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wan Family\Documents\"/>
    </mc:Choice>
  </mc:AlternateContent>
  <xr:revisionPtr revIDLastSave="0" documentId="8_{B459FBF2-757C-448E-9563-B3BA4781C0C2}" xr6:coauthVersionLast="47" xr6:coauthVersionMax="47" xr10:uidLastSave="{00000000-0000-0000-0000-000000000000}"/>
  <bookViews>
    <workbookView xWindow="-120" yWindow="-120" windowWidth="20730" windowHeight="11160" xr2:uid="{F6039F54-3B14-42A0-A157-06C5049D26D0}"/>
  </bookViews>
  <sheets>
    <sheet name="TEAM" sheetId="24" r:id="rId1"/>
    <sheet name="TEAM_BUILDER" sheetId="21" r:id="rId2"/>
    <sheet name="FPL_Raw_Data" sheetId="12" r:id="rId3"/>
    <sheet name="Player_Analysis" sheetId="7" r:id="rId4"/>
    <sheet name="Player_Model" sheetId="25" r:id="rId5"/>
    <sheet name="2023_24" sheetId="35" r:id="rId6"/>
    <sheet name="2024_25" sheetId="34" r:id="rId7"/>
    <sheet name="2025_26" sheetId="36" r:id="rId8"/>
    <sheet name="MODEL_CONFIG" sheetId="26" r:id="rId9"/>
    <sheet name="TEAM_ANALYSIS" sheetId="20" r:id="rId10"/>
    <sheet name="Fixture_Raw" sheetId="13" r:id="rId11"/>
    <sheet name="Raw_Teams" sheetId="15" r:id="rId12"/>
    <sheet name="FIXTURE_ANALYSIS" sheetId="14" r:id="rId13"/>
    <sheet name="TEAM_FIXTURES" sheetId="16" r:id="rId14"/>
    <sheet name="Gameweek_Raw" sheetId="23" r:id="rId15"/>
    <sheet name="AWAY_FIXTURES" sheetId="18" r:id="rId16"/>
    <sheet name="HOME_FIXTURES" sheetId="17" r:id="rId17"/>
    <sheet name="Dashboards" sheetId="9" r:id="rId18"/>
  </sheets>
  <definedNames>
    <definedName name="ExternalData_1" localSheetId="5" hidden="1">'2023_24'!$B$1:$N$866</definedName>
    <definedName name="ExternalData_1" localSheetId="6" hidden="1">'2024_25'!$B$1:$O$805</definedName>
    <definedName name="ExternalData_1" localSheetId="7" hidden="1">'2025_26'!$B$1:$O$842</definedName>
    <definedName name="ExternalData_1" localSheetId="10" hidden="1">Fixture_Raw!$A$1:$J$381</definedName>
    <definedName name="ExternalData_1" localSheetId="14" hidden="1">Gameweek_Raw!$A$1:$E$2</definedName>
    <definedName name="ExternalData_1" localSheetId="11" hidden="1">Raw_Teams!$A$1:$J$21</definedName>
    <definedName name="ExternalData_2" localSheetId="2" hidden="1">FPL_Raw_Data!$A$1:$Z$655</definedName>
    <definedName name="ExternalData_2" localSheetId="13" hidden="1">TEAM_FIXTURES!$A$1:$J$761</definedName>
    <definedName name="ExternalData_3" localSheetId="16" hidden="1">HOME_FIXTURES!$A$1:$H$381</definedName>
    <definedName name="ExternalData_4" localSheetId="15" hidden="1">AWAY_FIXTURES!$A$1:$H$381</definedName>
    <definedName name="solver_adj" localSheetId="1" hidden="1">TEAM_BUILDER!$G$9:$G$160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TEAM_BUILDER!$G$9:$G$160</definedName>
    <definedName name="solver_lhs10" localSheetId="1" hidden="1">TEAM_BUILDER!$O$3:$O$22</definedName>
    <definedName name="solver_lhs2" localSheetId="1" hidden="1">TEAM_BUILDER!$G$9:$G$160</definedName>
    <definedName name="solver_lhs3" localSheetId="1" hidden="1">TEAM_BUILDER!$M$10</definedName>
    <definedName name="solver_lhs4" localSheetId="1" hidden="1">TEAM_BUILDER!$M$11</definedName>
    <definedName name="solver_lhs5" localSheetId="1" hidden="1">TEAM_BUILDER!$M$12</definedName>
    <definedName name="solver_lhs6" localSheetId="1" hidden="1">TEAM_BUILDER!$M$13</definedName>
    <definedName name="solver_lhs7" localSheetId="1" hidden="1">TEAM_BUILDER!$M$6</definedName>
    <definedName name="solver_lhs8" localSheetId="1" hidden="1">TEAM_BUILDER!$M$6</definedName>
    <definedName name="solver_lhs9" localSheetId="1" hidden="1">TEAM_BUILDER!$M$9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10</definedName>
    <definedName name="solver_nwt" localSheetId="1" hidden="1">1</definedName>
    <definedName name="solver_opt" localSheetId="1" hidden="1">TEAM_BUILDER!$M$7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1</definedName>
    <definedName name="solver_rel2" localSheetId="1" hidden="1">5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1</definedName>
    <definedName name="solver_rel8" localSheetId="1" hidden="1">1</definedName>
    <definedName name="solver_rel9" localSheetId="1" hidden="1">2</definedName>
    <definedName name="solver_rhs1" localSheetId="1" hidden="1">TEAM_BUILDER!$J$9:$J$160</definedName>
    <definedName name="solver_rhs10" localSheetId="1" hidden="1">3</definedName>
    <definedName name="solver_rhs2" localSheetId="1" hidden="1">"binary"</definedName>
    <definedName name="solver_rhs3" localSheetId="1" hidden="1">2</definedName>
    <definedName name="solver_rhs4" localSheetId="1" hidden="1">5</definedName>
    <definedName name="solver_rhs5" localSheetId="1" hidden="1">5</definedName>
    <definedName name="solver_rhs6" localSheetId="1" hidden="1">3</definedName>
    <definedName name="solver_rhs7" localSheetId="1" hidden="1">TEAM_BUILDER!$B$3</definedName>
    <definedName name="solver_rhs8" localSheetId="1" hidden="1">100</definedName>
    <definedName name="solver_rhs9" localSheetId="1" hidden="1">15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6" l="1"/>
  <c r="K22" i="16"/>
  <c r="K3" i="16"/>
  <c r="K4" i="16"/>
  <c r="K5" i="16"/>
  <c r="K6" i="16"/>
  <c r="K23" i="16"/>
  <c r="K24" i="16"/>
  <c r="K25" i="16"/>
  <c r="K7" i="16"/>
  <c r="K8" i="16"/>
  <c r="K42" i="16"/>
  <c r="K9" i="16"/>
  <c r="K10" i="16"/>
  <c r="K11" i="16"/>
  <c r="K26" i="16"/>
  <c r="K27" i="16"/>
  <c r="K28" i="16"/>
  <c r="K29" i="16"/>
  <c r="K30" i="16"/>
  <c r="K31" i="16"/>
  <c r="K43" i="16"/>
  <c r="K44" i="16"/>
  <c r="K45" i="16"/>
  <c r="K46" i="16"/>
  <c r="K47" i="16"/>
  <c r="K48" i="16"/>
  <c r="K49" i="16"/>
  <c r="K50" i="16"/>
  <c r="K51" i="16"/>
  <c r="K62" i="16"/>
  <c r="K63" i="16"/>
  <c r="K64" i="16"/>
  <c r="K65" i="16"/>
  <c r="K66" i="16"/>
  <c r="K67" i="16"/>
  <c r="K68" i="16"/>
  <c r="K69" i="16"/>
  <c r="K70" i="16"/>
  <c r="K71" i="16"/>
  <c r="K82" i="16"/>
  <c r="K83" i="16"/>
  <c r="K84" i="16"/>
  <c r="K85" i="16"/>
  <c r="K86" i="16"/>
  <c r="K87" i="16"/>
  <c r="K88" i="16"/>
  <c r="K89" i="16"/>
  <c r="K90" i="16"/>
  <c r="K91" i="16"/>
  <c r="K102" i="16"/>
  <c r="K103" i="16"/>
  <c r="K104" i="16"/>
  <c r="K105" i="16"/>
  <c r="K106" i="16"/>
  <c r="K107" i="16"/>
  <c r="K108" i="16"/>
  <c r="K109" i="16"/>
  <c r="K110" i="16"/>
  <c r="K111" i="16"/>
  <c r="K122" i="16"/>
  <c r="K123" i="16"/>
  <c r="K124" i="16"/>
  <c r="K125" i="16"/>
  <c r="K126" i="16"/>
  <c r="K127" i="16"/>
  <c r="K128" i="16"/>
  <c r="K129" i="16"/>
  <c r="K130" i="16"/>
  <c r="K131" i="16"/>
  <c r="K142" i="16"/>
  <c r="K143" i="16"/>
  <c r="K144" i="16"/>
  <c r="K145" i="16"/>
  <c r="K146" i="16"/>
  <c r="K147" i="16"/>
  <c r="K148" i="16"/>
  <c r="K149" i="16"/>
  <c r="K150" i="16"/>
  <c r="K151" i="16"/>
  <c r="K162" i="16"/>
  <c r="K163" i="16"/>
  <c r="K164" i="16"/>
  <c r="K165" i="16"/>
  <c r="K166" i="16"/>
  <c r="K167" i="16"/>
  <c r="K168" i="16"/>
  <c r="K169" i="16"/>
  <c r="K170" i="16"/>
  <c r="K171" i="16"/>
  <c r="K182" i="16"/>
  <c r="K183" i="16"/>
  <c r="K184" i="16"/>
  <c r="K185" i="16"/>
  <c r="K186" i="16"/>
  <c r="K187" i="16"/>
  <c r="K188" i="16"/>
  <c r="K189" i="16"/>
  <c r="K190" i="16"/>
  <c r="K191" i="16"/>
  <c r="K202" i="16"/>
  <c r="K203" i="16"/>
  <c r="K204" i="16"/>
  <c r="K205" i="16"/>
  <c r="K206" i="16"/>
  <c r="K207" i="16"/>
  <c r="K208" i="16"/>
  <c r="K209" i="16"/>
  <c r="K210" i="16"/>
  <c r="K211" i="16"/>
  <c r="K222" i="16"/>
  <c r="K223" i="16"/>
  <c r="K224" i="16"/>
  <c r="K225" i="16"/>
  <c r="K226" i="16"/>
  <c r="K227" i="16"/>
  <c r="K228" i="16"/>
  <c r="K229" i="16"/>
  <c r="K230" i="16"/>
  <c r="K231" i="16"/>
  <c r="K242" i="16"/>
  <c r="K243" i="16"/>
  <c r="K244" i="16"/>
  <c r="K245" i="16"/>
  <c r="K246" i="16"/>
  <c r="K247" i="16"/>
  <c r="K248" i="16"/>
  <c r="K249" i="16"/>
  <c r="K250" i="16"/>
  <c r="K251" i="16"/>
  <c r="K262" i="16"/>
  <c r="K263" i="16"/>
  <c r="K264" i="16"/>
  <c r="K265" i="16"/>
  <c r="K266" i="16"/>
  <c r="K267" i="16"/>
  <c r="K268" i="16"/>
  <c r="K269" i="16"/>
  <c r="K270" i="16"/>
  <c r="K271" i="16"/>
  <c r="K282" i="16"/>
  <c r="K283" i="16"/>
  <c r="K284" i="16"/>
  <c r="K285" i="16"/>
  <c r="K286" i="16"/>
  <c r="K287" i="16"/>
  <c r="K288" i="16"/>
  <c r="K289" i="16"/>
  <c r="K290" i="16"/>
  <c r="K291" i="16"/>
  <c r="K302" i="16"/>
  <c r="K303" i="16"/>
  <c r="K304" i="16"/>
  <c r="K305" i="16"/>
  <c r="K306" i="16"/>
  <c r="K307" i="16"/>
  <c r="K308" i="16"/>
  <c r="K309" i="16"/>
  <c r="K310" i="16"/>
  <c r="K311" i="16"/>
  <c r="K322" i="16"/>
  <c r="K323" i="16"/>
  <c r="K324" i="16"/>
  <c r="K325" i="16"/>
  <c r="K326" i="16"/>
  <c r="K327" i="16"/>
  <c r="K328" i="16"/>
  <c r="K329" i="16"/>
  <c r="K330" i="16"/>
  <c r="K331" i="16"/>
  <c r="K342" i="16"/>
  <c r="K343" i="16"/>
  <c r="K344" i="16"/>
  <c r="K345" i="16"/>
  <c r="K346" i="16"/>
  <c r="K347" i="16"/>
  <c r="K348" i="16"/>
  <c r="K349" i="16"/>
  <c r="K350" i="16"/>
  <c r="K351" i="16"/>
  <c r="K362" i="16"/>
  <c r="K363" i="16"/>
  <c r="K364" i="16"/>
  <c r="K365" i="16"/>
  <c r="K366" i="16"/>
  <c r="K367" i="16"/>
  <c r="K368" i="16"/>
  <c r="K369" i="16"/>
  <c r="K370" i="16"/>
  <c r="K371" i="16"/>
  <c r="K382" i="16"/>
  <c r="K383" i="16"/>
  <c r="K384" i="16"/>
  <c r="K385" i="16"/>
  <c r="K386" i="16"/>
  <c r="K387" i="16"/>
  <c r="K388" i="16"/>
  <c r="K389" i="16"/>
  <c r="K390" i="16"/>
  <c r="K391" i="16"/>
  <c r="K402" i="16"/>
  <c r="K403" i="16"/>
  <c r="K404" i="16"/>
  <c r="K405" i="16"/>
  <c r="K406" i="16"/>
  <c r="K407" i="16"/>
  <c r="K408" i="16"/>
  <c r="K409" i="16"/>
  <c r="K410" i="16"/>
  <c r="K411" i="16"/>
  <c r="K422" i="16"/>
  <c r="K423" i="16"/>
  <c r="K424" i="16"/>
  <c r="K425" i="16"/>
  <c r="K426" i="16"/>
  <c r="K427" i="16"/>
  <c r="K428" i="16"/>
  <c r="K429" i="16"/>
  <c r="K430" i="16"/>
  <c r="K431" i="16"/>
  <c r="K442" i="16"/>
  <c r="K443" i="16"/>
  <c r="K444" i="16"/>
  <c r="K445" i="16"/>
  <c r="K446" i="16"/>
  <c r="K447" i="16"/>
  <c r="K448" i="16"/>
  <c r="K449" i="16"/>
  <c r="K450" i="16"/>
  <c r="K451" i="16"/>
  <c r="K462" i="16"/>
  <c r="K463" i="16"/>
  <c r="K464" i="16"/>
  <c r="K465" i="16"/>
  <c r="K466" i="16"/>
  <c r="K467" i="16"/>
  <c r="K468" i="16"/>
  <c r="K469" i="16"/>
  <c r="K470" i="16"/>
  <c r="K471" i="16"/>
  <c r="K482" i="16"/>
  <c r="K483" i="16"/>
  <c r="K484" i="16"/>
  <c r="K485" i="16"/>
  <c r="K486" i="16"/>
  <c r="K487" i="16"/>
  <c r="K488" i="16"/>
  <c r="K489" i="16"/>
  <c r="K490" i="16"/>
  <c r="K491" i="16"/>
  <c r="K502" i="16"/>
  <c r="K503" i="16"/>
  <c r="K504" i="16"/>
  <c r="K505" i="16"/>
  <c r="K506" i="16"/>
  <c r="K507" i="16"/>
  <c r="K508" i="16"/>
  <c r="K509" i="16"/>
  <c r="K510" i="16"/>
  <c r="K511" i="16"/>
  <c r="K522" i="16"/>
  <c r="K523" i="16"/>
  <c r="K524" i="16"/>
  <c r="K525" i="16"/>
  <c r="K526" i="16"/>
  <c r="K527" i="16"/>
  <c r="K528" i="16"/>
  <c r="K529" i="16"/>
  <c r="K530" i="16"/>
  <c r="K531" i="16"/>
  <c r="K542" i="16"/>
  <c r="K543" i="16"/>
  <c r="K544" i="16"/>
  <c r="K545" i="16"/>
  <c r="K546" i="16"/>
  <c r="K547" i="16"/>
  <c r="K548" i="16"/>
  <c r="K549" i="16"/>
  <c r="K550" i="16"/>
  <c r="K551" i="16"/>
  <c r="K562" i="16"/>
  <c r="K563" i="16"/>
  <c r="K564" i="16"/>
  <c r="K565" i="16"/>
  <c r="K566" i="16"/>
  <c r="K567" i="16"/>
  <c r="K568" i="16"/>
  <c r="K569" i="16"/>
  <c r="K570" i="16"/>
  <c r="K571" i="16"/>
  <c r="K582" i="16"/>
  <c r="K583" i="16"/>
  <c r="K584" i="16"/>
  <c r="K585" i="16"/>
  <c r="K586" i="16"/>
  <c r="K587" i="16"/>
  <c r="K588" i="16"/>
  <c r="K589" i="16"/>
  <c r="K590" i="16"/>
  <c r="K591" i="16"/>
  <c r="K602" i="16"/>
  <c r="K603" i="16"/>
  <c r="K604" i="16"/>
  <c r="K605" i="16"/>
  <c r="K606" i="16"/>
  <c r="K607" i="16"/>
  <c r="K608" i="16"/>
  <c r="K609" i="16"/>
  <c r="K610" i="16"/>
  <c r="K611" i="16"/>
  <c r="K622" i="16"/>
  <c r="K623" i="16"/>
  <c r="K624" i="16"/>
  <c r="K625" i="16"/>
  <c r="K626" i="16"/>
  <c r="K627" i="16"/>
  <c r="K628" i="16"/>
  <c r="K629" i="16"/>
  <c r="K630" i="16"/>
  <c r="K631" i="16"/>
  <c r="K642" i="16"/>
  <c r="K643" i="16"/>
  <c r="K644" i="16"/>
  <c r="K645" i="16"/>
  <c r="K646" i="16"/>
  <c r="K647" i="16"/>
  <c r="K648" i="16"/>
  <c r="K649" i="16"/>
  <c r="K650" i="16"/>
  <c r="K651" i="16"/>
  <c r="K662" i="16"/>
  <c r="K663" i="16"/>
  <c r="K664" i="16"/>
  <c r="K665" i="16"/>
  <c r="K666" i="16"/>
  <c r="K667" i="16"/>
  <c r="K668" i="16"/>
  <c r="K669" i="16"/>
  <c r="K670" i="16"/>
  <c r="K671" i="16"/>
  <c r="K682" i="16"/>
  <c r="K683" i="16"/>
  <c r="K684" i="16"/>
  <c r="K685" i="16"/>
  <c r="K686" i="16"/>
  <c r="K687" i="16"/>
  <c r="K688" i="16"/>
  <c r="K689" i="16"/>
  <c r="K690" i="16"/>
  <c r="K691" i="16"/>
  <c r="K702" i="16"/>
  <c r="K703" i="16"/>
  <c r="K704" i="16"/>
  <c r="K705" i="16"/>
  <c r="K706" i="16"/>
  <c r="K707" i="16"/>
  <c r="K708" i="16"/>
  <c r="K709" i="16"/>
  <c r="K710" i="16"/>
  <c r="K711" i="16"/>
  <c r="K722" i="16"/>
  <c r="K723" i="16"/>
  <c r="K724" i="16"/>
  <c r="K725" i="16"/>
  <c r="K726" i="16"/>
  <c r="K727" i="16"/>
  <c r="K728" i="16"/>
  <c r="K729" i="16"/>
  <c r="K730" i="16"/>
  <c r="K731" i="16"/>
  <c r="K742" i="16"/>
  <c r="K743" i="16"/>
  <c r="K744" i="16"/>
  <c r="K745" i="16"/>
  <c r="K746" i="16"/>
  <c r="K747" i="16"/>
  <c r="K748" i="16"/>
  <c r="K749" i="16"/>
  <c r="K750" i="16"/>
  <c r="K751" i="16"/>
  <c r="K12" i="16"/>
  <c r="K32" i="16"/>
  <c r="K13" i="16"/>
  <c r="K33" i="16"/>
  <c r="K14" i="16"/>
  <c r="K15" i="16"/>
  <c r="K16" i="16"/>
  <c r="K17" i="16"/>
  <c r="K34" i="16"/>
  <c r="K18" i="16"/>
  <c r="K52" i="16"/>
  <c r="K35" i="16"/>
  <c r="K36" i="16"/>
  <c r="K37" i="16"/>
  <c r="K19" i="16"/>
  <c r="K20" i="16"/>
  <c r="K21" i="16"/>
  <c r="K38" i="16"/>
  <c r="K39" i="16"/>
  <c r="K40" i="16"/>
  <c r="K41" i="16"/>
  <c r="K53" i="16"/>
  <c r="K54" i="16"/>
  <c r="K55" i="16"/>
  <c r="K56" i="16"/>
  <c r="K57" i="16"/>
  <c r="K58" i="16"/>
  <c r="K59" i="16"/>
  <c r="K60" i="16"/>
  <c r="K61" i="16"/>
  <c r="K72" i="16"/>
  <c r="K73" i="16"/>
  <c r="K74" i="16"/>
  <c r="K75" i="16"/>
  <c r="K76" i="16"/>
  <c r="K77" i="16"/>
  <c r="K78" i="16"/>
  <c r="K79" i="16"/>
  <c r="K80" i="16"/>
  <c r="K81" i="16"/>
  <c r="K92" i="16"/>
  <c r="K93" i="16"/>
  <c r="K94" i="16"/>
  <c r="K95" i="16"/>
  <c r="K96" i="16"/>
  <c r="K97" i="16"/>
  <c r="K98" i="16"/>
  <c r="K99" i="16"/>
  <c r="K100" i="16"/>
  <c r="K101" i="16"/>
  <c r="K112" i="16"/>
  <c r="K113" i="16"/>
  <c r="K114" i="16"/>
  <c r="K115" i="16"/>
  <c r="K116" i="16"/>
  <c r="K117" i="16"/>
  <c r="K118" i="16"/>
  <c r="K119" i="16"/>
  <c r="K120" i="16"/>
  <c r="K121" i="16"/>
  <c r="K132" i="16"/>
  <c r="K133" i="16"/>
  <c r="K134" i="16"/>
  <c r="K135" i="16"/>
  <c r="K136" i="16"/>
  <c r="K137" i="16"/>
  <c r="K138" i="16"/>
  <c r="K139" i="16"/>
  <c r="K140" i="16"/>
  <c r="K141" i="16"/>
  <c r="K152" i="16"/>
  <c r="K153" i="16"/>
  <c r="K154" i="16"/>
  <c r="K155" i="16"/>
  <c r="K156" i="16"/>
  <c r="K157" i="16"/>
  <c r="K158" i="16"/>
  <c r="K159" i="16"/>
  <c r="K160" i="16"/>
  <c r="K161" i="16"/>
  <c r="K172" i="16"/>
  <c r="K173" i="16"/>
  <c r="K174" i="16"/>
  <c r="K175" i="16"/>
  <c r="K176" i="16"/>
  <c r="K177" i="16"/>
  <c r="K178" i="16"/>
  <c r="K179" i="16"/>
  <c r="K180" i="16"/>
  <c r="K181" i="16"/>
  <c r="K192" i="16"/>
  <c r="K193" i="16"/>
  <c r="K194" i="16"/>
  <c r="K195" i="16"/>
  <c r="K196" i="16"/>
  <c r="K197" i="16"/>
  <c r="K198" i="16"/>
  <c r="K199" i="16"/>
  <c r="K200" i="16"/>
  <c r="K201" i="16"/>
  <c r="K212" i="16"/>
  <c r="K213" i="16"/>
  <c r="K214" i="16"/>
  <c r="K215" i="16"/>
  <c r="K216" i="16"/>
  <c r="K217" i="16"/>
  <c r="K218" i="16"/>
  <c r="K219" i="16"/>
  <c r="K220" i="16"/>
  <c r="K221" i="16"/>
  <c r="K232" i="16"/>
  <c r="K233" i="16"/>
  <c r="K234" i="16"/>
  <c r="K235" i="16"/>
  <c r="K236" i="16"/>
  <c r="K237" i="16"/>
  <c r="K238" i="16"/>
  <c r="K239" i="16"/>
  <c r="K240" i="16"/>
  <c r="K241" i="16"/>
  <c r="K252" i="16"/>
  <c r="K253" i="16"/>
  <c r="K254" i="16"/>
  <c r="K255" i="16"/>
  <c r="K256" i="16"/>
  <c r="K257" i="16"/>
  <c r="K258" i="16"/>
  <c r="K259" i="16"/>
  <c r="K260" i="16"/>
  <c r="K261" i="16"/>
  <c r="K272" i="16"/>
  <c r="K273" i="16"/>
  <c r="K274" i="16"/>
  <c r="K275" i="16"/>
  <c r="K276" i="16"/>
  <c r="K277" i="16"/>
  <c r="K278" i="16"/>
  <c r="K279" i="16"/>
  <c r="K280" i="16"/>
  <c r="K281" i="16"/>
  <c r="K292" i="16"/>
  <c r="K293" i="16"/>
  <c r="K294" i="16"/>
  <c r="K295" i="16"/>
  <c r="K296" i="16"/>
  <c r="K297" i="16"/>
  <c r="K298" i="16"/>
  <c r="K299" i="16"/>
  <c r="K300" i="16"/>
  <c r="K301" i="16"/>
  <c r="K312" i="16"/>
  <c r="K313" i="16"/>
  <c r="K314" i="16"/>
  <c r="K315" i="16"/>
  <c r="K316" i="16"/>
  <c r="K317" i="16"/>
  <c r="K318" i="16"/>
  <c r="K319" i="16"/>
  <c r="K320" i="16"/>
  <c r="K321" i="16"/>
  <c r="K332" i="16"/>
  <c r="K333" i="16"/>
  <c r="K334" i="16"/>
  <c r="K335" i="16"/>
  <c r="K336" i="16"/>
  <c r="K337" i="16"/>
  <c r="K338" i="16"/>
  <c r="K339" i="16"/>
  <c r="K340" i="16"/>
  <c r="K341" i="16"/>
  <c r="K352" i="16"/>
  <c r="K353" i="16"/>
  <c r="K354" i="16"/>
  <c r="K355" i="16"/>
  <c r="K356" i="16"/>
  <c r="K357" i="16"/>
  <c r="K358" i="16"/>
  <c r="K359" i="16"/>
  <c r="K360" i="16"/>
  <c r="K361" i="16"/>
  <c r="K372" i="16"/>
  <c r="K373" i="16"/>
  <c r="K374" i="16"/>
  <c r="K375" i="16"/>
  <c r="K376" i="16"/>
  <c r="K377" i="16"/>
  <c r="K378" i="16"/>
  <c r="K379" i="16"/>
  <c r="K380" i="16"/>
  <c r="K381" i="16"/>
  <c r="K392" i="16"/>
  <c r="K393" i="16"/>
  <c r="K394" i="16"/>
  <c r="K395" i="16"/>
  <c r="K396" i="16"/>
  <c r="K397" i="16"/>
  <c r="K398" i="16"/>
  <c r="K399" i="16"/>
  <c r="K400" i="16"/>
  <c r="K401" i="16"/>
  <c r="K412" i="16"/>
  <c r="K413" i="16"/>
  <c r="K414" i="16"/>
  <c r="K415" i="16"/>
  <c r="K416" i="16"/>
  <c r="K417" i="16"/>
  <c r="K418" i="16"/>
  <c r="K419" i="16"/>
  <c r="K420" i="16"/>
  <c r="K421" i="16"/>
  <c r="K432" i="16"/>
  <c r="K433" i="16"/>
  <c r="K434" i="16"/>
  <c r="K435" i="16"/>
  <c r="K436" i="16"/>
  <c r="K437" i="16"/>
  <c r="K438" i="16"/>
  <c r="K439" i="16"/>
  <c r="K440" i="16"/>
  <c r="K441" i="16"/>
  <c r="K452" i="16"/>
  <c r="K453" i="16"/>
  <c r="K454" i="16"/>
  <c r="K455" i="16"/>
  <c r="K456" i="16"/>
  <c r="K457" i="16"/>
  <c r="K458" i="16"/>
  <c r="K459" i="16"/>
  <c r="K460" i="16"/>
  <c r="K461" i="16"/>
  <c r="K472" i="16"/>
  <c r="K473" i="16"/>
  <c r="K474" i="16"/>
  <c r="K475" i="16"/>
  <c r="K476" i="16"/>
  <c r="K477" i="16"/>
  <c r="K478" i="16"/>
  <c r="K479" i="16"/>
  <c r="K480" i="16"/>
  <c r="K481" i="16"/>
  <c r="K492" i="16"/>
  <c r="K493" i="16"/>
  <c r="K494" i="16"/>
  <c r="K495" i="16"/>
  <c r="K496" i="16"/>
  <c r="K497" i="16"/>
  <c r="K498" i="16"/>
  <c r="K499" i="16"/>
  <c r="K500" i="16"/>
  <c r="K501" i="16"/>
  <c r="K512" i="16"/>
  <c r="K513" i="16"/>
  <c r="K514" i="16"/>
  <c r="K515" i="16"/>
  <c r="K516" i="16"/>
  <c r="K517" i="16"/>
  <c r="K518" i="16"/>
  <c r="K519" i="16"/>
  <c r="K520" i="16"/>
  <c r="K521" i="16"/>
  <c r="K532" i="16"/>
  <c r="K533" i="16"/>
  <c r="K534" i="16"/>
  <c r="K535" i="16"/>
  <c r="K536" i="16"/>
  <c r="K537" i="16"/>
  <c r="K538" i="16"/>
  <c r="K539" i="16"/>
  <c r="K540" i="16"/>
  <c r="K541" i="16"/>
  <c r="K552" i="16"/>
  <c r="K553" i="16"/>
  <c r="K554" i="16"/>
  <c r="K555" i="16"/>
  <c r="K556" i="16"/>
  <c r="K557" i="16"/>
  <c r="K558" i="16"/>
  <c r="K559" i="16"/>
  <c r="K560" i="16"/>
  <c r="K561" i="16"/>
  <c r="K572" i="16"/>
  <c r="K573" i="16"/>
  <c r="K574" i="16"/>
  <c r="K575" i="16"/>
  <c r="K576" i="16"/>
  <c r="K577" i="16"/>
  <c r="K578" i="16"/>
  <c r="K579" i="16"/>
  <c r="K580" i="16"/>
  <c r="K581" i="16"/>
  <c r="K592" i="16"/>
  <c r="K593" i="16"/>
  <c r="K594" i="16"/>
  <c r="K595" i="16"/>
  <c r="K596" i="16"/>
  <c r="K597" i="16"/>
  <c r="K598" i="16"/>
  <c r="K599" i="16"/>
  <c r="K600" i="16"/>
  <c r="K601" i="16"/>
  <c r="K612" i="16"/>
  <c r="K613" i="16"/>
  <c r="K614" i="16"/>
  <c r="K615" i="16"/>
  <c r="K616" i="16"/>
  <c r="K617" i="16"/>
  <c r="K618" i="16"/>
  <c r="K619" i="16"/>
  <c r="K620" i="16"/>
  <c r="K621" i="16"/>
  <c r="K632" i="16"/>
  <c r="K633" i="16"/>
  <c r="K634" i="16"/>
  <c r="K635" i="16"/>
  <c r="K636" i="16"/>
  <c r="K637" i="16"/>
  <c r="K638" i="16"/>
  <c r="K639" i="16"/>
  <c r="K640" i="16"/>
  <c r="K641" i="16"/>
  <c r="K652" i="16"/>
  <c r="K653" i="16"/>
  <c r="K654" i="16"/>
  <c r="K655" i="16"/>
  <c r="K656" i="16"/>
  <c r="K657" i="16"/>
  <c r="K658" i="16"/>
  <c r="K659" i="16"/>
  <c r="K660" i="16"/>
  <c r="K661" i="16"/>
  <c r="K672" i="16"/>
  <c r="K673" i="16"/>
  <c r="K674" i="16"/>
  <c r="K675" i="16"/>
  <c r="K676" i="16"/>
  <c r="K677" i="16"/>
  <c r="K678" i="16"/>
  <c r="K679" i="16"/>
  <c r="K680" i="16"/>
  <c r="K681" i="16"/>
  <c r="K692" i="16"/>
  <c r="K693" i="16"/>
  <c r="K694" i="16"/>
  <c r="K695" i="16"/>
  <c r="K696" i="16"/>
  <c r="K697" i="16"/>
  <c r="K698" i="16"/>
  <c r="K699" i="16"/>
  <c r="K700" i="16"/>
  <c r="K701" i="16"/>
  <c r="K712" i="16"/>
  <c r="K713" i="16"/>
  <c r="K714" i="16"/>
  <c r="K715" i="16"/>
  <c r="K716" i="16"/>
  <c r="K717" i="16"/>
  <c r="K718" i="16"/>
  <c r="K719" i="16"/>
  <c r="K720" i="16"/>
  <c r="K721" i="16"/>
  <c r="K732" i="16"/>
  <c r="K733" i="16"/>
  <c r="K734" i="16"/>
  <c r="K735" i="16"/>
  <c r="K736" i="16"/>
  <c r="K737" i="16"/>
  <c r="K738" i="16"/>
  <c r="K739" i="16"/>
  <c r="K740" i="16"/>
  <c r="K741" i="16"/>
  <c r="K752" i="16"/>
  <c r="K753" i="16"/>
  <c r="K754" i="16"/>
  <c r="K755" i="16"/>
  <c r="K756" i="16"/>
  <c r="K757" i="16"/>
  <c r="K758" i="16"/>
  <c r="K759" i="16"/>
  <c r="K760" i="16"/>
  <c r="K761" i="16"/>
  <c r="L2" i="16"/>
  <c r="L22" i="16"/>
  <c r="L3" i="16"/>
  <c r="L4" i="16"/>
  <c r="L5" i="16"/>
  <c r="L6" i="16"/>
  <c r="L23" i="16"/>
  <c r="L24" i="16"/>
  <c r="L25" i="16"/>
  <c r="L7" i="16"/>
  <c r="L8" i="16"/>
  <c r="L42" i="16"/>
  <c r="L9" i="16"/>
  <c r="L10" i="16"/>
  <c r="L11" i="16"/>
  <c r="L26" i="16"/>
  <c r="L27" i="16"/>
  <c r="L28" i="16"/>
  <c r="L29" i="16"/>
  <c r="L30" i="16"/>
  <c r="L31" i="16"/>
  <c r="L43" i="16"/>
  <c r="L44" i="16"/>
  <c r="L45" i="16"/>
  <c r="L46" i="16"/>
  <c r="L47" i="16"/>
  <c r="L48" i="16"/>
  <c r="L49" i="16"/>
  <c r="L50" i="16"/>
  <c r="L51" i="16"/>
  <c r="L62" i="16"/>
  <c r="L63" i="16"/>
  <c r="L64" i="16"/>
  <c r="L65" i="16"/>
  <c r="L66" i="16"/>
  <c r="L67" i="16"/>
  <c r="L68" i="16"/>
  <c r="L69" i="16"/>
  <c r="L70" i="16"/>
  <c r="L71" i="16"/>
  <c r="L82" i="16"/>
  <c r="L83" i="16"/>
  <c r="L84" i="16"/>
  <c r="L85" i="16"/>
  <c r="L86" i="16"/>
  <c r="L87" i="16"/>
  <c r="L88" i="16"/>
  <c r="L89" i="16"/>
  <c r="L90" i="16"/>
  <c r="L91" i="16"/>
  <c r="L102" i="16"/>
  <c r="L103" i="16"/>
  <c r="L104" i="16"/>
  <c r="L105" i="16"/>
  <c r="L106" i="16"/>
  <c r="L107" i="16"/>
  <c r="L108" i="16"/>
  <c r="L109" i="16"/>
  <c r="L110" i="16"/>
  <c r="L111" i="16"/>
  <c r="L122" i="16"/>
  <c r="L123" i="16"/>
  <c r="L124" i="16"/>
  <c r="L125" i="16"/>
  <c r="L126" i="16"/>
  <c r="L127" i="16"/>
  <c r="L128" i="16"/>
  <c r="L129" i="16"/>
  <c r="L130" i="16"/>
  <c r="L131" i="16"/>
  <c r="L142" i="16"/>
  <c r="L143" i="16"/>
  <c r="L144" i="16"/>
  <c r="L145" i="16"/>
  <c r="L146" i="16"/>
  <c r="L147" i="16"/>
  <c r="L148" i="16"/>
  <c r="L149" i="16"/>
  <c r="L150" i="16"/>
  <c r="L151" i="16"/>
  <c r="L162" i="16"/>
  <c r="L163" i="16"/>
  <c r="L164" i="16"/>
  <c r="L165" i="16"/>
  <c r="L166" i="16"/>
  <c r="L167" i="16"/>
  <c r="L168" i="16"/>
  <c r="L169" i="16"/>
  <c r="L170" i="16"/>
  <c r="L171" i="16"/>
  <c r="L182" i="16"/>
  <c r="L183" i="16"/>
  <c r="L184" i="16"/>
  <c r="L185" i="16"/>
  <c r="L186" i="16"/>
  <c r="L187" i="16"/>
  <c r="L188" i="16"/>
  <c r="L189" i="16"/>
  <c r="L190" i="16"/>
  <c r="L191" i="16"/>
  <c r="L202" i="16"/>
  <c r="L203" i="16"/>
  <c r="L204" i="16"/>
  <c r="L205" i="16"/>
  <c r="L206" i="16"/>
  <c r="L207" i="16"/>
  <c r="L208" i="16"/>
  <c r="L209" i="16"/>
  <c r="L210" i="16"/>
  <c r="L211" i="16"/>
  <c r="L222" i="16"/>
  <c r="L223" i="16"/>
  <c r="L224" i="16"/>
  <c r="L225" i="16"/>
  <c r="L226" i="16"/>
  <c r="L227" i="16"/>
  <c r="L228" i="16"/>
  <c r="L229" i="16"/>
  <c r="L230" i="16"/>
  <c r="L231" i="16"/>
  <c r="L242" i="16"/>
  <c r="L243" i="16"/>
  <c r="L244" i="16"/>
  <c r="L245" i="16"/>
  <c r="L246" i="16"/>
  <c r="L247" i="16"/>
  <c r="L248" i="16"/>
  <c r="L249" i="16"/>
  <c r="L250" i="16"/>
  <c r="L251" i="16"/>
  <c r="L262" i="16"/>
  <c r="L263" i="16"/>
  <c r="L264" i="16"/>
  <c r="L265" i="16"/>
  <c r="L266" i="16"/>
  <c r="L267" i="16"/>
  <c r="L268" i="16"/>
  <c r="L269" i="16"/>
  <c r="L270" i="16"/>
  <c r="L271" i="16"/>
  <c r="L282" i="16"/>
  <c r="L283" i="16"/>
  <c r="L284" i="16"/>
  <c r="L285" i="16"/>
  <c r="L286" i="16"/>
  <c r="L287" i="16"/>
  <c r="L288" i="16"/>
  <c r="L289" i="16"/>
  <c r="L290" i="16"/>
  <c r="L291" i="16"/>
  <c r="L302" i="16"/>
  <c r="L303" i="16"/>
  <c r="L304" i="16"/>
  <c r="L305" i="16"/>
  <c r="L306" i="16"/>
  <c r="L307" i="16"/>
  <c r="L308" i="16"/>
  <c r="L309" i="16"/>
  <c r="L310" i="16"/>
  <c r="L311" i="16"/>
  <c r="L322" i="16"/>
  <c r="L323" i="16"/>
  <c r="L324" i="16"/>
  <c r="L325" i="16"/>
  <c r="L326" i="16"/>
  <c r="L327" i="16"/>
  <c r="L328" i="16"/>
  <c r="L329" i="16"/>
  <c r="L330" i="16"/>
  <c r="L331" i="16"/>
  <c r="L342" i="16"/>
  <c r="L343" i="16"/>
  <c r="L344" i="16"/>
  <c r="L345" i="16"/>
  <c r="L346" i="16"/>
  <c r="L347" i="16"/>
  <c r="L348" i="16"/>
  <c r="L349" i="16"/>
  <c r="L350" i="16"/>
  <c r="L351" i="16"/>
  <c r="L362" i="16"/>
  <c r="L363" i="16"/>
  <c r="L364" i="16"/>
  <c r="L365" i="16"/>
  <c r="L366" i="16"/>
  <c r="L367" i="16"/>
  <c r="L368" i="16"/>
  <c r="L369" i="16"/>
  <c r="L370" i="16"/>
  <c r="L371" i="16"/>
  <c r="L382" i="16"/>
  <c r="L383" i="16"/>
  <c r="L384" i="16"/>
  <c r="L385" i="16"/>
  <c r="L386" i="16"/>
  <c r="L387" i="16"/>
  <c r="L388" i="16"/>
  <c r="L389" i="16"/>
  <c r="L390" i="16"/>
  <c r="L391" i="16"/>
  <c r="L402" i="16"/>
  <c r="L403" i="16"/>
  <c r="L404" i="16"/>
  <c r="L405" i="16"/>
  <c r="L406" i="16"/>
  <c r="L407" i="16"/>
  <c r="L408" i="16"/>
  <c r="L409" i="16"/>
  <c r="L410" i="16"/>
  <c r="L411" i="16"/>
  <c r="L422" i="16"/>
  <c r="L423" i="16"/>
  <c r="L424" i="16"/>
  <c r="L425" i="16"/>
  <c r="L426" i="16"/>
  <c r="L427" i="16"/>
  <c r="L428" i="16"/>
  <c r="L429" i="16"/>
  <c r="L430" i="16"/>
  <c r="L431" i="16"/>
  <c r="L442" i="16"/>
  <c r="L443" i="16"/>
  <c r="L444" i="16"/>
  <c r="L445" i="16"/>
  <c r="L446" i="16"/>
  <c r="L447" i="16"/>
  <c r="L448" i="16"/>
  <c r="L449" i="16"/>
  <c r="L450" i="16"/>
  <c r="L451" i="16"/>
  <c r="L462" i="16"/>
  <c r="L463" i="16"/>
  <c r="L464" i="16"/>
  <c r="L465" i="16"/>
  <c r="L466" i="16"/>
  <c r="L467" i="16"/>
  <c r="L468" i="16"/>
  <c r="L469" i="16"/>
  <c r="L470" i="16"/>
  <c r="L471" i="16"/>
  <c r="L482" i="16"/>
  <c r="L483" i="16"/>
  <c r="L484" i="16"/>
  <c r="L485" i="16"/>
  <c r="L486" i="16"/>
  <c r="L487" i="16"/>
  <c r="L488" i="16"/>
  <c r="L489" i="16"/>
  <c r="L490" i="16"/>
  <c r="L491" i="16"/>
  <c r="L502" i="16"/>
  <c r="L503" i="16"/>
  <c r="L504" i="16"/>
  <c r="L505" i="16"/>
  <c r="L506" i="16"/>
  <c r="L507" i="16"/>
  <c r="L508" i="16"/>
  <c r="L509" i="16"/>
  <c r="L510" i="16"/>
  <c r="L511" i="16"/>
  <c r="L522" i="16"/>
  <c r="L523" i="16"/>
  <c r="L524" i="16"/>
  <c r="L525" i="16"/>
  <c r="L526" i="16"/>
  <c r="L527" i="16"/>
  <c r="L528" i="16"/>
  <c r="L529" i="16"/>
  <c r="L530" i="16"/>
  <c r="L531" i="16"/>
  <c r="L542" i="16"/>
  <c r="L543" i="16"/>
  <c r="L544" i="16"/>
  <c r="L545" i="16"/>
  <c r="L546" i="16"/>
  <c r="L547" i="16"/>
  <c r="L548" i="16"/>
  <c r="L549" i="16"/>
  <c r="L550" i="16"/>
  <c r="L551" i="16"/>
  <c r="L562" i="16"/>
  <c r="L563" i="16"/>
  <c r="L564" i="16"/>
  <c r="L565" i="16"/>
  <c r="L566" i="16"/>
  <c r="L567" i="16"/>
  <c r="L568" i="16"/>
  <c r="L569" i="16"/>
  <c r="L570" i="16"/>
  <c r="L571" i="16"/>
  <c r="L582" i="16"/>
  <c r="L583" i="16"/>
  <c r="L584" i="16"/>
  <c r="L585" i="16"/>
  <c r="L586" i="16"/>
  <c r="L587" i="16"/>
  <c r="L588" i="16"/>
  <c r="L589" i="16"/>
  <c r="L590" i="16"/>
  <c r="L591" i="16"/>
  <c r="L602" i="16"/>
  <c r="L603" i="16"/>
  <c r="L604" i="16"/>
  <c r="L605" i="16"/>
  <c r="L606" i="16"/>
  <c r="L607" i="16"/>
  <c r="L608" i="16"/>
  <c r="L609" i="16"/>
  <c r="L610" i="16"/>
  <c r="L611" i="16"/>
  <c r="L622" i="16"/>
  <c r="L623" i="16"/>
  <c r="L624" i="16"/>
  <c r="L625" i="16"/>
  <c r="L626" i="16"/>
  <c r="L627" i="16"/>
  <c r="L628" i="16"/>
  <c r="L629" i="16"/>
  <c r="L630" i="16"/>
  <c r="L631" i="16"/>
  <c r="L642" i="16"/>
  <c r="L643" i="16"/>
  <c r="L644" i="16"/>
  <c r="L645" i="16"/>
  <c r="L646" i="16"/>
  <c r="L647" i="16"/>
  <c r="L648" i="16"/>
  <c r="L649" i="16"/>
  <c r="L650" i="16"/>
  <c r="L651" i="16"/>
  <c r="L662" i="16"/>
  <c r="L663" i="16"/>
  <c r="L664" i="16"/>
  <c r="L665" i="16"/>
  <c r="L666" i="16"/>
  <c r="L667" i="16"/>
  <c r="L668" i="16"/>
  <c r="L669" i="16"/>
  <c r="L670" i="16"/>
  <c r="L671" i="16"/>
  <c r="L682" i="16"/>
  <c r="L683" i="16"/>
  <c r="L684" i="16"/>
  <c r="L685" i="16"/>
  <c r="L686" i="16"/>
  <c r="L687" i="16"/>
  <c r="L688" i="16"/>
  <c r="L689" i="16"/>
  <c r="L690" i="16"/>
  <c r="L691" i="16"/>
  <c r="L702" i="16"/>
  <c r="L703" i="16"/>
  <c r="L704" i="16"/>
  <c r="L705" i="16"/>
  <c r="L706" i="16"/>
  <c r="L707" i="16"/>
  <c r="L708" i="16"/>
  <c r="L709" i="16"/>
  <c r="L710" i="16"/>
  <c r="L711" i="16"/>
  <c r="L722" i="16"/>
  <c r="L723" i="16"/>
  <c r="L724" i="16"/>
  <c r="L725" i="16"/>
  <c r="L726" i="16"/>
  <c r="L727" i="16"/>
  <c r="L728" i="16"/>
  <c r="L729" i="16"/>
  <c r="L730" i="16"/>
  <c r="L731" i="16"/>
  <c r="L742" i="16"/>
  <c r="L743" i="16"/>
  <c r="L744" i="16"/>
  <c r="L745" i="16"/>
  <c r="L746" i="16"/>
  <c r="L747" i="16"/>
  <c r="L748" i="16"/>
  <c r="L749" i="16"/>
  <c r="L750" i="16"/>
  <c r="L751" i="16"/>
  <c r="L12" i="16"/>
  <c r="L32" i="16"/>
  <c r="L13" i="16"/>
  <c r="L33" i="16"/>
  <c r="L14" i="16"/>
  <c r="L15" i="16"/>
  <c r="L16" i="16"/>
  <c r="L17" i="16"/>
  <c r="L34" i="16"/>
  <c r="L18" i="16"/>
  <c r="L52" i="16"/>
  <c r="L35" i="16"/>
  <c r="L36" i="16"/>
  <c r="L37" i="16"/>
  <c r="L19" i="16"/>
  <c r="L20" i="16"/>
  <c r="L21" i="16"/>
  <c r="L38" i="16"/>
  <c r="L39" i="16"/>
  <c r="L40" i="16"/>
  <c r="L41" i="16"/>
  <c r="L53" i="16"/>
  <c r="L54" i="16"/>
  <c r="L55" i="16"/>
  <c r="L56" i="16"/>
  <c r="L57" i="16"/>
  <c r="L58" i="16"/>
  <c r="L59" i="16"/>
  <c r="L60" i="16"/>
  <c r="L61" i="16"/>
  <c r="L72" i="16"/>
  <c r="L73" i="16"/>
  <c r="L74" i="16"/>
  <c r="L75" i="16"/>
  <c r="L76" i="16"/>
  <c r="L77" i="16"/>
  <c r="L78" i="16"/>
  <c r="L79" i="16"/>
  <c r="L80" i="16"/>
  <c r="L81" i="16"/>
  <c r="L92" i="16"/>
  <c r="L93" i="16"/>
  <c r="L94" i="16"/>
  <c r="L95" i="16"/>
  <c r="L96" i="16"/>
  <c r="L97" i="16"/>
  <c r="L98" i="16"/>
  <c r="L99" i="16"/>
  <c r="L100" i="16"/>
  <c r="L101" i="16"/>
  <c r="L112" i="16"/>
  <c r="L113" i="16"/>
  <c r="L114" i="16"/>
  <c r="L115" i="16"/>
  <c r="L116" i="16"/>
  <c r="L117" i="16"/>
  <c r="L118" i="16"/>
  <c r="L119" i="16"/>
  <c r="L120" i="16"/>
  <c r="L121" i="16"/>
  <c r="L132" i="16"/>
  <c r="L133" i="16"/>
  <c r="L134" i="16"/>
  <c r="L135" i="16"/>
  <c r="L136" i="16"/>
  <c r="L137" i="16"/>
  <c r="L138" i="16"/>
  <c r="L139" i="16"/>
  <c r="L140" i="16"/>
  <c r="L141" i="16"/>
  <c r="L152" i="16"/>
  <c r="L153" i="16"/>
  <c r="L154" i="16"/>
  <c r="L155" i="16"/>
  <c r="L156" i="16"/>
  <c r="L157" i="16"/>
  <c r="L158" i="16"/>
  <c r="L159" i="16"/>
  <c r="L160" i="16"/>
  <c r="L161" i="16"/>
  <c r="L172" i="16"/>
  <c r="L173" i="16"/>
  <c r="L174" i="16"/>
  <c r="L175" i="16"/>
  <c r="L176" i="16"/>
  <c r="L177" i="16"/>
  <c r="L178" i="16"/>
  <c r="L179" i="16"/>
  <c r="L180" i="16"/>
  <c r="L181" i="16"/>
  <c r="L192" i="16"/>
  <c r="L193" i="16"/>
  <c r="L194" i="16"/>
  <c r="L195" i="16"/>
  <c r="L196" i="16"/>
  <c r="L197" i="16"/>
  <c r="L198" i="16"/>
  <c r="L199" i="16"/>
  <c r="L200" i="16"/>
  <c r="L201" i="16"/>
  <c r="L212" i="16"/>
  <c r="L213" i="16"/>
  <c r="L214" i="16"/>
  <c r="L215" i="16"/>
  <c r="L216" i="16"/>
  <c r="L217" i="16"/>
  <c r="L218" i="16"/>
  <c r="L219" i="16"/>
  <c r="L220" i="16"/>
  <c r="L221" i="16"/>
  <c r="L232" i="16"/>
  <c r="L233" i="16"/>
  <c r="L234" i="16"/>
  <c r="L235" i="16"/>
  <c r="L236" i="16"/>
  <c r="L237" i="16"/>
  <c r="L238" i="16"/>
  <c r="L239" i="16"/>
  <c r="L240" i="16"/>
  <c r="L241" i="16"/>
  <c r="L252" i="16"/>
  <c r="L253" i="16"/>
  <c r="L254" i="16"/>
  <c r="L255" i="16"/>
  <c r="L256" i="16"/>
  <c r="L257" i="16"/>
  <c r="L258" i="16"/>
  <c r="L259" i="16"/>
  <c r="L260" i="16"/>
  <c r="L261" i="16"/>
  <c r="L272" i="16"/>
  <c r="L273" i="16"/>
  <c r="L274" i="16"/>
  <c r="L275" i="16"/>
  <c r="L276" i="16"/>
  <c r="L277" i="16"/>
  <c r="L278" i="16"/>
  <c r="L279" i="16"/>
  <c r="L280" i="16"/>
  <c r="L281" i="16"/>
  <c r="L292" i="16"/>
  <c r="L293" i="16"/>
  <c r="L294" i="16"/>
  <c r="L295" i="16"/>
  <c r="L296" i="16"/>
  <c r="L297" i="16"/>
  <c r="L298" i="16"/>
  <c r="L299" i="16"/>
  <c r="L300" i="16"/>
  <c r="L301" i="16"/>
  <c r="L312" i="16"/>
  <c r="L313" i="16"/>
  <c r="L314" i="16"/>
  <c r="L315" i="16"/>
  <c r="L316" i="16"/>
  <c r="L317" i="16"/>
  <c r="L318" i="16"/>
  <c r="L319" i="16"/>
  <c r="L320" i="16"/>
  <c r="L321" i="16"/>
  <c r="L332" i="16"/>
  <c r="L333" i="16"/>
  <c r="L334" i="16"/>
  <c r="L335" i="16"/>
  <c r="L336" i="16"/>
  <c r="L337" i="16"/>
  <c r="L338" i="16"/>
  <c r="L339" i="16"/>
  <c r="L340" i="16"/>
  <c r="L341" i="16"/>
  <c r="L352" i="16"/>
  <c r="L353" i="16"/>
  <c r="L354" i="16"/>
  <c r="L355" i="16"/>
  <c r="L356" i="16"/>
  <c r="L357" i="16"/>
  <c r="L358" i="16"/>
  <c r="L359" i="16"/>
  <c r="L360" i="16"/>
  <c r="L361" i="16"/>
  <c r="L372" i="16"/>
  <c r="L373" i="16"/>
  <c r="L374" i="16"/>
  <c r="L375" i="16"/>
  <c r="L376" i="16"/>
  <c r="L377" i="16"/>
  <c r="L378" i="16"/>
  <c r="L379" i="16"/>
  <c r="L380" i="16"/>
  <c r="L381" i="16"/>
  <c r="L392" i="16"/>
  <c r="L393" i="16"/>
  <c r="L394" i="16"/>
  <c r="L395" i="16"/>
  <c r="L396" i="16"/>
  <c r="L397" i="16"/>
  <c r="L398" i="16"/>
  <c r="L399" i="16"/>
  <c r="L400" i="16"/>
  <c r="L401" i="16"/>
  <c r="L412" i="16"/>
  <c r="L413" i="16"/>
  <c r="L414" i="16"/>
  <c r="L415" i="16"/>
  <c r="L416" i="16"/>
  <c r="L417" i="16"/>
  <c r="L418" i="16"/>
  <c r="L419" i="16"/>
  <c r="L420" i="16"/>
  <c r="L421" i="16"/>
  <c r="L432" i="16"/>
  <c r="L433" i="16"/>
  <c r="L434" i="16"/>
  <c r="L435" i="16"/>
  <c r="L436" i="16"/>
  <c r="L437" i="16"/>
  <c r="L438" i="16"/>
  <c r="L439" i="16"/>
  <c r="L440" i="16"/>
  <c r="L441" i="16"/>
  <c r="L452" i="16"/>
  <c r="L453" i="16"/>
  <c r="L454" i="16"/>
  <c r="L455" i="16"/>
  <c r="L456" i="16"/>
  <c r="L457" i="16"/>
  <c r="L458" i="16"/>
  <c r="L459" i="16"/>
  <c r="L460" i="16"/>
  <c r="L461" i="16"/>
  <c r="L472" i="16"/>
  <c r="L473" i="16"/>
  <c r="L474" i="16"/>
  <c r="L475" i="16"/>
  <c r="L476" i="16"/>
  <c r="L477" i="16"/>
  <c r="L478" i="16"/>
  <c r="L479" i="16"/>
  <c r="L480" i="16"/>
  <c r="L481" i="16"/>
  <c r="L492" i="16"/>
  <c r="L493" i="16"/>
  <c r="L494" i="16"/>
  <c r="L495" i="16"/>
  <c r="L496" i="16"/>
  <c r="L497" i="16"/>
  <c r="L498" i="16"/>
  <c r="L499" i="16"/>
  <c r="L500" i="16"/>
  <c r="L501" i="16"/>
  <c r="L512" i="16"/>
  <c r="L513" i="16"/>
  <c r="L514" i="16"/>
  <c r="L515" i="16"/>
  <c r="L516" i="16"/>
  <c r="L517" i="16"/>
  <c r="L518" i="16"/>
  <c r="L519" i="16"/>
  <c r="L520" i="16"/>
  <c r="L521" i="16"/>
  <c r="L532" i="16"/>
  <c r="L533" i="16"/>
  <c r="L534" i="16"/>
  <c r="L535" i="16"/>
  <c r="L536" i="16"/>
  <c r="L537" i="16"/>
  <c r="L538" i="16"/>
  <c r="L539" i="16"/>
  <c r="L540" i="16"/>
  <c r="L541" i="16"/>
  <c r="L552" i="16"/>
  <c r="L553" i="16"/>
  <c r="L554" i="16"/>
  <c r="L555" i="16"/>
  <c r="L556" i="16"/>
  <c r="L557" i="16"/>
  <c r="L558" i="16"/>
  <c r="L559" i="16"/>
  <c r="L560" i="16"/>
  <c r="L561" i="16"/>
  <c r="L572" i="16"/>
  <c r="L573" i="16"/>
  <c r="L574" i="16"/>
  <c r="L575" i="16"/>
  <c r="L576" i="16"/>
  <c r="L577" i="16"/>
  <c r="L578" i="16"/>
  <c r="L579" i="16"/>
  <c r="L580" i="16"/>
  <c r="L581" i="16"/>
  <c r="L592" i="16"/>
  <c r="L593" i="16"/>
  <c r="L594" i="16"/>
  <c r="L595" i="16"/>
  <c r="L596" i="16"/>
  <c r="L597" i="16"/>
  <c r="L598" i="16"/>
  <c r="L599" i="16"/>
  <c r="L600" i="16"/>
  <c r="L601" i="16"/>
  <c r="L612" i="16"/>
  <c r="L613" i="16"/>
  <c r="L614" i="16"/>
  <c r="L615" i="16"/>
  <c r="L616" i="16"/>
  <c r="L617" i="16"/>
  <c r="L618" i="16"/>
  <c r="L619" i="16"/>
  <c r="L620" i="16"/>
  <c r="L621" i="16"/>
  <c r="L632" i="16"/>
  <c r="L633" i="16"/>
  <c r="L634" i="16"/>
  <c r="L635" i="16"/>
  <c r="L636" i="16"/>
  <c r="L637" i="16"/>
  <c r="L638" i="16"/>
  <c r="L639" i="16"/>
  <c r="L640" i="16"/>
  <c r="L641" i="16"/>
  <c r="L652" i="16"/>
  <c r="L653" i="16"/>
  <c r="L654" i="16"/>
  <c r="L655" i="16"/>
  <c r="L656" i="16"/>
  <c r="L657" i="16"/>
  <c r="L658" i="16"/>
  <c r="L659" i="16"/>
  <c r="L660" i="16"/>
  <c r="L661" i="16"/>
  <c r="L672" i="16"/>
  <c r="L673" i="16"/>
  <c r="L674" i="16"/>
  <c r="L675" i="16"/>
  <c r="L676" i="16"/>
  <c r="L677" i="16"/>
  <c r="L678" i="16"/>
  <c r="L679" i="16"/>
  <c r="L680" i="16"/>
  <c r="L681" i="16"/>
  <c r="L692" i="16"/>
  <c r="L693" i="16"/>
  <c r="L694" i="16"/>
  <c r="L695" i="16"/>
  <c r="L696" i="16"/>
  <c r="L697" i="16"/>
  <c r="L698" i="16"/>
  <c r="L699" i="16"/>
  <c r="L700" i="16"/>
  <c r="L701" i="16"/>
  <c r="L712" i="16"/>
  <c r="L713" i="16"/>
  <c r="L714" i="16"/>
  <c r="L715" i="16"/>
  <c r="L716" i="16"/>
  <c r="L717" i="16"/>
  <c r="L718" i="16"/>
  <c r="L719" i="16"/>
  <c r="L720" i="16"/>
  <c r="L721" i="16"/>
  <c r="L732" i="16"/>
  <c r="L733" i="16"/>
  <c r="L734" i="16"/>
  <c r="L735" i="16"/>
  <c r="L736" i="16"/>
  <c r="L737" i="16"/>
  <c r="L738" i="16"/>
  <c r="L739" i="16"/>
  <c r="L740" i="16"/>
  <c r="L741" i="16"/>
  <c r="L752" i="16"/>
  <c r="L753" i="16"/>
  <c r="L754" i="16"/>
  <c r="L755" i="16"/>
  <c r="L756" i="16"/>
  <c r="L757" i="16"/>
  <c r="L758" i="16"/>
  <c r="L759" i="16"/>
  <c r="L760" i="16"/>
  <c r="L761" i="16"/>
  <c r="M2" i="16"/>
  <c r="M22" i="16"/>
  <c r="M3" i="16"/>
  <c r="M4" i="16"/>
  <c r="M5" i="16"/>
  <c r="M6" i="16"/>
  <c r="M23" i="16"/>
  <c r="M24" i="16"/>
  <c r="M25" i="16"/>
  <c r="M7" i="16"/>
  <c r="M8" i="16"/>
  <c r="M42" i="16"/>
  <c r="M9" i="16"/>
  <c r="M10" i="16"/>
  <c r="M11" i="16"/>
  <c r="M26" i="16"/>
  <c r="M27" i="16"/>
  <c r="M28" i="16"/>
  <c r="M29" i="16"/>
  <c r="M30" i="16"/>
  <c r="M31" i="16"/>
  <c r="M43" i="16"/>
  <c r="M44" i="16"/>
  <c r="M45" i="16"/>
  <c r="M46" i="16"/>
  <c r="M47" i="16"/>
  <c r="M48" i="16"/>
  <c r="M49" i="16"/>
  <c r="M50" i="16"/>
  <c r="M51" i="16"/>
  <c r="M62" i="16"/>
  <c r="M63" i="16"/>
  <c r="M64" i="16"/>
  <c r="M65" i="16"/>
  <c r="M66" i="16"/>
  <c r="M67" i="16"/>
  <c r="M68" i="16"/>
  <c r="M69" i="16"/>
  <c r="M70" i="16"/>
  <c r="M71" i="16"/>
  <c r="M82" i="16"/>
  <c r="M83" i="16"/>
  <c r="M84" i="16"/>
  <c r="M85" i="16"/>
  <c r="M86" i="16"/>
  <c r="M87" i="16"/>
  <c r="M88" i="16"/>
  <c r="M89" i="16"/>
  <c r="M90" i="16"/>
  <c r="M91" i="16"/>
  <c r="M102" i="16"/>
  <c r="M103" i="16"/>
  <c r="M104" i="16"/>
  <c r="M105" i="16"/>
  <c r="M106" i="16"/>
  <c r="M107" i="16"/>
  <c r="M108" i="16"/>
  <c r="M109" i="16"/>
  <c r="M110" i="16"/>
  <c r="M111" i="16"/>
  <c r="M122" i="16"/>
  <c r="M123" i="16"/>
  <c r="M124" i="16"/>
  <c r="M125" i="16"/>
  <c r="M126" i="16"/>
  <c r="M127" i="16"/>
  <c r="M128" i="16"/>
  <c r="M129" i="16"/>
  <c r="M130" i="16"/>
  <c r="M131" i="16"/>
  <c r="M142" i="16"/>
  <c r="M143" i="16"/>
  <c r="M144" i="16"/>
  <c r="M145" i="16"/>
  <c r="M146" i="16"/>
  <c r="M147" i="16"/>
  <c r="M148" i="16"/>
  <c r="M149" i="16"/>
  <c r="M150" i="16"/>
  <c r="M151" i="16"/>
  <c r="M162" i="16"/>
  <c r="M163" i="16"/>
  <c r="M164" i="16"/>
  <c r="M165" i="16"/>
  <c r="M166" i="16"/>
  <c r="M167" i="16"/>
  <c r="M168" i="16"/>
  <c r="M169" i="16"/>
  <c r="M170" i="16"/>
  <c r="M171" i="16"/>
  <c r="M182" i="16"/>
  <c r="M183" i="16"/>
  <c r="M184" i="16"/>
  <c r="M185" i="16"/>
  <c r="M186" i="16"/>
  <c r="M187" i="16"/>
  <c r="M188" i="16"/>
  <c r="M189" i="16"/>
  <c r="M190" i="16"/>
  <c r="M191" i="16"/>
  <c r="M202" i="16"/>
  <c r="M203" i="16"/>
  <c r="M204" i="16"/>
  <c r="M205" i="16"/>
  <c r="M206" i="16"/>
  <c r="M207" i="16"/>
  <c r="M208" i="16"/>
  <c r="M209" i="16"/>
  <c r="M210" i="16"/>
  <c r="M211" i="16"/>
  <c r="M222" i="16"/>
  <c r="M223" i="16"/>
  <c r="M224" i="16"/>
  <c r="M225" i="16"/>
  <c r="M226" i="16"/>
  <c r="M227" i="16"/>
  <c r="M228" i="16"/>
  <c r="M229" i="16"/>
  <c r="M230" i="16"/>
  <c r="M231" i="16"/>
  <c r="M242" i="16"/>
  <c r="M243" i="16"/>
  <c r="M244" i="16"/>
  <c r="M245" i="16"/>
  <c r="M246" i="16"/>
  <c r="M247" i="16"/>
  <c r="M248" i="16"/>
  <c r="M249" i="16"/>
  <c r="M250" i="16"/>
  <c r="M251" i="16"/>
  <c r="M262" i="16"/>
  <c r="M263" i="16"/>
  <c r="M264" i="16"/>
  <c r="M265" i="16"/>
  <c r="M266" i="16"/>
  <c r="M267" i="16"/>
  <c r="M268" i="16"/>
  <c r="M269" i="16"/>
  <c r="M270" i="16"/>
  <c r="M271" i="16"/>
  <c r="M282" i="16"/>
  <c r="M283" i="16"/>
  <c r="M284" i="16"/>
  <c r="M285" i="16"/>
  <c r="M286" i="16"/>
  <c r="M287" i="16"/>
  <c r="M288" i="16"/>
  <c r="M289" i="16"/>
  <c r="M290" i="16"/>
  <c r="M291" i="16"/>
  <c r="M302" i="16"/>
  <c r="M303" i="16"/>
  <c r="M304" i="16"/>
  <c r="M305" i="16"/>
  <c r="M306" i="16"/>
  <c r="M307" i="16"/>
  <c r="M308" i="16"/>
  <c r="M309" i="16"/>
  <c r="M310" i="16"/>
  <c r="M311" i="16"/>
  <c r="M322" i="16"/>
  <c r="M323" i="16"/>
  <c r="M324" i="16"/>
  <c r="M325" i="16"/>
  <c r="M326" i="16"/>
  <c r="M327" i="16"/>
  <c r="M328" i="16"/>
  <c r="M329" i="16"/>
  <c r="M330" i="16"/>
  <c r="M331" i="16"/>
  <c r="M342" i="16"/>
  <c r="M343" i="16"/>
  <c r="M344" i="16"/>
  <c r="M345" i="16"/>
  <c r="M346" i="16"/>
  <c r="M347" i="16"/>
  <c r="M348" i="16"/>
  <c r="M349" i="16"/>
  <c r="M350" i="16"/>
  <c r="M351" i="16"/>
  <c r="M362" i="16"/>
  <c r="M363" i="16"/>
  <c r="M364" i="16"/>
  <c r="M365" i="16"/>
  <c r="M366" i="16"/>
  <c r="M367" i="16"/>
  <c r="M368" i="16"/>
  <c r="M369" i="16"/>
  <c r="M370" i="16"/>
  <c r="M371" i="16"/>
  <c r="M382" i="16"/>
  <c r="M383" i="16"/>
  <c r="M384" i="16"/>
  <c r="M385" i="16"/>
  <c r="M386" i="16"/>
  <c r="M387" i="16"/>
  <c r="M388" i="16"/>
  <c r="M389" i="16"/>
  <c r="M390" i="16"/>
  <c r="M391" i="16"/>
  <c r="M402" i="16"/>
  <c r="M403" i="16"/>
  <c r="M404" i="16"/>
  <c r="M405" i="16"/>
  <c r="M406" i="16"/>
  <c r="M407" i="16"/>
  <c r="M408" i="16"/>
  <c r="M409" i="16"/>
  <c r="M410" i="16"/>
  <c r="M411" i="16"/>
  <c r="M422" i="16"/>
  <c r="M423" i="16"/>
  <c r="M424" i="16"/>
  <c r="M425" i="16"/>
  <c r="M426" i="16"/>
  <c r="M427" i="16"/>
  <c r="M428" i="16"/>
  <c r="M429" i="16"/>
  <c r="M430" i="16"/>
  <c r="M431" i="16"/>
  <c r="M442" i="16"/>
  <c r="M443" i="16"/>
  <c r="M444" i="16"/>
  <c r="M445" i="16"/>
  <c r="M446" i="16"/>
  <c r="M447" i="16"/>
  <c r="M448" i="16"/>
  <c r="M449" i="16"/>
  <c r="M450" i="16"/>
  <c r="M451" i="16"/>
  <c r="M462" i="16"/>
  <c r="M463" i="16"/>
  <c r="M464" i="16"/>
  <c r="M465" i="16"/>
  <c r="M466" i="16"/>
  <c r="M467" i="16"/>
  <c r="M468" i="16"/>
  <c r="M469" i="16"/>
  <c r="M470" i="16"/>
  <c r="M471" i="16"/>
  <c r="M482" i="16"/>
  <c r="M483" i="16"/>
  <c r="M484" i="16"/>
  <c r="M485" i="16"/>
  <c r="M486" i="16"/>
  <c r="M487" i="16"/>
  <c r="M488" i="16"/>
  <c r="M489" i="16"/>
  <c r="M490" i="16"/>
  <c r="M491" i="16"/>
  <c r="M502" i="16"/>
  <c r="M503" i="16"/>
  <c r="M504" i="16"/>
  <c r="M505" i="16"/>
  <c r="M506" i="16"/>
  <c r="M507" i="16"/>
  <c r="M508" i="16"/>
  <c r="M509" i="16"/>
  <c r="M510" i="16"/>
  <c r="M511" i="16"/>
  <c r="M522" i="16"/>
  <c r="M523" i="16"/>
  <c r="M524" i="16"/>
  <c r="M525" i="16"/>
  <c r="M526" i="16"/>
  <c r="M527" i="16"/>
  <c r="M528" i="16"/>
  <c r="M529" i="16"/>
  <c r="M530" i="16"/>
  <c r="M531" i="16"/>
  <c r="M542" i="16"/>
  <c r="M543" i="16"/>
  <c r="M544" i="16"/>
  <c r="M545" i="16"/>
  <c r="M546" i="16"/>
  <c r="M547" i="16"/>
  <c r="M548" i="16"/>
  <c r="M549" i="16"/>
  <c r="M550" i="16"/>
  <c r="M551" i="16"/>
  <c r="M562" i="16"/>
  <c r="M563" i="16"/>
  <c r="M564" i="16"/>
  <c r="M565" i="16"/>
  <c r="M566" i="16"/>
  <c r="M567" i="16"/>
  <c r="M568" i="16"/>
  <c r="M569" i="16"/>
  <c r="M570" i="16"/>
  <c r="M571" i="16"/>
  <c r="M582" i="16"/>
  <c r="M583" i="16"/>
  <c r="M584" i="16"/>
  <c r="M585" i="16"/>
  <c r="M586" i="16"/>
  <c r="M587" i="16"/>
  <c r="M588" i="16"/>
  <c r="M589" i="16"/>
  <c r="M590" i="16"/>
  <c r="M591" i="16"/>
  <c r="M602" i="16"/>
  <c r="M603" i="16"/>
  <c r="M604" i="16"/>
  <c r="M605" i="16"/>
  <c r="M606" i="16"/>
  <c r="M607" i="16"/>
  <c r="M608" i="16"/>
  <c r="M609" i="16"/>
  <c r="M610" i="16"/>
  <c r="M611" i="16"/>
  <c r="M622" i="16"/>
  <c r="M623" i="16"/>
  <c r="M624" i="16"/>
  <c r="M625" i="16"/>
  <c r="M626" i="16"/>
  <c r="M627" i="16"/>
  <c r="M628" i="16"/>
  <c r="M629" i="16"/>
  <c r="M630" i="16"/>
  <c r="M631" i="16"/>
  <c r="M642" i="16"/>
  <c r="M643" i="16"/>
  <c r="M644" i="16"/>
  <c r="M645" i="16"/>
  <c r="M646" i="16"/>
  <c r="M647" i="16"/>
  <c r="M648" i="16"/>
  <c r="M649" i="16"/>
  <c r="M650" i="16"/>
  <c r="M651" i="16"/>
  <c r="M662" i="16"/>
  <c r="M663" i="16"/>
  <c r="M664" i="16"/>
  <c r="M665" i="16"/>
  <c r="M666" i="16"/>
  <c r="M667" i="16"/>
  <c r="M668" i="16"/>
  <c r="M669" i="16"/>
  <c r="M670" i="16"/>
  <c r="M671" i="16"/>
  <c r="M682" i="16"/>
  <c r="M683" i="16"/>
  <c r="M684" i="16"/>
  <c r="M685" i="16"/>
  <c r="M686" i="16"/>
  <c r="M687" i="16"/>
  <c r="M688" i="16"/>
  <c r="M689" i="16"/>
  <c r="M690" i="16"/>
  <c r="M691" i="16"/>
  <c r="M702" i="16"/>
  <c r="M703" i="16"/>
  <c r="M704" i="16"/>
  <c r="M705" i="16"/>
  <c r="M706" i="16"/>
  <c r="M707" i="16"/>
  <c r="M708" i="16"/>
  <c r="M709" i="16"/>
  <c r="M710" i="16"/>
  <c r="M711" i="16"/>
  <c r="M722" i="16"/>
  <c r="M723" i="16"/>
  <c r="M724" i="16"/>
  <c r="M725" i="16"/>
  <c r="M726" i="16"/>
  <c r="M727" i="16"/>
  <c r="M728" i="16"/>
  <c r="M729" i="16"/>
  <c r="M730" i="16"/>
  <c r="M731" i="16"/>
  <c r="M742" i="16"/>
  <c r="M743" i="16"/>
  <c r="M744" i="16"/>
  <c r="M745" i="16"/>
  <c r="M746" i="16"/>
  <c r="M747" i="16"/>
  <c r="M748" i="16"/>
  <c r="M749" i="16"/>
  <c r="M750" i="16"/>
  <c r="M751" i="16"/>
  <c r="M12" i="16"/>
  <c r="M32" i="16"/>
  <c r="M13" i="16"/>
  <c r="M33" i="16"/>
  <c r="M14" i="16"/>
  <c r="M15" i="16"/>
  <c r="M16" i="16"/>
  <c r="M17" i="16"/>
  <c r="M34" i="16"/>
  <c r="M18" i="16"/>
  <c r="M52" i="16"/>
  <c r="M35" i="16"/>
  <c r="M36" i="16"/>
  <c r="M37" i="16"/>
  <c r="M19" i="16"/>
  <c r="M20" i="16"/>
  <c r="M21" i="16"/>
  <c r="M38" i="16"/>
  <c r="M39" i="16"/>
  <c r="M40" i="16"/>
  <c r="M41" i="16"/>
  <c r="M53" i="16"/>
  <c r="M54" i="16"/>
  <c r="M55" i="16"/>
  <c r="M56" i="16"/>
  <c r="M57" i="16"/>
  <c r="M58" i="16"/>
  <c r="M59" i="16"/>
  <c r="M60" i="16"/>
  <c r="M61" i="16"/>
  <c r="M72" i="16"/>
  <c r="M73" i="16"/>
  <c r="M74" i="16"/>
  <c r="M75" i="16"/>
  <c r="M76" i="16"/>
  <c r="M77" i="16"/>
  <c r="M78" i="16"/>
  <c r="M79" i="16"/>
  <c r="M80" i="16"/>
  <c r="M81" i="16"/>
  <c r="M92" i="16"/>
  <c r="M93" i="16"/>
  <c r="M94" i="16"/>
  <c r="M95" i="16"/>
  <c r="M96" i="16"/>
  <c r="M97" i="16"/>
  <c r="M98" i="16"/>
  <c r="M99" i="16"/>
  <c r="M100" i="16"/>
  <c r="M101" i="16"/>
  <c r="M112" i="16"/>
  <c r="M113" i="16"/>
  <c r="M114" i="16"/>
  <c r="M115" i="16"/>
  <c r="M116" i="16"/>
  <c r="M117" i="16"/>
  <c r="M118" i="16"/>
  <c r="M119" i="16"/>
  <c r="M120" i="16"/>
  <c r="M121" i="16"/>
  <c r="M132" i="16"/>
  <c r="M133" i="16"/>
  <c r="M134" i="16"/>
  <c r="M135" i="16"/>
  <c r="M136" i="16"/>
  <c r="M137" i="16"/>
  <c r="M138" i="16"/>
  <c r="M139" i="16"/>
  <c r="M140" i="16"/>
  <c r="M141" i="16"/>
  <c r="M152" i="16"/>
  <c r="M153" i="16"/>
  <c r="M154" i="16"/>
  <c r="M155" i="16"/>
  <c r="M156" i="16"/>
  <c r="M157" i="16"/>
  <c r="M158" i="16"/>
  <c r="M159" i="16"/>
  <c r="M160" i="16"/>
  <c r="M161" i="16"/>
  <c r="M172" i="16"/>
  <c r="M173" i="16"/>
  <c r="M174" i="16"/>
  <c r="M175" i="16"/>
  <c r="M176" i="16"/>
  <c r="M177" i="16"/>
  <c r="M178" i="16"/>
  <c r="M179" i="16"/>
  <c r="M180" i="16"/>
  <c r="M181" i="16"/>
  <c r="M192" i="16"/>
  <c r="M193" i="16"/>
  <c r="M194" i="16"/>
  <c r="M195" i="16"/>
  <c r="M196" i="16"/>
  <c r="M197" i="16"/>
  <c r="M198" i="16"/>
  <c r="M199" i="16"/>
  <c r="M200" i="16"/>
  <c r="M201" i="16"/>
  <c r="M212" i="16"/>
  <c r="M213" i="16"/>
  <c r="M214" i="16"/>
  <c r="M215" i="16"/>
  <c r="M216" i="16"/>
  <c r="M217" i="16"/>
  <c r="M218" i="16"/>
  <c r="M219" i="16"/>
  <c r="M220" i="16"/>
  <c r="M221" i="16"/>
  <c r="M232" i="16"/>
  <c r="M233" i="16"/>
  <c r="M234" i="16"/>
  <c r="M235" i="16"/>
  <c r="M236" i="16"/>
  <c r="M237" i="16"/>
  <c r="M238" i="16"/>
  <c r="M239" i="16"/>
  <c r="M240" i="16"/>
  <c r="M241" i="16"/>
  <c r="M252" i="16"/>
  <c r="M253" i="16"/>
  <c r="M254" i="16"/>
  <c r="M255" i="16"/>
  <c r="M256" i="16"/>
  <c r="M257" i="16"/>
  <c r="M258" i="16"/>
  <c r="M259" i="16"/>
  <c r="M260" i="16"/>
  <c r="M261" i="16"/>
  <c r="M272" i="16"/>
  <c r="M273" i="16"/>
  <c r="M274" i="16"/>
  <c r="M275" i="16"/>
  <c r="M276" i="16"/>
  <c r="M277" i="16"/>
  <c r="M278" i="16"/>
  <c r="M279" i="16"/>
  <c r="M280" i="16"/>
  <c r="M281" i="16"/>
  <c r="M292" i="16"/>
  <c r="M293" i="16"/>
  <c r="M294" i="16"/>
  <c r="M295" i="16"/>
  <c r="M296" i="16"/>
  <c r="M297" i="16"/>
  <c r="M298" i="16"/>
  <c r="M299" i="16"/>
  <c r="M300" i="16"/>
  <c r="M301" i="16"/>
  <c r="M312" i="16"/>
  <c r="M313" i="16"/>
  <c r="M314" i="16"/>
  <c r="M315" i="16"/>
  <c r="M316" i="16"/>
  <c r="M317" i="16"/>
  <c r="M318" i="16"/>
  <c r="M319" i="16"/>
  <c r="M320" i="16"/>
  <c r="M321" i="16"/>
  <c r="M332" i="16"/>
  <c r="M333" i="16"/>
  <c r="M334" i="16"/>
  <c r="M335" i="16"/>
  <c r="M336" i="16"/>
  <c r="M337" i="16"/>
  <c r="M338" i="16"/>
  <c r="M339" i="16"/>
  <c r="M340" i="16"/>
  <c r="M341" i="16"/>
  <c r="M352" i="16"/>
  <c r="M353" i="16"/>
  <c r="M354" i="16"/>
  <c r="M355" i="16"/>
  <c r="M356" i="16"/>
  <c r="M357" i="16"/>
  <c r="M358" i="16"/>
  <c r="M359" i="16"/>
  <c r="M360" i="16"/>
  <c r="M361" i="16"/>
  <c r="M372" i="16"/>
  <c r="M373" i="16"/>
  <c r="M374" i="16"/>
  <c r="M375" i="16"/>
  <c r="M376" i="16"/>
  <c r="M377" i="16"/>
  <c r="M378" i="16"/>
  <c r="M379" i="16"/>
  <c r="M380" i="16"/>
  <c r="M381" i="16"/>
  <c r="M392" i="16"/>
  <c r="M393" i="16"/>
  <c r="M394" i="16"/>
  <c r="M395" i="16"/>
  <c r="M396" i="16"/>
  <c r="M397" i="16"/>
  <c r="M398" i="16"/>
  <c r="M399" i="16"/>
  <c r="M400" i="16"/>
  <c r="M401" i="16"/>
  <c r="M412" i="16"/>
  <c r="M413" i="16"/>
  <c r="M414" i="16"/>
  <c r="M415" i="16"/>
  <c r="M416" i="16"/>
  <c r="M417" i="16"/>
  <c r="M418" i="16"/>
  <c r="M419" i="16"/>
  <c r="M420" i="16"/>
  <c r="M421" i="16"/>
  <c r="M432" i="16"/>
  <c r="M433" i="16"/>
  <c r="M434" i="16"/>
  <c r="M435" i="16"/>
  <c r="M436" i="16"/>
  <c r="M437" i="16"/>
  <c r="M438" i="16"/>
  <c r="M439" i="16"/>
  <c r="M440" i="16"/>
  <c r="M441" i="16"/>
  <c r="M452" i="16"/>
  <c r="M453" i="16"/>
  <c r="M454" i="16"/>
  <c r="M455" i="16"/>
  <c r="M456" i="16"/>
  <c r="M457" i="16"/>
  <c r="M458" i="16"/>
  <c r="M459" i="16"/>
  <c r="M460" i="16"/>
  <c r="M461" i="16"/>
  <c r="M472" i="16"/>
  <c r="M473" i="16"/>
  <c r="M474" i="16"/>
  <c r="M475" i="16"/>
  <c r="M476" i="16"/>
  <c r="M477" i="16"/>
  <c r="M478" i="16"/>
  <c r="M479" i="16"/>
  <c r="M480" i="16"/>
  <c r="M481" i="16"/>
  <c r="M492" i="16"/>
  <c r="M493" i="16"/>
  <c r="M494" i="16"/>
  <c r="M495" i="16"/>
  <c r="M496" i="16"/>
  <c r="M497" i="16"/>
  <c r="M498" i="16"/>
  <c r="M499" i="16"/>
  <c r="M500" i="16"/>
  <c r="M501" i="16"/>
  <c r="M512" i="16"/>
  <c r="M513" i="16"/>
  <c r="M514" i="16"/>
  <c r="M515" i="16"/>
  <c r="M516" i="16"/>
  <c r="M517" i="16"/>
  <c r="M518" i="16"/>
  <c r="M519" i="16"/>
  <c r="M520" i="16"/>
  <c r="M521" i="16"/>
  <c r="M532" i="16"/>
  <c r="M533" i="16"/>
  <c r="M534" i="16"/>
  <c r="M535" i="16"/>
  <c r="M536" i="16"/>
  <c r="M537" i="16"/>
  <c r="M538" i="16"/>
  <c r="M539" i="16"/>
  <c r="M540" i="16"/>
  <c r="M541" i="16"/>
  <c r="M552" i="16"/>
  <c r="M553" i="16"/>
  <c r="M554" i="16"/>
  <c r="M555" i="16"/>
  <c r="M556" i="16"/>
  <c r="M557" i="16"/>
  <c r="M558" i="16"/>
  <c r="M559" i="16"/>
  <c r="M560" i="16"/>
  <c r="M561" i="16"/>
  <c r="M572" i="16"/>
  <c r="M573" i="16"/>
  <c r="M574" i="16"/>
  <c r="M575" i="16"/>
  <c r="M576" i="16"/>
  <c r="M577" i="16"/>
  <c r="M578" i="16"/>
  <c r="M579" i="16"/>
  <c r="M580" i="16"/>
  <c r="M581" i="16"/>
  <c r="M592" i="16"/>
  <c r="M593" i="16"/>
  <c r="M594" i="16"/>
  <c r="M595" i="16"/>
  <c r="M596" i="16"/>
  <c r="M597" i="16"/>
  <c r="M598" i="16"/>
  <c r="M599" i="16"/>
  <c r="M600" i="16"/>
  <c r="M601" i="16"/>
  <c r="M612" i="16"/>
  <c r="M613" i="16"/>
  <c r="M614" i="16"/>
  <c r="M615" i="16"/>
  <c r="M616" i="16"/>
  <c r="M617" i="16"/>
  <c r="M618" i="16"/>
  <c r="M619" i="16"/>
  <c r="M620" i="16"/>
  <c r="M621" i="16"/>
  <c r="M632" i="16"/>
  <c r="M633" i="16"/>
  <c r="M634" i="16"/>
  <c r="M635" i="16"/>
  <c r="M636" i="16"/>
  <c r="M637" i="16"/>
  <c r="M638" i="16"/>
  <c r="M639" i="16"/>
  <c r="M640" i="16"/>
  <c r="M641" i="16"/>
  <c r="M652" i="16"/>
  <c r="M653" i="16"/>
  <c r="M654" i="16"/>
  <c r="M655" i="16"/>
  <c r="M656" i="16"/>
  <c r="M657" i="16"/>
  <c r="M658" i="16"/>
  <c r="M659" i="16"/>
  <c r="M660" i="16"/>
  <c r="M661" i="16"/>
  <c r="M672" i="16"/>
  <c r="M673" i="16"/>
  <c r="M674" i="16"/>
  <c r="M675" i="16"/>
  <c r="M676" i="16"/>
  <c r="M677" i="16"/>
  <c r="M678" i="16"/>
  <c r="M679" i="16"/>
  <c r="M680" i="16"/>
  <c r="M681" i="16"/>
  <c r="M692" i="16"/>
  <c r="M693" i="16"/>
  <c r="M694" i="16"/>
  <c r="M695" i="16"/>
  <c r="M696" i="16"/>
  <c r="M697" i="16"/>
  <c r="M698" i="16"/>
  <c r="M699" i="16"/>
  <c r="M700" i="16"/>
  <c r="M701" i="16"/>
  <c r="M712" i="16"/>
  <c r="M713" i="16"/>
  <c r="M714" i="16"/>
  <c r="M715" i="16"/>
  <c r="M716" i="16"/>
  <c r="M717" i="16"/>
  <c r="M718" i="16"/>
  <c r="M719" i="16"/>
  <c r="M720" i="16"/>
  <c r="M721" i="16"/>
  <c r="M732" i="16"/>
  <c r="M733" i="16"/>
  <c r="M734" i="16"/>
  <c r="M735" i="16"/>
  <c r="M736" i="16"/>
  <c r="M737" i="16"/>
  <c r="M738" i="16"/>
  <c r="M739" i="16"/>
  <c r="M740" i="16"/>
  <c r="M741" i="16"/>
  <c r="M752" i="16"/>
  <c r="M753" i="16"/>
  <c r="M754" i="16"/>
  <c r="M755" i="16"/>
  <c r="M756" i="16"/>
  <c r="M757" i="16"/>
  <c r="M758" i="16"/>
  <c r="M759" i="16"/>
  <c r="M760" i="16"/>
  <c r="M761" i="16"/>
  <c r="N2" i="16"/>
  <c r="N22" i="16"/>
  <c r="N3" i="16"/>
  <c r="N4" i="16"/>
  <c r="N5" i="16"/>
  <c r="N6" i="16"/>
  <c r="N23" i="16"/>
  <c r="N24" i="16"/>
  <c r="N25" i="16"/>
  <c r="N7" i="16"/>
  <c r="N8" i="16"/>
  <c r="N42" i="16"/>
  <c r="N9" i="16"/>
  <c r="N10" i="16"/>
  <c r="N11" i="16"/>
  <c r="N26" i="16"/>
  <c r="N27" i="16"/>
  <c r="N28" i="16"/>
  <c r="N29" i="16"/>
  <c r="N30" i="16"/>
  <c r="N31" i="16"/>
  <c r="N43" i="16"/>
  <c r="N44" i="16"/>
  <c r="N45" i="16"/>
  <c r="N46" i="16"/>
  <c r="N47" i="16"/>
  <c r="N48" i="16"/>
  <c r="N49" i="16"/>
  <c r="N50" i="16"/>
  <c r="N51" i="16"/>
  <c r="N62" i="16"/>
  <c r="N63" i="16"/>
  <c r="N64" i="16"/>
  <c r="N65" i="16"/>
  <c r="N66" i="16"/>
  <c r="N67" i="16"/>
  <c r="N68" i="16"/>
  <c r="N69" i="16"/>
  <c r="N70" i="16"/>
  <c r="N71" i="16"/>
  <c r="N82" i="16"/>
  <c r="N83" i="16"/>
  <c r="N84" i="16"/>
  <c r="N85" i="16"/>
  <c r="N86" i="16"/>
  <c r="N87" i="16"/>
  <c r="N88" i="16"/>
  <c r="N89" i="16"/>
  <c r="N90" i="16"/>
  <c r="N91" i="16"/>
  <c r="N102" i="16"/>
  <c r="N103" i="16"/>
  <c r="N104" i="16"/>
  <c r="N105" i="16"/>
  <c r="N106" i="16"/>
  <c r="N107" i="16"/>
  <c r="N108" i="16"/>
  <c r="N109" i="16"/>
  <c r="N110" i="16"/>
  <c r="N111" i="16"/>
  <c r="N122" i="16"/>
  <c r="N123" i="16"/>
  <c r="N124" i="16"/>
  <c r="N125" i="16"/>
  <c r="N126" i="16"/>
  <c r="N127" i="16"/>
  <c r="N128" i="16"/>
  <c r="N129" i="16"/>
  <c r="N130" i="16"/>
  <c r="N131" i="16"/>
  <c r="N142" i="16"/>
  <c r="N143" i="16"/>
  <c r="N144" i="16"/>
  <c r="N145" i="16"/>
  <c r="N146" i="16"/>
  <c r="N147" i="16"/>
  <c r="N148" i="16"/>
  <c r="N149" i="16"/>
  <c r="N150" i="16"/>
  <c r="N151" i="16"/>
  <c r="N162" i="16"/>
  <c r="N163" i="16"/>
  <c r="N164" i="16"/>
  <c r="N165" i="16"/>
  <c r="N166" i="16"/>
  <c r="N167" i="16"/>
  <c r="N168" i="16"/>
  <c r="N169" i="16"/>
  <c r="N170" i="16"/>
  <c r="N171" i="16"/>
  <c r="N182" i="16"/>
  <c r="N183" i="16"/>
  <c r="N184" i="16"/>
  <c r="N185" i="16"/>
  <c r="N186" i="16"/>
  <c r="N187" i="16"/>
  <c r="N188" i="16"/>
  <c r="N189" i="16"/>
  <c r="N190" i="16"/>
  <c r="N191" i="16"/>
  <c r="N202" i="16"/>
  <c r="N203" i="16"/>
  <c r="N204" i="16"/>
  <c r="N205" i="16"/>
  <c r="N206" i="16"/>
  <c r="N207" i="16"/>
  <c r="N208" i="16"/>
  <c r="N209" i="16"/>
  <c r="N210" i="16"/>
  <c r="N211" i="16"/>
  <c r="N222" i="16"/>
  <c r="N223" i="16"/>
  <c r="N224" i="16"/>
  <c r="N225" i="16"/>
  <c r="N226" i="16"/>
  <c r="N227" i="16"/>
  <c r="N228" i="16"/>
  <c r="N229" i="16"/>
  <c r="N230" i="16"/>
  <c r="N231" i="16"/>
  <c r="N242" i="16"/>
  <c r="N243" i="16"/>
  <c r="N244" i="16"/>
  <c r="N245" i="16"/>
  <c r="N246" i="16"/>
  <c r="N247" i="16"/>
  <c r="N248" i="16"/>
  <c r="N249" i="16"/>
  <c r="N250" i="16"/>
  <c r="N251" i="16"/>
  <c r="N262" i="16"/>
  <c r="N263" i="16"/>
  <c r="N264" i="16"/>
  <c r="N265" i="16"/>
  <c r="N266" i="16"/>
  <c r="N267" i="16"/>
  <c r="N268" i="16"/>
  <c r="N269" i="16"/>
  <c r="N270" i="16"/>
  <c r="N271" i="16"/>
  <c r="N282" i="16"/>
  <c r="N283" i="16"/>
  <c r="N284" i="16"/>
  <c r="N285" i="16"/>
  <c r="N286" i="16"/>
  <c r="N287" i="16"/>
  <c r="N288" i="16"/>
  <c r="N289" i="16"/>
  <c r="N290" i="16"/>
  <c r="N291" i="16"/>
  <c r="N302" i="16"/>
  <c r="N303" i="16"/>
  <c r="N304" i="16"/>
  <c r="N305" i="16"/>
  <c r="N306" i="16"/>
  <c r="N307" i="16"/>
  <c r="N308" i="16"/>
  <c r="N309" i="16"/>
  <c r="N310" i="16"/>
  <c r="N311" i="16"/>
  <c r="N322" i="16"/>
  <c r="N323" i="16"/>
  <c r="N324" i="16"/>
  <c r="N325" i="16"/>
  <c r="N326" i="16"/>
  <c r="N327" i="16"/>
  <c r="N328" i="16"/>
  <c r="N329" i="16"/>
  <c r="N330" i="16"/>
  <c r="N331" i="16"/>
  <c r="N342" i="16"/>
  <c r="N343" i="16"/>
  <c r="N344" i="16"/>
  <c r="N345" i="16"/>
  <c r="N346" i="16"/>
  <c r="N347" i="16"/>
  <c r="N348" i="16"/>
  <c r="N349" i="16"/>
  <c r="N350" i="16"/>
  <c r="N351" i="16"/>
  <c r="N362" i="16"/>
  <c r="N363" i="16"/>
  <c r="N364" i="16"/>
  <c r="N365" i="16"/>
  <c r="N366" i="16"/>
  <c r="N367" i="16"/>
  <c r="N368" i="16"/>
  <c r="N369" i="16"/>
  <c r="N370" i="16"/>
  <c r="N371" i="16"/>
  <c r="N382" i="16"/>
  <c r="N383" i="16"/>
  <c r="N384" i="16"/>
  <c r="N385" i="16"/>
  <c r="N386" i="16"/>
  <c r="N387" i="16"/>
  <c r="N388" i="16"/>
  <c r="N389" i="16"/>
  <c r="N390" i="16"/>
  <c r="N391" i="16"/>
  <c r="N402" i="16"/>
  <c r="N403" i="16"/>
  <c r="N404" i="16"/>
  <c r="N405" i="16"/>
  <c r="N406" i="16"/>
  <c r="N407" i="16"/>
  <c r="N408" i="16"/>
  <c r="N409" i="16"/>
  <c r="N410" i="16"/>
  <c r="N411" i="16"/>
  <c r="N422" i="16"/>
  <c r="N423" i="16"/>
  <c r="N424" i="16"/>
  <c r="N425" i="16"/>
  <c r="N426" i="16"/>
  <c r="N427" i="16"/>
  <c r="N428" i="16"/>
  <c r="N429" i="16"/>
  <c r="N430" i="16"/>
  <c r="N431" i="16"/>
  <c r="N442" i="16"/>
  <c r="N443" i="16"/>
  <c r="N444" i="16"/>
  <c r="N445" i="16"/>
  <c r="N446" i="16"/>
  <c r="N447" i="16"/>
  <c r="N448" i="16"/>
  <c r="N449" i="16"/>
  <c r="N450" i="16"/>
  <c r="N451" i="16"/>
  <c r="N462" i="16"/>
  <c r="N463" i="16"/>
  <c r="N464" i="16"/>
  <c r="N465" i="16"/>
  <c r="N466" i="16"/>
  <c r="N467" i="16"/>
  <c r="N468" i="16"/>
  <c r="N469" i="16"/>
  <c r="N470" i="16"/>
  <c r="N471" i="16"/>
  <c r="N482" i="16"/>
  <c r="N483" i="16"/>
  <c r="N484" i="16"/>
  <c r="N485" i="16"/>
  <c r="N486" i="16"/>
  <c r="N487" i="16"/>
  <c r="N488" i="16"/>
  <c r="N489" i="16"/>
  <c r="N490" i="16"/>
  <c r="N491" i="16"/>
  <c r="N502" i="16"/>
  <c r="N503" i="16"/>
  <c r="N504" i="16"/>
  <c r="N505" i="16"/>
  <c r="N506" i="16"/>
  <c r="N507" i="16"/>
  <c r="N508" i="16"/>
  <c r="N509" i="16"/>
  <c r="N510" i="16"/>
  <c r="N511" i="16"/>
  <c r="N522" i="16"/>
  <c r="N523" i="16"/>
  <c r="N524" i="16"/>
  <c r="N525" i="16"/>
  <c r="N526" i="16"/>
  <c r="N527" i="16"/>
  <c r="N528" i="16"/>
  <c r="N529" i="16"/>
  <c r="N530" i="16"/>
  <c r="N531" i="16"/>
  <c r="N542" i="16"/>
  <c r="N543" i="16"/>
  <c r="N544" i="16"/>
  <c r="N545" i="16"/>
  <c r="N546" i="16"/>
  <c r="N547" i="16"/>
  <c r="N548" i="16"/>
  <c r="N549" i="16"/>
  <c r="N550" i="16"/>
  <c r="N551" i="16"/>
  <c r="N562" i="16"/>
  <c r="N563" i="16"/>
  <c r="N564" i="16"/>
  <c r="N565" i="16"/>
  <c r="N566" i="16"/>
  <c r="N567" i="16"/>
  <c r="N568" i="16"/>
  <c r="N569" i="16"/>
  <c r="N570" i="16"/>
  <c r="N571" i="16"/>
  <c r="N582" i="16"/>
  <c r="N583" i="16"/>
  <c r="N584" i="16"/>
  <c r="N585" i="16"/>
  <c r="N586" i="16"/>
  <c r="N587" i="16"/>
  <c r="N588" i="16"/>
  <c r="N589" i="16"/>
  <c r="N590" i="16"/>
  <c r="N591" i="16"/>
  <c r="N602" i="16"/>
  <c r="N603" i="16"/>
  <c r="N604" i="16"/>
  <c r="N605" i="16"/>
  <c r="N606" i="16"/>
  <c r="N607" i="16"/>
  <c r="N608" i="16"/>
  <c r="N609" i="16"/>
  <c r="N610" i="16"/>
  <c r="N611" i="16"/>
  <c r="N622" i="16"/>
  <c r="N623" i="16"/>
  <c r="N624" i="16"/>
  <c r="N625" i="16"/>
  <c r="N626" i="16"/>
  <c r="N627" i="16"/>
  <c r="N628" i="16"/>
  <c r="N629" i="16"/>
  <c r="N630" i="16"/>
  <c r="N631" i="16"/>
  <c r="N642" i="16"/>
  <c r="N643" i="16"/>
  <c r="N644" i="16"/>
  <c r="N645" i="16"/>
  <c r="N646" i="16"/>
  <c r="N647" i="16"/>
  <c r="N648" i="16"/>
  <c r="N649" i="16"/>
  <c r="N650" i="16"/>
  <c r="N651" i="16"/>
  <c r="N662" i="16"/>
  <c r="N663" i="16"/>
  <c r="N664" i="16"/>
  <c r="N665" i="16"/>
  <c r="N666" i="16"/>
  <c r="N667" i="16"/>
  <c r="N668" i="16"/>
  <c r="N669" i="16"/>
  <c r="N670" i="16"/>
  <c r="N671" i="16"/>
  <c r="N682" i="16"/>
  <c r="N683" i="16"/>
  <c r="N684" i="16"/>
  <c r="N685" i="16"/>
  <c r="N686" i="16"/>
  <c r="N687" i="16"/>
  <c r="N688" i="16"/>
  <c r="N689" i="16"/>
  <c r="N690" i="16"/>
  <c r="N691" i="16"/>
  <c r="N702" i="16"/>
  <c r="N703" i="16"/>
  <c r="N704" i="16"/>
  <c r="N705" i="16"/>
  <c r="N706" i="16"/>
  <c r="N707" i="16"/>
  <c r="N708" i="16"/>
  <c r="N709" i="16"/>
  <c r="N710" i="16"/>
  <c r="N711" i="16"/>
  <c r="N722" i="16"/>
  <c r="N723" i="16"/>
  <c r="N724" i="16"/>
  <c r="N725" i="16"/>
  <c r="N726" i="16"/>
  <c r="N727" i="16"/>
  <c r="N728" i="16"/>
  <c r="N729" i="16"/>
  <c r="N730" i="16"/>
  <c r="N731" i="16"/>
  <c r="N742" i="16"/>
  <c r="N743" i="16"/>
  <c r="N744" i="16"/>
  <c r="N745" i="16"/>
  <c r="N746" i="16"/>
  <c r="N747" i="16"/>
  <c r="N748" i="16"/>
  <c r="N749" i="16"/>
  <c r="N750" i="16"/>
  <c r="N751" i="16"/>
  <c r="N12" i="16"/>
  <c r="N32" i="16"/>
  <c r="N13" i="16"/>
  <c r="N33" i="16"/>
  <c r="N14" i="16"/>
  <c r="N15" i="16"/>
  <c r="N16" i="16"/>
  <c r="N17" i="16"/>
  <c r="N34" i="16"/>
  <c r="N18" i="16"/>
  <c r="N52" i="16"/>
  <c r="N35" i="16"/>
  <c r="N36" i="16"/>
  <c r="N37" i="16"/>
  <c r="N19" i="16"/>
  <c r="N20" i="16"/>
  <c r="N21" i="16"/>
  <c r="N38" i="16"/>
  <c r="N39" i="16"/>
  <c r="N40" i="16"/>
  <c r="N41" i="16"/>
  <c r="N53" i="16"/>
  <c r="N54" i="16"/>
  <c r="N55" i="16"/>
  <c r="N56" i="16"/>
  <c r="N57" i="16"/>
  <c r="N58" i="16"/>
  <c r="N59" i="16"/>
  <c r="N60" i="16"/>
  <c r="N61" i="16"/>
  <c r="N72" i="16"/>
  <c r="N73" i="16"/>
  <c r="N74" i="16"/>
  <c r="N75" i="16"/>
  <c r="N76" i="16"/>
  <c r="N77" i="16"/>
  <c r="N78" i="16"/>
  <c r="N79" i="16"/>
  <c r="N80" i="16"/>
  <c r="N81" i="16"/>
  <c r="N92" i="16"/>
  <c r="N93" i="16"/>
  <c r="N94" i="16"/>
  <c r="N95" i="16"/>
  <c r="N96" i="16"/>
  <c r="N97" i="16"/>
  <c r="N98" i="16"/>
  <c r="N99" i="16"/>
  <c r="N100" i="16"/>
  <c r="N101" i="16"/>
  <c r="N112" i="16"/>
  <c r="N113" i="16"/>
  <c r="N114" i="16"/>
  <c r="N115" i="16"/>
  <c r="N116" i="16"/>
  <c r="N117" i="16"/>
  <c r="N118" i="16"/>
  <c r="N119" i="16"/>
  <c r="N120" i="16"/>
  <c r="N121" i="16"/>
  <c r="N132" i="16"/>
  <c r="N133" i="16"/>
  <c r="N134" i="16"/>
  <c r="N135" i="16"/>
  <c r="N136" i="16"/>
  <c r="N137" i="16"/>
  <c r="N138" i="16"/>
  <c r="N139" i="16"/>
  <c r="N140" i="16"/>
  <c r="N141" i="16"/>
  <c r="N152" i="16"/>
  <c r="N153" i="16"/>
  <c r="N154" i="16"/>
  <c r="N155" i="16"/>
  <c r="N156" i="16"/>
  <c r="N157" i="16"/>
  <c r="N158" i="16"/>
  <c r="N159" i="16"/>
  <c r="N160" i="16"/>
  <c r="N161" i="16"/>
  <c r="N172" i="16"/>
  <c r="N173" i="16"/>
  <c r="N174" i="16"/>
  <c r="N175" i="16"/>
  <c r="N176" i="16"/>
  <c r="N177" i="16"/>
  <c r="N178" i="16"/>
  <c r="N179" i="16"/>
  <c r="N180" i="16"/>
  <c r="N181" i="16"/>
  <c r="N192" i="16"/>
  <c r="N193" i="16"/>
  <c r="N194" i="16"/>
  <c r="N195" i="16"/>
  <c r="N196" i="16"/>
  <c r="N197" i="16"/>
  <c r="N198" i="16"/>
  <c r="N199" i="16"/>
  <c r="N200" i="16"/>
  <c r="N201" i="16"/>
  <c r="N212" i="16"/>
  <c r="N213" i="16"/>
  <c r="N214" i="16"/>
  <c r="N215" i="16"/>
  <c r="N216" i="16"/>
  <c r="N217" i="16"/>
  <c r="N218" i="16"/>
  <c r="N219" i="16"/>
  <c r="N220" i="16"/>
  <c r="N221" i="16"/>
  <c r="N232" i="16"/>
  <c r="N233" i="16"/>
  <c r="N234" i="16"/>
  <c r="N235" i="16"/>
  <c r="N236" i="16"/>
  <c r="N237" i="16"/>
  <c r="N238" i="16"/>
  <c r="N239" i="16"/>
  <c r="N240" i="16"/>
  <c r="N241" i="16"/>
  <c r="N252" i="16"/>
  <c r="N253" i="16"/>
  <c r="N254" i="16"/>
  <c r="N255" i="16"/>
  <c r="N256" i="16"/>
  <c r="N257" i="16"/>
  <c r="N258" i="16"/>
  <c r="N259" i="16"/>
  <c r="N260" i="16"/>
  <c r="N261" i="16"/>
  <c r="N272" i="16"/>
  <c r="N273" i="16"/>
  <c r="N274" i="16"/>
  <c r="N275" i="16"/>
  <c r="N276" i="16"/>
  <c r="N277" i="16"/>
  <c r="N278" i="16"/>
  <c r="N279" i="16"/>
  <c r="N280" i="16"/>
  <c r="N281" i="16"/>
  <c r="N292" i="16"/>
  <c r="N293" i="16"/>
  <c r="N294" i="16"/>
  <c r="N295" i="16"/>
  <c r="N296" i="16"/>
  <c r="N297" i="16"/>
  <c r="N298" i="16"/>
  <c r="N299" i="16"/>
  <c r="N300" i="16"/>
  <c r="N301" i="16"/>
  <c r="N312" i="16"/>
  <c r="N313" i="16"/>
  <c r="N314" i="16"/>
  <c r="N315" i="16"/>
  <c r="N316" i="16"/>
  <c r="N317" i="16"/>
  <c r="N318" i="16"/>
  <c r="N319" i="16"/>
  <c r="N320" i="16"/>
  <c r="N321" i="16"/>
  <c r="N332" i="16"/>
  <c r="N333" i="16"/>
  <c r="N334" i="16"/>
  <c r="N335" i="16"/>
  <c r="N336" i="16"/>
  <c r="N337" i="16"/>
  <c r="N338" i="16"/>
  <c r="N339" i="16"/>
  <c r="N340" i="16"/>
  <c r="N341" i="16"/>
  <c r="N352" i="16"/>
  <c r="N353" i="16"/>
  <c r="N354" i="16"/>
  <c r="N355" i="16"/>
  <c r="N356" i="16"/>
  <c r="N357" i="16"/>
  <c r="N358" i="16"/>
  <c r="N359" i="16"/>
  <c r="N360" i="16"/>
  <c r="N361" i="16"/>
  <c r="N372" i="16"/>
  <c r="N373" i="16"/>
  <c r="N374" i="16"/>
  <c r="N375" i="16"/>
  <c r="N376" i="16"/>
  <c r="N377" i="16"/>
  <c r="N378" i="16"/>
  <c r="N379" i="16"/>
  <c r="N380" i="16"/>
  <c r="N381" i="16"/>
  <c r="N392" i="16"/>
  <c r="N393" i="16"/>
  <c r="N394" i="16"/>
  <c r="N395" i="16"/>
  <c r="N396" i="16"/>
  <c r="N397" i="16"/>
  <c r="N398" i="16"/>
  <c r="N399" i="16"/>
  <c r="N400" i="16"/>
  <c r="N401" i="16"/>
  <c r="N412" i="16"/>
  <c r="N413" i="16"/>
  <c r="N414" i="16"/>
  <c r="N415" i="16"/>
  <c r="N416" i="16"/>
  <c r="N417" i="16"/>
  <c r="N418" i="16"/>
  <c r="N419" i="16"/>
  <c r="N420" i="16"/>
  <c r="N421" i="16"/>
  <c r="N432" i="16"/>
  <c r="N433" i="16"/>
  <c r="N434" i="16"/>
  <c r="N435" i="16"/>
  <c r="N436" i="16"/>
  <c r="N437" i="16"/>
  <c r="N438" i="16"/>
  <c r="N439" i="16"/>
  <c r="N440" i="16"/>
  <c r="N441" i="16"/>
  <c r="N452" i="16"/>
  <c r="N453" i="16"/>
  <c r="N454" i="16"/>
  <c r="N455" i="16"/>
  <c r="N456" i="16"/>
  <c r="N457" i="16"/>
  <c r="N458" i="16"/>
  <c r="N459" i="16"/>
  <c r="N460" i="16"/>
  <c r="N461" i="16"/>
  <c r="N472" i="16"/>
  <c r="N473" i="16"/>
  <c r="N474" i="16"/>
  <c r="N475" i="16"/>
  <c r="N476" i="16"/>
  <c r="N477" i="16"/>
  <c r="N478" i="16"/>
  <c r="N479" i="16"/>
  <c r="N480" i="16"/>
  <c r="N481" i="16"/>
  <c r="N492" i="16"/>
  <c r="N493" i="16"/>
  <c r="N494" i="16"/>
  <c r="N495" i="16"/>
  <c r="N496" i="16"/>
  <c r="N497" i="16"/>
  <c r="N498" i="16"/>
  <c r="N499" i="16"/>
  <c r="N500" i="16"/>
  <c r="N501" i="16"/>
  <c r="N512" i="16"/>
  <c r="N513" i="16"/>
  <c r="N514" i="16"/>
  <c r="N515" i="16"/>
  <c r="N516" i="16"/>
  <c r="N517" i="16"/>
  <c r="N518" i="16"/>
  <c r="N519" i="16"/>
  <c r="N520" i="16"/>
  <c r="N521" i="16"/>
  <c r="N532" i="16"/>
  <c r="N533" i="16"/>
  <c r="N534" i="16"/>
  <c r="N535" i="16"/>
  <c r="N536" i="16"/>
  <c r="N537" i="16"/>
  <c r="N538" i="16"/>
  <c r="N539" i="16"/>
  <c r="N540" i="16"/>
  <c r="N541" i="16"/>
  <c r="N552" i="16"/>
  <c r="N553" i="16"/>
  <c r="N554" i="16"/>
  <c r="N555" i="16"/>
  <c r="N556" i="16"/>
  <c r="N557" i="16"/>
  <c r="N558" i="16"/>
  <c r="N559" i="16"/>
  <c r="N560" i="16"/>
  <c r="N561" i="16"/>
  <c r="N572" i="16"/>
  <c r="N573" i="16"/>
  <c r="N574" i="16"/>
  <c r="N575" i="16"/>
  <c r="N576" i="16"/>
  <c r="N577" i="16"/>
  <c r="N578" i="16"/>
  <c r="N579" i="16"/>
  <c r="N580" i="16"/>
  <c r="N581" i="16"/>
  <c r="N592" i="16"/>
  <c r="N593" i="16"/>
  <c r="N594" i="16"/>
  <c r="N595" i="16"/>
  <c r="N596" i="16"/>
  <c r="N597" i="16"/>
  <c r="N598" i="16"/>
  <c r="N599" i="16"/>
  <c r="N600" i="16"/>
  <c r="N601" i="16"/>
  <c r="N612" i="16"/>
  <c r="N613" i="16"/>
  <c r="N614" i="16"/>
  <c r="N615" i="16"/>
  <c r="N616" i="16"/>
  <c r="N617" i="16"/>
  <c r="N618" i="16"/>
  <c r="N619" i="16"/>
  <c r="N620" i="16"/>
  <c r="N621" i="16"/>
  <c r="N632" i="16"/>
  <c r="N633" i="16"/>
  <c r="N634" i="16"/>
  <c r="N635" i="16"/>
  <c r="N636" i="16"/>
  <c r="N637" i="16"/>
  <c r="N638" i="16"/>
  <c r="N639" i="16"/>
  <c r="N640" i="16"/>
  <c r="N641" i="16"/>
  <c r="N652" i="16"/>
  <c r="N653" i="16"/>
  <c r="N654" i="16"/>
  <c r="N655" i="16"/>
  <c r="N656" i="16"/>
  <c r="N657" i="16"/>
  <c r="N658" i="16"/>
  <c r="N659" i="16"/>
  <c r="N660" i="16"/>
  <c r="N661" i="16"/>
  <c r="N672" i="16"/>
  <c r="N673" i="16"/>
  <c r="N674" i="16"/>
  <c r="N675" i="16"/>
  <c r="N676" i="16"/>
  <c r="N677" i="16"/>
  <c r="N678" i="16"/>
  <c r="N679" i="16"/>
  <c r="N680" i="16"/>
  <c r="N681" i="16"/>
  <c r="N692" i="16"/>
  <c r="N693" i="16"/>
  <c r="N694" i="16"/>
  <c r="N695" i="16"/>
  <c r="N696" i="16"/>
  <c r="N697" i="16"/>
  <c r="N698" i="16"/>
  <c r="N699" i="16"/>
  <c r="N700" i="16"/>
  <c r="N701" i="16"/>
  <c r="N712" i="16"/>
  <c r="N713" i="16"/>
  <c r="N714" i="16"/>
  <c r="N715" i="16"/>
  <c r="N716" i="16"/>
  <c r="N717" i="16"/>
  <c r="N718" i="16"/>
  <c r="N719" i="16"/>
  <c r="N720" i="16"/>
  <c r="N721" i="16"/>
  <c r="N732" i="16"/>
  <c r="N733" i="16"/>
  <c r="N734" i="16"/>
  <c r="N735" i="16"/>
  <c r="N736" i="16"/>
  <c r="N737" i="16"/>
  <c r="N738" i="16"/>
  <c r="N739" i="16"/>
  <c r="N740" i="16"/>
  <c r="N741" i="16"/>
  <c r="N752" i="16"/>
  <c r="N753" i="16"/>
  <c r="N754" i="16"/>
  <c r="N755" i="16"/>
  <c r="N756" i="16"/>
  <c r="N757" i="16"/>
  <c r="N758" i="16"/>
  <c r="N759" i="16"/>
  <c r="N760" i="16"/>
  <c r="N761" i="16"/>
  <c r="O2" i="16"/>
  <c r="O22" i="16"/>
  <c r="O3" i="16"/>
  <c r="O4" i="16"/>
  <c r="O5" i="16"/>
  <c r="O6" i="16"/>
  <c r="O23" i="16"/>
  <c r="O24" i="16"/>
  <c r="O25" i="16"/>
  <c r="O7" i="16"/>
  <c r="O8" i="16"/>
  <c r="O42" i="16"/>
  <c r="O9" i="16"/>
  <c r="O10" i="16"/>
  <c r="O11" i="16"/>
  <c r="O26" i="16"/>
  <c r="O27" i="16"/>
  <c r="O28" i="16"/>
  <c r="O29" i="16"/>
  <c r="O30" i="16"/>
  <c r="O31" i="16"/>
  <c r="O43" i="16"/>
  <c r="O44" i="16"/>
  <c r="O45" i="16"/>
  <c r="O46" i="16"/>
  <c r="O47" i="16"/>
  <c r="O48" i="16"/>
  <c r="O49" i="16"/>
  <c r="O50" i="16"/>
  <c r="O51" i="16"/>
  <c r="O62" i="16"/>
  <c r="O63" i="16"/>
  <c r="O64" i="16"/>
  <c r="O65" i="16"/>
  <c r="O66" i="16"/>
  <c r="O67" i="16"/>
  <c r="O68" i="16"/>
  <c r="O69" i="16"/>
  <c r="O70" i="16"/>
  <c r="O71" i="16"/>
  <c r="O82" i="16"/>
  <c r="O83" i="16"/>
  <c r="O84" i="16"/>
  <c r="O85" i="16"/>
  <c r="O86" i="16"/>
  <c r="O87" i="16"/>
  <c r="O88" i="16"/>
  <c r="O89" i="16"/>
  <c r="O90" i="16"/>
  <c r="O91" i="16"/>
  <c r="O102" i="16"/>
  <c r="O103" i="16"/>
  <c r="O104" i="16"/>
  <c r="O105" i="16"/>
  <c r="O106" i="16"/>
  <c r="O107" i="16"/>
  <c r="O108" i="16"/>
  <c r="O109" i="16"/>
  <c r="O110" i="16"/>
  <c r="O111" i="16"/>
  <c r="O122" i="16"/>
  <c r="O123" i="16"/>
  <c r="O124" i="16"/>
  <c r="O125" i="16"/>
  <c r="O126" i="16"/>
  <c r="O127" i="16"/>
  <c r="O128" i="16"/>
  <c r="O129" i="16"/>
  <c r="O130" i="16"/>
  <c r="O131" i="16"/>
  <c r="O142" i="16"/>
  <c r="O143" i="16"/>
  <c r="O144" i="16"/>
  <c r="O145" i="16"/>
  <c r="O146" i="16"/>
  <c r="O147" i="16"/>
  <c r="O148" i="16"/>
  <c r="O149" i="16"/>
  <c r="O150" i="16"/>
  <c r="O151" i="16"/>
  <c r="O162" i="16"/>
  <c r="O163" i="16"/>
  <c r="O164" i="16"/>
  <c r="O165" i="16"/>
  <c r="O166" i="16"/>
  <c r="O167" i="16"/>
  <c r="O168" i="16"/>
  <c r="O169" i="16"/>
  <c r="O170" i="16"/>
  <c r="O171" i="16"/>
  <c r="O182" i="16"/>
  <c r="O183" i="16"/>
  <c r="O184" i="16"/>
  <c r="O185" i="16"/>
  <c r="O186" i="16"/>
  <c r="O187" i="16"/>
  <c r="O188" i="16"/>
  <c r="O189" i="16"/>
  <c r="O190" i="16"/>
  <c r="O191" i="16"/>
  <c r="O202" i="16"/>
  <c r="O203" i="16"/>
  <c r="O204" i="16"/>
  <c r="O205" i="16"/>
  <c r="O206" i="16"/>
  <c r="O207" i="16"/>
  <c r="O208" i="16"/>
  <c r="O209" i="16"/>
  <c r="O210" i="16"/>
  <c r="O211" i="16"/>
  <c r="O222" i="16"/>
  <c r="O223" i="16"/>
  <c r="O224" i="16"/>
  <c r="O225" i="16"/>
  <c r="O226" i="16"/>
  <c r="O227" i="16"/>
  <c r="O228" i="16"/>
  <c r="O229" i="16"/>
  <c r="O230" i="16"/>
  <c r="O231" i="16"/>
  <c r="O242" i="16"/>
  <c r="O243" i="16"/>
  <c r="O244" i="16"/>
  <c r="O245" i="16"/>
  <c r="O246" i="16"/>
  <c r="O247" i="16"/>
  <c r="O248" i="16"/>
  <c r="O249" i="16"/>
  <c r="O250" i="16"/>
  <c r="O251" i="16"/>
  <c r="O262" i="16"/>
  <c r="O263" i="16"/>
  <c r="O264" i="16"/>
  <c r="O265" i="16"/>
  <c r="O266" i="16"/>
  <c r="O267" i="16"/>
  <c r="O268" i="16"/>
  <c r="O269" i="16"/>
  <c r="O270" i="16"/>
  <c r="O271" i="16"/>
  <c r="O282" i="16"/>
  <c r="O283" i="16"/>
  <c r="O284" i="16"/>
  <c r="O285" i="16"/>
  <c r="O286" i="16"/>
  <c r="O287" i="16"/>
  <c r="O288" i="16"/>
  <c r="O289" i="16"/>
  <c r="O290" i="16"/>
  <c r="O291" i="16"/>
  <c r="O302" i="16"/>
  <c r="O303" i="16"/>
  <c r="O304" i="16"/>
  <c r="O305" i="16"/>
  <c r="O306" i="16"/>
  <c r="O307" i="16"/>
  <c r="O308" i="16"/>
  <c r="O309" i="16"/>
  <c r="O310" i="16"/>
  <c r="O311" i="16"/>
  <c r="O322" i="16"/>
  <c r="O323" i="16"/>
  <c r="O324" i="16"/>
  <c r="O325" i="16"/>
  <c r="O326" i="16"/>
  <c r="O327" i="16"/>
  <c r="O328" i="16"/>
  <c r="O329" i="16"/>
  <c r="O330" i="16"/>
  <c r="O331" i="16"/>
  <c r="O342" i="16"/>
  <c r="O343" i="16"/>
  <c r="O344" i="16"/>
  <c r="O345" i="16"/>
  <c r="O346" i="16"/>
  <c r="O347" i="16"/>
  <c r="O348" i="16"/>
  <c r="O349" i="16"/>
  <c r="O350" i="16"/>
  <c r="O351" i="16"/>
  <c r="O362" i="16"/>
  <c r="O363" i="16"/>
  <c r="O364" i="16"/>
  <c r="O365" i="16"/>
  <c r="O366" i="16"/>
  <c r="O367" i="16"/>
  <c r="O368" i="16"/>
  <c r="O369" i="16"/>
  <c r="O370" i="16"/>
  <c r="O371" i="16"/>
  <c r="O382" i="16"/>
  <c r="O383" i="16"/>
  <c r="O384" i="16"/>
  <c r="O385" i="16"/>
  <c r="O386" i="16"/>
  <c r="O387" i="16"/>
  <c r="O388" i="16"/>
  <c r="O389" i="16"/>
  <c r="O390" i="16"/>
  <c r="O391" i="16"/>
  <c r="O402" i="16"/>
  <c r="O403" i="16"/>
  <c r="O404" i="16"/>
  <c r="O405" i="16"/>
  <c r="O406" i="16"/>
  <c r="O407" i="16"/>
  <c r="O408" i="16"/>
  <c r="O409" i="16"/>
  <c r="O410" i="16"/>
  <c r="O411" i="16"/>
  <c r="O422" i="16"/>
  <c r="O423" i="16"/>
  <c r="O424" i="16"/>
  <c r="O425" i="16"/>
  <c r="O426" i="16"/>
  <c r="O427" i="16"/>
  <c r="O428" i="16"/>
  <c r="O429" i="16"/>
  <c r="O430" i="16"/>
  <c r="O431" i="16"/>
  <c r="O442" i="16"/>
  <c r="O443" i="16"/>
  <c r="O444" i="16"/>
  <c r="O445" i="16"/>
  <c r="O446" i="16"/>
  <c r="O447" i="16"/>
  <c r="O448" i="16"/>
  <c r="O449" i="16"/>
  <c r="O450" i="16"/>
  <c r="O451" i="16"/>
  <c r="O462" i="16"/>
  <c r="O463" i="16"/>
  <c r="O464" i="16"/>
  <c r="O465" i="16"/>
  <c r="O466" i="16"/>
  <c r="O467" i="16"/>
  <c r="O468" i="16"/>
  <c r="O469" i="16"/>
  <c r="O470" i="16"/>
  <c r="O471" i="16"/>
  <c r="O482" i="16"/>
  <c r="O483" i="16"/>
  <c r="O484" i="16"/>
  <c r="O485" i="16"/>
  <c r="O486" i="16"/>
  <c r="O487" i="16"/>
  <c r="O488" i="16"/>
  <c r="O489" i="16"/>
  <c r="O490" i="16"/>
  <c r="O491" i="16"/>
  <c r="O502" i="16"/>
  <c r="O503" i="16"/>
  <c r="O504" i="16"/>
  <c r="O505" i="16"/>
  <c r="O506" i="16"/>
  <c r="O507" i="16"/>
  <c r="O508" i="16"/>
  <c r="O509" i="16"/>
  <c r="O510" i="16"/>
  <c r="O511" i="16"/>
  <c r="O522" i="16"/>
  <c r="O523" i="16"/>
  <c r="O524" i="16"/>
  <c r="O525" i="16"/>
  <c r="O526" i="16"/>
  <c r="O527" i="16"/>
  <c r="O528" i="16"/>
  <c r="O529" i="16"/>
  <c r="O530" i="16"/>
  <c r="O531" i="16"/>
  <c r="O542" i="16"/>
  <c r="O543" i="16"/>
  <c r="O544" i="16"/>
  <c r="O545" i="16"/>
  <c r="O546" i="16"/>
  <c r="O547" i="16"/>
  <c r="O548" i="16"/>
  <c r="O549" i="16"/>
  <c r="O550" i="16"/>
  <c r="O551" i="16"/>
  <c r="O562" i="16"/>
  <c r="O563" i="16"/>
  <c r="O564" i="16"/>
  <c r="O565" i="16"/>
  <c r="O566" i="16"/>
  <c r="O567" i="16"/>
  <c r="O568" i="16"/>
  <c r="O569" i="16"/>
  <c r="O570" i="16"/>
  <c r="O571" i="16"/>
  <c r="O582" i="16"/>
  <c r="O583" i="16"/>
  <c r="O584" i="16"/>
  <c r="O585" i="16"/>
  <c r="O586" i="16"/>
  <c r="O587" i="16"/>
  <c r="O588" i="16"/>
  <c r="O589" i="16"/>
  <c r="O590" i="16"/>
  <c r="O591" i="16"/>
  <c r="O602" i="16"/>
  <c r="O603" i="16"/>
  <c r="O604" i="16"/>
  <c r="O605" i="16"/>
  <c r="O606" i="16"/>
  <c r="O607" i="16"/>
  <c r="O608" i="16"/>
  <c r="O609" i="16"/>
  <c r="O610" i="16"/>
  <c r="O611" i="16"/>
  <c r="O622" i="16"/>
  <c r="O623" i="16"/>
  <c r="O624" i="16"/>
  <c r="O625" i="16"/>
  <c r="O626" i="16"/>
  <c r="O627" i="16"/>
  <c r="O628" i="16"/>
  <c r="O629" i="16"/>
  <c r="O630" i="16"/>
  <c r="O631" i="16"/>
  <c r="O642" i="16"/>
  <c r="O643" i="16"/>
  <c r="O644" i="16"/>
  <c r="O645" i="16"/>
  <c r="O646" i="16"/>
  <c r="O647" i="16"/>
  <c r="O648" i="16"/>
  <c r="O649" i="16"/>
  <c r="O650" i="16"/>
  <c r="O651" i="16"/>
  <c r="O662" i="16"/>
  <c r="O663" i="16"/>
  <c r="O664" i="16"/>
  <c r="O665" i="16"/>
  <c r="O666" i="16"/>
  <c r="O667" i="16"/>
  <c r="O668" i="16"/>
  <c r="O669" i="16"/>
  <c r="O670" i="16"/>
  <c r="O671" i="16"/>
  <c r="O682" i="16"/>
  <c r="O683" i="16"/>
  <c r="O684" i="16"/>
  <c r="O685" i="16"/>
  <c r="O686" i="16"/>
  <c r="O687" i="16"/>
  <c r="O688" i="16"/>
  <c r="O689" i="16"/>
  <c r="O690" i="16"/>
  <c r="O691" i="16"/>
  <c r="O702" i="16"/>
  <c r="O703" i="16"/>
  <c r="O704" i="16"/>
  <c r="O705" i="16"/>
  <c r="O706" i="16"/>
  <c r="O707" i="16"/>
  <c r="O708" i="16"/>
  <c r="O709" i="16"/>
  <c r="O710" i="16"/>
  <c r="O711" i="16"/>
  <c r="O722" i="16"/>
  <c r="O723" i="16"/>
  <c r="O724" i="16"/>
  <c r="O725" i="16"/>
  <c r="O726" i="16"/>
  <c r="O727" i="16"/>
  <c r="O728" i="16"/>
  <c r="O729" i="16"/>
  <c r="O730" i="16"/>
  <c r="O731" i="16"/>
  <c r="O742" i="16"/>
  <c r="O743" i="16"/>
  <c r="O744" i="16"/>
  <c r="O745" i="16"/>
  <c r="O746" i="16"/>
  <c r="O747" i="16"/>
  <c r="O748" i="16"/>
  <c r="O749" i="16"/>
  <c r="O750" i="16"/>
  <c r="O751" i="16"/>
  <c r="O12" i="16"/>
  <c r="O32" i="16"/>
  <c r="O13" i="16"/>
  <c r="O33" i="16"/>
  <c r="O14" i="16"/>
  <c r="O15" i="16"/>
  <c r="O16" i="16"/>
  <c r="O17" i="16"/>
  <c r="O34" i="16"/>
  <c r="O18" i="16"/>
  <c r="O52" i="16"/>
  <c r="O35" i="16"/>
  <c r="O36" i="16"/>
  <c r="O37" i="16"/>
  <c r="O19" i="16"/>
  <c r="O20" i="16"/>
  <c r="O21" i="16"/>
  <c r="O38" i="16"/>
  <c r="O39" i="16"/>
  <c r="O40" i="16"/>
  <c r="O41" i="16"/>
  <c r="O53" i="16"/>
  <c r="O54" i="16"/>
  <c r="O55" i="16"/>
  <c r="O56" i="16"/>
  <c r="O57" i="16"/>
  <c r="O58" i="16"/>
  <c r="O59" i="16"/>
  <c r="O60" i="16"/>
  <c r="O61" i="16"/>
  <c r="O72" i="16"/>
  <c r="O73" i="16"/>
  <c r="O74" i="16"/>
  <c r="O75" i="16"/>
  <c r="O76" i="16"/>
  <c r="O77" i="16"/>
  <c r="O78" i="16"/>
  <c r="O79" i="16"/>
  <c r="O80" i="16"/>
  <c r="O81" i="16"/>
  <c r="O92" i="16"/>
  <c r="O93" i="16"/>
  <c r="O94" i="16"/>
  <c r="O95" i="16"/>
  <c r="O96" i="16"/>
  <c r="O97" i="16"/>
  <c r="O98" i="16"/>
  <c r="O99" i="16"/>
  <c r="O100" i="16"/>
  <c r="O101" i="16"/>
  <c r="O112" i="16"/>
  <c r="O113" i="16"/>
  <c r="O114" i="16"/>
  <c r="O115" i="16"/>
  <c r="O116" i="16"/>
  <c r="O117" i="16"/>
  <c r="O118" i="16"/>
  <c r="O119" i="16"/>
  <c r="O120" i="16"/>
  <c r="O121" i="16"/>
  <c r="O132" i="16"/>
  <c r="O133" i="16"/>
  <c r="O134" i="16"/>
  <c r="O135" i="16"/>
  <c r="O136" i="16"/>
  <c r="O137" i="16"/>
  <c r="O138" i="16"/>
  <c r="O139" i="16"/>
  <c r="O140" i="16"/>
  <c r="O141" i="16"/>
  <c r="O152" i="16"/>
  <c r="O153" i="16"/>
  <c r="O154" i="16"/>
  <c r="O155" i="16"/>
  <c r="O156" i="16"/>
  <c r="O157" i="16"/>
  <c r="O158" i="16"/>
  <c r="O159" i="16"/>
  <c r="O160" i="16"/>
  <c r="O161" i="16"/>
  <c r="O172" i="16"/>
  <c r="O173" i="16"/>
  <c r="O174" i="16"/>
  <c r="O175" i="16"/>
  <c r="O176" i="16"/>
  <c r="O177" i="16"/>
  <c r="O178" i="16"/>
  <c r="O179" i="16"/>
  <c r="O180" i="16"/>
  <c r="O181" i="16"/>
  <c r="O192" i="16"/>
  <c r="O193" i="16"/>
  <c r="O194" i="16"/>
  <c r="O195" i="16"/>
  <c r="O196" i="16"/>
  <c r="O197" i="16"/>
  <c r="O198" i="16"/>
  <c r="O199" i="16"/>
  <c r="O200" i="16"/>
  <c r="O201" i="16"/>
  <c r="O212" i="16"/>
  <c r="O213" i="16"/>
  <c r="O214" i="16"/>
  <c r="O215" i="16"/>
  <c r="O216" i="16"/>
  <c r="O217" i="16"/>
  <c r="O218" i="16"/>
  <c r="O219" i="16"/>
  <c r="O220" i="16"/>
  <c r="O221" i="16"/>
  <c r="O232" i="16"/>
  <c r="O233" i="16"/>
  <c r="O234" i="16"/>
  <c r="O235" i="16"/>
  <c r="O236" i="16"/>
  <c r="O237" i="16"/>
  <c r="O238" i="16"/>
  <c r="O239" i="16"/>
  <c r="O240" i="16"/>
  <c r="O241" i="16"/>
  <c r="O252" i="16"/>
  <c r="O253" i="16"/>
  <c r="O254" i="16"/>
  <c r="O255" i="16"/>
  <c r="O256" i="16"/>
  <c r="O257" i="16"/>
  <c r="O258" i="16"/>
  <c r="O259" i="16"/>
  <c r="O260" i="16"/>
  <c r="O261" i="16"/>
  <c r="O272" i="16"/>
  <c r="O273" i="16"/>
  <c r="O274" i="16"/>
  <c r="O275" i="16"/>
  <c r="O276" i="16"/>
  <c r="O277" i="16"/>
  <c r="O278" i="16"/>
  <c r="O279" i="16"/>
  <c r="O280" i="16"/>
  <c r="O281" i="16"/>
  <c r="O292" i="16"/>
  <c r="O293" i="16"/>
  <c r="O294" i="16"/>
  <c r="O295" i="16"/>
  <c r="O296" i="16"/>
  <c r="O297" i="16"/>
  <c r="O298" i="16"/>
  <c r="O299" i="16"/>
  <c r="O300" i="16"/>
  <c r="O301" i="16"/>
  <c r="O312" i="16"/>
  <c r="O313" i="16"/>
  <c r="O314" i="16"/>
  <c r="O315" i="16"/>
  <c r="O316" i="16"/>
  <c r="O317" i="16"/>
  <c r="O318" i="16"/>
  <c r="O319" i="16"/>
  <c r="O320" i="16"/>
  <c r="O321" i="16"/>
  <c r="O332" i="16"/>
  <c r="O333" i="16"/>
  <c r="O334" i="16"/>
  <c r="O335" i="16"/>
  <c r="O336" i="16"/>
  <c r="O337" i="16"/>
  <c r="O338" i="16"/>
  <c r="O339" i="16"/>
  <c r="O340" i="16"/>
  <c r="O341" i="16"/>
  <c r="O352" i="16"/>
  <c r="O353" i="16"/>
  <c r="O354" i="16"/>
  <c r="O355" i="16"/>
  <c r="O356" i="16"/>
  <c r="O357" i="16"/>
  <c r="O358" i="16"/>
  <c r="O359" i="16"/>
  <c r="O360" i="16"/>
  <c r="O361" i="16"/>
  <c r="O372" i="16"/>
  <c r="O373" i="16"/>
  <c r="O374" i="16"/>
  <c r="O375" i="16"/>
  <c r="O376" i="16"/>
  <c r="O377" i="16"/>
  <c r="O378" i="16"/>
  <c r="O379" i="16"/>
  <c r="O380" i="16"/>
  <c r="O381" i="16"/>
  <c r="O392" i="16"/>
  <c r="O393" i="16"/>
  <c r="O394" i="16"/>
  <c r="O395" i="16"/>
  <c r="O396" i="16"/>
  <c r="O397" i="16"/>
  <c r="O398" i="16"/>
  <c r="O399" i="16"/>
  <c r="O400" i="16"/>
  <c r="O401" i="16"/>
  <c r="O412" i="16"/>
  <c r="O413" i="16"/>
  <c r="O414" i="16"/>
  <c r="O415" i="16"/>
  <c r="O416" i="16"/>
  <c r="O417" i="16"/>
  <c r="O418" i="16"/>
  <c r="O419" i="16"/>
  <c r="O420" i="16"/>
  <c r="O421" i="16"/>
  <c r="O432" i="16"/>
  <c r="O433" i="16"/>
  <c r="O434" i="16"/>
  <c r="O435" i="16"/>
  <c r="O436" i="16"/>
  <c r="O437" i="16"/>
  <c r="O438" i="16"/>
  <c r="O439" i="16"/>
  <c r="O440" i="16"/>
  <c r="O441" i="16"/>
  <c r="O452" i="16"/>
  <c r="O453" i="16"/>
  <c r="O454" i="16"/>
  <c r="O455" i="16"/>
  <c r="O456" i="16"/>
  <c r="O457" i="16"/>
  <c r="O458" i="16"/>
  <c r="O459" i="16"/>
  <c r="O460" i="16"/>
  <c r="O461" i="16"/>
  <c r="O472" i="16"/>
  <c r="O473" i="16"/>
  <c r="O474" i="16"/>
  <c r="O475" i="16"/>
  <c r="O476" i="16"/>
  <c r="O477" i="16"/>
  <c r="O478" i="16"/>
  <c r="O479" i="16"/>
  <c r="O480" i="16"/>
  <c r="O481" i="16"/>
  <c r="O492" i="16"/>
  <c r="O493" i="16"/>
  <c r="O494" i="16"/>
  <c r="O495" i="16"/>
  <c r="O496" i="16"/>
  <c r="O497" i="16"/>
  <c r="O498" i="16"/>
  <c r="O499" i="16"/>
  <c r="O500" i="16"/>
  <c r="O501" i="16"/>
  <c r="O512" i="16"/>
  <c r="O513" i="16"/>
  <c r="O514" i="16"/>
  <c r="O515" i="16"/>
  <c r="O516" i="16"/>
  <c r="O517" i="16"/>
  <c r="O518" i="16"/>
  <c r="O519" i="16"/>
  <c r="O520" i="16"/>
  <c r="O521" i="16"/>
  <c r="O532" i="16"/>
  <c r="O533" i="16"/>
  <c r="O534" i="16"/>
  <c r="O535" i="16"/>
  <c r="O536" i="16"/>
  <c r="O537" i="16"/>
  <c r="O538" i="16"/>
  <c r="O539" i="16"/>
  <c r="O540" i="16"/>
  <c r="O541" i="16"/>
  <c r="O552" i="16"/>
  <c r="O553" i="16"/>
  <c r="O554" i="16"/>
  <c r="O555" i="16"/>
  <c r="O556" i="16"/>
  <c r="O557" i="16"/>
  <c r="O558" i="16"/>
  <c r="O559" i="16"/>
  <c r="O560" i="16"/>
  <c r="O561" i="16"/>
  <c r="O572" i="16"/>
  <c r="O573" i="16"/>
  <c r="O574" i="16"/>
  <c r="O575" i="16"/>
  <c r="O576" i="16"/>
  <c r="O577" i="16"/>
  <c r="O578" i="16"/>
  <c r="O579" i="16"/>
  <c r="O580" i="16"/>
  <c r="O581" i="16"/>
  <c r="O592" i="16"/>
  <c r="O593" i="16"/>
  <c r="O594" i="16"/>
  <c r="O595" i="16"/>
  <c r="O596" i="16"/>
  <c r="O597" i="16"/>
  <c r="O598" i="16"/>
  <c r="O599" i="16"/>
  <c r="O600" i="16"/>
  <c r="O601" i="16"/>
  <c r="O612" i="16"/>
  <c r="O613" i="16"/>
  <c r="O614" i="16"/>
  <c r="O615" i="16"/>
  <c r="O616" i="16"/>
  <c r="O617" i="16"/>
  <c r="O618" i="16"/>
  <c r="O619" i="16"/>
  <c r="O620" i="16"/>
  <c r="O621" i="16"/>
  <c r="O632" i="16"/>
  <c r="O633" i="16"/>
  <c r="O634" i="16"/>
  <c r="O635" i="16"/>
  <c r="O636" i="16"/>
  <c r="O637" i="16"/>
  <c r="O638" i="16"/>
  <c r="O639" i="16"/>
  <c r="O640" i="16"/>
  <c r="O641" i="16"/>
  <c r="O652" i="16"/>
  <c r="O653" i="16"/>
  <c r="O654" i="16"/>
  <c r="O655" i="16"/>
  <c r="O656" i="16"/>
  <c r="O657" i="16"/>
  <c r="O658" i="16"/>
  <c r="O659" i="16"/>
  <c r="O660" i="16"/>
  <c r="O661" i="16"/>
  <c r="O672" i="16"/>
  <c r="O673" i="16"/>
  <c r="O674" i="16"/>
  <c r="O675" i="16"/>
  <c r="O676" i="16"/>
  <c r="O677" i="16"/>
  <c r="O678" i="16"/>
  <c r="O679" i="16"/>
  <c r="O680" i="16"/>
  <c r="O681" i="16"/>
  <c r="O692" i="16"/>
  <c r="O693" i="16"/>
  <c r="O694" i="16"/>
  <c r="O695" i="16"/>
  <c r="O696" i="16"/>
  <c r="O697" i="16"/>
  <c r="O698" i="16"/>
  <c r="O699" i="16"/>
  <c r="O700" i="16"/>
  <c r="O701" i="16"/>
  <c r="O712" i="16"/>
  <c r="O713" i="16"/>
  <c r="O714" i="16"/>
  <c r="O715" i="16"/>
  <c r="O716" i="16"/>
  <c r="O717" i="16"/>
  <c r="O718" i="16"/>
  <c r="O719" i="16"/>
  <c r="O720" i="16"/>
  <c r="O721" i="16"/>
  <c r="O732" i="16"/>
  <c r="O733" i="16"/>
  <c r="O734" i="16"/>
  <c r="O735" i="16"/>
  <c r="O736" i="16"/>
  <c r="O737" i="16"/>
  <c r="O738" i="16"/>
  <c r="O739" i="16"/>
  <c r="O740" i="16"/>
  <c r="O741" i="16"/>
  <c r="O752" i="16"/>
  <c r="O753" i="16"/>
  <c r="O754" i="16"/>
  <c r="O755" i="16"/>
  <c r="O756" i="16"/>
  <c r="O757" i="16"/>
  <c r="O758" i="16"/>
  <c r="O759" i="16"/>
  <c r="O760" i="16"/>
  <c r="O761" i="16"/>
  <c r="P2" i="16"/>
  <c r="P22" i="16"/>
  <c r="P3" i="16"/>
  <c r="P4" i="16"/>
  <c r="P5" i="16"/>
  <c r="P6" i="16"/>
  <c r="P23" i="16"/>
  <c r="P24" i="16"/>
  <c r="P25" i="16"/>
  <c r="P7" i="16"/>
  <c r="P8" i="16"/>
  <c r="P42" i="16"/>
  <c r="P9" i="16"/>
  <c r="P10" i="16"/>
  <c r="P11" i="16"/>
  <c r="P26" i="16"/>
  <c r="P27" i="16"/>
  <c r="P28" i="16"/>
  <c r="P29" i="16"/>
  <c r="P30" i="16"/>
  <c r="P31" i="16"/>
  <c r="P43" i="16"/>
  <c r="P44" i="16"/>
  <c r="P45" i="16"/>
  <c r="P46" i="16"/>
  <c r="P47" i="16"/>
  <c r="P48" i="16"/>
  <c r="P49" i="16"/>
  <c r="P50" i="16"/>
  <c r="P51" i="16"/>
  <c r="P62" i="16"/>
  <c r="P63" i="16"/>
  <c r="P64" i="16"/>
  <c r="P65" i="16"/>
  <c r="P66" i="16"/>
  <c r="P67" i="16"/>
  <c r="P68" i="16"/>
  <c r="P69" i="16"/>
  <c r="P70" i="16"/>
  <c r="P71" i="16"/>
  <c r="P82" i="16"/>
  <c r="P83" i="16"/>
  <c r="P84" i="16"/>
  <c r="P85" i="16"/>
  <c r="P86" i="16"/>
  <c r="P87" i="16"/>
  <c r="P88" i="16"/>
  <c r="P89" i="16"/>
  <c r="P90" i="16"/>
  <c r="P91" i="16"/>
  <c r="P102" i="16"/>
  <c r="P103" i="16"/>
  <c r="P104" i="16"/>
  <c r="P105" i="16"/>
  <c r="P106" i="16"/>
  <c r="P107" i="16"/>
  <c r="P108" i="16"/>
  <c r="P109" i="16"/>
  <c r="P110" i="16"/>
  <c r="P111" i="16"/>
  <c r="P122" i="16"/>
  <c r="P123" i="16"/>
  <c r="P124" i="16"/>
  <c r="P125" i="16"/>
  <c r="P126" i="16"/>
  <c r="P127" i="16"/>
  <c r="P128" i="16"/>
  <c r="P129" i="16"/>
  <c r="P130" i="16"/>
  <c r="P131" i="16"/>
  <c r="P142" i="16"/>
  <c r="P143" i="16"/>
  <c r="P144" i="16"/>
  <c r="P145" i="16"/>
  <c r="P146" i="16"/>
  <c r="P147" i="16"/>
  <c r="P148" i="16"/>
  <c r="P149" i="16"/>
  <c r="P150" i="16"/>
  <c r="P151" i="16"/>
  <c r="P162" i="16"/>
  <c r="P163" i="16"/>
  <c r="P164" i="16"/>
  <c r="P165" i="16"/>
  <c r="P166" i="16"/>
  <c r="P167" i="16"/>
  <c r="P168" i="16"/>
  <c r="P169" i="16"/>
  <c r="P170" i="16"/>
  <c r="P171" i="16"/>
  <c r="P182" i="16"/>
  <c r="P183" i="16"/>
  <c r="P184" i="16"/>
  <c r="P185" i="16"/>
  <c r="P186" i="16"/>
  <c r="P187" i="16"/>
  <c r="P188" i="16"/>
  <c r="P189" i="16"/>
  <c r="P190" i="16"/>
  <c r="P191" i="16"/>
  <c r="P202" i="16"/>
  <c r="P203" i="16"/>
  <c r="P204" i="16"/>
  <c r="P205" i="16"/>
  <c r="P206" i="16"/>
  <c r="P207" i="16"/>
  <c r="P208" i="16"/>
  <c r="P209" i="16"/>
  <c r="P210" i="16"/>
  <c r="P211" i="16"/>
  <c r="P222" i="16"/>
  <c r="P223" i="16"/>
  <c r="P224" i="16"/>
  <c r="P225" i="16"/>
  <c r="P226" i="16"/>
  <c r="P227" i="16"/>
  <c r="P228" i="16"/>
  <c r="P229" i="16"/>
  <c r="P230" i="16"/>
  <c r="P231" i="16"/>
  <c r="P242" i="16"/>
  <c r="P243" i="16"/>
  <c r="P244" i="16"/>
  <c r="P245" i="16"/>
  <c r="P246" i="16"/>
  <c r="P247" i="16"/>
  <c r="P248" i="16"/>
  <c r="P249" i="16"/>
  <c r="P250" i="16"/>
  <c r="P251" i="16"/>
  <c r="P262" i="16"/>
  <c r="P263" i="16"/>
  <c r="P264" i="16"/>
  <c r="P265" i="16"/>
  <c r="P266" i="16"/>
  <c r="P267" i="16"/>
  <c r="P268" i="16"/>
  <c r="P269" i="16"/>
  <c r="P270" i="16"/>
  <c r="P271" i="16"/>
  <c r="P282" i="16"/>
  <c r="P283" i="16"/>
  <c r="P284" i="16"/>
  <c r="P285" i="16"/>
  <c r="P286" i="16"/>
  <c r="P287" i="16"/>
  <c r="P288" i="16"/>
  <c r="P289" i="16"/>
  <c r="P290" i="16"/>
  <c r="P291" i="16"/>
  <c r="P302" i="16"/>
  <c r="P303" i="16"/>
  <c r="P304" i="16"/>
  <c r="P305" i="16"/>
  <c r="P306" i="16"/>
  <c r="P307" i="16"/>
  <c r="P308" i="16"/>
  <c r="P309" i="16"/>
  <c r="P310" i="16"/>
  <c r="P311" i="16"/>
  <c r="P322" i="16"/>
  <c r="P323" i="16"/>
  <c r="P324" i="16"/>
  <c r="P325" i="16"/>
  <c r="P326" i="16"/>
  <c r="P327" i="16"/>
  <c r="P328" i="16"/>
  <c r="P329" i="16"/>
  <c r="P330" i="16"/>
  <c r="P331" i="16"/>
  <c r="P342" i="16"/>
  <c r="P343" i="16"/>
  <c r="P344" i="16"/>
  <c r="P345" i="16"/>
  <c r="P346" i="16"/>
  <c r="P347" i="16"/>
  <c r="P348" i="16"/>
  <c r="P349" i="16"/>
  <c r="P350" i="16"/>
  <c r="P351" i="16"/>
  <c r="P362" i="16"/>
  <c r="P363" i="16"/>
  <c r="P364" i="16"/>
  <c r="P365" i="16"/>
  <c r="P366" i="16"/>
  <c r="P367" i="16"/>
  <c r="P368" i="16"/>
  <c r="P369" i="16"/>
  <c r="P370" i="16"/>
  <c r="P371" i="16"/>
  <c r="P382" i="16"/>
  <c r="P383" i="16"/>
  <c r="P384" i="16"/>
  <c r="P385" i="16"/>
  <c r="P386" i="16"/>
  <c r="P387" i="16"/>
  <c r="P388" i="16"/>
  <c r="P389" i="16"/>
  <c r="P390" i="16"/>
  <c r="P391" i="16"/>
  <c r="P402" i="16"/>
  <c r="P403" i="16"/>
  <c r="P404" i="16"/>
  <c r="P405" i="16"/>
  <c r="P406" i="16"/>
  <c r="P407" i="16"/>
  <c r="P408" i="16"/>
  <c r="P409" i="16"/>
  <c r="P410" i="16"/>
  <c r="P411" i="16"/>
  <c r="P422" i="16"/>
  <c r="P423" i="16"/>
  <c r="P424" i="16"/>
  <c r="P425" i="16"/>
  <c r="P426" i="16"/>
  <c r="P427" i="16"/>
  <c r="P428" i="16"/>
  <c r="P429" i="16"/>
  <c r="P430" i="16"/>
  <c r="P431" i="16"/>
  <c r="P442" i="16"/>
  <c r="P443" i="16"/>
  <c r="P444" i="16"/>
  <c r="P445" i="16"/>
  <c r="P446" i="16"/>
  <c r="P447" i="16"/>
  <c r="P448" i="16"/>
  <c r="P449" i="16"/>
  <c r="P450" i="16"/>
  <c r="P451" i="16"/>
  <c r="P462" i="16"/>
  <c r="P463" i="16"/>
  <c r="P464" i="16"/>
  <c r="P465" i="16"/>
  <c r="P466" i="16"/>
  <c r="P467" i="16"/>
  <c r="P468" i="16"/>
  <c r="P469" i="16"/>
  <c r="P470" i="16"/>
  <c r="P471" i="16"/>
  <c r="P482" i="16"/>
  <c r="P483" i="16"/>
  <c r="P484" i="16"/>
  <c r="P485" i="16"/>
  <c r="P486" i="16"/>
  <c r="P487" i="16"/>
  <c r="P488" i="16"/>
  <c r="P489" i="16"/>
  <c r="P490" i="16"/>
  <c r="P491" i="16"/>
  <c r="P502" i="16"/>
  <c r="P503" i="16"/>
  <c r="P504" i="16"/>
  <c r="P505" i="16"/>
  <c r="P506" i="16"/>
  <c r="P507" i="16"/>
  <c r="P508" i="16"/>
  <c r="P509" i="16"/>
  <c r="P510" i="16"/>
  <c r="P511" i="16"/>
  <c r="P522" i="16"/>
  <c r="P523" i="16"/>
  <c r="P524" i="16"/>
  <c r="P525" i="16"/>
  <c r="P526" i="16"/>
  <c r="P527" i="16"/>
  <c r="P528" i="16"/>
  <c r="P529" i="16"/>
  <c r="P530" i="16"/>
  <c r="P531" i="16"/>
  <c r="P542" i="16"/>
  <c r="P543" i="16"/>
  <c r="P544" i="16"/>
  <c r="P545" i="16"/>
  <c r="P546" i="16"/>
  <c r="P547" i="16"/>
  <c r="P548" i="16"/>
  <c r="P549" i="16"/>
  <c r="P550" i="16"/>
  <c r="P551" i="16"/>
  <c r="P562" i="16"/>
  <c r="P563" i="16"/>
  <c r="P564" i="16"/>
  <c r="P565" i="16"/>
  <c r="P566" i="16"/>
  <c r="P567" i="16"/>
  <c r="P568" i="16"/>
  <c r="P569" i="16"/>
  <c r="P570" i="16"/>
  <c r="P571" i="16"/>
  <c r="P582" i="16"/>
  <c r="P583" i="16"/>
  <c r="P584" i="16"/>
  <c r="P585" i="16"/>
  <c r="P586" i="16"/>
  <c r="P587" i="16"/>
  <c r="P588" i="16"/>
  <c r="P589" i="16"/>
  <c r="P590" i="16"/>
  <c r="P591" i="16"/>
  <c r="P602" i="16"/>
  <c r="P603" i="16"/>
  <c r="P604" i="16"/>
  <c r="P605" i="16"/>
  <c r="P606" i="16"/>
  <c r="P607" i="16"/>
  <c r="P608" i="16"/>
  <c r="P609" i="16"/>
  <c r="P610" i="16"/>
  <c r="P611" i="16"/>
  <c r="P622" i="16"/>
  <c r="P623" i="16"/>
  <c r="P624" i="16"/>
  <c r="P625" i="16"/>
  <c r="P626" i="16"/>
  <c r="P627" i="16"/>
  <c r="P628" i="16"/>
  <c r="P629" i="16"/>
  <c r="P630" i="16"/>
  <c r="P631" i="16"/>
  <c r="P642" i="16"/>
  <c r="P643" i="16"/>
  <c r="P644" i="16"/>
  <c r="P645" i="16"/>
  <c r="P646" i="16"/>
  <c r="P647" i="16"/>
  <c r="P648" i="16"/>
  <c r="P649" i="16"/>
  <c r="P650" i="16"/>
  <c r="P651" i="16"/>
  <c r="P662" i="16"/>
  <c r="P663" i="16"/>
  <c r="P664" i="16"/>
  <c r="P665" i="16"/>
  <c r="P666" i="16"/>
  <c r="P667" i="16"/>
  <c r="P668" i="16"/>
  <c r="P669" i="16"/>
  <c r="P670" i="16"/>
  <c r="P671" i="16"/>
  <c r="P682" i="16"/>
  <c r="P683" i="16"/>
  <c r="P684" i="16"/>
  <c r="P685" i="16"/>
  <c r="P686" i="16"/>
  <c r="P687" i="16"/>
  <c r="P688" i="16"/>
  <c r="P689" i="16"/>
  <c r="P690" i="16"/>
  <c r="P691" i="16"/>
  <c r="P702" i="16"/>
  <c r="P703" i="16"/>
  <c r="P704" i="16"/>
  <c r="P705" i="16"/>
  <c r="P706" i="16"/>
  <c r="P707" i="16"/>
  <c r="P708" i="16"/>
  <c r="P709" i="16"/>
  <c r="P710" i="16"/>
  <c r="P711" i="16"/>
  <c r="P722" i="16"/>
  <c r="P723" i="16"/>
  <c r="P724" i="16"/>
  <c r="P725" i="16"/>
  <c r="P726" i="16"/>
  <c r="P727" i="16"/>
  <c r="P728" i="16"/>
  <c r="P729" i="16"/>
  <c r="P730" i="16"/>
  <c r="P731" i="16"/>
  <c r="P742" i="16"/>
  <c r="P743" i="16"/>
  <c r="P744" i="16"/>
  <c r="P745" i="16"/>
  <c r="P746" i="16"/>
  <c r="P747" i="16"/>
  <c r="P748" i="16"/>
  <c r="P749" i="16"/>
  <c r="P750" i="16"/>
  <c r="P751" i="16"/>
  <c r="P12" i="16"/>
  <c r="P32" i="16"/>
  <c r="P13" i="16"/>
  <c r="P33" i="16"/>
  <c r="P14" i="16"/>
  <c r="P15" i="16"/>
  <c r="P16" i="16"/>
  <c r="P17" i="16"/>
  <c r="P34" i="16"/>
  <c r="P18" i="16"/>
  <c r="P52" i="16"/>
  <c r="P35" i="16"/>
  <c r="P36" i="16"/>
  <c r="P37" i="16"/>
  <c r="P19" i="16"/>
  <c r="P20" i="16"/>
  <c r="P21" i="16"/>
  <c r="P38" i="16"/>
  <c r="P39" i="16"/>
  <c r="P40" i="16"/>
  <c r="P41" i="16"/>
  <c r="P53" i="16"/>
  <c r="P54" i="16"/>
  <c r="P55" i="16"/>
  <c r="P56" i="16"/>
  <c r="P57" i="16"/>
  <c r="P58" i="16"/>
  <c r="P59" i="16"/>
  <c r="P60" i="16"/>
  <c r="P61" i="16"/>
  <c r="P72" i="16"/>
  <c r="P73" i="16"/>
  <c r="P74" i="16"/>
  <c r="P75" i="16"/>
  <c r="P76" i="16"/>
  <c r="P77" i="16"/>
  <c r="P78" i="16"/>
  <c r="P79" i="16"/>
  <c r="P80" i="16"/>
  <c r="P81" i="16"/>
  <c r="P92" i="16"/>
  <c r="P93" i="16"/>
  <c r="P94" i="16"/>
  <c r="P95" i="16"/>
  <c r="P96" i="16"/>
  <c r="P97" i="16"/>
  <c r="P98" i="16"/>
  <c r="P99" i="16"/>
  <c r="P100" i="16"/>
  <c r="P101" i="16"/>
  <c r="P112" i="16"/>
  <c r="P113" i="16"/>
  <c r="P114" i="16"/>
  <c r="P115" i="16"/>
  <c r="P116" i="16"/>
  <c r="P117" i="16"/>
  <c r="P118" i="16"/>
  <c r="P119" i="16"/>
  <c r="P120" i="16"/>
  <c r="P121" i="16"/>
  <c r="P132" i="16"/>
  <c r="P133" i="16"/>
  <c r="P134" i="16"/>
  <c r="P135" i="16"/>
  <c r="P136" i="16"/>
  <c r="P137" i="16"/>
  <c r="P138" i="16"/>
  <c r="P139" i="16"/>
  <c r="P140" i="16"/>
  <c r="P141" i="16"/>
  <c r="P152" i="16"/>
  <c r="P153" i="16"/>
  <c r="P154" i="16"/>
  <c r="P155" i="16"/>
  <c r="P156" i="16"/>
  <c r="P157" i="16"/>
  <c r="P158" i="16"/>
  <c r="P159" i="16"/>
  <c r="P160" i="16"/>
  <c r="P161" i="16"/>
  <c r="P172" i="16"/>
  <c r="P173" i="16"/>
  <c r="P174" i="16"/>
  <c r="P175" i="16"/>
  <c r="P176" i="16"/>
  <c r="P177" i="16"/>
  <c r="P178" i="16"/>
  <c r="P179" i="16"/>
  <c r="P180" i="16"/>
  <c r="P181" i="16"/>
  <c r="P192" i="16"/>
  <c r="P193" i="16"/>
  <c r="P194" i="16"/>
  <c r="P195" i="16"/>
  <c r="P196" i="16"/>
  <c r="P197" i="16"/>
  <c r="P198" i="16"/>
  <c r="P199" i="16"/>
  <c r="P200" i="16"/>
  <c r="P201" i="16"/>
  <c r="P212" i="16"/>
  <c r="P213" i="16"/>
  <c r="P214" i="16"/>
  <c r="P215" i="16"/>
  <c r="P216" i="16"/>
  <c r="P217" i="16"/>
  <c r="P218" i="16"/>
  <c r="P219" i="16"/>
  <c r="P220" i="16"/>
  <c r="P221" i="16"/>
  <c r="P232" i="16"/>
  <c r="P233" i="16"/>
  <c r="P234" i="16"/>
  <c r="P235" i="16"/>
  <c r="P236" i="16"/>
  <c r="P237" i="16"/>
  <c r="P238" i="16"/>
  <c r="P239" i="16"/>
  <c r="P240" i="16"/>
  <c r="P241" i="16"/>
  <c r="P252" i="16"/>
  <c r="P253" i="16"/>
  <c r="P254" i="16"/>
  <c r="P255" i="16"/>
  <c r="P256" i="16"/>
  <c r="P257" i="16"/>
  <c r="P258" i="16"/>
  <c r="P259" i="16"/>
  <c r="P260" i="16"/>
  <c r="P261" i="16"/>
  <c r="P272" i="16"/>
  <c r="P273" i="16"/>
  <c r="P274" i="16"/>
  <c r="P275" i="16"/>
  <c r="P276" i="16"/>
  <c r="P277" i="16"/>
  <c r="P278" i="16"/>
  <c r="P279" i="16"/>
  <c r="P280" i="16"/>
  <c r="P281" i="16"/>
  <c r="P292" i="16"/>
  <c r="P293" i="16"/>
  <c r="P294" i="16"/>
  <c r="P295" i="16"/>
  <c r="P296" i="16"/>
  <c r="P297" i="16"/>
  <c r="P298" i="16"/>
  <c r="P299" i="16"/>
  <c r="P300" i="16"/>
  <c r="P301" i="16"/>
  <c r="P312" i="16"/>
  <c r="P313" i="16"/>
  <c r="P314" i="16"/>
  <c r="P315" i="16"/>
  <c r="P316" i="16"/>
  <c r="P317" i="16"/>
  <c r="P318" i="16"/>
  <c r="P319" i="16"/>
  <c r="P320" i="16"/>
  <c r="P321" i="16"/>
  <c r="P332" i="16"/>
  <c r="P333" i="16"/>
  <c r="P334" i="16"/>
  <c r="P335" i="16"/>
  <c r="P336" i="16"/>
  <c r="P337" i="16"/>
  <c r="P338" i="16"/>
  <c r="P339" i="16"/>
  <c r="P340" i="16"/>
  <c r="P341" i="16"/>
  <c r="P352" i="16"/>
  <c r="P353" i="16"/>
  <c r="P354" i="16"/>
  <c r="P355" i="16"/>
  <c r="P356" i="16"/>
  <c r="P357" i="16"/>
  <c r="P358" i="16"/>
  <c r="P359" i="16"/>
  <c r="P360" i="16"/>
  <c r="P361" i="16"/>
  <c r="P372" i="16"/>
  <c r="P373" i="16"/>
  <c r="P374" i="16"/>
  <c r="P375" i="16"/>
  <c r="P376" i="16"/>
  <c r="P377" i="16"/>
  <c r="P378" i="16"/>
  <c r="P379" i="16"/>
  <c r="P380" i="16"/>
  <c r="P381" i="16"/>
  <c r="P392" i="16"/>
  <c r="P393" i="16"/>
  <c r="P394" i="16"/>
  <c r="P395" i="16"/>
  <c r="P396" i="16"/>
  <c r="P397" i="16"/>
  <c r="P398" i="16"/>
  <c r="P399" i="16"/>
  <c r="P400" i="16"/>
  <c r="P401" i="16"/>
  <c r="P412" i="16"/>
  <c r="P413" i="16"/>
  <c r="P414" i="16"/>
  <c r="P415" i="16"/>
  <c r="P416" i="16"/>
  <c r="P417" i="16"/>
  <c r="P418" i="16"/>
  <c r="P419" i="16"/>
  <c r="P420" i="16"/>
  <c r="P421" i="16"/>
  <c r="P432" i="16"/>
  <c r="P433" i="16"/>
  <c r="P434" i="16"/>
  <c r="P435" i="16"/>
  <c r="P436" i="16"/>
  <c r="P437" i="16"/>
  <c r="P438" i="16"/>
  <c r="P439" i="16"/>
  <c r="P440" i="16"/>
  <c r="P441" i="16"/>
  <c r="P452" i="16"/>
  <c r="P453" i="16"/>
  <c r="P454" i="16"/>
  <c r="P455" i="16"/>
  <c r="P456" i="16"/>
  <c r="P457" i="16"/>
  <c r="P458" i="16"/>
  <c r="P459" i="16"/>
  <c r="P460" i="16"/>
  <c r="P461" i="16"/>
  <c r="P472" i="16"/>
  <c r="P473" i="16"/>
  <c r="P474" i="16"/>
  <c r="P475" i="16"/>
  <c r="P476" i="16"/>
  <c r="P477" i="16"/>
  <c r="P478" i="16"/>
  <c r="P479" i="16"/>
  <c r="P480" i="16"/>
  <c r="P481" i="16"/>
  <c r="P492" i="16"/>
  <c r="P493" i="16"/>
  <c r="P494" i="16"/>
  <c r="P495" i="16"/>
  <c r="P496" i="16"/>
  <c r="P497" i="16"/>
  <c r="P498" i="16"/>
  <c r="P499" i="16"/>
  <c r="P500" i="16"/>
  <c r="P501" i="16"/>
  <c r="P512" i="16"/>
  <c r="P513" i="16"/>
  <c r="P514" i="16"/>
  <c r="P515" i="16"/>
  <c r="P516" i="16"/>
  <c r="P517" i="16"/>
  <c r="P518" i="16"/>
  <c r="P519" i="16"/>
  <c r="P520" i="16"/>
  <c r="P521" i="16"/>
  <c r="P532" i="16"/>
  <c r="P533" i="16"/>
  <c r="P534" i="16"/>
  <c r="P535" i="16"/>
  <c r="P536" i="16"/>
  <c r="P537" i="16"/>
  <c r="P538" i="16"/>
  <c r="P539" i="16"/>
  <c r="P540" i="16"/>
  <c r="P541" i="16"/>
  <c r="P552" i="16"/>
  <c r="P553" i="16"/>
  <c r="P554" i="16"/>
  <c r="P555" i="16"/>
  <c r="P556" i="16"/>
  <c r="P557" i="16"/>
  <c r="P558" i="16"/>
  <c r="P559" i="16"/>
  <c r="P560" i="16"/>
  <c r="P561" i="16"/>
  <c r="P572" i="16"/>
  <c r="P573" i="16"/>
  <c r="P574" i="16"/>
  <c r="P575" i="16"/>
  <c r="P576" i="16"/>
  <c r="P577" i="16"/>
  <c r="P578" i="16"/>
  <c r="P579" i="16"/>
  <c r="P580" i="16"/>
  <c r="P581" i="16"/>
  <c r="P592" i="16"/>
  <c r="P593" i="16"/>
  <c r="P594" i="16"/>
  <c r="P595" i="16"/>
  <c r="P596" i="16"/>
  <c r="P597" i="16"/>
  <c r="P598" i="16"/>
  <c r="P599" i="16"/>
  <c r="P600" i="16"/>
  <c r="P601" i="16"/>
  <c r="P612" i="16"/>
  <c r="P613" i="16"/>
  <c r="P614" i="16"/>
  <c r="P615" i="16"/>
  <c r="P616" i="16"/>
  <c r="P617" i="16"/>
  <c r="P618" i="16"/>
  <c r="P619" i="16"/>
  <c r="P620" i="16"/>
  <c r="P621" i="16"/>
  <c r="P632" i="16"/>
  <c r="P633" i="16"/>
  <c r="P634" i="16"/>
  <c r="P635" i="16"/>
  <c r="P636" i="16"/>
  <c r="P637" i="16"/>
  <c r="P638" i="16"/>
  <c r="P639" i="16"/>
  <c r="P640" i="16"/>
  <c r="P641" i="16"/>
  <c r="P652" i="16"/>
  <c r="P653" i="16"/>
  <c r="P654" i="16"/>
  <c r="P655" i="16"/>
  <c r="P656" i="16"/>
  <c r="P657" i="16"/>
  <c r="P658" i="16"/>
  <c r="P659" i="16"/>
  <c r="P660" i="16"/>
  <c r="P661" i="16"/>
  <c r="P672" i="16"/>
  <c r="P673" i="16"/>
  <c r="P674" i="16"/>
  <c r="P675" i="16"/>
  <c r="P676" i="16"/>
  <c r="P677" i="16"/>
  <c r="P678" i="16"/>
  <c r="P679" i="16"/>
  <c r="P680" i="16"/>
  <c r="P681" i="16"/>
  <c r="P692" i="16"/>
  <c r="P693" i="16"/>
  <c r="P694" i="16"/>
  <c r="P695" i="16"/>
  <c r="P696" i="16"/>
  <c r="P697" i="16"/>
  <c r="P698" i="16"/>
  <c r="P699" i="16"/>
  <c r="P700" i="16"/>
  <c r="P701" i="16"/>
  <c r="P712" i="16"/>
  <c r="P713" i="16"/>
  <c r="P714" i="16"/>
  <c r="P715" i="16"/>
  <c r="P716" i="16"/>
  <c r="P717" i="16"/>
  <c r="P718" i="16"/>
  <c r="P719" i="16"/>
  <c r="P720" i="16"/>
  <c r="P721" i="16"/>
  <c r="P732" i="16"/>
  <c r="P733" i="16"/>
  <c r="P734" i="16"/>
  <c r="P735" i="16"/>
  <c r="P736" i="16"/>
  <c r="P737" i="16"/>
  <c r="P738" i="16"/>
  <c r="P739" i="16"/>
  <c r="P740" i="16"/>
  <c r="P741" i="16"/>
  <c r="P752" i="16"/>
  <c r="P753" i="16"/>
  <c r="P754" i="16"/>
  <c r="P755" i="16"/>
  <c r="P756" i="16"/>
  <c r="P757" i="16"/>
  <c r="P758" i="16"/>
  <c r="P759" i="16"/>
  <c r="P760" i="16"/>
  <c r="P761" i="16"/>
  <c r="Q2" i="16"/>
  <c r="Q22" i="16"/>
  <c r="Q3" i="16"/>
  <c r="Q4" i="16"/>
  <c r="Q5" i="16"/>
  <c r="Q6" i="16"/>
  <c r="Q23" i="16"/>
  <c r="Q24" i="16"/>
  <c r="Q25" i="16"/>
  <c r="Q7" i="16"/>
  <c r="Q8" i="16"/>
  <c r="Q42" i="16"/>
  <c r="Q9" i="16"/>
  <c r="Q10" i="16"/>
  <c r="Q11" i="16"/>
  <c r="Q26" i="16"/>
  <c r="Q27" i="16"/>
  <c r="Q28" i="16"/>
  <c r="Q29" i="16"/>
  <c r="Q30" i="16"/>
  <c r="Q31" i="16"/>
  <c r="Q43" i="16"/>
  <c r="Q44" i="16"/>
  <c r="Q45" i="16"/>
  <c r="Q46" i="16"/>
  <c r="Q47" i="16"/>
  <c r="Q48" i="16"/>
  <c r="Q49" i="16"/>
  <c r="Q50" i="16"/>
  <c r="Q51" i="16"/>
  <c r="Q62" i="16"/>
  <c r="Q63" i="16"/>
  <c r="Q64" i="16"/>
  <c r="Q65" i="16"/>
  <c r="Q66" i="16"/>
  <c r="Q67" i="16"/>
  <c r="Q68" i="16"/>
  <c r="Q69" i="16"/>
  <c r="Q70" i="16"/>
  <c r="Q71" i="16"/>
  <c r="Q82" i="16"/>
  <c r="Q83" i="16"/>
  <c r="Q84" i="16"/>
  <c r="Q85" i="16"/>
  <c r="Q86" i="16"/>
  <c r="Q87" i="16"/>
  <c r="Q88" i="16"/>
  <c r="Q89" i="16"/>
  <c r="Q90" i="16"/>
  <c r="Q91" i="16"/>
  <c r="Q102" i="16"/>
  <c r="Q103" i="16"/>
  <c r="Q104" i="16"/>
  <c r="Q105" i="16"/>
  <c r="Q106" i="16"/>
  <c r="Q107" i="16"/>
  <c r="Q108" i="16"/>
  <c r="Q109" i="16"/>
  <c r="Q110" i="16"/>
  <c r="Q111" i="16"/>
  <c r="Q122" i="16"/>
  <c r="Q123" i="16"/>
  <c r="Q124" i="16"/>
  <c r="Q125" i="16"/>
  <c r="Q126" i="16"/>
  <c r="Q127" i="16"/>
  <c r="Q128" i="16"/>
  <c r="Q129" i="16"/>
  <c r="Q130" i="16"/>
  <c r="Q131" i="16"/>
  <c r="Q142" i="16"/>
  <c r="Q143" i="16"/>
  <c r="Q144" i="16"/>
  <c r="Q145" i="16"/>
  <c r="Q146" i="16"/>
  <c r="Q147" i="16"/>
  <c r="Q148" i="16"/>
  <c r="Q149" i="16"/>
  <c r="Q150" i="16"/>
  <c r="Q151" i="16"/>
  <c r="Q162" i="16"/>
  <c r="Q163" i="16"/>
  <c r="Q164" i="16"/>
  <c r="Q165" i="16"/>
  <c r="Q166" i="16"/>
  <c r="Q167" i="16"/>
  <c r="Q168" i="16"/>
  <c r="Q169" i="16"/>
  <c r="Q170" i="16"/>
  <c r="Q171" i="16"/>
  <c r="Q182" i="16"/>
  <c r="Q183" i="16"/>
  <c r="Q184" i="16"/>
  <c r="Q185" i="16"/>
  <c r="Q186" i="16"/>
  <c r="Q187" i="16"/>
  <c r="Q188" i="16"/>
  <c r="Q189" i="16"/>
  <c r="Q190" i="16"/>
  <c r="Q191" i="16"/>
  <c r="Q202" i="16"/>
  <c r="Q203" i="16"/>
  <c r="Q204" i="16"/>
  <c r="Q205" i="16"/>
  <c r="Q206" i="16"/>
  <c r="Q207" i="16"/>
  <c r="Q208" i="16"/>
  <c r="Q209" i="16"/>
  <c r="Q210" i="16"/>
  <c r="Q211" i="16"/>
  <c r="Q222" i="16"/>
  <c r="Q223" i="16"/>
  <c r="Q224" i="16"/>
  <c r="Q225" i="16"/>
  <c r="Q226" i="16"/>
  <c r="Q227" i="16"/>
  <c r="Q228" i="16"/>
  <c r="Q229" i="16"/>
  <c r="Q230" i="16"/>
  <c r="Q231" i="16"/>
  <c r="Q242" i="16"/>
  <c r="Q243" i="16"/>
  <c r="Q244" i="16"/>
  <c r="Q245" i="16"/>
  <c r="Q246" i="16"/>
  <c r="Q247" i="16"/>
  <c r="Q248" i="16"/>
  <c r="Q249" i="16"/>
  <c r="Q250" i="16"/>
  <c r="Q251" i="16"/>
  <c r="Q262" i="16"/>
  <c r="Q263" i="16"/>
  <c r="Q264" i="16"/>
  <c r="Q265" i="16"/>
  <c r="Q266" i="16"/>
  <c r="Q267" i="16"/>
  <c r="Q268" i="16"/>
  <c r="Q269" i="16"/>
  <c r="Q270" i="16"/>
  <c r="Q271" i="16"/>
  <c r="Q282" i="16"/>
  <c r="Q283" i="16"/>
  <c r="Q284" i="16"/>
  <c r="Q285" i="16"/>
  <c r="Q286" i="16"/>
  <c r="Q287" i="16"/>
  <c r="Q288" i="16"/>
  <c r="Q289" i="16"/>
  <c r="Q290" i="16"/>
  <c r="Q291" i="16"/>
  <c r="Q302" i="16"/>
  <c r="Q303" i="16"/>
  <c r="Q304" i="16"/>
  <c r="Q305" i="16"/>
  <c r="Q306" i="16"/>
  <c r="Q307" i="16"/>
  <c r="Q308" i="16"/>
  <c r="Q309" i="16"/>
  <c r="Q310" i="16"/>
  <c r="Q311" i="16"/>
  <c r="Q322" i="16"/>
  <c r="Q323" i="16"/>
  <c r="Q324" i="16"/>
  <c r="Q325" i="16"/>
  <c r="Q326" i="16"/>
  <c r="Q327" i="16"/>
  <c r="Q328" i="16"/>
  <c r="Q329" i="16"/>
  <c r="Q330" i="16"/>
  <c r="Q331" i="16"/>
  <c r="Q342" i="16"/>
  <c r="Q343" i="16"/>
  <c r="Q344" i="16"/>
  <c r="Q345" i="16"/>
  <c r="Q346" i="16"/>
  <c r="Q347" i="16"/>
  <c r="Q348" i="16"/>
  <c r="Q349" i="16"/>
  <c r="Q350" i="16"/>
  <c r="Q351" i="16"/>
  <c r="Q362" i="16"/>
  <c r="Q363" i="16"/>
  <c r="Q364" i="16"/>
  <c r="Q365" i="16"/>
  <c r="Q366" i="16"/>
  <c r="Q367" i="16"/>
  <c r="Q368" i="16"/>
  <c r="Q369" i="16"/>
  <c r="Q370" i="16"/>
  <c r="Q371" i="16"/>
  <c r="Q382" i="16"/>
  <c r="Q383" i="16"/>
  <c r="Q384" i="16"/>
  <c r="Q385" i="16"/>
  <c r="Q386" i="16"/>
  <c r="Q387" i="16"/>
  <c r="Q388" i="16"/>
  <c r="Q389" i="16"/>
  <c r="Q390" i="16"/>
  <c r="Q391" i="16"/>
  <c r="Q402" i="16"/>
  <c r="Q403" i="16"/>
  <c r="Q404" i="16"/>
  <c r="Q405" i="16"/>
  <c r="Q406" i="16"/>
  <c r="Q407" i="16"/>
  <c r="Q408" i="16"/>
  <c r="Q409" i="16"/>
  <c r="Q410" i="16"/>
  <c r="Q411" i="16"/>
  <c r="Q422" i="16"/>
  <c r="Q423" i="16"/>
  <c r="Q424" i="16"/>
  <c r="Q425" i="16"/>
  <c r="Q426" i="16"/>
  <c r="Q427" i="16"/>
  <c r="Q428" i="16"/>
  <c r="Q429" i="16"/>
  <c r="Q430" i="16"/>
  <c r="Q431" i="16"/>
  <c r="Q442" i="16"/>
  <c r="Q443" i="16"/>
  <c r="Q444" i="16"/>
  <c r="Q445" i="16"/>
  <c r="Q446" i="16"/>
  <c r="Q447" i="16"/>
  <c r="Q448" i="16"/>
  <c r="Q449" i="16"/>
  <c r="Q450" i="16"/>
  <c r="Q451" i="16"/>
  <c r="Q462" i="16"/>
  <c r="Q463" i="16"/>
  <c r="Q464" i="16"/>
  <c r="Q465" i="16"/>
  <c r="Q466" i="16"/>
  <c r="Q467" i="16"/>
  <c r="Q468" i="16"/>
  <c r="Q469" i="16"/>
  <c r="Q470" i="16"/>
  <c r="Q471" i="16"/>
  <c r="Q482" i="16"/>
  <c r="Q483" i="16"/>
  <c r="Q484" i="16"/>
  <c r="Q485" i="16"/>
  <c r="Q486" i="16"/>
  <c r="Q487" i="16"/>
  <c r="Q488" i="16"/>
  <c r="Q489" i="16"/>
  <c r="Q490" i="16"/>
  <c r="Q491" i="16"/>
  <c r="Q502" i="16"/>
  <c r="Q503" i="16"/>
  <c r="Q504" i="16"/>
  <c r="Q505" i="16"/>
  <c r="Q506" i="16"/>
  <c r="Q507" i="16"/>
  <c r="Q508" i="16"/>
  <c r="Q509" i="16"/>
  <c r="Q510" i="16"/>
  <c r="Q511" i="16"/>
  <c r="Q522" i="16"/>
  <c r="Q523" i="16"/>
  <c r="Q524" i="16"/>
  <c r="Q525" i="16"/>
  <c r="Q526" i="16"/>
  <c r="Q527" i="16"/>
  <c r="Q528" i="16"/>
  <c r="Q529" i="16"/>
  <c r="Q530" i="16"/>
  <c r="Q531" i="16"/>
  <c r="Q542" i="16"/>
  <c r="Q543" i="16"/>
  <c r="Q544" i="16"/>
  <c r="Q545" i="16"/>
  <c r="Q546" i="16"/>
  <c r="Q547" i="16"/>
  <c r="Q548" i="16"/>
  <c r="Q549" i="16"/>
  <c r="Q550" i="16"/>
  <c r="Q551" i="16"/>
  <c r="Q562" i="16"/>
  <c r="Q563" i="16"/>
  <c r="Q564" i="16"/>
  <c r="Q565" i="16"/>
  <c r="Q566" i="16"/>
  <c r="Q567" i="16"/>
  <c r="Q568" i="16"/>
  <c r="Q569" i="16"/>
  <c r="Q570" i="16"/>
  <c r="Q571" i="16"/>
  <c r="Q582" i="16"/>
  <c r="Q583" i="16"/>
  <c r="Q584" i="16"/>
  <c r="Q585" i="16"/>
  <c r="Q586" i="16"/>
  <c r="Q587" i="16"/>
  <c r="Q588" i="16"/>
  <c r="Q589" i="16"/>
  <c r="Q590" i="16"/>
  <c r="Q591" i="16"/>
  <c r="Q602" i="16"/>
  <c r="Q603" i="16"/>
  <c r="Q604" i="16"/>
  <c r="Q605" i="16"/>
  <c r="Q606" i="16"/>
  <c r="Q607" i="16"/>
  <c r="Q608" i="16"/>
  <c r="Q609" i="16"/>
  <c r="Q610" i="16"/>
  <c r="Q611" i="16"/>
  <c r="Q622" i="16"/>
  <c r="Q623" i="16"/>
  <c r="Q624" i="16"/>
  <c r="Q625" i="16"/>
  <c r="Q626" i="16"/>
  <c r="Q627" i="16"/>
  <c r="Q628" i="16"/>
  <c r="Q629" i="16"/>
  <c r="Q630" i="16"/>
  <c r="Q631" i="16"/>
  <c r="Q642" i="16"/>
  <c r="Q643" i="16"/>
  <c r="Q644" i="16"/>
  <c r="Q645" i="16"/>
  <c r="Q646" i="16"/>
  <c r="Q647" i="16"/>
  <c r="Q648" i="16"/>
  <c r="Q649" i="16"/>
  <c r="Q650" i="16"/>
  <c r="Q651" i="16"/>
  <c r="Q662" i="16"/>
  <c r="Q663" i="16"/>
  <c r="Q664" i="16"/>
  <c r="Q665" i="16"/>
  <c r="Q666" i="16"/>
  <c r="Q667" i="16"/>
  <c r="Q668" i="16"/>
  <c r="Q669" i="16"/>
  <c r="Q670" i="16"/>
  <c r="Q671" i="16"/>
  <c r="Q682" i="16"/>
  <c r="Q683" i="16"/>
  <c r="Q684" i="16"/>
  <c r="Q685" i="16"/>
  <c r="Q686" i="16"/>
  <c r="Q687" i="16"/>
  <c r="Q688" i="16"/>
  <c r="Q689" i="16"/>
  <c r="Q690" i="16"/>
  <c r="Q691" i="16"/>
  <c r="Q702" i="16"/>
  <c r="Q703" i="16"/>
  <c r="Q704" i="16"/>
  <c r="Q705" i="16"/>
  <c r="Q706" i="16"/>
  <c r="Q707" i="16"/>
  <c r="Q708" i="16"/>
  <c r="Q709" i="16"/>
  <c r="Q710" i="16"/>
  <c r="Q711" i="16"/>
  <c r="Q722" i="16"/>
  <c r="Q723" i="16"/>
  <c r="Q724" i="16"/>
  <c r="Q725" i="16"/>
  <c r="Q726" i="16"/>
  <c r="Q727" i="16"/>
  <c r="Q728" i="16"/>
  <c r="Q729" i="16"/>
  <c r="Q730" i="16"/>
  <c r="Q731" i="16"/>
  <c r="Q742" i="16"/>
  <c r="Q743" i="16"/>
  <c r="Q744" i="16"/>
  <c r="Q745" i="16"/>
  <c r="Q746" i="16"/>
  <c r="Q747" i="16"/>
  <c r="Q748" i="16"/>
  <c r="Q749" i="16"/>
  <c r="Q750" i="16"/>
  <c r="Q751" i="16"/>
  <c r="Q12" i="16"/>
  <c r="Q32" i="16"/>
  <c r="Q13" i="16"/>
  <c r="Q33" i="16"/>
  <c r="Q14" i="16"/>
  <c r="Q15" i="16"/>
  <c r="Q16" i="16"/>
  <c r="Q17" i="16"/>
  <c r="Q34" i="16"/>
  <c r="Q18" i="16"/>
  <c r="Q52" i="16"/>
  <c r="Q35" i="16"/>
  <c r="Q36" i="16"/>
  <c r="Q37" i="16"/>
  <c r="Q19" i="16"/>
  <c r="Q20" i="16"/>
  <c r="Q21" i="16"/>
  <c r="Q38" i="16"/>
  <c r="Q39" i="16"/>
  <c r="Q40" i="16"/>
  <c r="Q41" i="16"/>
  <c r="Q53" i="16"/>
  <c r="Q54" i="16"/>
  <c r="Q55" i="16"/>
  <c r="Q56" i="16"/>
  <c r="Q57" i="16"/>
  <c r="Q58" i="16"/>
  <c r="Q59" i="16"/>
  <c r="Q60" i="16"/>
  <c r="Q61" i="16"/>
  <c r="Q72" i="16"/>
  <c r="Q73" i="16"/>
  <c r="Q74" i="16"/>
  <c r="Q75" i="16"/>
  <c r="Q76" i="16"/>
  <c r="Q77" i="16"/>
  <c r="Q78" i="16"/>
  <c r="Q79" i="16"/>
  <c r="Q80" i="16"/>
  <c r="Q81" i="16"/>
  <c r="Q92" i="16"/>
  <c r="Q93" i="16"/>
  <c r="Q94" i="16"/>
  <c r="Q95" i="16"/>
  <c r="Q96" i="16"/>
  <c r="Q97" i="16"/>
  <c r="Q98" i="16"/>
  <c r="Q99" i="16"/>
  <c r="Q100" i="16"/>
  <c r="Q101" i="16"/>
  <c r="Q112" i="16"/>
  <c r="Q113" i="16"/>
  <c r="Q114" i="16"/>
  <c r="Q115" i="16"/>
  <c r="Q116" i="16"/>
  <c r="Q117" i="16"/>
  <c r="Q118" i="16"/>
  <c r="Q119" i="16"/>
  <c r="Q120" i="16"/>
  <c r="Q121" i="16"/>
  <c r="Q132" i="16"/>
  <c r="Q133" i="16"/>
  <c r="Q134" i="16"/>
  <c r="Q135" i="16"/>
  <c r="Q136" i="16"/>
  <c r="Q137" i="16"/>
  <c r="Q138" i="16"/>
  <c r="Q139" i="16"/>
  <c r="Q140" i="16"/>
  <c r="Q141" i="16"/>
  <c r="Q152" i="16"/>
  <c r="Q153" i="16"/>
  <c r="Q154" i="16"/>
  <c r="Q155" i="16"/>
  <c r="Q156" i="16"/>
  <c r="Q157" i="16"/>
  <c r="Q158" i="16"/>
  <c r="Q159" i="16"/>
  <c r="Q160" i="16"/>
  <c r="Q161" i="16"/>
  <c r="Q172" i="16"/>
  <c r="Q173" i="16"/>
  <c r="Q174" i="16"/>
  <c r="Q175" i="16"/>
  <c r="Q176" i="16"/>
  <c r="Q177" i="16"/>
  <c r="Q178" i="16"/>
  <c r="Q179" i="16"/>
  <c r="Q180" i="16"/>
  <c r="Q181" i="16"/>
  <c r="Q192" i="16"/>
  <c r="Q193" i="16"/>
  <c r="Q194" i="16"/>
  <c r="Q195" i="16"/>
  <c r="Q196" i="16"/>
  <c r="Q197" i="16"/>
  <c r="Q198" i="16"/>
  <c r="Q199" i="16"/>
  <c r="Q200" i="16"/>
  <c r="Q201" i="16"/>
  <c r="Q212" i="16"/>
  <c r="Q213" i="16"/>
  <c r="Q214" i="16"/>
  <c r="Q215" i="16"/>
  <c r="Q216" i="16"/>
  <c r="Q217" i="16"/>
  <c r="Q218" i="16"/>
  <c r="Q219" i="16"/>
  <c r="Q220" i="16"/>
  <c r="Q221" i="16"/>
  <c r="Q232" i="16"/>
  <c r="Q233" i="16"/>
  <c r="Q234" i="16"/>
  <c r="Q235" i="16"/>
  <c r="Q236" i="16"/>
  <c r="Q237" i="16"/>
  <c r="Q238" i="16"/>
  <c r="Q239" i="16"/>
  <c r="Q240" i="16"/>
  <c r="Q241" i="16"/>
  <c r="Q252" i="16"/>
  <c r="Q253" i="16"/>
  <c r="Q254" i="16"/>
  <c r="Q255" i="16"/>
  <c r="Q256" i="16"/>
  <c r="Q257" i="16"/>
  <c r="Q258" i="16"/>
  <c r="Q259" i="16"/>
  <c r="Q260" i="16"/>
  <c r="Q261" i="16"/>
  <c r="Q272" i="16"/>
  <c r="Q273" i="16"/>
  <c r="Q274" i="16"/>
  <c r="Q275" i="16"/>
  <c r="Q276" i="16"/>
  <c r="Q277" i="16"/>
  <c r="Q278" i="16"/>
  <c r="Q279" i="16"/>
  <c r="Q280" i="16"/>
  <c r="Q281" i="16"/>
  <c r="Q292" i="16"/>
  <c r="Q293" i="16"/>
  <c r="Q294" i="16"/>
  <c r="Q295" i="16"/>
  <c r="Q296" i="16"/>
  <c r="Q297" i="16"/>
  <c r="Q298" i="16"/>
  <c r="Q299" i="16"/>
  <c r="Q300" i="16"/>
  <c r="Q301" i="16"/>
  <c r="Q312" i="16"/>
  <c r="Q313" i="16"/>
  <c r="Q314" i="16"/>
  <c r="Q315" i="16"/>
  <c r="Q316" i="16"/>
  <c r="Q317" i="16"/>
  <c r="Q318" i="16"/>
  <c r="Q319" i="16"/>
  <c r="Q320" i="16"/>
  <c r="Q321" i="16"/>
  <c r="Q332" i="16"/>
  <c r="Q333" i="16"/>
  <c r="Q334" i="16"/>
  <c r="Q335" i="16"/>
  <c r="Q336" i="16"/>
  <c r="Q337" i="16"/>
  <c r="Q338" i="16"/>
  <c r="Q339" i="16"/>
  <c r="Q340" i="16"/>
  <c r="Q341" i="16"/>
  <c r="Q352" i="16"/>
  <c r="Q353" i="16"/>
  <c r="Q354" i="16"/>
  <c r="Q355" i="16"/>
  <c r="Q356" i="16"/>
  <c r="Q357" i="16"/>
  <c r="Q358" i="16"/>
  <c r="Q359" i="16"/>
  <c r="Q360" i="16"/>
  <c r="Q361" i="16"/>
  <c r="Q372" i="16"/>
  <c r="Q373" i="16"/>
  <c r="Q374" i="16"/>
  <c r="Q375" i="16"/>
  <c r="Q376" i="16"/>
  <c r="Q377" i="16"/>
  <c r="Q378" i="16"/>
  <c r="Q379" i="16"/>
  <c r="Q380" i="16"/>
  <c r="Q381" i="16"/>
  <c r="Q392" i="16"/>
  <c r="Q393" i="16"/>
  <c r="Q394" i="16"/>
  <c r="Q395" i="16"/>
  <c r="Q396" i="16"/>
  <c r="Q397" i="16"/>
  <c r="Q398" i="16"/>
  <c r="Q399" i="16"/>
  <c r="Q400" i="16"/>
  <c r="Q401" i="16"/>
  <c r="Q412" i="16"/>
  <c r="Q413" i="16"/>
  <c r="Q414" i="16"/>
  <c r="Q415" i="16"/>
  <c r="Q416" i="16"/>
  <c r="Q417" i="16"/>
  <c r="Q418" i="16"/>
  <c r="Q419" i="16"/>
  <c r="Q420" i="16"/>
  <c r="Q421" i="16"/>
  <c r="Q432" i="16"/>
  <c r="Q433" i="16"/>
  <c r="Q434" i="16"/>
  <c r="Q435" i="16"/>
  <c r="Q436" i="16"/>
  <c r="Q437" i="16"/>
  <c r="Q438" i="16"/>
  <c r="Q439" i="16"/>
  <c r="Q440" i="16"/>
  <c r="Q441" i="16"/>
  <c r="Q452" i="16"/>
  <c r="Q453" i="16"/>
  <c r="Q454" i="16"/>
  <c r="Q455" i="16"/>
  <c r="Q456" i="16"/>
  <c r="Q457" i="16"/>
  <c r="Q458" i="16"/>
  <c r="Q459" i="16"/>
  <c r="Q460" i="16"/>
  <c r="Q461" i="16"/>
  <c r="Q472" i="16"/>
  <c r="Q473" i="16"/>
  <c r="Q474" i="16"/>
  <c r="Q475" i="16"/>
  <c r="Q476" i="16"/>
  <c r="Q477" i="16"/>
  <c r="Q478" i="16"/>
  <c r="Q479" i="16"/>
  <c r="Q480" i="16"/>
  <c r="Q481" i="16"/>
  <c r="Q492" i="16"/>
  <c r="Q493" i="16"/>
  <c r="Q494" i="16"/>
  <c r="Q495" i="16"/>
  <c r="Q496" i="16"/>
  <c r="Q497" i="16"/>
  <c r="Q498" i="16"/>
  <c r="Q499" i="16"/>
  <c r="Q500" i="16"/>
  <c r="Q501" i="16"/>
  <c r="Q512" i="16"/>
  <c r="Q513" i="16"/>
  <c r="Q514" i="16"/>
  <c r="Q515" i="16"/>
  <c r="Q516" i="16"/>
  <c r="Q517" i="16"/>
  <c r="Q518" i="16"/>
  <c r="Q519" i="16"/>
  <c r="Q520" i="16"/>
  <c r="Q521" i="16"/>
  <c r="Q532" i="16"/>
  <c r="Q533" i="16"/>
  <c r="Q534" i="16"/>
  <c r="Q535" i="16"/>
  <c r="Q536" i="16"/>
  <c r="Q537" i="16"/>
  <c r="Q538" i="16"/>
  <c r="Q539" i="16"/>
  <c r="Q540" i="16"/>
  <c r="Q541" i="16"/>
  <c r="Q552" i="16"/>
  <c r="Q553" i="16"/>
  <c r="Q554" i="16"/>
  <c r="Q555" i="16"/>
  <c r="Q556" i="16"/>
  <c r="Q557" i="16"/>
  <c r="Q558" i="16"/>
  <c r="Q559" i="16"/>
  <c r="Q560" i="16"/>
  <c r="Q561" i="16"/>
  <c r="Q572" i="16"/>
  <c r="Q573" i="16"/>
  <c r="Q574" i="16"/>
  <c r="Q575" i="16"/>
  <c r="Q576" i="16"/>
  <c r="Q577" i="16"/>
  <c r="Q578" i="16"/>
  <c r="Q579" i="16"/>
  <c r="Q580" i="16"/>
  <c r="Q581" i="16"/>
  <c r="Q592" i="16"/>
  <c r="Q593" i="16"/>
  <c r="Q594" i="16"/>
  <c r="Q595" i="16"/>
  <c r="Q596" i="16"/>
  <c r="Q597" i="16"/>
  <c r="Q598" i="16"/>
  <c r="Q599" i="16"/>
  <c r="Q600" i="16"/>
  <c r="Q601" i="16"/>
  <c r="Q612" i="16"/>
  <c r="Q613" i="16"/>
  <c r="Q614" i="16"/>
  <c r="Q615" i="16"/>
  <c r="Q616" i="16"/>
  <c r="Q617" i="16"/>
  <c r="Q618" i="16"/>
  <c r="Q619" i="16"/>
  <c r="Q620" i="16"/>
  <c r="Q621" i="16"/>
  <c r="Q632" i="16"/>
  <c r="Q633" i="16"/>
  <c r="Q634" i="16"/>
  <c r="Q635" i="16"/>
  <c r="Q636" i="16"/>
  <c r="Q637" i="16"/>
  <c r="Q638" i="16"/>
  <c r="Q639" i="16"/>
  <c r="Q640" i="16"/>
  <c r="Q641" i="16"/>
  <c r="Q652" i="16"/>
  <c r="Q653" i="16"/>
  <c r="Q654" i="16"/>
  <c r="Q655" i="16"/>
  <c r="Q656" i="16"/>
  <c r="Q657" i="16"/>
  <c r="Q658" i="16"/>
  <c r="Q659" i="16"/>
  <c r="Q660" i="16"/>
  <c r="Q661" i="16"/>
  <c r="Q672" i="16"/>
  <c r="Q673" i="16"/>
  <c r="Q674" i="16"/>
  <c r="Q675" i="16"/>
  <c r="Q676" i="16"/>
  <c r="Q677" i="16"/>
  <c r="Q678" i="16"/>
  <c r="Q679" i="16"/>
  <c r="Q680" i="16"/>
  <c r="Q681" i="16"/>
  <c r="Q692" i="16"/>
  <c r="Q693" i="16"/>
  <c r="Q694" i="16"/>
  <c r="Q695" i="16"/>
  <c r="Q696" i="16"/>
  <c r="Q697" i="16"/>
  <c r="Q698" i="16"/>
  <c r="Q699" i="16"/>
  <c r="Q700" i="16"/>
  <c r="Q701" i="16"/>
  <c r="Q712" i="16"/>
  <c r="Q713" i="16"/>
  <c r="Q714" i="16"/>
  <c r="Q715" i="16"/>
  <c r="Q716" i="16"/>
  <c r="Q717" i="16"/>
  <c r="Q718" i="16"/>
  <c r="Q719" i="16"/>
  <c r="Q720" i="16"/>
  <c r="Q721" i="16"/>
  <c r="Q732" i="16"/>
  <c r="Q733" i="16"/>
  <c r="Q734" i="16"/>
  <c r="Q735" i="16"/>
  <c r="Q736" i="16"/>
  <c r="Q737" i="16"/>
  <c r="Q738" i="16"/>
  <c r="Q739" i="16"/>
  <c r="Q740" i="16"/>
  <c r="Q741" i="16"/>
  <c r="Q752" i="16"/>
  <c r="Q753" i="16"/>
  <c r="Q754" i="16"/>
  <c r="Q755" i="16"/>
  <c r="Q756" i="16"/>
  <c r="Q757" i="16"/>
  <c r="Q758" i="16"/>
  <c r="Q759" i="16"/>
  <c r="Q760" i="16"/>
  <c r="Q761" i="16"/>
  <c r="R2" i="16"/>
  <c r="R22" i="16"/>
  <c r="R3" i="16"/>
  <c r="R4" i="16"/>
  <c r="R5" i="16"/>
  <c r="R6" i="16"/>
  <c r="R23" i="16"/>
  <c r="R24" i="16"/>
  <c r="R25" i="16"/>
  <c r="R7" i="16"/>
  <c r="R8" i="16"/>
  <c r="R42" i="16"/>
  <c r="R9" i="16"/>
  <c r="R10" i="16"/>
  <c r="R11" i="16"/>
  <c r="R26" i="16"/>
  <c r="R27" i="16"/>
  <c r="R28" i="16"/>
  <c r="R29" i="16"/>
  <c r="R30" i="16"/>
  <c r="R31" i="16"/>
  <c r="R43" i="16"/>
  <c r="R44" i="16"/>
  <c r="R45" i="16"/>
  <c r="R46" i="16"/>
  <c r="R47" i="16"/>
  <c r="R48" i="16"/>
  <c r="R49" i="16"/>
  <c r="R50" i="16"/>
  <c r="R51" i="16"/>
  <c r="R62" i="16"/>
  <c r="R63" i="16"/>
  <c r="R64" i="16"/>
  <c r="R65" i="16"/>
  <c r="R66" i="16"/>
  <c r="R67" i="16"/>
  <c r="R68" i="16"/>
  <c r="R69" i="16"/>
  <c r="R70" i="16"/>
  <c r="R71" i="16"/>
  <c r="R82" i="16"/>
  <c r="R83" i="16"/>
  <c r="R84" i="16"/>
  <c r="R85" i="16"/>
  <c r="R86" i="16"/>
  <c r="R87" i="16"/>
  <c r="R88" i="16"/>
  <c r="R89" i="16"/>
  <c r="R90" i="16"/>
  <c r="R91" i="16"/>
  <c r="R102" i="16"/>
  <c r="R103" i="16"/>
  <c r="R104" i="16"/>
  <c r="R105" i="16"/>
  <c r="R106" i="16"/>
  <c r="R107" i="16"/>
  <c r="R108" i="16"/>
  <c r="R109" i="16"/>
  <c r="R110" i="16"/>
  <c r="R111" i="16"/>
  <c r="R122" i="16"/>
  <c r="R123" i="16"/>
  <c r="R124" i="16"/>
  <c r="R125" i="16"/>
  <c r="R126" i="16"/>
  <c r="R127" i="16"/>
  <c r="R128" i="16"/>
  <c r="R129" i="16"/>
  <c r="R130" i="16"/>
  <c r="R131" i="16"/>
  <c r="R142" i="16"/>
  <c r="R143" i="16"/>
  <c r="R144" i="16"/>
  <c r="R145" i="16"/>
  <c r="R146" i="16"/>
  <c r="R147" i="16"/>
  <c r="R148" i="16"/>
  <c r="R149" i="16"/>
  <c r="R150" i="16"/>
  <c r="R151" i="16"/>
  <c r="R162" i="16"/>
  <c r="R163" i="16"/>
  <c r="R164" i="16"/>
  <c r="R165" i="16"/>
  <c r="R166" i="16"/>
  <c r="R167" i="16"/>
  <c r="R168" i="16"/>
  <c r="R169" i="16"/>
  <c r="R170" i="16"/>
  <c r="R171" i="16"/>
  <c r="R182" i="16"/>
  <c r="R183" i="16"/>
  <c r="R184" i="16"/>
  <c r="R185" i="16"/>
  <c r="R186" i="16"/>
  <c r="R187" i="16"/>
  <c r="R188" i="16"/>
  <c r="R189" i="16"/>
  <c r="R190" i="16"/>
  <c r="R191" i="16"/>
  <c r="R202" i="16"/>
  <c r="R203" i="16"/>
  <c r="R204" i="16"/>
  <c r="R205" i="16"/>
  <c r="R206" i="16"/>
  <c r="R207" i="16"/>
  <c r="R208" i="16"/>
  <c r="R209" i="16"/>
  <c r="R210" i="16"/>
  <c r="R211" i="16"/>
  <c r="R222" i="16"/>
  <c r="R223" i="16"/>
  <c r="R224" i="16"/>
  <c r="R225" i="16"/>
  <c r="R226" i="16"/>
  <c r="R227" i="16"/>
  <c r="R228" i="16"/>
  <c r="R229" i="16"/>
  <c r="R230" i="16"/>
  <c r="R231" i="16"/>
  <c r="R242" i="16"/>
  <c r="R243" i="16"/>
  <c r="R244" i="16"/>
  <c r="R245" i="16"/>
  <c r="R246" i="16"/>
  <c r="R247" i="16"/>
  <c r="R248" i="16"/>
  <c r="R249" i="16"/>
  <c r="R250" i="16"/>
  <c r="R251" i="16"/>
  <c r="R262" i="16"/>
  <c r="R263" i="16"/>
  <c r="R264" i="16"/>
  <c r="R265" i="16"/>
  <c r="R266" i="16"/>
  <c r="R267" i="16"/>
  <c r="R268" i="16"/>
  <c r="R269" i="16"/>
  <c r="R270" i="16"/>
  <c r="R271" i="16"/>
  <c r="R282" i="16"/>
  <c r="R283" i="16"/>
  <c r="R284" i="16"/>
  <c r="R285" i="16"/>
  <c r="R286" i="16"/>
  <c r="R287" i="16"/>
  <c r="R288" i="16"/>
  <c r="R289" i="16"/>
  <c r="R290" i="16"/>
  <c r="R291" i="16"/>
  <c r="R302" i="16"/>
  <c r="R303" i="16"/>
  <c r="R304" i="16"/>
  <c r="R305" i="16"/>
  <c r="R306" i="16"/>
  <c r="R307" i="16"/>
  <c r="R308" i="16"/>
  <c r="R309" i="16"/>
  <c r="R310" i="16"/>
  <c r="R311" i="16"/>
  <c r="R322" i="16"/>
  <c r="R323" i="16"/>
  <c r="R324" i="16"/>
  <c r="R325" i="16"/>
  <c r="R326" i="16"/>
  <c r="R327" i="16"/>
  <c r="R328" i="16"/>
  <c r="R329" i="16"/>
  <c r="R330" i="16"/>
  <c r="R331" i="16"/>
  <c r="R342" i="16"/>
  <c r="R343" i="16"/>
  <c r="R344" i="16"/>
  <c r="R345" i="16"/>
  <c r="R346" i="16"/>
  <c r="R347" i="16"/>
  <c r="R348" i="16"/>
  <c r="R349" i="16"/>
  <c r="R350" i="16"/>
  <c r="R351" i="16"/>
  <c r="R362" i="16"/>
  <c r="R363" i="16"/>
  <c r="R364" i="16"/>
  <c r="R365" i="16"/>
  <c r="R366" i="16"/>
  <c r="R367" i="16"/>
  <c r="R368" i="16"/>
  <c r="R369" i="16"/>
  <c r="R370" i="16"/>
  <c r="R371" i="16"/>
  <c r="R382" i="16"/>
  <c r="R383" i="16"/>
  <c r="R384" i="16"/>
  <c r="R385" i="16"/>
  <c r="R386" i="16"/>
  <c r="R387" i="16"/>
  <c r="R388" i="16"/>
  <c r="R389" i="16"/>
  <c r="R390" i="16"/>
  <c r="R391" i="16"/>
  <c r="R402" i="16"/>
  <c r="R403" i="16"/>
  <c r="R404" i="16"/>
  <c r="R405" i="16"/>
  <c r="R406" i="16"/>
  <c r="R407" i="16"/>
  <c r="R408" i="16"/>
  <c r="R409" i="16"/>
  <c r="R410" i="16"/>
  <c r="R411" i="16"/>
  <c r="R422" i="16"/>
  <c r="R423" i="16"/>
  <c r="R424" i="16"/>
  <c r="R425" i="16"/>
  <c r="R426" i="16"/>
  <c r="R427" i="16"/>
  <c r="R428" i="16"/>
  <c r="R429" i="16"/>
  <c r="R430" i="16"/>
  <c r="R431" i="16"/>
  <c r="R442" i="16"/>
  <c r="R443" i="16"/>
  <c r="R444" i="16"/>
  <c r="R445" i="16"/>
  <c r="R446" i="16"/>
  <c r="R447" i="16"/>
  <c r="R448" i="16"/>
  <c r="R449" i="16"/>
  <c r="R450" i="16"/>
  <c r="R451" i="16"/>
  <c r="R462" i="16"/>
  <c r="R463" i="16"/>
  <c r="R464" i="16"/>
  <c r="R465" i="16"/>
  <c r="R466" i="16"/>
  <c r="R467" i="16"/>
  <c r="R468" i="16"/>
  <c r="R469" i="16"/>
  <c r="R470" i="16"/>
  <c r="R471" i="16"/>
  <c r="R482" i="16"/>
  <c r="R483" i="16"/>
  <c r="R484" i="16"/>
  <c r="R485" i="16"/>
  <c r="R486" i="16"/>
  <c r="R487" i="16"/>
  <c r="R488" i="16"/>
  <c r="R489" i="16"/>
  <c r="R490" i="16"/>
  <c r="R491" i="16"/>
  <c r="R502" i="16"/>
  <c r="R503" i="16"/>
  <c r="R504" i="16"/>
  <c r="R505" i="16"/>
  <c r="R506" i="16"/>
  <c r="R507" i="16"/>
  <c r="R508" i="16"/>
  <c r="R509" i="16"/>
  <c r="R510" i="16"/>
  <c r="R511" i="16"/>
  <c r="R522" i="16"/>
  <c r="R523" i="16"/>
  <c r="R524" i="16"/>
  <c r="R525" i="16"/>
  <c r="R526" i="16"/>
  <c r="R527" i="16"/>
  <c r="R528" i="16"/>
  <c r="R529" i="16"/>
  <c r="R530" i="16"/>
  <c r="R531" i="16"/>
  <c r="R542" i="16"/>
  <c r="R543" i="16"/>
  <c r="R544" i="16"/>
  <c r="R545" i="16"/>
  <c r="R546" i="16"/>
  <c r="R547" i="16"/>
  <c r="R548" i="16"/>
  <c r="R549" i="16"/>
  <c r="R550" i="16"/>
  <c r="R551" i="16"/>
  <c r="R562" i="16"/>
  <c r="R563" i="16"/>
  <c r="R564" i="16"/>
  <c r="R565" i="16"/>
  <c r="R566" i="16"/>
  <c r="R567" i="16"/>
  <c r="R568" i="16"/>
  <c r="R569" i="16"/>
  <c r="R570" i="16"/>
  <c r="R571" i="16"/>
  <c r="R582" i="16"/>
  <c r="R583" i="16"/>
  <c r="R584" i="16"/>
  <c r="R585" i="16"/>
  <c r="R586" i="16"/>
  <c r="R587" i="16"/>
  <c r="R588" i="16"/>
  <c r="R589" i="16"/>
  <c r="R590" i="16"/>
  <c r="R591" i="16"/>
  <c r="R602" i="16"/>
  <c r="R603" i="16"/>
  <c r="R604" i="16"/>
  <c r="R605" i="16"/>
  <c r="R606" i="16"/>
  <c r="R607" i="16"/>
  <c r="R608" i="16"/>
  <c r="R609" i="16"/>
  <c r="R610" i="16"/>
  <c r="R611" i="16"/>
  <c r="R622" i="16"/>
  <c r="R623" i="16"/>
  <c r="R624" i="16"/>
  <c r="R625" i="16"/>
  <c r="R626" i="16"/>
  <c r="R627" i="16"/>
  <c r="R628" i="16"/>
  <c r="R629" i="16"/>
  <c r="R630" i="16"/>
  <c r="R631" i="16"/>
  <c r="R642" i="16"/>
  <c r="R643" i="16"/>
  <c r="R644" i="16"/>
  <c r="R645" i="16"/>
  <c r="R646" i="16"/>
  <c r="R647" i="16"/>
  <c r="R648" i="16"/>
  <c r="R649" i="16"/>
  <c r="R650" i="16"/>
  <c r="R651" i="16"/>
  <c r="R662" i="16"/>
  <c r="R663" i="16"/>
  <c r="R664" i="16"/>
  <c r="R665" i="16"/>
  <c r="R666" i="16"/>
  <c r="R667" i="16"/>
  <c r="R668" i="16"/>
  <c r="R669" i="16"/>
  <c r="R670" i="16"/>
  <c r="R671" i="16"/>
  <c r="R682" i="16"/>
  <c r="R683" i="16"/>
  <c r="R684" i="16"/>
  <c r="R685" i="16"/>
  <c r="R686" i="16"/>
  <c r="R687" i="16"/>
  <c r="R688" i="16"/>
  <c r="R689" i="16"/>
  <c r="R690" i="16"/>
  <c r="R691" i="16"/>
  <c r="R702" i="16"/>
  <c r="R703" i="16"/>
  <c r="R704" i="16"/>
  <c r="R705" i="16"/>
  <c r="R706" i="16"/>
  <c r="R707" i="16"/>
  <c r="R708" i="16"/>
  <c r="R709" i="16"/>
  <c r="R710" i="16"/>
  <c r="R711" i="16"/>
  <c r="R722" i="16"/>
  <c r="R723" i="16"/>
  <c r="R724" i="16"/>
  <c r="R725" i="16"/>
  <c r="R726" i="16"/>
  <c r="R727" i="16"/>
  <c r="R728" i="16"/>
  <c r="R729" i="16"/>
  <c r="R730" i="16"/>
  <c r="R731" i="16"/>
  <c r="R742" i="16"/>
  <c r="R743" i="16"/>
  <c r="R744" i="16"/>
  <c r="R745" i="16"/>
  <c r="R746" i="16"/>
  <c r="R747" i="16"/>
  <c r="R748" i="16"/>
  <c r="R749" i="16"/>
  <c r="R750" i="16"/>
  <c r="R751" i="16"/>
  <c r="R12" i="16"/>
  <c r="R32" i="16"/>
  <c r="R13" i="16"/>
  <c r="R33" i="16"/>
  <c r="R14" i="16"/>
  <c r="R15" i="16"/>
  <c r="R16" i="16"/>
  <c r="R17" i="16"/>
  <c r="R34" i="16"/>
  <c r="R18" i="16"/>
  <c r="R52" i="16"/>
  <c r="R35" i="16"/>
  <c r="R36" i="16"/>
  <c r="R37" i="16"/>
  <c r="R19" i="16"/>
  <c r="R20" i="16"/>
  <c r="R21" i="16"/>
  <c r="R38" i="16"/>
  <c r="R39" i="16"/>
  <c r="R40" i="16"/>
  <c r="R41" i="16"/>
  <c r="R53" i="16"/>
  <c r="R54" i="16"/>
  <c r="R55" i="16"/>
  <c r="R56" i="16"/>
  <c r="R57" i="16"/>
  <c r="R58" i="16"/>
  <c r="R59" i="16"/>
  <c r="R60" i="16"/>
  <c r="R61" i="16"/>
  <c r="R72" i="16"/>
  <c r="R73" i="16"/>
  <c r="R74" i="16"/>
  <c r="R75" i="16"/>
  <c r="R76" i="16"/>
  <c r="R77" i="16"/>
  <c r="R78" i="16"/>
  <c r="R79" i="16"/>
  <c r="R80" i="16"/>
  <c r="R81" i="16"/>
  <c r="R92" i="16"/>
  <c r="R93" i="16"/>
  <c r="R94" i="16"/>
  <c r="R95" i="16"/>
  <c r="R96" i="16"/>
  <c r="R97" i="16"/>
  <c r="R98" i="16"/>
  <c r="R99" i="16"/>
  <c r="R100" i="16"/>
  <c r="R101" i="16"/>
  <c r="R112" i="16"/>
  <c r="R113" i="16"/>
  <c r="R114" i="16"/>
  <c r="R115" i="16"/>
  <c r="R116" i="16"/>
  <c r="R117" i="16"/>
  <c r="R118" i="16"/>
  <c r="R119" i="16"/>
  <c r="R120" i="16"/>
  <c r="R121" i="16"/>
  <c r="R132" i="16"/>
  <c r="R133" i="16"/>
  <c r="R134" i="16"/>
  <c r="R135" i="16"/>
  <c r="R136" i="16"/>
  <c r="R137" i="16"/>
  <c r="R138" i="16"/>
  <c r="R139" i="16"/>
  <c r="R140" i="16"/>
  <c r="R141" i="16"/>
  <c r="R152" i="16"/>
  <c r="R153" i="16"/>
  <c r="R154" i="16"/>
  <c r="R155" i="16"/>
  <c r="R156" i="16"/>
  <c r="R157" i="16"/>
  <c r="R158" i="16"/>
  <c r="R159" i="16"/>
  <c r="R160" i="16"/>
  <c r="R161" i="16"/>
  <c r="R172" i="16"/>
  <c r="R173" i="16"/>
  <c r="R174" i="16"/>
  <c r="R175" i="16"/>
  <c r="R176" i="16"/>
  <c r="R177" i="16"/>
  <c r="R178" i="16"/>
  <c r="R179" i="16"/>
  <c r="R180" i="16"/>
  <c r="R181" i="16"/>
  <c r="R192" i="16"/>
  <c r="R193" i="16"/>
  <c r="R194" i="16"/>
  <c r="R195" i="16"/>
  <c r="R196" i="16"/>
  <c r="R197" i="16"/>
  <c r="R198" i="16"/>
  <c r="R199" i="16"/>
  <c r="R200" i="16"/>
  <c r="R201" i="16"/>
  <c r="R212" i="16"/>
  <c r="R213" i="16"/>
  <c r="R214" i="16"/>
  <c r="R215" i="16"/>
  <c r="R216" i="16"/>
  <c r="R217" i="16"/>
  <c r="R218" i="16"/>
  <c r="R219" i="16"/>
  <c r="R220" i="16"/>
  <c r="R221" i="16"/>
  <c r="R232" i="16"/>
  <c r="R233" i="16"/>
  <c r="R234" i="16"/>
  <c r="R235" i="16"/>
  <c r="R236" i="16"/>
  <c r="R237" i="16"/>
  <c r="R238" i="16"/>
  <c r="R239" i="16"/>
  <c r="R240" i="16"/>
  <c r="R241" i="16"/>
  <c r="R252" i="16"/>
  <c r="R253" i="16"/>
  <c r="R254" i="16"/>
  <c r="R255" i="16"/>
  <c r="R256" i="16"/>
  <c r="R257" i="16"/>
  <c r="R258" i="16"/>
  <c r="R259" i="16"/>
  <c r="R260" i="16"/>
  <c r="R261" i="16"/>
  <c r="R272" i="16"/>
  <c r="R273" i="16"/>
  <c r="R274" i="16"/>
  <c r="R275" i="16"/>
  <c r="R276" i="16"/>
  <c r="R277" i="16"/>
  <c r="R278" i="16"/>
  <c r="R279" i="16"/>
  <c r="R280" i="16"/>
  <c r="R281" i="16"/>
  <c r="R292" i="16"/>
  <c r="R293" i="16"/>
  <c r="R294" i="16"/>
  <c r="R295" i="16"/>
  <c r="R296" i="16"/>
  <c r="R297" i="16"/>
  <c r="R298" i="16"/>
  <c r="R299" i="16"/>
  <c r="R300" i="16"/>
  <c r="R301" i="16"/>
  <c r="R312" i="16"/>
  <c r="R313" i="16"/>
  <c r="R314" i="16"/>
  <c r="R315" i="16"/>
  <c r="R316" i="16"/>
  <c r="R317" i="16"/>
  <c r="R318" i="16"/>
  <c r="R319" i="16"/>
  <c r="R320" i="16"/>
  <c r="R321" i="16"/>
  <c r="R332" i="16"/>
  <c r="R333" i="16"/>
  <c r="R334" i="16"/>
  <c r="R335" i="16"/>
  <c r="R336" i="16"/>
  <c r="R337" i="16"/>
  <c r="R338" i="16"/>
  <c r="R339" i="16"/>
  <c r="R340" i="16"/>
  <c r="R341" i="16"/>
  <c r="R352" i="16"/>
  <c r="R353" i="16"/>
  <c r="R354" i="16"/>
  <c r="R355" i="16"/>
  <c r="R356" i="16"/>
  <c r="R357" i="16"/>
  <c r="R358" i="16"/>
  <c r="R359" i="16"/>
  <c r="R360" i="16"/>
  <c r="R361" i="16"/>
  <c r="R372" i="16"/>
  <c r="R373" i="16"/>
  <c r="R374" i="16"/>
  <c r="R375" i="16"/>
  <c r="R376" i="16"/>
  <c r="R377" i="16"/>
  <c r="R378" i="16"/>
  <c r="R379" i="16"/>
  <c r="R380" i="16"/>
  <c r="R381" i="16"/>
  <c r="R392" i="16"/>
  <c r="R393" i="16"/>
  <c r="R394" i="16"/>
  <c r="R395" i="16"/>
  <c r="R396" i="16"/>
  <c r="R397" i="16"/>
  <c r="R398" i="16"/>
  <c r="R399" i="16"/>
  <c r="R400" i="16"/>
  <c r="R401" i="16"/>
  <c r="R412" i="16"/>
  <c r="R413" i="16"/>
  <c r="R414" i="16"/>
  <c r="R415" i="16"/>
  <c r="R416" i="16"/>
  <c r="R417" i="16"/>
  <c r="R418" i="16"/>
  <c r="R419" i="16"/>
  <c r="R420" i="16"/>
  <c r="R421" i="16"/>
  <c r="R432" i="16"/>
  <c r="R433" i="16"/>
  <c r="R434" i="16"/>
  <c r="R435" i="16"/>
  <c r="R436" i="16"/>
  <c r="R437" i="16"/>
  <c r="R438" i="16"/>
  <c r="R439" i="16"/>
  <c r="R440" i="16"/>
  <c r="R441" i="16"/>
  <c r="R452" i="16"/>
  <c r="R453" i="16"/>
  <c r="R454" i="16"/>
  <c r="R455" i="16"/>
  <c r="R456" i="16"/>
  <c r="R457" i="16"/>
  <c r="R458" i="16"/>
  <c r="R459" i="16"/>
  <c r="R460" i="16"/>
  <c r="R461" i="16"/>
  <c r="R472" i="16"/>
  <c r="R473" i="16"/>
  <c r="R474" i="16"/>
  <c r="R475" i="16"/>
  <c r="R476" i="16"/>
  <c r="R477" i="16"/>
  <c r="R478" i="16"/>
  <c r="R479" i="16"/>
  <c r="R480" i="16"/>
  <c r="R481" i="16"/>
  <c r="R492" i="16"/>
  <c r="R493" i="16"/>
  <c r="R494" i="16"/>
  <c r="R495" i="16"/>
  <c r="R496" i="16"/>
  <c r="R497" i="16"/>
  <c r="R498" i="16"/>
  <c r="R499" i="16"/>
  <c r="R500" i="16"/>
  <c r="R501" i="16"/>
  <c r="R512" i="16"/>
  <c r="R513" i="16"/>
  <c r="R514" i="16"/>
  <c r="R515" i="16"/>
  <c r="R516" i="16"/>
  <c r="R517" i="16"/>
  <c r="R518" i="16"/>
  <c r="R519" i="16"/>
  <c r="R520" i="16"/>
  <c r="R521" i="16"/>
  <c r="R532" i="16"/>
  <c r="R533" i="16"/>
  <c r="R534" i="16"/>
  <c r="R535" i="16"/>
  <c r="R536" i="16"/>
  <c r="R537" i="16"/>
  <c r="R538" i="16"/>
  <c r="R539" i="16"/>
  <c r="R540" i="16"/>
  <c r="R541" i="16"/>
  <c r="R552" i="16"/>
  <c r="R553" i="16"/>
  <c r="R554" i="16"/>
  <c r="R555" i="16"/>
  <c r="R556" i="16"/>
  <c r="R557" i="16"/>
  <c r="R558" i="16"/>
  <c r="R559" i="16"/>
  <c r="R560" i="16"/>
  <c r="R561" i="16"/>
  <c r="R572" i="16"/>
  <c r="R573" i="16"/>
  <c r="R574" i="16"/>
  <c r="R575" i="16"/>
  <c r="R576" i="16"/>
  <c r="R577" i="16"/>
  <c r="R578" i="16"/>
  <c r="R579" i="16"/>
  <c r="R580" i="16"/>
  <c r="R581" i="16"/>
  <c r="R592" i="16"/>
  <c r="R593" i="16"/>
  <c r="R594" i="16"/>
  <c r="R595" i="16"/>
  <c r="R596" i="16"/>
  <c r="R597" i="16"/>
  <c r="R598" i="16"/>
  <c r="R599" i="16"/>
  <c r="R600" i="16"/>
  <c r="R601" i="16"/>
  <c r="R612" i="16"/>
  <c r="R613" i="16"/>
  <c r="R614" i="16"/>
  <c r="R615" i="16"/>
  <c r="R616" i="16"/>
  <c r="R617" i="16"/>
  <c r="R618" i="16"/>
  <c r="R619" i="16"/>
  <c r="R620" i="16"/>
  <c r="R621" i="16"/>
  <c r="R632" i="16"/>
  <c r="R633" i="16"/>
  <c r="R634" i="16"/>
  <c r="R635" i="16"/>
  <c r="R636" i="16"/>
  <c r="R637" i="16"/>
  <c r="R638" i="16"/>
  <c r="R639" i="16"/>
  <c r="R640" i="16"/>
  <c r="R641" i="16"/>
  <c r="R652" i="16"/>
  <c r="R653" i="16"/>
  <c r="R654" i="16"/>
  <c r="R655" i="16"/>
  <c r="R656" i="16"/>
  <c r="R657" i="16"/>
  <c r="R658" i="16"/>
  <c r="R659" i="16"/>
  <c r="R660" i="16"/>
  <c r="R661" i="16"/>
  <c r="R672" i="16"/>
  <c r="R673" i="16"/>
  <c r="R674" i="16"/>
  <c r="R675" i="16"/>
  <c r="R676" i="16"/>
  <c r="R677" i="16"/>
  <c r="R678" i="16"/>
  <c r="R679" i="16"/>
  <c r="R680" i="16"/>
  <c r="R681" i="16"/>
  <c r="R692" i="16"/>
  <c r="R693" i="16"/>
  <c r="R694" i="16"/>
  <c r="R695" i="16"/>
  <c r="R696" i="16"/>
  <c r="R697" i="16"/>
  <c r="R698" i="16"/>
  <c r="R699" i="16"/>
  <c r="R700" i="16"/>
  <c r="R701" i="16"/>
  <c r="R712" i="16"/>
  <c r="R713" i="16"/>
  <c r="R714" i="16"/>
  <c r="R715" i="16"/>
  <c r="R716" i="16"/>
  <c r="R717" i="16"/>
  <c r="R718" i="16"/>
  <c r="R719" i="16"/>
  <c r="R720" i="16"/>
  <c r="R721" i="16"/>
  <c r="R732" i="16"/>
  <c r="R733" i="16"/>
  <c r="R734" i="16"/>
  <c r="R735" i="16"/>
  <c r="R736" i="16"/>
  <c r="R737" i="16"/>
  <c r="R738" i="16"/>
  <c r="R739" i="16"/>
  <c r="R740" i="16"/>
  <c r="R741" i="16"/>
  <c r="R752" i="16"/>
  <c r="R753" i="16"/>
  <c r="R754" i="16"/>
  <c r="R755" i="16"/>
  <c r="R756" i="16"/>
  <c r="R757" i="16"/>
  <c r="R758" i="16"/>
  <c r="R759" i="16"/>
  <c r="R760" i="16"/>
  <c r="R761" i="16"/>
  <c r="S2" i="16"/>
  <c r="S22" i="16"/>
  <c r="S3" i="16"/>
  <c r="S4" i="16"/>
  <c r="S5" i="16"/>
  <c r="S6" i="16"/>
  <c r="S23" i="16"/>
  <c r="S24" i="16"/>
  <c r="S25" i="16"/>
  <c r="S7" i="16"/>
  <c r="S8" i="16"/>
  <c r="S42" i="16"/>
  <c r="S9" i="16"/>
  <c r="S10" i="16"/>
  <c r="S11" i="16"/>
  <c r="S26" i="16"/>
  <c r="S27" i="16"/>
  <c r="S28" i="16"/>
  <c r="S29" i="16"/>
  <c r="S30" i="16"/>
  <c r="S31" i="16"/>
  <c r="S43" i="16"/>
  <c r="S44" i="16"/>
  <c r="S45" i="16"/>
  <c r="S46" i="16"/>
  <c r="S47" i="16"/>
  <c r="S48" i="16"/>
  <c r="S49" i="16"/>
  <c r="S50" i="16"/>
  <c r="S51" i="16"/>
  <c r="S62" i="16"/>
  <c r="S63" i="16"/>
  <c r="S64" i="16"/>
  <c r="S65" i="16"/>
  <c r="S66" i="16"/>
  <c r="S67" i="16"/>
  <c r="S68" i="16"/>
  <c r="S69" i="16"/>
  <c r="S70" i="16"/>
  <c r="S71" i="16"/>
  <c r="S82" i="16"/>
  <c r="S83" i="16"/>
  <c r="S84" i="16"/>
  <c r="S85" i="16"/>
  <c r="S86" i="16"/>
  <c r="S87" i="16"/>
  <c r="S88" i="16"/>
  <c r="S89" i="16"/>
  <c r="S90" i="16"/>
  <c r="S91" i="16"/>
  <c r="S102" i="16"/>
  <c r="S103" i="16"/>
  <c r="S104" i="16"/>
  <c r="S105" i="16"/>
  <c r="S106" i="16"/>
  <c r="S107" i="16"/>
  <c r="S108" i="16"/>
  <c r="S109" i="16"/>
  <c r="S110" i="16"/>
  <c r="S111" i="16"/>
  <c r="S122" i="16"/>
  <c r="S123" i="16"/>
  <c r="S124" i="16"/>
  <c r="S125" i="16"/>
  <c r="S126" i="16"/>
  <c r="S127" i="16"/>
  <c r="S128" i="16"/>
  <c r="S129" i="16"/>
  <c r="S130" i="16"/>
  <c r="S131" i="16"/>
  <c r="S142" i="16"/>
  <c r="S143" i="16"/>
  <c r="S144" i="16"/>
  <c r="S145" i="16"/>
  <c r="S146" i="16"/>
  <c r="S147" i="16"/>
  <c r="S148" i="16"/>
  <c r="S149" i="16"/>
  <c r="S150" i="16"/>
  <c r="S151" i="16"/>
  <c r="S162" i="16"/>
  <c r="S163" i="16"/>
  <c r="S164" i="16"/>
  <c r="S165" i="16"/>
  <c r="S166" i="16"/>
  <c r="S167" i="16"/>
  <c r="S168" i="16"/>
  <c r="S169" i="16"/>
  <c r="S170" i="16"/>
  <c r="S171" i="16"/>
  <c r="S182" i="16"/>
  <c r="S183" i="16"/>
  <c r="S184" i="16"/>
  <c r="S185" i="16"/>
  <c r="S186" i="16"/>
  <c r="S187" i="16"/>
  <c r="S188" i="16"/>
  <c r="S189" i="16"/>
  <c r="S190" i="16"/>
  <c r="S191" i="16"/>
  <c r="S202" i="16"/>
  <c r="S203" i="16"/>
  <c r="S204" i="16"/>
  <c r="S205" i="16"/>
  <c r="S206" i="16"/>
  <c r="S207" i="16"/>
  <c r="S208" i="16"/>
  <c r="S209" i="16"/>
  <c r="S210" i="16"/>
  <c r="S211" i="16"/>
  <c r="S222" i="16"/>
  <c r="S223" i="16"/>
  <c r="S224" i="16"/>
  <c r="S225" i="16"/>
  <c r="S226" i="16"/>
  <c r="S227" i="16"/>
  <c r="S228" i="16"/>
  <c r="S229" i="16"/>
  <c r="S230" i="16"/>
  <c r="S231" i="16"/>
  <c r="S242" i="16"/>
  <c r="S243" i="16"/>
  <c r="S244" i="16"/>
  <c r="S245" i="16"/>
  <c r="S246" i="16"/>
  <c r="S247" i="16"/>
  <c r="S248" i="16"/>
  <c r="S249" i="16"/>
  <c r="S250" i="16"/>
  <c r="S251" i="16"/>
  <c r="S262" i="16"/>
  <c r="S263" i="16"/>
  <c r="S264" i="16"/>
  <c r="S265" i="16"/>
  <c r="S266" i="16"/>
  <c r="S267" i="16"/>
  <c r="S268" i="16"/>
  <c r="S269" i="16"/>
  <c r="S270" i="16"/>
  <c r="S271" i="16"/>
  <c r="S282" i="16"/>
  <c r="S283" i="16"/>
  <c r="S284" i="16"/>
  <c r="S285" i="16"/>
  <c r="S286" i="16"/>
  <c r="S287" i="16"/>
  <c r="S288" i="16"/>
  <c r="S289" i="16"/>
  <c r="S290" i="16"/>
  <c r="S291" i="16"/>
  <c r="S302" i="16"/>
  <c r="S303" i="16"/>
  <c r="S304" i="16"/>
  <c r="S305" i="16"/>
  <c r="S306" i="16"/>
  <c r="S307" i="16"/>
  <c r="S308" i="16"/>
  <c r="S309" i="16"/>
  <c r="S310" i="16"/>
  <c r="S311" i="16"/>
  <c r="S322" i="16"/>
  <c r="S323" i="16"/>
  <c r="S324" i="16"/>
  <c r="S325" i="16"/>
  <c r="S326" i="16"/>
  <c r="S327" i="16"/>
  <c r="S328" i="16"/>
  <c r="S329" i="16"/>
  <c r="S330" i="16"/>
  <c r="S331" i="16"/>
  <c r="S342" i="16"/>
  <c r="S343" i="16"/>
  <c r="S344" i="16"/>
  <c r="S345" i="16"/>
  <c r="S346" i="16"/>
  <c r="S347" i="16"/>
  <c r="S348" i="16"/>
  <c r="S349" i="16"/>
  <c r="S350" i="16"/>
  <c r="S351" i="16"/>
  <c r="S362" i="16"/>
  <c r="S363" i="16"/>
  <c r="S364" i="16"/>
  <c r="S365" i="16"/>
  <c r="S366" i="16"/>
  <c r="S367" i="16"/>
  <c r="S368" i="16"/>
  <c r="S369" i="16"/>
  <c r="S370" i="16"/>
  <c r="S371" i="16"/>
  <c r="S382" i="16"/>
  <c r="S383" i="16"/>
  <c r="S384" i="16"/>
  <c r="S385" i="16"/>
  <c r="S386" i="16"/>
  <c r="S387" i="16"/>
  <c r="S388" i="16"/>
  <c r="S389" i="16"/>
  <c r="S390" i="16"/>
  <c r="S391" i="16"/>
  <c r="S402" i="16"/>
  <c r="S403" i="16"/>
  <c r="S404" i="16"/>
  <c r="S405" i="16"/>
  <c r="S406" i="16"/>
  <c r="S407" i="16"/>
  <c r="S408" i="16"/>
  <c r="S409" i="16"/>
  <c r="S410" i="16"/>
  <c r="S411" i="16"/>
  <c r="S422" i="16"/>
  <c r="S423" i="16"/>
  <c r="S424" i="16"/>
  <c r="S425" i="16"/>
  <c r="S426" i="16"/>
  <c r="S427" i="16"/>
  <c r="S428" i="16"/>
  <c r="S429" i="16"/>
  <c r="S430" i="16"/>
  <c r="S431" i="16"/>
  <c r="S442" i="16"/>
  <c r="S443" i="16"/>
  <c r="S444" i="16"/>
  <c r="S445" i="16"/>
  <c r="S446" i="16"/>
  <c r="S447" i="16"/>
  <c r="S448" i="16"/>
  <c r="S449" i="16"/>
  <c r="S450" i="16"/>
  <c r="S451" i="16"/>
  <c r="S462" i="16"/>
  <c r="S463" i="16"/>
  <c r="S464" i="16"/>
  <c r="S465" i="16"/>
  <c r="S466" i="16"/>
  <c r="S467" i="16"/>
  <c r="S468" i="16"/>
  <c r="S469" i="16"/>
  <c r="S470" i="16"/>
  <c r="S471" i="16"/>
  <c r="S482" i="16"/>
  <c r="S483" i="16"/>
  <c r="S484" i="16"/>
  <c r="S485" i="16"/>
  <c r="S486" i="16"/>
  <c r="S487" i="16"/>
  <c r="S488" i="16"/>
  <c r="S489" i="16"/>
  <c r="S490" i="16"/>
  <c r="S491" i="16"/>
  <c r="S502" i="16"/>
  <c r="S503" i="16"/>
  <c r="S504" i="16"/>
  <c r="S505" i="16"/>
  <c r="S506" i="16"/>
  <c r="S507" i="16"/>
  <c r="S508" i="16"/>
  <c r="S509" i="16"/>
  <c r="S510" i="16"/>
  <c r="S511" i="16"/>
  <c r="S522" i="16"/>
  <c r="S523" i="16"/>
  <c r="S524" i="16"/>
  <c r="S525" i="16"/>
  <c r="S526" i="16"/>
  <c r="S527" i="16"/>
  <c r="S528" i="16"/>
  <c r="S529" i="16"/>
  <c r="S530" i="16"/>
  <c r="S531" i="16"/>
  <c r="S542" i="16"/>
  <c r="S543" i="16"/>
  <c r="S544" i="16"/>
  <c r="S545" i="16"/>
  <c r="S546" i="16"/>
  <c r="S547" i="16"/>
  <c r="S548" i="16"/>
  <c r="S549" i="16"/>
  <c r="S550" i="16"/>
  <c r="S551" i="16"/>
  <c r="S562" i="16"/>
  <c r="S563" i="16"/>
  <c r="S564" i="16"/>
  <c r="S565" i="16"/>
  <c r="S566" i="16"/>
  <c r="S567" i="16"/>
  <c r="S568" i="16"/>
  <c r="S569" i="16"/>
  <c r="S570" i="16"/>
  <c r="S571" i="16"/>
  <c r="S582" i="16"/>
  <c r="S583" i="16"/>
  <c r="S584" i="16"/>
  <c r="S585" i="16"/>
  <c r="S586" i="16"/>
  <c r="S587" i="16"/>
  <c r="S588" i="16"/>
  <c r="S589" i="16"/>
  <c r="S590" i="16"/>
  <c r="S591" i="16"/>
  <c r="S602" i="16"/>
  <c r="S603" i="16"/>
  <c r="S604" i="16"/>
  <c r="S605" i="16"/>
  <c r="S606" i="16"/>
  <c r="S607" i="16"/>
  <c r="S608" i="16"/>
  <c r="S609" i="16"/>
  <c r="S610" i="16"/>
  <c r="S611" i="16"/>
  <c r="S622" i="16"/>
  <c r="S623" i="16"/>
  <c r="S624" i="16"/>
  <c r="S625" i="16"/>
  <c r="S626" i="16"/>
  <c r="S627" i="16"/>
  <c r="S628" i="16"/>
  <c r="S629" i="16"/>
  <c r="S630" i="16"/>
  <c r="S631" i="16"/>
  <c r="S642" i="16"/>
  <c r="S643" i="16"/>
  <c r="S644" i="16"/>
  <c r="S645" i="16"/>
  <c r="S646" i="16"/>
  <c r="S647" i="16"/>
  <c r="S648" i="16"/>
  <c r="S649" i="16"/>
  <c r="S650" i="16"/>
  <c r="S651" i="16"/>
  <c r="S662" i="16"/>
  <c r="S663" i="16"/>
  <c r="S664" i="16"/>
  <c r="S665" i="16"/>
  <c r="S666" i="16"/>
  <c r="S667" i="16"/>
  <c r="S668" i="16"/>
  <c r="S669" i="16"/>
  <c r="S670" i="16"/>
  <c r="S671" i="16"/>
  <c r="S682" i="16"/>
  <c r="S683" i="16"/>
  <c r="S684" i="16"/>
  <c r="S685" i="16"/>
  <c r="S686" i="16"/>
  <c r="S687" i="16"/>
  <c r="S688" i="16"/>
  <c r="S689" i="16"/>
  <c r="S690" i="16"/>
  <c r="S691" i="16"/>
  <c r="S702" i="16"/>
  <c r="S703" i="16"/>
  <c r="S704" i="16"/>
  <c r="S705" i="16"/>
  <c r="S706" i="16"/>
  <c r="S707" i="16"/>
  <c r="S708" i="16"/>
  <c r="S709" i="16"/>
  <c r="S710" i="16"/>
  <c r="S711" i="16"/>
  <c r="S722" i="16"/>
  <c r="S723" i="16"/>
  <c r="S724" i="16"/>
  <c r="S725" i="16"/>
  <c r="S726" i="16"/>
  <c r="S727" i="16"/>
  <c r="S728" i="16"/>
  <c r="S729" i="16"/>
  <c r="S730" i="16"/>
  <c r="S731" i="16"/>
  <c r="S742" i="16"/>
  <c r="S743" i="16"/>
  <c r="S744" i="16"/>
  <c r="S745" i="16"/>
  <c r="S746" i="16"/>
  <c r="S747" i="16"/>
  <c r="S748" i="16"/>
  <c r="S749" i="16"/>
  <c r="S750" i="16"/>
  <c r="S751" i="16"/>
  <c r="S12" i="16"/>
  <c r="S32" i="16"/>
  <c r="S13" i="16"/>
  <c r="S33" i="16"/>
  <c r="S14" i="16"/>
  <c r="S15" i="16"/>
  <c r="S16" i="16"/>
  <c r="S17" i="16"/>
  <c r="S34" i="16"/>
  <c r="S18" i="16"/>
  <c r="S52" i="16"/>
  <c r="S35" i="16"/>
  <c r="S36" i="16"/>
  <c r="S37" i="16"/>
  <c r="S19" i="16"/>
  <c r="S20" i="16"/>
  <c r="S21" i="16"/>
  <c r="S38" i="16"/>
  <c r="S39" i="16"/>
  <c r="S40" i="16"/>
  <c r="S41" i="16"/>
  <c r="S53" i="16"/>
  <c r="S54" i="16"/>
  <c r="S55" i="16"/>
  <c r="S56" i="16"/>
  <c r="S57" i="16"/>
  <c r="S58" i="16"/>
  <c r="S59" i="16"/>
  <c r="S60" i="16"/>
  <c r="S61" i="16"/>
  <c r="S72" i="16"/>
  <c r="S73" i="16"/>
  <c r="S74" i="16"/>
  <c r="S75" i="16"/>
  <c r="S76" i="16"/>
  <c r="S77" i="16"/>
  <c r="S78" i="16"/>
  <c r="S79" i="16"/>
  <c r="S80" i="16"/>
  <c r="S81" i="16"/>
  <c r="S92" i="16"/>
  <c r="S93" i="16"/>
  <c r="S94" i="16"/>
  <c r="S95" i="16"/>
  <c r="S96" i="16"/>
  <c r="S97" i="16"/>
  <c r="S98" i="16"/>
  <c r="S99" i="16"/>
  <c r="S100" i="16"/>
  <c r="S101" i="16"/>
  <c r="S112" i="16"/>
  <c r="S113" i="16"/>
  <c r="S114" i="16"/>
  <c r="S115" i="16"/>
  <c r="S116" i="16"/>
  <c r="S117" i="16"/>
  <c r="S118" i="16"/>
  <c r="S119" i="16"/>
  <c r="S120" i="16"/>
  <c r="S121" i="16"/>
  <c r="S132" i="16"/>
  <c r="S133" i="16"/>
  <c r="S134" i="16"/>
  <c r="S135" i="16"/>
  <c r="S136" i="16"/>
  <c r="S137" i="16"/>
  <c r="S138" i="16"/>
  <c r="S139" i="16"/>
  <c r="S140" i="16"/>
  <c r="S141" i="16"/>
  <c r="S152" i="16"/>
  <c r="S153" i="16"/>
  <c r="S154" i="16"/>
  <c r="S155" i="16"/>
  <c r="S156" i="16"/>
  <c r="S157" i="16"/>
  <c r="S158" i="16"/>
  <c r="S159" i="16"/>
  <c r="S160" i="16"/>
  <c r="S161" i="16"/>
  <c r="S172" i="16"/>
  <c r="S173" i="16"/>
  <c r="S174" i="16"/>
  <c r="S175" i="16"/>
  <c r="S176" i="16"/>
  <c r="S177" i="16"/>
  <c r="S178" i="16"/>
  <c r="S179" i="16"/>
  <c r="S180" i="16"/>
  <c r="S181" i="16"/>
  <c r="S192" i="16"/>
  <c r="S193" i="16"/>
  <c r="S194" i="16"/>
  <c r="S195" i="16"/>
  <c r="S196" i="16"/>
  <c r="S197" i="16"/>
  <c r="S198" i="16"/>
  <c r="S199" i="16"/>
  <c r="S200" i="16"/>
  <c r="S201" i="16"/>
  <c r="S212" i="16"/>
  <c r="S213" i="16"/>
  <c r="S214" i="16"/>
  <c r="S215" i="16"/>
  <c r="S216" i="16"/>
  <c r="S217" i="16"/>
  <c r="S218" i="16"/>
  <c r="S219" i="16"/>
  <c r="S220" i="16"/>
  <c r="S221" i="16"/>
  <c r="S232" i="16"/>
  <c r="S233" i="16"/>
  <c r="S234" i="16"/>
  <c r="S235" i="16"/>
  <c r="S236" i="16"/>
  <c r="S237" i="16"/>
  <c r="S238" i="16"/>
  <c r="S239" i="16"/>
  <c r="S240" i="16"/>
  <c r="S241" i="16"/>
  <c r="S252" i="16"/>
  <c r="S253" i="16"/>
  <c r="S254" i="16"/>
  <c r="S255" i="16"/>
  <c r="S256" i="16"/>
  <c r="S257" i="16"/>
  <c r="S258" i="16"/>
  <c r="S259" i="16"/>
  <c r="S260" i="16"/>
  <c r="S261" i="16"/>
  <c r="S272" i="16"/>
  <c r="S273" i="16"/>
  <c r="S274" i="16"/>
  <c r="S275" i="16"/>
  <c r="S276" i="16"/>
  <c r="S277" i="16"/>
  <c r="S278" i="16"/>
  <c r="S279" i="16"/>
  <c r="S280" i="16"/>
  <c r="S281" i="16"/>
  <c r="S292" i="16"/>
  <c r="S293" i="16"/>
  <c r="S294" i="16"/>
  <c r="S295" i="16"/>
  <c r="S296" i="16"/>
  <c r="S297" i="16"/>
  <c r="S298" i="16"/>
  <c r="S299" i="16"/>
  <c r="S300" i="16"/>
  <c r="S301" i="16"/>
  <c r="S312" i="16"/>
  <c r="S313" i="16"/>
  <c r="S314" i="16"/>
  <c r="S315" i="16"/>
  <c r="S316" i="16"/>
  <c r="S317" i="16"/>
  <c r="S318" i="16"/>
  <c r="S319" i="16"/>
  <c r="S320" i="16"/>
  <c r="S321" i="16"/>
  <c r="S332" i="16"/>
  <c r="S333" i="16"/>
  <c r="S334" i="16"/>
  <c r="S335" i="16"/>
  <c r="S336" i="16"/>
  <c r="S337" i="16"/>
  <c r="S338" i="16"/>
  <c r="S339" i="16"/>
  <c r="S340" i="16"/>
  <c r="S341" i="16"/>
  <c r="S352" i="16"/>
  <c r="S353" i="16"/>
  <c r="S354" i="16"/>
  <c r="S355" i="16"/>
  <c r="S356" i="16"/>
  <c r="S357" i="16"/>
  <c r="S358" i="16"/>
  <c r="S359" i="16"/>
  <c r="S360" i="16"/>
  <c r="S361" i="16"/>
  <c r="S372" i="16"/>
  <c r="S373" i="16"/>
  <c r="S374" i="16"/>
  <c r="S375" i="16"/>
  <c r="S376" i="16"/>
  <c r="S377" i="16"/>
  <c r="S378" i="16"/>
  <c r="S379" i="16"/>
  <c r="S380" i="16"/>
  <c r="S381" i="16"/>
  <c r="S392" i="16"/>
  <c r="S393" i="16"/>
  <c r="S394" i="16"/>
  <c r="S395" i="16"/>
  <c r="S396" i="16"/>
  <c r="S397" i="16"/>
  <c r="S398" i="16"/>
  <c r="S399" i="16"/>
  <c r="S400" i="16"/>
  <c r="S401" i="16"/>
  <c r="S412" i="16"/>
  <c r="S413" i="16"/>
  <c r="S414" i="16"/>
  <c r="S415" i="16"/>
  <c r="S416" i="16"/>
  <c r="S417" i="16"/>
  <c r="S418" i="16"/>
  <c r="S419" i="16"/>
  <c r="S420" i="16"/>
  <c r="S421" i="16"/>
  <c r="S432" i="16"/>
  <c r="S433" i="16"/>
  <c r="S434" i="16"/>
  <c r="S435" i="16"/>
  <c r="S436" i="16"/>
  <c r="S437" i="16"/>
  <c r="S438" i="16"/>
  <c r="S439" i="16"/>
  <c r="S440" i="16"/>
  <c r="S441" i="16"/>
  <c r="S452" i="16"/>
  <c r="S453" i="16"/>
  <c r="S454" i="16"/>
  <c r="S455" i="16"/>
  <c r="S456" i="16"/>
  <c r="S457" i="16"/>
  <c r="S458" i="16"/>
  <c r="S459" i="16"/>
  <c r="S460" i="16"/>
  <c r="S461" i="16"/>
  <c r="S472" i="16"/>
  <c r="S473" i="16"/>
  <c r="S474" i="16"/>
  <c r="S475" i="16"/>
  <c r="S476" i="16"/>
  <c r="S477" i="16"/>
  <c r="S478" i="16"/>
  <c r="S479" i="16"/>
  <c r="S480" i="16"/>
  <c r="S481" i="16"/>
  <c r="S492" i="16"/>
  <c r="S493" i="16"/>
  <c r="S494" i="16"/>
  <c r="S495" i="16"/>
  <c r="S496" i="16"/>
  <c r="S497" i="16"/>
  <c r="S498" i="16"/>
  <c r="S499" i="16"/>
  <c r="S500" i="16"/>
  <c r="S501" i="16"/>
  <c r="S512" i="16"/>
  <c r="S513" i="16"/>
  <c r="S514" i="16"/>
  <c r="S515" i="16"/>
  <c r="S516" i="16"/>
  <c r="S517" i="16"/>
  <c r="S518" i="16"/>
  <c r="S519" i="16"/>
  <c r="S520" i="16"/>
  <c r="S521" i="16"/>
  <c r="S532" i="16"/>
  <c r="S533" i="16"/>
  <c r="S534" i="16"/>
  <c r="S535" i="16"/>
  <c r="S536" i="16"/>
  <c r="S537" i="16"/>
  <c r="S538" i="16"/>
  <c r="S539" i="16"/>
  <c r="S540" i="16"/>
  <c r="S541" i="16"/>
  <c r="S552" i="16"/>
  <c r="S553" i="16"/>
  <c r="S554" i="16"/>
  <c r="S555" i="16"/>
  <c r="S556" i="16"/>
  <c r="S557" i="16"/>
  <c r="S558" i="16"/>
  <c r="S559" i="16"/>
  <c r="S560" i="16"/>
  <c r="S561" i="16"/>
  <c r="S572" i="16"/>
  <c r="S573" i="16"/>
  <c r="S574" i="16"/>
  <c r="S575" i="16"/>
  <c r="S576" i="16"/>
  <c r="S577" i="16"/>
  <c r="S578" i="16"/>
  <c r="S579" i="16"/>
  <c r="S580" i="16"/>
  <c r="S581" i="16"/>
  <c r="S592" i="16"/>
  <c r="S593" i="16"/>
  <c r="S594" i="16"/>
  <c r="S595" i="16"/>
  <c r="S596" i="16"/>
  <c r="S597" i="16"/>
  <c r="S598" i="16"/>
  <c r="S599" i="16"/>
  <c r="S600" i="16"/>
  <c r="S601" i="16"/>
  <c r="S612" i="16"/>
  <c r="S613" i="16"/>
  <c r="S614" i="16"/>
  <c r="S615" i="16"/>
  <c r="S616" i="16"/>
  <c r="S617" i="16"/>
  <c r="S618" i="16"/>
  <c r="S619" i="16"/>
  <c r="S620" i="16"/>
  <c r="S621" i="16"/>
  <c r="S632" i="16"/>
  <c r="S633" i="16"/>
  <c r="S634" i="16"/>
  <c r="S635" i="16"/>
  <c r="S636" i="16"/>
  <c r="S637" i="16"/>
  <c r="S638" i="16"/>
  <c r="S639" i="16"/>
  <c r="S640" i="16"/>
  <c r="S641" i="16"/>
  <c r="S652" i="16"/>
  <c r="S653" i="16"/>
  <c r="S654" i="16"/>
  <c r="S655" i="16"/>
  <c r="S656" i="16"/>
  <c r="S657" i="16"/>
  <c r="S658" i="16"/>
  <c r="S659" i="16"/>
  <c r="S660" i="16"/>
  <c r="S661" i="16"/>
  <c r="S672" i="16"/>
  <c r="S673" i="16"/>
  <c r="S674" i="16"/>
  <c r="S675" i="16"/>
  <c r="S676" i="16"/>
  <c r="S677" i="16"/>
  <c r="S678" i="16"/>
  <c r="S679" i="16"/>
  <c r="S680" i="16"/>
  <c r="S681" i="16"/>
  <c r="S692" i="16"/>
  <c r="S693" i="16"/>
  <c r="S694" i="16"/>
  <c r="S695" i="16"/>
  <c r="S696" i="16"/>
  <c r="S697" i="16"/>
  <c r="S698" i="16"/>
  <c r="S699" i="16"/>
  <c r="S700" i="16"/>
  <c r="S701" i="16"/>
  <c r="S712" i="16"/>
  <c r="S713" i="16"/>
  <c r="S714" i="16"/>
  <c r="S715" i="16"/>
  <c r="S716" i="16"/>
  <c r="S717" i="16"/>
  <c r="S718" i="16"/>
  <c r="S719" i="16"/>
  <c r="S720" i="16"/>
  <c r="S721" i="16"/>
  <c r="S732" i="16"/>
  <c r="S733" i="16"/>
  <c r="S734" i="16"/>
  <c r="S735" i="16"/>
  <c r="S736" i="16"/>
  <c r="S737" i="16"/>
  <c r="S738" i="16"/>
  <c r="S739" i="16"/>
  <c r="S740" i="16"/>
  <c r="S741" i="16"/>
  <c r="S752" i="16"/>
  <c r="S753" i="16"/>
  <c r="S754" i="16"/>
  <c r="S755" i="16"/>
  <c r="S756" i="16"/>
  <c r="S757" i="16"/>
  <c r="S758" i="16"/>
  <c r="S759" i="16"/>
  <c r="S760" i="16"/>
  <c r="S761" i="16"/>
  <c r="T2" i="16"/>
  <c r="T22" i="16"/>
  <c r="T3" i="16"/>
  <c r="T4" i="16"/>
  <c r="T5" i="16"/>
  <c r="T6" i="16"/>
  <c r="T23" i="16"/>
  <c r="T24" i="16"/>
  <c r="T25" i="16"/>
  <c r="T7" i="16"/>
  <c r="T8" i="16"/>
  <c r="T42" i="16"/>
  <c r="T9" i="16"/>
  <c r="T10" i="16"/>
  <c r="T11" i="16"/>
  <c r="T26" i="16"/>
  <c r="T27" i="16"/>
  <c r="T28" i="16"/>
  <c r="T29" i="16"/>
  <c r="T30" i="16"/>
  <c r="T31" i="16"/>
  <c r="T43" i="16"/>
  <c r="T44" i="16"/>
  <c r="T45" i="16"/>
  <c r="T46" i="16"/>
  <c r="T47" i="16"/>
  <c r="T48" i="16"/>
  <c r="T49" i="16"/>
  <c r="T50" i="16"/>
  <c r="T51" i="16"/>
  <c r="T62" i="16"/>
  <c r="T63" i="16"/>
  <c r="T64" i="16"/>
  <c r="T65" i="16"/>
  <c r="T66" i="16"/>
  <c r="T67" i="16"/>
  <c r="T68" i="16"/>
  <c r="T69" i="16"/>
  <c r="T70" i="16"/>
  <c r="T71" i="16"/>
  <c r="T82" i="16"/>
  <c r="T83" i="16"/>
  <c r="T84" i="16"/>
  <c r="T85" i="16"/>
  <c r="T86" i="16"/>
  <c r="T87" i="16"/>
  <c r="T88" i="16"/>
  <c r="T89" i="16"/>
  <c r="T90" i="16"/>
  <c r="T91" i="16"/>
  <c r="T102" i="16"/>
  <c r="T103" i="16"/>
  <c r="T104" i="16"/>
  <c r="T105" i="16"/>
  <c r="T106" i="16"/>
  <c r="T107" i="16"/>
  <c r="T108" i="16"/>
  <c r="T109" i="16"/>
  <c r="T110" i="16"/>
  <c r="T111" i="16"/>
  <c r="T122" i="16"/>
  <c r="T123" i="16"/>
  <c r="T124" i="16"/>
  <c r="T125" i="16"/>
  <c r="T126" i="16"/>
  <c r="T127" i="16"/>
  <c r="T128" i="16"/>
  <c r="T129" i="16"/>
  <c r="T130" i="16"/>
  <c r="T131" i="16"/>
  <c r="T142" i="16"/>
  <c r="T143" i="16"/>
  <c r="T144" i="16"/>
  <c r="T145" i="16"/>
  <c r="T146" i="16"/>
  <c r="T147" i="16"/>
  <c r="T148" i="16"/>
  <c r="T149" i="16"/>
  <c r="T150" i="16"/>
  <c r="T151" i="16"/>
  <c r="T162" i="16"/>
  <c r="T163" i="16"/>
  <c r="T164" i="16"/>
  <c r="T165" i="16"/>
  <c r="T166" i="16"/>
  <c r="T167" i="16"/>
  <c r="T168" i="16"/>
  <c r="T169" i="16"/>
  <c r="T170" i="16"/>
  <c r="T171" i="16"/>
  <c r="T182" i="16"/>
  <c r="T183" i="16"/>
  <c r="T184" i="16"/>
  <c r="T185" i="16"/>
  <c r="T186" i="16"/>
  <c r="T187" i="16"/>
  <c r="T188" i="16"/>
  <c r="T189" i="16"/>
  <c r="T190" i="16"/>
  <c r="T191" i="16"/>
  <c r="T202" i="16"/>
  <c r="T203" i="16"/>
  <c r="T204" i="16"/>
  <c r="T205" i="16"/>
  <c r="T206" i="16"/>
  <c r="T207" i="16"/>
  <c r="T208" i="16"/>
  <c r="T209" i="16"/>
  <c r="T210" i="16"/>
  <c r="T211" i="16"/>
  <c r="T222" i="16"/>
  <c r="T223" i="16"/>
  <c r="T224" i="16"/>
  <c r="T225" i="16"/>
  <c r="T226" i="16"/>
  <c r="T227" i="16"/>
  <c r="T228" i="16"/>
  <c r="T229" i="16"/>
  <c r="T230" i="16"/>
  <c r="T231" i="16"/>
  <c r="T242" i="16"/>
  <c r="T243" i="16"/>
  <c r="T244" i="16"/>
  <c r="T245" i="16"/>
  <c r="T246" i="16"/>
  <c r="T247" i="16"/>
  <c r="T248" i="16"/>
  <c r="T249" i="16"/>
  <c r="T250" i="16"/>
  <c r="T251" i="16"/>
  <c r="T262" i="16"/>
  <c r="T263" i="16"/>
  <c r="T264" i="16"/>
  <c r="T265" i="16"/>
  <c r="T266" i="16"/>
  <c r="T267" i="16"/>
  <c r="T268" i="16"/>
  <c r="T269" i="16"/>
  <c r="T270" i="16"/>
  <c r="T271" i="16"/>
  <c r="T282" i="16"/>
  <c r="T283" i="16"/>
  <c r="T284" i="16"/>
  <c r="T285" i="16"/>
  <c r="T286" i="16"/>
  <c r="T287" i="16"/>
  <c r="T288" i="16"/>
  <c r="T289" i="16"/>
  <c r="T290" i="16"/>
  <c r="T291" i="16"/>
  <c r="T302" i="16"/>
  <c r="T303" i="16"/>
  <c r="T304" i="16"/>
  <c r="T305" i="16"/>
  <c r="T306" i="16"/>
  <c r="T307" i="16"/>
  <c r="T308" i="16"/>
  <c r="T309" i="16"/>
  <c r="T310" i="16"/>
  <c r="T311" i="16"/>
  <c r="T322" i="16"/>
  <c r="T323" i="16"/>
  <c r="T324" i="16"/>
  <c r="T325" i="16"/>
  <c r="T326" i="16"/>
  <c r="T327" i="16"/>
  <c r="T328" i="16"/>
  <c r="T329" i="16"/>
  <c r="T330" i="16"/>
  <c r="T331" i="16"/>
  <c r="T342" i="16"/>
  <c r="T343" i="16"/>
  <c r="T344" i="16"/>
  <c r="T345" i="16"/>
  <c r="T346" i="16"/>
  <c r="T347" i="16"/>
  <c r="T348" i="16"/>
  <c r="T349" i="16"/>
  <c r="T350" i="16"/>
  <c r="T351" i="16"/>
  <c r="T362" i="16"/>
  <c r="T363" i="16"/>
  <c r="T364" i="16"/>
  <c r="T365" i="16"/>
  <c r="T366" i="16"/>
  <c r="T367" i="16"/>
  <c r="T368" i="16"/>
  <c r="T369" i="16"/>
  <c r="T370" i="16"/>
  <c r="T371" i="16"/>
  <c r="T382" i="16"/>
  <c r="T383" i="16"/>
  <c r="T384" i="16"/>
  <c r="T385" i="16"/>
  <c r="T386" i="16"/>
  <c r="T387" i="16"/>
  <c r="T388" i="16"/>
  <c r="T389" i="16"/>
  <c r="T390" i="16"/>
  <c r="T391" i="16"/>
  <c r="T402" i="16"/>
  <c r="T403" i="16"/>
  <c r="T404" i="16"/>
  <c r="T405" i="16"/>
  <c r="T406" i="16"/>
  <c r="T407" i="16"/>
  <c r="T408" i="16"/>
  <c r="T409" i="16"/>
  <c r="T410" i="16"/>
  <c r="T411" i="16"/>
  <c r="T422" i="16"/>
  <c r="T423" i="16"/>
  <c r="T424" i="16"/>
  <c r="T425" i="16"/>
  <c r="T426" i="16"/>
  <c r="T427" i="16"/>
  <c r="T428" i="16"/>
  <c r="T429" i="16"/>
  <c r="T430" i="16"/>
  <c r="T431" i="16"/>
  <c r="T442" i="16"/>
  <c r="T443" i="16"/>
  <c r="T444" i="16"/>
  <c r="T445" i="16"/>
  <c r="T446" i="16"/>
  <c r="T447" i="16"/>
  <c r="T448" i="16"/>
  <c r="T449" i="16"/>
  <c r="T450" i="16"/>
  <c r="T451" i="16"/>
  <c r="T462" i="16"/>
  <c r="T463" i="16"/>
  <c r="T464" i="16"/>
  <c r="T465" i="16"/>
  <c r="T466" i="16"/>
  <c r="T467" i="16"/>
  <c r="T468" i="16"/>
  <c r="T469" i="16"/>
  <c r="T470" i="16"/>
  <c r="T471" i="16"/>
  <c r="T482" i="16"/>
  <c r="T483" i="16"/>
  <c r="T484" i="16"/>
  <c r="T485" i="16"/>
  <c r="T486" i="16"/>
  <c r="T487" i="16"/>
  <c r="T488" i="16"/>
  <c r="T489" i="16"/>
  <c r="T490" i="16"/>
  <c r="T491" i="16"/>
  <c r="T502" i="16"/>
  <c r="T503" i="16"/>
  <c r="T504" i="16"/>
  <c r="T505" i="16"/>
  <c r="T506" i="16"/>
  <c r="T507" i="16"/>
  <c r="T508" i="16"/>
  <c r="T509" i="16"/>
  <c r="T510" i="16"/>
  <c r="T511" i="16"/>
  <c r="T522" i="16"/>
  <c r="T523" i="16"/>
  <c r="T524" i="16"/>
  <c r="T525" i="16"/>
  <c r="T526" i="16"/>
  <c r="T527" i="16"/>
  <c r="T528" i="16"/>
  <c r="T529" i="16"/>
  <c r="T530" i="16"/>
  <c r="T531" i="16"/>
  <c r="T542" i="16"/>
  <c r="T543" i="16"/>
  <c r="T544" i="16"/>
  <c r="T545" i="16"/>
  <c r="T546" i="16"/>
  <c r="T547" i="16"/>
  <c r="T548" i="16"/>
  <c r="T549" i="16"/>
  <c r="T550" i="16"/>
  <c r="T551" i="16"/>
  <c r="T562" i="16"/>
  <c r="T563" i="16"/>
  <c r="T564" i="16"/>
  <c r="T565" i="16"/>
  <c r="T566" i="16"/>
  <c r="T567" i="16"/>
  <c r="T568" i="16"/>
  <c r="T569" i="16"/>
  <c r="T570" i="16"/>
  <c r="T571" i="16"/>
  <c r="T582" i="16"/>
  <c r="T583" i="16"/>
  <c r="T584" i="16"/>
  <c r="T585" i="16"/>
  <c r="T586" i="16"/>
  <c r="T587" i="16"/>
  <c r="T588" i="16"/>
  <c r="T589" i="16"/>
  <c r="T590" i="16"/>
  <c r="T591" i="16"/>
  <c r="T602" i="16"/>
  <c r="T603" i="16"/>
  <c r="T604" i="16"/>
  <c r="T605" i="16"/>
  <c r="T606" i="16"/>
  <c r="T607" i="16"/>
  <c r="T608" i="16"/>
  <c r="T609" i="16"/>
  <c r="T610" i="16"/>
  <c r="T611" i="16"/>
  <c r="T622" i="16"/>
  <c r="T623" i="16"/>
  <c r="T624" i="16"/>
  <c r="T625" i="16"/>
  <c r="T626" i="16"/>
  <c r="T627" i="16"/>
  <c r="T628" i="16"/>
  <c r="T629" i="16"/>
  <c r="T630" i="16"/>
  <c r="T631" i="16"/>
  <c r="T642" i="16"/>
  <c r="T643" i="16"/>
  <c r="T644" i="16"/>
  <c r="T645" i="16"/>
  <c r="T646" i="16"/>
  <c r="T647" i="16"/>
  <c r="T648" i="16"/>
  <c r="T649" i="16"/>
  <c r="T650" i="16"/>
  <c r="T651" i="16"/>
  <c r="T662" i="16"/>
  <c r="T663" i="16"/>
  <c r="T664" i="16"/>
  <c r="T665" i="16"/>
  <c r="T666" i="16"/>
  <c r="T667" i="16"/>
  <c r="T668" i="16"/>
  <c r="T669" i="16"/>
  <c r="T670" i="16"/>
  <c r="T671" i="16"/>
  <c r="T682" i="16"/>
  <c r="T683" i="16"/>
  <c r="T684" i="16"/>
  <c r="T685" i="16"/>
  <c r="T686" i="16"/>
  <c r="T687" i="16"/>
  <c r="T688" i="16"/>
  <c r="T689" i="16"/>
  <c r="T690" i="16"/>
  <c r="T691" i="16"/>
  <c r="T702" i="16"/>
  <c r="T703" i="16"/>
  <c r="T704" i="16"/>
  <c r="T705" i="16"/>
  <c r="T706" i="16"/>
  <c r="T707" i="16"/>
  <c r="T708" i="16"/>
  <c r="T709" i="16"/>
  <c r="T710" i="16"/>
  <c r="T711" i="16"/>
  <c r="T722" i="16"/>
  <c r="T723" i="16"/>
  <c r="T724" i="16"/>
  <c r="T725" i="16"/>
  <c r="T726" i="16"/>
  <c r="T727" i="16"/>
  <c r="T728" i="16"/>
  <c r="T729" i="16"/>
  <c r="T730" i="16"/>
  <c r="T731" i="16"/>
  <c r="T742" i="16"/>
  <c r="T743" i="16"/>
  <c r="T744" i="16"/>
  <c r="T745" i="16"/>
  <c r="T746" i="16"/>
  <c r="T747" i="16"/>
  <c r="T748" i="16"/>
  <c r="T749" i="16"/>
  <c r="T750" i="16"/>
  <c r="T751" i="16"/>
  <c r="T12" i="16"/>
  <c r="T32" i="16"/>
  <c r="T13" i="16"/>
  <c r="T33" i="16"/>
  <c r="T14" i="16"/>
  <c r="T15" i="16"/>
  <c r="T16" i="16"/>
  <c r="T17" i="16"/>
  <c r="T34" i="16"/>
  <c r="T18" i="16"/>
  <c r="T52" i="16"/>
  <c r="T35" i="16"/>
  <c r="T36" i="16"/>
  <c r="T37" i="16"/>
  <c r="T19" i="16"/>
  <c r="T20" i="16"/>
  <c r="T21" i="16"/>
  <c r="T38" i="16"/>
  <c r="T39" i="16"/>
  <c r="T40" i="16"/>
  <c r="T41" i="16"/>
  <c r="T53" i="16"/>
  <c r="T54" i="16"/>
  <c r="T55" i="16"/>
  <c r="T56" i="16"/>
  <c r="T57" i="16"/>
  <c r="T58" i="16"/>
  <c r="T59" i="16"/>
  <c r="T60" i="16"/>
  <c r="T61" i="16"/>
  <c r="T72" i="16"/>
  <c r="T73" i="16"/>
  <c r="T74" i="16"/>
  <c r="T75" i="16"/>
  <c r="T76" i="16"/>
  <c r="T77" i="16"/>
  <c r="T78" i="16"/>
  <c r="T79" i="16"/>
  <c r="T80" i="16"/>
  <c r="T81" i="16"/>
  <c r="T92" i="16"/>
  <c r="T93" i="16"/>
  <c r="T94" i="16"/>
  <c r="T95" i="16"/>
  <c r="T96" i="16"/>
  <c r="T97" i="16"/>
  <c r="T98" i="16"/>
  <c r="T99" i="16"/>
  <c r="T100" i="16"/>
  <c r="T101" i="16"/>
  <c r="T112" i="16"/>
  <c r="T113" i="16"/>
  <c r="T114" i="16"/>
  <c r="T115" i="16"/>
  <c r="T116" i="16"/>
  <c r="T117" i="16"/>
  <c r="T118" i="16"/>
  <c r="T119" i="16"/>
  <c r="T120" i="16"/>
  <c r="T121" i="16"/>
  <c r="T132" i="16"/>
  <c r="T133" i="16"/>
  <c r="T134" i="16"/>
  <c r="T135" i="16"/>
  <c r="T136" i="16"/>
  <c r="T137" i="16"/>
  <c r="T138" i="16"/>
  <c r="T139" i="16"/>
  <c r="T140" i="16"/>
  <c r="T141" i="16"/>
  <c r="T152" i="16"/>
  <c r="T153" i="16"/>
  <c r="T154" i="16"/>
  <c r="T155" i="16"/>
  <c r="T156" i="16"/>
  <c r="T157" i="16"/>
  <c r="T158" i="16"/>
  <c r="T159" i="16"/>
  <c r="T160" i="16"/>
  <c r="T161" i="16"/>
  <c r="T172" i="16"/>
  <c r="T173" i="16"/>
  <c r="T174" i="16"/>
  <c r="T175" i="16"/>
  <c r="T176" i="16"/>
  <c r="T177" i="16"/>
  <c r="T178" i="16"/>
  <c r="T179" i="16"/>
  <c r="T180" i="16"/>
  <c r="T181" i="16"/>
  <c r="T192" i="16"/>
  <c r="T193" i="16"/>
  <c r="T194" i="16"/>
  <c r="T195" i="16"/>
  <c r="T196" i="16"/>
  <c r="T197" i="16"/>
  <c r="T198" i="16"/>
  <c r="T199" i="16"/>
  <c r="T200" i="16"/>
  <c r="T201" i="16"/>
  <c r="T212" i="16"/>
  <c r="T213" i="16"/>
  <c r="T214" i="16"/>
  <c r="T215" i="16"/>
  <c r="T216" i="16"/>
  <c r="T217" i="16"/>
  <c r="T218" i="16"/>
  <c r="T219" i="16"/>
  <c r="T220" i="16"/>
  <c r="T221" i="16"/>
  <c r="T232" i="16"/>
  <c r="T233" i="16"/>
  <c r="T234" i="16"/>
  <c r="T235" i="16"/>
  <c r="T236" i="16"/>
  <c r="T237" i="16"/>
  <c r="T238" i="16"/>
  <c r="T239" i="16"/>
  <c r="T240" i="16"/>
  <c r="T241" i="16"/>
  <c r="T252" i="16"/>
  <c r="T253" i="16"/>
  <c r="T254" i="16"/>
  <c r="T255" i="16"/>
  <c r="T256" i="16"/>
  <c r="T257" i="16"/>
  <c r="T258" i="16"/>
  <c r="T259" i="16"/>
  <c r="T260" i="16"/>
  <c r="T261" i="16"/>
  <c r="T272" i="16"/>
  <c r="T273" i="16"/>
  <c r="T274" i="16"/>
  <c r="T275" i="16"/>
  <c r="T276" i="16"/>
  <c r="T277" i="16"/>
  <c r="T278" i="16"/>
  <c r="T279" i="16"/>
  <c r="T280" i="16"/>
  <c r="T281" i="16"/>
  <c r="T292" i="16"/>
  <c r="T293" i="16"/>
  <c r="T294" i="16"/>
  <c r="T295" i="16"/>
  <c r="T296" i="16"/>
  <c r="T297" i="16"/>
  <c r="T298" i="16"/>
  <c r="T299" i="16"/>
  <c r="T300" i="16"/>
  <c r="T301" i="16"/>
  <c r="T312" i="16"/>
  <c r="T313" i="16"/>
  <c r="T314" i="16"/>
  <c r="T315" i="16"/>
  <c r="T316" i="16"/>
  <c r="T317" i="16"/>
  <c r="T318" i="16"/>
  <c r="T319" i="16"/>
  <c r="T320" i="16"/>
  <c r="T321" i="16"/>
  <c r="T332" i="16"/>
  <c r="T333" i="16"/>
  <c r="T334" i="16"/>
  <c r="T335" i="16"/>
  <c r="T336" i="16"/>
  <c r="T337" i="16"/>
  <c r="T338" i="16"/>
  <c r="T339" i="16"/>
  <c r="T340" i="16"/>
  <c r="T341" i="16"/>
  <c r="T352" i="16"/>
  <c r="T353" i="16"/>
  <c r="T354" i="16"/>
  <c r="T355" i="16"/>
  <c r="T356" i="16"/>
  <c r="T357" i="16"/>
  <c r="T358" i="16"/>
  <c r="T359" i="16"/>
  <c r="T360" i="16"/>
  <c r="T361" i="16"/>
  <c r="T372" i="16"/>
  <c r="T373" i="16"/>
  <c r="T374" i="16"/>
  <c r="T375" i="16"/>
  <c r="T376" i="16"/>
  <c r="T377" i="16"/>
  <c r="T378" i="16"/>
  <c r="T379" i="16"/>
  <c r="T380" i="16"/>
  <c r="T381" i="16"/>
  <c r="T392" i="16"/>
  <c r="T393" i="16"/>
  <c r="T394" i="16"/>
  <c r="T395" i="16"/>
  <c r="T396" i="16"/>
  <c r="T397" i="16"/>
  <c r="T398" i="16"/>
  <c r="T399" i="16"/>
  <c r="T400" i="16"/>
  <c r="T401" i="16"/>
  <c r="T412" i="16"/>
  <c r="T413" i="16"/>
  <c r="T414" i="16"/>
  <c r="T415" i="16"/>
  <c r="T416" i="16"/>
  <c r="T417" i="16"/>
  <c r="T418" i="16"/>
  <c r="T419" i="16"/>
  <c r="T420" i="16"/>
  <c r="T421" i="16"/>
  <c r="T432" i="16"/>
  <c r="T433" i="16"/>
  <c r="T434" i="16"/>
  <c r="T435" i="16"/>
  <c r="T436" i="16"/>
  <c r="T437" i="16"/>
  <c r="T438" i="16"/>
  <c r="T439" i="16"/>
  <c r="T440" i="16"/>
  <c r="T441" i="16"/>
  <c r="T452" i="16"/>
  <c r="T453" i="16"/>
  <c r="T454" i="16"/>
  <c r="T455" i="16"/>
  <c r="T456" i="16"/>
  <c r="T457" i="16"/>
  <c r="T458" i="16"/>
  <c r="T459" i="16"/>
  <c r="T460" i="16"/>
  <c r="T461" i="16"/>
  <c r="T472" i="16"/>
  <c r="T473" i="16"/>
  <c r="T474" i="16"/>
  <c r="T475" i="16"/>
  <c r="T476" i="16"/>
  <c r="T477" i="16"/>
  <c r="T478" i="16"/>
  <c r="T479" i="16"/>
  <c r="T480" i="16"/>
  <c r="T481" i="16"/>
  <c r="T492" i="16"/>
  <c r="T493" i="16"/>
  <c r="T494" i="16"/>
  <c r="T495" i="16"/>
  <c r="T496" i="16"/>
  <c r="T497" i="16"/>
  <c r="T498" i="16"/>
  <c r="T499" i="16"/>
  <c r="T500" i="16"/>
  <c r="T501" i="16"/>
  <c r="T512" i="16"/>
  <c r="T513" i="16"/>
  <c r="T514" i="16"/>
  <c r="T515" i="16"/>
  <c r="T516" i="16"/>
  <c r="T517" i="16"/>
  <c r="T518" i="16"/>
  <c r="T519" i="16"/>
  <c r="T520" i="16"/>
  <c r="T521" i="16"/>
  <c r="T532" i="16"/>
  <c r="T533" i="16"/>
  <c r="T534" i="16"/>
  <c r="T535" i="16"/>
  <c r="T536" i="16"/>
  <c r="T537" i="16"/>
  <c r="T538" i="16"/>
  <c r="T539" i="16"/>
  <c r="T540" i="16"/>
  <c r="T541" i="16"/>
  <c r="T552" i="16"/>
  <c r="T553" i="16"/>
  <c r="T554" i="16"/>
  <c r="T555" i="16"/>
  <c r="T556" i="16"/>
  <c r="T557" i="16"/>
  <c r="T558" i="16"/>
  <c r="T559" i="16"/>
  <c r="T560" i="16"/>
  <c r="T561" i="16"/>
  <c r="T572" i="16"/>
  <c r="T573" i="16"/>
  <c r="T574" i="16"/>
  <c r="T575" i="16"/>
  <c r="T576" i="16"/>
  <c r="T577" i="16"/>
  <c r="T578" i="16"/>
  <c r="T579" i="16"/>
  <c r="T580" i="16"/>
  <c r="T581" i="16"/>
  <c r="T592" i="16"/>
  <c r="T593" i="16"/>
  <c r="T594" i="16"/>
  <c r="T595" i="16"/>
  <c r="T596" i="16"/>
  <c r="T597" i="16"/>
  <c r="T598" i="16"/>
  <c r="T599" i="16"/>
  <c r="T600" i="16"/>
  <c r="T601" i="16"/>
  <c r="T612" i="16"/>
  <c r="T613" i="16"/>
  <c r="T614" i="16"/>
  <c r="T615" i="16"/>
  <c r="T616" i="16"/>
  <c r="T617" i="16"/>
  <c r="T618" i="16"/>
  <c r="T619" i="16"/>
  <c r="T620" i="16"/>
  <c r="T621" i="16"/>
  <c r="T632" i="16"/>
  <c r="T633" i="16"/>
  <c r="T634" i="16"/>
  <c r="T635" i="16"/>
  <c r="T636" i="16"/>
  <c r="T637" i="16"/>
  <c r="T638" i="16"/>
  <c r="T639" i="16"/>
  <c r="T640" i="16"/>
  <c r="T641" i="16"/>
  <c r="T652" i="16"/>
  <c r="T653" i="16"/>
  <c r="T654" i="16"/>
  <c r="T655" i="16"/>
  <c r="T656" i="16"/>
  <c r="T657" i="16"/>
  <c r="T658" i="16"/>
  <c r="T659" i="16"/>
  <c r="T660" i="16"/>
  <c r="T661" i="16"/>
  <c r="T672" i="16"/>
  <c r="T673" i="16"/>
  <c r="T674" i="16"/>
  <c r="T675" i="16"/>
  <c r="T676" i="16"/>
  <c r="T677" i="16"/>
  <c r="T678" i="16"/>
  <c r="T679" i="16"/>
  <c r="T680" i="16"/>
  <c r="T681" i="16"/>
  <c r="T692" i="16"/>
  <c r="T693" i="16"/>
  <c r="T694" i="16"/>
  <c r="T695" i="16"/>
  <c r="T696" i="16"/>
  <c r="T697" i="16"/>
  <c r="T698" i="16"/>
  <c r="T699" i="16"/>
  <c r="T700" i="16"/>
  <c r="T701" i="16"/>
  <c r="T712" i="16"/>
  <c r="T713" i="16"/>
  <c r="T714" i="16"/>
  <c r="T715" i="16"/>
  <c r="T716" i="16"/>
  <c r="T717" i="16"/>
  <c r="T718" i="16"/>
  <c r="T719" i="16"/>
  <c r="T720" i="16"/>
  <c r="T721" i="16"/>
  <c r="T732" i="16"/>
  <c r="T733" i="16"/>
  <c r="T734" i="16"/>
  <c r="T735" i="16"/>
  <c r="T736" i="16"/>
  <c r="T737" i="16"/>
  <c r="T738" i="16"/>
  <c r="T739" i="16"/>
  <c r="T740" i="16"/>
  <c r="T741" i="16"/>
  <c r="T752" i="16"/>
  <c r="T753" i="16"/>
  <c r="T754" i="16"/>
  <c r="T755" i="16"/>
  <c r="T756" i="16"/>
  <c r="T757" i="16"/>
  <c r="T758" i="16"/>
  <c r="T759" i="16"/>
  <c r="T760" i="16"/>
  <c r="T761" i="16"/>
  <c r="A2" i="36"/>
  <c r="A3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7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8" i="36"/>
  <c r="A269" i="36"/>
  <c r="A270" i="36"/>
  <c r="A271" i="36"/>
  <c r="A272" i="36"/>
  <c r="A273" i="36"/>
  <c r="A274" i="36"/>
  <c r="A275" i="36"/>
  <c r="A276" i="36"/>
  <c r="A277" i="36"/>
  <c r="A278" i="36"/>
  <c r="A279" i="36"/>
  <c r="A280" i="36"/>
  <c r="A281" i="36"/>
  <c r="A282" i="36"/>
  <c r="A283" i="36"/>
  <c r="A284" i="36"/>
  <c r="A285" i="36"/>
  <c r="A286" i="36"/>
  <c r="A287" i="36"/>
  <c r="A288" i="36"/>
  <c r="A289" i="36"/>
  <c r="A290" i="36"/>
  <c r="A291" i="36"/>
  <c r="A292" i="36"/>
  <c r="A293" i="36"/>
  <c r="A294" i="36"/>
  <c r="A295" i="36"/>
  <c r="A296" i="36"/>
  <c r="A297" i="36"/>
  <c r="A298" i="36"/>
  <c r="A299" i="36"/>
  <c r="A300" i="36"/>
  <c r="A301" i="36"/>
  <c r="A302" i="36"/>
  <c r="A303" i="36"/>
  <c r="A304" i="36"/>
  <c r="A305" i="36"/>
  <c r="A306" i="36"/>
  <c r="A307" i="36"/>
  <c r="A308" i="36"/>
  <c r="A309" i="36"/>
  <c r="A310" i="36"/>
  <c r="A311" i="36"/>
  <c r="A312" i="36"/>
  <c r="A313" i="36"/>
  <c r="A314" i="36"/>
  <c r="A315" i="36"/>
  <c r="A316" i="36"/>
  <c r="A317" i="36"/>
  <c r="A318" i="36"/>
  <c r="A319" i="36"/>
  <c r="A320" i="36"/>
  <c r="A321" i="36"/>
  <c r="A322" i="36"/>
  <c r="A323" i="36"/>
  <c r="A324" i="36"/>
  <c r="A325" i="36"/>
  <c r="A326" i="36"/>
  <c r="A327" i="36"/>
  <c r="A328" i="36"/>
  <c r="A329" i="36"/>
  <c r="A330" i="36"/>
  <c r="A331" i="36"/>
  <c r="A332" i="36"/>
  <c r="A333" i="36"/>
  <c r="A334" i="36"/>
  <c r="A335" i="36"/>
  <c r="A336" i="36"/>
  <c r="A337" i="36"/>
  <c r="A338" i="36"/>
  <c r="A339" i="36"/>
  <c r="A340" i="36"/>
  <c r="A341" i="36"/>
  <c r="A342" i="36"/>
  <c r="A343" i="36"/>
  <c r="A344" i="36"/>
  <c r="A345" i="36"/>
  <c r="A346" i="36"/>
  <c r="A347" i="36"/>
  <c r="A348" i="36"/>
  <c r="A349" i="36"/>
  <c r="A350" i="36"/>
  <c r="A351" i="36"/>
  <c r="A352" i="36"/>
  <c r="A353" i="36"/>
  <c r="A354" i="36"/>
  <c r="A355" i="36"/>
  <c r="A356" i="36"/>
  <c r="A357" i="36"/>
  <c r="A358" i="36"/>
  <c r="A359" i="36"/>
  <c r="A360" i="36"/>
  <c r="A361" i="36"/>
  <c r="A362" i="36"/>
  <c r="A363" i="36"/>
  <c r="A364" i="36"/>
  <c r="A365" i="36"/>
  <c r="A366" i="36"/>
  <c r="A367" i="36"/>
  <c r="A368" i="36"/>
  <c r="A369" i="36"/>
  <c r="A370" i="36"/>
  <c r="A371" i="36"/>
  <c r="A372" i="36"/>
  <c r="A373" i="36"/>
  <c r="A374" i="36"/>
  <c r="A375" i="36"/>
  <c r="A376" i="36"/>
  <c r="A377" i="36"/>
  <c r="A378" i="36"/>
  <c r="A379" i="36"/>
  <c r="A380" i="36"/>
  <c r="A381" i="36"/>
  <c r="A382" i="36"/>
  <c r="A383" i="36"/>
  <c r="A384" i="36"/>
  <c r="A385" i="36"/>
  <c r="A386" i="36"/>
  <c r="A387" i="36"/>
  <c r="A388" i="36"/>
  <c r="A389" i="36"/>
  <c r="A390" i="36"/>
  <c r="A391" i="36"/>
  <c r="A392" i="36"/>
  <c r="A393" i="36"/>
  <c r="A394" i="36"/>
  <c r="A395" i="36"/>
  <c r="A396" i="36"/>
  <c r="A397" i="36"/>
  <c r="A398" i="36"/>
  <c r="A399" i="36"/>
  <c r="A400" i="36"/>
  <c r="A401" i="36"/>
  <c r="A402" i="36"/>
  <c r="A403" i="36"/>
  <c r="A404" i="36"/>
  <c r="A405" i="36"/>
  <c r="A406" i="36"/>
  <c r="A407" i="36"/>
  <c r="A408" i="36"/>
  <c r="A409" i="36"/>
  <c r="A410" i="36"/>
  <c r="A411" i="36"/>
  <c r="A412" i="36"/>
  <c r="A413" i="36"/>
  <c r="A414" i="36"/>
  <c r="A415" i="36"/>
  <c r="A416" i="36"/>
  <c r="A417" i="36"/>
  <c r="A418" i="36"/>
  <c r="A419" i="36"/>
  <c r="A420" i="36"/>
  <c r="A421" i="36"/>
  <c r="A422" i="36"/>
  <c r="A423" i="36"/>
  <c r="A424" i="36"/>
  <c r="A425" i="36"/>
  <c r="A426" i="36"/>
  <c r="A427" i="36"/>
  <c r="A428" i="36"/>
  <c r="A429" i="36"/>
  <c r="A430" i="36"/>
  <c r="A431" i="36"/>
  <c r="A432" i="36"/>
  <c r="A433" i="36"/>
  <c r="A434" i="36"/>
  <c r="A435" i="36"/>
  <c r="A436" i="36"/>
  <c r="A437" i="36"/>
  <c r="A438" i="36"/>
  <c r="A439" i="36"/>
  <c r="A440" i="36"/>
  <c r="A441" i="36"/>
  <c r="A442" i="36"/>
  <c r="A443" i="36"/>
  <c r="A444" i="36"/>
  <c r="A445" i="36"/>
  <c r="A446" i="36"/>
  <c r="A447" i="36"/>
  <c r="A448" i="36"/>
  <c r="A449" i="36"/>
  <c r="A450" i="36"/>
  <c r="A451" i="36"/>
  <c r="A452" i="36"/>
  <c r="A453" i="36"/>
  <c r="A454" i="36"/>
  <c r="A455" i="36"/>
  <c r="A456" i="36"/>
  <c r="A457" i="36"/>
  <c r="A458" i="36"/>
  <c r="A459" i="36"/>
  <c r="A460" i="36"/>
  <c r="A461" i="36"/>
  <c r="A462" i="36"/>
  <c r="A463" i="36"/>
  <c r="A464" i="36"/>
  <c r="A465" i="36"/>
  <c r="A466" i="36"/>
  <c r="A467" i="36"/>
  <c r="A468" i="36"/>
  <c r="A469" i="36"/>
  <c r="A470" i="36"/>
  <c r="A471" i="36"/>
  <c r="A472" i="36"/>
  <c r="A473" i="36"/>
  <c r="A474" i="36"/>
  <c r="A475" i="36"/>
  <c r="A476" i="36"/>
  <c r="A477" i="36"/>
  <c r="A478" i="36"/>
  <c r="A479" i="36"/>
  <c r="A480" i="36"/>
  <c r="A481" i="36"/>
  <c r="A482" i="36"/>
  <c r="A483" i="36"/>
  <c r="A484" i="36"/>
  <c r="A485" i="36"/>
  <c r="A486" i="36"/>
  <c r="A487" i="36"/>
  <c r="A488" i="36"/>
  <c r="A489" i="36"/>
  <c r="A490" i="36"/>
  <c r="A491" i="36"/>
  <c r="A492" i="36"/>
  <c r="A493" i="36"/>
  <c r="A494" i="36"/>
  <c r="A495" i="36"/>
  <c r="A496" i="36"/>
  <c r="A497" i="36"/>
  <c r="A498" i="36"/>
  <c r="A499" i="36"/>
  <c r="A500" i="36"/>
  <c r="A501" i="36"/>
  <c r="A502" i="36"/>
  <c r="A503" i="36"/>
  <c r="A504" i="36"/>
  <c r="A505" i="36"/>
  <c r="A506" i="36"/>
  <c r="A507" i="36"/>
  <c r="A508" i="36"/>
  <c r="A509" i="36"/>
  <c r="A510" i="36"/>
  <c r="A511" i="36"/>
  <c r="A512" i="36"/>
  <c r="A513" i="36"/>
  <c r="A514" i="36"/>
  <c r="A515" i="36"/>
  <c r="A516" i="36"/>
  <c r="A517" i="36"/>
  <c r="A518" i="36"/>
  <c r="A519" i="36"/>
  <c r="A520" i="36"/>
  <c r="A521" i="36"/>
  <c r="A522" i="36"/>
  <c r="A523" i="36"/>
  <c r="A524" i="36"/>
  <c r="A525" i="36"/>
  <c r="A526" i="36"/>
  <c r="A527" i="36"/>
  <c r="A528" i="36"/>
  <c r="A529" i="36"/>
  <c r="A530" i="36"/>
  <c r="A531" i="36"/>
  <c r="A532" i="36"/>
  <c r="A533" i="36"/>
  <c r="A534" i="36"/>
  <c r="A535" i="36"/>
  <c r="A536" i="36"/>
  <c r="A537" i="36"/>
  <c r="A538" i="36"/>
  <c r="A539" i="36"/>
  <c r="A540" i="36"/>
  <c r="A541" i="36"/>
  <c r="A542" i="36"/>
  <c r="A543" i="36"/>
  <c r="A544" i="36"/>
  <c r="A545" i="36"/>
  <c r="A546" i="36"/>
  <c r="A547" i="36"/>
  <c r="A548" i="36"/>
  <c r="A549" i="36"/>
  <c r="A550" i="36"/>
  <c r="A551" i="36"/>
  <c r="A552" i="36"/>
  <c r="A553" i="36"/>
  <c r="A554" i="36"/>
  <c r="A555" i="36"/>
  <c r="A556" i="36"/>
  <c r="A557" i="36"/>
  <c r="A558" i="36"/>
  <c r="A559" i="36"/>
  <c r="A560" i="36"/>
  <c r="A561" i="36"/>
  <c r="A562" i="36"/>
  <c r="A563" i="36"/>
  <c r="A564" i="36"/>
  <c r="A565" i="36"/>
  <c r="A566" i="36"/>
  <c r="A567" i="36"/>
  <c r="A568" i="36"/>
  <c r="A569" i="36"/>
  <c r="A570" i="36"/>
  <c r="A571" i="36"/>
  <c r="A572" i="36"/>
  <c r="A573" i="36"/>
  <c r="A574" i="36"/>
  <c r="A575" i="36"/>
  <c r="A576" i="36"/>
  <c r="A577" i="36"/>
  <c r="A578" i="36"/>
  <c r="A579" i="36"/>
  <c r="A580" i="36"/>
  <c r="A581" i="36"/>
  <c r="A582" i="36"/>
  <c r="A583" i="36"/>
  <c r="A584" i="36"/>
  <c r="A585" i="36"/>
  <c r="A586" i="36"/>
  <c r="A587" i="36"/>
  <c r="A588" i="36"/>
  <c r="A589" i="36"/>
  <c r="A590" i="36"/>
  <c r="A591" i="36"/>
  <c r="A592" i="36"/>
  <c r="A593" i="36"/>
  <c r="A594" i="36"/>
  <c r="A595" i="36"/>
  <c r="A596" i="36"/>
  <c r="A597" i="36"/>
  <c r="A598" i="36"/>
  <c r="A599" i="36"/>
  <c r="A600" i="36"/>
  <c r="A601" i="36"/>
  <c r="A602" i="36"/>
  <c r="A603" i="36"/>
  <c r="A604" i="36"/>
  <c r="A605" i="36"/>
  <c r="A606" i="36"/>
  <c r="A607" i="36"/>
  <c r="A608" i="36"/>
  <c r="A609" i="36"/>
  <c r="A610" i="36"/>
  <c r="A611" i="36"/>
  <c r="A612" i="36"/>
  <c r="A613" i="36"/>
  <c r="A614" i="36"/>
  <c r="A615" i="36"/>
  <c r="A616" i="36"/>
  <c r="A617" i="36"/>
  <c r="A618" i="36"/>
  <c r="A619" i="36"/>
  <c r="A620" i="36"/>
  <c r="A621" i="36"/>
  <c r="A622" i="36"/>
  <c r="A623" i="36"/>
  <c r="A624" i="36"/>
  <c r="A625" i="36"/>
  <c r="A626" i="36"/>
  <c r="A627" i="36"/>
  <c r="A628" i="36"/>
  <c r="A629" i="36"/>
  <c r="A630" i="36"/>
  <c r="A631" i="36"/>
  <c r="A632" i="36"/>
  <c r="A633" i="36"/>
  <c r="A634" i="36"/>
  <c r="A635" i="36"/>
  <c r="A636" i="36"/>
  <c r="A637" i="36"/>
  <c r="A638" i="36"/>
  <c r="A639" i="36"/>
  <c r="A640" i="36"/>
  <c r="A641" i="36"/>
  <c r="A642" i="36"/>
  <c r="A643" i="36"/>
  <c r="A644" i="36"/>
  <c r="A645" i="36"/>
  <c r="A646" i="36"/>
  <c r="A647" i="36"/>
  <c r="A648" i="36"/>
  <c r="A649" i="36"/>
  <c r="A650" i="36"/>
  <c r="A651" i="36"/>
  <c r="A652" i="36"/>
  <c r="A653" i="36"/>
  <c r="A654" i="36"/>
  <c r="A655" i="36"/>
  <c r="A656" i="36"/>
  <c r="A657" i="36"/>
  <c r="A658" i="36"/>
  <c r="A659" i="36"/>
  <c r="A660" i="36"/>
  <c r="A661" i="36"/>
  <c r="A662" i="36"/>
  <c r="A663" i="36"/>
  <c r="A664" i="36"/>
  <c r="A665" i="36"/>
  <c r="A666" i="36"/>
  <c r="A667" i="36"/>
  <c r="A668" i="36"/>
  <c r="A669" i="36"/>
  <c r="A670" i="36"/>
  <c r="A671" i="36"/>
  <c r="A672" i="36"/>
  <c r="A673" i="36"/>
  <c r="A674" i="36"/>
  <c r="A675" i="36"/>
  <c r="A676" i="36"/>
  <c r="A677" i="36"/>
  <c r="A678" i="36"/>
  <c r="A679" i="36"/>
  <c r="A680" i="36"/>
  <c r="A681" i="36"/>
  <c r="A682" i="36"/>
  <c r="A683" i="36"/>
  <c r="A684" i="36"/>
  <c r="A685" i="36"/>
  <c r="A686" i="36"/>
  <c r="A687" i="36"/>
  <c r="A688" i="36"/>
  <c r="A689" i="36"/>
  <c r="A690" i="36"/>
  <c r="A691" i="36"/>
  <c r="A692" i="36"/>
  <c r="A693" i="36"/>
  <c r="A694" i="36"/>
  <c r="A695" i="36"/>
  <c r="A696" i="36"/>
  <c r="A697" i="36"/>
  <c r="A698" i="36"/>
  <c r="A699" i="36"/>
  <c r="A700" i="36"/>
  <c r="A701" i="36"/>
  <c r="A702" i="36"/>
  <c r="A703" i="36"/>
  <c r="A704" i="36"/>
  <c r="A705" i="36"/>
  <c r="A706" i="36"/>
  <c r="A707" i="36"/>
  <c r="A708" i="36"/>
  <c r="A709" i="36"/>
  <c r="A710" i="36"/>
  <c r="A711" i="36"/>
  <c r="A712" i="36"/>
  <c r="A713" i="36"/>
  <c r="A714" i="36"/>
  <c r="A715" i="36"/>
  <c r="A716" i="36"/>
  <c r="A717" i="36"/>
  <c r="A718" i="36"/>
  <c r="A719" i="36"/>
  <c r="A720" i="36"/>
  <c r="A721" i="36"/>
  <c r="A722" i="36"/>
  <c r="A723" i="36"/>
  <c r="A724" i="36"/>
  <c r="A725" i="36"/>
  <c r="A726" i="36"/>
  <c r="A727" i="36"/>
  <c r="A728" i="36"/>
  <c r="A729" i="36"/>
  <c r="A730" i="36"/>
  <c r="A731" i="36"/>
  <c r="A732" i="36"/>
  <c r="A733" i="36"/>
  <c r="A734" i="36"/>
  <c r="A735" i="36"/>
  <c r="A736" i="36"/>
  <c r="A737" i="36"/>
  <c r="A738" i="36"/>
  <c r="A739" i="36"/>
  <c r="A740" i="36"/>
  <c r="A741" i="36"/>
  <c r="A742" i="36"/>
  <c r="A743" i="36"/>
  <c r="A744" i="36"/>
  <c r="A745" i="36"/>
  <c r="A746" i="36"/>
  <c r="A747" i="36"/>
  <c r="A748" i="36"/>
  <c r="A749" i="36"/>
  <c r="A750" i="36"/>
  <c r="A751" i="36"/>
  <c r="A752" i="36"/>
  <c r="A753" i="36"/>
  <c r="A754" i="36"/>
  <c r="A755" i="36"/>
  <c r="A756" i="36"/>
  <c r="A757" i="36"/>
  <c r="A758" i="36"/>
  <c r="A759" i="36"/>
  <c r="A760" i="36"/>
  <c r="A761" i="36"/>
  <c r="A762" i="36"/>
  <c r="A763" i="36"/>
  <c r="A764" i="36"/>
  <c r="A765" i="36"/>
  <c r="A766" i="36"/>
  <c r="A767" i="36"/>
  <c r="A768" i="36"/>
  <c r="A769" i="36"/>
  <c r="A770" i="36"/>
  <c r="A771" i="36"/>
  <c r="A772" i="36"/>
  <c r="A773" i="36"/>
  <c r="A774" i="36"/>
  <c r="A775" i="36"/>
  <c r="A776" i="36"/>
  <c r="A777" i="36"/>
  <c r="A778" i="36"/>
  <c r="A779" i="36"/>
  <c r="A780" i="36"/>
  <c r="A781" i="36"/>
  <c r="A782" i="36"/>
  <c r="A783" i="36"/>
  <c r="A784" i="36"/>
  <c r="A785" i="36"/>
  <c r="A786" i="36"/>
  <c r="A787" i="36"/>
  <c r="A788" i="36"/>
  <c r="A789" i="36"/>
  <c r="A790" i="36"/>
  <c r="A791" i="36"/>
  <c r="A792" i="36"/>
  <c r="A793" i="36"/>
  <c r="A794" i="36"/>
  <c r="A795" i="36"/>
  <c r="A796" i="36"/>
  <c r="A797" i="36"/>
  <c r="A798" i="36"/>
  <c r="A799" i="36"/>
  <c r="A800" i="36"/>
  <c r="A801" i="36"/>
  <c r="A802" i="36"/>
  <c r="A803" i="36"/>
  <c r="A804" i="36"/>
  <c r="A805" i="36"/>
  <c r="A806" i="36"/>
  <c r="A807" i="36"/>
  <c r="A808" i="36"/>
  <c r="A809" i="36"/>
  <c r="A810" i="36"/>
  <c r="A811" i="36"/>
  <c r="A812" i="36"/>
  <c r="A813" i="36"/>
  <c r="A814" i="36"/>
  <c r="A815" i="36"/>
  <c r="A816" i="36"/>
  <c r="A817" i="36"/>
  <c r="A818" i="36"/>
  <c r="A819" i="36"/>
  <c r="A820" i="36"/>
  <c r="A821" i="36"/>
  <c r="A822" i="36"/>
  <c r="A823" i="36"/>
  <c r="A824" i="36"/>
  <c r="A825" i="36"/>
  <c r="A826" i="36"/>
  <c r="A827" i="36"/>
  <c r="A828" i="36"/>
  <c r="A829" i="36"/>
  <c r="A830" i="36"/>
  <c r="A831" i="36"/>
  <c r="A832" i="36"/>
  <c r="A833" i="36"/>
  <c r="A834" i="36"/>
  <c r="A835" i="36"/>
  <c r="A836" i="36"/>
  <c r="A837" i="36"/>
  <c r="A838" i="36"/>
  <c r="A839" i="36"/>
  <c r="A840" i="36"/>
  <c r="A841" i="36"/>
  <c r="A842" i="36"/>
  <c r="P2" i="36"/>
  <c r="P3" i="36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P105" i="36"/>
  <c r="P106" i="36"/>
  <c r="P107" i="36"/>
  <c r="P108" i="36"/>
  <c r="P109" i="36"/>
  <c r="P110" i="36"/>
  <c r="P111" i="36"/>
  <c r="P112" i="36"/>
  <c r="P113" i="36"/>
  <c r="P114" i="36"/>
  <c r="P115" i="36"/>
  <c r="P116" i="36"/>
  <c r="P117" i="36"/>
  <c r="P118" i="36"/>
  <c r="P119" i="36"/>
  <c r="P120" i="36"/>
  <c r="P121" i="36"/>
  <c r="P122" i="36"/>
  <c r="P123" i="36"/>
  <c r="P124" i="36"/>
  <c r="P125" i="36"/>
  <c r="P126" i="36"/>
  <c r="P127" i="36"/>
  <c r="P128" i="36"/>
  <c r="P129" i="36"/>
  <c r="P130" i="36"/>
  <c r="P131" i="36"/>
  <c r="P132" i="36"/>
  <c r="P133" i="36"/>
  <c r="P134" i="36"/>
  <c r="P135" i="36"/>
  <c r="P136" i="36"/>
  <c r="P137" i="36"/>
  <c r="P138" i="36"/>
  <c r="P139" i="36"/>
  <c r="P140" i="36"/>
  <c r="P141" i="36"/>
  <c r="P142" i="36"/>
  <c r="P143" i="36"/>
  <c r="P144" i="36"/>
  <c r="P145" i="36"/>
  <c r="P146" i="36"/>
  <c r="P147" i="36"/>
  <c r="P148" i="36"/>
  <c r="P149" i="36"/>
  <c r="P150" i="36"/>
  <c r="P151" i="36"/>
  <c r="P152" i="36"/>
  <c r="P153" i="36"/>
  <c r="P154" i="36"/>
  <c r="P155" i="36"/>
  <c r="P156" i="36"/>
  <c r="P157" i="36"/>
  <c r="P158" i="36"/>
  <c r="P159" i="36"/>
  <c r="P160" i="36"/>
  <c r="P161" i="36"/>
  <c r="P162" i="36"/>
  <c r="P163" i="36"/>
  <c r="P164" i="36"/>
  <c r="P165" i="36"/>
  <c r="P166" i="36"/>
  <c r="P167" i="36"/>
  <c r="P168" i="36"/>
  <c r="P169" i="36"/>
  <c r="P170" i="36"/>
  <c r="P171" i="36"/>
  <c r="P172" i="36"/>
  <c r="P173" i="36"/>
  <c r="P174" i="36"/>
  <c r="P175" i="36"/>
  <c r="P176" i="36"/>
  <c r="P177" i="36"/>
  <c r="P178" i="36"/>
  <c r="P179" i="36"/>
  <c r="P180" i="36"/>
  <c r="P181" i="36"/>
  <c r="P182" i="36"/>
  <c r="P183" i="36"/>
  <c r="P184" i="36"/>
  <c r="P185" i="36"/>
  <c r="P186" i="36"/>
  <c r="P187" i="36"/>
  <c r="P188" i="36"/>
  <c r="P189" i="36"/>
  <c r="P190" i="36"/>
  <c r="P191" i="36"/>
  <c r="P192" i="36"/>
  <c r="P193" i="36"/>
  <c r="P194" i="36"/>
  <c r="P195" i="36"/>
  <c r="P196" i="36"/>
  <c r="P197" i="36"/>
  <c r="P198" i="36"/>
  <c r="P199" i="36"/>
  <c r="P200" i="36"/>
  <c r="P201" i="36"/>
  <c r="P202" i="36"/>
  <c r="P203" i="36"/>
  <c r="P204" i="36"/>
  <c r="P205" i="36"/>
  <c r="P206" i="36"/>
  <c r="P207" i="36"/>
  <c r="P208" i="36"/>
  <c r="P209" i="36"/>
  <c r="P210" i="36"/>
  <c r="P211" i="36"/>
  <c r="P212" i="36"/>
  <c r="P213" i="36"/>
  <c r="P214" i="36"/>
  <c r="P215" i="36"/>
  <c r="P216" i="36"/>
  <c r="P217" i="36"/>
  <c r="P218" i="36"/>
  <c r="P219" i="36"/>
  <c r="P220" i="36"/>
  <c r="P221" i="36"/>
  <c r="P222" i="36"/>
  <c r="P223" i="36"/>
  <c r="P224" i="36"/>
  <c r="P225" i="36"/>
  <c r="P226" i="36"/>
  <c r="P227" i="36"/>
  <c r="P228" i="36"/>
  <c r="P229" i="36"/>
  <c r="P230" i="36"/>
  <c r="P231" i="36"/>
  <c r="P232" i="36"/>
  <c r="P233" i="36"/>
  <c r="P234" i="36"/>
  <c r="P235" i="36"/>
  <c r="P236" i="36"/>
  <c r="P237" i="36"/>
  <c r="P238" i="36"/>
  <c r="P239" i="36"/>
  <c r="P240" i="36"/>
  <c r="P241" i="36"/>
  <c r="P242" i="36"/>
  <c r="P243" i="36"/>
  <c r="P244" i="36"/>
  <c r="P245" i="36"/>
  <c r="P246" i="36"/>
  <c r="P247" i="36"/>
  <c r="P248" i="36"/>
  <c r="P249" i="36"/>
  <c r="P250" i="36"/>
  <c r="P251" i="36"/>
  <c r="P252" i="36"/>
  <c r="P253" i="36"/>
  <c r="P254" i="36"/>
  <c r="P255" i="36"/>
  <c r="P256" i="36"/>
  <c r="P257" i="36"/>
  <c r="P258" i="36"/>
  <c r="P259" i="36"/>
  <c r="P260" i="36"/>
  <c r="P261" i="36"/>
  <c r="P262" i="36"/>
  <c r="P263" i="36"/>
  <c r="P264" i="36"/>
  <c r="P265" i="36"/>
  <c r="P266" i="36"/>
  <c r="P267" i="36"/>
  <c r="P268" i="36"/>
  <c r="P269" i="36"/>
  <c r="P270" i="36"/>
  <c r="P271" i="36"/>
  <c r="P272" i="36"/>
  <c r="P273" i="36"/>
  <c r="P274" i="36"/>
  <c r="P275" i="36"/>
  <c r="P276" i="36"/>
  <c r="P277" i="36"/>
  <c r="P278" i="36"/>
  <c r="P279" i="36"/>
  <c r="P280" i="36"/>
  <c r="P281" i="36"/>
  <c r="P282" i="36"/>
  <c r="P283" i="36"/>
  <c r="P284" i="36"/>
  <c r="P285" i="36"/>
  <c r="P286" i="36"/>
  <c r="P287" i="36"/>
  <c r="P288" i="36"/>
  <c r="P289" i="36"/>
  <c r="P290" i="36"/>
  <c r="P291" i="36"/>
  <c r="P292" i="36"/>
  <c r="P293" i="36"/>
  <c r="P294" i="36"/>
  <c r="P295" i="36"/>
  <c r="P296" i="36"/>
  <c r="P297" i="36"/>
  <c r="P298" i="36"/>
  <c r="P299" i="36"/>
  <c r="P300" i="36"/>
  <c r="P301" i="36"/>
  <c r="P302" i="36"/>
  <c r="P303" i="36"/>
  <c r="P304" i="36"/>
  <c r="P305" i="36"/>
  <c r="P306" i="36"/>
  <c r="P307" i="36"/>
  <c r="P308" i="36"/>
  <c r="P309" i="36"/>
  <c r="P310" i="36"/>
  <c r="P311" i="36"/>
  <c r="P312" i="36"/>
  <c r="P313" i="36"/>
  <c r="P314" i="36"/>
  <c r="P315" i="36"/>
  <c r="P316" i="36"/>
  <c r="P317" i="36"/>
  <c r="P318" i="36"/>
  <c r="P319" i="36"/>
  <c r="P320" i="36"/>
  <c r="P321" i="36"/>
  <c r="P322" i="36"/>
  <c r="P323" i="36"/>
  <c r="P324" i="36"/>
  <c r="P325" i="36"/>
  <c r="P326" i="36"/>
  <c r="P327" i="36"/>
  <c r="P328" i="36"/>
  <c r="P329" i="36"/>
  <c r="P330" i="36"/>
  <c r="P331" i="36"/>
  <c r="P332" i="36"/>
  <c r="P333" i="36"/>
  <c r="P334" i="36"/>
  <c r="P335" i="36"/>
  <c r="P336" i="36"/>
  <c r="P337" i="36"/>
  <c r="P338" i="36"/>
  <c r="P339" i="36"/>
  <c r="P340" i="36"/>
  <c r="P341" i="36"/>
  <c r="P342" i="36"/>
  <c r="P343" i="36"/>
  <c r="P344" i="36"/>
  <c r="P345" i="36"/>
  <c r="P346" i="36"/>
  <c r="P347" i="36"/>
  <c r="P348" i="36"/>
  <c r="P349" i="36"/>
  <c r="P350" i="36"/>
  <c r="P351" i="36"/>
  <c r="P352" i="36"/>
  <c r="P353" i="36"/>
  <c r="P354" i="36"/>
  <c r="P355" i="36"/>
  <c r="P356" i="36"/>
  <c r="P357" i="36"/>
  <c r="P358" i="36"/>
  <c r="P359" i="36"/>
  <c r="P360" i="36"/>
  <c r="P361" i="36"/>
  <c r="P362" i="36"/>
  <c r="P363" i="36"/>
  <c r="P364" i="36"/>
  <c r="P365" i="36"/>
  <c r="P366" i="36"/>
  <c r="P367" i="36"/>
  <c r="P368" i="36"/>
  <c r="P369" i="36"/>
  <c r="P370" i="36"/>
  <c r="P371" i="36"/>
  <c r="P372" i="36"/>
  <c r="P373" i="36"/>
  <c r="P374" i="36"/>
  <c r="P375" i="36"/>
  <c r="P376" i="36"/>
  <c r="P377" i="36"/>
  <c r="P378" i="36"/>
  <c r="P379" i="36"/>
  <c r="P380" i="36"/>
  <c r="P381" i="36"/>
  <c r="P382" i="36"/>
  <c r="P383" i="36"/>
  <c r="P384" i="36"/>
  <c r="P385" i="36"/>
  <c r="P386" i="36"/>
  <c r="P387" i="36"/>
  <c r="P388" i="36"/>
  <c r="P389" i="36"/>
  <c r="P390" i="36"/>
  <c r="P391" i="36"/>
  <c r="P392" i="36"/>
  <c r="P393" i="36"/>
  <c r="P394" i="36"/>
  <c r="P395" i="36"/>
  <c r="P396" i="36"/>
  <c r="P397" i="36"/>
  <c r="P398" i="36"/>
  <c r="P399" i="36"/>
  <c r="P400" i="36"/>
  <c r="P401" i="36"/>
  <c r="P402" i="36"/>
  <c r="P403" i="36"/>
  <c r="P404" i="36"/>
  <c r="P405" i="36"/>
  <c r="P406" i="36"/>
  <c r="P407" i="36"/>
  <c r="P408" i="36"/>
  <c r="P409" i="36"/>
  <c r="P410" i="36"/>
  <c r="P411" i="36"/>
  <c r="P412" i="36"/>
  <c r="P413" i="36"/>
  <c r="P414" i="36"/>
  <c r="P415" i="36"/>
  <c r="P416" i="36"/>
  <c r="P417" i="36"/>
  <c r="P418" i="36"/>
  <c r="P419" i="36"/>
  <c r="P420" i="36"/>
  <c r="P421" i="36"/>
  <c r="P422" i="36"/>
  <c r="P423" i="36"/>
  <c r="P424" i="36"/>
  <c r="P425" i="36"/>
  <c r="P426" i="36"/>
  <c r="P427" i="36"/>
  <c r="P428" i="36"/>
  <c r="P429" i="36"/>
  <c r="P430" i="36"/>
  <c r="P431" i="36"/>
  <c r="P432" i="36"/>
  <c r="P433" i="36"/>
  <c r="P434" i="36"/>
  <c r="P435" i="36"/>
  <c r="P436" i="36"/>
  <c r="P437" i="36"/>
  <c r="P438" i="36"/>
  <c r="P439" i="36"/>
  <c r="P440" i="36"/>
  <c r="P441" i="36"/>
  <c r="P442" i="36"/>
  <c r="P443" i="36"/>
  <c r="P444" i="36"/>
  <c r="P445" i="36"/>
  <c r="P446" i="36"/>
  <c r="P447" i="36"/>
  <c r="P448" i="36"/>
  <c r="P449" i="36"/>
  <c r="P450" i="36"/>
  <c r="P451" i="36"/>
  <c r="P452" i="36"/>
  <c r="P453" i="36"/>
  <c r="P454" i="36"/>
  <c r="P455" i="36"/>
  <c r="P456" i="36"/>
  <c r="P457" i="36"/>
  <c r="P458" i="36"/>
  <c r="P459" i="36"/>
  <c r="P460" i="36"/>
  <c r="P461" i="36"/>
  <c r="P462" i="36"/>
  <c r="P463" i="36"/>
  <c r="P464" i="36"/>
  <c r="P465" i="36"/>
  <c r="P466" i="36"/>
  <c r="P467" i="36"/>
  <c r="P468" i="36"/>
  <c r="P469" i="36"/>
  <c r="P470" i="36"/>
  <c r="P471" i="36"/>
  <c r="P472" i="36"/>
  <c r="P473" i="36"/>
  <c r="P474" i="36"/>
  <c r="P475" i="36"/>
  <c r="P476" i="36"/>
  <c r="P477" i="36"/>
  <c r="P478" i="36"/>
  <c r="P479" i="36"/>
  <c r="P480" i="36"/>
  <c r="P481" i="36"/>
  <c r="P482" i="36"/>
  <c r="P483" i="36"/>
  <c r="P484" i="36"/>
  <c r="P485" i="36"/>
  <c r="P486" i="36"/>
  <c r="P487" i="36"/>
  <c r="P488" i="36"/>
  <c r="P489" i="36"/>
  <c r="P490" i="36"/>
  <c r="P491" i="36"/>
  <c r="P492" i="36"/>
  <c r="P493" i="36"/>
  <c r="P494" i="36"/>
  <c r="P495" i="36"/>
  <c r="P496" i="36"/>
  <c r="P497" i="36"/>
  <c r="P498" i="36"/>
  <c r="P499" i="36"/>
  <c r="P500" i="36"/>
  <c r="P501" i="36"/>
  <c r="P502" i="36"/>
  <c r="P503" i="36"/>
  <c r="P504" i="36"/>
  <c r="P505" i="36"/>
  <c r="P506" i="36"/>
  <c r="P507" i="36"/>
  <c r="P508" i="36"/>
  <c r="P509" i="36"/>
  <c r="P510" i="36"/>
  <c r="P511" i="36"/>
  <c r="P512" i="36"/>
  <c r="P513" i="36"/>
  <c r="P514" i="36"/>
  <c r="P515" i="36"/>
  <c r="P516" i="36"/>
  <c r="P517" i="36"/>
  <c r="P518" i="36"/>
  <c r="P519" i="36"/>
  <c r="P520" i="36"/>
  <c r="P521" i="36"/>
  <c r="P522" i="36"/>
  <c r="P523" i="36"/>
  <c r="P524" i="36"/>
  <c r="P525" i="36"/>
  <c r="P526" i="36"/>
  <c r="P527" i="36"/>
  <c r="P528" i="36"/>
  <c r="P529" i="36"/>
  <c r="P530" i="36"/>
  <c r="P531" i="36"/>
  <c r="P532" i="36"/>
  <c r="P533" i="36"/>
  <c r="P534" i="36"/>
  <c r="P535" i="36"/>
  <c r="P536" i="36"/>
  <c r="P537" i="36"/>
  <c r="P538" i="36"/>
  <c r="P539" i="36"/>
  <c r="P540" i="36"/>
  <c r="P541" i="36"/>
  <c r="P542" i="36"/>
  <c r="P543" i="36"/>
  <c r="P544" i="36"/>
  <c r="P545" i="36"/>
  <c r="P546" i="36"/>
  <c r="P547" i="36"/>
  <c r="P548" i="36"/>
  <c r="P549" i="36"/>
  <c r="P550" i="36"/>
  <c r="P551" i="36"/>
  <c r="P552" i="36"/>
  <c r="P553" i="36"/>
  <c r="P554" i="36"/>
  <c r="P555" i="36"/>
  <c r="P556" i="36"/>
  <c r="P557" i="36"/>
  <c r="P558" i="36"/>
  <c r="P559" i="36"/>
  <c r="P560" i="36"/>
  <c r="P561" i="36"/>
  <c r="P562" i="36"/>
  <c r="P563" i="36"/>
  <c r="P564" i="36"/>
  <c r="P565" i="36"/>
  <c r="P566" i="36"/>
  <c r="P567" i="36"/>
  <c r="P568" i="36"/>
  <c r="P569" i="36"/>
  <c r="P570" i="36"/>
  <c r="P571" i="36"/>
  <c r="P572" i="36"/>
  <c r="P573" i="36"/>
  <c r="P574" i="36"/>
  <c r="P575" i="36"/>
  <c r="P576" i="36"/>
  <c r="P577" i="36"/>
  <c r="P578" i="36"/>
  <c r="P579" i="36"/>
  <c r="P580" i="36"/>
  <c r="P581" i="36"/>
  <c r="P582" i="36"/>
  <c r="P583" i="36"/>
  <c r="P584" i="36"/>
  <c r="P585" i="36"/>
  <c r="P586" i="36"/>
  <c r="P587" i="36"/>
  <c r="P588" i="36"/>
  <c r="P589" i="36"/>
  <c r="P590" i="36"/>
  <c r="P591" i="36"/>
  <c r="P592" i="36"/>
  <c r="P593" i="36"/>
  <c r="P594" i="36"/>
  <c r="P595" i="36"/>
  <c r="P596" i="36"/>
  <c r="P597" i="36"/>
  <c r="P598" i="36"/>
  <c r="P599" i="36"/>
  <c r="P600" i="36"/>
  <c r="P601" i="36"/>
  <c r="P602" i="36"/>
  <c r="P603" i="36"/>
  <c r="P604" i="36"/>
  <c r="P605" i="36"/>
  <c r="P606" i="36"/>
  <c r="P607" i="36"/>
  <c r="P608" i="36"/>
  <c r="P609" i="36"/>
  <c r="P610" i="36"/>
  <c r="P611" i="36"/>
  <c r="P612" i="36"/>
  <c r="P613" i="36"/>
  <c r="P614" i="36"/>
  <c r="P615" i="36"/>
  <c r="P616" i="36"/>
  <c r="P617" i="36"/>
  <c r="P618" i="36"/>
  <c r="P619" i="36"/>
  <c r="P620" i="36"/>
  <c r="P621" i="36"/>
  <c r="P622" i="36"/>
  <c r="P623" i="36"/>
  <c r="P624" i="36"/>
  <c r="P625" i="36"/>
  <c r="P626" i="36"/>
  <c r="P627" i="36"/>
  <c r="P628" i="36"/>
  <c r="P629" i="36"/>
  <c r="P630" i="36"/>
  <c r="P631" i="36"/>
  <c r="P632" i="36"/>
  <c r="P633" i="36"/>
  <c r="P634" i="36"/>
  <c r="P635" i="36"/>
  <c r="P636" i="36"/>
  <c r="P637" i="36"/>
  <c r="P638" i="36"/>
  <c r="P639" i="36"/>
  <c r="P640" i="36"/>
  <c r="P641" i="36"/>
  <c r="P642" i="36"/>
  <c r="P643" i="36"/>
  <c r="P644" i="36"/>
  <c r="P645" i="36"/>
  <c r="P646" i="36"/>
  <c r="P647" i="36"/>
  <c r="P648" i="36"/>
  <c r="P649" i="36"/>
  <c r="P650" i="36"/>
  <c r="P651" i="36"/>
  <c r="P652" i="36"/>
  <c r="P653" i="36"/>
  <c r="P654" i="36"/>
  <c r="P655" i="36"/>
  <c r="P656" i="36"/>
  <c r="P657" i="36"/>
  <c r="P658" i="36"/>
  <c r="P659" i="36"/>
  <c r="P660" i="36"/>
  <c r="P661" i="36"/>
  <c r="P662" i="36"/>
  <c r="P663" i="36"/>
  <c r="P664" i="36"/>
  <c r="P665" i="36"/>
  <c r="P666" i="36"/>
  <c r="P667" i="36"/>
  <c r="P668" i="36"/>
  <c r="P669" i="36"/>
  <c r="P670" i="36"/>
  <c r="P671" i="36"/>
  <c r="P672" i="36"/>
  <c r="P673" i="36"/>
  <c r="P674" i="36"/>
  <c r="P675" i="36"/>
  <c r="P676" i="36"/>
  <c r="P677" i="36"/>
  <c r="P678" i="36"/>
  <c r="P679" i="36"/>
  <c r="P680" i="36"/>
  <c r="P681" i="36"/>
  <c r="P682" i="36"/>
  <c r="P683" i="36"/>
  <c r="P684" i="36"/>
  <c r="P685" i="36"/>
  <c r="P686" i="36"/>
  <c r="P687" i="36"/>
  <c r="P688" i="36"/>
  <c r="P689" i="36"/>
  <c r="P690" i="36"/>
  <c r="P691" i="36"/>
  <c r="P692" i="36"/>
  <c r="P693" i="36"/>
  <c r="P694" i="36"/>
  <c r="P695" i="36"/>
  <c r="P696" i="36"/>
  <c r="P697" i="36"/>
  <c r="P698" i="36"/>
  <c r="P699" i="36"/>
  <c r="P700" i="36"/>
  <c r="P701" i="36"/>
  <c r="P702" i="36"/>
  <c r="P703" i="36"/>
  <c r="P704" i="36"/>
  <c r="P705" i="36"/>
  <c r="P706" i="36"/>
  <c r="P707" i="36"/>
  <c r="P708" i="36"/>
  <c r="P709" i="36"/>
  <c r="P710" i="36"/>
  <c r="P711" i="36"/>
  <c r="P712" i="36"/>
  <c r="P713" i="36"/>
  <c r="P714" i="36"/>
  <c r="P715" i="36"/>
  <c r="P716" i="36"/>
  <c r="P717" i="36"/>
  <c r="P718" i="36"/>
  <c r="P719" i="36"/>
  <c r="P720" i="36"/>
  <c r="P721" i="36"/>
  <c r="P722" i="36"/>
  <c r="P723" i="36"/>
  <c r="P724" i="36"/>
  <c r="P725" i="36"/>
  <c r="P726" i="36"/>
  <c r="P727" i="36"/>
  <c r="P728" i="36"/>
  <c r="P729" i="36"/>
  <c r="P730" i="36"/>
  <c r="P731" i="36"/>
  <c r="P732" i="36"/>
  <c r="P733" i="36"/>
  <c r="P734" i="36"/>
  <c r="P735" i="36"/>
  <c r="P736" i="36"/>
  <c r="P737" i="36"/>
  <c r="P738" i="36"/>
  <c r="P739" i="36"/>
  <c r="P740" i="36"/>
  <c r="P741" i="36"/>
  <c r="P742" i="36"/>
  <c r="P743" i="36"/>
  <c r="P744" i="36"/>
  <c r="P745" i="36"/>
  <c r="P746" i="36"/>
  <c r="P747" i="36"/>
  <c r="P748" i="36"/>
  <c r="P749" i="36"/>
  <c r="P750" i="36"/>
  <c r="P751" i="36"/>
  <c r="P752" i="36"/>
  <c r="P753" i="36"/>
  <c r="P754" i="36"/>
  <c r="P755" i="36"/>
  <c r="P756" i="36"/>
  <c r="P757" i="36"/>
  <c r="P758" i="36"/>
  <c r="P759" i="36"/>
  <c r="P760" i="36"/>
  <c r="P761" i="36"/>
  <c r="P762" i="36"/>
  <c r="P763" i="36"/>
  <c r="P764" i="36"/>
  <c r="P765" i="36"/>
  <c r="P766" i="36"/>
  <c r="P767" i="36"/>
  <c r="P768" i="36"/>
  <c r="P769" i="36"/>
  <c r="P770" i="36"/>
  <c r="P771" i="36"/>
  <c r="P772" i="36"/>
  <c r="P773" i="36"/>
  <c r="P774" i="36"/>
  <c r="P775" i="36"/>
  <c r="P776" i="36"/>
  <c r="P777" i="36"/>
  <c r="P778" i="36"/>
  <c r="P779" i="36"/>
  <c r="P780" i="36"/>
  <c r="P781" i="36"/>
  <c r="P782" i="36"/>
  <c r="P783" i="36"/>
  <c r="P784" i="36"/>
  <c r="P785" i="36"/>
  <c r="P786" i="36"/>
  <c r="P787" i="36"/>
  <c r="P788" i="36"/>
  <c r="P789" i="36"/>
  <c r="P790" i="36"/>
  <c r="P791" i="36"/>
  <c r="P792" i="36"/>
  <c r="P793" i="36"/>
  <c r="P794" i="36"/>
  <c r="P795" i="36"/>
  <c r="P796" i="36"/>
  <c r="P797" i="36"/>
  <c r="P798" i="36"/>
  <c r="P799" i="36"/>
  <c r="P800" i="36"/>
  <c r="P801" i="36"/>
  <c r="P802" i="36"/>
  <c r="P803" i="36"/>
  <c r="P804" i="36"/>
  <c r="P805" i="36"/>
  <c r="P806" i="36"/>
  <c r="P807" i="36"/>
  <c r="P808" i="36"/>
  <c r="P809" i="36"/>
  <c r="P810" i="36"/>
  <c r="P811" i="36"/>
  <c r="P812" i="36"/>
  <c r="P813" i="36"/>
  <c r="P814" i="36"/>
  <c r="P815" i="36"/>
  <c r="P816" i="36"/>
  <c r="P817" i="36"/>
  <c r="P818" i="36"/>
  <c r="P819" i="36"/>
  <c r="P820" i="36"/>
  <c r="P821" i="36"/>
  <c r="P822" i="36"/>
  <c r="P823" i="36"/>
  <c r="P824" i="36"/>
  <c r="P825" i="36"/>
  <c r="P826" i="36"/>
  <c r="P827" i="36"/>
  <c r="P828" i="36"/>
  <c r="P829" i="36"/>
  <c r="P830" i="36"/>
  <c r="P831" i="36"/>
  <c r="P832" i="36"/>
  <c r="P833" i="36"/>
  <c r="P834" i="36"/>
  <c r="P835" i="36"/>
  <c r="P836" i="36"/>
  <c r="P837" i="36"/>
  <c r="P838" i="36"/>
  <c r="P839" i="36"/>
  <c r="P840" i="36"/>
  <c r="P841" i="36"/>
  <c r="P842" i="36"/>
  <c r="Q2" i="36"/>
  <c r="Q3" i="36"/>
  <c r="Q4" i="36"/>
  <c r="Q5" i="36"/>
  <c r="Q6" i="36"/>
  <c r="Q7" i="36"/>
  <c r="Q8" i="36"/>
  <c r="Q9" i="36"/>
  <c r="Q10" i="36"/>
  <c r="Q11" i="36"/>
  <c r="Q12" i="36"/>
  <c r="Q13" i="36"/>
  <c r="Q14" i="36"/>
  <c r="Q15" i="36"/>
  <c r="Q16" i="36"/>
  <c r="Q17" i="36"/>
  <c r="Q18" i="36"/>
  <c r="Q19" i="36"/>
  <c r="Q20" i="36"/>
  <c r="Q21" i="36"/>
  <c r="Q22" i="36"/>
  <c r="Q23" i="36"/>
  <c r="Q24" i="36"/>
  <c r="Q25" i="36"/>
  <c r="Q26" i="36"/>
  <c r="Q27" i="36"/>
  <c r="Q28" i="36"/>
  <c r="Q29" i="36"/>
  <c r="Q30" i="36"/>
  <c r="Q31" i="36"/>
  <c r="Q32" i="36"/>
  <c r="Q33" i="36"/>
  <c r="Q34" i="36"/>
  <c r="Q35" i="36"/>
  <c r="Q36" i="36"/>
  <c r="Q37" i="36"/>
  <c r="Q38" i="36"/>
  <c r="Q39" i="36"/>
  <c r="Q40" i="36"/>
  <c r="Q41" i="36"/>
  <c r="Q42" i="36"/>
  <c r="Q43" i="36"/>
  <c r="Q44" i="36"/>
  <c r="Q45" i="36"/>
  <c r="Q46" i="36"/>
  <c r="Q47" i="36"/>
  <c r="Q48" i="36"/>
  <c r="Q49" i="36"/>
  <c r="Q50" i="36"/>
  <c r="Q51" i="36"/>
  <c r="Q52" i="36"/>
  <c r="Q53" i="36"/>
  <c r="Q54" i="36"/>
  <c r="Q55" i="36"/>
  <c r="Q56" i="36"/>
  <c r="Q57" i="36"/>
  <c r="Q58" i="36"/>
  <c r="Q59" i="36"/>
  <c r="Q60" i="36"/>
  <c r="Q61" i="36"/>
  <c r="Q62" i="36"/>
  <c r="Q63" i="36"/>
  <c r="Q64" i="36"/>
  <c r="Q65" i="36"/>
  <c r="Q66" i="36"/>
  <c r="Q67" i="36"/>
  <c r="Q68" i="36"/>
  <c r="Q69" i="36"/>
  <c r="Q70" i="36"/>
  <c r="Q71" i="36"/>
  <c r="Q72" i="36"/>
  <c r="Q73" i="36"/>
  <c r="Q74" i="36"/>
  <c r="Q75" i="36"/>
  <c r="Q76" i="36"/>
  <c r="Q77" i="36"/>
  <c r="Q78" i="36"/>
  <c r="Q79" i="36"/>
  <c r="Q80" i="36"/>
  <c r="Q81" i="36"/>
  <c r="Q82" i="36"/>
  <c r="Q83" i="36"/>
  <c r="Q84" i="36"/>
  <c r="Q85" i="36"/>
  <c r="Q86" i="36"/>
  <c r="Q87" i="36"/>
  <c r="Q88" i="36"/>
  <c r="Q89" i="36"/>
  <c r="Q90" i="36"/>
  <c r="Q91" i="36"/>
  <c r="Q92" i="36"/>
  <c r="Q93" i="36"/>
  <c r="Q94" i="36"/>
  <c r="Q95" i="36"/>
  <c r="Q96" i="36"/>
  <c r="Q97" i="36"/>
  <c r="Q98" i="36"/>
  <c r="Q99" i="36"/>
  <c r="Q100" i="36"/>
  <c r="Q101" i="36"/>
  <c r="Q102" i="36"/>
  <c r="Q103" i="36"/>
  <c r="Q104" i="36"/>
  <c r="Q105" i="36"/>
  <c r="Q106" i="36"/>
  <c r="Q107" i="36"/>
  <c r="Q108" i="36"/>
  <c r="Q109" i="36"/>
  <c r="Q110" i="36"/>
  <c r="Q111" i="36"/>
  <c r="Q112" i="36"/>
  <c r="Q113" i="36"/>
  <c r="Q114" i="36"/>
  <c r="Q115" i="36"/>
  <c r="Q116" i="36"/>
  <c r="Q117" i="36"/>
  <c r="Q118" i="36"/>
  <c r="Q119" i="36"/>
  <c r="Q120" i="36"/>
  <c r="Q121" i="36"/>
  <c r="Q122" i="36"/>
  <c r="Q123" i="36"/>
  <c r="Q124" i="36"/>
  <c r="Q125" i="36"/>
  <c r="Q126" i="36"/>
  <c r="Q127" i="36"/>
  <c r="Q128" i="36"/>
  <c r="Q129" i="36"/>
  <c r="Q130" i="36"/>
  <c r="Q131" i="36"/>
  <c r="Q132" i="36"/>
  <c r="Q133" i="36"/>
  <c r="Q134" i="36"/>
  <c r="Q135" i="36"/>
  <c r="Q136" i="36"/>
  <c r="Q137" i="36"/>
  <c r="Q138" i="36"/>
  <c r="Q139" i="36"/>
  <c r="Q140" i="36"/>
  <c r="Q141" i="36"/>
  <c r="Q142" i="36"/>
  <c r="Q143" i="36"/>
  <c r="Q144" i="36"/>
  <c r="Q145" i="36"/>
  <c r="Q146" i="36"/>
  <c r="Q147" i="36"/>
  <c r="Q148" i="36"/>
  <c r="Q149" i="36"/>
  <c r="Q150" i="36"/>
  <c r="Q151" i="36"/>
  <c r="Q152" i="36"/>
  <c r="Q153" i="36"/>
  <c r="Q154" i="36"/>
  <c r="Q155" i="36"/>
  <c r="Q156" i="36"/>
  <c r="Q157" i="36"/>
  <c r="Q158" i="36"/>
  <c r="Q159" i="36"/>
  <c r="Q160" i="36"/>
  <c r="Q161" i="36"/>
  <c r="Q162" i="36"/>
  <c r="Q163" i="36"/>
  <c r="Q164" i="36"/>
  <c r="Q165" i="36"/>
  <c r="Q166" i="36"/>
  <c r="Q167" i="36"/>
  <c r="Q168" i="36"/>
  <c r="Q169" i="36"/>
  <c r="Q170" i="36"/>
  <c r="Q171" i="36"/>
  <c r="Q172" i="36"/>
  <c r="Q173" i="36"/>
  <c r="Q174" i="36"/>
  <c r="Q175" i="36"/>
  <c r="Q176" i="36"/>
  <c r="Q177" i="36"/>
  <c r="Q178" i="36"/>
  <c r="Q179" i="36"/>
  <c r="Q180" i="36"/>
  <c r="Q181" i="36"/>
  <c r="Q182" i="36"/>
  <c r="Q183" i="36"/>
  <c r="Q184" i="36"/>
  <c r="Q185" i="36"/>
  <c r="Q186" i="36"/>
  <c r="Q187" i="36"/>
  <c r="Q188" i="36"/>
  <c r="Q189" i="36"/>
  <c r="Q190" i="36"/>
  <c r="Q191" i="36"/>
  <c r="Q192" i="36"/>
  <c r="Q193" i="36"/>
  <c r="Q194" i="36"/>
  <c r="Q195" i="36"/>
  <c r="Q196" i="36"/>
  <c r="Q197" i="36"/>
  <c r="Q198" i="36"/>
  <c r="Q199" i="36"/>
  <c r="Q200" i="36"/>
  <c r="Q201" i="36"/>
  <c r="Q202" i="36"/>
  <c r="Q203" i="36"/>
  <c r="Q204" i="36"/>
  <c r="Q205" i="36"/>
  <c r="Q206" i="36"/>
  <c r="Q207" i="36"/>
  <c r="Q208" i="36"/>
  <c r="Q209" i="36"/>
  <c r="Q210" i="36"/>
  <c r="Q211" i="36"/>
  <c r="Q212" i="36"/>
  <c r="Q213" i="36"/>
  <c r="Q214" i="36"/>
  <c r="Q215" i="36"/>
  <c r="Q216" i="36"/>
  <c r="Q217" i="36"/>
  <c r="Q218" i="36"/>
  <c r="Q219" i="36"/>
  <c r="Q220" i="36"/>
  <c r="Q221" i="36"/>
  <c r="Q222" i="36"/>
  <c r="Q223" i="36"/>
  <c r="Q224" i="36"/>
  <c r="Q225" i="36"/>
  <c r="Q226" i="36"/>
  <c r="Q227" i="36"/>
  <c r="Q228" i="36"/>
  <c r="Q229" i="36"/>
  <c r="Q230" i="36"/>
  <c r="Q231" i="36"/>
  <c r="Q232" i="36"/>
  <c r="Q233" i="36"/>
  <c r="Q234" i="36"/>
  <c r="Q235" i="36"/>
  <c r="Q236" i="36"/>
  <c r="Q237" i="36"/>
  <c r="Q238" i="36"/>
  <c r="Q239" i="36"/>
  <c r="Q240" i="36"/>
  <c r="Q241" i="36"/>
  <c r="Q242" i="36"/>
  <c r="Q243" i="36"/>
  <c r="Q244" i="36"/>
  <c r="Q245" i="36"/>
  <c r="Q246" i="36"/>
  <c r="Q247" i="36"/>
  <c r="Q248" i="36"/>
  <c r="Q249" i="36"/>
  <c r="Q250" i="36"/>
  <c r="Q251" i="36"/>
  <c r="Q252" i="36"/>
  <c r="Q253" i="36"/>
  <c r="Q254" i="36"/>
  <c r="Q255" i="36"/>
  <c r="Q256" i="36"/>
  <c r="Q257" i="36"/>
  <c r="Q258" i="36"/>
  <c r="Q259" i="36"/>
  <c r="Q260" i="36"/>
  <c r="Q261" i="36"/>
  <c r="Q262" i="36"/>
  <c r="Q263" i="36"/>
  <c r="Q264" i="36"/>
  <c r="Q265" i="36"/>
  <c r="Q266" i="36"/>
  <c r="Q267" i="36"/>
  <c r="Q268" i="36"/>
  <c r="Q269" i="36"/>
  <c r="Q270" i="36"/>
  <c r="Q271" i="36"/>
  <c r="Q272" i="36"/>
  <c r="Q273" i="36"/>
  <c r="Q274" i="36"/>
  <c r="Q275" i="36"/>
  <c r="Q276" i="36"/>
  <c r="Q277" i="36"/>
  <c r="Q278" i="36"/>
  <c r="Q279" i="36"/>
  <c r="Q280" i="36"/>
  <c r="Q281" i="36"/>
  <c r="Q282" i="36"/>
  <c r="Q283" i="36"/>
  <c r="Q284" i="36"/>
  <c r="Q285" i="36"/>
  <c r="Q286" i="36"/>
  <c r="Q287" i="36"/>
  <c r="Q288" i="36"/>
  <c r="Q289" i="36"/>
  <c r="Q290" i="36"/>
  <c r="Q291" i="36"/>
  <c r="Q292" i="36"/>
  <c r="Q293" i="36"/>
  <c r="Q294" i="36"/>
  <c r="Q295" i="36"/>
  <c r="Q296" i="36"/>
  <c r="Q297" i="36"/>
  <c r="Q298" i="36"/>
  <c r="Q299" i="36"/>
  <c r="Q300" i="36"/>
  <c r="Q301" i="36"/>
  <c r="Q302" i="36"/>
  <c r="Q303" i="36"/>
  <c r="Q304" i="36"/>
  <c r="Q305" i="36"/>
  <c r="Q306" i="36"/>
  <c r="Q307" i="36"/>
  <c r="Q308" i="36"/>
  <c r="Q309" i="36"/>
  <c r="Q310" i="36"/>
  <c r="Q311" i="36"/>
  <c r="Q312" i="36"/>
  <c r="Q313" i="36"/>
  <c r="Q314" i="36"/>
  <c r="Q315" i="36"/>
  <c r="Q316" i="36"/>
  <c r="Q317" i="36"/>
  <c r="Q318" i="36"/>
  <c r="Q319" i="36"/>
  <c r="Q320" i="36"/>
  <c r="Q321" i="36"/>
  <c r="Q322" i="36"/>
  <c r="Q323" i="36"/>
  <c r="Q324" i="36"/>
  <c r="Q325" i="36"/>
  <c r="Q326" i="36"/>
  <c r="Q327" i="36"/>
  <c r="Q328" i="36"/>
  <c r="Q329" i="36"/>
  <c r="Q330" i="36"/>
  <c r="Q331" i="36"/>
  <c r="Q332" i="36"/>
  <c r="Q333" i="36"/>
  <c r="Q334" i="36"/>
  <c r="Q335" i="36"/>
  <c r="Q336" i="36"/>
  <c r="Q337" i="36"/>
  <c r="Q338" i="36"/>
  <c r="Q339" i="36"/>
  <c r="Q340" i="36"/>
  <c r="Q341" i="36"/>
  <c r="Q342" i="36"/>
  <c r="Q343" i="36"/>
  <c r="Q344" i="36"/>
  <c r="Q345" i="36"/>
  <c r="Q346" i="36"/>
  <c r="Q347" i="36"/>
  <c r="Q348" i="36"/>
  <c r="Q349" i="36"/>
  <c r="Q350" i="36"/>
  <c r="Q351" i="36"/>
  <c r="Q352" i="36"/>
  <c r="Q353" i="36"/>
  <c r="Q354" i="36"/>
  <c r="Q355" i="36"/>
  <c r="Q356" i="36"/>
  <c r="Q357" i="36"/>
  <c r="Q358" i="36"/>
  <c r="Q359" i="36"/>
  <c r="Q360" i="36"/>
  <c r="Q361" i="36"/>
  <c r="Q362" i="36"/>
  <c r="Q363" i="36"/>
  <c r="Q364" i="36"/>
  <c r="Q365" i="36"/>
  <c r="Q366" i="36"/>
  <c r="Q367" i="36"/>
  <c r="Q368" i="36"/>
  <c r="Q369" i="36"/>
  <c r="Q370" i="36"/>
  <c r="Q371" i="36"/>
  <c r="Q372" i="36"/>
  <c r="Q373" i="36"/>
  <c r="Q374" i="36"/>
  <c r="Q375" i="36"/>
  <c r="Q376" i="36"/>
  <c r="Q377" i="36"/>
  <c r="Q378" i="36"/>
  <c r="Q379" i="36"/>
  <c r="Q380" i="36"/>
  <c r="Q381" i="36"/>
  <c r="Q382" i="36"/>
  <c r="Q383" i="36"/>
  <c r="Q384" i="36"/>
  <c r="Q385" i="36"/>
  <c r="Q386" i="36"/>
  <c r="Q387" i="36"/>
  <c r="Q388" i="36"/>
  <c r="Q389" i="36"/>
  <c r="Q390" i="36"/>
  <c r="Q391" i="36"/>
  <c r="Q392" i="36"/>
  <c r="Q393" i="36"/>
  <c r="Q394" i="36"/>
  <c r="Q395" i="36"/>
  <c r="Q396" i="36"/>
  <c r="Q397" i="36"/>
  <c r="Q398" i="36"/>
  <c r="Q399" i="36"/>
  <c r="Q400" i="36"/>
  <c r="Q401" i="36"/>
  <c r="Q402" i="36"/>
  <c r="Q403" i="36"/>
  <c r="Q404" i="36"/>
  <c r="Q405" i="36"/>
  <c r="Q406" i="36"/>
  <c r="Q407" i="36"/>
  <c r="Q408" i="36"/>
  <c r="Q409" i="36"/>
  <c r="Q410" i="36"/>
  <c r="Q411" i="36"/>
  <c r="Q412" i="36"/>
  <c r="Q413" i="36"/>
  <c r="Q414" i="36"/>
  <c r="Q415" i="36"/>
  <c r="Q416" i="36"/>
  <c r="Q417" i="36"/>
  <c r="Q418" i="36"/>
  <c r="Q419" i="36"/>
  <c r="Q420" i="36"/>
  <c r="Q421" i="36"/>
  <c r="Q422" i="36"/>
  <c r="Q423" i="36"/>
  <c r="Q424" i="36"/>
  <c r="Q425" i="36"/>
  <c r="Q426" i="36"/>
  <c r="Q427" i="36"/>
  <c r="Q428" i="36"/>
  <c r="Q429" i="36"/>
  <c r="Q430" i="36"/>
  <c r="Q431" i="36"/>
  <c r="Q432" i="36"/>
  <c r="Q433" i="36"/>
  <c r="Q434" i="36"/>
  <c r="Q435" i="36"/>
  <c r="Q436" i="36"/>
  <c r="Q437" i="36"/>
  <c r="Q438" i="36"/>
  <c r="Q439" i="36"/>
  <c r="Q440" i="36"/>
  <c r="Q441" i="36"/>
  <c r="Q442" i="36"/>
  <c r="Q443" i="36"/>
  <c r="Q444" i="36"/>
  <c r="Q445" i="36"/>
  <c r="Q446" i="36"/>
  <c r="Q447" i="36"/>
  <c r="Q448" i="36"/>
  <c r="Q449" i="36"/>
  <c r="Q450" i="36"/>
  <c r="Q451" i="36"/>
  <c r="Q452" i="36"/>
  <c r="Q453" i="36"/>
  <c r="Q454" i="36"/>
  <c r="Q455" i="36"/>
  <c r="Q456" i="36"/>
  <c r="Q457" i="36"/>
  <c r="Q458" i="36"/>
  <c r="Q459" i="36"/>
  <c r="Q460" i="36"/>
  <c r="Q461" i="36"/>
  <c r="Q462" i="36"/>
  <c r="Q463" i="36"/>
  <c r="Q464" i="36"/>
  <c r="Q465" i="36"/>
  <c r="Q466" i="36"/>
  <c r="Q467" i="36"/>
  <c r="Q468" i="36"/>
  <c r="Q469" i="36"/>
  <c r="Q470" i="36"/>
  <c r="Q471" i="36"/>
  <c r="Q472" i="36"/>
  <c r="Q473" i="36"/>
  <c r="Q474" i="36"/>
  <c r="Q475" i="36"/>
  <c r="Q476" i="36"/>
  <c r="Q477" i="36"/>
  <c r="Q478" i="36"/>
  <c r="Q479" i="36"/>
  <c r="Q480" i="36"/>
  <c r="Q481" i="36"/>
  <c r="Q482" i="36"/>
  <c r="Q483" i="36"/>
  <c r="Q484" i="36"/>
  <c r="Q485" i="36"/>
  <c r="Q486" i="36"/>
  <c r="Q487" i="36"/>
  <c r="Q488" i="36"/>
  <c r="Q489" i="36"/>
  <c r="Q490" i="36"/>
  <c r="Q491" i="36"/>
  <c r="Q492" i="36"/>
  <c r="Q493" i="36"/>
  <c r="Q494" i="36"/>
  <c r="Q495" i="36"/>
  <c r="Q496" i="36"/>
  <c r="Q497" i="36"/>
  <c r="Q498" i="36"/>
  <c r="Q499" i="36"/>
  <c r="Q500" i="36"/>
  <c r="Q501" i="36"/>
  <c r="Q502" i="36"/>
  <c r="Q503" i="36"/>
  <c r="Q504" i="36"/>
  <c r="Q505" i="36"/>
  <c r="Q506" i="36"/>
  <c r="Q507" i="36"/>
  <c r="Q508" i="36"/>
  <c r="Q509" i="36"/>
  <c r="Q510" i="36"/>
  <c r="Q511" i="36"/>
  <c r="Q512" i="36"/>
  <c r="Q513" i="36"/>
  <c r="Q514" i="36"/>
  <c r="Q515" i="36"/>
  <c r="Q516" i="36"/>
  <c r="Q517" i="36"/>
  <c r="Q518" i="36"/>
  <c r="Q519" i="36"/>
  <c r="Q520" i="36"/>
  <c r="Q521" i="36"/>
  <c r="Q522" i="36"/>
  <c r="Q523" i="36"/>
  <c r="Q524" i="36"/>
  <c r="Q525" i="36"/>
  <c r="Q526" i="36"/>
  <c r="Q527" i="36"/>
  <c r="Q528" i="36"/>
  <c r="Q529" i="36"/>
  <c r="Q530" i="36"/>
  <c r="Q531" i="36"/>
  <c r="Q532" i="36"/>
  <c r="Q533" i="36"/>
  <c r="Q534" i="36"/>
  <c r="Q535" i="36"/>
  <c r="Q536" i="36"/>
  <c r="Q537" i="36"/>
  <c r="Q538" i="36"/>
  <c r="Q539" i="36"/>
  <c r="Q540" i="36"/>
  <c r="Q541" i="36"/>
  <c r="Q542" i="36"/>
  <c r="Q543" i="36"/>
  <c r="Q544" i="36"/>
  <c r="Q545" i="36"/>
  <c r="Q546" i="36"/>
  <c r="Q547" i="36"/>
  <c r="Q548" i="36"/>
  <c r="Q549" i="36"/>
  <c r="Q550" i="36"/>
  <c r="Q551" i="36"/>
  <c r="Q552" i="36"/>
  <c r="Q553" i="36"/>
  <c r="Q554" i="36"/>
  <c r="Q555" i="36"/>
  <c r="Q556" i="36"/>
  <c r="Q557" i="36"/>
  <c r="Q558" i="36"/>
  <c r="Q559" i="36"/>
  <c r="Q560" i="36"/>
  <c r="Q561" i="36"/>
  <c r="Q562" i="36"/>
  <c r="Q563" i="36"/>
  <c r="Q564" i="36"/>
  <c r="Q565" i="36"/>
  <c r="Q566" i="36"/>
  <c r="Q567" i="36"/>
  <c r="Q568" i="36"/>
  <c r="Q569" i="36"/>
  <c r="Q570" i="36"/>
  <c r="Q571" i="36"/>
  <c r="Q572" i="36"/>
  <c r="Q573" i="36"/>
  <c r="Q574" i="36"/>
  <c r="Q575" i="36"/>
  <c r="Q576" i="36"/>
  <c r="Q577" i="36"/>
  <c r="Q578" i="36"/>
  <c r="Q579" i="36"/>
  <c r="Q580" i="36"/>
  <c r="Q581" i="36"/>
  <c r="Q582" i="36"/>
  <c r="Q583" i="36"/>
  <c r="Q584" i="36"/>
  <c r="Q585" i="36"/>
  <c r="Q586" i="36"/>
  <c r="Q587" i="36"/>
  <c r="Q588" i="36"/>
  <c r="Q589" i="36"/>
  <c r="Q590" i="36"/>
  <c r="Q591" i="36"/>
  <c r="Q592" i="36"/>
  <c r="Q593" i="36"/>
  <c r="Q594" i="36"/>
  <c r="Q595" i="36"/>
  <c r="Q596" i="36"/>
  <c r="Q597" i="36"/>
  <c r="Q598" i="36"/>
  <c r="Q599" i="36"/>
  <c r="Q600" i="36"/>
  <c r="Q601" i="36"/>
  <c r="Q602" i="36"/>
  <c r="Q603" i="36"/>
  <c r="Q604" i="36"/>
  <c r="Q605" i="36"/>
  <c r="Q606" i="36"/>
  <c r="Q607" i="36"/>
  <c r="Q608" i="36"/>
  <c r="Q609" i="36"/>
  <c r="Q610" i="36"/>
  <c r="Q611" i="36"/>
  <c r="Q612" i="36"/>
  <c r="Q613" i="36"/>
  <c r="Q614" i="36"/>
  <c r="Q615" i="36"/>
  <c r="Q616" i="36"/>
  <c r="Q617" i="36"/>
  <c r="Q618" i="36"/>
  <c r="Q619" i="36"/>
  <c r="Q620" i="36"/>
  <c r="Q621" i="36"/>
  <c r="Q622" i="36"/>
  <c r="Q623" i="36"/>
  <c r="Q624" i="36"/>
  <c r="Q625" i="36"/>
  <c r="Q626" i="36"/>
  <c r="Q627" i="36"/>
  <c r="Q628" i="36"/>
  <c r="Q629" i="36"/>
  <c r="Q630" i="36"/>
  <c r="Q631" i="36"/>
  <c r="Q632" i="36"/>
  <c r="Q633" i="36"/>
  <c r="Q634" i="36"/>
  <c r="Q635" i="36"/>
  <c r="Q636" i="36"/>
  <c r="Q637" i="36"/>
  <c r="Q638" i="36"/>
  <c r="Q639" i="36"/>
  <c r="Q640" i="36"/>
  <c r="Q641" i="36"/>
  <c r="Q642" i="36"/>
  <c r="Q643" i="36"/>
  <c r="Q644" i="36"/>
  <c r="Q645" i="36"/>
  <c r="Q646" i="36"/>
  <c r="Q647" i="36"/>
  <c r="Q648" i="36"/>
  <c r="Q649" i="36"/>
  <c r="Q650" i="36"/>
  <c r="Q651" i="36"/>
  <c r="Q652" i="36"/>
  <c r="Q653" i="36"/>
  <c r="Q654" i="36"/>
  <c r="Q655" i="36"/>
  <c r="Q656" i="36"/>
  <c r="Q657" i="36"/>
  <c r="Q658" i="36"/>
  <c r="Q659" i="36"/>
  <c r="Q660" i="36"/>
  <c r="Q661" i="36"/>
  <c r="Q662" i="36"/>
  <c r="Q663" i="36"/>
  <c r="Q664" i="36"/>
  <c r="Q665" i="36"/>
  <c r="Q666" i="36"/>
  <c r="Q667" i="36"/>
  <c r="Q668" i="36"/>
  <c r="Q669" i="36"/>
  <c r="Q670" i="36"/>
  <c r="Q671" i="36"/>
  <c r="Q672" i="36"/>
  <c r="Q673" i="36"/>
  <c r="Q674" i="36"/>
  <c r="Q675" i="36"/>
  <c r="Q676" i="36"/>
  <c r="Q677" i="36"/>
  <c r="Q678" i="36"/>
  <c r="Q679" i="36"/>
  <c r="Q680" i="36"/>
  <c r="Q681" i="36"/>
  <c r="Q682" i="36"/>
  <c r="Q683" i="36"/>
  <c r="Q684" i="36"/>
  <c r="Q685" i="36"/>
  <c r="Q686" i="36"/>
  <c r="Q687" i="36"/>
  <c r="Q688" i="36"/>
  <c r="Q689" i="36"/>
  <c r="Q690" i="36"/>
  <c r="Q691" i="36"/>
  <c r="Q692" i="36"/>
  <c r="Q693" i="36"/>
  <c r="Q694" i="36"/>
  <c r="Q695" i="36"/>
  <c r="Q696" i="36"/>
  <c r="Q697" i="36"/>
  <c r="Q698" i="36"/>
  <c r="Q699" i="36"/>
  <c r="Q700" i="36"/>
  <c r="Q701" i="36"/>
  <c r="Q702" i="36"/>
  <c r="Q703" i="36"/>
  <c r="Q704" i="36"/>
  <c r="Q705" i="36"/>
  <c r="Q706" i="36"/>
  <c r="Q707" i="36"/>
  <c r="Q708" i="36"/>
  <c r="Q709" i="36"/>
  <c r="Q710" i="36"/>
  <c r="Q711" i="36"/>
  <c r="Q712" i="36"/>
  <c r="Q713" i="36"/>
  <c r="Q714" i="36"/>
  <c r="Q715" i="36"/>
  <c r="Q716" i="36"/>
  <c r="Q717" i="36"/>
  <c r="Q718" i="36"/>
  <c r="Q719" i="36"/>
  <c r="Q720" i="36"/>
  <c r="Q721" i="36"/>
  <c r="Q722" i="36"/>
  <c r="Q723" i="36"/>
  <c r="Q724" i="36"/>
  <c r="Q725" i="36"/>
  <c r="Q726" i="36"/>
  <c r="Q727" i="36"/>
  <c r="Q728" i="36"/>
  <c r="Q729" i="36"/>
  <c r="Q730" i="36"/>
  <c r="Q731" i="36"/>
  <c r="Q732" i="36"/>
  <c r="Q733" i="36"/>
  <c r="Q734" i="36"/>
  <c r="Q735" i="36"/>
  <c r="Q736" i="36"/>
  <c r="Q737" i="36"/>
  <c r="Q738" i="36"/>
  <c r="Q739" i="36"/>
  <c r="Q740" i="36"/>
  <c r="Q741" i="36"/>
  <c r="Q742" i="36"/>
  <c r="Q743" i="36"/>
  <c r="Q744" i="36"/>
  <c r="Q745" i="36"/>
  <c r="Q746" i="36"/>
  <c r="Q747" i="36"/>
  <c r="Q748" i="36"/>
  <c r="Q749" i="36"/>
  <c r="Q750" i="36"/>
  <c r="Q751" i="36"/>
  <c r="Q752" i="36"/>
  <c r="Q753" i="36"/>
  <c r="Q754" i="36"/>
  <c r="Q755" i="36"/>
  <c r="Q756" i="36"/>
  <c r="Q757" i="36"/>
  <c r="Q758" i="36"/>
  <c r="Q759" i="36"/>
  <c r="Q760" i="36"/>
  <c r="Q761" i="36"/>
  <c r="Q762" i="36"/>
  <c r="Q763" i="36"/>
  <c r="Q764" i="36"/>
  <c r="Q765" i="36"/>
  <c r="Q766" i="36"/>
  <c r="Q767" i="36"/>
  <c r="Q768" i="36"/>
  <c r="Q769" i="36"/>
  <c r="Q770" i="36"/>
  <c r="Q771" i="36"/>
  <c r="Q772" i="36"/>
  <c r="Q773" i="36"/>
  <c r="Q774" i="36"/>
  <c r="Q775" i="36"/>
  <c r="Q776" i="36"/>
  <c r="Q777" i="36"/>
  <c r="Q778" i="36"/>
  <c r="Q779" i="36"/>
  <c r="Q780" i="36"/>
  <c r="Q781" i="36"/>
  <c r="Q782" i="36"/>
  <c r="Q783" i="36"/>
  <c r="Q784" i="36"/>
  <c r="Q785" i="36"/>
  <c r="Q786" i="36"/>
  <c r="Q787" i="36"/>
  <c r="Q788" i="36"/>
  <c r="Q789" i="36"/>
  <c r="Q790" i="36"/>
  <c r="Q791" i="36"/>
  <c r="Q792" i="36"/>
  <c r="Q793" i="36"/>
  <c r="Q794" i="36"/>
  <c r="Q795" i="36"/>
  <c r="Q796" i="36"/>
  <c r="Q797" i="36"/>
  <c r="Q798" i="36"/>
  <c r="Q799" i="36"/>
  <c r="Q800" i="36"/>
  <c r="Q801" i="36"/>
  <c r="Q802" i="36"/>
  <c r="Q803" i="36"/>
  <c r="Q804" i="36"/>
  <c r="Q805" i="36"/>
  <c r="Q806" i="36"/>
  <c r="Q807" i="36"/>
  <c r="Q808" i="36"/>
  <c r="Q809" i="36"/>
  <c r="Q810" i="36"/>
  <c r="Q811" i="36"/>
  <c r="Q812" i="36"/>
  <c r="Q813" i="36"/>
  <c r="Q814" i="36"/>
  <c r="Q815" i="36"/>
  <c r="Q816" i="36"/>
  <c r="Q817" i="36"/>
  <c r="Q818" i="36"/>
  <c r="Q819" i="36"/>
  <c r="Q820" i="36"/>
  <c r="Q821" i="36"/>
  <c r="Q822" i="36"/>
  <c r="Q823" i="36"/>
  <c r="Q824" i="36"/>
  <c r="Q825" i="36"/>
  <c r="Q826" i="36"/>
  <c r="Q827" i="36"/>
  <c r="Q828" i="36"/>
  <c r="Q829" i="36"/>
  <c r="Q830" i="36"/>
  <c r="Q831" i="36"/>
  <c r="Q832" i="36"/>
  <c r="Q833" i="36"/>
  <c r="Q834" i="36"/>
  <c r="Q835" i="36"/>
  <c r="Q836" i="36"/>
  <c r="Q837" i="36"/>
  <c r="Q838" i="36"/>
  <c r="Q839" i="36"/>
  <c r="Q840" i="36"/>
  <c r="Q841" i="36"/>
  <c r="Q842" i="36"/>
  <c r="A2" i="34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534" i="34"/>
  <c r="A535" i="34"/>
  <c r="A536" i="34"/>
  <c r="A537" i="34"/>
  <c r="A538" i="34"/>
  <c r="A539" i="34"/>
  <c r="A540" i="34"/>
  <c r="A541" i="34"/>
  <c r="A542" i="34"/>
  <c r="A543" i="34"/>
  <c r="A544" i="34"/>
  <c r="A545" i="34"/>
  <c r="A546" i="34"/>
  <c r="A547" i="34"/>
  <c r="A548" i="34"/>
  <c r="A549" i="34"/>
  <c r="A550" i="34"/>
  <c r="A551" i="34"/>
  <c r="A552" i="34"/>
  <c r="A553" i="34"/>
  <c r="A554" i="34"/>
  <c r="A555" i="34"/>
  <c r="A556" i="34"/>
  <c r="A557" i="34"/>
  <c r="A558" i="34"/>
  <c r="A559" i="34"/>
  <c r="A560" i="34"/>
  <c r="A561" i="34"/>
  <c r="A562" i="34"/>
  <c r="A563" i="34"/>
  <c r="A564" i="34"/>
  <c r="A565" i="34"/>
  <c r="A566" i="34"/>
  <c r="A567" i="34"/>
  <c r="A568" i="34"/>
  <c r="A569" i="34"/>
  <c r="A570" i="34"/>
  <c r="A571" i="34"/>
  <c r="A572" i="34"/>
  <c r="A573" i="34"/>
  <c r="A574" i="34"/>
  <c r="A575" i="34"/>
  <c r="A576" i="34"/>
  <c r="A577" i="34"/>
  <c r="A578" i="34"/>
  <c r="A579" i="34"/>
  <c r="A580" i="34"/>
  <c r="A581" i="34"/>
  <c r="A582" i="34"/>
  <c r="A583" i="34"/>
  <c r="A584" i="34"/>
  <c r="A585" i="34"/>
  <c r="A586" i="34"/>
  <c r="A587" i="34"/>
  <c r="A588" i="34"/>
  <c r="A589" i="34"/>
  <c r="A590" i="34"/>
  <c r="A591" i="34"/>
  <c r="A592" i="34"/>
  <c r="A593" i="34"/>
  <c r="A594" i="34"/>
  <c r="A595" i="34"/>
  <c r="A596" i="34"/>
  <c r="A597" i="34"/>
  <c r="A598" i="34"/>
  <c r="A599" i="34"/>
  <c r="A600" i="34"/>
  <c r="A601" i="34"/>
  <c r="A602" i="34"/>
  <c r="A603" i="34"/>
  <c r="A604" i="34"/>
  <c r="A605" i="34"/>
  <c r="A606" i="34"/>
  <c r="A607" i="34"/>
  <c r="A608" i="34"/>
  <c r="A609" i="34"/>
  <c r="A610" i="34"/>
  <c r="A611" i="34"/>
  <c r="A612" i="34"/>
  <c r="A613" i="34"/>
  <c r="A614" i="34"/>
  <c r="A615" i="34"/>
  <c r="A616" i="34"/>
  <c r="A617" i="34"/>
  <c r="A618" i="34"/>
  <c r="A619" i="34"/>
  <c r="A620" i="34"/>
  <c r="A621" i="34"/>
  <c r="A622" i="34"/>
  <c r="A623" i="34"/>
  <c r="A624" i="34"/>
  <c r="A625" i="34"/>
  <c r="A626" i="34"/>
  <c r="A627" i="34"/>
  <c r="A628" i="34"/>
  <c r="A629" i="34"/>
  <c r="A630" i="34"/>
  <c r="A631" i="34"/>
  <c r="A632" i="34"/>
  <c r="A633" i="34"/>
  <c r="A634" i="34"/>
  <c r="A635" i="34"/>
  <c r="A636" i="34"/>
  <c r="A637" i="34"/>
  <c r="A638" i="34"/>
  <c r="A639" i="34"/>
  <c r="A640" i="34"/>
  <c r="A641" i="34"/>
  <c r="A642" i="34"/>
  <c r="A643" i="34"/>
  <c r="A644" i="34"/>
  <c r="A645" i="34"/>
  <c r="A646" i="34"/>
  <c r="A647" i="34"/>
  <c r="A648" i="34"/>
  <c r="A649" i="34"/>
  <c r="A650" i="34"/>
  <c r="A651" i="34"/>
  <c r="A652" i="34"/>
  <c r="A653" i="34"/>
  <c r="A654" i="34"/>
  <c r="A655" i="34"/>
  <c r="A656" i="34"/>
  <c r="A657" i="34"/>
  <c r="A658" i="34"/>
  <c r="A659" i="34"/>
  <c r="A660" i="34"/>
  <c r="A661" i="34"/>
  <c r="A662" i="34"/>
  <c r="A663" i="34"/>
  <c r="A664" i="34"/>
  <c r="A665" i="34"/>
  <c r="A666" i="34"/>
  <c r="A667" i="34"/>
  <c r="A668" i="34"/>
  <c r="A669" i="34"/>
  <c r="A670" i="34"/>
  <c r="A671" i="34"/>
  <c r="A672" i="34"/>
  <c r="A673" i="34"/>
  <c r="A674" i="34"/>
  <c r="A675" i="34"/>
  <c r="A676" i="34"/>
  <c r="A677" i="34"/>
  <c r="A678" i="34"/>
  <c r="A679" i="34"/>
  <c r="A680" i="34"/>
  <c r="A681" i="34"/>
  <c r="A682" i="34"/>
  <c r="A683" i="34"/>
  <c r="A684" i="34"/>
  <c r="A685" i="34"/>
  <c r="A686" i="34"/>
  <c r="A687" i="34"/>
  <c r="A688" i="34"/>
  <c r="A689" i="34"/>
  <c r="A690" i="34"/>
  <c r="A691" i="34"/>
  <c r="A692" i="34"/>
  <c r="A693" i="34"/>
  <c r="A694" i="34"/>
  <c r="A695" i="34"/>
  <c r="A696" i="34"/>
  <c r="A697" i="34"/>
  <c r="A698" i="34"/>
  <c r="A699" i="34"/>
  <c r="A700" i="34"/>
  <c r="A701" i="34"/>
  <c r="A702" i="34"/>
  <c r="A703" i="34"/>
  <c r="A704" i="34"/>
  <c r="A705" i="34"/>
  <c r="A706" i="34"/>
  <c r="A707" i="34"/>
  <c r="A708" i="34"/>
  <c r="A709" i="34"/>
  <c r="A710" i="34"/>
  <c r="A711" i="34"/>
  <c r="A712" i="34"/>
  <c r="A713" i="34"/>
  <c r="A714" i="34"/>
  <c r="A715" i="34"/>
  <c r="A716" i="34"/>
  <c r="A717" i="34"/>
  <c r="A718" i="34"/>
  <c r="A719" i="34"/>
  <c r="A720" i="34"/>
  <c r="A721" i="34"/>
  <c r="A722" i="34"/>
  <c r="A723" i="34"/>
  <c r="A724" i="34"/>
  <c r="A725" i="34"/>
  <c r="A726" i="34"/>
  <c r="A727" i="34"/>
  <c r="A728" i="34"/>
  <c r="A729" i="34"/>
  <c r="A730" i="34"/>
  <c r="A731" i="34"/>
  <c r="A732" i="34"/>
  <c r="A733" i="34"/>
  <c r="A734" i="34"/>
  <c r="A735" i="34"/>
  <c r="A736" i="34"/>
  <c r="A737" i="34"/>
  <c r="A738" i="34"/>
  <c r="A739" i="34"/>
  <c r="A740" i="34"/>
  <c r="A741" i="34"/>
  <c r="A742" i="34"/>
  <c r="A743" i="34"/>
  <c r="A744" i="34"/>
  <c r="A745" i="34"/>
  <c r="A746" i="34"/>
  <c r="A747" i="34"/>
  <c r="A748" i="34"/>
  <c r="A749" i="34"/>
  <c r="A750" i="34"/>
  <c r="A751" i="34"/>
  <c r="A752" i="34"/>
  <c r="A753" i="34"/>
  <c r="A754" i="34"/>
  <c r="A755" i="34"/>
  <c r="A756" i="34"/>
  <c r="A757" i="34"/>
  <c r="A758" i="34"/>
  <c r="A759" i="34"/>
  <c r="A760" i="34"/>
  <c r="A761" i="34"/>
  <c r="A762" i="34"/>
  <c r="A763" i="34"/>
  <c r="A764" i="34"/>
  <c r="A765" i="34"/>
  <c r="A766" i="34"/>
  <c r="A767" i="34"/>
  <c r="A768" i="34"/>
  <c r="A769" i="34"/>
  <c r="A770" i="34"/>
  <c r="A771" i="34"/>
  <c r="A772" i="34"/>
  <c r="A773" i="34"/>
  <c r="A774" i="34"/>
  <c r="A775" i="34"/>
  <c r="A776" i="34"/>
  <c r="A777" i="34"/>
  <c r="A778" i="34"/>
  <c r="A779" i="34"/>
  <c r="A780" i="34"/>
  <c r="A781" i="34"/>
  <c r="A782" i="34"/>
  <c r="A783" i="34"/>
  <c r="A784" i="34"/>
  <c r="A785" i="34"/>
  <c r="A786" i="34"/>
  <c r="A787" i="34"/>
  <c r="A788" i="34"/>
  <c r="A789" i="34"/>
  <c r="A790" i="34"/>
  <c r="A791" i="34"/>
  <c r="A792" i="34"/>
  <c r="A793" i="34"/>
  <c r="A794" i="34"/>
  <c r="A795" i="34"/>
  <c r="A796" i="34"/>
  <c r="A797" i="34"/>
  <c r="A798" i="34"/>
  <c r="A799" i="34"/>
  <c r="A800" i="34"/>
  <c r="A801" i="34"/>
  <c r="A802" i="34"/>
  <c r="A803" i="34"/>
  <c r="A804" i="34"/>
  <c r="A805" i="34"/>
  <c r="P2" i="34"/>
  <c r="P3" i="34"/>
  <c r="P4" i="34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74" i="34"/>
  <c r="P75" i="34"/>
  <c r="P76" i="34"/>
  <c r="P77" i="34"/>
  <c r="P78" i="34"/>
  <c r="P79" i="34"/>
  <c r="P80" i="34"/>
  <c r="P81" i="34"/>
  <c r="P82" i="34"/>
  <c r="P83" i="34"/>
  <c r="P84" i="34"/>
  <c r="P85" i="34"/>
  <c r="P86" i="34"/>
  <c r="P87" i="34"/>
  <c r="P88" i="34"/>
  <c r="P89" i="34"/>
  <c r="P90" i="34"/>
  <c r="P91" i="34"/>
  <c r="P92" i="34"/>
  <c r="P93" i="34"/>
  <c r="P94" i="34"/>
  <c r="P95" i="34"/>
  <c r="P96" i="34"/>
  <c r="P97" i="34"/>
  <c r="P98" i="34"/>
  <c r="P99" i="34"/>
  <c r="P100" i="34"/>
  <c r="P101" i="34"/>
  <c r="P102" i="34"/>
  <c r="P103" i="34"/>
  <c r="P104" i="34"/>
  <c r="P105" i="34"/>
  <c r="P106" i="34"/>
  <c r="P107" i="34"/>
  <c r="P108" i="34"/>
  <c r="P109" i="34"/>
  <c r="P110" i="34"/>
  <c r="P111" i="34"/>
  <c r="P112" i="34"/>
  <c r="P113" i="34"/>
  <c r="P114" i="34"/>
  <c r="P115" i="34"/>
  <c r="P116" i="34"/>
  <c r="P117" i="34"/>
  <c r="P118" i="34"/>
  <c r="P119" i="34"/>
  <c r="P120" i="34"/>
  <c r="P121" i="34"/>
  <c r="P122" i="34"/>
  <c r="P123" i="34"/>
  <c r="P124" i="34"/>
  <c r="P125" i="34"/>
  <c r="P126" i="34"/>
  <c r="P127" i="34"/>
  <c r="P128" i="34"/>
  <c r="P129" i="34"/>
  <c r="P130" i="34"/>
  <c r="P131" i="34"/>
  <c r="P132" i="34"/>
  <c r="P133" i="34"/>
  <c r="P134" i="34"/>
  <c r="P135" i="34"/>
  <c r="P136" i="34"/>
  <c r="P137" i="34"/>
  <c r="P138" i="34"/>
  <c r="P139" i="34"/>
  <c r="P140" i="34"/>
  <c r="P141" i="34"/>
  <c r="P142" i="34"/>
  <c r="P143" i="34"/>
  <c r="P144" i="34"/>
  <c r="P145" i="34"/>
  <c r="P146" i="34"/>
  <c r="P147" i="34"/>
  <c r="P148" i="34"/>
  <c r="P149" i="34"/>
  <c r="P150" i="34"/>
  <c r="P151" i="34"/>
  <c r="P152" i="34"/>
  <c r="P153" i="34"/>
  <c r="P154" i="34"/>
  <c r="P155" i="34"/>
  <c r="P156" i="34"/>
  <c r="P157" i="34"/>
  <c r="P158" i="34"/>
  <c r="P159" i="34"/>
  <c r="P160" i="34"/>
  <c r="P161" i="34"/>
  <c r="P162" i="34"/>
  <c r="P163" i="34"/>
  <c r="P164" i="34"/>
  <c r="P165" i="34"/>
  <c r="P166" i="34"/>
  <c r="P167" i="34"/>
  <c r="P168" i="34"/>
  <c r="P169" i="34"/>
  <c r="P170" i="34"/>
  <c r="P171" i="34"/>
  <c r="P172" i="34"/>
  <c r="P173" i="34"/>
  <c r="P174" i="34"/>
  <c r="P175" i="34"/>
  <c r="P176" i="34"/>
  <c r="P177" i="34"/>
  <c r="P178" i="34"/>
  <c r="P179" i="34"/>
  <c r="P180" i="34"/>
  <c r="P181" i="34"/>
  <c r="P182" i="34"/>
  <c r="P183" i="34"/>
  <c r="P184" i="34"/>
  <c r="P185" i="34"/>
  <c r="P186" i="34"/>
  <c r="P187" i="34"/>
  <c r="P188" i="34"/>
  <c r="P189" i="34"/>
  <c r="P190" i="34"/>
  <c r="P191" i="34"/>
  <c r="P192" i="34"/>
  <c r="P193" i="34"/>
  <c r="P194" i="34"/>
  <c r="P195" i="34"/>
  <c r="P196" i="34"/>
  <c r="P197" i="34"/>
  <c r="P198" i="34"/>
  <c r="P199" i="34"/>
  <c r="P200" i="34"/>
  <c r="P201" i="34"/>
  <c r="P202" i="34"/>
  <c r="P203" i="34"/>
  <c r="P204" i="34"/>
  <c r="P205" i="34"/>
  <c r="P206" i="34"/>
  <c r="P207" i="34"/>
  <c r="P208" i="34"/>
  <c r="P209" i="34"/>
  <c r="P210" i="34"/>
  <c r="P211" i="34"/>
  <c r="P212" i="34"/>
  <c r="P213" i="34"/>
  <c r="P214" i="34"/>
  <c r="P215" i="34"/>
  <c r="P216" i="34"/>
  <c r="P217" i="34"/>
  <c r="P218" i="34"/>
  <c r="P219" i="34"/>
  <c r="P220" i="34"/>
  <c r="P221" i="34"/>
  <c r="P222" i="34"/>
  <c r="P223" i="34"/>
  <c r="P224" i="34"/>
  <c r="P225" i="34"/>
  <c r="P226" i="34"/>
  <c r="P227" i="34"/>
  <c r="P228" i="34"/>
  <c r="P229" i="34"/>
  <c r="P230" i="34"/>
  <c r="P231" i="34"/>
  <c r="P232" i="34"/>
  <c r="P233" i="34"/>
  <c r="P234" i="34"/>
  <c r="P235" i="34"/>
  <c r="P236" i="34"/>
  <c r="P237" i="34"/>
  <c r="P238" i="34"/>
  <c r="P239" i="34"/>
  <c r="P240" i="34"/>
  <c r="P241" i="34"/>
  <c r="P242" i="34"/>
  <c r="P243" i="34"/>
  <c r="P244" i="34"/>
  <c r="P245" i="34"/>
  <c r="P246" i="34"/>
  <c r="P247" i="34"/>
  <c r="P248" i="34"/>
  <c r="P249" i="34"/>
  <c r="P250" i="34"/>
  <c r="P251" i="34"/>
  <c r="P252" i="34"/>
  <c r="P253" i="34"/>
  <c r="P254" i="34"/>
  <c r="P255" i="34"/>
  <c r="P256" i="34"/>
  <c r="P257" i="34"/>
  <c r="P258" i="34"/>
  <c r="P259" i="34"/>
  <c r="P260" i="34"/>
  <c r="P261" i="34"/>
  <c r="P262" i="34"/>
  <c r="P263" i="34"/>
  <c r="P264" i="34"/>
  <c r="P265" i="34"/>
  <c r="P266" i="34"/>
  <c r="P267" i="34"/>
  <c r="P268" i="34"/>
  <c r="P269" i="34"/>
  <c r="P270" i="34"/>
  <c r="P271" i="34"/>
  <c r="P272" i="34"/>
  <c r="P273" i="34"/>
  <c r="P274" i="34"/>
  <c r="P275" i="34"/>
  <c r="P276" i="34"/>
  <c r="P277" i="34"/>
  <c r="P278" i="34"/>
  <c r="P279" i="34"/>
  <c r="P280" i="34"/>
  <c r="P281" i="34"/>
  <c r="P282" i="34"/>
  <c r="P283" i="34"/>
  <c r="P284" i="34"/>
  <c r="P285" i="34"/>
  <c r="P286" i="34"/>
  <c r="P287" i="34"/>
  <c r="P288" i="34"/>
  <c r="P289" i="34"/>
  <c r="P290" i="34"/>
  <c r="P291" i="34"/>
  <c r="P292" i="34"/>
  <c r="P293" i="34"/>
  <c r="P294" i="34"/>
  <c r="P295" i="34"/>
  <c r="P296" i="34"/>
  <c r="P297" i="34"/>
  <c r="P298" i="34"/>
  <c r="P299" i="34"/>
  <c r="P300" i="34"/>
  <c r="P301" i="34"/>
  <c r="P302" i="34"/>
  <c r="P303" i="34"/>
  <c r="P304" i="34"/>
  <c r="P305" i="34"/>
  <c r="P306" i="34"/>
  <c r="P307" i="34"/>
  <c r="P308" i="34"/>
  <c r="P309" i="34"/>
  <c r="P310" i="34"/>
  <c r="P311" i="34"/>
  <c r="P312" i="34"/>
  <c r="P313" i="34"/>
  <c r="P314" i="34"/>
  <c r="P315" i="34"/>
  <c r="P316" i="34"/>
  <c r="P317" i="34"/>
  <c r="P318" i="34"/>
  <c r="P319" i="34"/>
  <c r="P320" i="34"/>
  <c r="P321" i="34"/>
  <c r="P322" i="34"/>
  <c r="P323" i="34"/>
  <c r="P324" i="34"/>
  <c r="P325" i="34"/>
  <c r="P326" i="34"/>
  <c r="P327" i="34"/>
  <c r="P328" i="34"/>
  <c r="P329" i="34"/>
  <c r="P330" i="34"/>
  <c r="P331" i="34"/>
  <c r="P332" i="34"/>
  <c r="P333" i="34"/>
  <c r="P334" i="34"/>
  <c r="P335" i="34"/>
  <c r="P336" i="34"/>
  <c r="P337" i="34"/>
  <c r="P338" i="34"/>
  <c r="P339" i="34"/>
  <c r="P340" i="34"/>
  <c r="P341" i="34"/>
  <c r="P342" i="34"/>
  <c r="P343" i="34"/>
  <c r="P344" i="34"/>
  <c r="P345" i="34"/>
  <c r="P346" i="34"/>
  <c r="P347" i="34"/>
  <c r="P348" i="34"/>
  <c r="P349" i="34"/>
  <c r="P350" i="34"/>
  <c r="P351" i="34"/>
  <c r="P352" i="34"/>
  <c r="P353" i="34"/>
  <c r="P354" i="34"/>
  <c r="P355" i="34"/>
  <c r="P356" i="34"/>
  <c r="P357" i="34"/>
  <c r="P358" i="34"/>
  <c r="P359" i="34"/>
  <c r="P360" i="34"/>
  <c r="P361" i="34"/>
  <c r="P362" i="34"/>
  <c r="P363" i="34"/>
  <c r="P364" i="34"/>
  <c r="P365" i="34"/>
  <c r="P366" i="34"/>
  <c r="P367" i="34"/>
  <c r="P368" i="34"/>
  <c r="P369" i="34"/>
  <c r="P370" i="34"/>
  <c r="P371" i="34"/>
  <c r="P372" i="34"/>
  <c r="P373" i="34"/>
  <c r="P374" i="34"/>
  <c r="P375" i="34"/>
  <c r="P376" i="34"/>
  <c r="P377" i="34"/>
  <c r="P378" i="34"/>
  <c r="P379" i="34"/>
  <c r="P380" i="34"/>
  <c r="P381" i="34"/>
  <c r="P382" i="34"/>
  <c r="P383" i="34"/>
  <c r="P384" i="34"/>
  <c r="P385" i="34"/>
  <c r="P386" i="34"/>
  <c r="P387" i="34"/>
  <c r="P388" i="34"/>
  <c r="P389" i="34"/>
  <c r="P390" i="34"/>
  <c r="P391" i="34"/>
  <c r="P392" i="34"/>
  <c r="P393" i="34"/>
  <c r="P394" i="34"/>
  <c r="P395" i="34"/>
  <c r="P396" i="34"/>
  <c r="P397" i="34"/>
  <c r="P398" i="34"/>
  <c r="P399" i="34"/>
  <c r="P400" i="34"/>
  <c r="P401" i="34"/>
  <c r="P402" i="34"/>
  <c r="P403" i="34"/>
  <c r="P404" i="34"/>
  <c r="P405" i="34"/>
  <c r="P406" i="34"/>
  <c r="P407" i="34"/>
  <c r="P408" i="34"/>
  <c r="P409" i="34"/>
  <c r="P410" i="34"/>
  <c r="P411" i="34"/>
  <c r="P412" i="34"/>
  <c r="P413" i="34"/>
  <c r="P414" i="34"/>
  <c r="P415" i="34"/>
  <c r="P416" i="34"/>
  <c r="P417" i="34"/>
  <c r="P418" i="34"/>
  <c r="P419" i="34"/>
  <c r="P420" i="34"/>
  <c r="P421" i="34"/>
  <c r="P422" i="34"/>
  <c r="P423" i="34"/>
  <c r="P424" i="34"/>
  <c r="P425" i="34"/>
  <c r="P426" i="34"/>
  <c r="P427" i="34"/>
  <c r="P428" i="34"/>
  <c r="P429" i="34"/>
  <c r="P430" i="34"/>
  <c r="P431" i="34"/>
  <c r="P432" i="34"/>
  <c r="P433" i="34"/>
  <c r="P434" i="34"/>
  <c r="P435" i="34"/>
  <c r="P436" i="34"/>
  <c r="P437" i="34"/>
  <c r="P438" i="34"/>
  <c r="P439" i="34"/>
  <c r="P440" i="34"/>
  <c r="P441" i="34"/>
  <c r="P442" i="34"/>
  <c r="P443" i="34"/>
  <c r="P444" i="34"/>
  <c r="P445" i="34"/>
  <c r="P446" i="34"/>
  <c r="P447" i="34"/>
  <c r="P448" i="34"/>
  <c r="P449" i="34"/>
  <c r="P450" i="34"/>
  <c r="P451" i="34"/>
  <c r="P452" i="34"/>
  <c r="P453" i="34"/>
  <c r="P454" i="34"/>
  <c r="P455" i="34"/>
  <c r="P456" i="34"/>
  <c r="P457" i="34"/>
  <c r="P458" i="34"/>
  <c r="P459" i="34"/>
  <c r="P460" i="34"/>
  <c r="P461" i="34"/>
  <c r="P462" i="34"/>
  <c r="P463" i="34"/>
  <c r="P464" i="34"/>
  <c r="P465" i="34"/>
  <c r="P466" i="34"/>
  <c r="P467" i="34"/>
  <c r="P468" i="34"/>
  <c r="P469" i="34"/>
  <c r="P470" i="34"/>
  <c r="P471" i="34"/>
  <c r="P472" i="34"/>
  <c r="P473" i="34"/>
  <c r="P474" i="34"/>
  <c r="P475" i="34"/>
  <c r="P476" i="34"/>
  <c r="P477" i="34"/>
  <c r="P478" i="34"/>
  <c r="P479" i="34"/>
  <c r="P480" i="34"/>
  <c r="P481" i="34"/>
  <c r="P482" i="34"/>
  <c r="P483" i="34"/>
  <c r="P484" i="34"/>
  <c r="P485" i="34"/>
  <c r="P486" i="34"/>
  <c r="P487" i="34"/>
  <c r="P488" i="34"/>
  <c r="P489" i="34"/>
  <c r="P490" i="34"/>
  <c r="P491" i="34"/>
  <c r="P492" i="34"/>
  <c r="P493" i="34"/>
  <c r="P494" i="34"/>
  <c r="P495" i="34"/>
  <c r="P496" i="34"/>
  <c r="P497" i="34"/>
  <c r="P498" i="34"/>
  <c r="P499" i="34"/>
  <c r="P500" i="34"/>
  <c r="P501" i="34"/>
  <c r="P502" i="34"/>
  <c r="P503" i="34"/>
  <c r="P504" i="34"/>
  <c r="P505" i="34"/>
  <c r="P506" i="34"/>
  <c r="P507" i="34"/>
  <c r="P508" i="34"/>
  <c r="P509" i="34"/>
  <c r="P510" i="34"/>
  <c r="P511" i="34"/>
  <c r="P512" i="34"/>
  <c r="P513" i="34"/>
  <c r="P514" i="34"/>
  <c r="P515" i="34"/>
  <c r="P516" i="34"/>
  <c r="P517" i="34"/>
  <c r="P518" i="34"/>
  <c r="P519" i="34"/>
  <c r="P520" i="34"/>
  <c r="P521" i="34"/>
  <c r="P522" i="34"/>
  <c r="P523" i="34"/>
  <c r="P524" i="34"/>
  <c r="P525" i="34"/>
  <c r="P526" i="34"/>
  <c r="P527" i="34"/>
  <c r="P528" i="34"/>
  <c r="P529" i="34"/>
  <c r="P530" i="34"/>
  <c r="P531" i="34"/>
  <c r="P532" i="34"/>
  <c r="P533" i="34"/>
  <c r="P534" i="34"/>
  <c r="P535" i="34"/>
  <c r="P536" i="34"/>
  <c r="P537" i="34"/>
  <c r="P538" i="34"/>
  <c r="P539" i="34"/>
  <c r="P540" i="34"/>
  <c r="P541" i="34"/>
  <c r="P542" i="34"/>
  <c r="P543" i="34"/>
  <c r="P544" i="34"/>
  <c r="P545" i="34"/>
  <c r="P546" i="34"/>
  <c r="P547" i="34"/>
  <c r="P548" i="34"/>
  <c r="P549" i="34"/>
  <c r="P550" i="34"/>
  <c r="P551" i="34"/>
  <c r="P552" i="34"/>
  <c r="P553" i="34"/>
  <c r="P554" i="34"/>
  <c r="P555" i="34"/>
  <c r="P556" i="34"/>
  <c r="P557" i="34"/>
  <c r="P558" i="34"/>
  <c r="P559" i="34"/>
  <c r="P560" i="34"/>
  <c r="P561" i="34"/>
  <c r="P562" i="34"/>
  <c r="P563" i="34"/>
  <c r="P564" i="34"/>
  <c r="P565" i="34"/>
  <c r="P566" i="34"/>
  <c r="P567" i="34"/>
  <c r="P568" i="34"/>
  <c r="P569" i="34"/>
  <c r="P570" i="34"/>
  <c r="P571" i="34"/>
  <c r="P572" i="34"/>
  <c r="P573" i="34"/>
  <c r="P574" i="34"/>
  <c r="P575" i="34"/>
  <c r="P576" i="34"/>
  <c r="P577" i="34"/>
  <c r="P578" i="34"/>
  <c r="P579" i="34"/>
  <c r="P580" i="34"/>
  <c r="P581" i="34"/>
  <c r="P582" i="34"/>
  <c r="P583" i="34"/>
  <c r="P584" i="34"/>
  <c r="P585" i="34"/>
  <c r="P586" i="34"/>
  <c r="P587" i="34"/>
  <c r="P588" i="34"/>
  <c r="P589" i="34"/>
  <c r="P590" i="34"/>
  <c r="P591" i="34"/>
  <c r="P592" i="34"/>
  <c r="P593" i="34"/>
  <c r="P594" i="34"/>
  <c r="P595" i="34"/>
  <c r="P596" i="34"/>
  <c r="P597" i="34"/>
  <c r="P598" i="34"/>
  <c r="P599" i="34"/>
  <c r="P600" i="34"/>
  <c r="P601" i="34"/>
  <c r="P602" i="34"/>
  <c r="P603" i="34"/>
  <c r="P604" i="34"/>
  <c r="P605" i="34"/>
  <c r="P606" i="34"/>
  <c r="P607" i="34"/>
  <c r="P608" i="34"/>
  <c r="P609" i="34"/>
  <c r="P610" i="34"/>
  <c r="P611" i="34"/>
  <c r="P612" i="34"/>
  <c r="P613" i="34"/>
  <c r="P614" i="34"/>
  <c r="P615" i="34"/>
  <c r="P616" i="34"/>
  <c r="P617" i="34"/>
  <c r="P618" i="34"/>
  <c r="P619" i="34"/>
  <c r="P620" i="34"/>
  <c r="P621" i="34"/>
  <c r="P622" i="34"/>
  <c r="P623" i="34"/>
  <c r="P624" i="34"/>
  <c r="P625" i="34"/>
  <c r="P626" i="34"/>
  <c r="P627" i="34"/>
  <c r="P628" i="34"/>
  <c r="P629" i="34"/>
  <c r="P630" i="34"/>
  <c r="P631" i="34"/>
  <c r="P632" i="34"/>
  <c r="P633" i="34"/>
  <c r="P634" i="34"/>
  <c r="P635" i="34"/>
  <c r="P636" i="34"/>
  <c r="P637" i="34"/>
  <c r="P638" i="34"/>
  <c r="P639" i="34"/>
  <c r="P640" i="34"/>
  <c r="P641" i="34"/>
  <c r="P642" i="34"/>
  <c r="P643" i="34"/>
  <c r="P644" i="34"/>
  <c r="P645" i="34"/>
  <c r="P646" i="34"/>
  <c r="P647" i="34"/>
  <c r="P648" i="34"/>
  <c r="P649" i="34"/>
  <c r="P650" i="34"/>
  <c r="P651" i="34"/>
  <c r="P652" i="34"/>
  <c r="P653" i="34"/>
  <c r="P654" i="34"/>
  <c r="P655" i="34"/>
  <c r="P656" i="34"/>
  <c r="P657" i="34"/>
  <c r="P658" i="34"/>
  <c r="P659" i="34"/>
  <c r="P660" i="34"/>
  <c r="P661" i="34"/>
  <c r="P662" i="34"/>
  <c r="P663" i="34"/>
  <c r="P664" i="34"/>
  <c r="P665" i="34"/>
  <c r="P666" i="34"/>
  <c r="P667" i="34"/>
  <c r="P668" i="34"/>
  <c r="P669" i="34"/>
  <c r="P670" i="34"/>
  <c r="P671" i="34"/>
  <c r="P672" i="34"/>
  <c r="P673" i="34"/>
  <c r="P674" i="34"/>
  <c r="P675" i="34"/>
  <c r="P676" i="34"/>
  <c r="P677" i="34"/>
  <c r="P678" i="34"/>
  <c r="P679" i="34"/>
  <c r="P680" i="34"/>
  <c r="P681" i="34"/>
  <c r="P682" i="34"/>
  <c r="P683" i="34"/>
  <c r="P684" i="34"/>
  <c r="P685" i="34"/>
  <c r="P686" i="34"/>
  <c r="P687" i="34"/>
  <c r="P688" i="34"/>
  <c r="P689" i="34"/>
  <c r="P690" i="34"/>
  <c r="P691" i="34"/>
  <c r="P692" i="34"/>
  <c r="P693" i="34"/>
  <c r="P694" i="34"/>
  <c r="P695" i="34"/>
  <c r="P696" i="34"/>
  <c r="P697" i="34"/>
  <c r="P698" i="34"/>
  <c r="P699" i="34"/>
  <c r="P700" i="34"/>
  <c r="P701" i="34"/>
  <c r="P702" i="34"/>
  <c r="P703" i="34"/>
  <c r="P704" i="34"/>
  <c r="P705" i="34"/>
  <c r="P706" i="34"/>
  <c r="P707" i="34"/>
  <c r="P708" i="34"/>
  <c r="P709" i="34"/>
  <c r="P710" i="34"/>
  <c r="P711" i="34"/>
  <c r="P712" i="34"/>
  <c r="P713" i="34"/>
  <c r="P714" i="34"/>
  <c r="P715" i="34"/>
  <c r="P716" i="34"/>
  <c r="P717" i="34"/>
  <c r="P718" i="34"/>
  <c r="P719" i="34"/>
  <c r="P720" i="34"/>
  <c r="P721" i="34"/>
  <c r="P722" i="34"/>
  <c r="P723" i="34"/>
  <c r="P724" i="34"/>
  <c r="P725" i="34"/>
  <c r="P726" i="34"/>
  <c r="P727" i="34"/>
  <c r="P728" i="34"/>
  <c r="P729" i="34"/>
  <c r="P730" i="34"/>
  <c r="P731" i="34"/>
  <c r="P732" i="34"/>
  <c r="P733" i="34"/>
  <c r="P734" i="34"/>
  <c r="P735" i="34"/>
  <c r="P736" i="34"/>
  <c r="P737" i="34"/>
  <c r="P738" i="34"/>
  <c r="P739" i="34"/>
  <c r="P740" i="34"/>
  <c r="P741" i="34"/>
  <c r="P742" i="34"/>
  <c r="P743" i="34"/>
  <c r="P744" i="34"/>
  <c r="P745" i="34"/>
  <c r="P746" i="34"/>
  <c r="P747" i="34"/>
  <c r="P748" i="34"/>
  <c r="P749" i="34"/>
  <c r="P750" i="34"/>
  <c r="P751" i="34"/>
  <c r="P752" i="34"/>
  <c r="P753" i="34"/>
  <c r="P754" i="34"/>
  <c r="P755" i="34"/>
  <c r="P756" i="34"/>
  <c r="P757" i="34"/>
  <c r="P758" i="34"/>
  <c r="P759" i="34"/>
  <c r="P760" i="34"/>
  <c r="P761" i="34"/>
  <c r="P762" i="34"/>
  <c r="P763" i="34"/>
  <c r="P764" i="34"/>
  <c r="P765" i="34"/>
  <c r="P766" i="34"/>
  <c r="P767" i="34"/>
  <c r="P768" i="34"/>
  <c r="P769" i="34"/>
  <c r="P770" i="34"/>
  <c r="P771" i="34"/>
  <c r="P772" i="34"/>
  <c r="P773" i="34"/>
  <c r="P774" i="34"/>
  <c r="P775" i="34"/>
  <c r="P776" i="34"/>
  <c r="P777" i="34"/>
  <c r="P778" i="34"/>
  <c r="P779" i="34"/>
  <c r="P780" i="34"/>
  <c r="P781" i="34"/>
  <c r="P782" i="34"/>
  <c r="P783" i="34"/>
  <c r="P784" i="34"/>
  <c r="P785" i="34"/>
  <c r="P786" i="34"/>
  <c r="P787" i="34"/>
  <c r="P788" i="34"/>
  <c r="P789" i="34"/>
  <c r="P790" i="34"/>
  <c r="P791" i="34"/>
  <c r="P792" i="34"/>
  <c r="P793" i="34"/>
  <c r="P794" i="34"/>
  <c r="P795" i="34"/>
  <c r="P796" i="34"/>
  <c r="P797" i="34"/>
  <c r="P798" i="34"/>
  <c r="P799" i="34"/>
  <c r="P800" i="34"/>
  <c r="P801" i="34"/>
  <c r="P802" i="34"/>
  <c r="P803" i="34"/>
  <c r="P804" i="34"/>
  <c r="P805" i="34"/>
  <c r="Q2" i="34"/>
  <c r="Q3" i="34"/>
  <c r="Q4" i="34"/>
  <c r="Q5" i="34"/>
  <c r="Q6" i="34"/>
  <c r="Q7" i="34"/>
  <c r="Q8" i="34"/>
  <c r="Q9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33" i="34"/>
  <c r="Q34" i="34"/>
  <c r="Q35" i="34"/>
  <c r="Q36" i="34"/>
  <c r="Q37" i="34"/>
  <c r="Q38" i="34"/>
  <c r="Q39" i="34"/>
  <c r="Q40" i="34"/>
  <c r="Q41" i="34"/>
  <c r="Q42" i="34"/>
  <c r="Q43" i="34"/>
  <c r="Q44" i="34"/>
  <c r="Q45" i="34"/>
  <c r="Q46" i="34"/>
  <c r="Q47" i="34"/>
  <c r="Q48" i="34"/>
  <c r="Q49" i="34"/>
  <c r="Q50" i="34"/>
  <c r="Q51" i="34"/>
  <c r="Q52" i="34"/>
  <c r="Q53" i="34"/>
  <c r="Q54" i="34"/>
  <c r="Q55" i="34"/>
  <c r="Q56" i="34"/>
  <c r="Q57" i="34"/>
  <c r="Q58" i="34"/>
  <c r="Q59" i="34"/>
  <c r="Q60" i="34"/>
  <c r="Q61" i="34"/>
  <c r="Q62" i="34"/>
  <c r="Q63" i="34"/>
  <c r="Q64" i="34"/>
  <c r="Q65" i="34"/>
  <c r="Q66" i="34"/>
  <c r="Q67" i="34"/>
  <c r="Q68" i="34"/>
  <c r="Q69" i="34"/>
  <c r="Q70" i="34"/>
  <c r="Q71" i="34"/>
  <c r="Q72" i="34"/>
  <c r="Q73" i="34"/>
  <c r="Q74" i="34"/>
  <c r="Q75" i="34"/>
  <c r="Q76" i="34"/>
  <c r="Q77" i="34"/>
  <c r="Q78" i="34"/>
  <c r="Q79" i="34"/>
  <c r="Q80" i="34"/>
  <c r="Q81" i="34"/>
  <c r="Q82" i="34"/>
  <c r="Q83" i="34"/>
  <c r="Q84" i="34"/>
  <c r="Q85" i="34"/>
  <c r="Q86" i="34"/>
  <c r="Q87" i="34"/>
  <c r="Q88" i="34"/>
  <c r="Q89" i="34"/>
  <c r="Q90" i="34"/>
  <c r="Q91" i="34"/>
  <c r="Q92" i="34"/>
  <c r="Q93" i="34"/>
  <c r="Q94" i="34"/>
  <c r="Q95" i="34"/>
  <c r="Q96" i="34"/>
  <c r="Q97" i="34"/>
  <c r="Q98" i="34"/>
  <c r="Q99" i="34"/>
  <c r="Q100" i="34"/>
  <c r="Q101" i="34"/>
  <c r="Q102" i="34"/>
  <c r="Q103" i="34"/>
  <c r="Q104" i="34"/>
  <c r="Q105" i="34"/>
  <c r="Q106" i="34"/>
  <c r="Q107" i="34"/>
  <c r="Q108" i="34"/>
  <c r="Q109" i="34"/>
  <c r="Q110" i="34"/>
  <c r="Q111" i="34"/>
  <c r="Q112" i="34"/>
  <c r="Q113" i="34"/>
  <c r="Q114" i="34"/>
  <c r="Q115" i="34"/>
  <c r="Q116" i="34"/>
  <c r="Q117" i="34"/>
  <c r="Q118" i="34"/>
  <c r="Q119" i="34"/>
  <c r="Q120" i="34"/>
  <c r="Q121" i="34"/>
  <c r="Q122" i="34"/>
  <c r="Q123" i="34"/>
  <c r="Q124" i="34"/>
  <c r="Q125" i="34"/>
  <c r="Q126" i="34"/>
  <c r="Q127" i="34"/>
  <c r="Q128" i="34"/>
  <c r="Q129" i="34"/>
  <c r="Q130" i="34"/>
  <c r="Q131" i="34"/>
  <c r="Q132" i="34"/>
  <c r="Q133" i="34"/>
  <c r="Q134" i="34"/>
  <c r="Q135" i="34"/>
  <c r="Q136" i="34"/>
  <c r="Q137" i="34"/>
  <c r="Q138" i="34"/>
  <c r="Q139" i="34"/>
  <c r="Q140" i="34"/>
  <c r="Q141" i="34"/>
  <c r="Q142" i="34"/>
  <c r="Q143" i="34"/>
  <c r="Q144" i="34"/>
  <c r="Q145" i="34"/>
  <c r="Q146" i="34"/>
  <c r="Q147" i="34"/>
  <c r="Q148" i="34"/>
  <c r="Q149" i="34"/>
  <c r="Q150" i="34"/>
  <c r="Q151" i="34"/>
  <c r="Q152" i="34"/>
  <c r="Q153" i="34"/>
  <c r="Q154" i="34"/>
  <c r="Q155" i="34"/>
  <c r="Q156" i="34"/>
  <c r="Q157" i="34"/>
  <c r="Q158" i="34"/>
  <c r="Q159" i="34"/>
  <c r="Q160" i="34"/>
  <c r="Q161" i="34"/>
  <c r="Q162" i="34"/>
  <c r="Q163" i="34"/>
  <c r="Q164" i="34"/>
  <c r="Q165" i="34"/>
  <c r="Q166" i="34"/>
  <c r="Q167" i="34"/>
  <c r="Q168" i="34"/>
  <c r="Q169" i="34"/>
  <c r="Q170" i="34"/>
  <c r="Q171" i="34"/>
  <c r="Q172" i="34"/>
  <c r="Q173" i="34"/>
  <c r="Q174" i="34"/>
  <c r="Q175" i="34"/>
  <c r="Q176" i="34"/>
  <c r="Q177" i="34"/>
  <c r="Q178" i="34"/>
  <c r="Q179" i="34"/>
  <c r="Q180" i="34"/>
  <c r="Q181" i="34"/>
  <c r="Q182" i="34"/>
  <c r="Q183" i="34"/>
  <c r="Q184" i="34"/>
  <c r="Q185" i="34"/>
  <c r="Q186" i="34"/>
  <c r="Q187" i="34"/>
  <c r="Q188" i="34"/>
  <c r="Q189" i="34"/>
  <c r="Q190" i="34"/>
  <c r="Q191" i="34"/>
  <c r="Q192" i="34"/>
  <c r="Q193" i="34"/>
  <c r="Q194" i="34"/>
  <c r="Q195" i="34"/>
  <c r="Q196" i="34"/>
  <c r="Q197" i="34"/>
  <c r="Q198" i="34"/>
  <c r="Q199" i="34"/>
  <c r="Q200" i="34"/>
  <c r="Q201" i="34"/>
  <c r="Q202" i="34"/>
  <c r="Q203" i="34"/>
  <c r="Q204" i="34"/>
  <c r="Q205" i="34"/>
  <c r="Q206" i="34"/>
  <c r="Q207" i="34"/>
  <c r="Q208" i="34"/>
  <c r="Q209" i="34"/>
  <c r="Q210" i="34"/>
  <c r="Q211" i="34"/>
  <c r="Q212" i="34"/>
  <c r="Q213" i="34"/>
  <c r="Q214" i="34"/>
  <c r="Q215" i="34"/>
  <c r="Q216" i="34"/>
  <c r="Q217" i="34"/>
  <c r="Q218" i="34"/>
  <c r="Q219" i="34"/>
  <c r="Q220" i="34"/>
  <c r="Q221" i="34"/>
  <c r="Q222" i="34"/>
  <c r="Q223" i="34"/>
  <c r="Q224" i="34"/>
  <c r="Q225" i="34"/>
  <c r="Q226" i="34"/>
  <c r="Q227" i="34"/>
  <c r="Q228" i="34"/>
  <c r="Q229" i="34"/>
  <c r="Q230" i="34"/>
  <c r="Q231" i="34"/>
  <c r="Q232" i="34"/>
  <c r="Q233" i="34"/>
  <c r="Q234" i="34"/>
  <c r="Q235" i="34"/>
  <c r="Q236" i="34"/>
  <c r="Q237" i="34"/>
  <c r="Q238" i="34"/>
  <c r="Q239" i="34"/>
  <c r="Q240" i="34"/>
  <c r="Q241" i="34"/>
  <c r="Q242" i="34"/>
  <c r="Q243" i="34"/>
  <c r="Q244" i="34"/>
  <c r="Q245" i="34"/>
  <c r="Q246" i="34"/>
  <c r="Q247" i="34"/>
  <c r="Q248" i="34"/>
  <c r="Q249" i="34"/>
  <c r="Q250" i="34"/>
  <c r="Q251" i="34"/>
  <c r="Q252" i="34"/>
  <c r="Q253" i="34"/>
  <c r="Q254" i="34"/>
  <c r="Q255" i="34"/>
  <c r="Q256" i="34"/>
  <c r="Q257" i="34"/>
  <c r="Q258" i="34"/>
  <c r="Q259" i="34"/>
  <c r="Q260" i="34"/>
  <c r="Q261" i="34"/>
  <c r="Q262" i="34"/>
  <c r="Q263" i="34"/>
  <c r="Q264" i="34"/>
  <c r="Q265" i="34"/>
  <c r="Q266" i="34"/>
  <c r="Q267" i="34"/>
  <c r="Q268" i="34"/>
  <c r="Q269" i="34"/>
  <c r="Q270" i="34"/>
  <c r="Q271" i="34"/>
  <c r="Q272" i="34"/>
  <c r="Q273" i="34"/>
  <c r="Q274" i="34"/>
  <c r="Q275" i="34"/>
  <c r="Q276" i="34"/>
  <c r="Q277" i="34"/>
  <c r="Q278" i="34"/>
  <c r="Q279" i="34"/>
  <c r="Q280" i="34"/>
  <c r="Q281" i="34"/>
  <c r="Q282" i="34"/>
  <c r="Q283" i="34"/>
  <c r="Q284" i="34"/>
  <c r="Q285" i="34"/>
  <c r="Q286" i="34"/>
  <c r="Q287" i="34"/>
  <c r="Q288" i="34"/>
  <c r="Q289" i="34"/>
  <c r="Q290" i="34"/>
  <c r="Q291" i="34"/>
  <c r="Q292" i="34"/>
  <c r="Q293" i="34"/>
  <c r="Q294" i="34"/>
  <c r="Q295" i="34"/>
  <c r="Q296" i="34"/>
  <c r="Q297" i="34"/>
  <c r="Q298" i="34"/>
  <c r="Q299" i="34"/>
  <c r="Q300" i="34"/>
  <c r="Q301" i="34"/>
  <c r="Q302" i="34"/>
  <c r="Q303" i="34"/>
  <c r="Q304" i="34"/>
  <c r="Q305" i="34"/>
  <c r="Q306" i="34"/>
  <c r="Q307" i="34"/>
  <c r="Q308" i="34"/>
  <c r="Q309" i="34"/>
  <c r="Q310" i="34"/>
  <c r="Q311" i="34"/>
  <c r="Q312" i="34"/>
  <c r="Q313" i="34"/>
  <c r="Q314" i="34"/>
  <c r="Q315" i="34"/>
  <c r="Q316" i="34"/>
  <c r="Q317" i="34"/>
  <c r="Q318" i="34"/>
  <c r="Q319" i="34"/>
  <c r="Q320" i="34"/>
  <c r="Q321" i="34"/>
  <c r="Q322" i="34"/>
  <c r="Q323" i="34"/>
  <c r="Q324" i="34"/>
  <c r="Q325" i="34"/>
  <c r="Q326" i="34"/>
  <c r="Q327" i="34"/>
  <c r="Q328" i="34"/>
  <c r="Q329" i="34"/>
  <c r="Q330" i="34"/>
  <c r="Q331" i="34"/>
  <c r="Q332" i="34"/>
  <c r="Q333" i="34"/>
  <c r="Q334" i="34"/>
  <c r="Q335" i="34"/>
  <c r="Q336" i="34"/>
  <c r="Q337" i="34"/>
  <c r="Q338" i="34"/>
  <c r="Q339" i="34"/>
  <c r="Q340" i="34"/>
  <c r="Q341" i="34"/>
  <c r="Q342" i="34"/>
  <c r="Q343" i="34"/>
  <c r="Q344" i="34"/>
  <c r="Q345" i="34"/>
  <c r="Q346" i="34"/>
  <c r="Q347" i="34"/>
  <c r="Q348" i="34"/>
  <c r="Q349" i="34"/>
  <c r="Q350" i="34"/>
  <c r="Q351" i="34"/>
  <c r="Q352" i="34"/>
  <c r="Q353" i="34"/>
  <c r="Q354" i="34"/>
  <c r="Q355" i="34"/>
  <c r="Q356" i="34"/>
  <c r="Q357" i="34"/>
  <c r="Q358" i="34"/>
  <c r="Q359" i="34"/>
  <c r="Q360" i="34"/>
  <c r="Q361" i="34"/>
  <c r="Q362" i="34"/>
  <c r="Q363" i="34"/>
  <c r="Q364" i="34"/>
  <c r="Q365" i="34"/>
  <c r="Q366" i="34"/>
  <c r="Q367" i="34"/>
  <c r="Q368" i="34"/>
  <c r="Q369" i="34"/>
  <c r="Q370" i="34"/>
  <c r="Q371" i="34"/>
  <c r="Q372" i="34"/>
  <c r="Q373" i="34"/>
  <c r="Q374" i="34"/>
  <c r="Q375" i="34"/>
  <c r="Q376" i="34"/>
  <c r="Q377" i="34"/>
  <c r="Q378" i="34"/>
  <c r="Q379" i="34"/>
  <c r="Q380" i="34"/>
  <c r="Q381" i="34"/>
  <c r="Q382" i="34"/>
  <c r="Q383" i="34"/>
  <c r="Q384" i="34"/>
  <c r="Q385" i="34"/>
  <c r="Q386" i="34"/>
  <c r="Q387" i="34"/>
  <c r="Q388" i="34"/>
  <c r="Q389" i="34"/>
  <c r="Q390" i="34"/>
  <c r="Q391" i="34"/>
  <c r="Q392" i="34"/>
  <c r="Q393" i="34"/>
  <c r="Q394" i="34"/>
  <c r="Q395" i="34"/>
  <c r="Q396" i="34"/>
  <c r="Q397" i="34"/>
  <c r="Q398" i="34"/>
  <c r="Q399" i="34"/>
  <c r="Q400" i="34"/>
  <c r="Q401" i="34"/>
  <c r="Q402" i="34"/>
  <c r="Q403" i="34"/>
  <c r="Q404" i="34"/>
  <c r="Q405" i="34"/>
  <c r="Q406" i="34"/>
  <c r="Q407" i="34"/>
  <c r="Q408" i="34"/>
  <c r="Q409" i="34"/>
  <c r="Q410" i="34"/>
  <c r="Q411" i="34"/>
  <c r="Q412" i="34"/>
  <c r="Q413" i="34"/>
  <c r="Q414" i="34"/>
  <c r="Q415" i="34"/>
  <c r="Q416" i="34"/>
  <c r="Q417" i="34"/>
  <c r="Q418" i="34"/>
  <c r="Q419" i="34"/>
  <c r="Q420" i="34"/>
  <c r="Q421" i="34"/>
  <c r="Q422" i="34"/>
  <c r="Q423" i="34"/>
  <c r="Q424" i="34"/>
  <c r="Q425" i="34"/>
  <c r="Q426" i="34"/>
  <c r="Q427" i="34"/>
  <c r="Q428" i="34"/>
  <c r="Q429" i="34"/>
  <c r="Q430" i="34"/>
  <c r="Q431" i="34"/>
  <c r="Q432" i="34"/>
  <c r="Q433" i="34"/>
  <c r="Q434" i="34"/>
  <c r="Q435" i="34"/>
  <c r="Q436" i="34"/>
  <c r="Q437" i="34"/>
  <c r="Q438" i="34"/>
  <c r="Q439" i="34"/>
  <c r="Q440" i="34"/>
  <c r="Q441" i="34"/>
  <c r="Q442" i="34"/>
  <c r="Q443" i="34"/>
  <c r="Q444" i="34"/>
  <c r="Q445" i="34"/>
  <c r="Q446" i="34"/>
  <c r="Q447" i="34"/>
  <c r="Q448" i="34"/>
  <c r="Q449" i="34"/>
  <c r="Q450" i="34"/>
  <c r="Q451" i="34"/>
  <c r="Q452" i="34"/>
  <c r="Q453" i="34"/>
  <c r="Q454" i="34"/>
  <c r="Q455" i="34"/>
  <c r="Q456" i="34"/>
  <c r="Q457" i="34"/>
  <c r="Q458" i="34"/>
  <c r="Q459" i="34"/>
  <c r="Q460" i="34"/>
  <c r="Q461" i="34"/>
  <c r="Q462" i="34"/>
  <c r="Q463" i="34"/>
  <c r="Q464" i="34"/>
  <c r="Q465" i="34"/>
  <c r="Q466" i="34"/>
  <c r="Q467" i="34"/>
  <c r="Q468" i="34"/>
  <c r="Q469" i="34"/>
  <c r="Q470" i="34"/>
  <c r="Q471" i="34"/>
  <c r="Q472" i="34"/>
  <c r="Q473" i="34"/>
  <c r="Q474" i="34"/>
  <c r="Q475" i="34"/>
  <c r="Q476" i="34"/>
  <c r="Q477" i="34"/>
  <c r="Q478" i="34"/>
  <c r="Q479" i="34"/>
  <c r="Q480" i="34"/>
  <c r="Q481" i="34"/>
  <c r="Q482" i="34"/>
  <c r="Q483" i="34"/>
  <c r="Q484" i="34"/>
  <c r="Q485" i="34"/>
  <c r="Q486" i="34"/>
  <c r="Q487" i="34"/>
  <c r="Q488" i="34"/>
  <c r="Q489" i="34"/>
  <c r="Q490" i="34"/>
  <c r="Q491" i="34"/>
  <c r="Q492" i="34"/>
  <c r="Q493" i="34"/>
  <c r="Q494" i="34"/>
  <c r="Q495" i="34"/>
  <c r="Q496" i="34"/>
  <c r="Q497" i="34"/>
  <c r="Q498" i="34"/>
  <c r="Q499" i="34"/>
  <c r="Q500" i="34"/>
  <c r="Q501" i="34"/>
  <c r="Q502" i="34"/>
  <c r="Q503" i="34"/>
  <c r="Q504" i="34"/>
  <c r="Q505" i="34"/>
  <c r="Q506" i="34"/>
  <c r="Q507" i="34"/>
  <c r="Q508" i="34"/>
  <c r="Q509" i="34"/>
  <c r="Q510" i="34"/>
  <c r="Q511" i="34"/>
  <c r="Q512" i="34"/>
  <c r="Q513" i="34"/>
  <c r="Q514" i="34"/>
  <c r="Q515" i="34"/>
  <c r="Q516" i="34"/>
  <c r="Q517" i="34"/>
  <c r="Q518" i="34"/>
  <c r="Q519" i="34"/>
  <c r="Q520" i="34"/>
  <c r="Q521" i="34"/>
  <c r="Q522" i="34"/>
  <c r="Q523" i="34"/>
  <c r="Q524" i="34"/>
  <c r="Q525" i="34"/>
  <c r="Q526" i="34"/>
  <c r="Q527" i="34"/>
  <c r="Q528" i="34"/>
  <c r="Q529" i="34"/>
  <c r="Q530" i="34"/>
  <c r="Q531" i="34"/>
  <c r="Q532" i="34"/>
  <c r="Q533" i="34"/>
  <c r="Q534" i="34"/>
  <c r="Q535" i="34"/>
  <c r="Q536" i="34"/>
  <c r="Q537" i="34"/>
  <c r="Q538" i="34"/>
  <c r="Q539" i="34"/>
  <c r="Q540" i="34"/>
  <c r="Q541" i="34"/>
  <c r="Q542" i="34"/>
  <c r="Q543" i="34"/>
  <c r="Q544" i="34"/>
  <c r="Q545" i="34"/>
  <c r="Q546" i="34"/>
  <c r="Q547" i="34"/>
  <c r="Q548" i="34"/>
  <c r="Q549" i="34"/>
  <c r="Q550" i="34"/>
  <c r="Q551" i="34"/>
  <c r="Q552" i="34"/>
  <c r="Q553" i="34"/>
  <c r="Q554" i="34"/>
  <c r="Q555" i="34"/>
  <c r="Q556" i="34"/>
  <c r="Q557" i="34"/>
  <c r="Q558" i="34"/>
  <c r="Q559" i="34"/>
  <c r="Q560" i="34"/>
  <c r="Q561" i="34"/>
  <c r="Q562" i="34"/>
  <c r="Q563" i="34"/>
  <c r="Q564" i="34"/>
  <c r="Q565" i="34"/>
  <c r="Q566" i="34"/>
  <c r="Q567" i="34"/>
  <c r="Q568" i="34"/>
  <c r="Q569" i="34"/>
  <c r="Q570" i="34"/>
  <c r="Q571" i="34"/>
  <c r="Q572" i="34"/>
  <c r="Q573" i="34"/>
  <c r="Q574" i="34"/>
  <c r="Q575" i="34"/>
  <c r="Q576" i="34"/>
  <c r="Q577" i="34"/>
  <c r="Q578" i="34"/>
  <c r="Q579" i="34"/>
  <c r="Q580" i="34"/>
  <c r="Q581" i="34"/>
  <c r="Q582" i="34"/>
  <c r="Q583" i="34"/>
  <c r="Q584" i="34"/>
  <c r="Q585" i="34"/>
  <c r="Q586" i="34"/>
  <c r="Q587" i="34"/>
  <c r="Q588" i="34"/>
  <c r="Q589" i="34"/>
  <c r="Q590" i="34"/>
  <c r="Q591" i="34"/>
  <c r="Q592" i="34"/>
  <c r="Q593" i="34"/>
  <c r="Q594" i="34"/>
  <c r="Q595" i="34"/>
  <c r="Q596" i="34"/>
  <c r="Q597" i="34"/>
  <c r="Q598" i="34"/>
  <c r="Q599" i="34"/>
  <c r="Q600" i="34"/>
  <c r="Q601" i="34"/>
  <c r="Q602" i="34"/>
  <c r="Q603" i="34"/>
  <c r="Q604" i="34"/>
  <c r="Q605" i="34"/>
  <c r="Q606" i="34"/>
  <c r="Q607" i="34"/>
  <c r="Q608" i="34"/>
  <c r="Q609" i="34"/>
  <c r="Q610" i="34"/>
  <c r="Q611" i="34"/>
  <c r="Q612" i="34"/>
  <c r="Q613" i="34"/>
  <c r="Q614" i="34"/>
  <c r="Q615" i="34"/>
  <c r="Q616" i="34"/>
  <c r="Q617" i="34"/>
  <c r="Q618" i="34"/>
  <c r="Q619" i="34"/>
  <c r="Q620" i="34"/>
  <c r="Q621" i="34"/>
  <c r="Q622" i="34"/>
  <c r="Q623" i="34"/>
  <c r="Q624" i="34"/>
  <c r="Q625" i="34"/>
  <c r="Q626" i="34"/>
  <c r="Q627" i="34"/>
  <c r="Q628" i="34"/>
  <c r="Q629" i="34"/>
  <c r="Q630" i="34"/>
  <c r="Q631" i="34"/>
  <c r="Q632" i="34"/>
  <c r="Q633" i="34"/>
  <c r="Q634" i="34"/>
  <c r="Q635" i="34"/>
  <c r="Q636" i="34"/>
  <c r="Q637" i="34"/>
  <c r="Q638" i="34"/>
  <c r="Q639" i="34"/>
  <c r="Q640" i="34"/>
  <c r="Q641" i="34"/>
  <c r="Q642" i="34"/>
  <c r="Q643" i="34"/>
  <c r="Q644" i="34"/>
  <c r="Q645" i="34"/>
  <c r="Q646" i="34"/>
  <c r="Q647" i="34"/>
  <c r="Q648" i="34"/>
  <c r="Q649" i="34"/>
  <c r="Q650" i="34"/>
  <c r="Q651" i="34"/>
  <c r="Q652" i="34"/>
  <c r="Q653" i="34"/>
  <c r="Q654" i="34"/>
  <c r="Q655" i="34"/>
  <c r="Q656" i="34"/>
  <c r="Q657" i="34"/>
  <c r="Q658" i="34"/>
  <c r="Q659" i="34"/>
  <c r="Q660" i="34"/>
  <c r="Q661" i="34"/>
  <c r="Q662" i="34"/>
  <c r="Q663" i="34"/>
  <c r="Q664" i="34"/>
  <c r="Q665" i="34"/>
  <c r="Q666" i="34"/>
  <c r="Q667" i="34"/>
  <c r="Q668" i="34"/>
  <c r="Q669" i="34"/>
  <c r="Q670" i="34"/>
  <c r="Q671" i="34"/>
  <c r="Q672" i="34"/>
  <c r="Q673" i="34"/>
  <c r="Q674" i="34"/>
  <c r="Q675" i="34"/>
  <c r="Q676" i="34"/>
  <c r="Q677" i="34"/>
  <c r="Q678" i="34"/>
  <c r="Q679" i="34"/>
  <c r="Q680" i="34"/>
  <c r="Q681" i="34"/>
  <c r="Q682" i="34"/>
  <c r="Q683" i="34"/>
  <c r="Q684" i="34"/>
  <c r="Q685" i="34"/>
  <c r="Q686" i="34"/>
  <c r="Q687" i="34"/>
  <c r="Q688" i="34"/>
  <c r="Q689" i="34"/>
  <c r="Q690" i="34"/>
  <c r="Q691" i="34"/>
  <c r="Q692" i="34"/>
  <c r="Q693" i="34"/>
  <c r="Q694" i="34"/>
  <c r="Q695" i="34"/>
  <c r="Q696" i="34"/>
  <c r="Q697" i="34"/>
  <c r="Q698" i="34"/>
  <c r="Q699" i="34"/>
  <c r="Q700" i="34"/>
  <c r="Q701" i="34"/>
  <c r="Q702" i="34"/>
  <c r="Q703" i="34"/>
  <c r="Q704" i="34"/>
  <c r="Q705" i="34"/>
  <c r="Q706" i="34"/>
  <c r="Q707" i="34"/>
  <c r="Q708" i="34"/>
  <c r="Q709" i="34"/>
  <c r="Q710" i="34"/>
  <c r="Q711" i="34"/>
  <c r="Q712" i="34"/>
  <c r="Q713" i="34"/>
  <c r="Q714" i="34"/>
  <c r="Q715" i="34"/>
  <c r="Q716" i="34"/>
  <c r="Q717" i="34"/>
  <c r="Q718" i="34"/>
  <c r="Q719" i="34"/>
  <c r="Q720" i="34"/>
  <c r="Q721" i="34"/>
  <c r="Q722" i="34"/>
  <c r="Q723" i="34"/>
  <c r="Q724" i="34"/>
  <c r="Q725" i="34"/>
  <c r="Q726" i="34"/>
  <c r="Q727" i="34"/>
  <c r="Q728" i="34"/>
  <c r="Q729" i="34"/>
  <c r="Q730" i="34"/>
  <c r="Q731" i="34"/>
  <c r="Q732" i="34"/>
  <c r="Q733" i="34"/>
  <c r="Q734" i="34"/>
  <c r="Q735" i="34"/>
  <c r="Q736" i="34"/>
  <c r="Q737" i="34"/>
  <c r="Q738" i="34"/>
  <c r="Q739" i="34"/>
  <c r="Q740" i="34"/>
  <c r="Q741" i="34"/>
  <c r="Q742" i="34"/>
  <c r="Q743" i="34"/>
  <c r="Q744" i="34"/>
  <c r="Q745" i="34"/>
  <c r="Q746" i="34"/>
  <c r="Q747" i="34"/>
  <c r="Q748" i="34"/>
  <c r="Q749" i="34"/>
  <c r="Q750" i="34"/>
  <c r="Q751" i="34"/>
  <c r="Q752" i="34"/>
  <c r="Q753" i="34"/>
  <c r="Q754" i="34"/>
  <c r="Q755" i="34"/>
  <c r="Q756" i="34"/>
  <c r="Q757" i="34"/>
  <c r="Q758" i="34"/>
  <c r="Q759" i="34"/>
  <c r="Q760" i="34"/>
  <c r="Q761" i="34"/>
  <c r="Q762" i="34"/>
  <c r="Q763" i="34"/>
  <c r="Q764" i="34"/>
  <c r="Q765" i="34"/>
  <c r="Q766" i="34"/>
  <c r="Q767" i="34"/>
  <c r="Q768" i="34"/>
  <c r="Q769" i="34"/>
  <c r="Q770" i="34"/>
  <c r="Q771" i="34"/>
  <c r="Q772" i="34"/>
  <c r="Q773" i="34"/>
  <c r="Q774" i="34"/>
  <c r="Q775" i="34"/>
  <c r="Q776" i="34"/>
  <c r="Q777" i="34"/>
  <c r="Q778" i="34"/>
  <c r="Q779" i="34"/>
  <c r="Q780" i="34"/>
  <c r="Q781" i="34"/>
  <c r="Q782" i="34"/>
  <c r="Q783" i="34"/>
  <c r="Q784" i="34"/>
  <c r="Q785" i="34"/>
  <c r="Q786" i="34"/>
  <c r="Q787" i="34"/>
  <c r="Q788" i="34"/>
  <c r="Q789" i="34"/>
  <c r="Q790" i="34"/>
  <c r="Q791" i="34"/>
  <c r="Q792" i="34"/>
  <c r="Q793" i="34"/>
  <c r="Q794" i="34"/>
  <c r="Q795" i="34"/>
  <c r="Q796" i="34"/>
  <c r="Q797" i="34"/>
  <c r="Q798" i="34"/>
  <c r="Q799" i="34"/>
  <c r="Q800" i="34"/>
  <c r="Q801" i="34"/>
  <c r="Q802" i="34"/>
  <c r="Q803" i="34"/>
  <c r="Q804" i="34"/>
  <c r="Q805" i="34"/>
  <c r="A2" i="35"/>
  <c r="A3" i="35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2" i="35"/>
  <c r="A93" i="35"/>
  <c r="A94" i="35"/>
  <c r="A95" i="35"/>
  <c r="A96" i="35"/>
  <c r="A97" i="35"/>
  <c r="A98" i="35"/>
  <c r="A99" i="35"/>
  <c r="A100" i="35"/>
  <c r="A101" i="35"/>
  <c r="A102" i="35"/>
  <c r="A103" i="35"/>
  <c r="A104" i="35"/>
  <c r="A105" i="35"/>
  <c r="A106" i="35"/>
  <c r="A107" i="35"/>
  <c r="A108" i="35"/>
  <c r="A109" i="35"/>
  <c r="A110" i="35"/>
  <c r="A111" i="35"/>
  <c r="A112" i="35"/>
  <c r="A113" i="35"/>
  <c r="A114" i="35"/>
  <c r="A115" i="35"/>
  <c r="A116" i="35"/>
  <c r="A117" i="35"/>
  <c r="A118" i="35"/>
  <c r="A119" i="35"/>
  <c r="A120" i="35"/>
  <c r="A121" i="35"/>
  <c r="A122" i="35"/>
  <c r="A123" i="35"/>
  <c r="A124" i="35"/>
  <c r="A125" i="35"/>
  <c r="A126" i="35"/>
  <c r="A127" i="35"/>
  <c r="A128" i="35"/>
  <c r="A129" i="35"/>
  <c r="A130" i="35"/>
  <c r="A131" i="35"/>
  <c r="A132" i="35"/>
  <c r="A133" i="35"/>
  <c r="A134" i="35"/>
  <c r="A135" i="35"/>
  <c r="A136" i="35"/>
  <c r="A137" i="35"/>
  <c r="A138" i="35"/>
  <c r="A139" i="35"/>
  <c r="A140" i="35"/>
  <c r="A141" i="35"/>
  <c r="A142" i="35"/>
  <c r="A143" i="35"/>
  <c r="A144" i="35"/>
  <c r="A145" i="35"/>
  <c r="A146" i="35"/>
  <c r="A147" i="35"/>
  <c r="A148" i="35"/>
  <c r="A149" i="35"/>
  <c r="A150" i="35"/>
  <c r="A151" i="35"/>
  <c r="A152" i="35"/>
  <c r="A153" i="35"/>
  <c r="A154" i="35"/>
  <c r="A155" i="35"/>
  <c r="A156" i="35"/>
  <c r="A157" i="35"/>
  <c r="A158" i="35"/>
  <c r="A159" i="35"/>
  <c r="A160" i="35"/>
  <c r="A161" i="35"/>
  <c r="A162" i="35"/>
  <c r="A163" i="35"/>
  <c r="A164" i="35"/>
  <c r="A165" i="35"/>
  <c r="A166" i="35"/>
  <c r="A167" i="35"/>
  <c r="A168" i="35"/>
  <c r="A169" i="35"/>
  <c r="A170" i="35"/>
  <c r="A171" i="35"/>
  <c r="A172" i="35"/>
  <c r="A173" i="35"/>
  <c r="A174" i="35"/>
  <c r="A175" i="35"/>
  <c r="A176" i="35"/>
  <c r="A177" i="35"/>
  <c r="A178" i="35"/>
  <c r="A179" i="35"/>
  <c r="A180" i="35"/>
  <c r="A181" i="35"/>
  <c r="A182" i="35"/>
  <c r="A183" i="35"/>
  <c r="A184" i="35"/>
  <c r="A185" i="35"/>
  <c r="A186" i="35"/>
  <c r="A187" i="35"/>
  <c r="A188" i="35"/>
  <c r="A189" i="35"/>
  <c r="A190" i="35"/>
  <c r="A191" i="35"/>
  <c r="A192" i="35"/>
  <c r="A193" i="35"/>
  <c r="A194" i="35"/>
  <c r="A195" i="35"/>
  <c r="A196" i="35"/>
  <c r="A197" i="35"/>
  <c r="A198" i="35"/>
  <c r="A199" i="35"/>
  <c r="A200" i="35"/>
  <c r="A201" i="35"/>
  <c r="A202" i="35"/>
  <c r="A203" i="35"/>
  <c r="A204" i="35"/>
  <c r="A205" i="35"/>
  <c r="A206" i="35"/>
  <c r="A207" i="35"/>
  <c r="A208" i="35"/>
  <c r="A209" i="35"/>
  <c r="A210" i="35"/>
  <c r="A211" i="35"/>
  <c r="A212" i="35"/>
  <c r="A213" i="35"/>
  <c r="A214" i="35"/>
  <c r="A215" i="35"/>
  <c r="A216" i="35"/>
  <c r="A217" i="35"/>
  <c r="A218" i="35"/>
  <c r="A219" i="35"/>
  <c r="A220" i="35"/>
  <c r="A221" i="35"/>
  <c r="A222" i="35"/>
  <c r="A223" i="35"/>
  <c r="A224" i="35"/>
  <c r="A225" i="35"/>
  <c r="A226" i="35"/>
  <c r="A227" i="35"/>
  <c r="A228" i="35"/>
  <c r="A229" i="35"/>
  <c r="A230" i="35"/>
  <c r="A231" i="35"/>
  <c r="A232" i="35"/>
  <c r="A233" i="35"/>
  <c r="A234" i="35"/>
  <c r="A235" i="35"/>
  <c r="A236" i="35"/>
  <c r="A237" i="35"/>
  <c r="A238" i="35"/>
  <c r="A239" i="35"/>
  <c r="A240" i="35"/>
  <c r="A241" i="35"/>
  <c r="A242" i="35"/>
  <c r="A243" i="35"/>
  <c r="A244" i="35"/>
  <c r="A245" i="35"/>
  <c r="A246" i="35"/>
  <c r="A247" i="35"/>
  <c r="A248" i="35"/>
  <c r="A249" i="35"/>
  <c r="A250" i="35"/>
  <c r="A251" i="35"/>
  <c r="A252" i="35"/>
  <c r="A253" i="35"/>
  <c r="A254" i="35"/>
  <c r="A255" i="35"/>
  <c r="A256" i="35"/>
  <c r="A257" i="35"/>
  <c r="A258" i="35"/>
  <c r="A259" i="35"/>
  <c r="A260" i="35"/>
  <c r="A261" i="35"/>
  <c r="A262" i="35"/>
  <c r="A263" i="35"/>
  <c r="A264" i="35"/>
  <c r="A265" i="35"/>
  <c r="A266" i="35"/>
  <c r="A267" i="35"/>
  <c r="A268" i="35"/>
  <c r="A269" i="35"/>
  <c r="A270" i="35"/>
  <c r="A271" i="35"/>
  <c r="A272" i="35"/>
  <c r="A273" i="35"/>
  <c r="A274" i="35"/>
  <c r="A275" i="35"/>
  <c r="A276" i="35"/>
  <c r="A277" i="35"/>
  <c r="A278" i="35"/>
  <c r="A279" i="35"/>
  <c r="A280" i="35"/>
  <c r="A281" i="35"/>
  <c r="A282" i="35"/>
  <c r="A283" i="35"/>
  <c r="A284" i="35"/>
  <c r="A285" i="35"/>
  <c r="A286" i="35"/>
  <c r="A287" i="35"/>
  <c r="A288" i="35"/>
  <c r="A289" i="35"/>
  <c r="A290" i="35"/>
  <c r="A291" i="35"/>
  <c r="A292" i="35"/>
  <c r="A293" i="35"/>
  <c r="A294" i="35"/>
  <c r="A295" i="35"/>
  <c r="A296" i="35"/>
  <c r="A297" i="35"/>
  <c r="A298" i="35"/>
  <c r="A299" i="35"/>
  <c r="A300" i="35"/>
  <c r="A301" i="35"/>
  <c r="A302" i="35"/>
  <c r="A303" i="35"/>
  <c r="A304" i="35"/>
  <c r="A305" i="35"/>
  <c r="A306" i="35"/>
  <c r="A307" i="35"/>
  <c r="A308" i="35"/>
  <c r="A309" i="35"/>
  <c r="A310" i="35"/>
  <c r="A311" i="35"/>
  <c r="A312" i="35"/>
  <c r="A313" i="35"/>
  <c r="A314" i="35"/>
  <c r="A315" i="35"/>
  <c r="A316" i="35"/>
  <c r="A317" i="35"/>
  <c r="A318" i="35"/>
  <c r="A319" i="35"/>
  <c r="A320" i="35"/>
  <c r="A321" i="35"/>
  <c r="A322" i="35"/>
  <c r="A323" i="35"/>
  <c r="A324" i="35"/>
  <c r="A325" i="35"/>
  <c r="A326" i="35"/>
  <c r="A327" i="35"/>
  <c r="A328" i="35"/>
  <c r="A329" i="35"/>
  <c r="A330" i="35"/>
  <c r="A331" i="35"/>
  <c r="A332" i="35"/>
  <c r="A333" i="35"/>
  <c r="A334" i="35"/>
  <c r="A335" i="35"/>
  <c r="A336" i="35"/>
  <c r="A337" i="35"/>
  <c r="A338" i="35"/>
  <c r="A339" i="35"/>
  <c r="A340" i="35"/>
  <c r="A341" i="35"/>
  <c r="A342" i="35"/>
  <c r="A343" i="35"/>
  <c r="A344" i="35"/>
  <c r="A345" i="35"/>
  <c r="A346" i="35"/>
  <c r="A347" i="35"/>
  <c r="A348" i="35"/>
  <c r="A349" i="35"/>
  <c r="A350" i="35"/>
  <c r="A351" i="35"/>
  <c r="A352" i="35"/>
  <c r="A353" i="35"/>
  <c r="A354" i="35"/>
  <c r="A355" i="35"/>
  <c r="A356" i="35"/>
  <c r="A357" i="35"/>
  <c r="A358" i="35"/>
  <c r="A359" i="35"/>
  <c r="A360" i="35"/>
  <c r="A361" i="35"/>
  <c r="A362" i="35"/>
  <c r="A363" i="35"/>
  <c r="A364" i="35"/>
  <c r="A365" i="35"/>
  <c r="A366" i="35"/>
  <c r="A367" i="35"/>
  <c r="A368" i="35"/>
  <c r="A369" i="35"/>
  <c r="A370" i="35"/>
  <c r="A371" i="35"/>
  <c r="A372" i="35"/>
  <c r="A373" i="35"/>
  <c r="A374" i="35"/>
  <c r="A375" i="35"/>
  <c r="A376" i="35"/>
  <c r="A377" i="35"/>
  <c r="A378" i="35"/>
  <c r="A379" i="35"/>
  <c r="A380" i="35"/>
  <c r="A381" i="35"/>
  <c r="A382" i="35"/>
  <c r="A383" i="35"/>
  <c r="A384" i="35"/>
  <c r="A385" i="35"/>
  <c r="A386" i="35"/>
  <c r="A387" i="35"/>
  <c r="A388" i="35"/>
  <c r="A389" i="35"/>
  <c r="A390" i="35"/>
  <c r="A391" i="35"/>
  <c r="A392" i="35"/>
  <c r="A393" i="35"/>
  <c r="A394" i="35"/>
  <c r="A395" i="35"/>
  <c r="A396" i="35"/>
  <c r="A397" i="35"/>
  <c r="A398" i="35"/>
  <c r="A399" i="35"/>
  <c r="A400" i="35"/>
  <c r="A401" i="35"/>
  <c r="A402" i="35"/>
  <c r="A403" i="35"/>
  <c r="A404" i="35"/>
  <c r="A405" i="35"/>
  <c r="A406" i="35"/>
  <c r="A407" i="35"/>
  <c r="A408" i="35"/>
  <c r="A409" i="35"/>
  <c r="A410" i="35"/>
  <c r="A411" i="35"/>
  <c r="A412" i="35"/>
  <c r="A413" i="35"/>
  <c r="A414" i="35"/>
  <c r="A415" i="35"/>
  <c r="A416" i="35"/>
  <c r="A417" i="35"/>
  <c r="A418" i="35"/>
  <c r="A419" i="35"/>
  <c r="A420" i="35"/>
  <c r="A421" i="35"/>
  <c r="A422" i="35"/>
  <c r="A423" i="35"/>
  <c r="A424" i="35"/>
  <c r="A425" i="35"/>
  <c r="A426" i="35"/>
  <c r="A427" i="35"/>
  <c r="A428" i="35"/>
  <c r="A429" i="35"/>
  <c r="A430" i="35"/>
  <c r="A431" i="35"/>
  <c r="A432" i="35"/>
  <c r="A433" i="35"/>
  <c r="A434" i="35"/>
  <c r="A435" i="35"/>
  <c r="A436" i="35"/>
  <c r="A437" i="35"/>
  <c r="A438" i="35"/>
  <c r="A439" i="35"/>
  <c r="A440" i="35"/>
  <c r="A441" i="35"/>
  <c r="A442" i="35"/>
  <c r="A443" i="35"/>
  <c r="A444" i="35"/>
  <c r="A445" i="35"/>
  <c r="A446" i="35"/>
  <c r="A447" i="35"/>
  <c r="A448" i="35"/>
  <c r="A449" i="35"/>
  <c r="A450" i="35"/>
  <c r="A451" i="35"/>
  <c r="A452" i="35"/>
  <c r="A453" i="35"/>
  <c r="A454" i="35"/>
  <c r="A455" i="35"/>
  <c r="A456" i="35"/>
  <c r="A457" i="35"/>
  <c r="A458" i="35"/>
  <c r="A459" i="35"/>
  <c r="A460" i="35"/>
  <c r="A461" i="35"/>
  <c r="A462" i="35"/>
  <c r="A463" i="35"/>
  <c r="A464" i="35"/>
  <c r="A465" i="35"/>
  <c r="A466" i="35"/>
  <c r="A467" i="35"/>
  <c r="A468" i="35"/>
  <c r="A469" i="35"/>
  <c r="A470" i="35"/>
  <c r="A471" i="35"/>
  <c r="A472" i="35"/>
  <c r="A473" i="35"/>
  <c r="A474" i="35"/>
  <c r="A475" i="35"/>
  <c r="A476" i="35"/>
  <c r="A477" i="35"/>
  <c r="A478" i="35"/>
  <c r="A479" i="35"/>
  <c r="A480" i="35"/>
  <c r="A481" i="35"/>
  <c r="A482" i="35"/>
  <c r="A483" i="35"/>
  <c r="A484" i="35"/>
  <c r="A485" i="35"/>
  <c r="A486" i="35"/>
  <c r="A487" i="35"/>
  <c r="A488" i="35"/>
  <c r="A489" i="35"/>
  <c r="A490" i="35"/>
  <c r="A491" i="35"/>
  <c r="A492" i="35"/>
  <c r="A493" i="35"/>
  <c r="A494" i="35"/>
  <c r="A495" i="35"/>
  <c r="A496" i="35"/>
  <c r="A497" i="35"/>
  <c r="A498" i="35"/>
  <c r="A499" i="35"/>
  <c r="A500" i="35"/>
  <c r="A501" i="35"/>
  <c r="A502" i="35"/>
  <c r="A503" i="35"/>
  <c r="A504" i="35"/>
  <c r="A505" i="35"/>
  <c r="A506" i="35"/>
  <c r="A507" i="35"/>
  <c r="A508" i="35"/>
  <c r="A509" i="35"/>
  <c r="A510" i="35"/>
  <c r="A511" i="35"/>
  <c r="A512" i="35"/>
  <c r="A513" i="35"/>
  <c r="A514" i="35"/>
  <c r="A515" i="35"/>
  <c r="A516" i="35"/>
  <c r="A517" i="35"/>
  <c r="A518" i="35"/>
  <c r="A519" i="35"/>
  <c r="A520" i="35"/>
  <c r="A521" i="35"/>
  <c r="A522" i="35"/>
  <c r="A523" i="35"/>
  <c r="A524" i="35"/>
  <c r="A525" i="35"/>
  <c r="A526" i="35"/>
  <c r="A527" i="35"/>
  <c r="A528" i="35"/>
  <c r="A529" i="35"/>
  <c r="A530" i="35"/>
  <c r="A531" i="35"/>
  <c r="A532" i="35"/>
  <c r="A533" i="35"/>
  <c r="A534" i="35"/>
  <c r="A535" i="35"/>
  <c r="A536" i="35"/>
  <c r="A537" i="35"/>
  <c r="A538" i="35"/>
  <c r="A539" i="35"/>
  <c r="A540" i="35"/>
  <c r="A541" i="35"/>
  <c r="A542" i="35"/>
  <c r="A543" i="35"/>
  <c r="A544" i="35"/>
  <c r="A545" i="35"/>
  <c r="A546" i="35"/>
  <c r="A547" i="35"/>
  <c r="A548" i="35"/>
  <c r="A549" i="35"/>
  <c r="A550" i="35"/>
  <c r="A551" i="35"/>
  <c r="A552" i="35"/>
  <c r="A553" i="35"/>
  <c r="A554" i="35"/>
  <c r="A555" i="35"/>
  <c r="A556" i="35"/>
  <c r="A557" i="35"/>
  <c r="A558" i="35"/>
  <c r="A559" i="35"/>
  <c r="A560" i="35"/>
  <c r="A561" i="35"/>
  <c r="A562" i="35"/>
  <c r="A563" i="35"/>
  <c r="A564" i="35"/>
  <c r="A565" i="35"/>
  <c r="A566" i="35"/>
  <c r="A567" i="35"/>
  <c r="A568" i="35"/>
  <c r="A569" i="35"/>
  <c r="A570" i="35"/>
  <c r="A571" i="35"/>
  <c r="A572" i="35"/>
  <c r="A573" i="35"/>
  <c r="A574" i="35"/>
  <c r="A575" i="35"/>
  <c r="A576" i="35"/>
  <c r="A577" i="35"/>
  <c r="A578" i="35"/>
  <c r="A579" i="35"/>
  <c r="A580" i="35"/>
  <c r="A581" i="35"/>
  <c r="A582" i="35"/>
  <c r="A583" i="35"/>
  <c r="A584" i="35"/>
  <c r="A585" i="35"/>
  <c r="A586" i="35"/>
  <c r="A587" i="35"/>
  <c r="A588" i="35"/>
  <c r="A589" i="35"/>
  <c r="A590" i="35"/>
  <c r="A591" i="35"/>
  <c r="A592" i="35"/>
  <c r="A593" i="35"/>
  <c r="A594" i="35"/>
  <c r="A595" i="35"/>
  <c r="A596" i="35"/>
  <c r="A597" i="35"/>
  <c r="A598" i="35"/>
  <c r="A599" i="35"/>
  <c r="A600" i="35"/>
  <c r="A601" i="35"/>
  <c r="A602" i="35"/>
  <c r="A603" i="35"/>
  <c r="A604" i="35"/>
  <c r="A605" i="35"/>
  <c r="A606" i="35"/>
  <c r="A607" i="35"/>
  <c r="A608" i="35"/>
  <c r="A609" i="35"/>
  <c r="A610" i="35"/>
  <c r="A611" i="35"/>
  <c r="A612" i="35"/>
  <c r="A613" i="35"/>
  <c r="A614" i="35"/>
  <c r="A615" i="35"/>
  <c r="A616" i="35"/>
  <c r="A617" i="35"/>
  <c r="A618" i="35"/>
  <c r="A619" i="35"/>
  <c r="A620" i="35"/>
  <c r="A621" i="35"/>
  <c r="A622" i="35"/>
  <c r="A623" i="35"/>
  <c r="A624" i="35"/>
  <c r="A625" i="35"/>
  <c r="A626" i="35"/>
  <c r="A627" i="35"/>
  <c r="A628" i="35"/>
  <c r="A629" i="35"/>
  <c r="A630" i="35"/>
  <c r="A631" i="35"/>
  <c r="A632" i="35"/>
  <c r="A633" i="35"/>
  <c r="A634" i="35"/>
  <c r="A635" i="35"/>
  <c r="A636" i="35"/>
  <c r="A637" i="35"/>
  <c r="A638" i="35"/>
  <c r="A639" i="35"/>
  <c r="A640" i="35"/>
  <c r="A641" i="35"/>
  <c r="A642" i="35"/>
  <c r="A643" i="35"/>
  <c r="A644" i="35"/>
  <c r="A645" i="35"/>
  <c r="A646" i="35"/>
  <c r="A647" i="35"/>
  <c r="A648" i="35"/>
  <c r="A649" i="35"/>
  <c r="A650" i="35"/>
  <c r="A651" i="35"/>
  <c r="A652" i="35"/>
  <c r="A653" i="35"/>
  <c r="A654" i="35"/>
  <c r="A655" i="35"/>
  <c r="A656" i="35"/>
  <c r="A657" i="35"/>
  <c r="A658" i="35"/>
  <c r="A659" i="35"/>
  <c r="A660" i="35"/>
  <c r="A661" i="35"/>
  <c r="A662" i="35"/>
  <c r="A663" i="35"/>
  <c r="A664" i="35"/>
  <c r="A665" i="35"/>
  <c r="A666" i="35"/>
  <c r="A667" i="35"/>
  <c r="A668" i="35"/>
  <c r="A669" i="35"/>
  <c r="A670" i="35"/>
  <c r="A671" i="35"/>
  <c r="A672" i="35"/>
  <c r="A673" i="35"/>
  <c r="A674" i="35"/>
  <c r="A675" i="35"/>
  <c r="A676" i="35"/>
  <c r="A677" i="35"/>
  <c r="A678" i="35"/>
  <c r="A679" i="35"/>
  <c r="A680" i="35"/>
  <c r="A681" i="35"/>
  <c r="A682" i="35"/>
  <c r="A683" i="35"/>
  <c r="A684" i="35"/>
  <c r="A685" i="35"/>
  <c r="A686" i="35"/>
  <c r="A687" i="35"/>
  <c r="A688" i="35"/>
  <c r="A689" i="35"/>
  <c r="A690" i="35"/>
  <c r="A691" i="35"/>
  <c r="A692" i="35"/>
  <c r="A693" i="35"/>
  <c r="A694" i="35"/>
  <c r="A695" i="35"/>
  <c r="A696" i="35"/>
  <c r="A697" i="35"/>
  <c r="A698" i="35"/>
  <c r="A699" i="35"/>
  <c r="A700" i="35"/>
  <c r="A701" i="35"/>
  <c r="A702" i="35"/>
  <c r="A703" i="35"/>
  <c r="A704" i="35"/>
  <c r="A705" i="35"/>
  <c r="A706" i="35"/>
  <c r="A707" i="35"/>
  <c r="A708" i="35"/>
  <c r="A709" i="35"/>
  <c r="A710" i="35"/>
  <c r="A711" i="35"/>
  <c r="A712" i="35"/>
  <c r="A713" i="35"/>
  <c r="A714" i="35"/>
  <c r="A715" i="35"/>
  <c r="A716" i="35"/>
  <c r="A717" i="35"/>
  <c r="A718" i="35"/>
  <c r="A719" i="35"/>
  <c r="A720" i="35"/>
  <c r="A721" i="35"/>
  <c r="A722" i="35"/>
  <c r="A723" i="35"/>
  <c r="A724" i="35"/>
  <c r="A725" i="35"/>
  <c r="A726" i="35"/>
  <c r="A727" i="35"/>
  <c r="A728" i="35"/>
  <c r="A729" i="35"/>
  <c r="A730" i="35"/>
  <c r="A731" i="35"/>
  <c r="A732" i="35"/>
  <c r="A733" i="35"/>
  <c r="A734" i="35"/>
  <c r="A735" i="35"/>
  <c r="A736" i="35"/>
  <c r="A737" i="35"/>
  <c r="A738" i="35"/>
  <c r="A739" i="35"/>
  <c r="A740" i="35"/>
  <c r="A741" i="35"/>
  <c r="A742" i="35"/>
  <c r="A743" i="35"/>
  <c r="A744" i="35"/>
  <c r="A745" i="35"/>
  <c r="A746" i="35"/>
  <c r="A747" i="35"/>
  <c r="A748" i="35"/>
  <c r="A749" i="35"/>
  <c r="A750" i="35"/>
  <c r="A751" i="35"/>
  <c r="A752" i="35"/>
  <c r="A753" i="35"/>
  <c r="A754" i="35"/>
  <c r="A755" i="35"/>
  <c r="A756" i="35"/>
  <c r="A757" i="35"/>
  <c r="A758" i="35"/>
  <c r="A759" i="35"/>
  <c r="A760" i="35"/>
  <c r="A761" i="35"/>
  <c r="A762" i="35"/>
  <c r="A763" i="35"/>
  <c r="A764" i="35"/>
  <c r="A765" i="35"/>
  <c r="A766" i="35"/>
  <c r="A767" i="35"/>
  <c r="A768" i="35"/>
  <c r="A769" i="35"/>
  <c r="A770" i="35"/>
  <c r="A771" i="35"/>
  <c r="A772" i="35"/>
  <c r="A773" i="35"/>
  <c r="A774" i="35"/>
  <c r="A775" i="35"/>
  <c r="A776" i="35"/>
  <c r="A777" i="35"/>
  <c r="A778" i="35"/>
  <c r="A779" i="35"/>
  <c r="A780" i="35"/>
  <c r="A781" i="35"/>
  <c r="A782" i="35"/>
  <c r="A783" i="35"/>
  <c r="A784" i="35"/>
  <c r="A785" i="35"/>
  <c r="A786" i="35"/>
  <c r="A787" i="35"/>
  <c r="A788" i="35"/>
  <c r="A789" i="35"/>
  <c r="A790" i="35"/>
  <c r="A791" i="35"/>
  <c r="A792" i="35"/>
  <c r="A793" i="35"/>
  <c r="A794" i="35"/>
  <c r="A795" i="35"/>
  <c r="A796" i="35"/>
  <c r="A797" i="35"/>
  <c r="A798" i="35"/>
  <c r="A799" i="35"/>
  <c r="A800" i="35"/>
  <c r="A801" i="35"/>
  <c r="A802" i="35"/>
  <c r="A803" i="35"/>
  <c r="A804" i="35"/>
  <c r="A805" i="35"/>
  <c r="A806" i="35"/>
  <c r="A807" i="35"/>
  <c r="A808" i="35"/>
  <c r="A809" i="35"/>
  <c r="A810" i="35"/>
  <c r="A811" i="35"/>
  <c r="A812" i="35"/>
  <c r="A813" i="35"/>
  <c r="A814" i="35"/>
  <c r="A815" i="35"/>
  <c r="A816" i="35"/>
  <c r="A817" i="35"/>
  <c r="A818" i="35"/>
  <c r="A819" i="35"/>
  <c r="A820" i="35"/>
  <c r="A821" i="35"/>
  <c r="A822" i="35"/>
  <c r="A823" i="35"/>
  <c r="A824" i="35"/>
  <c r="A825" i="35"/>
  <c r="A826" i="35"/>
  <c r="A827" i="35"/>
  <c r="A828" i="35"/>
  <c r="A829" i="35"/>
  <c r="A830" i="35"/>
  <c r="A831" i="35"/>
  <c r="A832" i="35"/>
  <c r="A833" i="35"/>
  <c r="A834" i="35"/>
  <c r="A835" i="35"/>
  <c r="A836" i="35"/>
  <c r="A837" i="35"/>
  <c r="A838" i="35"/>
  <c r="A839" i="35"/>
  <c r="A840" i="35"/>
  <c r="A841" i="35"/>
  <c r="A842" i="35"/>
  <c r="A843" i="35"/>
  <c r="A844" i="35"/>
  <c r="A845" i="35"/>
  <c r="A846" i="35"/>
  <c r="A847" i="35"/>
  <c r="A848" i="35"/>
  <c r="A849" i="35"/>
  <c r="A850" i="35"/>
  <c r="A851" i="35"/>
  <c r="A852" i="35"/>
  <c r="A853" i="35"/>
  <c r="A854" i="35"/>
  <c r="A855" i="35"/>
  <c r="A856" i="35"/>
  <c r="A857" i="35"/>
  <c r="A858" i="35"/>
  <c r="A859" i="35"/>
  <c r="A860" i="35"/>
  <c r="A861" i="35"/>
  <c r="A862" i="35"/>
  <c r="A863" i="35"/>
  <c r="A864" i="35"/>
  <c r="A865" i="35"/>
  <c r="A866" i="35"/>
  <c r="O2" i="35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263" i="35"/>
  <c r="O264" i="35"/>
  <c r="O265" i="35"/>
  <c r="O266" i="35"/>
  <c r="O267" i="35"/>
  <c r="O268" i="35"/>
  <c r="O26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314" i="35"/>
  <c r="O315" i="35"/>
  <c r="O316" i="35"/>
  <c r="O317" i="35"/>
  <c r="O318" i="35"/>
  <c r="O319" i="35"/>
  <c r="O320" i="35"/>
  <c r="O321" i="35"/>
  <c r="O322" i="35"/>
  <c r="O323" i="35"/>
  <c r="O324" i="35"/>
  <c r="O325" i="35"/>
  <c r="O326" i="35"/>
  <c r="O327" i="35"/>
  <c r="O328" i="35"/>
  <c r="O329" i="35"/>
  <c r="O330" i="35"/>
  <c r="O331" i="35"/>
  <c r="O332" i="35"/>
  <c r="O333" i="35"/>
  <c r="O334" i="35"/>
  <c r="O335" i="35"/>
  <c r="O336" i="35"/>
  <c r="O337" i="35"/>
  <c r="O338" i="35"/>
  <c r="O339" i="35"/>
  <c r="O340" i="35"/>
  <c r="O341" i="35"/>
  <c r="O342" i="35"/>
  <c r="O343" i="35"/>
  <c r="O344" i="35"/>
  <c r="O345" i="35"/>
  <c r="O346" i="35"/>
  <c r="O347" i="35"/>
  <c r="O348" i="35"/>
  <c r="O349" i="35"/>
  <c r="O350" i="35"/>
  <c r="O351" i="35"/>
  <c r="O352" i="35"/>
  <c r="O353" i="35"/>
  <c r="O354" i="35"/>
  <c r="O355" i="35"/>
  <c r="O356" i="35"/>
  <c r="O357" i="35"/>
  <c r="O358" i="35"/>
  <c r="O359" i="35"/>
  <c r="O360" i="35"/>
  <c r="O361" i="35"/>
  <c r="O362" i="35"/>
  <c r="O363" i="35"/>
  <c r="O364" i="35"/>
  <c r="O365" i="35"/>
  <c r="O366" i="35"/>
  <c r="O367" i="35"/>
  <c r="O368" i="35"/>
  <c r="O369" i="35"/>
  <c r="O370" i="35"/>
  <c r="O371" i="35"/>
  <c r="O372" i="35"/>
  <c r="O373" i="35"/>
  <c r="O374" i="35"/>
  <c r="O375" i="35"/>
  <c r="O376" i="35"/>
  <c r="O377" i="35"/>
  <c r="O378" i="35"/>
  <c r="O379" i="35"/>
  <c r="O380" i="35"/>
  <c r="O381" i="35"/>
  <c r="O382" i="35"/>
  <c r="O383" i="35"/>
  <c r="O384" i="35"/>
  <c r="O385" i="35"/>
  <c r="O386" i="35"/>
  <c r="O387" i="35"/>
  <c r="O388" i="35"/>
  <c r="O389" i="35"/>
  <c r="O390" i="35"/>
  <c r="O391" i="35"/>
  <c r="O392" i="35"/>
  <c r="O393" i="35"/>
  <c r="O394" i="35"/>
  <c r="O395" i="35"/>
  <c r="O396" i="35"/>
  <c r="O397" i="35"/>
  <c r="O398" i="35"/>
  <c r="O399" i="35"/>
  <c r="O400" i="35"/>
  <c r="O401" i="35"/>
  <c r="O402" i="35"/>
  <c r="O403" i="35"/>
  <c r="O404" i="35"/>
  <c r="O405" i="35"/>
  <c r="O406" i="35"/>
  <c r="O407" i="35"/>
  <c r="O408" i="35"/>
  <c r="O409" i="35"/>
  <c r="O410" i="35"/>
  <c r="O411" i="35"/>
  <c r="O412" i="35"/>
  <c r="O413" i="35"/>
  <c r="O414" i="35"/>
  <c r="O415" i="35"/>
  <c r="O416" i="35"/>
  <c r="O417" i="35"/>
  <c r="O418" i="35"/>
  <c r="O419" i="35"/>
  <c r="O420" i="35"/>
  <c r="O421" i="35"/>
  <c r="O422" i="35"/>
  <c r="O423" i="35"/>
  <c r="O424" i="35"/>
  <c r="O425" i="35"/>
  <c r="O426" i="35"/>
  <c r="O427" i="35"/>
  <c r="O428" i="35"/>
  <c r="O429" i="35"/>
  <c r="O430" i="35"/>
  <c r="O431" i="35"/>
  <c r="O432" i="35"/>
  <c r="O433" i="35"/>
  <c r="O434" i="35"/>
  <c r="O435" i="35"/>
  <c r="O436" i="35"/>
  <c r="O437" i="35"/>
  <c r="O438" i="35"/>
  <c r="O439" i="35"/>
  <c r="O440" i="35"/>
  <c r="O441" i="35"/>
  <c r="O442" i="35"/>
  <c r="O443" i="35"/>
  <c r="O444" i="35"/>
  <c r="O445" i="35"/>
  <c r="O446" i="35"/>
  <c r="O447" i="35"/>
  <c r="O448" i="35"/>
  <c r="O449" i="35"/>
  <c r="O450" i="35"/>
  <c r="O451" i="35"/>
  <c r="O452" i="35"/>
  <c r="O453" i="35"/>
  <c r="O454" i="35"/>
  <c r="O455" i="35"/>
  <c r="O456" i="35"/>
  <c r="O457" i="35"/>
  <c r="O458" i="35"/>
  <c r="O459" i="35"/>
  <c r="O460" i="35"/>
  <c r="O461" i="35"/>
  <c r="O462" i="35"/>
  <c r="O463" i="35"/>
  <c r="O464" i="35"/>
  <c r="O465" i="35"/>
  <c r="O466" i="35"/>
  <c r="O467" i="35"/>
  <c r="O468" i="35"/>
  <c r="O469" i="35"/>
  <c r="O470" i="35"/>
  <c r="O471" i="35"/>
  <c r="O472" i="35"/>
  <c r="O473" i="35"/>
  <c r="O474" i="35"/>
  <c r="O475" i="35"/>
  <c r="O476" i="35"/>
  <c r="O477" i="35"/>
  <c r="O478" i="35"/>
  <c r="O479" i="35"/>
  <c r="O480" i="35"/>
  <c r="O481" i="35"/>
  <c r="O482" i="35"/>
  <c r="O483" i="35"/>
  <c r="O484" i="35"/>
  <c r="O485" i="35"/>
  <c r="O486" i="35"/>
  <c r="O487" i="35"/>
  <c r="O488" i="35"/>
  <c r="O489" i="35"/>
  <c r="O490" i="35"/>
  <c r="O491" i="35"/>
  <c r="O492" i="35"/>
  <c r="O493" i="35"/>
  <c r="O494" i="35"/>
  <c r="O495" i="35"/>
  <c r="O496" i="35"/>
  <c r="O497" i="35"/>
  <c r="O498" i="35"/>
  <c r="O499" i="35"/>
  <c r="O500" i="35"/>
  <c r="O501" i="35"/>
  <c r="O502" i="35"/>
  <c r="O503" i="35"/>
  <c r="O504" i="35"/>
  <c r="O505" i="35"/>
  <c r="O506" i="35"/>
  <c r="O507" i="35"/>
  <c r="O508" i="35"/>
  <c r="O509" i="35"/>
  <c r="O510" i="35"/>
  <c r="O511" i="35"/>
  <c r="O512" i="35"/>
  <c r="O513" i="35"/>
  <c r="O514" i="35"/>
  <c r="O515" i="35"/>
  <c r="O516" i="35"/>
  <c r="O517" i="35"/>
  <c r="O518" i="35"/>
  <c r="O519" i="35"/>
  <c r="O520" i="35"/>
  <c r="O521" i="35"/>
  <c r="O522" i="35"/>
  <c r="O523" i="35"/>
  <c r="O524" i="35"/>
  <c r="O525" i="35"/>
  <c r="O526" i="35"/>
  <c r="O527" i="35"/>
  <c r="O528" i="35"/>
  <c r="O529" i="35"/>
  <c r="O530" i="35"/>
  <c r="O531" i="35"/>
  <c r="O532" i="35"/>
  <c r="O533" i="35"/>
  <c r="O534" i="35"/>
  <c r="O535" i="35"/>
  <c r="O536" i="35"/>
  <c r="O537" i="35"/>
  <c r="O538" i="35"/>
  <c r="O539" i="35"/>
  <c r="O540" i="35"/>
  <c r="O541" i="35"/>
  <c r="O542" i="35"/>
  <c r="O543" i="35"/>
  <c r="O544" i="35"/>
  <c r="O545" i="35"/>
  <c r="O546" i="35"/>
  <c r="O547" i="35"/>
  <c r="O548" i="35"/>
  <c r="O549" i="35"/>
  <c r="O550" i="35"/>
  <c r="O551" i="35"/>
  <c r="O552" i="35"/>
  <c r="O553" i="35"/>
  <c r="O554" i="35"/>
  <c r="O555" i="35"/>
  <c r="O556" i="35"/>
  <c r="O557" i="35"/>
  <c r="O558" i="35"/>
  <c r="O559" i="35"/>
  <c r="O560" i="35"/>
  <c r="O561" i="35"/>
  <c r="O562" i="35"/>
  <c r="O563" i="35"/>
  <c r="O564" i="35"/>
  <c r="O565" i="35"/>
  <c r="O566" i="35"/>
  <c r="O567" i="35"/>
  <c r="O568" i="35"/>
  <c r="O569" i="35"/>
  <c r="O570" i="35"/>
  <c r="O571" i="35"/>
  <c r="O572" i="35"/>
  <c r="O573" i="35"/>
  <c r="O574" i="35"/>
  <c r="O575" i="35"/>
  <c r="O576" i="35"/>
  <c r="O577" i="35"/>
  <c r="O578" i="35"/>
  <c r="O579" i="35"/>
  <c r="O580" i="35"/>
  <c r="O581" i="35"/>
  <c r="O582" i="35"/>
  <c r="O583" i="35"/>
  <c r="O584" i="35"/>
  <c r="O585" i="35"/>
  <c r="O586" i="35"/>
  <c r="O587" i="35"/>
  <c r="O588" i="35"/>
  <c r="O589" i="35"/>
  <c r="O590" i="35"/>
  <c r="O591" i="35"/>
  <c r="O592" i="35"/>
  <c r="O593" i="35"/>
  <c r="O594" i="35"/>
  <c r="O595" i="35"/>
  <c r="O596" i="35"/>
  <c r="O597" i="35"/>
  <c r="O598" i="35"/>
  <c r="O599" i="35"/>
  <c r="O600" i="35"/>
  <c r="O601" i="35"/>
  <c r="O602" i="35"/>
  <c r="O603" i="35"/>
  <c r="O604" i="35"/>
  <c r="O605" i="35"/>
  <c r="O606" i="35"/>
  <c r="O607" i="35"/>
  <c r="O608" i="35"/>
  <c r="O609" i="35"/>
  <c r="O610" i="35"/>
  <c r="O611" i="35"/>
  <c r="O612" i="35"/>
  <c r="O613" i="35"/>
  <c r="O614" i="35"/>
  <c r="O615" i="35"/>
  <c r="O616" i="35"/>
  <c r="O617" i="35"/>
  <c r="O618" i="35"/>
  <c r="O619" i="35"/>
  <c r="O620" i="35"/>
  <c r="O621" i="35"/>
  <c r="O622" i="35"/>
  <c r="O623" i="35"/>
  <c r="O624" i="35"/>
  <c r="O625" i="35"/>
  <c r="O626" i="35"/>
  <c r="O627" i="35"/>
  <c r="O628" i="35"/>
  <c r="O629" i="35"/>
  <c r="O630" i="35"/>
  <c r="O631" i="35"/>
  <c r="O632" i="35"/>
  <c r="O633" i="35"/>
  <c r="O634" i="35"/>
  <c r="O635" i="35"/>
  <c r="O636" i="35"/>
  <c r="O637" i="35"/>
  <c r="O638" i="35"/>
  <c r="O639" i="35"/>
  <c r="O640" i="35"/>
  <c r="O641" i="35"/>
  <c r="O642" i="35"/>
  <c r="O643" i="35"/>
  <c r="O644" i="35"/>
  <c r="O645" i="35"/>
  <c r="O646" i="35"/>
  <c r="O647" i="35"/>
  <c r="O648" i="35"/>
  <c r="O649" i="35"/>
  <c r="O650" i="35"/>
  <c r="O651" i="35"/>
  <c r="O652" i="35"/>
  <c r="O653" i="35"/>
  <c r="O654" i="35"/>
  <c r="O655" i="35"/>
  <c r="O656" i="35"/>
  <c r="O657" i="35"/>
  <c r="O658" i="35"/>
  <c r="O659" i="35"/>
  <c r="O660" i="35"/>
  <c r="O661" i="35"/>
  <c r="O662" i="35"/>
  <c r="O663" i="35"/>
  <c r="O664" i="35"/>
  <c r="O665" i="35"/>
  <c r="O666" i="35"/>
  <c r="O667" i="35"/>
  <c r="O668" i="35"/>
  <c r="O669" i="35"/>
  <c r="O670" i="35"/>
  <c r="O671" i="35"/>
  <c r="O672" i="35"/>
  <c r="O673" i="35"/>
  <c r="O674" i="35"/>
  <c r="O675" i="35"/>
  <c r="O676" i="35"/>
  <c r="O677" i="35"/>
  <c r="O678" i="35"/>
  <c r="O679" i="35"/>
  <c r="O680" i="35"/>
  <c r="O681" i="35"/>
  <c r="O682" i="35"/>
  <c r="O683" i="35"/>
  <c r="O684" i="35"/>
  <c r="O685" i="35"/>
  <c r="O686" i="35"/>
  <c r="O687" i="35"/>
  <c r="O688" i="35"/>
  <c r="O689" i="35"/>
  <c r="O690" i="35"/>
  <c r="O691" i="35"/>
  <c r="O692" i="35"/>
  <c r="O693" i="35"/>
  <c r="O694" i="35"/>
  <c r="O695" i="35"/>
  <c r="O696" i="35"/>
  <c r="O697" i="35"/>
  <c r="O698" i="35"/>
  <c r="O699" i="35"/>
  <c r="O700" i="35"/>
  <c r="O701" i="35"/>
  <c r="O702" i="35"/>
  <c r="O703" i="35"/>
  <c r="O704" i="35"/>
  <c r="O705" i="35"/>
  <c r="O706" i="35"/>
  <c r="O707" i="35"/>
  <c r="O708" i="35"/>
  <c r="O709" i="35"/>
  <c r="O710" i="35"/>
  <c r="O711" i="35"/>
  <c r="O712" i="35"/>
  <c r="O713" i="35"/>
  <c r="O714" i="35"/>
  <c r="O715" i="35"/>
  <c r="O716" i="35"/>
  <c r="O717" i="35"/>
  <c r="O718" i="35"/>
  <c r="O719" i="35"/>
  <c r="O720" i="35"/>
  <c r="O721" i="35"/>
  <c r="O722" i="35"/>
  <c r="O723" i="35"/>
  <c r="O724" i="35"/>
  <c r="O725" i="35"/>
  <c r="O726" i="35"/>
  <c r="O727" i="35"/>
  <c r="O728" i="35"/>
  <c r="O729" i="35"/>
  <c r="O730" i="35"/>
  <c r="O731" i="35"/>
  <c r="O732" i="35"/>
  <c r="O733" i="35"/>
  <c r="O734" i="35"/>
  <c r="O735" i="35"/>
  <c r="O736" i="35"/>
  <c r="O737" i="35"/>
  <c r="O738" i="35"/>
  <c r="O739" i="35"/>
  <c r="O740" i="35"/>
  <c r="O741" i="35"/>
  <c r="O742" i="35"/>
  <c r="O743" i="35"/>
  <c r="O744" i="35"/>
  <c r="O745" i="35"/>
  <c r="O746" i="35"/>
  <c r="O747" i="35"/>
  <c r="O748" i="35"/>
  <c r="O749" i="35"/>
  <c r="O750" i="35"/>
  <c r="O751" i="35"/>
  <c r="O752" i="35"/>
  <c r="O753" i="35"/>
  <c r="O754" i="35"/>
  <c r="O755" i="35"/>
  <c r="O756" i="35"/>
  <c r="O757" i="35"/>
  <c r="O758" i="35"/>
  <c r="O759" i="35"/>
  <c r="O760" i="35"/>
  <c r="O761" i="35"/>
  <c r="O762" i="35"/>
  <c r="O763" i="35"/>
  <c r="O764" i="35"/>
  <c r="O765" i="35"/>
  <c r="O766" i="35"/>
  <c r="O767" i="35"/>
  <c r="O768" i="35"/>
  <c r="O769" i="35"/>
  <c r="O770" i="35"/>
  <c r="O771" i="35"/>
  <c r="O772" i="35"/>
  <c r="O773" i="35"/>
  <c r="O774" i="35"/>
  <c r="O775" i="35"/>
  <c r="O776" i="35"/>
  <c r="O777" i="35"/>
  <c r="O778" i="35"/>
  <c r="O779" i="35"/>
  <c r="O780" i="35"/>
  <c r="O781" i="35"/>
  <c r="O782" i="35"/>
  <c r="O783" i="35"/>
  <c r="O784" i="35"/>
  <c r="O785" i="35"/>
  <c r="O786" i="35"/>
  <c r="O787" i="35"/>
  <c r="O788" i="35"/>
  <c r="O789" i="35"/>
  <c r="O790" i="35"/>
  <c r="O791" i="35"/>
  <c r="O792" i="35"/>
  <c r="O793" i="35"/>
  <c r="O794" i="35"/>
  <c r="O795" i="35"/>
  <c r="O796" i="35"/>
  <c r="O797" i="35"/>
  <c r="O798" i="35"/>
  <c r="O799" i="35"/>
  <c r="O800" i="35"/>
  <c r="O801" i="35"/>
  <c r="O802" i="35"/>
  <c r="O803" i="35"/>
  <c r="O804" i="35"/>
  <c r="O805" i="35"/>
  <c r="O806" i="35"/>
  <c r="O807" i="35"/>
  <c r="O808" i="35"/>
  <c r="O809" i="35"/>
  <c r="O810" i="35"/>
  <c r="O811" i="35"/>
  <c r="O812" i="35"/>
  <c r="O813" i="35"/>
  <c r="O814" i="35"/>
  <c r="O815" i="35"/>
  <c r="O816" i="35"/>
  <c r="O817" i="35"/>
  <c r="O818" i="35"/>
  <c r="O819" i="35"/>
  <c r="O820" i="35"/>
  <c r="O821" i="35"/>
  <c r="O822" i="35"/>
  <c r="O823" i="35"/>
  <c r="O824" i="35"/>
  <c r="O825" i="35"/>
  <c r="O826" i="35"/>
  <c r="O827" i="35"/>
  <c r="O828" i="35"/>
  <c r="O829" i="35"/>
  <c r="O830" i="35"/>
  <c r="O831" i="35"/>
  <c r="O832" i="35"/>
  <c r="O833" i="35"/>
  <c r="O834" i="35"/>
  <c r="O835" i="35"/>
  <c r="O836" i="35"/>
  <c r="O837" i="35"/>
  <c r="O838" i="35"/>
  <c r="O839" i="35"/>
  <c r="O840" i="35"/>
  <c r="O841" i="35"/>
  <c r="O842" i="35"/>
  <c r="O843" i="35"/>
  <c r="O844" i="35"/>
  <c r="O845" i="35"/>
  <c r="O846" i="35"/>
  <c r="O847" i="35"/>
  <c r="O848" i="35"/>
  <c r="O849" i="35"/>
  <c r="O850" i="35"/>
  <c r="O851" i="35"/>
  <c r="O852" i="35"/>
  <c r="O853" i="35"/>
  <c r="O854" i="35"/>
  <c r="O855" i="35"/>
  <c r="O856" i="35"/>
  <c r="O857" i="35"/>
  <c r="O858" i="35"/>
  <c r="O859" i="35"/>
  <c r="O860" i="35"/>
  <c r="O861" i="35"/>
  <c r="O862" i="35"/>
  <c r="O863" i="35"/>
  <c r="O864" i="35"/>
  <c r="O865" i="35"/>
  <c r="O866" i="35"/>
  <c r="P2" i="35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P106" i="35"/>
  <c r="P107" i="35"/>
  <c r="P108" i="35"/>
  <c r="P109" i="35"/>
  <c r="P110" i="35"/>
  <c r="P111" i="35"/>
  <c r="P112" i="35"/>
  <c r="P113" i="35"/>
  <c r="P114" i="35"/>
  <c r="P115" i="35"/>
  <c r="P116" i="35"/>
  <c r="P117" i="35"/>
  <c r="P118" i="35"/>
  <c r="P119" i="35"/>
  <c r="P120" i="35"/>
  <c r="P121" i="35"/>
  <c r="P122" i="35"/>
  <c r="P123" i="35"/>
  <c r="P124" i="35"/>
  <c r="P125" i="35"/>
  <c r="P126" i="35"/>
  <c r="P127" i="35"/>
  <c r="P128" i="35"/>
  <c r="P129" i="35"/>
  <c r="P130" i="35"/>
  <c r="P131" i="35"/>
  <c r="P132" i="35"/>
  <c r="P133" i="35"/>
  <c r="P134" i="35"/>
  <c r="P135" i="35"/>
  <c r="P136" i="35"/>
  <c r="P137" i="35"/>
  <c r="P138" i="35"/>
  <c r="P139" i="35"/>
  <c r="P140" i="35"/>
  <c r="P141" i="35"/>
  <c r="P142" i="35"/>
  <c r="P143" i="35"/>
  <c r="P144" i="35"/>
  <c r="P145" i="35"/>
  <c r="P146" i="35"/>
  <c r="P147" i="35"/>
  <c r="P148" i="35"/>
  <c r="P149" i="35"/>
  <c r="P150" i="35"/>
  <c r="P151" i="35"/>
  <c r="P152" i="35"/>
  <c r="P153" i="35"/>
  <c r="P154" i="35"/>
  <c r="P155" i="35"/>
  <c r="P156" i="35"/>
  <c r="P157" i="35"/>
  <c r="P158" i="35"/>
  <c r="P159" i="35"/>
  <c r="P160" i="35"/>
  <c r="P161" i="35"/>
  <c r="P162" i="35"/>
  <c r="P163" i="35"/>
  <c r="P164" i="35"/>
  <c r="P165" i="35"/>
  <c r="P166" i="35"/>
  <c r="P167" i="35"/>
  <c r="P168" i="35"/>
  <c r="P169" i="35"/>
  <c r="P170" i="35"/>
  <c r="P171" i="35"/>
  <c r="P172" i="35"/>
  <c r="P173" i="35"/>
  <c r="P174" i="35"/>
  <c r="P175" i="35"/>
  <c r="P176" i="35"/>
  <c r="P177" i="35"/>
  <c r="P178" i="35"/>
  <c r="P179" i="35"/>
  <c r="P180" i="35"/>
  <c r="P181" i="35"/>
  <c r="P182" i="35"/>
  <c r="P183" i="35"/>
  <c r="P184" i="35"/>
  <c r="P185" i="35"/>
  <c r="P186" i="35"/>
  <c r="P187" i="35"/>
  <c r="P188" i="35"/>
  <c r="P189" i="35"/>
  <c r="P190" i="35"/>
  <c r="P191" i="35"/>
  <c r="P192" i="35"/>
  <c r="P193" i="35"/>
  <c r="P194" i="35"/>
  <c r="P195" i="35"/>
  <c r="P196" i="35"/>
  <c r="P197" i="35"/>
  <c r="P198" i="35"/>
  <c r="P199" i="35"/>
  <c r="P200" i="35"/>
  <c r="P201" i="35"/>
  <c r="P202" i="35"/>
  <c r="P203" i="35"/>
  <c r="P204" i="35"/>
  <c r="P205" i="35"/>
  <c r="P206" i="35"/>
  <c r="P207" i="35"/>
  <c r="P208" i="35"/>
  <c r="P209" i="35"/>
  <c r="P210" i="35"/>
  <c r="P211" i="35"/>
  <c r="P212" i="35"/>
  <c r="P213" i="35"/>
  <c r="P214" i="35"/>
  <c r="P215" i="35"/>
  <c r="P216" i="35"/>
  <c r="P217" i="35"/>
  <c r="P218" i="35"/>
  <c r="P219" i="35"/>
  <c r="P220" i="35"/>
  <c r="P221" i="35"/>
  <c r="P222" i="35"/>
  <c r="P223" i="35"/>
  <c r="P224" i="35"/>
  <c r="P225" i="35"/>
  <c r="P226" i="35"/>
  <c r="P227" i="35"/>
  <c r="P228" i="35"/>
  <c r="P229" i="35"/>
  <c r="P230" i="35"/>
  <c r="P231" i="35"/>
  <c r="P232" i="35"/>
  <c r="P233" i="35"/>
  <c r="P234" i="35"/>
  <c r="P235" i="35"/>
  <c r="P236" i="35"/>
  <c r="P237" i="35"/>
  <c r="P238" i="35"/>
  <c r="P239" i="35"/>
  <c r="P240" i="35"/>
  <c r="P241" i="35"/>
  <c r="P242" i="35"/>
  <c r="P243" i="35"/>
  <c r="P244" i="35"/>
  <c r="P245" i="35"/>
  <c r="P246" i="35"/>
  <c r="P247" i="35"/>
  <c r="P248" i="35"/>
  <c r="P249" i="35"/>
  <c r="P250" i="35"/>
  <c r="P251" i="35"/>
  <c r="P252" i="35"/>
  <c r="P253" i="35"/>
  <c r="P254" i="35"/>
  <c r="P255" i="35"/>
  <c r="P256" i="35"/>
  <c r="P257" i="35"/>
  <c r="P258" i="35"/>
  <c r="P259" i="35"/>
  <c r="P260" i="35"/>
  <c r="P261" i="35"/>
  <c r="P262" i="35"/>
  <c r="P263" i="35"/>
  <c r="P264" i="35"/>
  <c r="P265" i="35"/>
  <c r="P266" i="35"/>
  <c r="P267" i="35"/>
  <c r="P268" i="35"/>
  <c r="P269" i="35"/>
  <c r="P270" i="35"/>
  <c r="P271" i="35"/>
  <c r="P272" i="35"/>
  <c r="P273" i="35"/>
  <c r="P274" i="35"/>
  <c r="P275" i="35"/>
  <c r="P276" i="35"/>
  <c r="P277" i="35"/>
  <c r="P278" i="35"/>
  <c r="P279" i="35"/>
  <c r="P280" i="35"/>
  <c r="P281" i="35"/>
  <c r="P282" i="35"/>
  <c r="P283" i="35"/>
  <c r="P284" i="35"/>
  <c r="P285" i="35"/>
  <c r="P286" i="35"/>
  <c r="P287" i="35"/>
  <c r="P288" i="35"/>
  <c r="P289" i="35"/>
  <c r="P290" i="35"/>
  <c r="P291" i="35"/>
  <c r="P292" i="35"/>
  <c r="P293" i="35"/>
  <c r="P294" i="35"/>
  <c r="P295" i="35"/>
  <c r="P296" i="35"/>
  <c r="P297" i="35"/>
  <c r="P298" i="35"/>
  <c r="P299" i="35"/>
  <c r="P300" i="35"/>
  <c r="P301" i="35"/>
  <c r="P302" i="35"/>
  <c r="P303" i="35"/>
  <c r="P304" i="35"/>
  <c r="P305" i="35"/>
  <c r="P306" i="35"/>
  <c r="P307" i="35"/>
  <c r="P308" i="35"/>
  <c r="P309" i="35"/>
  <c r="P310" i="35"/>
  <c r="P311" i="35"/>
  <c r="P312" i="35"/>
  <c r="P313" i="35"/>
  <c r="P314" i="35"/>
  <c r="P315" i="35"/>
  <c r="P316" i="35"/>
  <c r="P317" i="35"/>
  <c r="P318" i="35"/>
  <c r="P319" i="35"/>
  <c r="P320" i="35"/>
  <c r="P321" i="35"/>
  <c r="P322" i="35"/>
  <c r="P323" i="35"/>
  <c r="P324" i="35"/>
  <c r="P325" i="35"/>
  <c r="P326" i="35"/>
  <c r="P327" i="35"/>
  <c r="P328" i="35"/>
  <c r="P329" i="35"/>
  <c r="P330" i="35"/>
  <c r="P331" i="35"/>
  <c r="P332" i="35"/>
  <c r="P333" i="35"/>
  <c r="P334" i="35"/>
  <c r="P335" i="35"/>
  <c r="P336" i="35"/>
  <c r="P337" i="35"/>
  <c r="P338" i="35"/>
  <c r="P339" i="35"/>
  <c r="P340" i="35"/>
  <c r="P341" i="35"/>
  <c r="P342" i="35"/>
  <c r="P343" i="35"/>
  <c r="P344" i="35"/>
  <c r="P345" i="35"/>
  <c r="P346" i="35"/>
  <c r="P347" i="35"/>
  <c r="P348" i="35"/>
  <c r="P349" i="35"/>
  <c r="P350" i="35"/>
  <c r="P351" i="35"/>
  <c r="P352" i="35"/>
  <c r="P353" i="35"/>
  <c r="P354" i="35"/>
  <c r="P355" i="35"/>
  <c r="P356" i="35"/>
  <c r="P357" i="35"/>
  <c r="P358" i="35"/>
  <c r="P359" i="35"/>
  <c r="P360" i="35"/>
  <c r="P361" i="35"/>
  <c r="P362" i="35"/>
  <c r="P363" i="35"/>
  <c r="P364" i="35"/>
  <c r="P365" i="35"/>
  <c r="P366" i="35"/>
  <c r="P367" i="35"/>
  <c r="P368" i="35"/>
  <c r="P369" i="35"/>
  <c r="P370" i="35"/>
  <c r="P371" i="35"/>
  <c r="P372" i="35"/>
  <c r="P373" i="35"/>
  <c r="P374" i="35"/>
  <c r="P375" i="35"/>
  <c r="P376" i="35"/>
  <c r="P377" i="35"/>
  <c r="P378" i="35"/>
  <c r="P379" i="35"/>
  <c r="P380" i="35"/>
  <c r="P381" i="35"/>
  <c r="P382" i="35"/>
  <c r="P383" i="35"/>
  <c r="P384" i="35"/>
  <c r="P385" i="35"/>
  <c r="P386" i="35"/>
  <c r="P387" i="35"/>
  <c r="P388" i="35"/>
  <c r="P389" i="35"/>
  <c r="P390" i="35"/>
  <c r="P391" i="35"/>
  <c r="P392" i="35"/>
  <c r="P393" i="35"/>
  <c r="P394" i="35"/>
  <c r="P395" i="35"/>
  <c r="P396" i="35"/>
  <c r="P397" i="35"/>
  <c r="P398" i="35"/>
  <c r="P399" i="35"/>
  <c r="P400" i="35"/>
  <c r="P401" i="35"/>
  <c r="P402" i="35"/>
  <c r="P403" i="35"/>
  <c r="P404" i="35"/>
  <c r="P405" i="35"/>
  <c r="P406" i="35"/>
  <c r="P407" i="35"/>
  <c r="P408" i="35"/>
  <c r="P409" i="35"/>
  <c r="P410" i="35"/>
  <c r="P411" i="35"/>
  <c r="P412" i="35"/>
  <c r="P413" i="35"/>
  <c r="P414" i="35"/>
  <c r="P415" i="35"/>
  <c r="P416" i="35"/>
  <c r="P417" i="35"/>
  <c r="P418" i="35"/>
  <c r="P419" i="35"/>
  <c r="P420" i="35"/>
  <c r="P421" i="35"/>
  <c r="P422" i="35"/>
  <c r="P423" i="35"/>
  <c r="P424" i="35"/>
  <c r="P425" i="35"/>
  <c r="P426" i="35"/>
  <c r="P427" i="35"/>
  <c r="P428" i="35"/>
  <c r="P429" i="35"/>
  <c r="P430" i="35"/>
  <c r="P431" i="35"/>
  <c r="P432" i="35"/>
  <c r="P433" i="35"/>
  <c r="P434" i="35"/>
  <c r="P435" i="35"/>
  <c r="P436" i="35"/>
  <c r="P437" i="35"/>
  <c r="P438" i="35"/>
  <c r="P439" i="35"/>
  <c r="P440" i="35"/>
  <c r="P441" i="35"/>
  <c r="P442" i="35"/>
  <c r="P443" i="35"/>
  <c r="P444" i="35"/>
  <c r="P445" i="35"/>
  <c r="P446" i="35"/>
  <c r="P447" i="35"/>
  <c r="P448" i="35"/>
  <c r="P449" i="35"/>
  <c r="P450" i="35"/>
  <c r="P451" i="35"/>
  <c r="P452" i="35"/>
  <c r="P453" i="35"/>
  <c r="P454" i="35"/>
  <c r="P455" i="35"/>
  <c r="P456" i="35"/>
  <c r="P457" i="35"/>
  <c r="P458" i="35"/>
  <c r="P459" i="35"/>
  <c r="P460" i="35"/>
  <c r="P461" i="35"/>
  <c r="P462" i="35"/>
  <c r="P463" i="35"/>
  <c r="P464" i="35"/>
  <c r="P465" i="35"/>
  <c r="P466" i="35"/>
  <c r="P467" i="35"/>
  <c r="P468" i="35"/>
  <c r="P469" i="35"/>
  <c r="P470" i="35"/>
  <c r="P471" i="35"/>
  <c r="P472" i="35"/>
  <c r="P473" i="35"/>
  <c r="P474" i="35"/>
  <c r="P475" i="35"/>
  <c r="P476" i="35"/>
  <c r="P477" i="35"/>
  <c r="P478" i="35"/>
  <c r="P479" i="35"/>
  <c r="P480" i="35"/>
  <c r="P481" i="35"/>
  <c r="P482" i="35"/>
  <c r="P483" i="35"/>
  <c r="P484" i="35"/>
  <c r="P485" i="35"/>
  <c r="P486" i="35"/>
  <c r="P487" i="35"/>
  <c r="P488" i="35"/>
  <c r="P489" i="35"/>
  <c r="P490" i="35"/>
  <c r="P491" i="35"/>
  <c r="P492" i="35"/>
  <c r="P493" i="35"/>
  <c r="P494" i="35"/>
  <c r="P495" i="35"/>
  <c r="P496" i="35"/>
  <c r="P497" i="35"/>
  <c r="P498" i="35"/>
  <c r="P499" i="35"/>
  <c r="P500" i="35"/>
  <c r="P501" i="35"/>
  <c r="P502" i="35"/>
  <c r="P503" i="35"/>
  <c r="P504" i="35"/>
  <c r="P505" i="35"/>
  <c r="P506" i="35"/>
  <c r="P507" i="35"/>
  <c r="P508" i="35"/>
  <c r="P509" i="35"/>
  <c r="P510" i="35"/>
  <c r="P511" i="35"/>
  <c r="P512" i="35"/>
  <c r="P513" i="35"/>
  <c r="P514" i="35"/>
  <c r="P515" i="35"/>
  <c r="P516" i="35"/>
  <c r="P517" i="35"/>
  <c r="P518" i="35"/>
  <c r="P519" i="35"/>
  <c r="P520" i="35"/>
  <c r="P521" i="35"/>
  <c r="P522" i="35"/>
  <c r="P523" i="35"/>
  <c r="P524" i="35"/>
  <c r="P525" i="35"/>
  <c r="P526" i="35"/>
  <c r="P527" i="35"/>
  <c r="P528" i="35"/>
  <c r="P529" i="35"/>
  <c r="P530" i="35"/>
  <c r="P531" i="35"/>
  <c r="P532" i="35"/>
  <c r="P533" i="35"/>
  <c r="P534" i="35"/>
  <c r="P535" i="35"/>
  <c r="P536" i="35"/>
  <c r="P537" i="35"/>
  <c r="P538" i="35"/>
  <c r="P539" i="35"/>
  <c r="P540" i="35"/>
  <c r="P541" i="35"/>
  <c r="P542" i="35"/>
  <c r="P543" i="35"/>
  <c r="P544" i="35"/>
  <c r="P545" i="35"/>
  <c r="P546" i="35"/>
  <c r="P547" i="35"/>
  <c r="P548" i="35"/>
  <c r="P549" i="35"/>
  <c r="P550" i="35"/>
  <c r="P551" i="35"/>
  <c r="P552" i="35"/>
  <c r="P553" i="35"/>
  <c r="P554" i="35"/>
  <c r="P555" i="35"/>
  <c r="P556" i="35"/>
  <c r="P557" i="35"/>
  <c r="P558" i="35"/>
  <c r="P559" i="35"/>
  <c r="P560" i="35"/>
  <c r="P561" i="35"/>
  <c r="P562" i="35"/>
  <c r="P563" i="35"/>
  <c r="P564" i="35"/>
  <c r="P565" i="35"/>
  <c r="P566" i="35"/>
  <c r="P567" i="35"/>
  <c r="P568" i="35"/>
  <c r="P569" i="35"/>
  <c r="P570" i="35"/>
  <c r="P571" i="35"/>
  <c r="P572" i="35"/>
  <c r="P573" i="35"/>
  <c r="P574" i="35"/>
  <c r="P575" i="35"/>
  <c r="P576" i="35"/>
  <c r="P577" i="35"/>
  <c r="P578" i="35"/>
  <c r="P579" i="35"/>
  <c r="P580" i="35"/>
  <c r="P581" i="35"/>
  <c r="P582" i="35"/>
  <c r="P583" i="35"/>
  <c r="P584" i="35"/>
  <c r="P585" i="35"/>
  <c r="P586" i="35"/>
  <c r="P587" i="35"/>
  <c r="P588" i="35"/>
  <c r="P589" i="35"/>
  <c r="P590" i="35"/>
  <c r="P591" i="35"/>
  <c r="P592" i="35"/>
  <c r="P593" i="35"/>
  <c r="P594" i="35"/>
  <c r="P595" i="35"/>
  <c r="P596" i="35"/>
  <c r="P597" i="35"/>
  <c r="P598" i="35"/>
  <c r="P599" i="35"/>
  <c r="P600" i="35"/>
  <c r="P601" i="35"/>
  <c r="P602" i="35"/>
  <c r="P603" i="35"/>
  <c r="P604" i="35"/>
  <c r="P605" i="35"/>
  <c r="P606" i="35"/>
  <c r="P607" i="35"/>
  <c r="P608" i="35"/>
  <c r="P609" i="35"/>
  <c r="P610" i="35"/>
  <c r="P611" i="35"/>
  <c r="P612" i="35"/>
  <c r="P613" i="35"/>
  <c r="P614" i="35"/>
  <c r="P615" i="35"/>
  <c r="P616" i="35"/>
  <c r="P617" i="35"/>
  <c r="P618" i="35"/>
  <c r="P619" i="35"/>
  <c r="P620" i="35"/>
  <c r="P621" i="35"/>
  <c r="P622" i="35"/>
  <c r="P623" i="35"/>
  <c r="P624" i="35"/>
  <c r="P625" i="35"/>
  <c r="P626" i="35"/>
  <c r="P627" i="35"/>
  <c r="P628" i="35"/>
  <c r="P629" i="35"/>
  <c r="P630" i="35"/>
  <c r="P631" i="35"/>
  <c r="P632" i="35"/>
  <c r="P633" i="35"/>
  <c r="P634" i="35"/>
  <c r="P635" i="35"/>
  <c r="P636" i="35"/>
  <c r="P637" i="35"/>
  <c r="P638" i="35"/>
  <c r="P639" i="35"/>
  <c r="P640" i="35"/>
  <c r="P641" i="35"/>
  <c r="P642" i="35"/>
  <c r="P643" i="35"/>
  <c r="P644" i="35"/>
  <c r="P645" i="35"/>
  <c r="P646" i="35"/>
  <c r="P647" i="35"/>
  <c r="P648" i="35"/>
  <c r="P649" i="35"/>
  <c r="P650" i="35"/>
  <c r="P651" i="35"/>
  <c r="P652" i="35"/>
  <c r="P653" i="35"/>
  <c r="P654" i="35"/>
  <c r="P655" i="35"/>
  <c r="P656" i="35"/>
  <c r="P657" i="35"/>
  <c r="P658" i="35"/>
  <c r="P659" i="35"/>
  <c r="P660" i="35"/>
  <c r="P661" i="35"/>
  <c r="P662" i="35"/>
  <c r="P663" i="35"/>
  <c r="P664" i="35"/>
  <c r="P665" i="35"/>
  <c r="P666" i="35"/>
  <c r="P667" i="35"/>
  <c r="P668" i="35"/>
  <c r="P669" i="35"/>
  <c r="P670" i="35"/>
  <c r="P671" i="35"/>
  <c r="P672" i="35"/>
  <c r="P673" i="35"/>
  <c r="P674" i="35"/>
  <c r="P675" i="35"/>
  <c r="P676" i="35"/>
  <c r="P677" i="35"/>
  <c r="P678" i="35"/>
  <c r="P679" i="35"/>
  <c r="P680" i="35"/>
  <c r="P681" i="35"/>
  <c r="P682" i="35"/>
  <c r="P683" i="35"/>
  <c r="P684" i="35"/>
  <c r="P685" i="35"/>
  <c r="P686" i="35"/>
  <c r="P687" i="35"/>
  <c r="P688" i="35"/>
  <c r="P689" i="35"/>
  <c r="P690" i="35"/>
  <c r="P691" i="35"/>
  <c r="P692" i="35"/>
  <c r="P693" i="35"/>
  <c r="P694" i="35"/>
  <c r="P695" i="35"/>
  <c r="P696" i="35"/>
  <c r="P697" i="35"/>
  <c r="P698" i="35"/>
  <c r="P699" i="35"/>
  <c r="P700" i="35"/>
  <c r="P701" i="35"/>
  <c r="P702" i="35"/>
  <c r="P703" i="35"/>
  <c r="P704" i="35"/>
  <c r="P705" i="35"/>
  <c r="P706" i="35"/>
  <c r="P707" i="35"/>
  <c r="P708" i="35"/>
  <c r="P709" i="35"/>
  <c r="P710" i="35"/>
  <c r="P711" i="35"/>
  <c r="P712" i="35"/>
  <c r="P713" i="35"/>
  <c r="P714" i="35"/>
  <c r="P715" i="35"/>
  <c r="P716" i="35"/>
  <c r="P717" i="35"/>
  <c r="P718" i="35"/>
  <c r="P719" i="35"/>
  <c r="P720" i="35"/>
  <c r="P721" i="35"/>
  <c r="P722" i="35"/>
  <c r="P723" i="35"/>
  <c r="P724" i="35"/>
  <c r="P725" i="35"/>
  <c r="P726" i="35"/>
  <c r="P727" i="35"/>
  <c r="P728" i="35"/>
  <c r="P729" i="35"/>
  <c r="P730" i="35"/>
  <c r="P731" i="35"/>
  <c r="P732" i="35"/>
  <c r="P733" i="35"/>
  <c r="P734" i="35"/>
  <c r="P735" i="35"/>
  <c r="P736" i="35"/>
  <c r="P737" i="35"/>
  <c r="P738" i="35"/>
  <c r="P739" i="35"/>
  <c r="P740" i="35"/>
  <c r="P741" i="35"/>
  <c r="P742" i="35"/>
  <c r="P743" i="35"/>
  <c r="P744" i="35"/>
  <c r="P745" i="35"/>
  <c r="P746" i="35"/>
  <c r="P747" i="35"/>
  <c r="P748" i="35"/>
  <c r="P749" i="35"/>
  <c r="P750" i="35"/>
  <c r="P751" i="35"/>
  <c r="P752" i="35"/>
  <c r="P753" i="35"/>
  <c r="P754" i="35"/>
  <c r="P755" i="35"/>
  <c r="P756" i="35"/>
  <c r="P757" i="35"/>
  <c r="P758" i="35"/>
  <c r="P759" i="35"/>
  <c r="P760" i="35"/>
  <c r="P761" i="35"/>
  <c r="P762" i="35"/>
  <c r="P763" i="35"/>
  <c r="P764" i="35"/>
  <c r="P765" i="35"/>
  <c r="P766" i="35"/>
  <c r="P767" i="35"/>
  <c r="P768" i="35"/>
  <c r="P769" i="35"/>
  <c r="P770" i="35"/>
  <c r="P771" i="35"/>
  <c r="P772" i="35"/>
  <c r="P773" i="35"/>
  <c r="P774" i="35"/>
  <c r="P775" i="35"/>
  <c r="P776" i="35"/>
  <c r="P777" i="35"/>
  <c r="P778" i="35"/>
  <c r="P779" i="35"/>
  <c r="P780" i="35"/>
  <c r="P781" i="35"/>
  <c r="P782" i="35"/>
  <c r="P783" i="35"/>
  <c r="P784" i="35"/>
  <c r="P785" i="35"/>
  <c r="P786" i="35"/>
  <c r="P787" i="35"/>
  <c r="P788" i="35"/>
  <c r="P789" i="35"/>
  <c r="P790" i="35"/>
  <c r="P791" i="35"/>
  <c r="P792" i="35"/>
  <c r="P793" i="35"/>
  <c r="P794" i="35"/>
  <c r="P795" i="35"/>
  <c r="P796" i="35"/>
  <c r="P797" i="35"/>
  <c r="P798" i="35"/>
  <c r="P799" i="35"/>
  <c r="P800" i="35"/>
  <c r="P801" i="35"/>
  <c r="P802" i="35"/>
  <c r="P803" i="35"/>
  <c r="P804" i="35"/>
  <c r="P805" i="35"/>
  <c r="P806" i="35"/>
  <c r="P807" i="35"/>
  <c r="P808" i="35"/>
  <c r="P809" i="35"/>
  <c r="P810" i="35"/>
  <c r="P811" i="35"/>
  <c r="P812" i="35"/>
  <c r="P813" i="35"/>
  <c r="P814" i="35"/>
  <c r="P815" i="35"/>
  <c r="P816" i="35"/>
  <c r="P817" i="35"/>
  <c r="P818" i="35"/>
  <c r="P819" i="35"/>
  <c r="P820" i="35"/>
  <c r="P821" i="35"/>
  <c r="P822" i="35"/>
  <c r="P823" i="35"/>
  <c r="P824" i="35"/>
  <c r="P825" i="35"/>
  <c r="P826" i="35"/>
  <c r="P827" i="35"/>
  <c r="P828" i="35"/>
  <c r="P829" i="35"/>
  <c r="P830" i="35"/>
  <c r="P831" i="35"/>
  <c r="P832" i="35"/>
  <c r="P833" i="35"/>
  <c r="P834" i="35"/>
  <c r="P835" i="35"/>
  <c r="P836" i="35"/>
  <c r="P837" i="35"/>
  <c r="P838" i="35"/>
  <c r="P839" i="35"/>
  <c r="P840" i="35"/>
  <c r="P841" i="35"/>
  <c r="P842" i="35"/>
  <c r="P843" i="35"/>
  <c r="P844" i="35"/>
  <c r="P845" i="35"/>
  <c r="P846" i="35"/>
  <c r="P847" i="35"/>
  <c r="P848" i="35"/>
  <c r="P849" i="35"/>
  <c r="P850" i="35"/>
  <c r="P851" i="35"/>
  <c r="P852" i="35"/>
  <c r="P853" i="35"/>
  <c r="P854" i="35"/>
  <c r="P855" i="35"/>
  <c r="P856" i="35"/>
  <c r="P857" i="35"/>
  <c r="P858" i="35"/>
  <c r="P859" i="35"/>
  <c r="P860" i="35"/>
  <c r="P861" i="35"/>
  <c r="P862" i="35"/>
  <c r="P863" i="35"/>
  <c r="P864" i="35"/>
  <c r="P865" i="35"/>
  <c r="P866" i="35"/>
  <c r="AA2" i="12"/>
  <c r="AA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A237" i="12"/>
  <c r="AA238" i="12"/>
  <c r="AA239" i="12"/>
  <c r="AA240" i="12"/>
  <c r="AA241" i="12"/>
  <c r="AA242" i="12"/>
  <c r="AA243" i="12"/>
  <c r="AA244" i="12"/>
  <c r="AA245" i="12"/>
  <c r="AA246" i="12"/>
  <c r="AA247" i="12"/>
  <c r="AA248" i="12"/>
  <c r="AA249" i="12"/>
  <c r="AA250" i="12"/>
  <c r="AA251" i="12"/>
  <c r="AA252" i="12"/>
  <c r="AA253" i="12"/>
  <c r="AA254" i="12"/>
  <c r="AA255" i="12"/>
  <c r="AA256" i="12"/>
  <c r="AA257" i="12"/>
  <c r="AA258" i="12"/>
  <c r="AA259" i="12"/>
  <c r="AA260" i="12"/>
  <c r="AA261" i="12"/>
  <c r="AA262" i="12"/>
  <c r="AA263" i="12"/>
  <c r="AA264" i="12"/>
  <c r="AA265" i="12"/>
  <c r="AA266" i="12"/>
  <c r="AA267" i="12"/>
  <c r="AA268" i="12"/>
  <c r="AA269" i="12"/>
  <c r="AA270" i="12"/>
  <c r="AA271" i="12"/>
  <c r="AA272" i="12"/>
  <c r="AA273" i="12"/>
  <c r="AA274" i="12"/>
  <c r="AA275" i="12"/>
  <c r="AA276" i="12"/>
  <c r="AA277" i="12"/>
  <c r="AA278" i="12"/>
  <c r="AA279" i="12"/>
  <c r="AA280" i="12"/>
  <c r="AA281" i="12"/>
  <c r="AA282" i="12"/>
  <c r="AA283" i="12"/>
  <c r="AA284" i="12"/>
  <c r="AA285" i="12"/>
  <c r="AA286" i="12"/>
  <c r="AA287" i="12"/>
  <c r="AA288" i="12"/>
  <c r="AA289" i="12"/>
  <c r="AA290" i="12"/>
  <c r="AA291" i="12"/>
  <c r="AA292" i="12"/>
  <c r="AA293" i="12"/>
  <c r="AA294" i="12"/>
  <c r="AA295" i="12"/>
  <c r="AA296" i="12"/>
  <c r="AA297" i="12"/>
  <c r="AA298" i="12"/>
  <c r="AA299" i="12"/>
  <c r="AA300" i="12"/>
  <c r="AA301" i="12"/>
  <c r="AA302" i="12"/>
  <c r="AA303" i="12"/>
  <c r="AA304" i="12"/>
  <c r="AA305" i="12"/>
  <c r="AA306" i="12"/>
  <c r="AA307" i="12"/>
  <c r="AA308" i="12"/>
  <c r="AA309" i="12"/>
  <c r="AA310" i="12"/>
  <c r="AA311" i="12"/>
  <c r="AA312" i="12"/>
  <c r="AA313" i="12"/>
  <c r="AA314" i="12"/>
  <c r="AA315" i="12"/>
  <c r="AA316" i="12"/>
  <c r="AA317" i="12"/>
  <c r="AA318" i="12"/>
  <c r="AA319" i="12"/>
  <c r="AA320" i="12"/>
  <c r="AA321" i="12"/>
  <c r="AA322" i="12"/>
  <c r="AA323" i="12"/>
  <c r="AA324" i="12"/>
  <c r="AA325" i="12"/>
  <c r="AA326" i="12"/>
  <c r="AA327" i="12"/>
  <c r="AA328" i="12"/>
  <c r="AA329" i="12"/>
  <c r="AA330" i="12"/>
  <c r="AA331" i="12"/>
  <c r="AA332" i="12"/>
  <c r="AA333" i="12"/>
  <c r="AA334" i="12"/>
  <c r="AA335" i="12"/>
  <c r="AA336" i="12"/>
  <c r="AA337" i="12"/>
  <c r="AA338" i="12"/>
  <c r="AA339" i="12"/>
  <c r="AA340" i="12"/>
  <c r="AA341" i="12"/>
  <c r="AA342" i="12"/>
  <c r="AA343" i="12"/>
  <c r="AA344" i="12"/>
  <c r="AA345" i="12"/>
  <c r="AA346" i="12"/>
  <c r="AA347" i="12"/>
  <c r="AA348" i="12"/>
  <c r="AA349" i="12"/>
  <c r="AA350" i="12"/>
  <c r="AA351" i="12"/>
  <c r="AA352" i="12"/>
  <c r="AA353" i="12"/>
  <c r="AA354" i="12"/>
  <c r="AA355" i="12"/>
  <c r="AA356" i="12"/>
  <c r="AA357" i="12"/>
  <c r="AA358" i="12"/>
  <c r="AA359" i="12"/>
  <c r="AA360" i="12"/>
  <c r="AA361" i="12"/>
  <c r="AA362" i="12"/>
  <c r="AA363" i="12"/>
  <c r="AA364" i="12"/>
  <c r="AA365" i="12"/>
  <c r="AA366" i="12"/>
  <c r="AA367" i="12"/>
  <c r="AA368" i="12"/>
  <c r="AA369" i="12"/>
  <c r="AA370" i="12"/>
  <c r="AA371" i="12"/>
  <c r="AA372" i="12"/>
  <c r="AA373" i="12"/>
  <c r="AA374" i="12"/>
  <c r="AA375" i="12"/>
  <c r="AA376" i="12"/>
  <c r="AA377" i="12"/>
  <c r="AA378" i="12"/>
  <c r="AA379" i="12"/>
  <c r="AA380" i="12"/>
  <c r="AA381" i="12"/>
  <c r="AA382" i="12"/>
  <c r="AA383" i="12"/>
  <c r="AA384" i="12"/>
  <c r="AA385" i="12"/>
  <c r="AA386" i="12"/>
  <c r="AA387" i="12"/>
  <c r="AA388" i="12"/>
  <c r="AA389" i="12"/>
  <c r="AA390" i="12"/>
  <c r="AA391" i="12"/>
  <c r="AA392" i="12"/>
  <c r="AA393" i="12"/>
  <c r="AA394" i="12"/>
  <c r="AA395" i="12"/>
  <c r="AA396" i="12"/>
  <c r="AA397" i="12"/>
  <c r="AA398" i="12"/>
  <c r="AA399" i="12"/>
  <c r="AA400" i="12"/>
  <c r="AA401" i="12"/>
  <c r="AA402" i="12"/>
  <c r="AA403" i="12"/>
  <c r="AA404" i="12"/>
  <c r="AA405" i="12"/>
  <c r="AA406" i="12"/>
  <c r="AA407" i="12"/>
  <c r="AA408" i="12"/>
  <c r="AA409" i="12"/>
  <c r="AA410" i="12"/>
  <c r="AA411" i="12"/>
  <c r="AA412" i="12"/>
  <c r="AA413" i="12"/>
  <c r="AA414" i="12"/>
  <c r="AA415" i="12"/>
  <c r="AA416" i="12"/>
  <c r="AA417" i="12"/>
  <c r="AA418" i="12"/>
  <c r="AA419" i="12"/>
  <c r="AA420" i="12"/>
  <c r="AA421" i="12"/>
  <c r="AA422" i="12"/>
  <c r="AA423" i="12"/>
  <c r="AA424" i="12"/>
  <c r="AA425" i="12"/>
  <c r="AA426" i="12"/>
  <c r="AA427" i="12"/>
  <c r="AA428" i="12"/>
  <c r="AA429" i="12"/>
  <c r="AA430" i="12"/>
  <c r="AA431" i="12"/>
  <c r="AA432" i="12"/>
  <c r="AA433" i="12"/>
  <c r="AA434" i="12"/>
  <c r="AA435" i="12"/>
  <c r="AA436" i="12"/>
  <c r="AA437" i="12"/>
  <c r="AA438" i="12"/>
  <c r="AA439" i="12"/>
  <c r="AA440" i="12"/>
  <c r="AA441" i="12"/>
  <c r="AA442" i="12"/>
  <c r="AA443" i="12"/>
  <c r="AA444" i="12"/>
  <c r="AA445" i="12"/>
  <c r="AA446" i="12"/>
  <c r="AA447" i="12"/>
  <c r="AA448" i="12"/>
  <c r="AA449" i="12"/>
  <c r="AA450" i="12"/>
  <c r="AA451" i="12"/>
  <c r="AA452" i="12"/>
  <c r="AA453" i="12"/>
  <c r="AA454" i="12"/>
  <c r="AA455" i="12"/>
  <c r="AA456" i="12"/>
  <c r="AA457" i="12"/>
  <c r="AA458" i="12"/>
  <c r="AA459" i="12"/>
  <c r="AA460" i="12"/>
  <c r="AA461" i="12"/>
  <c r="AA462" i="12"/>
  <c r="AA463" i="12"/>
  <c r="AA464" i="12"/>
  <c r="AA465" i="12"/>
  <c r="AA466" i="12"/>
  <c r="AA467" i="12"/>
  <c r="AA468" i="12"/>
  <c r="AA469" i="12"/>
  <c r="AA470" i="12"/>
  <c r="AA471" i="12"/>
  <c r="AA472" i="12"/>
  <c r="AA473" i="12"/>
  <c r="AA474" i="12"/>
  <c r="AA475" i="12"/>
  <c r="AA476" i="12"/>
  <c r="AA477" i="12"/>
  <c r="AA478" i="12"/>
  <c r="AA479" i="12"/>
  <c r="AA480" i="12"/>
  <c r="AA481" i="12"/>
  <c r="AA482" i="12"/>
  <c r="AA483" i="12"/>
  <c r="AA484" i="12"/>
  <c r="AA485" i="12"/>
  <c r="AA486" i="12"/>
  <c r="AA487" i="12"/>
  <c r="AA488" i="12"/>
  <c r="AA489" i="12"/>
  <c r="AA490" i="12"/>
  <c r="AA491" i="12"/>
  <c r="AA492" i="12"/>
  <c r="AA493" i="12"/>
  <c r="AA494" i="12"/>
  <c r="AA495" i="12"/>
  <c r="AA496" i="12"/>
  <c r="AA497" i="12"/>
  <c r="AA498" i="12"/>
  <c r="AA499" i="12"/>
  <c r="AA500" i="12"/>
  <c r="AA501" i="12"/>
  <c r="AA502" i="12"/>
  <c r="AA503" i="12"/>
  <c r="AA504" i="12"/>
  <c r="AA505" i="12"/>
  <c r="AA506" i="12"/>
  <c r="AA507" i="12"/>
  <c r="AA508" i="12"/>
  <c r="AA509" i="12"/>
  <c r="AA510" i="12"/>
  <c r="AA511" i="12"/>
  <c r="AA512" i="12"/>
  <c r="AA513" i="12"/>
  <c r="AA514" i="12"/>
  <c r="AA515" i="12"/>
  <c r="AA516" i="12"/>
  <c r="AA517" i="12"/>
  <c r="AA518" i="12"/>
  <c r="AA519" i="12"/>
  <c r="AA520" i="12"/>
  <c r="AA521" i="12"/>
  <c r="AA522" i="12"/>
  <c r="AA523" i="12"/>
  <c r="AA524" i="12"/>
  <c r="AA525" i="12"/>
  <c r="AA526" i="12"/>
  <c r="AA527" i="12"/>
  <c r="AA528" i="12"/>
  <c r="AA529" i="12"/>
  <c r="AA530" i="12"/>
  <c r="AA531" i="12"/>
  <c r="AA532" i="12"/>
  <c r="AA533" i="12"/>
  <c r="AA534" i="12"/>
  <c r="AA535" i="12"/>
  <c r="AA536" i="12"/>
  <c r="AA537" i="12"/>
  <c r="AA538" i="12"/>
  <c r="AA539" i="12"/>
  <c r="AA540" i="12"/>
  <c r="AA541" i="12"/>
  <c r="AA542" i="12"/>
  <c r="AA543" i="12"/>
  <c r="AA544" i="12"/>
  <c r="AA545" i="12"/>
  <c r="AA546" i="12"/>
  <c r="AA547" i="12"/>
  <c r="AA548" i="12"/>
  <c r="AA549" i="12"/>
  <c r="AA550" i="12"/>
  <c r="AA551" i="12"/>
  <c r="AA552" i="12"/>
  <c r="AA553" i="12"/>
  <c r="AA554" i="12"/>
  <c r="AA555" i="12"/>
  <c r="AA556" i="12"/>
  <c r="AA557" i="12"/>
  <c r="AA558" i="12"/>
  <c r="AA559" i="12"/>
  <c r="AA560" i="12"/>
  <c r="AA561" i="12"/>
  <c r="AA562" i="12"/>
  <c r="AA563" i="12"/>
  <c r="AA564" i="12"/>
  <c r="AA565" i="12"/>
  <c r="AA566" i="12"/>
  <c r="AA567" i="12"/>
  <c r="AA568" i="12"/>
  <c r="AA569" i="12"/>
  <c r="AA570" i="12"/>
  <c r="AA571" i="12"/>
  <c r="AA572" i="12"/>
  <c r="AA573" i="12"/>
  <c r="AA574" i="12"/>
  <c r="AA575" i="12"/>
  <c r="AA576" i="12"/>
  <c r="AA577" i="12"/>
  <c r="AA578" i="12"/>
  <c r="AA579" i="12"/>
  <c r="AA580" i="12"/>
  <c r="AA581" i="12"/>
  <c r="AA582" i="12"/>
  <c r="AA583" i="12"/>
  <c r="AA584" i="12"/>
  <c r="AA585" i="12"/>
  <c r="AA586" i="12"/>
  <c r="AA587" i="12"/>
  <c r="AA588" i="12"/>
  <c r="AA589" i="12"/>
  <c r="AA590" i="12"/>
  <c r="AA591" i="12"/>
  <c r="AA592" i="12"/>
  <c r="AA593" i="12"/>
  <c r="AA594" i="12"/>
  <c r="AA595" i="12"/>
  <c r="AA596" i="12"/>
  <c r="AA597" i="12"/>
  <c r="AA598" i="12"/>
  <c r="AA599" i="12"/>
  <c r="AA600" i="12"/>
  <c r="AA601" i="12"/>
  <c r="AA602" i="12"/>
  <c r="AA603" i="12"/>
  <c r="AA604" i="12"/>
  <c r="AA605" i="12"/>
  <c r="AA606" i="12"/>
  <c r="AA607" i="12"/>
  <c r="AA608" i="12"/>
  <c r="AA609" i="12"/>
  <c r="AA610" i="12"/>
  <c r="AA611" i="12"/>
  <c r="AA612" i="12"/>
  <c r="AA613" i="12"/>
  <c r="AA614" i="12"/>
  <c r="AA615" i="12"/>
  <c r="AA616" i="12"/>
  <c r="AA617" i="12"/>
  <c r="AA618" i="12"/>
  <c r="AA619" i="12"/>
  <c r="AA620" i="12"/>
  <c r="AA621" i="12"/>
  <c r="AA622" i="12"/>
  <c r="AA623" i="12"/>
  <c r="AA624" i="12"/>
  <c r="AA625" i="12"/>
  <c r="AA626" i="12"/>
  <c r="AA627" i="12"/>
  <c r="AA628" i="12"/>
  <c r="AA629" i="12"/>
  <c r="AA630" i="12"/>
  <c r="AA631" i="12"/>
  <c r="AA632" i="12"/>
  <c r="AA633" i="12"/>
  <c r="AA634" i="12"/>
  <c r="AA635" i="12"/>
  <c r="AA636" i="12"/>
  <c r="AA637" i="12"/>
  <c r="AA638" i="12"/>
  <c r="AA639" i="12"/>
  <c r="AA640" i="12"/>
  <c r="AA641" i="12"/>
  <c r="AA642" i="12"/>
  <c r="AA643" i="12"/>
  <c r="AA644" i="12"/>
  <c r="AA645" i="12"/>
  <c r="AA646" i="12"/>
  <c r="AA647" i="12"/>
  <c r="AA648" i="12"/>
  <c r="AA649" i="12"/>
  <c r="AA650" i="12"/>
  <c r="AA651" i="12"/>
  <c r="AA652" i="12"/>
  <c r="AA653" i="12"/>
  <c r="AA654" i="12"/>
  <c r="AA655" i="12"/>
  <c r="I9" i="21"/>
  <c r="M13" i="21"/>
  <c r="M12" i="21"/>
  <c r="M11" i="21"/>
  <c r="M10" i="21"/>
  <c r="M9" i="21"/>
  <c r="AU2" i="25"/>
  <c r="AU3" i="25"/>
  <c r="AU4" i="25"/>
  <c r="AU5" i="25"/>
  <c r="AU6" i="25"/>
  <c r="AU7" i="25"/>
  <c r="AU8" i="25"/>
  <c r="AU9" i="25"/>
  <c r="AU10" i="25"/>
  <c r="AU11" i="25"/>
  <c r="AU12" i="25"/>
  <c r="AU13" i="25"/>
  <c r="AU14" i="25"/>
  <c r="AU15" i="25"/>
  <c r="AU16" i="25"/>
  <c r="AU17" i="25"/>
  <c r="AU18" i="25"/>
  <c r="AU19" i="25"/>
  <c r="AU20" i="25"/>
  <c r="AU21" i="25"/>
  <c r="AU22" i="25"/>
  <c r="AU23" i="25"/>
  <c r="AU24" i="25"/>
  <c r="AU25" i="25"/>
  <c r="AU26" i="25"/>
  <c r="AU27" i="25"/>
  <c r="AU28" i="25"/>
  <c r="AU29" i="25"/>
  <c r="AU30" i="25"/>
  <c r="AU31" i="25"/>
  <c r="AU32" i="25"/>
  <c r="AU33" i="25"/>
  <c r="AU34" i="25"/>
  <c r="AU35" i="25"/>
  <c r="AU36" i="25"/>
  <c r="AU37" i="25"/>
  <c r="AU38" i="25"/>
  <c r="AU39" i="25"/>
  <c r="AU40" i="25"/>
  <c r="AU41" i="25"/>
  <c r="AU42" i="25"/>
  <c r="AU43" i="25"/>
  <c r="AU44" i="25"/>
  <c r="AU45" i="25"/>
  <c r="AU46" i="25"/>
  <c r="AU47" i="25"/>
  <c r="AU48" i="25"/>
  <c r="AU49" i="25"/>
  <c r="AU50" i="25"/>
  <c r="AU51" i="25"/>
  <c r="AU52" i="25"/>
  <c r="AU53" i="25"/>
  <c r="AU54" i="25"/>
  <c r="AU55" i="25"/>
  <c r="AU56" i="25"/>
  <c r="AU57" i="25"/>
  <c r="AU58" i="25"/>
  <c r="AU59" i="25"/>
  <c r="AU60" i="25"/>
  <c r="AU61" i="25"/>
  <c r="AU62" i="25"/>
  <c r="AU63" i="25"/>
  <c r="AU64" i="25"/>
  <c r="AU65" i="25"/>
  <c r="AU66" i="25"/>
  <c r="AU67" i="25"/>
  <c r="AU68" i="25"/>
  <c r="AU69" i="25"/>
  <c r="AU70" i="25"/>
  <c r="AU71" i="25"/>
  <c r="AU72" i="25"/>
  <c r="AU73" i="25"/>
  <c r="AU74" i="25"/>
  <c r="AU75" i="25"/>
  <c r="AU76" i="25"/>
  <c r="AU77" i="25"/>
  <c r="AU78" i="25"/>
  <c r="AU79" i="25"/>
  <c r="AU80" i="25"/>
  <c r="AU81" i="25"/>
  <c r="AU82" i="25"/>
  <c r="AU83" i="25"/>
  <c r="AU84" i="25"/>
  <c r="AU85" i="25"/>
  <c r="AU86" i="25"/>
  <c r="AU87" i="25"/>
  <c r="AU88" i="25"/>
  <c r="AU89" i="25"/>
  <c r="AU90" i="25"/>
  <c r="AU91" i="25"/>
  <c r="AU92" i="25"/>
  <c r="AU93" i="25"/>
  <c r="AU94" i="25"/>
  <c r="AU95" i="25"/>
  <c r="AU96" i="25"/>
  <c r="AU97" i="25"/>
  <c r="AU98" i="25"/>
  <c r="AU99" i="25"/>
  <c r="AU100" i="25"/>
  <c r="AU101" i="25"/>
  <c r="AU102" i="25"/>
  <c r="AU103" i="25"/>
  <c r="AU104" i="25"/>
  <c r="AU105" i="25"/>
  <c r="AU106" i="25"/>
  <c r="AU107" i="25"/>
  <c r="AU108" i="25"/>
  <c r="AU109" i="25"/>
  <c r="AU110" i="25"/>
  <c r="AU111" i="25"/>
  <c r="AU112" i="25"/>
  <c r="AU113" i="25"/>
  <c r="AU114" i="25"/>
  <c r="AU115" i="25"/>
  <c r="AU116" i="25"/>
  <c r="AU117" i="25"/>
  <c r="AU118" i="25"/>
  <c r="AU119" i="25"/>
  <c r="AU120" i="25"/>
  <c r="AU121" i="25"/>
  <c r="AU122" i="25"/>
  <c r="AU123" i="25"/>
  <c r="AU124" i="25"/>
  <c r="AU125" i="25"/>
  <c r="AU126" i="25"/>
  <c r="AU127" i="25"/>
  <c r="AU128" i="25"/>
  <c r="AU129" i="25"/>
  <c r="AU130" i="25"/>
  <c r="AU131" i="25"/>
  <c r="AU132" i="25"/>
  <c r="AU133" i="25"/>
  <c r="AU134" i="25"/>
  <c r="AU135" i="25"/>
  <c r="AU136" i="25"/>
  <c r="AU137" i="25"/>
  <c r="AU138" i="25"/>
  <c r="AU139" i="25"/>
  <c r="AU140" i="25"/>
  <c r="AU141" i="25"/>
  <c r="AU142" i="25"/>
  <c r="AU143" i="25"/>
  <c r="AU144" i="25"/>
  <c r="AU145" i="25"/>
  <c r="AU146" i="25"/>
  <c r="AU147" i="25"/>
  <c r="AU148" i="25"/>
  <c r="AU149" i="25"/>
  <c r="AU150" i="25"/>
  <c r="AU151" i="25"/>
  <c r="AU152" i="25"/>
  <c r="AU153" i="25"/>
  <c r="AU154" i="25"/>
  <c r="AU155" i="25"/>
  <c r="AU156" i="25"/>
  <c r="AU157" i="25"/>
  <c r="AU158" i="25"/>
  <c r="AU159" i="25"/>
  <c r="AU160" i="25"/>
  <c r="AU161" i="25"/>
  <c r="AU162" i="25"/>
  <c r="AU163" i="25"/>
  <c r="AU164" i="25"/>
  <c r="AU165" i="25"/>
  <c r="AU166" i="25"/>
  <c r="AU167" i="25"/>
  <c r="AU168" i="25"/>
  <c r="AU169" i="25"/>
  <c r="AU170" i="25"/>
  <c r="AU171" i="25"/>
  <c r="AU172" i="25"/>
  <c r="AU173" i="25"/>
  <c r="AU174" i="25"/>
  <c r="AU175" i="25"/>
  <c r="AU176" i="25"/>
  <c r="AU177" i="25"/>
  <c r="AU178" i="25"/>
  <c r="AU179" i="25"/>
  <c r="AU180" i="25"/>
  <c r="AU181" i="25"/>
  <c r="AU182" i="25"/>
  <c r="AU183" i="25"/>
  <c r="AU184" i="25"/>
  <c r="AU185" i="25"/>
  <c r="AU186" i="25"/>
  <c r="AU187" i="25"/>
  <c r="AU188" i="25"/>
  <c r="AU189" i="25"/>
  <c r="AU190" i="25"/>
  <c r="AU191" i="25"/>
  <c r="AU192" i="25"/>
  <c r="AU193" i="25"/>
  <c r="AU194" i="25"/>
  <c r="AU195" i="25"/>
  <c r="AU196" i="25"/>
  <c r="AU197" i="25"/>
  <c r="AU198" i="25"/>
  <c r="AU199" i="25"/>
  <c r="AU200" i="25"/>
  <c r="AU201" i="25"/>
  <c r="AU202" i="25"/>
  <c r="AU203" i="25"/>
  <c r="AU204" i="25"/>
  <c r="AU205" i="25"/>
  <c r="AU206" i="25"/>
  <c r="AU207" i="25"/>
  <c r="AU208" i="25"/>
  <c r="AU209" i="25"/>
  <c r="AU210" i="25"/>
  <c r="AU211" i="25"/>
  <c r="AU212" i="25"/>
  <c r="AU213" i="25"/>
  <c r="AU214" i="25"/>
  <c r="AU215" i="25"/>
  <c r="AU216" i="25"/>
  <c r="AU217" i="25"/>
  <c r="AU218" i="25"/>
  <c r="AU219" i="25"/>
  <c r="AU220" i="25"/>
  <c r="AU221" i="25"/>
  <c r="AU222" i="25"/>
  <c r="AU223" i="25"/>
  <c r="AU224" i="25"/>
  <c r="AU225" i="25"/>
  <c r="AU226" i="25"/>
  <c r="AU227" i="25"/>
  <c r="AU228" i="25"/>
  <c r="AU229" i="25"/>
  <c r="AU230" i="25"/>
  <c r="AU231" i="25"/>
  <c r="AU232" i="25"/>
  <c r="AU233" i="25"/>
  <c r="AU234" i="25"/>
  <c r="AU235" i="25"/>
  <c r="AU236" i="25"/>
  <c r="AU237" i="25"/>
  <c r="AU238" i="25"/>
  <c r="AU239" i="25"/>
  <c r="AU240" i="25"/>
  <c r="AU241" i="25"/>
  <c r="AU242" i="25"/>
  <c r="AU243" i="25"/>
  <c r="AU244" i="25"/>
  <c r="AU245" i="25"/>
  <c r="AU246" i="25"/>
  <c r="AU247" i="25"/>
  <c r="AU248" i="25"/>
  <c r="AU249" i="25"/>
  <c r="AU250" i="25"/>
  <c r="AU251" i="25"/>
  <c r="AU252" i="25"/>
  <c r="AU253" i="25"/>
  <c r="AU254" i="25"/>
  <c r="AU255" i="25"/>
  <c r="AU256" i="25"/>
  <c r="AU257" i="25"/>
  <c r="AU258" i="25"/>
  <c r="AU259" i="25"/>
  <c r="AU260" i="25"/>
  <c r="AU261" i="25"/>
  <c r="AU262" i="25"/>
  <c r="AU263" i="25"/>
  <c r="AU264" i="25"/>
  <c r="AU265" i="25"/>
  <c r="AU266" i="25"/>
  <c r="AU267" i="25"/>
  <c r="AU268" i="25"/>
  <c r="AU269" i="25"/>
  <c r="AU270" i="25"/>
  <c r="AU271" i="25"/>
  <c r="AU272" i="25"/>
  <c r="AU273" i="25"/>
  <c r="AU274" i="25"/>
  <c r="AU275" i="25"/>
  <c r="AU276" i="25"/>
  <c r="AU277" i="25"/>
  <c r="AU278" i="25"/>
  <c r="AU279" i="25"/>
  <c r="AU280" i="25"/>
  <c r="AU281" i="25"/>
  <c r="AU282" i="25"/>
  <c r="AU283" i="25"/>
  <c r="AU284" i="25"/>
  <c r="AU285" i="25"/>
  <c r="AU286" i="25"/>
  <c r="AU287" i="25"/>
  <c r="AU288" i="25"/>
  <c r="AU289" i="25"/>
  <c r="AU290" i="25"/>
  <c r="AU291" i="25"/>
  <c r="AU292" i="25"/>
  <c r="AU293" i="25"/>
  <c r="AU294" i="25"/>
  <c r="AU295" i="25"/>
  <c r="AU296" i="25"/>
  <c r="AU297" i="25"/>
  <c r="AU298" i="25"/>
  <c r="AU299" i="25"/>
  <c r="AU300" i="25"/>
  <c r="AU301" i="25"/>
  <c r="AU302" i="25"/>
  <c r="AU303" i="25"/>
  <c r="AU304" i="25"/>
  <c r="AU305" i="25"/>
  <c r="AU306" i="25"/>
  <c r="AU307" i="25"/>
  <c r="AU308" i="25"/>
  <c r="AU309" i="25"/>
  <c r="AU310" i="25"/>
  <c r="AU311" i="25"/>
  <c r="AU312" i="25"/>
  <c r="AU313" i="25"/>
  <c r="AU314" i="25"/>
  <c r="AU315" i="25"/>
  <c r="AU316" i="25"/>
  <c r="AU317" i="25"/>
  <c r="AU318" i="25"/>
  <c r="AU319" i="25"/>
  <c r="AU320" i="25"/>
  <c r="AU321" i="25"/>
  <c r="AU322" i="25"/>
  <c r="AU323" i="25"/>
  <c r="AU324" i="25"/>
  <c r="AU325" i="25"/>
  <c r="AU326" i="25"/>
  <c r="AU327" i="25"/>
  <c r="AU328" i="25"/>
  <c r="AU329" i="25"/>
  <c r="AU330" i="25"/>
  <c r="AU331" i="25"/>
  <c r="AU332" i="25"/>
  <c r="AU333" i="25"/>
  <c r="AU334" i="25"/>
  <c r="AU335" i="25"/>
  <c r="AU336" i="25"/>
  <c r="AU337" i="25"/>
  <c r="AU338" i="25"/>
  <c r="AU339" i="25"/>
  <c r="AU340" i="25"/>
  <c r="AU341" i="25"/>
  <c r="AU342" i="25"/>
  <c r="AU343" i="25"/>
  <c r="AU344" i="25"/>
  <c r="AU345" i="25"/>
  <c r="AU346" i="25"/>
  <c r="AU347" i="25"/>
  <c r="AU348" i="25"/>
  <c r="AU349" i="25"/>
  <c r="AU350" i="25"/>
  <c r="AU351" i="25"/>
  <c r="AU352" i="25"/>
  <c r="AU353" i="25"/>
  <c r="AU354" i="25"/>
  <c r="AU355" i="25"/>
  <c r="AU356" i="25"/>
  <c r="AU357" i="25"/>
  <c r="AU358" i="25"/>
  <c r="AU359" i="25"/>
  <c r="AU360" i="25"/>
  <c r="AU361" i="25"/>
  <c r="AU362" i="25"/>
  <c r="AU363" i="25"/>
  <c r="AU364" i="25"/>
  <c r="AU365" i="25"/>
  <c r="AU366" i="25"/>
  <c r="AU367" i="25"/>
  <c r="AU368" i="25"/>
  <c r="AU369" i="25"/>
  <c r="AU370" i="25"/>
  <c r="AU371" i="25"/>
  <c r="AU372" i="25"/>
  <c r="AU373" i="25"/>
  <c r="AU374" i="25"/>
  <c r="AU375" i="25"/>
  <c r="AU376" i="25"/>
  <c r="AU377" i="25"/>
  <c r="AU378" i="25"/>
  <c r="AU379" i="25"/>
  <c r="AU380" i="25"/>
  <c r="AU381" i="25"/>
  <c r="AU382" i="25"/>
  <c r="AU383" i="25"/>
  <c r="AU384" i="25"/>
  <c r="AU385" i="25"/>
  <c r="AU386" i="25"/>
  <c r="AU387" i="25"/>
  <c r="AU388" i="25"/>
  <c r="AU389" i="25"/>
  <c r="AU390" i="25"/>
  <c r="AU391" i="25"/>
  <c r="AU392" i="25"/>
  <c r="AU393" i="25"/>
  <c r="AU394" i="25"/>
  <c r="AU395" i="25"/>
  <c r="AU396" i="25"/>
  <c r="AU397" i="25"/>
  <c r="AU398" i="25"/>
  <c r="AU399" i="25"/>
  <c r="AU400" i="25"/>
  <c r="AU401" i="25"/>
  <c r="AU402" i="25"/>
  <c r="AU403" i="25"/>
  <c r="AU404" i="25"/>
  <c r="AU405" i="25"/>
  <c r="AU406" i="25"/>
  <c r="AU407" i="25"/>
  <c r="AU408" i="25"/>
  <c r="AU409" i="25"/>
  <c r="AU410" i="25"/>
  <c r="AU411" i="25"/>
  <c r="AU412" i="25"/>
  <c r="AU413" i="25"/>
  <c r="AU414" i="25"/>
  <c r="AU415" i="25"/>
  <c r="AU416" i="25"/>
  <c r="AU417" i="25"/>
  <c r="AU418" i="25"/>
  <c r="AU419" i="25"/>
  <c r="AU420" i="25"/>
  <c r="AU421" i="25"/>
  <c r="AU422" i="25"/>
  <c r="AU423" i="25"/>
  <c r="AU424" i="25"/>
  <c r="AU425" i="25"/>
  <c r="AU426" i="25"/>
  <c r="AU427" i="25"/>
  <c r="AU428" i="25"/>
  <c r="AU429" i="25"/>
  <c r="AU430" i="25"/>
  <c r="AU431" i="25"/>
  <c r="AU432" i="25"/>
  <c r="AU433" i="25"/>
  <c r="AU434" i="25"/>
  <c r="AU435" i="25"/>
  <c r="AU436" i="25"/>
  <c r="AU437" i="25"/>
  <c r="AU438" i="25"/>
  <c r="AU439" i="25"/>
  <c r="AU440" i="25"/>
  <c r="AU441" i="25"/>
  <c r="AU442" i="25"/>
  <c r="AU443" i="25"/>
  <c r="AU444" i="25"/>
  <c r="AU445" i="25"/>
  <c r="AU446" i="25"/>
  <c r="AU447" i="25"/>
  <c r="AU448" i="25"/>
  <c r="AU449" i="25"/>
  <c r="AU450" i="25"/>
  <c r="AU451" i="25"/>
  <c r="AU452" i="25"/>
  <c r="AU453" i="25"/>
  <c r="AU454" i="25"/>
  <c r="AU455" i="25"/>
  <c r="AU456" i="25"/>
  <c r="AU457" i="25"/>
  <c r="AU458" i="25"/>
  <c r="AU459" i="25"/>
  <c r="AU460" i="25"/>
  <c r="AU461" i="25"/>
  <c r="AU462" i="25"/>
  <c r="AU463" i="25"/>
  <c r="AU464" i="25"/>
  <c r="AU465" i="25"/>
  <c r="AU466" i="25"/>
  <c r="AU467" i="25"/>
  <c r="AU468" i="25"/>
  <c r="AU469" i="25"/>
  <c r="AU470" i="25"/>
  <c r="AU471" i="25"/>
  <c r="AU472" i="25"/>
  <c r="AU473" i="25"/>
  <c r="AU474" i="25"/>
  <c r="AU475" i="25"/>
  <c r="AU476" i="25"/>
  <c r="AU477" i="25"/>
  <c r="AU478" i="25"/>
  <c r="AU479" i="25"/>
  <c r="AU480" i="25"/>
  <c r="AU481" i="25"/>
  <c r="AU482" i="25"/>
  <c r="AU483" i="25"/>
  <c r="AU484" i="25"/>
  <c r="AU485" i="25"/>
  <c r="AU486" i="25"/>
  <c r="AU487" i="25"/>
  <c r="AU488" i="25"/>
  <c r="AU489" i="25"/>
  <c r="AU490" i="25"/>
  <c r="AU491" i="25"/>
  <c r="AU492" i="25"/>
  <c r="AU493" i="25"/>
  <c r="AU494" i="25"/>
  <c r="AU495" i="25"/>
  <c r="AU496" i="25"/>
  <c r="AU497" i="25"/>
  <c r="AU498" i="25"/>
  <c r="AU499" i="25"/>
  <c r="AU500" i="25"/>
  <c r="AU501" i="25"/>
  <c r="AU502" i="25"/>
  <c r="AU503" i="25"/>
  <c r="AU504" i="25"/>
  <c r="AU505" i="25"/>
  <c r="AU506" i="25"/>
  <c r="AU507" i="25"/>
  <c r="AU508" i="25"/>
  <c r="AU509" i="25"/>
  <c r="AU510" i="25"/>
  <c r="AU511" i="25"/>
  <c r="AU512" i="25"/>
  <c r="AU513" i="25"/>
  <c r="AU514" i="25"/>
  <c r="AU515" i="25"/>
  <c r="AU516" i="25"/>
  <c r="AU517" i="25"/>
  <c r="AU518" i="25"/>
  <c r="AU519" i="25"/>
  <c r="AU520" i="25"/>
  <c r="AU521" i="25"/>
  <c r="AU522" i="25"/>
  <c r="AU523" i="25"/>
  <c r="AU524" i="25"/>
  <c r="AU525" i="25"/>
  <c r="AU526" i="25"/>
  <c r="AU527" i="25"/>
  <c r="AU528" i="25"/>
  <c r="AU529" i="25"/>
  <c r="AU530" i="25"/>
  <c r="AU531" i="25"/>
  <c r="AU532" i="25"/>
  <c r="AU533" i="25"/>
  <c r="AU534" i="25"/>
  <c r="AU535" i="25"/>
  <c r="AU536" i="25"/>
  <c r="AU537" i="25"/>
  <c r="AU538" i="25"/>
  <c r="AU539" i="25"/>
  <c r="AU540" i="25"/>
  <c r="AU541" i="25"/>
  <c r="AU542" i="25"/>
  <c r="AU543" i="25"/>
  <c r="AU544" i="25"/>
  <c r="AU545" i="25"/>
  <c r="AU546" i="25"/>
  <c r="AU547" i="25"/>
  <c r="AU548" i="25"/>
  <c r="AU549" i="25"/>
  <c r="AU550" i="25"/>
  <c r="AU551" i="25"/>
  <c r="AU552" i="25"/>
  <c r="AU553" i="25"/>
  <c r="AU554" i="25"/>
  <c r="AU555" i="25"/>
  <c r="AU556" i="25"/>
  <c r="AU557" i="25"/>
  <c r="AU558" i="25"/>
  <c r="AU559" i="25"/>
  <c r="AU560" i="25"/>
  <c r="AU561" i="25"/>
  <c r="AU562" i="25"/>
  <c r="AU563" i="25"/>
  <c r="AU564" i="25"/>
  <c r="AU565" i="25"/>
  <c r="AU566" i="25"/>
  <c r="AU567" i="25"/>
  <c r="AU568" i="25"/>
  <c r="AU569" i="25"/>
  <c r="AU570" i="25"/>
  <c r="AU571" i="25"/>
  <c r="AU572" i="25"/>
  <c r="AU573" i="25"/>
  <c r="AU574" i="25"/>
  <c r="AU575" i="25"/>
  <c r="AU576" i="25"/>
  <c r="AU577" i="25"/>
  <c r="AU578" i="25"/>
  <c r="AU579" i="25"/>
  <c r="AU580" i="25"/>
  <c r="AU581" i="25"/>
  <c r="AU582" i="25"/>
  <c r="AU583" i="25"/>
  <c r="AU584" i="25"/>
  <c r="AU585" i="25"/>
  <c r="AU586" i="25"/>
  <c r="AU587" i="25"/>
  <c r="AU588" i="25"/>
  <c r="AU589" i="25"/>
  <c r="AU590" i="25"/>
  <c r="AU591" i="25"/>
  <c r="AU592" i="25"/>
  <c r="AU593" i="25"/>
  <c r="AU594" i="25"/>
  <c r="AU595" i="25"/>
  <c r="AU596" i="25"/>
  <c r="A866" i="36"/>
  <c r="A865" i="36"/>
  <c r="A864" i="36"/>
  <c r="A863" i="36"/>
  <c r="A862" i="36"/>
  <c r="A861" i="36"/>
  <c r="A860" i="36"/>
  <c r="A859" i="36"/>
  <c r="A858" i="36"/>
  <c r="A857" i="36"/>
  <c r="A856" i="36"/>
  <c r="A855" i="36"/>
  <c r="A854" i="36"/>
  <c r="A853" i="36"/>
  <c r="A852" i="36"/>
  <c r="A851" i="36"/>
  <c r="A850" i="36"/>
  <c r="A849" i="36"/>
  <c r="A848" i="36"/>
  <c r="A847" i="36"/>
  <c r="A846" i="36"/>
  <c r="A845" i="36"/>
  <c r="A844" i="36"/>
  <c r="A843" i="36"/>
  <c r="A866" i="34"/>
  <c r="A865" i="34"/>
  <c r="A864" i="34"/>
  <c r="A863" i="34"/>
  <c r="A862" i="34"/>
  <c r="A861" i="34"/>
  <c r="A860" i="34"/>
  <c r="A859" i="34"/>
  <c r="A858" i="34"/>
  <c r="A857" i="34"/>
  <c r="A856" i="34"/>
  <c r="A855" i="34"/>
  <c r="A854" i="34"/>
  <c r="A853" i="34"/>
  <c r="A852" i="34"/>
  <c r="A851" i="34"/>
  <c r="A850" i="34"/>
  <c r="A849" i="34"/>
  <c r="A848" i="34"/>
  <c r="A847" i="34"/>
  <c r="A846" i="34"/>
  <c r="A845" i="34"/>
  <c r="A844" i="34"/>
  <c r="A843" i="34"/>
  <c r="A842" i="34"/>
  <c r="A841" i="34"/>
  <c r="A840" i="34"/>
  <c r="A839" i="34"/>
  <c r="A838" i="34"/>
  <c r="A837" i="34"/>
  <c r="A836" i="34"/>
  <c r="A835" i="34"/>
  <c r="A834" i="34"/>
  <c r="A833" i="34"/>
  <c r="A832" i="34"/>
  <c r="A831" i="34"/>
  <c r="A830" i="34"/>
  <c r="A829" i="34"/>
  <c r="A828" i="34"/>
  <c r="A827" i="34"/>
  <c r="A826" i="34"/>
  <c r="A825" i="34"/>
  <c r="A824" i="34"/>
  <c r="A823" i="34"/>
  <c r="A822" i="34"/>
  <c r="A821" i="34"/>
  <c r="A820" i="34"/>
  <c r="A819" i="34"/>
  <c r="A818" i="34"/>
  <c r="A817" i="34"/>
  <c r="A816" i="34"/>
  <c r="A815" i="34"/>
  <c r="A814" i="34"/>
  <c r="A813" i="34"/>
  <c r="A812" i="34"/>
  <c r="A811" i="34"/>
  <c r="A810" i="34"/>
  <c r="A809" i="34"/>
  <c r="A808" i="34"/>
  <c r="A807" i="34"/>
  <c r="A806" i="34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0" i="21"/>
  <c r="H6" i="24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B1" i="14"/>
  <c r="L21" i="7"/>
  <c r="A3" i="20"/>
  <c r="B3" i="20" s="1"/>
  <c r="A4" i="20"/>
  <c r="B4" i="20" s="1"/>
  <c r="A5" i="20"/>
  <c r="B5" i="20" s="1"/>
  <c r="A6" i="20"/>
  <c r="I6" i="20" s="1"/>
  <c r="A7" i="20"/>
  <c r="B7" i="20" s="1"/>
  <c r="A8" i="20"/>
  <c r="B8" i="20" s="1"/>
  <c r="A9" i="20"/>
  <c r="B9" i="20" s="1"/>
  <c r="A10" i="20"/>
  <c r="I10" i="20" s="1"/>
  <c r="A11" i="20"/>
  <c r="B11" i="20" s="1"/>
  <c r="A12" i="20"/>
  <c r="B12" i="20" s="1"/>
  <c r="A13" i="20"/>
  <c r="B13" i="20" s="1"/>
  <c r="A14" i="20"/>
  <c r="I14" i="20" s="1"/>
  <c r="A15" i="20"/>
  <c r="B15" i="20" s="1"/>
  <c r="A16" i="20"/>
  <c r="B16" i="20" s="1"/>
  <c r="A17" i="20"/>
  <c r="B17" i="20" s="1"/>
  <c r="A18" i="20"/>
  <c r="I18" i="20" s="1"/>
  <c r="A19" i="20"/>
  <c r="B19" i="20" s="1"/>
  <c r="A20" i="20"/>
  <c r="B20" i="20" s="1"/>
  <c r="A21" i="20"/>
  <c r="C21" i="20" s="1"/>
  <c r="A2" i="20"/>
  <c r="I2" i="20" s="1"/>
  <c r="B113" i="7"/>
  <c r="N321" i="7"/>
  <c r="B342" i="7"/>
  <c r="C342" i="25" s="1"/>
  <c r="C342" i="7"/>
  <c r="B342" i="25" s="1"/>
  <c r="I342" i="7"/>
  <c r="L342" i="7"/>
  <c r="M342" i="7"/>
  <c r="N342" i="7"/>
  <c r="O342" i="7"/>
  <c r="K342" i="25" s="1"/>
  <c r="P342" i="7"/>
  <c r="L342" i="25" s="1"/>
  <c r="Q342" i="7"/>
  <c r="B539" i="7"/>
  <c r="C539" i="25" s="1"/>
  <c r="AY539" i="25" s="1"/>
  <c r="C539" i="7"/>
  <c r="B539" i="25" s="1"/>
  <c r="I539" i="7"/>
  <c r="L539" i="7"/>
  <c r="M539" i="7"/>
  <c r="N539" i="7"/>
  <c r="O539" i="7"/>
  <c r="K539" i="25" s="1"/>
  <c r="P539" i="7"/>
  <c r="L539" i="25" s="1"/>
  <c r="Q539" i="7"/>
  <c r="B40" i="7"/>
  <c r="C40" i="7"/>
  <c r="B40" i="25" s="1"/>
  <c r="I40" i="7"/>
  <c r="L40" i="7"/>
  <c r="M40" i="7"/>
  <c r="N40" i="7"/>
  <c r="O40" i="7"/>
  <c r="K40" i="25" s="1"/>
  <c r="P40" i="7"/>
  <c r="L40" i="25" s="1"/>
  <c r="Q40" i="7"/>
  <c r="B476" i="7"/>
  <c r="C476" i="25" s="1"/>
  <c r="AY476" i="25" s="1"/>
  <c r="C476" i="7"/>
  <c r="B476" i="25" s="1"/>
  <c r="I476" i="7"/>
  <c r="L476" i="7"/>
  <c r="M476" i="7"/>
  <c r="N476" i="7"/>
  <c r="O476" i="7"/>
  <c r="K476" i="25" s="1"/>
  <c r="P476" i="7"/>
  <c r="L476" i="25" s="1"/>
  <c r="Q476" i="7"/>
  <c r="B291" i="7"/>
  <c r="C291" i="25" s="1"/>
  <c r="C291" i="7"/>
  <c r="B291" i="25" s="1"/>
  <c r="I291" i="7"/>
  <c r="E291" i="25" s="1"/>
  <c r="L291" i="7"/>
  <c r="M291" i="7"/>
  <c r="N291" i="7"/>
  <c r="O291" i="7"/>
  <c r="K291" i="25" s="1"/>
  <c r="P291" i="7"/>
  <c r="L291" i="25" s="1"/>
  <c r="Q291" i="7"/>
  <c r="B554" i="7"/>
  <c r="C554" i="25" s="1"/>
  <c r="C554" i="7"/>
  <c r="B554" i="25" s="1"/>
  <c r="I554" i="7"/>
  <c r="L554" i="7"/>
  <c r="M554" i="7"/>
  <c r="N554" i="7"/>
  <c r="O554" i="7"/>
  <c r="K554" i="25" s="1"/>
  <c r="P554" i="7"/>
  <c r="L554" i="25" s="1"/>
  <c r="Q554" i="7"/>
  <c r="B39" i="7"/>
  <c r="C39" i="7"/>
  <c r="B39" i="25" s="1"/>
  <c r="I39" i="7"/>
  <c r="L39" i="7"/>
  <c r="M39" i="7"/>
  <c r="N39" i="7"/>
  <c r="O39" i="7"/>
  <c r="K39" i="25" s="1"/>
  <c r="P39" i="7"/>
  <c r="L39" i="25" s="1"/>
  <c r="Q39" i="7"/>
  <c r="B290" i="7"/>
  <c r="C290" i="25" s="1"/>
  <c r="C290" i="7"/>
  <c r="B290" i="25" s="1"/>
  <c r="I290" i="7"/>
  <c r="L290" i="7"/>
  <c r="M290" i="7"/>
  <c r="N290" i="7"/>
  <c r="O290" i="7"/>
  <c r="K290" i="25" s="1"/>
  <c r="P290" i="7"/>
  <c r="L290" i="25" s="1"/>
  <c r="Q290" i="7"/>
  <c r="B460" i="7"/>
  <c r="C460" i="25" s="1"/>
  <c r="AY460" i="25" s="1"/>
  <c r="C460" i="7"/>
  <c r="B460" i="25" s="1"/>
  <c r="I460" i="7"/>
  <c r="L460" i="7"/>
  <c r="M460" i="7"/>
  <c r="N460" i="7"/>
  <c r="O460" i="7"/>
  <c r="K460" i="25" s="1"/>
  <c r="P460" i="7"/>
  <c r="L460" i="25" s="1"/>
  <c r="Q460" i="7"/>
  <c r="B451" i="7"/>
  <c r="C451" i="25" s="1"/>
  <c r="AY451" i="25" s="1"/>
  <c r="C451" i="7"/>
  <c r="B451" i="25" s="1"/>
  <c r="I451" i="7"/>
  <c r="L451" i="7"/>
  <c r="M451" i="7"/>
  <c r="N451" i="7"/>
  <c r="O451" i="7"/>
  <c r="K451" i="25" s="1"/>
  <c r="P451" i="7"/>
  <c r="L451" i="25" s="1"/>
  <c r="Q451" i="7"/>
  <c r="B321" i="7"/>
  <c r="C321" i="25" s="1"/>
  <c r="C321" i="7"/>
  <c r="B321" i="25" s="1"/>
  <c r="I321" i="7"/>
  <c r="L321" i="7"/>
  <c r="M321" i="7"/>
  <c r="O321" i="7"/>
  <c r="K321" i="25" s="1"/>
  <c r="P321" i="7"/>
  <c r="L321" i="25" s="1"/>
  <c r="Q321" i="7"/>
  <c r="B226" i="7"/>
  <c r="C226" i="7"/>
  <c r="B226" i="25" s="1"/>
  <c r="I226" i="7"/>
  <c r="L226" i="7"/>
  <c r="M226" i="7"/>
  <c r="N226" i="7"/>
  <c r="O226" i="7"/>
  <c r="K226" i="25" s="1"/>
  <c r="P226" i="7"/>
  <c r="L226" i="25" s="1"/>
  <c r="Q226" i="7"/>
  <c r="B181" i="7"/>
  <c r="C181" i="7"/>
  <c r="B181" i="25" s="1"/>
  <c r="I181" i="7"/>
  <c r="L181" i="7"/>
  <c r="M181" i="7"/>
  <c r="N181" i="7"/>
  <c r="O181" i="7"/>
  <c r="K181" i="25" s="1"/>
  <c r="P181" i="7"/>
  <c r="L181" i="25" s="1"/>
  <c r="Q181" i="7"/>
  <c r="B384" i="7"/>
  <c r="C384" i="25" s="1"/>
  <c r="AY384" i="25" s="1"/>
  <c r="C384" i="7"/>
  <c r="B384" i="25" s="1"/>
  <c r="I384" i="7"/>
  <c r="L384" i="7"/>
  <c r="M384" i="7"/>
  <c r="N384" i="7"/>
  <c r="O384" i="7"/>
  <c r="K384" i="25" s="1"/>
  <c r="P384" i="7"/>
  <c r="L384" i="25" s="1"/>
  <c r="Q384" i="7"/>
  <c r="B131" i="7"/>
  <c r="C131" i="7"/>
  <c r="B131" i="25" s="1"/>
  <c r="I131" i="7"/>
  <c r="L131" i="7"/>
  <c r="M131" i="7"/>
  <c r="N131" i="7"/>
  <c r="O131" i="7"/>
  <c r="K131" i="25" s="1"/>
  <c r="P131" i="7"/>
  <c r="L131" i="25" s="1"/>
  <c r="Q131" i="7"/>
  <c r="B470" i="7"/>
  <c r="C470" i="25" s="1"/>
  <c r="C470" i="7"/>
  <c r="B470" i="25" s="1"/>
  <c r="I470" i="7"/>
  <c r="L470" i="7"/>
  <c r="M470" i="7"/>
  <c r="N470" i="7"/>
  <c r="O470" i="7"/>
  <c r="K470" i="25" s="1"/>
  <c r="P470" i="7"/>
  <c r="L470" i="25" s="1"/>
  <c r="Q470" i="7"/>
  <c r="B395" i="7"/>
  <c r="C395" i="25" s="1"/>
  <c r="C395" i="7"/>
  <c r="B395" i="25" s="1"/>
  <c r="I395" i="7"/>
  <c r="E395" i="25" s="1"/>
  <c r="L395" i="7"/>
  <c r="M395" i="7"/>
  <c r="N395" i="7"/>
  <c r="O395" i="7"/>
  <c r="K395" i="25" s="1"/>
  <c r="P395" i="7"/>
  <c r="L395" i="25" s="1"/>
  <c r="Q395" i="7"/>
  <c r="B235" i="7"/>
  <c r="C235" i="7"/>
  <c r="B235" i="25" s="1"/>
  <c r="I235" i="7"/>
  <c r="L235" i="7"/>
  <c r="M235" i="7"/>
  <c r="N235" i="7"/>
  <c r="O235" i="7"/>
  <c r="K235" i="25" s="1"/>
  <c r="P235" i="7"/>
  <c r="L235" i="25" s="1"/>
  <c r="Q235" i="7"/>
  <c r="B229" i="7"/>
  <c r="C229" i="7"/>
  <c r="B229" i="25" s="1"/>
  <c r="I229" i="7"/>
  <c r="L229" i="7"/>
  <c r="M229" i="7"/>
  <c r="N229" i="7"/>
  <c r="O229" i="7"/>
  <c r="K229" i="25" s="1"/>
  <c r="P229" i="7"/>
  <c r="L229" i="25" s="1"/>
  <c r="Q229" i="7"/>
  <c r="B317" i="7"/>
  <c r="C317" i="25" s="1"/>
  <c r="AY317" i="25" s="1"/>
  <c r="C317" i="7"/>
  <c r="B317" i="25" s="1"/>
  <c r="I317" i="7"/>
  <c r="L317" i="7"/>
  <c r="M317" i="7"/>
  <c r="N317" i="7"/>
  <c r="O317" i="7"/>
  <c r="K317" i="25" s="1"/>
  <c r="P317" i="7"/>
  <c r="L317" i="25" s="1"/>
  <c r="Q317" i="7"/>
  <c r="B562" i="7"/>
  <c r="C562" i="25" s="1"/>
  <c r="C562" i="7"/>
  <c r="B562" i="25" s="1"/>
  <c r="I562" i="7"/>
  <c r="L562" i="7"/>
  <c r="M562" i="7"/>
  <c r="N562" i="7"/>
  <c r="O562" i="7"/>
  <c r="K562" i="25" s="1"/>
  <c r="P562" i="7"/>
  <c r="L562" i="25" s="1"/>
  <c r="Q562" i="7"/>
  <c r="B394" i="7"/>
  <c r="C394" i="25" s="1"/>
  <c r="C394" i="7"/>
  <c r="B394" i="25" s="1"/>
  <c r="I394" i="7"/>
  <c r="L394" i="7"/>
  <c r="M394" i="7"/>
  <c r="N394" i="7"/>
  <c r="O394" i="7"/>
  <c r="K394" i="25" s="1"/>
  <c r="P394" i="7"/>
  <c r="L394" i="25" s="1"/>
  <c r="Q394" i="7"/>
  <c r="B89" i="7"/>
  <c r="C89" i="7"/>
  <c r="B89" i="25" s="1"/>
  <c r="I89" i="7"/>
  <c r="E89" i="25" s="1"/>
  <c r="L89" i="7"/>
  <c r="M89" i="7"/>
  <c r="N89" i="7"/>
  <c r="O89" i="7"/>
  <c r="K89" i="25" s="1"/>
  <c r="P89" i="7"/>
  <c r="L89" i="25" s="1"/>
  <c r="Q89" i="7"/>
  <c r="B374" i="7"/>
  <c r="C374" i="25" s="1"/>
  <c r="AY374" i="25" s="1"/>
  <c r="C374" i="7"/>
  <c r="B374" i="25" s="1"/>
  <c r="I374" i="7"/>
  <c r="L374" i="7"/>
  <c r="M374" i="7"/>
  <c r="N374" i="7"/>
  <c r="O374" i="7"/>
  <c r="K374" i="25" s="1"/>
  <c r="P374" i="7"/>
  <c r="L374" i="25" s="1"/>
  <c r="Q374" i="7"/>
  <c r="B523" i="7"/>
  <c r="C523" i="25" s="1"/>
  <c r="AY523" i="25" s="1"/>
  <c r="C523" i="7"/>
  <c r="B523" i="25" s="1"/>
  <c r="I523" i="7"/>
  <c r="L523" i="7"/>
  <c r="M523" i="7"/>
  <c r="N523" i="7"/>
  <c r="O523" i="7"/>
  <c r="K523" i="25" s="1"/>
  <c r="P523" i="7"/>
  <c r="L523" i="25" s="1"/>
  <c r="Q523" i="7"/>
  <c r="B36" i="7"/>
  <c r="C36" i="7"/>
  <c r="B36" i="25" s="1"/>
  <c r="I36" i="7"/>
  <c r="L36" i="7"/>
  <c r="M36" i="7"/>
  <c r="N36" i="7"/>
  <c r="O36" i="7"/>
  <c r="K36" i="25" s="1"/>
  <c r="P36" i="7"/>
  <c r="L36" i="25" s="1"/>
  <c r="Q36" i="7"/>
  <c r="B266" i="7"/>
  <c r="C266" i="7"/>
  <c r="B266" i="25" s="1"/>
  <c r="I266" i="7"/>
  <c r="L266" i="7"/>
  <c r="M266" i="7"/>
  <c r="N266" i="7"/>
  <c r="O266" i="7"/>
  <c r="K266" i="25" s="1"/>
  <c r="P266" i="7"/>
  <c r="L266" i="25" s="1"/>
  <c r="Q266" i="7"/>
  <c r="B101" i="7"/>
  <c r="C101" i="7"/>
  <c r="B101" i="25" s="1"/>
  <c r="I101" i="7"/>
  <c r="L101" i="7"/>
  <c r="M101" i="7"/>
  <c r="N101" i="7"/>
  <c r="O101" i="7"/>
  <c r="K101" i="25" s="1"/>
  <c r="P101" i="7"/>
  <c r="L101" i="25" s="1"/>
  <c r="Q101" i="7"/>
  <c r="B289" i="7"/>
  <c r="C289" i="25" s="1"/>
  <c r="C289" i="7"/>
  <c r="B289" i="25" s="1"/>
  <c r="I289" i="7"/>
  <c r="L289" i="7"/>
  <c r="M289" i="7"/>
  <c r="N289" i="7"/>
  <c r="O289" i="7"/>
  <c r="K289" i="25" s="1"/>
  <c r="P289" i="7"/>
  <c r="L289" i="25" s="1"/>
  <c r="Q289" i="7"/>
  <c r="B347" i="7"/>
  <c r="C347" i="25" s="1"/>
  <c r="C347" i="7"/>
  <c r="B347" i="25" s="1"/>
  <c r="I347" i="7"/>
  <c r="L347" i="7"/>
  <c r="M347" i="7"/>
  <c r="N347" i="7"/>
  <c r="O347" i="7"/>
  <c r="K347" i="25" s="1"/>
  <c r="P347" i="7"/>
  <c r="L347" i="25" s="1"/>
  <c r="Q347" i="7"/>
  <c r="B570" i="7"/>
  <c r="C570" i="25" s="1"/>
  <c r="C570" i="7"/>
  <c r="B570" i="25" s="1"/>
  <c r="I570" i="7"/>
  <c r="L570" i="7"/>
  <c r="M570" i="7"/>
  <c r="N570" i="7"/>
  <c r="O570" i="7"/>
  <c r="K570" i="25" s="1"/>
  <c r="P570" i="7"/>
  <c r="L570" i="25" s="1"/>
  <c r="Q570" i="7"/>
  <c r="B174" i="7"/>
  <c r="C174" i="7"/>
  <c r="B174" i="25" s="1"/>
  <c r="I174" i="7"/>
  <c r="L174" i="7"/>
  <c r="M174" i="7"/>
  <c r="N174" i="7"/>
  <c r="O174" i="7"/>
  <c r="K174" i="25" s="1"/>
  <c r="P174" i="7"/>
  <c r="L174" i="25" s="1"/>
  <c r="Q174" i="7"/>
  <c r="B57" i="7"/>
  <c r="C57" i="7"/>
  <c r="B57" i="25" s="1"/>
  <c r="I57" i="7"/>
  <c r="L57" i="7"/>
  <c r="M57" i="7"/>
  <c r="N57" i="7"/>
  <c r="O57" i="7"/>
  <c r="K57" i="25" s="1"/>
  <c r="P57" i="7"/>
  <c r="L57" i="25" s="1"/>
  <c r="Q57" i="7"/>
  <c r="B329" i="7"/>
  <c r="C329" i="25" s="1"/>
  <c r="AY329" i="25" s="1"/>
  <c r="C329" i="7"/>
  <c r="B329" i="25" s="1"/>
  <c r="I329" i="7"/>
  <c r="L329" i="7"/>
  <c r="M329" i="7"/>
  <c r="N329" i="7"/>
  <c r="O329" i="7"/>
  <c r="K329" i="25" s="1"/>
  <c r="P329" i="7"/>
  <c r="L329" i="25" s="1"/>
  <c r="Q329" i="7"/>
  <c r="B184" i="7"/>
  <c r="C184" i="7"/>
  <c r="B184" i="25" s="1"/>
  <c r="I184" i="7"/>
  <c r="E184" i="25" s="1"/>
  <c r="L184" i="7"/>
  <c r="M184" i="7"/>
  <c r="N184" i="7"/>
  <c r="O184" i="7"/>
  <c r="K184" i="25" s="1"/>
  <c r="P184" i="7"/>
  <c r="L184" i="25" s="1"/>
  <c r="Q184" i="7"/>
  <c r="B452" i="7"/>
  <c r="C452" i="25" s="1"/>
  <c r="AY452" i="25" s="1"/>
  <c r="C452" i="7"/>
  <c r="B452" i="25" s="1"/>
  <c r="I452" i="7"/>
  <c r="L452" i="7"/>
  <c r="M452" i="7"/>
  <c r="N452" i="7"/>
  <c r="O452" i="7"/>
  <c r="K452" i="25" s="1"/>
  <c r="P452" i="7"/>
  <c r="L452" i="25" s="1"/>
  <c r="Q452" i="7"/>
  <c r="B327" i="7"/>
  <c r="C327" i="25" s="1"/>
  <c r="C327" i="7"/>
  <c r="B327" i="25" s="1"/>
  <c r="I327" i="7"/>
  <c r="L327" i="7"/>
  <c r="M327" i="7"/>
  <c r="N327" i="7"/>
  <c r="O327" i="7"/>
  <c r="K327" i="25" s="1"/>
  <c r="P327" i="7"/>
  <c r="L327" i="25" s="1"/>
  <c r="Q327" i="7"/>
  <c r="B435" i="7"/>
  <c r="C435" i="25" s="1"/>
  <c r="C435" i="7"/>
  <c r="B435" i="25" s="1"/>
  <c r="I435" i="7"/>
  <c r="L435" i="7"/>
  <c r="M435" i="7"/>
  <c r="N435" i="7"/>
  <c r="O435" i="7"/>
  <c r="K435" i="25" s="1"/>
  <c r="P435" i="7"/>
  <c r="L435" i="25" s="1"/>
  <c r="Q435" i="7"/>
  <c r="B163" i="7"/>
  <c r="C163" i="7"/>
  <c r="B163" i="25" s="1"/>
  <c r="I163" i="7"/>
  <c r="L163" i="7"/>
  <c r="M163" i="7"/>
  <c r="N163" i="7"/>
  <c r="O163" i="7"/>
  <c r="K163" i="25" s="1"/>
  <c r="P163" i="7"/>
  <c r="L163" i="25" s="1"/>
  <c r="Q163" i="7"/>
  <c r="B90" i="7"/>
  <c r="C90" i="7"/>
  <c r="B90" i="25" s="1"/>
  <c r="I90" i="7"/>
  <c r="L90" i="7"/>
  <c r="M90" i="7"/>
  <c r="N90" i="7"/>
  <c r="O90" i="7"/>
  <c r="K90" i="25" s="1"/>
  <c r="P90" i="7"/>
  <c r="L90" i="25" s="1"/>
  <c r="Q90" i="7"/>
  <c r="B410" i="7"/>
  <c r="C410" i="25" s="1"/>
  <c r="AY410" i="25" s="1"/>
  <c r="C410" i="7"/>
  <c r="B410" i="25" s="1"/>
  <c r="I410" i="7"/>
  <c r="L410" i="7"/>
  <c r="M410" i="7"/>
  <c r="N410" i="7"/>
  <c r="O410" i="7"/>
  <c r="K410" i="25" s="1"/>
  <c r="P410" i="7"/>
  <c r="L410" i="25" s="1"/>
  <c r="Q410" i="7"/>
  <c r="B315" i="7"/>
  <c r="C315" i="25" s="1"/>
  <c r="AY315" i="25" s="1"/>
  <c r="C315" i="7"/>
  <c r="B315" i="25" s="1"/>
  <c r="I315" i="7"/>
  <c r="E315" i="25" s="1"/>
  <c r="L315" i="7"/>
  <c r="M315" i="7"/>
  <c r="N315" i="7"/>
  <c r="O315" i="7"/>
  <c r="K315" i="25" s="1"/>
  <c r="P315" i="7"/>
  <c r="L315" i="25" s="1"/>
  <c r="Q315" i="7"/>
  <c r="B324" i="7"/>
  <c r="C324" i="25" s="1"/>
  <c r="C324" i="7"/>
  <c r="B324" i="25" s="1"/>
  <c r="I324" i="7"/>
  <c r="L324" i="7"/>
  <c r="M324" i="7"/>
  <c r="N324" i="7"/>
  <c r="O324" i="7"/>
  <c r="K324" i="25" s="1"/>
  <c r="P324" i="7"/>
  <c r="L324" i="25" s="1"/>
  <c r="Q324" i="7"/>
  <c r="B180" i="7"/>
  <c r="C180" i="7"/>
  <c r="B180" i="25" s="1"/>
  <c r="I180" i="7"/>
  <c r="L180" i="7"/>
  <c r="M180" i="7"/>
  <c r="N180" i="7"/>
  <c r="O180" i="7"/>
  <c r="K180" i="25" s="1"/>
  <c r="P180" i="7"/>
  <c r="L180" i="25" s="1"/>
  <c r="Q180" i="7"/>
  <c r="B338" i="7"/>
  <c r="C338" i="25" s="1"/>
  <c r="AY338" i="25" s="1"/>
  <c r="C338" i="7"/>
  <c r="B338" i="25" s="1"/>
  <c r="I338" i="7"/>
  <c r="L338" i="7"/>
  <c r="M338" i="7"/>
  <c r="N338" i="7"/>
  <c r="O338" i="7"/>
  <c r="K338" i="25" s="1"/>
  <c r="P338" i="7"/>
  <c r="L338" i="25" s="1"/>
  <c r="Q338" i="7"/>
  <c r="B169" i="7"/>
  <c r="C169" i="7"/>
  <c r="B169" i="25" s="1"/>
  <c r="I169" i="7"/>
  <c r="E169" i="25" s="1"/>
  <c r="L169" i="7"/>
  <c r="M169" i="7"/>
  <c r="N169" i="7"/>
  <c r="O169" i="7"/>
  <c r="K169" i="25" s="1"/>
  <c r="P169" i="7"/>
  <c r="L169" i="25" s="1"/>
  <c r="Q169" i="7"/>
  <c r="B318" i="7"/>
  <c r="C318" i="25" s="1"/>
  <c r="C318" i="7"/>
  <c r="B318" i="25" s="1"/>
  <c r="I318" i="7"/>
  <c r="L318" i="7"/>
  <c r="M318" i="7"/>
  <c r="N318" i="7"/>
  <c r="O318" i="7"/>
  <c r="K318" i="25" s="1"/>
  <c r="P318" i="7"/>
  <c r="L318" i="25" s="1"/>
  <c r="Q318" i="7"/>
  <c r="B344" i="7"/>
  <c r="C344" i="25" s="1"/>
  <c r="AY344" i="25" s="1"/>
  <c r="C344" i="7"/>
  <c r="B344" i="25" s="1"/>
  <c r="I344" i="7"/>
  <c r="L344" i="7"/>
  <c r="M344" i="7"/>
  <c r="N344" i="7"/>
  <c r="O344" i="7"/>
  <c r="K344" i="25" s="1"/>
  <c r="P344" i="7"/>
  <c r="L344" i="25" s="1"/>
  <c r="Q344" i="7"/>
  <c r="B502" i="7"/>
  <c r="C502" i="25" s="1"/>
  <c r="C502" i="7"/>
  <c r="B502" i="25" s="1"/>
  <c r="I502" i="7"/>
  <c r="L502" i="7"/>
  <c r="M502" i="7"/>
  <c r="N502" i="7"/>
  <c r="O502" i="7"/>
  <c r="K502" i="25" s="1"/>
  <c r="P502" i="7"/>
  <c r="L502" i="25" s="1"/>
  <c r="Q502" i="7"/>
  <c r="B441" i="7"/>
  <c r="C441" i="25" s="1"/>
  <c r="AY441" i="25" s="1"/>
  <c r="C441" i="7"/>
  <c r="B441" i="25" s="1"/>
  <c r="I441" i="7"/>
  <c r="L441" i="7"/>
  <c r="M441" i="7"/>
  <c r="N441" i="7"/>
  <c r="O441" i="7"/>
  <c r="K441" i="25" s="1"/>
  <c r="P441" i="7"/>
  <c r="L441" i="25" s="1"/>
  <c r="Q441" i="7"/>
  <c r="B493" i="7"/>
  <c r="C493" i="25" s="1"/>
  <c r="AY493" i="25" s="1"/>
  <c r="C493" i="7"/>
  <c r="B493" i="25" s="1"/>
  <c r="I493" i="7"/>
  <c r="L493" i="7"/>
  <c r="M493" i="7"/>
  <c r="N493" i="7"/>
  <c r="O493" i="7"/>
  <c r="K493" i="25" s="1"/>
  <c r="P493" i="7"/>
  <c r="L493" i="25" s="1"/>
  <c r="Q493" i="7"/>
  <c r="B475" i="7"/>
  <c r="C475" i="25" s="1"/>
  <c r="AY475" i="25" s="1"/>
  <c r="C475" i="7"/>
  <c r="B475" i="25" s="1"/>
  <c r="I475" i="7"/>
  <c r="L475" i="7"/>
  <c r="M475" i="7"/>
  <c r="N475" i="7"/>
  <c r="O475" i="7"/>
  <c r="K475" i="25" s="1"/>
  <c r="P475" i="7"/>
  <c r="L475" i="25" s="1"/>
  <c r="Q475" i="7"/>
  <c r="B15" i="7"/>
  <c r="C15" i="7"/>
  <c r="B15" i="25" s="1"/>
  <c r="I15" i="7"/>
  <c r="E15" i="25" s="1"/>
  <c r="L15" i="7"/>
  <c r="M15" i="7"/>
  <c r="N15" i="7"/>
  <c r="O15" i="7"/>
  <c r="K15" i="25" s="1"/>
  <c r="P15" i="7"/>
  <c r="L15" i="25" s="1"/>
  <c r="Q15" i="7"/>
  <c r="B182" i="7"/>
  <c r="C182" i="7"/>
  <c r="B182" i="25" s="1"/>
  <c r="I182" i="7"/>
  <c r="E182" i="25" s="1"/>
  <c r="L182" i="7"/>
  <c r="M182" i="7"/>
  <c r="N182" i="7"/>
  <c r="O182" i="7"/>
  <c r="K182" i="25" s="1"/>
  <c r="P182" i="7"/>
  <c r="L182" i="25" s="1"/>
  <c r="Q182" i="7"/>
  <c r="B210" i="7"/>
  <c r="C210" i="7"/>
  <c r="B210" i="25" s="1"/>
  <c r="I210" i="7"/>
  <c r="L210" i="7"/>
  <c r="M210" i="7"/>
  <c r="N210" i="7"/>
  <c r="O210" i="7"/>
  <c r="K210" i="25" s="1"/>
  <c r="P210" i="7"/>
  <c r="L210" i="25" s="1"/>
  <c r="Q210" i="7"/>
  <c r="B411" i="7"/>
  <c r="C411" i="25" s="1"/>
  <c r="AY411" i="25" s="1"/>
  <c r="C411" i="7"/>
  <c r="B411" i="25" s="1"/>
  <c r="I411" i="7"/>
  <c r="L411" i="7"/>
  <c r="M411" i="7"/>
  <c r="N411" i="7"/>
  <c r="O411" i="7"/>
  <c r="K411" i="25" s="1"/>
  <c r="P411" i="7"/>
  <c r="L411" i="25" s="1"/>
  <c r="Q411" i="7"/>
  <c r="B415" i="7"/>
  <c r="C415" i="25" s="1"/>
  <c r="AY415" i="25" s="1"/>
  <c r="C415" i="7"/>
  <c r="B415" i="25" s="1"/>
  <c r="I415" i="7"/>
  <c r="L415" i="7"/>
  <c r="M415" i="7"/>
  <c r="N415" i="7"/>
  <c r="O415" i="7"/>
  <c r="K415" i="25" s="1"/>
  <c r="P415" i="7"/>
  <c r="L415" i="25" s="1"/>
  <c r="Q415" i="7"/>
  <c r="B80" i="7"/>
  <c r="C80" i="7"/>
  <c r="B80" i="25" s="1"/>
  <c r="I80" i="7"/>
  <c r="L80" i="7"/>
  <c r="M80" i="7"/>
  <c r="N80" i="7"/>
  <c r="O80" i="7"/>
  <c r="K80" i="25" s="1"/>
  <c r="P80" i="7"/>
  <c r="L80" i="25" s="1"/>
  <c r="Q80" i="7"/>
  <c r="B196" i="7"/>
  <c r="C196" i="7"/>
  <c r="B196" i="25" s="1"/>
  <c r="I196" i="7"/>
  <c r="L196" i="7"/>
  <c r="M196" i="7"/>
  <c r="N196" i="7"/>
  <c r="O196" i="7"/>
  <c r="K196" i="25" s="1"/>
  <c r="P196" i="7"/>
  <c r="L196" i="25" s="1"/>
  <c r="Q196" i="7"/>
  <c r="B37" i="7"/>
  <c r="C37" i="7"/>
  <c r="B37" i="25" s="1"/>
  <c r="I37" i="7"/>
  <c r="E37" i="25" s="1"/>
  <c r="L37" i="7"/>
  <c r="M37" i="7"/>
  <c r="N37" i="7"/>
  <c r="O37" i="7"/>
  <c r="K37" i="25" s="1"/>
  <c r="P37" i="7"/>
  <c r="L37" i="25" s="1"/>
  <c r="Q37" i="7"/>
  <c r="B27" i="7"/>
  <c r="C27" i="7"/>
  <c r="B27" i="25" s="1"/>
  <c r="I27" i="7"/>
  <c r="L27" i="7"/>
  <c r="M27" i="7"/>
  <c r="N27" i="7"/>
  <c r="O27" i="7"/>
  <c r="K27" i="25" s="1"/>
  <c r="P27" i="7"/>
  <c r="L27" i="25" s="1"/>
  <c r="Q27" i="7"/>
  <c r="B22" i="7"/>
  <c r="C22" i="7"/>
  <c r="B22" i="25" s="1"/>
  <c r="I22" i="7"/>
  <c r="L22" i="7"/>
  <c r="M22" i="7"/>
  <c r="N22" i="7"/>
  <c r="O22" i="7"/>
  <c r="K22" i="25" s="1"/>
  <c r="P22" i="7"/>
  <c r="L22" i="25" s="1"/>
  <c r="Q22" i="7"/>
  <c r="B354" i="7"/>
  <c r="C354" i="25" s="1"/>
  <c r="C354" i="7"/>
  <c r="B354" i="25" s="1"/>
  <c r="I354" i="7"/>
  <c r="L354" i="7"/>
  <c r="M354" i="7"/>
  <c r="N354" i="7"/>
  <c r="O354" i="7"/>
  <c r="K354" i="25" s="1"/>
  <c r="P354" i="7"/>
  <c r="L354" i="25" s="1"/>
  <c r="Q354" i="7"/>
  <c r="B74" i="7"/>
  <c r="C74" i="7"/>
  <c r="B74" i="25" s="1"/>
  <c r="I74" i="7"/>
  <c r="L74" i="7"/>
  <c r="M74" i="7"/>
  <c r="N74" i="7"/>
  <c r="O74" i="7"/>
  <c r="K74" i="25" s="1"/>
  <c r="P74" i="7"/>
  <c r="L74" i="25" s="1"/>
  <c r="Q74" i="7"/>
  <c r="B348" i="7"/>
  <c r="C348" i="25" s="1"/>
  <c r="C348" i="7"/>
  <c r="B348" i="25" s="1"/>
  <c r="I348" i="7"/>
  <c r="L348" i="7"/>
  <c r="M348" i="7"/>
  <c r="N348" i="7"/>
  <c r="O348" i="7"/>
  <c r="K348" i="25" s="1"/>
  <c r="P348" i="7"/>
  <c r="L348" i="25" s="1"/>
  <c r="Q348" i="7"/>
  <c r="B425" i="7"/>
  <c r="C425" i="25" s="1"/>
  <c r="AY425" i="25" s="1"/>
  <c r="C425" i="7"/>
  <c r="B425" i="25" s="1"/>
  <c r="I425" i="7"/>
  <c r="L425" i="7"/>
  <c r="M425" i="7"/>
  <c r="N425" i="7"/>
  <c r="O425" i="7"/>
  <c r="K425" i="25" s="1"/>
  <c r="P425" i="7"/>
  <c r="L425" i="25" s="1"/>
  <c r="Q425" i="7"/>
  <c r="B198" i="7"/>
  <c r="C198" i="7"/>
  <c r="B198" i="25" s="1"/>
  <c r="I198" i="7"/>
  <c r="L198" i="7"/>
  <c r="M198" i="7"/>
  <c r="N198" i="7"/>
  <c r="O198" i="7"/>
  <c r="K198" i="25" s="1"/>
  <c r="P198" i="7"/>
  <c r="L198" i="25" s="1"/>
  <c r="Q198" i="7"/>
  <c r="B556" i="7"/>
  <c r="C556" i="25" s="1"/>
  <c r="AY556" i="25" s="1"/>
  <c r="C556" i="7"/>
  <c r="B556" i="25" s="1"/>
  <c r="I556" i="7"/>
  <c r="L556" i="7"/>
  <c r="M556" i="7"/>
  <c r="N556" i="7"/>
  <c r="O556" i="7"/>
  <c r="K556" i="25" s="1"/>
  <c r="P556" i="7"/>
  <c r="L556" i="25" s="1"/>
  <c r="Q556" i="7"/>
  <c r="B213" i="7"/>
  <c r="C213" i="7"/>
  <c r="B213" i="25" s="1"/>
  <c r="I213" i="7"/>
  <c r="L213" i="7"/>
  <c r="M213" i="7"/>
  <c r="N213" i="7"/>
  <c r="O213" i="7"/>
  <c r="K213" i="25" s="1"/>
  <c r="P213" i="7"/>
  <c r="L213" i="25" s="1"/>
  <c r="Q213" i="7"/>
  <c r="B504" i="7"/>
  <c r="C504" i="25" s="1"/>
  <c r="C504" i="7"/>
  <c r="B504" i="25" s="1"/>
  <c r="I504" i="7"/>
  <c r="L504" i="7"/>
  <c r="M504" i="7"/>
  <c r="N504" i="7"/>
  <c r="O504" i="7"/>
  <c r="K504" i="25" s="1"/>
  <c r="P504" i="7"/>
  <c r="L504" i="25" s="1"/>
  <c r="Q504" i="7"/>
  <c r="B69" i="7"/>
  <c r="C69" i="7"/>
  <c r="B69" i="25" s="1"/>
  <c r="I69" i="7"/>
  <c r="L69" i="7"/>
  <c r="M69" i="7"/>
  <c r="N69" i="7"/>
  <c r="O69" i="7"/>
  <c r="K69" i="25" s="1"/>
  <c r="P69" i="7"/>
  <c r="L69" i="25" s="1"/>
  <c r="Q69" i="7"/>
  <c r="B488" i="7"/>
  <c r="C488" i="25" s="1"/>
  <c r="AY488" i="25" s="1"/>
  <c r="C488" i="7"/>
  <c r="B488" i="25" s="1"/>
  <c r="I488" i="7"/>
  <c r="L488" i="7"/>
  <c r="M488" i="7"/>
  <c r="N488" i="7"/>
  <c r="O488" i="7"/>
  <c r="K488" i="25" s="1"/>
  <c r="P488" i="7"/>
  <c r="L488" i="25" s="1"/>
  <c r="Q488" i="7"/>
  <c r="B325" i="7"/>
  <c r="C325" i="25" s="1"/>
  <c r="C325" i="7"/>
  <c r="B325" i="25" s="1"/>
  <c r="I325" i="7"/>
  <c r="L325" i="7"/>
  <c r="M325" i="7"/>
  <c r="N325" i="7"/>
  <c r="O325" i="7"/>
  <c r="K325" i="25" s="1"/>
  <c r="P325" i="7"/>
  <c r="L325" i="25" s="1"/>
  <c r="Q325" i="7"/>
  <c r="B446" i="7"/>
  <c r="C446" i="25" s="1"/>
  <c r="AY446" i="25" s="1"/>
  <c r="C446" i="7"/>
  <c r="B446" i="25" s="1"/>
  <c r="I446" i="7"/>
  <c r="L446" i="7"/>
  <c r="M446" i="7"/>
  <c r="N446" i="7"/>
  <c r="O446" i="7"/>
  <c r="K446" i="25" s="1"/>
  <c r="P446" i="7"/>
  <c r="L446" i="25" s="1"/>
  <c r="Q446" i="7"/>
  <c r="B406" i="7"/>
  <c r="C406" i="25" s="1"/>
  <c r="AY406" i="25" s="1"/>
  <c r="C406" i="7"/>
  <c r="B406" i="25" s="1"/>
  <c r="I406" i="7"/>
  <c r="L406" i="7"/>
  <c r="M406" i="7"/>
  <c r="N406" i="7"/>
  <c r="O406" i="7"/>
  <c r="K406" i="25" s="1"/>
  <c r="P406" i="7"/>
  <c r="L406" i="25" s="1"/>
  <c r="Q406" i="7"/>
  <c r="B132" i="7"/>
  <c r="C132" i="7"/>
  <c r="B132" i="25" s="1"/>
  <c r="I132" i="7"/>
  <c r="E132" i="25" s="1"/>
  <c r="L132" i="7"/>
  <c r="M132" i="7"/>
  <c r="N132" i="7"/>
  <c r="O132" i="7"/>
  <c r="K132" i="25" s="1"/>
  <c r="P132" i="7"/>
  <c r="L132" i="25" s="1"/>
  <c r="Q132" i="7"/>
  <c r="B337" i="7"/>
  <c r="C337" i="25" s="1"/>
  <c r="AY337" i="25" s="1"/>
  <c r="C337" i="7"/>
  <c r="B337" i="25" s="1"/>
  <c r="I337" i="7"/>
  <c r="L337" i="7"/>
  <c r="M337" i="7"/>
  <c r="N337" i="7"/>
  <c r="O337" i="7"/>
  <c r="K337" i="25" s="1"/>
  <c r="P337" i="7"/>
  <c r="L337" i="25" s="1"/>
  <c r="Q337" i="7"/>
  <c r="B18" i="7"/>
  <c r="C18" i="7"/>
  <c r="B18" i="25" s="1"/>
  <c r="I18" i="7"/>
  <c r="L18" i="7"/>
  <c r="M18" i="7"/>
  <c r="N18" i="7"/>
  <c r="O18" i="7"/>
  <c r="K18" i="25" s="1"/>
  <c r="P18" i="7"/>
  <c r="L18" i="25" s="1"/>
  <c r="Q18" i="7"/>
  <c r="B279" i="7"/>
  <c r="C279" i="25" s="1"/>
  <c r="AY279" i="25" s="1"/>
  <c r="C279" i="7"/>
  <c r="B279" i="25" s="1"/>
  <c r="I279" i="7"/>
  <c r="L279" i="7"/>
  <c r="M279" i="7"/>
  <c r="N279" i="7"/>
  <c r="O279" i="7"/>
  <c r="K279" i="25" s="1"/>
  <c r="P279" i="7"/>
  <c r="L279" i="25" s="1"/>
  <c r="Q279" i="7"/>
  <c r="B469" i="7"/>
  <c r="C469" i="25" s="1"/>
  <c r="C469" i="7"/>
  <c r="B469" i="25" s="1"/>
  <c r="I469" i="7"/>
  <c r="L469" i="7"/>
  <c r="M469" i="7"/>
  <c r="N469" i="7"/>
  <c r="O469" i="7"/>
  <c r="K469" i="25" s="1"/>
  <c r="P469" i="7"/>
  <c r="L469" i="25" s="1"/>
  <c r="Q469" i="7"/>
  <c r="B391" i="7"/>
  <c r="C391" i="25" s="1"/>
  <c r="AY391" i="25" s="1"/>
  <c r="C391" i="7"/>
  <c r="B391" i="25" s="1"/>
  <c r="I391" i="7"/>
  <c r="E391" i="25" s="1"/>
  <c r="L391" i="7"/>
  <c r="M391" i="7"/>
  <c r="N391" i="7"/>
  <c r="O391" i="7"/>
  <c r="K391" i="25" s="1"/>
  <c r="P391" i="7"/>
  <c r="L391" i="25" s="1"/>
  <c r="Q391" i="7"/>
  <c r="B540" i="7"/>
  <c r="C540" i="25" s="1"/>
  <c r="AY540" i="25" s="1"/>
  <c r="C540" i="7"/>
  <c r="B540" i="25" s="1"/>
  <c r="I540" i="7"/>
  <c r="L540" i="7"/>
  <c r="M540" i="7"/>
  <c r="N540" i="7"/>
  <c r="O540" i="7"/>
  <c r="K540" i="25" s="1"/>
  <c r="P540" i="7"/>
  <c r="L540" i="25" s="1"/>
  <c r="Q540" i="7"/>
  <c r="B61" i="7"/>
  <c r="C61" i="7"/>
  <c r="B61" i="25" s="1"/>
  <c r="I61" i="7"/>
  <c r="L61" i="7"/>
  <c r="M61" i="7"/>
  <c r="N61" i="7"/>
  <c r="O61" i="7"/>
  <c r="K61" i="25" s="1"/>
  <c r="P61" i="7"/>
  <c r="L61" i="25" s="1"/>
  <c r="Q61" i="7"/>
  <c r="B369" i="7"/>
  <c r="C369" i="25" s="1"/>
  <c r="AY369" i="25" s="1"/>
  <c r="C369" i="7"/>
  <c r="B369" i="25" s="1"/>
  <c r="I369" i="7"/>
  <c r="L369" i="7"/>
  <c r="M369" i="7"/>
  <c r="N369" i="7"/>
  <c r="O369" i="7"/>
  <c r="K369" i="25" s="1"/>
  <c r="P369" i="7"/>
  <c r="L369" i="25" s="1"/>
  <c r="Q369" i="7"/>
  <c r="B262" i="7"/>
  <c r="C262" i="7"/>
  <c r="B262" i="25" s="1"/>
  <c r="I262" i="7"/>
  <c r="L262" i="7"/>
  <c r="M262" i="7"/>
  <c r="N262" i="7"/>
  <c r="O262" i="7"/>
  <c r="P262" i="7"/>
  <c r="L262" i="25" s="1"/>
  <c r="Q262" i="7"/>
  <c r="B212" i="7"/>
  <c r="C212" i="7"/>
  <c r="B212" i="25" s="1"/>
  <c r="I212" i="7"/>
  <c r="L212" i="7"/>
  <c r="M212" i="7"/>
  <c r="N212" i="7"/>
  <c r="O212" i="7"/>
  <c r="K212" i="25" s="1"/>
  <c r="P212" i="7"/>
  <c r="L212" i="25" s="1"/>
  <c r="Q212" i="7"/>
  <c r="B31" i="7"/>
  <c r="C31" i="7"/>
  <c r="B31" i="25" s="1"/>
  <c r="I31" i="7"/>
  <c r="L31" i="7"/>
  <c r="M31" i="7"/>
  <c r="N31" i="7"/>
  <c r="O31" i="7"/>
  <c r="K31" i="25" s="1"/>
  <c r="P31" i="7"/>
  <c r="L31" i="25" s="1"/>
  <c r="Q31" i="7"/>
  <c r="B529" i="7"/>
  <c r="C529" i="25" s="1"/>
  <c r="C529" i="7"/>
  <c r="B529" i="25" s="1"/>
  <c r="I529" i="7"/>
  <c r="L529" i="7"/>
  <c r="M529" i="7"/>
  <c r="N529" i="7"/>
  <c r="O529" i="7"/>
  <c r="P529" i="7"/>
  <c r="L529" i="25" s="1"/>
  <c r="Q529" i="7"/>
  <c r="B160" i="7"/>
  <c r="C160" i="7"/>
  <c r="B160" i="25" s="1"/>
  <c r="I160" i="7"/>
  <c r="L160" i="7"/>
  <c r="M160" i="7"/>
  <c r="N160" i="7"/>
  <c r="O160" i="7"/>
  <c r="K160" i="25" s="1"/>
  <c r="P160" i="7"/>
  <c r="L160" i="25" s="1"/>
  <c r="Q160" i="7"/>
  <c r="B496" i="7"/>
  <c r="C496" i="25" s="1"/>
  <c r="AY496" i="25" s="1"/>
  <c r="C496" i="7"/>
  <c r="B496" i="25" s="1"/>
  <c r="I496" i="7"/>
  <c r="L496" i="7"/>
  <c r="M496" i="7"/>
  <c r="N496" i="7"/>
  <c r="O496" i="7"/>
  <c r="K496" i="25" s="1"/>
  <c r="P496" i="7"/>
  <c r="L496" i="25" s="1"/>
  <c r="Q496" i="7"/>
  <c r="B372" i="7"/>
  <c r="C372" i="25" s="1"/>
  <c r="AY372" i="25" s="1"/>
  <c r="C372" i="7"/>
  <c r="B372" i="25" s="1"/>
  <c r="I372" i="7"/>
  <c r="L372" i="7"/>
  <c r="M372" i="7"/>
  <c r="N372" i="7"/>
  <c r="O372" i="7"/>
  <c r="K372" i="25" s="1"/>
  <c r="P372" i="7"/>
  <c r="L372" i="25" s="1"/>
  <c r="Q372" i="7"/>
  <c r="B236" i="7"/>
  <c r="C236" i="7"/>
  <c r="B236" i="25" s="1"/>
  <c r="I236" i="7"/>
  <c r="L236" i="7"/>
  <c r="M236" i="7"/>
  <c r="N236" i="7"/>
  <c r="O236" i="7"/>
  <c r="K236" i="25" s="1"/>
  <c r="P236" i="7"/>
  <c r="L236" i="25" s="1"/>
  <c r="Q236" i="7"/>
  <c r="B587" i="7"/>
  <c r="C587" i="25" s="1"/>
  <c r="C587" i="7"/>
  <c r="B587" i="25" s="1"/>
  <c r="I587" i="7"/>
  <c r="L587" i="7"/>
  <c r="M587" i="7"/>
  <c r="N587" i="7"/>
  <c r="O587" i="7"/>
  <c r="K587" i="25" s="1"/>
  <c r="P587" i="7"/>
  <c r="L587" i="25" s="1"/>
  <c r="Q587" i="7"/>
  <c r="B364" i="7"/>
  <c r="C364" i="25" s="1"/>
  <c r="C364" i="7"/>
  <c r="B364" i="25" s="1"/>
  <c r="I364" i="7"/>
  <c r="L364" i="7"/>
  <c r="M364" i="7"/>
  <c r="N364" i="7"/>
  <c r="O364" i="7"/>
  <c r="K364" i="25" s="1"/>
  <c r="P364" i="7"/>
  <c r="L364" i="25" s="1"/>
  <c r="Q364" i="7"/>
  <c r="B24" i="7"/>
  <c r="C24" i="7"/>
  <c r="B24" i="25" s="1"/>
  <c r="I24" i="7"/>
  <c r="L24" i="7"/>
  <c r="M24" i="7"/>
  <c r="N24" i="7"/>
  <c r="O24" i="7"/>
  <c r="K24" i="25" s="1"/>
  <c r="P24" i="7"/>
  <c r="L24" i="25" s="1"/>
  <c r="Q24" i="7"/>
  <c r="B359" i="7"/>
  <c r="C359" i="25" s="1"/>
  <c r="AY359" i="25" s="1"/>
  <c r="C359" i="7"/>
  <c r="B359" i="25" s="1"/>
  <c r="I359" i="7"/>
  <c r="L359" i="7"/>
  <c r="M359" i="7"/>
  <c r="N359" i="7"/>
  <c r="O359" i="7"/>
  <c r="K359" i="25" s="1"/>
  <c r="P359" i="7"/>
  <c r="L359" i="25" s="1"/>
  <c r="Q359" i="7"/>
  <c r="B545" i="7"/>
  <c r="C545" i="25" s="1"/>
  <c r="AY545" i="25" s="1"/>
  <c r="C545" i="7"/>
  <c r="B545" i="25" s="1"/>
  <c r="I545" i="7"/>
  <c r="L545" i="7"/>
  <c r="M545" i="7"/>
  <c r="N545" i="7"/>
  <c r="O545" i="7"/>
  <c r="K545" i="25" s="1"/>
  <c r="P545" i="7"/>
  <c r="L545" i="25" s="1"/>
  <c r="Q545" i="7"/>
  <c r="B319" i="7"/>
  <c r="C319" i="25" s="1"/>
  <c r="C319" i="7"/>
  <c r="B319" i="25" s="1"/>
  <c r="I319" i="7"/>
  <c r="L319" i="7"/>
  <c r="M319" i="7"/>
  <c r="N319" i="7"/>
  <c r="O319" i="7"/>
  <c r="K319" i="25" s="1"/>
  <c r="P319" i="7"/>
  <c r="L319" i="25" s="1"/>
  <c r="Q319" i="7"/>
  <c r="B79" i="7"/>
  <c r="C79" i="7"/>
  <c r="B79" i="25" s="1"/>
  <c r="I79" i="7"/>
  <c r="L79" i="7"/>
  <c r="M79" i="7"/>
  <c r="N79" i="7"/>
  <c r="O79" i="7"/>
  <c r="K79" i="25" s="1"/>
  <c r="P79" i="7"/>
  <c r="L79" i="25" s="1"/>
  <c r="Q79" i="7"/>
  <c r="B561" i="7"/>
  <c r="C561" i="25" s="1"/>
  <c r="C561" i="7"/>
  <c r="B561" i="25" s="1"/>
  <c r="I561" i="7"/>
  <c r="E561" i="25" s="1"/>
  <c r="L561" i="7"/>
  <c r="M561" i="7"/>
  <c r="N561" i="7"/>
  <c r="O561" i="7"/>
  <c r="K561" i="25" s="1"/>
  <c r="P561" i="7"/>
  <c r="L561" i="25" s="1"/>
  <c r="Q561" i="7"/>
  <c r="B375" i="7"/>
  <c r="C375" i="25" s="1"/>
  <c r="AY375" i="25" s="1"/>
  <c r="C375" i="7"/>
  <c r="B375" i="25" s="1"/>
  <c r="I375" i="7"/>
  <c r="L375" i="7"/>
  <c r="M375" i="7"/>
  <c r="N375" i="7"/>
  <c r="O375" i="7"/>
  <c r="K375" i="25" s="1"/>
  <c r="P375" i="7"/>
  <c r="L375" i="25" s="1"/>
  <c r="Q375" i="7"/>
  <c r="B259" i="7"/>
  <c r="C259" i="7"/>
  <c r="B259" i="25" s="1"/>
  <c r="I259" i="7"/>
  <c r="L259" i="7"/>
  <c r="M259" i="7"/>
  <c r="N259" i="7"/>
  <c r="O259" i="7"/>
  <c r="K259" i="25" s="1"/>
  <c r="P259" i="7"/>
  <c r="L259" i="25" s="1"/>
  <c r="Q259" i="7"/>
  <c r="B423" i="7"/>
  <c r="C423" i="25" s="1"/>
  <c r="AY423" i="25" s="1"/>
  <c r="C423" i="7"/>
  <c r="B423" i="25" s="1"/>
  <c r="I423" i="7"/>
  <c r="E423" i="25" s="1"/>
  <c r="L423" i="7"/>
  <c r="M423" i="7"/>
  <c r="N423" i="7"/>
  <c r="O423" i="7"/>
  <c r="K423" i="25" s="1"/>
  <c r="P423" i="7"/>
  <c r="L423" i="25" s="1"/>
  <c r="Q423" i="7"/>
  <c r="B355" i="7"/>
  <c r="C355" i="25" s="1"/>
  <c r="AY355" i="25" s="1"/>
  <c r="C355" i="7"/>
  <c r="B355" i="25" s="1"/>
  <c r="I355" i="7"/>
  <c r="E355" i="25" s="1"/>
  <c r="L355" i="7"/>
  <c r="M355" i="7"/>
  <c r="N355" i="7"/>
  <c r="O355" i="7"/>
  <c r="K355" i="25" s="1"/>
  <c r="P355" i="7"/>
  <c r="L355" i="25" s="1"/>
  <c r="Q355" i="7"/>
  <c r="B457" i="7"/>
  <c r="C457" i="25" s="1"/>
  <c r="C457" i="7"/>
  <c r="B457" i="25" s="1"/>
  <c r="I457" i="7"/>
  <c r="L457" i="7"/>
  <c r="M457" i="7"/>
  <c r="N457" i="7"/>
  <c r="O457" i="7"/>
  <c r="K457" i="25" s="1"/>
  <c r="P457" i="7"/>
  <c r="L457" i="25" s="1"/>
  <c r="Q457" i="7"/>
  <c r="B65" i="7"/>
  <c r="C65" i="7"/>
  <c r="B65" i="25" s="1"/>
  <c r="I65" i="7"/>
  <c r="E65" i="25" s="1"/>
  <c r="L65" i="7"/>
  <c r="M65" i="7"/>
  <c r="N65" i="7"/>
  <c r="O65" i="7"/>
  <c r="K65" i="25" s="1"/>
  <c r="P65" i="7"/>
  <c r="L65" i="25" s="1"/>
  <c r="Q65" i="7"/>
  <c r="B190" i="7"/>
  <c r="C190" i="7"/>
  <c r="B190" i="25" s="1"/>
  <c r="I190" i="7"/>
  <c r="L190" i="7"/>
  <c r="M190" i="7"/>
  <c r="N190" i="7"/>
  <c r="O190" i="7"/>
  <c r="K190" i="25" s="1"/>
  <c r="P190" i="7"/>
  <c r="L190" i="25" s="1"/>
  <c r="Q190" i="7"/>
  <c r="B326" i="7"/>
  <c r="C326" i="25" s="1"/>
  <c r="C326" i="7"/>
  <c r="B326" i="25" s="1"/>
  <c r="I326" i="7"/>
  <c r="L326" i="7"/>
  <c r="M326" i="7"/>
  <c r="N326" i="7"/>
  <c r="O326" i="7"/>
  <c r="K326" i="25" s="1"/>
  <c r="P326" i="7"/>
  <c r="L326" i="25" s="1"/>
  <c r="Q326" i="7"/>
  <c r="B154" i="7"/>
  <c r="C154" i="7"/>
  <c r="B154" i="25" s="1"/>
  <c r="I154" i="7"/>
  <c r="L154" i="7"/>
  <c r="M154" i="7"/>
  <c r="N154" i="7"/>
  <c r="O154" i="7"/>
  <c r="K154" i="25" s="1"/>
  <c r="P154" i="7"/>
  <c r="L154" i="25" s="1"/>
  <c r="Q154" i="7"/>
  <c r="B390" i="7"/>
  <c r="C390" i="25" s="1"/>
  <c r="AY390" i="25" s="1"/>
  <c r="C390" i="7"/>
  <c r="B390" i="25" s="1"/>
  <c r="I390" i="7"/>
  <c r="L390" i="7"/>
  <c r="M390" i="7"/>
  <c r="N390" i="7"/>
  <c r="O390" i="7"/>
  <c r="K390" i="25" s="1"/>
  <c r="P390" i="7"/>
  <c r="L390" i="25" s="1"/>
  <c r="Q390" i="7"/>
  <c r="B500" i="7"/>
  <c r="C500" i="25" s="1"/>
  <c r="C500" i="7"/>
  <c r="B500" i="25" s="1"/>
  <c r="I500" i="7"/>
  <c r="L500" i="7"/>
  <c r="M500" i="7"/>
  <c r="N500" i="7"/>
  <c r="O500" i="7"/>
  <c r="K500" i="25" s="1"/>
  <c r="P500" i="7"/>
  <c r="L500" i="25" s="1"/>
  <c r="Q500" i="7"/>
  <c r="B298" i="7"/>
  <c r="C298" i="25" s="1"/>
  <c r="AY298" i="25" s="1"/>
  <c r="C298" i="7"/>
  <c r="B298" i="25" s="1"/>
  <c r="I298" i="7"/>
  <c r="L298" i="7"/>
  <c r="M298" i="7"/>
  <c r="N298" i="7"/>
  <c r="O298" i="7"/>
  <c r="K298" i="25" s="1"/>
  <c r="P298" i="7"/>
  <c r="L298" i="25" s="1"/>
  <c r="Q298" i="7"/>
  <c r="B351" i="7"/>
  <c r="C351" i="25" s="1"/>
  <c r="AY351" i="25" s="1"/>
  <c r="C351" i="7"/>
  <c r="B351" i="25" s="1"/>
  <c r="I351" i="7"/>
  <c r="E351" i="25" s="1"/>
  <c r="L351" i="7"/>
  <c r="M351" i="7"/>
  <c r="N351" i="7"/>
  <c r="O351" i="7"/>
  <c r="K351" i="25" s="1"/>
  <c r="P351" i="7"/>
  <c r="L351" i="25" s="1"/>
  <c r="Q351" i="7"/>
  <c r="B513" i="7"/>
  <c r="C513" i="25" s="1"/>
  <c r="AY513" i="25" s="1"/>
  <c r="C513" i="7"/>
  <c r="B513" i="25" s="1"/>
  <c r="I513" i="7"/>
  <c r="E513" i="25" s="1"/>
  <c r="L513" i="7"/>
  <c r="M513" i="7"/>
  <c r="N513" i="7"/>
  <c r="O513" i="7"/>
  <c r="K513" i="25" s="1"/>
  <c r="P513" i="7"/>
  <c r="L513" i="25" s="1"/>
  <c r="Q513" i="7"/>
  <c r="B183" i="7"/>
  <c r="C183" i="7"/>
  <c r="B183" i="25" s="1"/>
  <c r="I183" i="7"/>
  <c r="L183" i="7"/>
  <c r="M183" i="7"/>
  <c r="N183" i="7"/>
  <c r="O183" i="7"/>
  <c r="K183" i="25" s="1"/>
  <c r="P183" i="7"/>
  <c r="L183" i="25" s="1"/>
  <c r="Q183" i="7"/>
  <c r="B97" i="7"/>
  <c r="C97" i="7"/>
  <c r="B97" i="25" s="1"/>
  <c r="I97" i="7"/>
  <c r="L97" i="7"/>
  <c r="M97" i="7"/>
  <c r="N97" i="7"/>
  <c r="O97" i="7"/>
  <c r="K97" i="25" s="1"/>
  <c r="P97" i="7"/>
  <c r="L97" i="25" s="1"/>
  <c r="Q97" i="7"/>
  <c r="B100" i="7"/>
  <c r="C100" i="7"/>
  <c r="B100" i="25" s="1"/>
  <c r="I100" i="7"/>
  <c r="L100" i="7"/>
  <c r="M100" i="7"/>
  <c r="N100" i="7"/>
  <c r="O100" i="7"/>
  <c r="K100" i="25" s="1"/>
  <c r="P100" i="7"/>
  <c r="L100" i="25" s="1"/>
  <c r="Q100" i="7"/>
  <c r="B447" i="7"/>
  <c r="C447" i="25" s="1"/>
  <c r="AY447" i="25" s="1"/>
  <c r="C447" i="7"/>
  <c r="B447" i="25" s="1"/>
  <c r="I447" i="7"/>
  <c r="L447" i="7"/>
  <c r="M447" i="7"/>
  <c r="N447" i="7"/>
  <c r="O447" i="7"/>
  <c r="K447" i="25" s="1"/>
  <c r="P447" i="7"/>
  <c r="L447" i="25" s="1"/>
  <c r="Q447" i="7"/>
  <c r="B510" i="7"/>
  <c r="C510" i="25" s="1"/>
  <c r="C510" i="7"/>
  <c r="B510" i="25" s="1"/>
  <c r="I510" i="7"/>
  <c r="L510" i="7"/>
  <c r="M510" i="7"/>
  <c r="N510" i="7"/>
  <c r="O510" i="7"/>
  <c r="K510" i="25" s="1"/>
  <c r="P510" i="7"/>
  <c r="L510" i="25" s="1"/>
  <c r="Q510" i="7"/>
  <c r="B578" i="7"/>
  <c r="C578" i="25" s="1"/>
  <c r="AY578" i="25" s="1"/>
  <c r="C578" i="7"/>
  <c r="B578" i="25" s="1"/>
  <c r="I578" i="7"/>
  <c r="L578" i="7"/>
  <c r="M578" i="7"/>
  <c r="N578" i="7"/>
  <c r="O578" i="7"/>
  <c r="K578" i="25" s="1"/>
  <c r="P578" i="7"/>
  <c r="L578" i="25" s="1"/>
  <c r="Q578" i="7"/>
  <c r="B197" i="7"/>
  <c r="C197" i="7"/>
  <c r="B197" i="25" s="1"/>
  <c r="I197" i="7"/>
  <c r="L197" i="7"/>
  <c r="M197" i="7"/>
  <c r="N197" i="7"/>
  <c r="O197" i="7"/>
  <c r="K197" i="25" s="1"/>
  <c r="P197" i="7"/>
  <c r="L197" i="25" s="1"/>
  <c r="Q197" i="7"/>
  <c r="B527" i="7"/>
  <c r="C527" i="25" s="1"/>
  <c r="AY527" i="25" s="1"/>
  <c r="C527" i="7"/>
  <c r="B527" i="25" s="1"/>
  <c r="I527" i="7"/>
  <c r="L527" i="7"/>
  <c r="M527" i="7"/>
  <c r="N527" i="7"/>
  <c r="O527" i="7"/>
  <c r="K527" i="25" s="1"/>
  <c r="P527" i="7"/>
  <c r="L527" i="25" s="1"/>
  <c r="Q527" i="7"/>
  <c r="B492" i="7"/>
  <c r="C492" i="25" s="1"/>
  <c r="AY492" i="25" s="1"/>
  <c r="C492" i="7"/>
  <c r="B492" i="25" s="1"/>
  <c r="I492" i="7"/>
  <c r="L492" i="7"/>
  <c r="M492" i="7"/>
  <c r="N492" i="7"/>
  <c r="O492" i="7"/>
  <c r="K492" i="25" s="1"/>
  <c r="P492" i="7"/>
  <c r="L492" i="25" s="1"/>
  <c r="Q492" i="7"/>
  <c r="B358" i="7"/>
  <c r="C358" i="25" s="1"/>
  <c r="AY358" i="25" s="1"/>
  <c r="C358" i="7"/>
  <c r="B358" i="25" s="1"/>
  <c r="I358" i="7"/>
  <c r="L358" i="7"/>
  <c r="M358" i="7"/>
  <c r="N358" i="7"/>
  <c r="O358" i="7"/>
  <c r="K358" i="25" s="1"/>
  <c r="P358" i="7"/>
  <c r="L358" i="25" s="1"/>
  <c r="Q358" i="7"/>
  <c r="B225" i="7"/>
  <c r="C225" i="7"/>
  <c r="B225" i="25" s="1"/>
  <c r="I225" i="7"/>
  <c r="L225" i="7"/>
  <c r="M225" i="7"/>
  <c r="N225" i="7"/>
  <c r="O225" i="7"/>
  <c r="K225" i="25" s="1"/>
  <c r="P225" i="7"/>
  <c r="L225" i="25" s="1"/>
  <c r="Q225" i="7"/>
  <c r="B248" i="7"/>
  <c r="C248" i="7"/>
  <c r="B248" i="25" s="1"/>
  <c r="I248" i="7"/>
  <c r="L248" i="7"/>
  <c r="M248" i="7"/>
  <c r="N248" i="7"/>
  <c r="O248" i="7"/>
  <c r="K248" i="25" s="1"/>
  <c r="P248" i="7"/>
  <c r="L248" i="25" s="1"/>
  <c r="Q248" i="7"/>
  <c r="B144" i="7"/>
  <c r="C144" i="7"/>
  <c r="B144" i="25" s="1"/>
  <c r="I144" i="7"/>
  <c r="L144" i="7"/>
  <c r="M144" i="7"/>
  <c r="N144" i="7"/>
  <c r="O144" i="7"/>
  <c r="K144" i="25" s="1"/>
  <c r="P144" i="7"/>
  <c r="L144" i="25" s="1"/>
  <c r="Q144" i="7"/>
  <c r="B177" i="7"/>
  <c r="C177" i="7"/>
  <c r="B177" i="25" s="1"/>
  <c r="I177" i="7"/>
  <c r="L177" i="7"/>
  <c r="M177" i="7"/>
  <c r="N177" i="7"/>
  <c r="O177" i="7"/>
  <c r="K177" i="25" s="1"/>
  <c r="P177" i="7"/>
  <c r="L177" i="25" s="1"/>
  <c r="Q177" i="7"/>
  <c r="B483" i="7"/>
  <c r="C483" i="25" s="1"/>
  <c r="AY483" i="25" s="1"/>
  <c r="C483" i="7"/>
  <c r="B483" i="25" s="1"/>
  <c r="I483" i="7"/>
  <c r="E483" i="25" s="1"/>
  <c r="L483" i="7"/>
  <c r="M483" i="7"/>
  <c r="N483" i="7"/>
  <c r="O483" i="7"/>
  <c r="K483" i="25" s="1"/>
  <c r="P483" i="7"/>
  <c r="L483" i="25" s="1"/>
  <c r="Q483" i="7"/>
  <c r="B82" i="7"/>
  <c r="C82" i="7"/>
  <c r="B82" i="25" s="1"/>
  <c r="I82" i="7"/>
  <c r="L82" i="7"/>
  <c r="M82" i="7"/>
  <c r="N82" i="7"/>
  <c r="O82" i="7"/>
  <c r="K82" i="25" s="1"/>
  <c r="P82" i="7"/>
  <c r="L82" i="25" s="1"/>
  <c r="Q82" i="7"/>
  <c r="B362" i="7"/>
  <c r="C362" i="25" s="1"/>
  <c r="C362" i="7"/>
  <c r="B362" i="25" s="1"/>
  <c r="I362" i="7"/>
  <c r="L362" i="7"/>
  <c r="M362" i="7"/>
  <c r="N362" i="7"/>
  <c r="O362" i="7"/>
  <c r="K362" i="25" s="1"/>
  <c r="P362" i="7"/>
  <c r="L362" i="25" s="1"/>
  <c r="Q362" i="7"/>
  <c r="B256" i="7"/>
  <c r="C256" i="7"/>
  <c r="B256" i="25" s="1"/>
  <c r="I256" i="7"/>
  <c r="E256" i="25" s="1"/>
  <c r="L256" i="7"/>
  <c r="M256" i="7"/>
  <c r="N256" i="7"/>
  <c r="O256" i="7"/>
  <c r="K256" i="25" s="1"/>
  <c r="P256" i="7"/>
  <c r="L256" i="25" s="1"/>
  <c r="Q256" i="7"/>
  <c r="B537" i="7"/>
  <c r="C537" i="25" s="1"/>
  <c r="C537" i="7"/>
  <c r="B537" i="25" s="1"/>
  <c r="I537" i="7"/>
  <c r="L537" i="7"/>
  <c r="M537" i="7"/>
  <c r="N537" i="7"/>
  <c r="O537" i="7"/>
  <c r="K537" i="25" s="1"/>
  <c r="P537" i="7"/>
  <c r="L537" i="25" s="1"/>
  <c r="Q537" i="7"/>
  <c r="B455" i="7"/>
  <c r="C455" i="25" s="1"/>
  <c r="AY455" i="25" s="1"/>
  <c r="C455" i="7"/>
  <c r="B455" i="25" s="1"/>
  <c r="I455" i="7"/>
  <c r="L455" i="7"/>
  <c r="M455" i="7"/>
  <c r="N455" i="7"/>
  <c r="O455" i="7"/>
  <c r="K455" i="25" s="1"/>
  <c r="P455" i="7"/>
  <c r="L455" i="25" s="1"/>
  <c r="Q455" i="7"/>
  <c r="B193" i="7"/>
  <c r="C193" i="7"/>
  <c r="B193" i="25" s="1"/>
  <c r="I193" i="7"/>
  <c r="L193" i="7"/>
  <c r="M193" i="7"/>
  <c r="N193" i="7"/>
  <c r="O193" i="7"/>
  <c r="K193" i="25" s="1"/>
  <c r="P193" i="7"/>
  <c r="L193" i="25" s="1"/>
  <c r="Q193" i="7"/>
  <c r="B385" i="7"/>
  <c r="C385" i="25" s="1"/>
  <c r="AY385" i="25" s="1"/>
  <c r="C385" i="7"/>
  <c r="B385" i="25" s="1"/>
  <c r="I385" i="7"/>
  <c r="L385" i="7"/>
  <c r="M385" i="7"/>
  <c r="N385" i="7"/>
  <c r="O385" i="7"/>
  <c r="K385" i="25" s="1"/>
  <c r="P385" i="7"/>
  <c r="L385" i="25" s="1"/>
  <c r="Q385" i="7"/>
  <c r="B471" i="7"/>
  <c r="C471" i="25" s="1"/>
  <c r="C471" i="7"/>
  <c r="B471" i="25" s="1"/>
  <c r="I471" i="7"/>
  <c r="L471" i="7"/>
  <c r="M471" i="7"/>
  <c r="N471" i="7"/>
  <c r="O471" i="7"/>
  <c r="K471" i="25" s="1"/>
  <c r="P471" i="7"/>
  <c r="L471" i="25" s="1"/>
  <c r="Q471" i="7"/>
  <c r="B422" i="7"/>
  <c r="C422" i="25" s="1"/>
  <c r="C422" i="7"/>
  <c r="B422" i="25" s="1"/>
  <c r="I422" i="7"/>
  <c r="L422" i="7"/>
  <c r="M422" i="7"/>
  <c r="N422" i="7"/>
  <c r="O422" i="7"/>
  <c r="K422" i="25" s="1"/>
  <c r="P422" i="7"/>
  <c r="L422" i="25" s="1"/>
  <c r="Q422" i="7"/>
  <c r="B67" i="7"/>
  <c r="C67" i="7"/>
  <c r="B67" i="25" s="1"/>
  <c r="I67" i="7"/>
  <c r="L67" i="7"/>
  <c r="M67" i="7"/>
  <c r="N67" i="7"/>
  <c r="O67" i="7"/>
  <c r="K67" i="25" s="1"/>
  <c r="P67" i="7"/>
  <c r="L67" i="25" s="1"/>
  <c r="Q67" i="7"/>
  <c r="B507" i="7"/>
  <c r="C507" i="25" s="1"/>
  <c r="C507" i="7"/>
  <c r="B507" i="25" s="1"/>
  <c r="I507" i="7"/>
  <c r="L507" i="7"/>
  <c r="M507" i="7"/>
  <c r="N507" i="7"/>
  <c r="O507" i="7"/>
  <c r="K507" i="25" s="1"/>
  <c r="P507" i="7"/>
  <c r="L507" i="25" s="1"/>
  <c r="Q507" i="7"/>
  <c r="B565" i="7"/>
  <c r="C565" i="25" s="1"/>
  <c r="C565" i="7"/>
  <c r="B565" i="25" s="1"/>
  <c r="I565" i="7"/>
  <c r="L565" i="7"/>
  <c r="M565" i="7"/>
  <c r="N565" i="7"/>
  <c r="O565" i="7"/>
  <c r="K565" i="25" s="1"/>
  <c r="P565" i="7"/>
  <c r="L565" i="25" s="1"/>
  <c r="Q565" i="7"/>
  <c r="B23" i="7"/>
  <c r="C23" i="7"/>
  <c r="B23" i="25" s="1"/>
  <c r="I23" i="7"/>
  <c r="L23" i="7"/>
  <c r="M23" i="7"/>
  <c r="N23" i="7"/>
  <c r="O23" i="7"/>
  <c r="K23" i="25" s="1"/>
  <c r="P23" i="7"/>
  <c r="L23" i="25" s="1"/>
  <c r="Q23" i="7"/>
  <c r="B6" i="7"/>
  <c r="C6" i="7"/>
  <c r="B6" i="25" s="1"/>
  <c r="I6" i="7"/>
  <c r="L6" i="7"/>
  <c r="M6" i="7"/>
  <c r="N6" i="7"/>
  <c r="O6" i="7"/>
  <c r="K6" i="25" s="1"/>
  <c r="P6" i="7"/>
  <c r="L6" i="25" s="1"/>
  <c r="Q6" i="7"/>
  <c r="B5" i="7"/>
  <c r="C5" i="7"/>
  <c r="B5" i="25" s="1"/>
  <c r="I5" i="7"/>
  <c r="L5" i="7"/>
  <c r="M5" i="7"/>
  <c r="N5" i="7"/>
  <c r="O5" i="7"/>
  <c r="K5" i="25" s="1"/>
  <c r="P5" i="7"/>
  <c r="L5" i="25" s="1"/>
  <c r="Q5" i="7"/>
  <c r="B408" i="7"/>
  <c r="C408" i="25" s="1"/>
  <c r="AY408" i="25" s="1"/>
  <c r="C408" i="7"/>
  <c r="B408" i="25" s="1"/>
  <c r="I408" i="7"/>
  <c r="L408" i="7"/>
  <c r="M408" i="7"/>
  <c r="N408" i="7"/>
  <c r="O408" i="7"/>
  <c r="K408" i="25" s="1"/>
  <c r="P408" i="7"/>
  <c r="L408" i="25" s="1"/>
  <c r="Q408" i="7"/>
  <c r="B164" i="7"/>
  <c r="C164" i="7"/>
  <c r="B164" i="25" s="1"/>
  <c r="I164" i="7"/>
  <c r="L164" i="7"/>
  <c r="M164" i="7"/>
  <c r="N164" i="7"/>
  <c r="O164" i="7"/>
  <c r="K164" i="25" s="1"/>
  <c r="P164" i="7"/>
  <c r="L164" i="25" s="1"/>
  <c r="Q164" i="7"/>
  <c r="B301" i="7"/>
  <c r="C301" i="25" s="1"/>
  <c r="C301" i="7"/>
  <c r="B301" i="25" s="1"/>
  <c r="I301" i="7"/>
  <c r="L301" i="7"/>
  <c r="M301" i="7"/>
  <c r="N301" i="7"/>
  <c r="O301" i="7"/>
  <c r="K301" i="25" s="1"/>
  <c r="P301" i="7"/>
  <c r="L301" i="25" s="1"/>
  <c r="Q301" i="7"/>
  <c r="B497" i="7"/>
  <c r="C497" i="25" s="1"/>
  <c r="AY497" i="25" s="1"/>
  <c r="C497" i="7"/>
  <c r="B497" i="25" s="1"/>
  <c r="I497" i="7"/>
  <c r="L497" i="7"/>
  <c r="M497" i="7"/>
  <c r="N497" i="7"/>
  <c r="O497" i="7"/>
  <c r="K497" i="25" s="1"/>
  <c r="P497" i="7"/>
  <c r="L497" i="25" s="1"/>
  <c r="Q497" i="7"/>
  <c r="B501" i="7"/>
  <c r="C501" i="25" s="1"/>
  <c r="C501" i="7"/>
  <c r="B501" i="25" s="1"/>
  <c r="I501" i="7"/>
  <c r="L501" i="7"/>
  <c r="M501" i="7"/>
  <c r="N501" i="7"/>
  <c r="O501" i="7"/>
  <c r="K501" i="25" s="1"/>
  <c r="P501" i="7"/>
  <c r="L501" i="25" s="1"/>
  <c r="Q501" i="7"/>
  <c r="B265" i="7"/>
  <c r="C265" i="25" s="1"/>
  <c r="AY265" i="25" s="1"/>
  <c r="C265" i="7"/>
  <c r="B265" i="25" s="1"/>
  <c r="I265" i="7"/>
  <c r="L265" i="7"/>
  <c r="M265" i="7"/>
  <c r="N265" i="7"/>
  <c r="O265" i="7"/>
  <c r="K265" i="25" s="1"/>
  <c r="P265" i="7"/>
  <c r="L265" i="25" s="1"/>
  <c r="Q265" i="7"/>
  <c r="B49" i="7"/>
  <c r="C49" i="7"/>
  <c r="B49" i="25" s="1"/>
  <c r="I49" i="7"/>
  <c r="L49" i="7"/>
  <c r="M49" i="7"/>
  <c r="N49" i="7"/>
  <c r="O49" i="7"/>
  <c r="K49" i="25" s="1"/>
  <c r="P49" i="7"/>
  <c r="L49" i="25" s="1"/>
  <c r="Q49" i="7"/>
  <c r="B389" i="7"/>
  <c r="C389" i="25" s="1"/>
  <c r="C389" i="7"/>
  <c r="B389" i="25" s="1"/>
  <c r="I389" i="7"/>
  <c r="L389" i="7"/>
  <c r="M389" i="7"/>
  <c r="N389" i="7"/>
  <c r="O389" i="7"/>
  <c r="K389" i="25" s="1"/>
  <c r="P389" i="7"/>
  <c r="L389" i="25" s="1"/>
  <c r="Q389" i="7"/>
  <c r="B208" i="7"/>
  <c r="C208" i="7"/>
  <c r="B208" i="25" s="1"/>
  <c r="I208" i="7"/>
  <c r="L208" i="7"/>
  <c r="M208" i="7"/>
  <c r="N208" i="7"/>
  <c r="O208" i="7"/>
  <c r="K208" i="25" s="1"/>
  <c r="P208" i="7"/>
  <c r="L208" i="25" s="1"/>
  <c r="Q208" i="7"/>
  <c r="B566" i="7"/>
  <c r="C566" i="25" s="1"/>
  <c r="C566" i="7"/>
  <c r="B566" i="25" s="1"/>
  <c r="I566" i="7"/>
  <c r="L566" i="7"/>
  <c r="M566" i="7"/>
  <c r="N566" i="7"/>
  <c r="O566" i="7"/>
  <c r="K566" i="25" s="1"/>
  <c r="P566" i="7"/>
  <c r="L566" i="25" s="1"/>
  <c r="Q566" i="7"/>
  <c r="B467" i="7"/>
  <c r="C467" i="25" s="1"/>
  <c r="C467" i="7"/>
  <c r="B467" i="25" s="1"/>
  <c r="I467" i="7"/>
  <c r="E467" i="25" s="1"/>
  <c r="L467" i="7"/>
  <c r="M467" i="7"/>
  <c r="N467" i="7"/>
  <c r="O467" i="7"/>
  <c r="K467" i="25" s="1"/>
  <c r="P467" i="7"/>
  <c r="L467" i="25" s="1"/>
  <c r="Q467" i="7"/>
  <c r="B405" i="7"/>
  <c r="C405" i="25" s="1"/>
  <c r="AY405" i="25" s="1"/>
  <c r="C405" i="7"/>
  <c r="B405" i="25" s="1"/>
  <c r="I405" i="7"/>
  <c r="L405" i="7"/>
  <c r="M405" i="7"/>
  <c r="N405" i="7"/>
  <c r="O405" i="7"/>
  <c r="K405" i="25" s="1"/>
  <c r="P405" i="7"/>
  <c r="L405" i="25" s="1"/>
  <c r="Q405" i="7"/>
  <c r="B393" i="7"/>
  <c r="C393" i="25" s="1"/>
  <c r="AY393" i="25" s="1"/>
  <c r="C393" i="7"/>
  <c r="B393" i="25" s="1"/>
  <c r="I393" i="7"/>
  <c r="L393" i="7"/>
  <c r="M393" i="7"/>
  <c r="N393" i="7"/>
  <c r="O393" i="7"/>
  <c r="K393" i="25" s="1"/>
  <c r="P393" i="7"/>
  <c r="L393" i="25" s="1"/>
  <c r="Q393" i="7"/>
  <c r="B588" i="7"/>
  <c r="C588" i="25" s="1"/>
  <c r="AY588" i="25" s="1"/>
  <c r="C588" i="7"/>
  <c r="B588" i="25" s="1"/>
  <c r="I588" i="7"/>
  <c r="L588" i="7"/>
  <c r="M588" i="7"/>
  <c r="N588" i="7"/>
  <c r="O588" i="7"/>
  <c r="K588" i="25" s="1"/>
  <c r="P588" i="7"/>
  <c r="L588" i="25" s="1"/>
  <c r="Q588" i="7"/>
  <c r="B427" i="7"/>
  <c r="C427" i="25" s="1"/>
  <c r="AY427" i="25" s="1"/>
  <c r="C427" i="7"/>
  <c r="B427" i="25" s="1"/>
  <c r="I427" i="7"/>
  <c r="L427" i="7"/>
  <c r="M427" i="7"/>
  <c r="N427" i="7"/>
  <c r="O427" i="7"/>
  <c r="K427" i="25" s="1"/>
  <c r="P427" i="7"/>
  <c r="L427" i="25" s="1"/>
  <c r="Q427" i="7"/>
  <c r="B29" i="7"/>
  <c r="C29" i="7"/>
  <c r="B29" i="25" s="1"/>
  <c r="I29" i="7"/>
  <c r="L29" i="7"/>
  <c r="M29" i="7"/>
  <c r="N29" i="7"/>
  <c r="O29" i="7"/>
  <c r="K29" i="25" s="1"/>
  <c r="P29" i="7"/>
  <c r="L29" i="25" s="1"/>
  <c r="Q29" i="7"/>
  <c r="B103" i="7"/>
  <c r="C103" i="7"/>
  <c r="B103" i="25" s="1"/>
  <c r="I103" i="7"/>
  <c r="E103" i="25" s="1"/>
  <c r="L103" i="7"/>
  <c r="M103" i="7"/>
  <c r="N103" i="7"/>
  <c r="O103" i="7"/>
  <c r="K103" i="25" s="1"/>
  <c r="P103" i="7"/>
  <c r="L103" i="25" s="1"/>
  <c r="Q103" i="7"/>
  <c r="B68" i="7"/>
  <c r="C68" i="7"/>
  <c r="B68" i="25" s="1"/>
  <c r="I68" i="7"/>
  <c r="L68" i="7"/>
  <c r="M68" i="7"/>
  <c r="N68" i="7"/>
  <c r="O68" i="7"/>
  <c r="K68" i="25" s="1"/>
  <c r="P68" i="7"/>
  <c r="L68" i="25" s="1"/>
  <c r="Q68" i="7"/>
  <c r="B159" i="7"/>
  <c r="C159" i="7"/>
  <c r="B159" i="25" s="1"/>
  <c r="I159" i="7"/>
  <c r="E159" i="25" s="1"/>
  <c r="L159" i="7"/>
  <c r="M159" i="7"/>
  <c r="N159" i="7"/>
  <c r="O159" i="7"/>
  <c r="K159" i="25" s="1"/>
  <c r="P159" i="7"/>
  <c r="L159" i="25" s="1"/>
  <c r="Q159" i="7"/>
  <c r="B63" i="7"/>
  <c r="C63" i="7"/>
  <c r="B63" i="25" s="1"/>
  <c r="I63" i="7"/>
  <c r="L63" i="7"/>
  <c r="M63" i="7"/>
  <c r="N63" i="7"/>
  <c r="O63" i="7"/>
  <c r="K63" i="25" s="1"/>
  <c r="P63" i="7"/>
  <c r="L63" i="25" s="1"/>
  <c r="Q63" i="7"/>
  <c r="B51" i="7"/>
  <c r="C51" i="7"/>
  <c r="B51" i="25" s="1"/>
  <c r="I51" i="7"/>
  <c r="L51" i="7"/>
  <c r="M51" i="7"/>
  <c r="N51" i="7"/>
  <c r="O51" i="7"/>
  <c r="K51" i="25" s="1"/>
  <c r="P51" i="7"/>
  <c r="L51" i="25" s="1"/>
  <c r="Q51" i="7"/>
  <c r="B542" i="7"/>
  <c r="C542" i="25" s="1"/>
  <c r="AY542" i="25" s="1"/>
  <c r="C542" i="7"/>
  <c r="B542" i="25" s="1"/>
  <c r="I542" i="7"/>
  <c r="L542" i="7"/>
  <c r="M542" i="7"/>
  <c r="N542" i="7"/>
  <c r="O542" i="7"/>
  <c r="K542" i="25" s="1"/>
  <c r="P542" i="7"/>
  <c r="L542" i="25" s="1"/>
  <c r="Q542" i="7"/>
  <c r="B285" i="7"/>
  <c r="C285" i="25" s="1"/>
  <c r="AY285" i="25" s="1"/>
  <c r="C285" i="7"/>
  <c r="B285" i="25" s="1"/>
  <c r="I285" i="7"/>
  <c r="L285" i="7"/>
  <c r="M285" i="7"/>
  <c r="N285" i="7"/>
  <c r="O285" i="7"/>
  <c r="K285" i="25" s="1"/>
  <c r="P285" i="7"/>
  <c r="L285" i="25" s="1"/>
  <c r="Q285" i="7"/>
  <c r="B541" i="7"/>
  <c r="C541" i="25" s="1"/>
  <c r="AY541" i="25" s="1"/>
  <c r="C541" i="7"/>
  <c r="B541" i="25" s="1"/>
  <c r="I541" i="7"/>
  <c r="L541" i="7"/>
  <c r="M541" i="7"/>
  <c r="N541" i="7"/>
  <c r="O541" i="7"/>
  <c r="K541" i="25" s="1"/>
  <c r="P541" i="7"/>
  <c r="L541" i="25" s="1"/>
  <c r="Q541" i="7"/>
  <c r="B30" i="7"/>
  <c r="C30" i="7"/>
  <c r="B30" i="25" s="1"/>
  <c r="I30" i="7"/>
  <c r="E30" i="25" s="1"/>
  <c r="L30" i="7"/>
  <c r="M30" i="7"/>
  <c r="N30" i="7"/>
  <c r="O30" i="7"/>
  <c r="K30" i="25" s="1"/>
  <c r="P30" i="7"/>
  <c r="L30" i="25" s="1"/>
  <c r="Q30" i="7"/>
  <c r="B536" i="7"/>
  <c r="C536" i="25" s="1"/>
  <c r="C536" i="7"/>
  <c r="B536" i="25" s="1"/>
  <c r="I536" i="7"/>
  <c r="L536" i="7"/>
  <c r="M536" i="7"/>
  <c r="N536" i="7"/>
  <c r="O536" i="7"/>
  <c r="K536" i="25" s="1"/>
  <c r="P536" i="7"/>
  <c r="L536" i="25" s="1"/>
  <c r="Q536" i="7"/>
  <c r="B333" i="7"/>
  <c r="C333" i="25" s="1"/>
  <c r="AY333" i="25" s="1"/>
  <c r="C333" i="7"/>
  <c r="B333" i="25" s="1"/>
  <c r="I333" i="7"/>
  <c r="L333" i="7"/>
  <c r="M333" i="7"/>
  <c r="N333" i="7"/>
  <c r="O333" i="7"/>
  <c r="K333" i="25" s="1"/>
  <c r="P333" i="7"/>
  <c r="L333" i="25" s="1"/>
  <c r="Q333" i="7"/>
  <c r="B462" i="7"/>
  <c r="C462" i="25" s="1"/>
  <c r="AY462" i="25" s="1"/>
  <c r="C462" i="7"/>
  <c r="B462" i="25" s="1"/>
  <c r="I462" i="7"/>
  <c r="L462" i="7"/>
  <c r="M462" i="7"/>
  <c r="N462" i="7"/>
  <c r="O462" i="7"/>
  <c r="K462" i="25" s="1"/>
  <c r="P462" i="7"/>
  <c r="L462" i="25" s="1"/>
  <c r="Q462" i="7"/>
  <c r="B93" i="7"/>
  <c r="C93" i="7"/>
  <c r="B93" i="25" s="1"/>
  <c r="I93" i="7"/>
  <c r="E93" i="25" s="1"/>
  <c r="L93" i="7"/>
  <c r="M93" i="7"/>
  <c r="N93" i="7"/>
  <c r="O93" i="7"/>
  <c r="K93" i="25" s="1"/>
  <c r="P93" i="7"/>
  <c r="L93" i="25" s="1"/>
  <c r="Q93" i="7"/>
  <c r="B21" i="7"/>
  <c r="C21" i="7"/>
  <c r="B21" i="25" s="1"/>
  <c r="I21" i="7"/>
  <c r="M21" i="7"/>
  <c r="N21" i="7"/>
  <c r="O21" i="7"/>
  <c r="K21" i="25" s="1"/>
  <c r="P21" i="7"/>
  <c r="L21" i="25" s="1"/>
  <c r="Q21" i="7"/>
  <c r="B26" i="7"/>
  <c r="C26" i="7"/>
  <c r="B26" i="25" s="1"/>
  <c r="I26" i="7"/>
  <c r="E26" i="25" s="1"/>
  <c r="L26" i="7"/>
  <c r="M26" i="7"/>
  <c r="N26" i="7"/>
  <c r="O26" i="7"/>
  <c r="K26" i="25" s="1"/>
  <c r="P26" i="7"/>
  <c r="L26" i="25" s="1"/>
  <c r="Q26" i="7"/>
  <c r="B495" i="7"/>
  <c r="C495" i="25" s="1"/>
  <c r="AY495" i="25" s="1"/>
  <c r="C495" i="7"/>
  <c r="B495" i="25" s="1"/>
  <c r="I495" i="7"/>
  <c r="E495" i="25" s="1"/>
  <c r="L495" i="7"/>
  <c r="M495" i="7"/>
  <c r="N495" i="7"/>
  <c r="O495" i="7"/>
  <c r="K495" i="25" s="1"/>
  <c r="P495" i="7"/>
  <c r="L495" i="25" s="1"/>
  <c r="Q495" i="7"/>
  <c r="B257" i="7"/>
  <c r="C257" i="7"/>
  <c r="B257" i="25" s="1"/>
  <c r="I257" i="7"/>
  <c r="E257" i="25" s="1"/>
  <c r="L257" i="7"/>
  <c r="M257" i="7"/>
  <c r="N257" i="7"/>
  <c r="O257" i="7"/>
  <c r="K257" i="25" s="1"/>
  <c r="P257" i="7"/>
  <c r="L257" i="25" s="1"/>
  <c r="Q257" i="7"/>
  <c r="B142" i="7"/>
  <c r="C142" i="7"/>
  <c r="B142" i="25" s="1"/>
  <c r="I142" i="7"/>
  <c r="L142" i="7"/>
  <c r="M142" i="7"/>
  <c r="N142" i="7"/>
  <c r="O142" i="7"/>
  <c r="K142" i="25" s="1"/>
  <c r="P142" i="7"/>
  <c r="L142" i="25" s="1"/>
  <c r="Q142" i="7"/>
  <c r="B551" i="7"/>
  <c r="C551" i="25" s="1"/>
  <c r="C551" i="7"/>
  <c r="B551" i="25" s="1"/>
  <c r="I551" i="7"/>
  <c r="L551" i="7"/>
  <c r="M551" i="7"/>
  <c r="N551" i="7"/>
  <c r="O551" i="7"/>
  <c r="K551" i="25" s="1"/>
  <c r="P551" i="7"/>
  <c r="L551" i="25" s="1"/>
  <c r="Q551" i="7"/>
  <c r="B141" i="7"/>
  <c r="C141" i="7"/>
  <c r="B141" i="25" s="1"/>
  <c r="I141" i="7"/>
  <c r="E141" i="25" s="1"/>
  <c r="L141" i="7"/>
  <c r="M141" i="7"/>
  <c r="N141" i="7"/>
  <c r="O141" i="7"/>
  <c r="K141" i="25" s="1"/>
  <c r="P141" i="7"/>
  <c r="L141" i="25" s="1"/>
  <c r="Q141" i="7"/>
  <c r="B178" i="7"/>
  <c r="C178" i="7"/>
  <c r="B178" i="25" s="1"/>
  <c r="I178" i="7"/>
  <c r="E178" i="25" s="1"/>
  <c r="L178" i="7"/>
  <c r="M178" i="7"/>
  <c r="N178" i="7"/>
  <c r="O178" i="7"/>
  <c r="K178" i="25" s="1"/>
  <c r="P178" i="7"/>
  <c r="L178" i="25" s="1"/>
  <c r="Q178" i="7"/>
  <c r="B250" i="7"/>
  <c r="C250" i="7"/>
  <c r="B250" i="25" s="1"/>
  <c r="I250" i="7"/>
  <c r="L250" i="7"/>
  <c r="M250" i="7"/>
  <c r="N250" i="7"/>
  <c r="O250" i="7"/>
  <c r="K250" i="25" s="1"/>
  <c r="P250" i="7"/>
  <c r="L250" i="25" s="1"/>
  <c r="Q250" i="7"/>
  <c r="B516" i="7"/>
  <c r="C516" i="25" s="1"/>
  <c r="AY516" i="25" s="1"/>
  <c r="C516" i="7"/>
  <c r="B516" i="25" s="1"/>
  <c r="I516" i="7"/>
  <c r="L516" i="7"/>
  <c r="M516" i="7"/>
  <c r="N516" i="7"/>
  <c r="O516" i="7"/>
  <c r="K516" i="25" s="1"/>
  <c r="P516" i="7"/>
  <c r="L516" i="25" s="1"/>
  <c r="Q516" i="7"/>
  <c r="B418" i="7"/>
  <c r="C418" i="25" s="1"/>
  <c r="C418" i="7"/>
  <c r="B418" i="25" s="1"/>
  <c r="I418" i="7"/>
  <c r="E418" i="25" s="1"/>
  <c r="L418" i="7"/>
  <c r="M418" i="7"/>
  <c r="N418" i="7"/>
  <c r="O418" i="7"/>
  <c r="K418" i="25" s="1"/>
  <c r="P418" i="7"/>
  <c r="L418" i="25" s="1"/>
  <c r="Q418" i="7"/>
  <c r="B353" i="7"/>
  <c r="C353" i="25" s="1"/>
  <c r="C353" i="7"/>
  <c r="B353" i="25" s="1"/>
  <c r="I353" i="7"/>
  <c r="E353" i="25" s="1"/>
  <c r="L353" i="7"/>
  <c r="M353" i="7"/>
  <c r="N353" i="7"/>
  <c r="O353" i="7"/>
  <c r="K353" i="25" s="1"/>
  <c r="P353" i="7"/>
  <c r="L353" i="25" s="1"/>
  <c r="Q353" i="7"/>
  <c r="B288" i="7"/>
  <c r="C288" i="7"/>
  <c r="B288" i="25" s="1"/>
  <c r="I288" i="7"/>
  <c r="L288" i="7"/>
  <c r="M288" i="7"/>
  <c r="N288" i="7"/>
  <c r="O288" i="7"/>
  <c r="K288" i="25" s="1"/>
  <c r="P288" i="7"/>
  <c r="L288" i="25" s="1"/>
  <c r="Q288" i="7"/>
  <c r="B135" i="7"/>
  <c r="C135" i="7"/>
  <c r="B135" i="25" s="1"/>
  <c r="I135" i="7"/>
  <c r="L135" i="7"/>
  <c r="M135" i="7"/>
  <c r="N135" i="7"/>
  <c r="O135" i="7"/>
  <c r="K135" i="25" s="1"/>
  <c r="P135" i="7"/>
  <c r="L135" i="25" s="1"/>
  <c r="Q135" i="7"/>
  <c r="B456" i="7"/>
  <c r="C456" i="25" s="1"/>
  <c r="AY456" i="25" s="1"/>
  <c r="C456" i="7"/>
  <c r="B456" i="25" s="1"/>
  <c r="I456" i="7"/>
  <c r="L456" i="7"/>
  <c r="M456" i="7"/>
  <c r="N456" i="7"/>
  <c r="O456" i="7"/>
  <c r="K456" i="25" s="1"/>
  <c r="P456" i="7"/>
  <c r="L456" i="25" s="1"/>
  <c r="Q456" i="7"/>
  <c r="B424" i="7"/>
  <c r="C424" i="25" s="1"/>
  <c r="AY424" i="25" s="1"/>
  <c r="C424" i="7"/>
  <c r="B424" i="25" s="1"/>
  <c r="I424" i="7"/>
  <c r="L424" i="7"/>
  <c r="M424" i="7"/>
  <c r="N424" i="7"/>
  <c r="O424" i="7"/>
  <c r="K424" i="25" s="1"/>
  <c r="P424" i="7"/>
  <c r="L424" i="25" s="1"/>
  <c r="Q424" i="7"/>
  <c r="B258" i="7"/>
  <c r="C258" i="7"/>
  <c r="B258" i="25" s="1"/>
  <c r="I258" i="7"/>
  <c r="E258" i="25" s="1"/>
  <c r="L258" i="7"/>
  <c r="M258" i="7"/>
  <c r="N258" i="7"/>
  <c r="O258" i="7"/>
  <c r="K258" i="25" s="1"/>
  <c r="P258" i="7"/>
  <c r="L258" i="25" s="1"/>
  <c r="Q258" i="7"/>
  <c r="B589" i="7"/>
  <c r="C589" i="25" s="1"/>
  <c r="AY589" i="25" s="1"/>
  <c r="C589" i="7"/>
  <c r="B589" i="25" s="1"/>
  <c r="I589" i="7"/>
  <c r="E589" i="25" s="1"/>
  <c r="L589" i="7"/>
  <c r="M589" i="7"/>
  <c r="N589" i="7"/>
  <c r="O589" i="7"/>
  <c r="K589" i="25" s="1"/>
  <c r="P589" i="7"/>
  <c r="L589" i="25" s="1"/>
  <c r="Q589" i="7"/>
  <c r="B401" i="7"/>
  <c r="C401" i="25" s="1"/>
  <c r="C401" i="7"/>
  <c r="B401" i="25" s="1"/>
  <c r="I401" i="7"/>
  <c r="E401" i="25" s="1"/>
  <c r="L401" i="7"/>
  <c r="M401" i="7"/>
  <c r="N401" i="7"/>
  <c r="O401" i="7"/>
  <c r="K401" i="25" s="1"/>
  <c r="P401" i="7"/>
  <c r="L401" i="25" s="1"/>
  <c r="Q401" i="7"/>
  <c r="B8" i="7"/>
  <c r="C8" i="7"/>
  <c r="B8" i="25" s="1"/>
  <c r="I8" i="7"/>
  <c r="E8" i="25" s="1"/>
  <c r="L8" i="7"/>
  <c r="M8" i="7"/>
  <c r="N8" i="7"/>
  <c r="O8" i="7"/>
  <c r="K8" i="25" s="1"/>
  <c r="P8" i="7"/>
  <c r="L8" i="25" s="1"/>
  <c r="Q8" i="7"/>
  <c r="B334" i="7"/>
  <c r="C334" i="25" s="1"/>
  <c r="AY334" i="25" s="1"/>
  <c r="C334" i="7"/>
  <c r="B334" i="25" s="1"/>
  <c r="I334" i="7"/>
  <c r="L334" i="7"/>
  <c r="M334" i="7"/>
  <c r="N334" i="7"/>
  <c r="O334" i="7"/>
  <c r="K334" i="25" s="1"/>
  <c r="P334" i="7"/>
  <c r="L334" i="25" s="1"/>
  <c r="Q334" i="7"/>
  <c r="B44" i="7"/>
  <c r="C44" i="7"/>
  <c r="B44" i="25" s="1"/>
  <c r="I44" i="7"/>
  <c r="E44" i="25" s="1"/>
  <c r="L44" i="7"/>
  <c r="M44" i="7"/>
  <c r="N44" i="7"/>
  <c r="O44" i="7"/>
  <c r="K44" i="25" s="1"/>
  <c r="P44" i="7"/>
  <c r="L44" i="25" s="1"/>
  <c r="Q44" i="7"/>
  <c r="B448" i="7"/>
  <c r="C448" i="25" s="1"/>
  <c r="AY448" i="25" s="1"/>
  <c r="C448" i="7"/>
  <c r="B448" i="25" s="1"/>
  <c r="I448" i="7"/>
  <c r="L448" i="7"/>
  <c r="M448" i="7"/>
  <c r="N448" i="7"/>
  <c r="O448" i="7"/>
  <c r="K448" i="25" s="1"/>
  <c r="P448" i="7"/>
  <c r="L448" i="25" s="1"/>
  <c r="Q448" i="7"/>
  <c r="B409" i="7"/>
  <c r="C409" i="25" s="1"/>
  <c r="AY409" i="25" s="1"/>
  <c r="C409" i="7"/>
  <c r="B409" i="25" s="1"/>
  <c r="I409" i="7"/>
  <c r="L409" i="7"/>
  <c r="M409" i="7"/>
  <c r="N409" i="7"/>
  <c r="O409" i="7"/>
  <c r="K409" i="25" s="1"/>
  <c r="P409" i="7"/>
  <c r="L409" i="25" s="1"/>
  <c r="Q409" i="7"/>
  <c r="B200" i="7"/>
  <c r="C200" i="7"/>
  <c r="B200" i="25" s="1"/>
  <c r="I200" i="7"/>
  <c r="E200" i="25" s="1"/>
  <c r="L200" i="7"/>
  <c r="M200" i="7"/>
  <c r="N200" i="7"/>
  <c r="O200" i="7"/>
  <c r="K200" i="25" s="1"/>
  <c r="P200" i="7"/>
  <c r="L200" i="25" s="1"/>
  <c r="Q200" i="7"/>
  <c r="B72" i="7"/>
  <c r="C72" i="7"/>
  <c r="B72" i="25" s="1"/>
  <c r="I72" i="7"/>
  <c r="E72" i="25" s="1"/>
  <c r="L72" i="7"/>
  <c r="M72" i="7"/>
  <c r="N72" i="7"/>
  <c r="O72" i="7"/>
  <c r="K72" i="25" s="1"/>
  <c r="P72" i="7"/>
  <c r="L72" i="25" s="1"/>
  <c r="Q72" i="7"/>
  <c r="B379" i="7"/>
  <c r="C379" i="25" s="1"/>
  <c r="AY379" i="25" s="1"/>
  <c r="C379" i="7"/>
  <c r="B379" i="25" s="1"/>
  <c r="I379" i="7"/>
  <c r="L379" i="7"/>
  <c r="M379" i="7"/>
  <c r="N379" i="7"/>
  <c r="O379" i="7"/>
  <c r="K379" i="25" s="1"/>
  <c r="P379" i="7"/>
  <c r="L379" i="25" s="1"/>
  <c r="Q379" i="7"/>
  <c r="B185" i="7"/>
  <c r="C185" i="7"/>
  <c r="B185" i="25" s="1"/>
  <c r="I185" i="7"/>
  <c r="E185" i="25" s="1"/>
  <c r="L185" i="7"/>
  <c r="M185" i="7"/>
  <c r="N185" i="7"/>
  <c r="O185" i="7"/>
  <c r="K185" i="25" s="1"/>
  <c r="P185" i="7"/>
  <c r="L185" i="25" s="1"/>
  <c r="Q185" i="7"/>
  <c r="B421" i="7"/>
  <c r="C421" i="25" s="1"/>
  <c r="C421" i="7"/>
  <c r="B421" i="25" s="1"/>
  <c r="I421" i="7"/>
  <c r="L421" i="7"/>
  <c r="M421" i="7"/>
  <c r="N421" i="7"/>
  <c r="O421" i="7"/>
  <c r="K421" i="25" s="1"/>
  <c r="P421" i="7"/>
  <c r="L421" i="25" s="1"/>
  <c r="Q421" i="7"/>
  <c r="B275" i="7"/>
  <c r="C275" i="7"/>
  <c r="B275" i="25" s="1"/>
  <c r="I275" i="7"/>
  <c r="L275" i="7"/>
  <c r="M275" i="7"/>
  <c r="N275" i="7"/>
  <c r="O275" i="7"/>
  <c r="K275" i="25" s="1"/>
  <c r="P275" i="7"/>
  <c r="L275" i="25" s="1"/>
  <c r="Q275" i="7"/>
  <c r="B463" i="7"/>
  <c r="C463" i="25" s="1"/>
  <c r="C463" i="7"/>
  <c r="B463" i="25" s="1"/>
  <c r="I463" i="7"/>
  <c r="E463" i="25" s="1"/>
  <c r="L463" i="7"/>
  <c r="M463" i="7"/>
  <c r="N463" i="7"/>
  <c r="O463" i="7"/>
  <c r="K463" i="25" s="1"/>
  <c r="P463" i="7"/>
  <c r="L463" i="25" s="1"/>
  <c r="Q463" i="7"/>
  <c r="B249" i="7"/>
  <c r="C249" i="7"/>
  <c r="B249" i="25" s="1"/>
  <c r="I249" i="7"/>
  <c r="E249" i="25" s="1"/>
  <c r="L249" i="7"/>
  <c r="M249" i="7"/>
  <c r="N249" i="7"/>
  <c r="O249" i="7"/>
  <c r="K249" i="25" s="1"/>
  <c r="P249" i="7"/>
  <c r="L249" i="25" s="1"/>
  <c r="Q249" i="7"/>
  <c r="B118" i="7"/>
  <c r="C118" i="7"/>
  <c r="B118" i="25" s="1"/>
  <c r="I118" i="7"/>
  <c r="L118" i="7"/>
  <c r="M118" i="7"/>
  <c r="N118" i="7"/>
  <c r="O118" i="7"/>
  <c r="K118" i="25" s="1"/>
  <c r="P118" i="7"/>
  <c r="L118" i="25" s="1"/>
  <c r="Q118" i="7"/>
  <c r="B76" i="7"/>
  <c r="C76" i="7"/>
  <c r="B76" i="25" s="1"/>
  <c r="I76" i="7"/>
  <c r="L76" i="7"/>
  <c r="M76" i="7"/>
  <c r="N76" i="7"/>
  <c r="O76" i="7"/>
  <c r="K76" i="25" s="1"/>
  <c r="P76" i="7"/>
  <c r="L76" i="25" s="1"/>
  <c r="Q76" i="7"/>
  <c r="B41" i="7"/>
  <c r="C41" i="7"/>
  <c r="B41" i="25" s="1"/>
  <c r="I41" i="7"/>
  <c r="L41" i="7"/>
  <c r="M41" i="7"/>
  <c r="N41" i="7"/>
  <c r="O41" i="7"/>
  <c r="K41" i="25" s="1"/>
  <c r="P41" i="7"/>
  <c r="L41" i="25" s="1"/>
  <c r="Q41" i="7"/>
  <c r="B147" i="7"/>
  <c r="C147" i="7"/>
  <c r="B147" i="25" s="1"/>
  <c r="I147" i="7"/>
  <c r="L147" i="7"/>
  <c r="M147" i="7"/>
  <c r="N147" i="7"/>
  <c r="O147" i="7"/>
  <c r="K147" i="25" s="1"/>
  <c r="P147" i="7"/>
  <c r="L147" i="25" s="1"/>
  <c r="Q147" i="7"/>
  <c r="B442" i="7"/>
  <c r="C442" i="25" s="1"/>
  <c r="AY442" i="25" s="1"/>
  <c r="C442" i="7"/>
  <c r="B442" i="25" s="1"/>
  <c r="I442" i="7"/>
  <c r="L442" i="7"/>
  <c r="M442" i="7"/>
  <c r="N442" i="7"/>
  <c r="O442" i="7"/>
  <c r="K442" i="25" s="1"/>
  <c r="P442" i="7"/>
  <c r="L442" i="25" s="1"/>
  <c r="Q442" i="7"/>
  <c r="B420" i="7"/>
  <c r="C420" i="25" s="1"/>
  <c r="AY420" i="25" s="1"/>
  <c r="C420" i="7"/>
  <c r="B420" i="25" s="1"/>
  <c r="I420" i="7"/>
  <c r="L420" i="7"/>
  <c r="M420" i="7"/>
  <c r="N420" i="7"/>
  <c r="O420" i="7"/>
  <c r="K420" i="25" s="1"/>
  <c r="P420" i="7"/>
  <c r="L420" i="25" s="1"/>
  <c r="Q420" i="7"/>
  <c r="B417" i="7"/>
  <c r="C417" i="25" s="1"/>
  <c r="C417" i="7"/>
  <c r="B417" i="25" s="1"/>
  <c r="I417" i="7"/>
  <c r="L417" i="7"/>
  <c r="M417" i="7"/>
  <c r="N417" i="7"/>
  <c r="O417" i="7"/>
  <c r="K417" i="25" s="1"/>
  <c r="P417" i="7"/>
  <c r="L417" i="25" s="1"/>
  <c r="Q417" i="7"/>
  <c r="B161" i="7"/>
  <c r="C161" i="7"/>
  <c r="B161" i="25" s="1"/>
  <c r="I161" i="7"/>
  <c r="L161" i="7"/>
  <c r="M161" i="7"/>
  <c r="N161" i="7"/>
  <c r="O161" i="7"/>
  <c r="K161" i="25" s="1"/>
  <c r="P161" i="7"/>
  <c r="L161" i="25" s="1"/>
  <c r="Q161" i="7"/>
  <c r="B240" i="7"/>
  <c r="C240" i="7"/>
  <c r="B240" i="25" s="1"/>
  <c r="I240" i="7"/>
  <c r="L240" i="7"/>
  <c r="M240" i="7"/>
  <c r="N240" i="7"/>
  <c r="O240" i="7"/>
  <c r="K240" i="25" s="1"/>
  <c r="P240" i="7"/>
  <c r="L240" i="25" s="1"/>
  <c r="Q240" i="7"/>
  <c r="B155" i="7"/>
  <c r="C155" i="7"/>
  <c r="B155" i="25" s="1"/>
  <c r="I155" i="7"/>
  <c r="L155" i="7"/>
  <c r="M155" i="7"/>
  <c r="N155" i="7"/>
  <c r="O155" i="7"/>
  <c r="K155" i="25" s="1"/>
  <c r="P155" i="7"/>
  <c r="L155" i="25" s="1"/>
  <c r="Q155" i="7"/>
  <c r="B517" i="7"/>
  <c r="C517" i="25" s="1"/>
  <c r="AY517" i="25" s="1"/>
  <c r="C517" i="7"/>
  <c r="B517" i="25" s="1"/>
  <c r="I517" i="7"/>
  <c r="E517" i="25" s="1"/>
  <c r="L517" i="7"/>
  <c r="M517" i="7"/>
  <c r="N517" i="7"/>
  <c r="O517" i="7"/>
  <c r="K517" i="25" s="1"/>
  <c r="P517" i="7"/>
  <c r="L517" i="25" s="1"/>
  <c r="Q517" i="7"/>
  <c r="B490" i="7"/>
  <c r="C490" i="25" s="1"/>
  <c r="C490" i="7"/>
  <c r="B490" i="25" s="1"/>
  <c r="I490" i="7"/>
  <c r="L490" i="7"/>
  <c r="M490" i="7"/>
  <c r="N490" i="7"/>
  <c r="O490" i="7"/>
  <c r="K490" i="25" s="1"/>
  <c r="P490" i="7"/>
  <c r="L490" i="25" s="1"/>
  <c r="Q490" i="7"/>
  <c r="B220" i="7"/>
  <c r="C220" i="7"/>
  <c r="B220" i="25" s="1"/>
  <c r="I220" i="7"/>
  <c r="L220" i="7"/>
  <c r="M220" i="7"/>
  <c r="N220" i="7"/>
  <c r="O220" i="7"/>
  <c r="K220" i="25" s="1"/>
  <c r="P220" i="7"/>
  <c r="L220" i="25" s="1"/>
  <c r="Q220" i="7"/>
  <c r="B32" i="7"/>
  <c r="C32" i="7"/>
  <c r="B32" i="25" s="1"/>
  <c r="I32" i="7"/>
  <c r="L32" i="7"/>
  <c r="M32" i="7"/>
  <c r="N32" i="7"/>
  <c r="O32" i="7"/>
  <c r="K32" i="25" s="1"/>
  <c r="P32" i="7"/>
  <c r="L32" i="25" s="1"/>
  <c r="Q32" i="7"/>
  <c r="B485" i="7"/>
  <c r="C485" i="25" s="1"/>
  <c r="AY485" i="25" s="1"/>
  <c r="C485" i="7"/>
  <c r="B485" i="25" s="1"/>
  <c r="I485" i="7"/>
  <c r="L485" i="7"/>
  <c r="M485" i="7"/>
  <c r="N485" i="7"/>
  <c r="O485" i="7"/>
  <c r="K485" i="25" s="1"/>
  <c r="P485" i="7"/>
  <c r="L485" i="25" s="1"/>
  <c r="Q485" i="7"/>
  <c r="B284" i="7"/>
  <c r="C284" i="7"/>
  <c r="B284" i="25" s="1"/>
  <c r="I284" i="7"/>
  <c r="L284" i="7"/>
  <c r="M284" i="7"/>
  <c r="N284" i="7"/>
  <c r="O284" i="7"/>
  <c r="K284" i="25" s="1"/>
  <c r="P284" i="7"/>
  <c r="L284" i="25" s="1"/>
  <c r="Q284" i="7"/>
  <c r="B109" i="7"/>
  <c r="C109" i="7"/>
  <c r="B109" i="25" s="1"/>
  <c r="I109" i="7"/>
  <c r="L109" i="7"/>
  <c r="M109" i="7"/>
  <c r="N109" i="7"/>
  <c r="O109" i="7"/>
  <c r="K109" i="25" s="1"/>
  <c r="P109" i="7"/>
  <c r="L109" i="25" s="1"/>
  <c r="Q109" i="7"/>
  <c r="B272" i="7"/>
  <c r="C272" i="7"/>
  <c r="B272" i="25" s="1"/>
  <c r="I272" i="7"/>
  <c r="L272" i="7"/>
  <c r="M272" i="7"/>
  <c r="N272" i="7"/>
  <c r="O272" i="7"/>
  <c r="K272" i="25" s="1"/>
  <c r="P272" i="7"/>
  <c r="L272" i="25" s="1"/>
  <c r="Q272" i="7"/>
  <c r="B162" i="7"/>
  <c r="C162" i="7"/>
  <c r="B162" i="25" s="1"/>
  <c r="I162" i="7"/>
  <c r="L162" i="7"/>
  <c r="M162" i="7"/>
  <c r="N162" i="7"/>
  <c r="O162" i="7"/>
  <c r="K162" i="25" s="1"/>
  <c r="P162" i="7"/>
  <c r="L162" i="25" s="1"/>
  <c r="Q162" i="7"/>
  <c r="B509" i="7"/>
  <c r="C509" i="25" s="1"/>
  <c r="C509" i="7"/>
  <c r="B509" i="25" s="1"/>
  <c r="I509" i="7"/>
  <c r="L509" i="7"/>
  <c r="M509" i="7"/>
  <c r="N509" i="7"/>
  <c r="O509" i="7"/>
  <c r="K509" i="25" s="1"/>
  <c r="P509" i="7"/>
  <c r="L509" i="25" s="1"/>
  <c r="Q509" i="7"/>
  <c r="B484" i="7"/>
  <c r="C484" i="25" s="1"/>
  <c r="AY484" i="25" s="1"/>
  <c r="C484" i="7"/>
  <c r="B484" i="25" s="1"/>
  <c r="I484" i="7"/>
  <c r="L484" i="7"/>
  <c r="M484" i="7"/>
  <c r="N484" i="7"/>
  <c r="O484" i="7"/>
  <c r="K484" i="25" s="1"/>
  <c r="P484" i="7"/>
  <c r="L484" i="25" s="1"/>
  <c r="Q484" i="7"/>
  <c r="B508" i="7"/>
  <c r="C508" i="25" s="1"/>
  <c r="C508" i="7"/>
  <c r="B508" i="25" s="1"/>
  <c r="I508" i="7"/>
  <c r="L508" i="7"/>
  <c r="M508" i="7"/>
  <c r="N508" i="7"/>
  <c r="O508" i="7"/>
  <c r="K508" i="25" s="1"/>
  <c r="P508" i="7"/>
  <c r="L508" i="25" s="1"/>
  <c r="Q508" i="7"/>
  <c r="B552" i="7"/>
  <c r="C552" i="25" s="1"/>
  <c r="C552" i="7"/>
  <c r="B552" i="25" s="1"/>
  <c r="I552" i="7"/>
  <c r="L552" i="7"/>
  <c r="M552" i="7"/>
  <c r="N552" i="7"/>
  <c r="O552" i="7"/>
  <c r="K552" i="25" s="1"/>
  <c r="P552" i="7"/>
  <c r="L552" i="25" s="1"/>
  <c r="Q552" i="7"/>
  <c r="B281" i="7"/>
  <c r="C281" i="25" s="1"/>
  <c r="AY281" i="25" s="1"/>
  <c r="C281" i="7"/>
  <c r="B281" i="25" s="1"/>
  <c r="I281" i="7"/>
  <c r="L281" i="7"/>
  <c r="M281" i="7"/>
  <c r="N281" i="7"/>
  <c r="O281" i="7"/>
  <c r="K281" i="25" s="1"/>
  <c r="P281" i="7"/>
  <c r="L281" i="25" s="1"/>
  <c r="Q281" i="7"/>
  <c r="B195" i="7"/>
  <c r="C195" i="7"/>
  <c r="B195" i="25" s="1"/>
  <c r="I195" i="7"/>
  <c r="L195" i="7"/>
  <c r="M195" i="7"/>
  <c r="N195" i="7"/>
  <c r="O195" i="7"/>
  <c r="K195" i="25" s="1"/>
  <c r="P195" i="7"/>
  <c r="L195" i="25" s="1"/>
  <c r="Q195" i="7"/>
  <c r="B167" i="7"/>
  <c r="C167" i="7"/>
  <c r="B167" i="25" s="1"/>
  <c r="I167" i="7"/>
  <c r="L167" i="7"/>
  <c r="M167" i="7"/>
  <c r="N167" i="7"/>
  <c r="O167" i="7"/>
  <c r="K167" i="25" s="1"/>
  <c r="P167" i="7"/>
  <c r="L167" i="25" s="1"/>
  <c r="Q167" i="7"/>
  <c r="B98" i="7"/>
  <c r="C98" i="7"/>
  <c r="B98" i="25" s="1"/>
  <c r="I98" i="7"/>
  <c r="L98" i="7"/>
  <c r="M98" i="7"/>
  <c r="N98" i="7"/>
  <c r="O98" i="7"/>
  <c r="K98" i="25" s="1"/>
  <c r="P98" i="7"/>
  <c r="L98" i="25" s="1"/>
  <c r="Q98" i="7"/>
  <c r="B350" i="7"/>
  <c r="C350" i="25" s="1"/>
  <c r="AY350" i="25" s="1"/>
  <c r="C350" i="7"/>
  <c r="B350" i="25" s="1"/>
  <c r="I350" i="7"/>
  <c r="L350" i="7"/>
  <c r="M350" i="7"/>
  <c r="N350" i="7"/>
  <c r="O350" i="7"/>
  <c r="K350" i="25" s="1"/>
  <c r="P350" i="7"/>
  <c r="L350" i="25" s="1"/>
  <c r="Q350" i="7"/>
  <c r="B53" i="7"/>
  <c r="C53" i="7"/>
  <c r="B53" i="25" s="1"/>
  <c r="I53" i="7"/>
  <c r="E53" i="25" s="1"/>
  <c r="L53" i="7"/>
  <c r="M53" i="7"/>
  <c r="N53" i="7"/>
  <c r="O53" i="7"/>
  <c r="K53" i="25" s="1"/>
  <c r="P53" i="7"/>
  <c r="L53" i="25" s="1"/>
  <c r="Q53" i="7"/>
  <c r="B312" i="7"/>
  <c r="C312" i="7"/>
  <c r="B312" i="25" s="1"/>
  <c r="I312" i="7"/>
  <c r="E312" i="25" s="1"/>
  <c r="L312" i="7"/>
  <c r="M312" i="7"/>
  <c r="N312" i="7"/>
  <c r="O312" i="7"/>
  <c r="K312" i="25" s="1"/>
  <c r="P312" i="7"/>
  <c r="L312" i="25" s="1"/>
  <c r="Q312" i="7"/>
  <c r="B9" i="7"/>
  <c r="C9" i="7"/>
  <c r="B9" i="25" s="1"/>
  <c r="I9" i="7"/>
  <c r="E9" i="25" s="1"/>
  <c r="L9" i="7"/>
  <c r="M9" i="7"/>
  <c r="N9" i="7"/>
  <c r="O9" i="7"/>
  <c r="K9" i="25" s="1"/>
  <c r="P9" i="7"/>
  <c r="L9" i="25" s="1"/>
  <c r="Q9" i="7"/>
  <c r="B371" i="7"/>
  <c r="C371" i="25" s="1"/>
  <c r="AY371" i="25" s="1"/>
  <c r="C371" i="7"/>
  <c r="B371" i="25" s="1"/>
  <c r="I371" i="7"/>
  <c r="E371" i="25" s="1"/>
  <c r="L371" i="7"/>
  <c r="M371" i="7"/>
  <c r="N371" i="7"/>
  <c r="O371" i="7"/>
  <c r="K371" i="25" s="1"/>
  <c r="P371" i="7"/>
  <c r="L371" i="25" s="1"/>
  <c r="Q371" i="7"/>
  <c r="B512" i="7"/>
  <c r="C512" i="25" s="1"/>
  <c r="AY512" i="25" s="1"/>
  <c r="C512" i="7"/>
  <c r="B512" i="25" s="1"/>
  <c r="I512" i="7"/>
  <c r="L512" i="7"/>
  <c r="M512" i="7"/>
  <c r="N512" i="7"/>
  <c r="O512" i="7"/>
  <c r="K512" i="25" s="1"/>
  <c r="P512" i="7"/>
  <c r="L512" i="25" s="1"/>
  <c r="Q512" i="7"/>
  <c r="B217" i="7"/>
  <c r="C217" i="7"/>
  <c r="B217" i="25" s="1"/>
  <c r="I217" i="7"/>
  <c r="L217" i="7"/>
  <c r="M217" i="7"/>
  <c r="N217" i="7"/>
  <c r="O217" i="7"/>
  <c r="K217" i="25" s="1"/>
  <c r="P217" i="7"/>
  <c r="L217" i="25" s="1"/>
  <c r="Q217" i="7"/>
  <c r="B531" i="7"/>
  <c r="C531" i="25" s="1"/>
  <c r="C531" i="7"/>
  <c r="B531" i="25" s="1"/>
  <c r="I531" i="7"/>
  <c r="L531" i="7"/>
  <c r="M531" i="7"/>
  <c r="N531" i="7"/>
  <c r="O531" i="7"/>
  <c r="K531" i="25" s="1"/>
  <c r="P531" i="7"/>
  <c r="L531" i="25" s="1"/>
  <c r="Q531" i="7"/>
  <c r="B534" i="7"/>
  <c r="C534" i="25" s="1"/>
  <c r="C534" i="7"/>
  <c r="B534" i="25" s="1"/>
  <c r="I534" i="7"/>
  <c r="E534" i="25" s="1"/>
  <c r="L534" i="7"/>
  <c r="M534" i="7"/>
  <c r="N534" i="7"/>
  <c r="O534" i="7"/>
  <c r="K534" i="25" s="1"/>
  <c r="P534" i="7"/>
  <c r="L534" i="25" s="1"/>
  <c r="Q534" i="7"/>
  <c r="B526" i="7"/>
  <c r="C526" i="25" s="1"/>
  <c r="AY526" i="25" s="1"/>
  <c r="C526" i="7"/>
  <c r="B526" i="25" s="1"/>
  <c r="I526" i="7"/>
  <c r="L526" i="7"/>
  <c r="M526" i="7"/>
  <c r="N526" i="7"/>
  <c r="O526" i="7"/>
  <c r="K526" i="25" s="1"/>
  <c r="P526" i="7"/>
  <c r="L526" i="25" s="1"/>
  <c r="Q526" i="7"/>
  <c r="B432" i="7"/>
  <c r="C432" i="25" s="1"/>
  <c r="C432" i="7"/>
  <c r="B432" i="25" s="1"/>
  <c r="I432" i="7"/>
  <c r="L432" i="7"/>
  <c r="M432" i="7"/>
  <c r="N432" i="7"/>
  <c r="O432" i="7"/>
  <c r="K432" i="25" s="1"/>
  <c r="P432" i="7"/>
  <c r="L432" i="25" s="1"/>
  <c r="Q432" i="7"/>
  <c r="B277" i="7"/>
  <c r="C277" i="25" s="1"/>
  <c r="AY277" i="25" s="1"/>
  <c r="C277" i="7"/>
  <c r="B277" i="25" s="1"/>
  <c r="I277" i="7"/>
  <c r="L277" i="7"/>
  <c r="M277" i="7"/>
  <c r="N277" i="7"/>
  <c r="O277" i="7"/>
  <c r="K277" i="25" s="1"/>
  <c r="P277" i="7"/>
  <c r="L277" i="25" s="1"/>
  <c r="Q277" i="7"/>
  <c r="B156" i="7"/>
  <c r="C156" i="7"/>
  <c r="B156" i="25" s="1"/>
  <c r="I156" i="7"/>
  <c r="L156" i="7"/>
  <c r="M156" i="7"/>
  <c r="N156" i="7"/>
  <c r="O156" i="7"/>
  <c r="K156" i="25" s="1"/>
  <c r="P156" i="7"/>
  <c r="L156" i="25" s="1"/>
  <c r="Q156" i="7"/>
  <c r="B52" i="7"/>
  <c r="C52" i="7"/>
  <c r="B52" i="25" s="1"/>
  <c r="I52" i="7"/>
  <c r="L52" i="7"/>
  <c r="M52" i="7"/>
  <c r="N52" i="7"/>
  <c r="O52" i="7"/>
  <c r="K52" i="25" s="1"/>
  <c r="P52" i="7"/>
  <c r="L52" i="25" s="1"/>
  <c r="Q52" i="7"/>
  <c r="B307" i="7"/>
  <c r="C307" i="25" s="1"/>
  <c r="AY307" i="25" s="1"/>
  <c r="C307" i="7"/>
  <c r="B307" i="25" s="1"/>
  <c r="I307" i="7"/>
  <c r="L307" i="7"/>
  <c r="M307" i="7"/>
  <c r="N307" i="7"/>
  <c r="O307" i="7"/>
  <c r="K307" i="25" s="1"/>
  <c r="P307" i="7"/>
  <c r="L307" i="25" s="1"/>
  <c r="Q307" i="7"/>
  <c r="B170" i="7"/>
  <c r="C170" i="7"/>
  <c r="B170" i="25" s="1"/>
  <c r="I170" i="7"/>
  <c r="L170" i="7"/>
  <c r="M170" i="7"/>
  <c r="N170" i="7"/>
  <c r="O170" i="7"/>
  <c r="K170" i="25" s="1"/>
  <c r="P170" i="7"/>
  <c r="L170" i="25" s="1"/>
  <c r="Q170" i="7"/>
  <c r="B116" i="7"/>
  <c r="C116" i="7"/>
  <c r="B116" i="25" s="1"/>
  <c r="I116" i="7"/>
  <c r="E116" i="25" s="1"/>
  <c r="L116" i="7"/>
  <c r="M116" i="7"/>
  <c r="N116" i="7"/>
  <c r="O116" i="7"/>
  <c r="K116" i="25" s="1"/>
  <c r="P116" i="7"/>
  <c r="L116" i="25" s="1"/>
  <c r="Q116" i="7"/>
  <c r="B99" i="7"/>
  <c r="C99" i="7"/>
  <c r="B99" i="25" s="1"/>
  <c r="I99" i="7"/>
  <c r="L99" i="7"/>
  <c r="M99" i="7"/>
  <c r="N99" i="7"/>
  <c r="O99" i="7"/>
  <c r="K99" i="25" s="1"/>
  <c r="P99" i="7"/>
  <c r="L99" i="25" s="1"/>
  <c r="Q99" i="7"/>
  <c r="B245" i="7"/>
  <c r="C245" i="7"/>
  <c r="B245" i="25" s="1"/>
  <c r="I245" i="7"/>
  <c r="L245" i="7"/>
  <c r="M245" i="7"/>
  <c r="N245" i="7"/>
  <c r="O245" i="7"/>
  <c r="K245" i="25" s="1"/>
  <c r="P245" i="7"/>
  <c r="L245" i="25" s="1"/>
  <c r="Q245" i="7"/>
  <c r="B558" i="7"/>
  <c r="C558" i="25" s="1"/>
  <c r="C558" i="7"/>
  <c r="B558" i="25" s="1"/>
  <c r="I558" i="7"/>
  <c r="L558" i="7"/>
  <c r="M558" i="7"/>
  <c r="N558" i="7"/>
  <c r="O558" i="7"/>
  <c r="K558" i="25" s="1"/>
  <c r="P558" i="7"/>
  <c r="L558" i="25" s="1"/>
  <c r="Q558" i="7"/>
  <c r="B449" i="7"/>
  <c r="C449" i="25" s="1"/>
  <c r="AY449" i="25" s="1"/>
  <c r="C449" i="7"/>
  <c r="B449" i="25" s="1"/>
  <c r="I449" i="7"/>
  <c r="L449" i="7"/>
  <c r="M449" i="7"/>
  <c r="N449" i="7"/>
  <c r="O449" i="7"/>
  <c r="K449" i="25" s="1"/>
  <c r="P449" i="7"/>
  <c r="L449" i="25" s="1"/>
  <c r="Q449" i="7"/>
  <c r="B361" i="7"/>
  <c r="C361" i="25" s="1"/>
  <c r="C361" i="7"/>
  <c r="B361" i="25" s="1"/>
  <c r="I361" i="7"/>
  <c r="L361" i="7"/>
  <c r="M361" i="7"/>
  <c r="N361" i="7"/>
  <c r="O361" i="7"/>
  <c r="K361" i="25" s="1"/>
  <c r="P361" i="7"/>
  <c r="L361" i="25" s="1"/>
  <c r="Q361" i="7"/>
  <c r="B530" i="7"/>
  <c r="C530" i="25" s="1"/>
  <c r="C530" i="7"/>
  <c r="B530" i="25" s="1"/>
  <c r="I530" i="7"/>
  <c r="L530" i="7"/>
  <c r="M530" i="7"/>
  <c r="N530" i="7"/>
  <c r="O530" i="7"/>
  <c r="K530" i="25" s="1"/>
  <c r="P530" i="7"/>
  <c r="L530" i="25" s="1"/>
  <c r="Q530" i="7"/>
  <c r="B373" i="7"/>
  <c r="C373" i="25" s="1"/>
  <c r="AY373" i="25" s="1"/>
  <c r="C373" i="7"/>
  <c r="B373" i="25" s="1"/>
  <c r="I373" i="7"/>
  <c r="L373" i="7"/>
  <c r="M373" i="7"/>
  <c r="N373" i="7"/>
  <c r="O373" i="7"/>
  <c r="K373" i="25" s="1"/>
  <c r="P373" i="7"/>
  <c r="L373" i="25" s="1"/>
  <c r="Q373" i="7"/>
  <c r="B73" i="7"/>
  <c r="C73" i="7"/>
  <c r="B73" i="25" s="1"/>
  <c r="I73" i="7"/>
  <c r="L73" i="7"/>
  <c r="M73" i="7"/>
  <c r="N73" i="7"/>
  <c r="O73" i="7"/>
  <c r="K73" i="25" s="1"/>
  <c r="P73" i="7"/>
  <c r="L73" i="25" s="1"/>
  <c r="Q73" i="7"/>
  <c r="B506" i="7"/>
  <c r="C506" i="25" s="1"/>
  <c r="C506" i="7"/>
  <c r="B506" i="25" s="1"/>
  <c r="I506" i="7"/>
  <c r="L506" i="7"/>
  <c r="M506" i="7"/>
  <c r="N506" i="7"/>
  <c r="O506" i="7"/>
  <c r="K506" i="25" s="1"/>
  <c r="P506" i="7"/>
  <c r="L506" i="25" s="1"/>
  <c r="Q506" i="7"/>
  <c r="B43" i="7"/>
  <c r="C43" i="7"/>
  <c r="B43" i="25" s="1"/>
  <c r="I43" i="7"/>
  <c r="E43" i="25" s="1"/>
  <c r="L43" i="7"/>
  <c r="M43" i="7"/>
  <c r="N43" i="7"/>
  <c r="O43" i="7"/>
  <c r="K43" i="25" s="1"/>
  <c r="P43" i="7"/>
  <c r="L43" i="25" s="1"/>
  <c r="Q43" i="7"/>
  <c r="B594" i="7"/>
  <c r="C594" i="25" s="1"/>
  <c r="C594" i="7"/>
  <c r="B594" i="25" s="1"/>
  <c r="I594" i="7"/>
  <c r="L594" i="7"/>
  <c r="M594" i="7"/>
  <c r="N594" i="7"/>
  <c r="O594" i="7"/>
  <c r="K594" i="25" s="1"/>
  <c r="P594" i="7"/>
  <c r="L594" i="25" s="1"/>
  <c r="Q594" i="7"/>
  <c r="B223" i="7"/>
  <c r="C223" i="7"/>
  <c r="B223" i="25" s="1"/>
  <c r="I223" i="7"/>
  <c r="L223" i="7"/>
  <c r="M223" i="7"/>
  <c r="N223" i="7"/>
  <c r="O223" i="7"/>
  <c r="P223" i="7"/>
  <c r="L223" i="25" s="1"/>
  <c r="Q223" i="7"/>
  <c r="B81" i="7"/>
  <c r="C81" i="7"/>
  <c r="B81" i="25" s="1"/>
  <c r="I81" i="7"/>
  <c r="L81" i="7"/>
  <c r="M81" i="7"/>
  <c r="N81" i="7"/>
  <c r="O81" i="7"/>
  <c r="K81" i="25" s="1"/>
  <c r="P81" i="7"/>
  <c r="L81" i="25" s="1"/>
  <c r="Q81" i="7"/>
  <c r="B577" i="7"/>
  <c r="C577" i="25" s="1"/>
  <c r="AY577" i="25" s="1"/>
  <c r="C577" i="7"/>
  <c r="B577" i="25" s="1"/>
  <c r="I577" i="7"/>
  <c r="E577" i="25" s="1"/>
  <c r="L577" i="7"/>
  <c r="M577" i="7"/>
  <c r="N577" i="7"/>
  <c r="O577" i="7"/>
  <c r="K577" i="25" s="1"/>
  <c r="P577" i="7"/>
  <c r="L577" i="25" s="1"/>
  <c r="Q577" i="7"/>
  <c r="B111" i="7"/>
  <c r="C111" i="7"/>
  <c r="B111" i="25" s="1"/>
  <c r="I111" i="7"/>
  <c r="E111" i="25" s="1"/>
  <c r="L111" i="7"/>
  <c r="M111" i="7"/>
  <c r="N111" i="7"/>
  <c r="O111" i="7"/>
  <c r="K111" i="25" s="1"/>
  <c r="P111" i="7"/>
  <c r="L111" i="25" s="1"/>
  <c r="Q111" i="7"/>
  <c r="B494" i="7"/>
  <c r="C494" i="25" s="1"/>
  <c r="AY494" i="25" s="1"/>
  <c r="C494" i="7"/>
  <c r="B494" i="25" s="1"/>
  <c r="I494" i="7"/>
  <c r="E494" i="25" s="1"/>
  <c r="L494" i="7"/>
  <c r="M494" i="7"/>
  <c r="N494" i="7"/>
  <c r="O494" i="7"/>
  <c r="K494" i="25" s="1"/>
  <c r="P494" i="7"/>
  <c r="L494" i="25" s="1"/>
  <c r="Q494" i="7"/>
  <c r="B479" i="7"/>
  <c r="C479" i="25" s="1"/>
  <c r="AY479" i="25" s="1"/>
  <c r="C479" i="7"/>
  <c r="B479" i="25" s="1"/>
  <c r="I479" i="7"/>
  <c r="L479" i="7"/>
  <c r="M479" i="7"/>
  <c r="N479" i="7"/>
  <c r="O479" i="7"/>
  <c r="K479" i="25" s="1"/>
  <c r="P479" i="7"/>
  <c r="L479" i="25" s="1"/>
  <c r="Q479" i="7"/>
  <c r="B237" i="7"/>
  <c r="C237" i="7"/>
  <c r="B237" i="25" s="1"/>
  <c r="I237" i="7"/>
  <c r="L237" i="7"/>
  <c r="M237" i="7"/>
  <c r="N237" i="7"/>
  <c r="O237" i="7"/>
  <c r="K237" i="25" s="1"/>
  <c r="P237" i="7"/>
  <c r="L237" i="25" s="1"/>
  <c r="Q237" i="7"/>
  <c r="B238" i="7"/>
  <c r="C238" i="7"/>
  <c r="B238" i="25" s="1"/>
  <c r="I238" i="7"/>
  <c r="L238" i="7"/>
  <c r="M238" i="7"/>
  <c r="N238" i="7"/>
  <c r="O238" i="7"/>
  <c r="K238" i="25" s="1"/>
  <c r="P238" i="7"/>
  <c r="L238" i="25" s="1"/>
  <c r="Q238" i="7"/>
  <c r="B304" i="7"/>
  <c r="C304" i="7"/>
  <c r="B304" i="25" s="1"/>
  <c r="I304" i="7"/>
  <c r="L304" i="7"/>
  <c r="M304" i="7"/>
  <c r="N304" i="7"/>
  <c r="O304" i="7"/>
  <c r="K304" i="25" s="1"/>
  <c r="P304" i="7"/>
  <c r="L304" i="25" s="1"/>
  <c r="Q304" i="7"/>
  <c r="B14" i="7"/>
  <c r="C14" i="7"/>
  <c r="B14" i="25" s="1"/>
  <c r="I14" i="7"/>
  <c r="L14" i="7"/>
  <c r="M14" i="7"/>
  <c r="N14" i="7"/>
  <c r="O14" i="7"/>
  <c r="K14" i="25" s="1"/>
  <c r="P14" i="7"/>
  <c r="L14" i="25" s="1"/>
  <c r="Q14" i="7"/>
  <c r="B383" i="7"/>
  <c r="C383" i="25" s="1"/>
  <c r="AY383" i="25" s="1"/>
  <c r="C383" i="7"/>
  <c r="B383" i="25" s="1"/>
  <c r="I383" i="7"/>
  <c r="L383" i="7"/>
  <c r="M383" i="7"/>
  <c r="N383" i="7"/>
  <c r="O383" i="7"/>
  <c r="K383" i="25" s="1"/>
  <c r="P383" i="7"/>
  <c r="L383" i="25" s="1"/>
  <c r="Q383" i="7"/>
  <c r="B50" i="7"/>
  <c r="C50" i="7"/>
  <c r="B50" i="25" s="1"/>
  <c r="I50" i="7"/>
  <c r="L50" i="7"/>
  <c r="M50" i="7"/>
  <c r="N50" i="7"/>
  <c r="O50" i="7"/>
  <c r="K50" i="25" s="1"/>
  <c r="P50" i="7"/>
  <c r="L50" i="25" s="1"/>
  <c r="Q50" i="7"/>
  <c r="B511" i="7"/>
  <c r="C511" i="25" s="1"/>
  <c r="AY511" i="25" s="1"/>
  <c r="C511" i="7"/>
  <c r="B511" i="25" s="1"/>
  <c r="I511" i="7"/>
  <c r="L511" i="7"/>
  <c r="M511" i="7"/>
  <c r="N511" i="7"/>
  <c r="O511" i="7"/>
  <c r="K511" i="25" s="1"/>
  <c r="P511" i="7"/>
  <c r="L511" i="25" s="1"/>
  <c r="Q511" i="7"/>
  <c r="B110" i="7"/>
  <c r="C110" i="7"/>
  <c r="B110" i="25" s="1"/>
  <c r="I110" i="7"/>
  <c r="L110" i="7"/>
  <c r="M110" i="7"/>
  <c r="N110" i="7"/>
  <c r="O110" i="7"/>
  <c r="K110" i="25" s="1"/>
  <c r="P110" i="7"/>
  <c r="L110" i="25" s="1"/>
  <c r="Q110" i="7"/>
  <c r="B365" i="7"/>
  <c r="C365" i="25" s="1"/>
  <c r="C365" i="7"/>
  <c r="B365" i="25" s="1"/>
  <c r="I365" i="7"/>
  <c r="L365" i="7"/>
  <c r="M365" i="7"/>
  <c r="N365" i="7"/>
  <c r="O365" i="7"/>
  <c r="K365" i="25" s="1"/>
  <c r="P365" i="7"/>
  <c r="L365" i="25" s="1"/>
  <c r="Q365" i="7"/>
  <c r="B66" i="7"/>
  <c r="C66" i="7"/>
  <c r="B66" i="25" s="1"/>
  <c r="I66" i="7"/>
  <c r="L66" i="7"/>
  <c r="M66" i="7"/>
  <c r="N66" i="7"/>
  <c r="O66" i="7"/>
  <c r="K66" i="25" s="1"/>
  <c r="P66" i="7"/>
  <c r="L66" i="25" s="1"/>
  <c r="Q66" i="7"/>
  <c r="B283" i="7"/>
  <c r="C283" i="25" s="1"/>
  <c r="AY283" i="25" s="1"/>
  <c r="C283" i="7"/>
  <c r="B283" i="25" s="1"/>
  <c r="I283" i="7"/>
  <c r="L283" i="7"/>
  <c r="M283" i="7"/>
  <c r="N283" i="7"/>
  <c r="O283" i="7"/>
  <c r="K283" i="25" s="1"/>
  <c r="P283" i="7"/>
  <c r="L283" i="25" s="1"/>
  <c r="Q283" i="7"/>
  <c r="B54" i="7"/>
  <c r="C54" i="7"/>
  <c r="B54" i="25" s="1"/>
  <c r="I54" i="7"/>
  <c r="L54" i="7"/>
  <c r="M54" i="7"/>
  <c r="N54" i="7"/>
  <c r="O54" i="7"/>
  <c r="K54" i="25" s="1"/>
  <c r="P54" i="7"/>
  <c r="L54" i="25" s="1"/>
  <c r="Q54" i="7"/>
  <c r="B439" i="7"/>
  <c r="C439" i="25" s="1"/>
  <c r="C439" i="7"/>
  <c r="B439" i="25" s="1"/>
  <c r="I439" i="7"/>
  <c r="L439" i="7"/>
  <c r="M439" i="7"/>
  <c r="N439" i="7"/>
  <c r="O439" i="7"/>
  <c r="K439" i="25" s="1"/>
  <c r="P439" i="7"/>
  <c r="L439" i="25" s="1"/>
  <c r="Q439" i="7"/>
  <c r="B481" i="7"/>
  <c r="C481" i="25" s="1"/>
  <c r="AY481" i="25" s="1"/>
  <c r="C481" i="7"/>
  <c r="B481" i="25" s="1"/>
  <c r="I481" i="7"/>
  <c r="L481" i="7"/>
  <c r="M481" i="7"/>
  <c r="N481" i="7"/>
  <c r="O481" i="7"/>
  <c r="K481" i="25" s="1"/>
  <c r="P481" i="7"/>
  <c r="L481" i="25" s="1"/>
  <c r="Q481" i="7"/>
  <c r="B278" i="7"/>
  <c r="C278" i="7"/>
  <c r="B278" i="25" s="1"/>
  <c r="I278" i="7"/>
  <c r="L278" i="7"/>
  <c r="M278" i="7"/>
  <c r="N278" i="7"/>
  <c r="O278" i="7"/>
  <c r="K278" i="25" s="1"/>
  <c r="P278" i="7"/>
  <c r="L278" i="25" s="1"/>
  <c r="Q278" i="7"/>
  <c r="B11" i="7"/>
  <c r="C11" i="7"/>
  <c r="B11" i="25" s="1"/>
  <c r="I11" i="7"/>
  <c r="E11" i="25" s="1"/>
  <c r="L11" i="7"/>
  <c r="M11" i="7"/>
  <c r="N11" i="7"/>
  <c r="O11" i="7"/>
  <c r="K11" i="25" s="1"/>
  <c r="P11" i="7"/>
  <c r="L11" i="25" s="1"/>
  <c r="Q11" i="7"/>
  <c r="B397" i="7"/>
  <c r="C397" i="25" s="1"/>
  <c r="C397" i="7"/>
  <c r="B397" i="25" s="1"/>
  <c r="I397" i="7"/>
  <c r="E397" i="25" s="1"/>
  <c r="L397" i="7"/>
  <c r="M397" i="7"/>
  <c r="N397" i="7"/>
  <c r="O397" i="7"/>
  <c r="K397" i="25" s="1"/>
  <c r="P397" i="7"/>
  <c r="L397" i="25" s="1"/>
  <c r="Q397" i="7"/>
  <c r="B254" i="7"/>
  <c r="C254" i="7"/>
  <c r="B254" i="25" s="1"/>
  <c r="I254" i="7"/>
  <c r="E254" i="25" s="1"/>
  <c r="L254" i="7"/>
  <c r="M254" i="7"/>
  <c r="N254" i="7"/>
  <c r="O254" i="7"/>
  <c r="K254" i="25" s="1"/>
  <c r="P254" i="7"/>
  <c r="L254" i="25" s="1"/>
  <c r="Q254" i="7"/>
  <c r="B92" i="7"/>
  <c r="C92" i="7"/>
  <c r="B92" i="25" s="1"/>
  <c r="I92" i="7"/>
  <c r="E92" i="25" s="1"/>
  <c r="L92" i="7"/>
  <c r="M92" i="7"/>
  <c r="N92" i="7"/>
  <c r="O92" i="7"/>
  <c r="K92" i="25" s="1"/>
  <c r="P92" i="7"/>
  <c r="L92" i="25" s="1"/>
  <c r="Q92" i="7"/>
  <c r="B203" i="7"/>
  <c r="C203" i="7"/>
  <c r="B203" i="25" s="1"/>
  <c r="I203" i="7"/>
  <c r="L203" i="7"/>
  <c r="M203" i="7"/>
  <c r="N203" i="7"/>
  <c r="O203" i="7"/>
  <c r="K203" i="25" s="1"/>
  <c r="P203" i="7"/>
  <c r="L203" i="25" s="1"/>
  <c r="Q203" i="7"/>
  <c r="B412" i="7"/>
  <c r="C412" i="25" s="1"/>
  <c r="AY412" i="25" s="1"/>
  <c r="C412" i="7"/>
  <c r="B412" i="25" s="1"/>
  <c r="I412" i="7"/>
  <c r="E412" i="25" s="1"/>
  <c r="L412" i="7"/>
  <c r="M412" i="7"/>
  <c r="N412" i="7"/>
  <c r="O412" i="7"/>
  <c r="K412" i="25" s="1"/>
  <c r="P412" i="7"/>
  <c r="L412" i="25" s="1"/>
  <c r="Q412" i="7"/>
  <c r="B392" i="7"/>
  <c r="C392" i="25" s="1"/>
  <c r="AY392" i="25" s="1"/>
  <c r="C392" i="7"/>
  <c r="B392" i="25" s="1"/>
  <c r="I392" i="7"/>
  <c r="E392" i="25" s="1"/>
  <c r="L392" i="7"/>
  <c r="M392" i="7"/>
  <c r="N392" i="7"/>
  <c r="O392" i="7"/>
  <c r="K392" i="25" s="1"/>
  <c r="P392" i="7"/>
  <c r="L392" i="25" s="1"/>
  <c r="Q392" i="7"/>
  <c r="B487" i="7"/>
  <c r="C487" i="25" s="1"/>
  <c r="AY487" i="25" s="1"/>
  <c r="C487" i="7"/>
  <c r="B487" i="25" s="1"/>
  <c r="I487" i="7"/>
  <c r="E487" i="25" s="1"/>
  <c r="L487" i="7"/>
  <c r="M487" i="7"/>
  <c r="N487" i="7"/>
  <c r="O487" i="7"/>
  <c r="K487" i="25" s="1"/>
  <c r="P487" i="7"/>
  <c r="L487" i="25" s="1"/>
  <c r="Q487" i="7"/>
  <c r="B388" i="7"/>
  <c r="C388" i="25" s="1"/>
  <c r="C388" i="7"/>
  <c r="B388" i="25" s="1"/>
  <c r="I388" i="7"/>
  <c r="E388" i="25" s="1"/>
  <c r="L388" i="7"/>
  <c r="M388" i="7"/>
  <c r="N388" i="7"/>
  <c r="O388" i="7"/>
  <c r="K388" i="25" s="1"/>
  <c r="P388" i="7"/>
  <c r="L388" i="25" s="1"/>
  <c r="Q388" i="7"/>
  <c r="B221" i="7"/>
  <c r="C221" i="7"/>
  <c r="B221" i="25" s="1"/>
  <c r="I221" i="7"/>
  <c r="E221" i="25" s="1"/>
  <c r="L221" i="7"/>
  <c r="M221" i="7"/>
  <c r="N221" i="7"/>
  <c r="O221" i="7"/>
  <c r="K221" i="25" s="1"/>
  <c r="P221" i="7"/>
  <c r="L221" i="25" s="1"/>
  <c r="Q221" i="7"/>
  <c r="B165" i="7"/>
  <c r="C165" i="7"/>
  <c r="B165" i="25" s="1"/>
  <c r="I165" i="7"/>
  <c r="E165" i="25" s="1"/>
  <c r="L165" i="7"/>
  <c r="M165" i="7"/>
  <c r="N165" i="7"/>
  <c r="O165" i="7"/>
  <c r="K165" i="25" s="1"/>
  <c r="P165" i="7"/>
  <c r="L165" i="25" s="1"/>
  <c r="Q165" i="7"/>
  <c r="B125" i="7"/>
  <c r="C125" i="7"/>
  <c r="B125" i="25" s="1"/>
  <c r="I125" i="7"/>
  <c r="E125" i="25" s="1"/>
  <c r="L125" i="7"/>
  <c r="M125" i="7"/>
  <c r="N125" i="7"/>
  <c r="O125" i="7"/>
  <c r="K125" i="25" s="1"/>
  <c r="P125" i="7"/>
  <c r="L125" i="25" s="1"/>
  <c r="Q125" i="7"/>
  <c r="B436" i="7"/>
  <c r="C436" i="25" s="1"/>
  <c r="C436" i="7"/>
  <c r="B436" i="25" s="1"/>
  <c r="I436" i="7"/>
  <c r="E436" i="25" s="1"/>
  <c r="L436" i="7"/>
  <c r="M436" i="7"/>
  <c r="N436" i="7"/>
  <c r="O436" i="7"/>
  <c r="K436" i="25" s="1"/>
  <c r="P436" i="7"/>
  <c r="L436" i="25" s="1"/>
  <c r="Q436" i="7"/>
  <c r="B138" i="7"/>
  <c r="C138" i="7"/>
  <c r="B138" i="25" s="1"/>
  <c r="I138" i="7"/>
  <c r="E138" i="25" s="1"/>
  <c r="L138" i="7"/>
  <c r="M138" i="7"/>
  <c r="N138" i="7"/>
  <c r="O138" i="7"/>
  <c r="K138" i="25" s="1"/>
  <c r="P138" i="7"/>
  <c r="L138" i="25" s="1"/>
  <c r="Q138" i="7"/>
  <c r="B175" i="7"/>
  <c r="C175" i="7"/>
  <c r="B175" i="25" s="1"/>
  <c r="I175" i="7"/>
  <c r="E175" i="25" s="1"/>
  <c r="L175" i="7"/>
  <c r="M175" i="7"/>
  <c r="N175" i="7"/>
  <c r="O175" i="7"/>
  <c r="K175" i="25" s="1"/>
  <c r="P175" i="7"/>
  <c r="L175" i="25" s="1"/>
  <c r="Q175" i="7"/>
  <c r="B466" i="7"/>
  <c r="C466" i="25" s="1"/>
  <c r="C466" i="7"/>
  <c r="B466" i="25" s="1"/>
  <c r="I466" i="7"/>
  <c r="E466" i="25" s="1"/>
  <c r="L466" i="7"/>
  <c r="M466" i="7"/>
  <c r="N466" i="7"/>
  <c r="O466" i="7"/>
  <c r="K466" i="25" s="1"/>
  <c r="P466" i="7"/>
  <c r="L466" i="25" s="1"/>
  <c r="Q466" i="7"/>
  <c r="B204" i="7"/>
  <c r="C204" i="7"/>
  <c r="B204" i="25" s="1"/>
  <c r="I204" i="7"/>
  <c r="L204" i="7"/>
  <c r="M204" i="7"/>
  <c r="N204" i="7"/>
  <c r="O204" i="7"/>
  <c r="K204" i="25" s="1"/>
  <c r="P204" i="7"/>
  <c r="L204" i="25" s="1"/>
  <c r="Q204" i="7"/>
  <c r="B296" i="7"/>
  <c r="C296" i="7"/>
  <c r="B296" i="25" s="1"/>
  <c r="I296" i="7"/>
  <c r="E296" i="25" s="1"/>
  <c r="L296" i="7"/>
  <c r="M296" i="7"/>
  <c r="N296" i="7"/>
  <c r="O296" i="7"/>
  <c r="K296" i="25" s="1"/>
  <c r="P296" i="7"/>
  <c r="L296" i="25" s="1"/>
  <c r="Q296" i="7"/>
  <c r="B126" i="7"/>
  <c r="C126" i="7"/>
  <c r="B126" i="25" s="1"/>
  <c r="I126" i="7"/>
  <c r="E126" i="25" s="1"/>
  <c r="L126" i="7"/>
  <c r="M126" i="7"/>
  <c r="N126" i="7"/>
  <c r="O126" i="7"/>
  <c r="K126" i="25" s="1"/>
  <c r="P126" i="7"/>
  <c r="L126" i="25" s="1"/>
  <c r="Q126" i="7"/>
  <c r="B191" i="7"/>
  <c r="C191" i="7"/>
  <c r="B191" i="25" s="1"/>
  <c r="I191" i="7"/>
  <c r="E191" i="25" s="1"/>
  <c r="L191" i="7"/>
  <c r="M191" i="7"/>
  <c r="N191" i="7"/>
  <c r="O191" i="7"/>
  <c r="K191" i="25" s="1"/>
  <c r="P191" i="7"/>
  <c r="L191" i="25" s="1"/>
  <c r="Q191" i="7"/>
  <c r="B503" i="7"/>
  <c r="C503" i="25" s="1"/>
  <c r="C503" i="7"/>
  <c r="B503" i="25" s="1"/>
  <c r="I503" i="7"/>
  <c r="E503" i="25" s="1"/>
  <c r="L503" i="7"/>
  <c r="M503" i="7"/>
  <c r="N503" i="7"/>
  <c r="O503" i="7"/>
  <c r="K503" i="25" s="1"/>
  <c r="P503" i="7"/>
  <c r="L503" i="25" s="1"/>
  <c r="Q503" i="7"/>
  <c r="B474" i="7"/>
  <c r="C474" i="25" s="1"/>
  <c r="AY474" i="25" s="1"/>
  <c r="C474" i="7"/>
  <c r="B474" i="25" s="1"/>
  <c r="I474" i="7"/>
  <c r="E474" i="25" s="1"/>
  <c r="L474" i="7"/>
  <c r="M474" i="7"/>
  <c r="N474" i="7"/>
  <c r="O474" i="7"/>
  <c r="K474" i="25" s="1"/>
  <c r="P474" i="7"/>
  <c r="L474" i="25" s="1"/>
  <c r="Q474" i="7"/>
  <c r="B260" i="7"/>
  <c r="C260" i="7"/>
  <c r="B260" i="25" s="1"/>
  <c r="I260" i="7"/>
  <c r="E260" i="25" s="1"/>
  <c r="L260" i="7"/>
  <c r="M260" i="7"/>
  <c r="N260" i="7"/>
  <c r="O260" i="7"/>
  <c r="K260" i="25" s="1"/>
  <c r="P260" i="7"/>
  <c r="L260" i="25" s="1"/>
  <c r="Q260" i="7"/>
  <c r="B366" i="7"/>
  <c r="C366" i="25" s="1"/>
  <c r="C366" i="7"/>
  <c r="B366" i="25" s="1"/>
  <c r="I366" i="7"/>
  <c r="E366" i="25" s="1"/>
  <c r="L366" i="7"/>
  <c r="M366" i="7"/>
  <c r="N366" i="7"/>
  <c r="O366" i="7"/>
  <c r="K366" i="25" s="1"/>
  <c r="P366" i="7"/>
  <c r="L366" i="25" s="1"/>
  <c r="Q366" i="7"/>
  <c r="B25" i="7"/>
  <c r="C25" i="7"/>
  <c r="B25" i="25" s="1"/>
  <c r="I25" i="7"/>
  <c r="E25" i="25" s="1"/>
  <c r="L25" i="7"/>
  <c r="M25" i="7"/>
  <c r="N25" i="7"/>
  <c r="O25" i="7"/>
  <c r="K25" i="25" s="1"/>
  <c r="P25" i="7"/>
  <c r="L25" i="25" s="1"/>
  <c r="Q25" i="7"/>
  <c r="B560" i="7"/>
  <c r="C560" i="25" s="1"/>
  <c r="C560" i="7"/>
  <c r="B560" i="25" s="1"/>
  <c r="I560" i="7"/>
  <c r="E560" i="25" s="1"/>
  <c r="L560" i="7"/>
  <c r="M560" i="7"/>
  <c r="N560" i="7"/>
  <c r="O560" i="7"/>
  <c r="K560" i="25" s="1"/>
  <c r="P560" i="7"/>
  <c r="L560" i="25" s="1"/>
  <c r="Q560" i="7"/>
  <c r="B149" i="7"/>
  <c r="C149" i="7"/>
  <c r="B149" i="25" s="1"/>
  <c r="I149" i="7"/>
  <c r="E149" i="25" s="1"/>
  <c r="L149" i="7"/>
  <c r="M149" i="7"/>
  <c r="N149" i="7"/>
  <c r="O149" i="7"/>
  <c r="K149" i="25" s="1"/>
  <c r="P149" i="7"/>
  <c r="L149" i="25" s="1"/>
  <c r="Q149" i="7"/>
  <c r="B396" i="7"/>
  <c r="C396" i="25" s="1"/>
  <c r="C396" i="7"/>
  <c r="B396" i="25" s="1"/>
  <c r="I396" i="7"/>
  <c r="E396" i="25" s="1"/>
  <c r="L396" i="7"/>
  <c r="M396" i="7"/>
  <c r="N396" i="7"/>
  <c r="O396" i="7"/>
  <c r="K396" i="25" s="1"/>
  <c r="P396" i="7"/>
  <c r="L396" i="25" s="1"/>
  <c r="Q396" i="7"/>
  <c r="B316" i="7"/>
  <c r="C316" i="7"/>
  <c r="B316" i="25" s="1"/>
  <c r="I316" i="7"/>
  <c r="E316" i="25" s="1"/>
  <c r="L316" i="7"/>
  <c r="M316" i="7"/>
  <c r="N316" i="7"/>
  <c r="O316" i="7"/>
  <c r="K316" i="25" s="1"/>
  <c r="P316" i="7"/>
  <c r="L316" i="25" s="1"/>
  <c r="Q316" i="7"/>
  <c r="B91" i="7"/>
  <c r="C91" i="7"/>
  <c r="B91" i="25" s="1"/>
  <c r="I91" i="7"/>
  <c r="E91" i="25" s="1"/>
  <c r="L91" i="7"/>
  <c r="M91" i="7"/>
  <c r="N91" i="7"/>
  <c r="O91" i="7"/>
  <c r="K91" i="25" s="1"/>
  <c r="P91" i="7"/>
  <c r="L91" i="25" s="1"/>
  <c r="Q91" i="7"/>
  <c r="B77" i="7"/>
  <c r="C77" i="7"/>
  <c r="B77" i="25" s="1"/>
  <c r="I77" i="7"/>
  <c r="E77" i="25" s="1"/>
  <c r="L77" i="7"/>
  <c r="M77" i="7"/>
  <c r="N77" i="7"/>
  <c r="O77" i="7"/>
  <c r="K77" i="25" s="1"/>
  <c r="P77" i="7"/>
  <c r="L77" i="25" s="1"/>
  <c r="Q77" i="7"/>
  <c r="B133" i="7"/>
  <c r="C133" i="7"/>
  <c r="B133" i="25" s="1"/>
  <c r="I133" i="7"/>
  <c r="E133" i="25" s="1"/>
  <c r="L133" i="7"/>
  <c r="M133" i="7"/>
  <c r="N133" i="7"/>
  <c r="O133" i="7"/>
  <c r="K133" i="25" s="1"/>
  <c r="P133" i="7"/>
  <c r="L133" i="25" s="1"/>
  <c r="Q133" i="7"/>
  <c r="B17" i="7"/>
  <c r="C17" i="7"/>
  <c r="B17" i="25" s="1"/>
  <c r="I17" i="7"/>
  <c r="E17" i="25" s="1"/>
  <c r="L17" i="7"/>
  <c r="M17" i="7"/>
  <c r="N17" i="7"/>
  <c r="O17" i="7"/>
  <c r="K17" i="25" s="1"/>
  <c r="P17" i="7"/>
  <c r="L17" i="25" s="1"/>
  <c r="Q17" i="7"/>
  <c r="B55" i="7"/>
  <c r="C55" i="7"/>
  <c r="B55" i="25" s="1"/>
  <c r="I55" i="7"/>
  <c r="E55" i="25" s="1"/>
  <c r="L55" i="7"/>
  <c r="M55" i="7"/>
  <c r="N55" i="7"/>
  <c r="O55" i="7"/>
  <c r="K55" i="25" s="1"/>
  <c r="P55" i="7"/>
  <c r="L55" i="25" s="1"/>
  <c r="Q55" i="7"/>
  <c r="B538" i="7"/>
  <c r="C538" i="25" s="1"/>
  <c r="AY538" i="25" s="1"/>
  <c r="C538" i="7"/>
  <c r="B538" i="25" s="1"/>
  <c r="I538" i="7"/>
  <c r="E538" i="25" s="1"/>
  <c r="L538" i="7"/>
  <c r="M538" i="7"/>
  <c r="N538" i="7"/>
  <c r="O538" i="7"/>
  <c r="K538" i="25" s="1"/>
  <c r="P538" i="7"/>
  <c r="L538" i="25" s="1"/>
  <c r="Q538" i="7"/>
  <c r="B88" i="7"/>
  <c r="C88" i="7"/>
  <c r="B88" i="25" s="1"/>
  <c r="I88" i="7"/>
  <c r="L88" i="7"/>
  <c r="M88" i="7"/>
  <c r="N88" i="7"/>
  <c r="O88" i="7"/>
  <c r="K88" i="25" s="1"/>
  <c r="P88" i="7"/>
  <c r="L88" i="25" s="1"/>
  <c r="Q88" i="7"/>
  <c r="B305" i="7"/>
  <c r="C305" i="25" s="1"/>
  <c r="AY305" i="25" s="1"/>
  <c r="C305" i="7"/>
  <c r="B305" i="25" s="1"/>
  <c r="I305" i="7"/>
  <c r="E305" i="25" s="1"/>
  <c r="L305" i="7"/>
  <c r="M305" i="7"/>
  <c r="N305" i="7"/>
  <c r="O305" i="7"/>
  <c r="K305" i="25" s="1"/>
  <c r="P305" i="7"/>
  <c r="L305" i="25" s="1"/>
  <c r="Q305" i="7"/>
  <c r="B215" i="7"/>
  <c r="C215" i="7"/>
  <c r="B215" i="25" s="1"/>
  <c r="I215" i="7"/>
  <c r="E215" i="25" s="1"/>
  <c r="L215" i="7"/>
  <c r="M215" i="7"/>
  <c r="N215" i="7"/>
  <c r="O215" i="7"/>
  <c r="K215" i="25" s="1"/>
  <c r="P215" i="7"/>
  <c r="L215" i="25" s="1"/>
  <c r="Q215" i="7"/>
  <c r="B559" i="7"/>
  <c r="C559" i="25" s="1"/>
  <c r="C559" i="7"/>
  <c r="B559" i="25" s="1"/>
  <c r="I559" i="7"/>
  <c r="E559" i="25" s="1"/>
  <c r="L559" i="7"/>
  <c r="M559" i="7"/>
  <c r="N559" i="7"/>
  <c r="O559" i="7"/>
  <c r="K559" i="25" s="1"/>
  <c r="P559" i="7"/>
  <c r="L559" i="25" s="1"/>
  <c r="Q559" i="7"/>
  <c r="B360" i="7"/>
  <c r="C360" i="25" s="1"/>
  <c r="AY360" i="25" s="1"/>
  <c r="C360" i="7"/>
  <c r="B360" i="25" s="1"/>
  <c r="I360" i="7"/>
  <c r="E360" i="25" s="1"/>
  <c r="L360" i="7"/>
  <c r="M360" i="7"/>
  <c r="N360" i="7"/>
  <c r="O360" i="7"/>
  <c r="K360" i="25" s="1"/>
  <c r="P360" i="7"/>
  <c r="L360" i="25" s="1"/>
  <c r="Q360" i="7"/>
  <c r="B308" i="7"/>
  <c r="C308" i="7"/>
  <c r="B308" i="25" s="1"/>
  <c r="I308" i="7"/>
  <c r="L308" i="7"/>
  <c r="M308" i="7"/>
  <c r="N308" i="7"/>
  <c r="O308" i="7"/>
  <c r="K308" i="25" s="1"/>
  <c r="P308" i="7"/>
  <c r="L308" i="25" s="1"/>
  <c r="Q308" i="7"/>
  <c r="B382" i="7"/>
  <c r="C382" i="25" s="1"/>
  <c r="AY382" i="25" s="1"/>
  <c r="C382" i="7"/>
  <c r="B382" i="25" s="1"/>
  <c r="I382" i="7"/>
  <c r="E382" i="25" s="1"/>
  <c r="L382" i="7"/>
  <c r="M382" i="7"/>
  <c r="N382" i="7"/>
  <c r="O382" i="7"/>
  <c r="K382" i="25" s="1"/>
  <c r="P382" i="7"/>
  <c r="L382" i="25" s="1"/>
  <c r="Q382" i="7"/>
  <c r="B87" i="7"/>
  <c r="C87" i="7"/>
  <c r="B87" i="25" s="1"/>
  <c r="I87" i="7"/>
  <c r="E87" i="25" s="1"/>
  <c r="L87" i="7"/>
  <c r="M87" i="7"/>
  <c r="N87" i="7"/>
  <c r="O87" i="7"/>
  <c r="K87" i="25" s="1"/>
  <c r="P87" i="7"/>
  <c r="L87" i="25" s="1"/>
  <c r="Q87" i="7"/>
  <c r="B233" i="7"/>
  <c r="C233" i="7"/>
  <c r="B233" i="25" s="1"/>
  <c r="I233" i="7"/>
  <c r="E233" i="25" s="1"/>
  <c r="L233" i="7"/>
  <c r="M233" i="7"/>
  <c r="N233" i="7"/>
  <c r="O233" i="7"/>
  <c r="K233" i="25" s="1"/>
  <c r="P233" i="7"/>
  <c r="L233" i="25" s="1"/>
  <c r="Q233" i="7"/>
  <c r="B478" i="7"/>
  <c r="C478" i="25" s="1"/>
  <c r="AY478" i="25" s="1"/>
  <c r="C478" i="7"/>
  <c r="B478" i="25" s="1"/>
  <c r="I478" i="7"/>
  <c r="E478" i="25" s="1"/>
  <c r="L478" i="7"/>
  <c r="M478" i="7"/>
  <c r="N478" i="7"/>
  <c r="O478" i="7"/>
  <c r="K478" i="25" s="1"/>
  <c r="P478" i="7"/>
  <c r="L478" i="25" s="1"/>
  <c r="Q478" i="7"/>
  <c r="B340" i="7"/>
  <c r="C340" i="25" s="1"/>
  <c r="AY340" i="25" s="1"/>
  <c r="C340" i="7"/>
  <c r="B340" i="25" s="1"/>
  <c r="I340" i="7"/>
  <c r="L340" i="7"/>
  <c r="M340" i="7"/>
  <c r="N340" i="7"/>
  <c r="O340" i="7"/>
  <c r="K340" i="25" s="1"/>
  <c r="P340" i="7"/>
  <c r="L340" i="25" s="1"/>
  <c r="Q340" i="7"/>
  <c r="B228" i="7"/>
  <c r="C228" i="7"/>
  <c r="B228" i="25" s="1"/>
  <c r="I228" i="7"/>
  <c r="E228" i="25" s="1"/>
  <c r="L228" i="7"/>
  <c r="M228" i="7"/>
  <c r="N228" i="7"/>
  <c r="O228" i="7"/>
  <c r="K228" i="25" s="1"/>
  <c r="P228" i="7"/>
  <c r="L228" i="25" s="1"/>
  <c r="Q228" i="7"/>
  <c r="B4" i="7"/>
  <c r="C4" i="7"/>
  <c r="B4" i="25" s="1"/>
  <c r="I4" i="7"/>
  <c r="E4" i="25" s="1"/>
  <c r="L4" i="7"/>
  <c r="M4" i="7"/>
  <c r="N4" i="7"/>
  <c r="O4" i="7"/>
  <c r="K4" i="25" s="1"/>
  <c r="P4" i="7"/>
  <c r="L4" i="25" s="1"/>
  <c r="Q4" i="7"/>
  <c r="B458" i="7"/>
  <c r="C458" i="25" s="1"/>
  <c r="C458" i="7"/>
  <c r="B458" i="25" s="1"/>
  <c r="I458" i="7"/>
  <c r="E458" i="25" s="1"/>
  <c r="L458" i="7"/>
  <c r="M458" i="7"/>
  <c r="N458" i="7"/>
  <c r="O458" i="7"/>
  <c r="K458" i="25" s="1"/>
  <c r="P458" i="7"/>
  <c r="L458" i="25" s="1"/>
  <c r="Q458" i="7"/>
  <c r="B56" i="7"/>
  <c r="C56" i="7"/>
  <c r="B56" i="25" s="1"/>
  <c r="I56" i="7"/>
  <c r="E56" i="25" s="1"/>
  <c r="L56" i="7"/>
  <c r="M56" i="7"/>
  <c r="N56" i="7"/>
  <c r="O56" i="7"/>
  <c r="K56" i="25" s="1"/>
  <c r="P56" i="7"/>
  <c r="L56" i="25" s="1"/>
  <c r="Q56" i="7"/>
  <c r="B357" i="7"/>
  <c r="C357" i="25" s="1"/>
  <c r="C357" i="7"/>
  <c r="B357" i="25" s="1"/>
  <c r="I357" i="7"/>
  <c r="E357" i="25" s="1"/>
  <c r="L357" i="7"/>
  <c r="M357" i="7"/>
  <c r="N357" i="7"/>
  <c r="O357" i="7"/>
  <c r="K357" i="25" s="1"/>
  <c r="P357" i="7"/>
  <c r="L357" i="25" s="1"/>
  <c r="Q357" i="7"/>
  <c r="B251" i="7"/>
  <c r="C251" i="7"/>
  <c r="B251" i="25" s="1"/>
  <c r="I251" i="7"/>
  <c r="L251" i="7"/>
  <c r="M251" i="7"/>
  <c r="N251" i="7"/>
  <c r="O251" i="7"/>
  <c r="K251" i="25" s="1"/>
  <c r="P251" i="7"/>
  <c r="L251" i="25" s="1"/>
  <c r="Q251" i="7"/>
  <c r="B222" i="7"/>
  <c r="C222" i="7"/>
  <c r="B222" i="25" s="1"/>
  <c r="I222" i="7"/>
  <c r="E222" i="25" s="1"/>
  <c r="L222" i="7"/>
  <c r="M222" i="7"/>
  <c r="N222" i="7"/>
  <c r="O222" i="7"/>
  <c r="K222" i="25" s="1"/>
  <c r="P222" i="7"/>
  <c r="L222" i="25" s="1"/>
  <c r="Q222" i="7"/>
  <c r="B280" i="7"/>
  <c r="C280" i="7"/>
  <c r="B280" i="25" s="1"/>
  <c r="I280" i="7"/>
  <c r="L280" i="7"/>
  <c r="M280" i="7"/>
  <c r="N280" i="7"/>
  <c r="O280" i="7"/>
  <c r="K280" i="25" s="1"/>
  <c r="P280" i="7"/>
  <c r="L280" i="25" s="1"/>
  <c r="Q280" i="7"/>
  <c r="B444" i="7"/>
  <c r="C444" i="25" s="1"/>
  <c r="AY444" i="25" s="1"/>
  <c r="C444" i="7"/>
  <c r="B444" i="25" s="1"/>
  <c r="I444" i="7"/>
  <c r="L444" i="7"/>
  <c r="M444" i="7"/>
  <c r="N444" i="7"/>
  <c r="O444" i="7"/>
  <c r="K444" i="25" s="1"/>
  <c r="P444" i="7"/>
  <c r="L444" i="25" s="1"/>
  <c r="Q444" i="7"/>
  <c r="B472" i="7"/>
  <c r="C472" i="25" s="1"/>
  <c r="C472" i="7"/>
  <c r="B472" i="25" s="1"/>
  <c r="I472" i="7"/>
  <c r="E472" i="25" s="1"/>
  <c r="L472" i="7"/>
  <c r="M472" i="7"/>
  <c r="N472" i="7"/>
  <c r="O472" i="7"/>
  <c r="K472" i="25" s="1"/>
  <c r="P472" i="7"/>
  <c r="L472" i="25" s="1"/>
  <c r="Q472" i="7"/>
  <c r="B567" i="7"/>
  <c r="C567" i="25" s="1"/>
  <c r="C567" i="7"/>
  <c r="B567" i="25" s="1"/>
  <c r="I567" i="7"/>
  <c r="L567" i="7"/>
  <c r="M567" i="7"/>
  <c r="N567" i="7"/>
  <c r="O567" i="7"/>
  <c r="K567" i="25" s="1"/>
  <c r="P567" i="7"/>
  <c r="L567" i="25" s="1"/>
  <c r="Q567" i="7"/>
  <c r="B46" i="7"/>
  <c r="C46" i="7"/>
  <c r="B46" i="25" s="1"/>
  <c r="I46" i="7"/>
  <c r="E46" i="25" s="1"/>
  <c r="L46" i="7"/>
  <c r="M46" i="7"/>
  <c r="N46" i="7"/>
  <c r="O46" i="7"/>
  <c r="K46" i="25" s="1"/>
  <c r="P46" i="7"/>
  <c r="L46" i="25" s="1"/>
  <c r="Q46" i="7"/>
  <c r="B205" i="7"/>
  <c r="C205" i="7"/>
  <c r="B205" i="25" s="1"/>
  <c r="I205" i="7"/>
  <c r="L205" i="7"/>
  <c r="M205" i="7"/>
  <c r="N205" i="7"/>
  <c r="O205" i="7"/>
  <c r="K205" i="25" s="1"/>
  <c r="P205" i="7"/>
  <c r="L205" i="25" s="1"/>
  <c r="Q205" i="7"/>
  <c r="B151" i="7"/>
  <c r="C151" i="7"/>
  <c r="B151" i="25" s="1"/>
  <c r="I151" i="7"/>
  <c r="E151" i="25" s="1"/>
  <c r="L151" i="7"/>
  <c r="M151" i="7"/>
  <c r="N151" i="7"/>
  <c r="O151" i="7"/>
  <c r="K151" i="25" s="1"/>
  <c r="P151" i="7"/>
  <c r="L151" i="25" s="1"/>
  <c r="Q151" i="7"/>
  <c r="B520" i="7"/>
  <c r="C520" i="25" s="1"/>
  <c r="AY520" i="25" s="1"/>
  <c r="C520" i="7"/>
  <c r="B520" i="25" s="1"/>
  <c r="I520" i="7"/>
  <c r="E520" i="25" s="1"/>
  <c r="L520" i="7"/>
  <c r="M520" i="7"/>
  <c r="N520" i="7"/>
  <c r="O520" i="7"/>
  <c r="K520" i="25" s="1"/>
  <c r="P520" i="7"/>
  <c r="L520" i="25" s="1"/>
  <c r="Q520" i="7"/>
  <c r="B548" i="7"/>
  <c r="C548" i="25" s="1"/>
  <c r="AY548" i="25" s="1"/>
  <c r="C548" i="7"/>
  <c r="B548" i="25" s="1"/>
  <c r="I548" i="7"/>
  <c r="E548" i="25" s="1"/>
  <c r="L548" i="7"/>
  <c r="M548" i="7"/>
  <c r="N548" i="7"/>
  <c r="O548" i="7"/>
  <c r="K548" i="25" s="1"/>
  <c r="P548" i="7"/>
  <c r="L548" i="25" s="1"/>
  <c r="Q548" i="7"/>
  <c r="B515" i="7"/>
  <c r="C515" i="25" s="1"/>
  <c r="AY515" i="25" s="1"/>
  <c r="C515" i="7"/>
  <c r="B515" i="25" s="1"/>
  <c r="I515" i="7"/>
  <c r="E515" i="25" s="1"/>
  <c r="L515" i="7"/>
  <c r="M515" i="7"/>
  <c r="N515" i="7"/>
  <c r="O515" i="7"/>
  <c r="K515" i="25" s="1"/>
  <c r="P515" i="7"/>
  <c r="L515" i="25" s="1"/>
  <c r="Q515" i="7"/>
  <c r="B187" i="7"/>
  <c r="C187" i="7"/>
  <c r="B187" i="25" s="1"/>
  <c r="I187" i="7"/>
  <c r="E187" i="25" s="1"/>
  <c r="L187" i="7"/>
  <c r="M187" i="7"/>
  <c r="N187" i="7"/>
  <c r="O187" i="7"/>
  <c r="K187" i="25" s="1"/>
  <c r="P187" i="7"/>
  <c r="L187" i="25" s="1"/>
  <c r="Q187" i="7"/>
  <c r="B47" i="7"/>
  <c r="C47" i="7"/>
  <c r="B47" i="25" s="1"/>
  <c r="I47" i="7"/>
  <c r="E47" i="25" s="1"/>
  <c r="L47" i="7"/>
  <c r="M47" i="7"/>
  <c r="N47" i="7"/>
  <c r="O47" i="7"/>
  <c r="K47" i="25" s="1"/>
  <c r="P47" i="7"/>
  <c r="L47" i="25" s="1"/>
  <c r="Q47" i="7"/>
  <c r="B568" i="7"/>
  <c r="C568" i="25" s="1"/>
  <c r="C568" i="7"/>
  <c r="B568" i="25" s="1"/>
  <c r="I568" i="7"/>
  <c r="E568" i="25" s="1"/>
  <c r="L568" i="7"/>
  <c r="M568" i="7"/>
  <c r="N568" i="7"/>
  <c r="O568" i="7"/>
  <c r="K568" i="25" s="1"/>
  <c r="P568" i="7"/>
  <c r="L568" i="25" s="1"/>
  <c r="Q568" i="7"/>
  <c r="B268" i="7"/>
  <c r="C268" i="7"/>
  <c r="B268" i="25" s="1"/>
  <c r="I268" i="7"/>
  <c r="E268" i="25" s="1"/>
  <c r="L268" i="7"/>
  <c r="M268" i="7"/>
  <c r="N268" i="7"/>
  <c r="O268" i="7"/>
  <c r="K268" i="25" s="1"/>
  <c r="P268" i="7"/>
  <c r="L268" i="25" s="1"/>
  <c r="Q268" i="7"/>
  <c r="B139" i="7"/>
  <c r="C139" i="7"/>
  <c r="B139" i="25" s="1"/>
  <c r="I139" i="7"/>
  <c r="E139" i="25" s="1"/>
  <c r="L139" i="7"/>
  <c r="M139" i="7"/>
  <c r="N139" i="7"/>
  <c r="O139" i="7"/>
  <c r="K139" i="25" s="1"/>
  <c r="P139" i="7"/>
  <c r="L139" i="25" s="1"/>
  <c r="Q139" i="7"/>
  <c r="B75" i="7"/>
  <c r="C75" i="7"/>
  <c r="B75" i="25" s="1"/>
  <c r="I75" i="7"/>
  <c r="E75" i="25" s="1"/>
  <c r="L75" i="7"/>
  <c r="M75" i="7"/>
  <c r="N75" i="7"/>
  <c r="O75" i="7"/>
  <c r="K75" i="25" s="1"/>
  <c r="P75" i="7"/>
  <c r="L75" i="25" s="1"/>
  <c r="Q75" i="7"/>
  <c r="B3" i="7"/>
  <c r="C3" i="7"/>
  <c r="B3" i="25" s="1"/>
  <c r="I3" i="7"/>
  <c r="E3" i="25" s="1"/>
  <c r="L3" i="7"/>
  <c r="M3" i="7"/>
  <c r="N3" i="7"/>
  <c r="O3" i="7"/>
  <c r="K3" i="25" s="1"/>
  <c r="P3" i="7"/>
  <c r="L3" i="25" s="1"/>
  <c r="Q3" i="7"/>
  <c r="B241" i="7"/>
  <c r="C241" i="7"/>
  <c r="B241" i="25" s="1"/>
  <c r="I241" i="7"/>
  <c r="L241" i="7"/>
  <c r="M241" i="7"/>
  <c r="N241" i="7"/>
  <c r="O241" i="7"/>
  <c r="K241" i="25" s="1"/>
  <c r="P241" i="7"/>
  <c r="L241" i="25" s="1"/>
  <c r="Q241" i="7"/>
  <c r="B585" i="7"/>
  <c r="C585" i="25" s="1"/>
  <c r="C585" i="7"/>
  <c r="B585" i="25" s="1"/>
  <c r="I585" i="7"/>
  <c r="L585" i="7"/>
  <c r="M585" i="7"/>
  <c r="N585" i="7"/>
  <c r="O585" i="7"/>
  <c r="K585" i="25" s="1"/>
  <c r="P585" i="7"/>
  <c r="L585" i="25" s="1"/>
  <c r="Q585" i="7"/>
  <c r="B322" i="7"/>
  <c r="C322" i="25" s="1"/>
  <c r="C322" i="7"/>
  <c r="B322" i="25" s="1"/>
  <c r="I322" i="7"/>
  <c r="L322" i="7"/>
  <c r="M322" i="7"/>
  <c r="N322" i="7"/>
  <c r="O322" i="7"/>
  <c r="K322" i="25" s="1"/>
  <c r="P322" i="7"/>
  <c r="L322" i="25" s="1"/>
  <c r="Q322" i="7"/>
  <c r="B295" i="7"/>
  <c r="C295" i="25" s="1"/>
  <c r="AY295" i="25" s="1"/>
  <c r="C295" i="7"/>
  <c r="B295" i="25" s="1"/>
  <c r="I295" i="7"/>
  <c r="L295" i="7"/>
  <c r="M295" i="7"/>
  <c r="N295" i="7"/>
  <c r="O295" i="7"/>
  <c r="K295" i="25" s="1"/>
  <c r="P295" i="7"/>
  <c r="L295" i="25" s="1"/>
  <c r="Q295" i="7"/>
  <c r="B363" i="7"/>
  <c r="C363" i="25" s="1"/>
  <c r="C363" i="7"/>
  <c r="B363" i="25" s="1"/>
  <c r="I363" i="7"/>
  <c r="L363" i="7"/>
  <c r="M363" i="7"/>
  <c r="N363" i="7"/>
  <c r="O363" i="7"/>
  <c r="K363" i="25" s="1"/>
  <c r="P363" i="7"/>
  <c r="L363" i="25" s="1"/>
  <c r="Q363" i="7"/>
  <c r="B592" i="7"/>
  <c r="C592" i="25" s="1"/>
  <c r="AY592" i="25" s="1"/>
  <c r="C592" i="7"/>
  <c r="B592" i="25" s="1"/>
  <c r="I592" i="7"/>
  <c r="L592" i="7"/>
  <c r="M592" i="7"/>
  <c r="N592" i="7"/>
  <c r="O592" i="7"/>
  <c r="K592" i="25" s="1"/>
  <c r="P592" i="7"/>
  <c r="L592" i="25" s="1"/>
  <c r="Q592" i="7"/>
  <c r="B387" i="7"/>
  <c r="C387" i="25" s="1"/>
  <c r="AY387" i="25" s="1"/>
  <c r="C387" i="7"/>
  <c r="B387" i="25" s="1"/>
  <c r="I387" i="7"/>
  <c r="L387" i="7"/>
  <c r="M387" i="7"/>
  <c r="N387" i="7"/>
  <c r="O387" i="7"/>
  <c r="K387" i="25" s="1"/>
  <c r="P387" i="7"/>
  <c r="L387" i="25" s="1"/>
  <c r="Q387" i="7"/>
  <c r="B286" i="7"/>
  <c r="C286" i="25" s="1"/>
  <c r="AY286" i="25" s="1"/>
  <c r="C286" i="7"/>
  <c r="B286" i="25" s="1"/>
  <c r="I286" i="7"/>
  <c r="L286" i="7"/>
  <c r="M286" i="7"/>
  <c r="N286" i="7"/>
  <c r="O286" i="7"/>
  <c r="K286" i="25" s="1"/>
  <c r="P286" i="7"/>
  <c r="L286" i="25" s="1"/>
  <c r="Q286" i="7"/>
  <c r="B550" i="7"/>
  <c r="C550" i="25" s="1"/>
  <c r="AY550" i="25" s="1"/>
  <c r="C550" i="7"/>
  <c r="B550" i="25" s="1"/>
  <c r="I550" i="7"/>
  <c r="L550" i="7"/>
  <c r="M550" i="7"/>
  <c r="N550" i="7"/>
  <c r="O550" i="7"/>
  <c r="K550" i="25" s="1"/>
  <c r="P550" i="7"/>
  <c r="L550" i="25" s="1"/>
  <c r="Q550" i="7"/>
  <c r="B336" i="7"/>
  <c r="C336" i="25" s="1"/>
  <c r="AY336" i="25" s="1"/>
  <c r="C336" i="7"/>
  <c r="B336" i="25" s="1"/>
  <c r="I336" i="7"/>
  <c r="L336" i="7"/>
  <c r="M336" i="7"/>
  <c r="N336" i="7"/>
  <c r="O336" i="7"/>
  <c r="K336" i="25" s="1"/>
  <c r="P336" i="7"/>
  <c r="L336" i="25" s="1"/>
  <c r="Q336" i="7"/>
  <c r="B477" i="7"/>
  <c r="C477" i="25" s="1"/>
  <c r="AY477" i="25" s="1"/>
  <c r="C477" i="7"/>
  <c r="B477" i="25" s="1"/>
  <c r="I477" i="7"/>
  <c r="E477" i="25" s="1"/>
  <c r="L477" i="7"/>
  <c r="M477" i="7"/>
  <c r="N477" i="7"/>
  <c r="O477" i="7"/>
  <c r="K477" i="25" s="1"/>
  <c r="P477" i="7"/>
  <c r="L477" i="25" s="1"/>
  <c r="Q477" i="7"/>
  <c r="B400" i="7"/>
  <c r="C400" i="25" s="1"/>
  <c r="C400" i="7"/>
  <c r="B400" i="25" s="1"/>
  <c r="I400" i="7"/>
  <c r="L400" i="7"/>
  <c r="M400" i="7"/>
  <c r="N400" i="7"/>
  <c r="O400" i="7"/>
  <c r="K400" i="25" s="1"/>
  <c r="P400" i="7"/>
  <c r="L400" i="25" s="1"/>
  <c r="Q400" i="7"/>
  <c r="B591" i="7"/>
  <c r="C591" i="25" s="1"/>
  <c r="AY591" i="25" s="1"/>
  <c r="C591" i="7"/>
  <c r="B591" i="25" s="1"/>
  <c r="I591" i="7"/>
  <c r="L591" i="7"/>
  <c r="M591" i="7"/>
  <c r="N591" i="7"/>
  <c r="O591" i="7"/>
  <c r="K591" i="25" s="1"/>
  <c r="P591" i="7"/>
  <c r="L591" i="25" s="1"/>
  <c r="Q591" i="7"/>
  <c r="B124" i="7"/>
  <c r="C124" i="7"/>
  <c r="B124" i="25" s="1"/>
  <c r="I124" i="7"/>
  <c r="L124" i="7"/>
  <c r="M124" i="7"/>
  <c r="N124" i="7"/>
  <c r="O124" i="7"/>
  <c r="K124" i="25" s="1"/>
  <c r="P124" i="7"/>
  <c r="L124" i="25" s="1"/>
  <c r="Q124" i="7"/>
  <c r="B157" i="7"/>
  <c r="C157" i="7"/>
  <c r="B157" i="25" s="1"/>
  <c r="I157" i="7"/>
  <c r="L157" i="7"/>
  <c r="M157" i="7"/>
  <c r="N157" i="7"/>
  <c r="O157" i="7"/>
  <c r="K157" i="25" s="1"/>
  <c r="P157" i="7"/>
  <c r="L157" i="25" s="1"/>
  <c r="Q157" i="7"/>
  <c r="B555" i="7"/>
  <c r="C555" i="25" s="1"/>
  <c r="C555" i="7"/>
  <c r="B555" i="25" s="1"/>
  <c r="I555" i="7"/>
  <c r="L555" i="7"/>
  <c r="M555" i="7"/>
  <c r="N555" i="7"/>
  <c r="O555" i="7"/>
  <c r="K555" i="25" s="1"/>
  <c r="P555" i="7"/>
  <c r="L555" i="25" s="1"/>
  <c r="Q555" i="7"/>
  <c r="B83" i="7"/>
  <c r="C83" i="7"/>
  <c r="B83" i="25" s="1"/>
  <c r="I83" i="7"/>
  <c r="L83" i="7"/>
  <c r="M83" i="7"/>
  <c r="N83" i="7"/>
  <c r="O83" i="7"/>
  <c r="K83" i="25" s="1"/>
  <c r="P83" i="7"/>
  <c r="L83" i="25" s="1"/>
  <c r="Q83" i="7"/>
  <c r="B356" i="7"/>
  <c r="C356" i="25" s="1"/>
  <c r="C356" i="7"/>
  <c r="B356" i="25" s="1"/>
  <c r="I356" i="7"/>
  <c r="L356" i="7"/>
  <c r="M356" i="7"/>
  <c r="N356" i="7"/>
  <c r="O356" i="7"/>
  <c r="K356" i="25" s="1"/>
  <c r="P356" i="7"/>
  <c r="L356" i="25" s="1"/>
  <c r="Q356" i="7"/>
  <c r="B13" i="7"/>
  <c r="C13" i="7"/>
  <c r="B13" i="25" s="1"/>
  <c r="I13" i="7"/>
  <c r="L13" i="7"/>
  <c r="M13" i="7"/>
  <c r="N13" i="7"/>
  <c r="O13" i="7"/>
  <c r="K13" i="25" s="1"/>
  <c r="P13" i="7"/>
  <c r="L13" i="25" s="1"/>
  <c r="Q13" i="7"/>
  <c r="B255" i="7"/>
  <c r="C255" i="7"/>
  <c r="B255" i="25" s="1"/>
  <c r="I255" i="7"/>
  <c r="L255" i="7"/>
  <c r="M255" i="7"/>
  <c r="N255" i="7"/>
  <c r="O255" i="7"/>
  <c r="K255" i="25" s="1"/>
  <c r="P255" i="7"/>
  <c r="L255" i="25" s="1"/>
  <c r="Q255" i="7"/>
  <c r="B158" i="7"/>
  <c r="C158" i="7"/>
  <c r="B158" i="25" s="1"/>
  <c r="I158" i="7"/>
  <c r="L158" i="7"/>
  <c r="M158" i="7"/>
  <c r="N158" i="7"/>
  <c r="O158" i="7"/>
  <c r="K158" i="25" s="1"/>
  <c r="P158" i="7"/>
  <c r="L158" i="25" s="1"/>
  <c r="Q158" i="7"/>
  <c r="B246" i="7"/>
  <c r="C246" i="7"/>
  <c r="B246" i="25" s="1"/>
  <c r="I246" i="7"/>
  <c r="L246" i="7"/>
  <c r="M246" i="7"/>
  <c r="N246" i="7"/>
  <c r="O246" i="7"/>
  <c r="K246" i="25" s="1"/>
  <c r="P246" i="7"/>
  <c r="L246" i="25" s="1"/>
  <c r="Q246" i="7"/>
  <c r="B297" i="7"/>
  <c r="C297" i="25" s="1"/>
  <c r="AY297" i="25" s="1"/>
  <c r="C297" i="7"/>
  <c r="B297" i="25" s="1"/>
  <c r="I297" i="7"/>
  <c r="L297" i="7"/>
  <c r="M297" i="7"/>
  <c r="N297" i="7"/>
  <c r="O297" i="7"/>
  <c r="K297" i="25" s="1"/>
  <c r="P297" i="7"/>
  <c r="L297" i="25" s="1"/>
  <c r="Q297" i="7"/>
  <c r="B303" i="7"/>
  <c r="C303" i="25" s="1"/>
  <c r="AY303" i="25" s="1"/>
  <c r="C303" i="7"/>
  <c r="B303" i="25" s="1"/>
  <c r="I303" i="7"/>
  <c r="L303" i="7"/>
  <c r="M303" i="7"/>
  <c r="N303" i="7"/>
  <c r="O303" i="7"/>
  <c r="K303" i="25" s="1"/>
  <c r="P303" i="7"/>
  <c r="L303" i="25" s="1"/>
  <c r="Q303" i="7"/>
  <c r="B576" i="7"/>
  <c r="C576" i="25" s="1"/>
  <c r="AY576" i="25" s="1"/>
  <c r="C576" i="7"/>
  <c r="B576" i="25" s="1"/>
  <c r="I576" i="7"/>
  <c r="L576" i="7"/>
  <c r="M576" i="7"/>
  <c r="N576" i="7"/>
  <c r="O576" i="7"/>
  <c r="K576" i="25" s="1"/>
  <c r="P576" i="7"/>
  <c r="L576" i="25" s="1"/>
  <c r="Q576" i="7"/>
  <c r="B48" i="7"/>
  <c r="C48" i="7"/>
  <c r="B48" i="25" s="1"/>
  <c r="I48" i="7"/>
  <c r="L48" i="7"/>
  <c r="M48" i="7"/>
  <c r="N48" i="7"/>
  <c r="O48" i="7"/>
  <c r="K48" i="25" s="1"/>
  <c r="P48" i="7"/>
  <c r="L48" i="25" s="1"/>
  <c r="Q48" i="7"/>
  <c r="B306" i="7"/>
  <c r="C306" i="25" s="1"/>
  <c r="AY306" i="25" s="1"/>
  <c r="C306" i="7"/>
  <c r="B306" i="25" s="1"/>
  <c r="I306" i="7"/>
  <c r="L306" i="7"/>
  <c r="M306" i="7"/>
  <c r="N306" i="7"/>
  <c r="O306" i="7"/>
  <c r="K306" i="25" s="1"/>
  <c r="P306" i="7"/>
  <c r="L306" i="25" s="1"/>
  <c r="Q306" i="7"/>
  <c r="B574" i="7"/>
  <c r="C574" i="25" s="1"/>
  <c r="AY574" i="25" s="1"/>
  <c r="C574" i="7"/>
  <c r="B574" i="25" s="1"/>
  <c r="I574" i="7"/>
  <c r="L574" i="7"/>
  <c r="M574" i="7"/>
  <c r="N574" i="7"/>
  <c r="O574" i="7"/>
  <c r="K574" i="25" s="1"/>
  <c r="P574" i="7"/>
  <c r="L574" i="25" s="1"/>
  <c r="Q574" i="7"/>
  <c r="B227" i="7"/>
  <c r="C227" i="7"/>
  <c r="B227" i="25" s="1"/>
  <c r="I227" i="7"/>
  <c r="L227" i="7"/>
  <c r="M227" i="7"/>
  <c r="N227" i="7"/>
  <c r="O227" i="7"/>
  <c r="K227" i="25" s="1"/>
  <c r="P227" i="7"/>
  <c r="L227" i="25" s="1"/>
  <c r="Q227" i="7"/>
  <c r="B146" i="7"/>
  <c r="C146" i="7"/>
  <c r="B146" i="25" s="1"/>
  <c r="I146" i="7"/>
  <c r="E146" i="25" s="1"/>
  <c r="L146" i="7"/>
  <c r="M146" i="7"/>
  <c r="N146" i="7"/>
  <c r="O146" i="7"/>
  <c r="K146" i="25" s="1"/>
  <c r="P146" i="7"/>
  <c r="L146" i="25" s="1"/>
  <c r="Q146" i="7"/>
  <c r="B572" i="7"/>
  <c r="C572" i="25" s="1"/>
  <c r="AY572" i="25" s="1"/>
  <c r="C572" i="7"/>
  <c r="B572" i="25" s="1"/>
  <c r="I572" i="7"/>
  <c r="L572" i="7"/>
  <c r="M572" i="7"/>
  <c r="N572" i="7"/>
  <c r="O572" i="7"/>
  <c r="K572" i="25" s="1"/>
  <c r="P572" i="7"/>
  <c r="L572" i="25" s="1"/>
  <c r="Q572" i="7"/>
  <c r="B171" i="7"/>
  <c r="C171" i="7"/>
  <c r="B171" i="25" s="1"/>
  <c r="I171" i="7"/>
  <c r="E171" i="25" s="1"/>
  <c r="L171" i="7"/>
  <c r="M171" i="7"/>
  <c r="N171" i="7"/>
  <c r="O171" i="7"/>
  <c r="K171" i="25" s="1"/>
  <c r="P171" i="7"/>
  <c r="L171" i="25" s="1"/>
  <c r="Q171" i="7"/>
  <c r="B486" i="7"/>
  <c r="C486" i="25" s="1"/>
  <c r="AY486" i="25" s="1"/>
  <c r="C486" i="7"/>
  <c r="B486" i="25" s="1"/>
  <c r="I486" i="7"/>
  <c r="L486" i="7"/>
  <c r="M486" i="7"/>
  <c r="N486" i="7"/>
  <c r="O486" i="7"/>
  <c r="K486" i="25" s="1"/>
  <c r="P486" i="7"/>
  <c r="L486" i="25" s="1"/>
  <c r="Q486" i="7"/>
  <c r="B271" i="7"/>
  <c r="C271" i="7"/>
  <c r="B271" i="25" s="1"/>
  <c r="I271" i="7"/>
  <c r="L271" i="7"/>
  <c r="M271" i="7"/>
  <c r="N271" i="7"/>
  <c r="O271" i="7"/>
  <c r="K271" i="25" s="1"/>
  <c r="P271" i="7"/>
  <c r="L271" i="25" s="1"/>
  <c r="Q271" i="7"/>
  <c r="B380" i="7"/>
  <c r="C380" i="25" s="1"/>
  <c r="AY380" i="25" s="1"/>
  <c r="C380" i="7"/>
  <c r="B380" i="25" s="1"/>
  <c r="I380" i="7"/>
  <c r="L380" i="7"/>
  <c r="M380" i="7"/>
  <c r="N380" i="7"/>
  <c r="O380" i="7"/>
  <c r="K380" i="25" s="1"/>
  <c r="P380" i="7"/>
  <c r="L380" i="25" s="1"/>
  <c r="Q380" i="7"/>
  <c r="B453" i="7"/>
  <c r="C453" i="25" s="1"/>
  <c r="AY453" i="25" s="1"/>
  <c r="C453" i="7"/>
  <c r="B453" i="25" s="1"/>
  <c r="I453" i="7"/>
  <c r="L453" i="7"/>
  <c r="M453" i="7"/>
  <c r="N453" i="7"/>
  <c r="O453" i="7"/>
  <c r="K453" i="25" s="1"/>
  <c r="P453" i="7"/>
  <c r="L453" i="25" s="1"/>
  <c r="Q453" i="7"/>
  <c r="B244" i="7"/>
  <c r="C244" i="7"/>
  <c r="B244" i="25" s="1"/>
  <c r="I244" i="7"/>
  <c r="L244" i="7"/>
  <c r="M244" i="7"/>
  <c r="N244" i="7"/>
  <c r="O244" i="7"/>
  <c r="K244" i="25" s="1"/>
  <c r="P244" i="7"/>
  <c r="L244" i="25" s="1"/>
  <c r="Q244" i="7"/>
  <c r="B96" i="7"/>
  <c r="C96" i="7"/>
  <c r="B96" i="25" s="1"/>
  <c r="I96" i="7"/>
  <c r="E96" i="25" s="1"/>
  <c r="L96" i="7"/>
  <c r="M96" i="7"/>
  <c r="N96" i="7"/>
  <c r="O96" i="7"/>
  <c r="K96" i="25" s="1"/>
  <c r="P96" i="7"/>
  <c r="L96" i="25" s="1"/>
  <c r="Q96" i="7"/>
  <c r="B505" i="7"/>
  <c r="C505" i="25" s="1"/>
  <c r="C505" i="7"/>
  <c r="B505" i="25" s="1"/>
  <c r="I505" i="7"/>
  <c r="E505" i="25" s="1"/>
  <c r="L505" i="7"/>
  <c r="M505" i="7"/>
  <c r="N505" i="7"/>
  <c r="O505" i="7"/>
  <c r="K505" i="25" s="1"/>
  <c r="P505" i="7"/>
  <c r="L505" i="25" s="1"/>
  <c r="Q505" i="7"/>
  <c r="B172" i="7"/>
  <c r="C172" i="7"/>
  <c r="B172" i="25" s="1"/>
  <c r="I172" i="7"/>
  <c r="E172" i="25" s="1"/>
  <c r="L172" i="7"/>
  <c r="M172" i="7"/>
  <c r="N172" i="7"/>
  <c r="O172" i="7"/>
  <c r="K172" i="25" s="1"/>
  <c r="P172" i="7"/>
  <c r="L172" i="25" s="1"/>
  <c r="Q172" i="7"/>
  <c r="B60" i="7"/>
  <c r="C60" i="7"/>
  <c r="B60" i="25" s="1"/>
  <c r="I60" i="7"/>
  <c r="L60" i="7"/>
  <c r="M60" i="7"/>
  <c r="N60" i="7"/>
  <c r="O60" i="7"/>
  <c r="K60" i="25" s="1"/>
  <c r="P60" i="7"/>
  <c r="L60" i="25" s="1"/>
  <c r="Q60" i="7"/>
  <c r="B414" i="7"/>
  <c r="C414" i="25" s="1"/>
  <c r="AY414" i="25" s="1"/>
  <c r="C414" i="7"/>
  <c r="B414" i="25" s="1"/>
  <c r="I414" i="7"/>
  <c r="L414" i="7"/>
  <c r="M414" i="7"/>
  <c r="N414" i="7"/>
  <c r="O414" i="7"/>
  <c r="K414" i="25" s="1"/>
  <c r="P414" i="7"/>
  <c r="L414" i="25" s="1"/>
  <c r="Q414" i="7"/>
  <c r="B168" i="7"/>
  <c r="C168" i="7"/>
  <c r="B168" i="25" s="1"/>
  <c r="I168" i="7"/>
  <c r="L168" i="7"/>
  <c r="M168" i="7"/>
  <c r="N168" i="7"/>
  <c r="O168" i="7"/>
  <c r="K168" i="25" s="1"/>
  <c r="P168" i="7"/>
  <c r="L168" i="25" s="1"/>
  <c r="Q168" i="7"/>
  <c r="B533" i="7"/>
  <c r="C533" i="25" s="1"/>
  <c r="C533" i="7"/>
  <c r="B533" i="25" s="1"/>
  <c r="I533" i="7"/>
  <c r="L533" i="7"/>
  <c r="M533" i="7"/>
  <c r="N533" i="7"/>
  <c r="O533" i="7"/>
  <c r="K533" i="25" s="1"/>
  <c r="P533" i="7"/>
  <c r="L533" i="25" s="1"/>
  <c r="Q533" i="7"/>
  <c r="B332" i="7"/>
  <c r="C332" i="25" s="1"/>
  <c r="AY332" i="25" s="1"/>
  <c r="C332" i="7"/>
  <c r="B332" i="25" s="1"/>
  <c r="I332" i="7"/>
  <c r="L332" i="7"/>
  <c r="M332" i="7"/>
  <c r="N332" i="7"/>
  <c r="O332" i="7"/>
  <c r="K332" i="25" s="1"/>
  <c r="P332" i="7"/>
  <c r="L332" i="25" s="1"/>
  <c r="Q332" i="7"/>
  <c r="B143" i="7"/>
  <c r="C143" i="7"/>
  <c r="B143" i="25" s="1"/>
  <c r="I143" i="7"/>
  <c r="L143" i="7"/>
  <c r="M143" i="7"/>
  <c r="N143" i="7"/>
  <c r="O143" i="7"/>
  <c r="K143" i="25" s="1"/>
  <c r="P143" i="7"/>
  <c r="L143" i="25" s="1"/>
  <c r="Q143" i="7"/>
  <c r="B450" i="7"/>
  <c r="C450" i="25" s="1"/>
  <c r="AY450" i="25" s="1"/>
  <c r="C450" i="7"/>
  <c r="B450" i="25" s="1"/>
  <c r="I450" i="7"/>
  <c r="L450" i="7"/>
  <c r="M450" i="7"/>
  <c r="N450" i="7"/>
  <c r="O450" i="7"/>
  <c r="K450" i="25" s="1"/>
  <c r="P450" i="7"/>
  <c r="L450" i="25" s="1"/>
  <c r="Q450" i="7"/>
  <c r="B58" i="7"/>
  <c r="C58" i="7"/>
  <c r="B58" i="25" s="1"/>
  <c r="I58" i="7"/>
  <c r="L58" i="7"/>
  <c r="M58" i="7"/>
  <c r="N58" i="7"/>
  <c r="O58" i="7"/>
  <c r="K58" i="25" s="1"/>
  <c r="P58" i="7"/>
  <c r="L58" i="25" s="1"/>
  <c r="Q58" i="7"/>
  <c r="B64" i="7"/>
  <c r="C64" i="7"/>
  <c r="B64" i="25" s="1"/>
  <c r="I64" i="7"/>
  <c r="L64" i="7"/>
  <c r="M64" i="7"/>
  <c r="N64" i="7"/>
  <c r="O64" i="7"/>
  <c r="K64" i="25" s="1"/>
  <c r="P64" i="7"/>
  <c r="L64" i="25" s="1"/>
  <c r="Q64" i="7"/>
  <c r="B482" i="7"/>
  <c r="C482" i="25" s="1"/>
  <c r="AY482" i="25" s="1"/>
  <c r="C482" i="7"/>
  <c r="B482" i="25" s="1"/>
  <c r="I482" i="7"/>
  <c r="E482" i="25" s="1"/>
  <c r="L482" i="7"/>
  <c r="M482" i="7"/>
  <c r="N482" i="7"/>
  <c r="O482" i="7"/>
  <c r="K482" i="25" s="1"/>
  <c r="P482" i="7"/>
  <c r="L482" i="25" s="1"/>
  <c r="Q482" i="7"/>
  <c r="B192" i="7"/>
  <c r="C192" i="7"/>
  <c r="B192" i="25" s="1"/>
  <c r="I192" i="7"/>
  <c r="L192" i="7"/>
  <c r="M192" i="7"/>
  <c r="N192" i="7"/>
  <c r="O192" i="7"/>
  <c r="K192" i="25" s="1"/>
  <c r="P192" i="7"/>
  <c r="L192" i="25" s="1"/>
  <c r="Q192" i="7"/>
  <c r="B346" i="7"/>
  <c r="C346" i="25" s="1"/>
  <c r="AY346" i="25" s="1"/>
  <c r="C346" i="7"/>
  <c r="B346" i="25" s="1"/>
  <c r="I346" i="7"/>
  <c r="L346" i="7"/>
  <c r="M346" i="7"/>
  <c r="N346" i="7"/>
  <c r="O346" i="7"/>
  <c r="K346" i="25" s="1"/>
  <c r="P346" i="7"/>
  <c r="L346" i="25" s="1"/>
  <c r="Q346" i="7"/>
  <c r="B292" i="7"/>
  <c r="C292" i="7"/>
  <c r="B292" i="25" s="1"/>
  <c r="I292" i="7"/>
  <c r="L292" i="7"/>
  <c r="M292" i="7"/>
  <c r="N292" i="7"/>
  <c r="O292" i="7"/>
  <c r="K292" i="25" s="1"/>
  <c r="P292" i="7"/>
  <c r="L292" i="25" s="1"/>
  <c r="Q292" i="7"/>
  <c r="B127" i="7"/>
  <c r="C127" i="7"/>
  <c r="B127" i="25" s="1"/>
  <c r="I127" i="7"/>
  <c r="E127" i="25" s="1"/>
  <c r="L127" i="7"/>
  <c r="M127" i="7"/>
  <c r="N127" i="7"/>
  <c r="O127" i="7"/>
  <c r="K127" i="25" s="1"/>
  <c r="P127" i="7"/>
  <c r="L127" i="25" s="1"/>
  <c r="Q127" i="7"/>
  <c r="B403" i="7"/>
  <c r="C403" i="25" s="1"/>
  <c r="AY403" i="25" s="1"/>
  <c r="C403" i="7"/>
  <c r="B403" i="25" s="1"/>
  <c r="I403" i="7"/>
  <c r="E403" i="25" s="1"/>
  <c r="L403" i="7"/>
  <c r="M403" i="7"/>
  <c r="N403" i="7"/>
  <c r="O403" i="7"/>
  <c r="K403" i="25" s="1"/>
  <c r="P403" i="7"/>
  <c r="L403" i="25" s="1"/>
  <c r="Q403" i="7"/>
  <c r="B148" i="7"/>
  <c r="C148" i="7"/>
  <c r="B148" i="25" s="1"/>
  <c r="I148" i="7"/>
  <c r="L148" i="7"/>
  <c r="M148" i="7"/>
  <c r="N148" i="7"/>
  <c r="O148" i="7"/>
  <c r="K148" i="25" s="1"/>
  <c r="P148" i="7"/>
  <c r="L148" i="25" s="1"/>
  <c r="Q148" i="7"/>
  <c r="B544" i="7"/>
  <c r="C544" i="25" s="1"/>
  <c r="AY544" i="25" s="1"/>
  <c r="C544" i="7"/>
  <c r="B544" i="25" s="1"/>
  <c r="I544" i="7"/>
  <c r="L544" i="7"/>
  <c r="M544" i="7"/>
  <c r="N544" i="7"/>
  <c r="O544" i="7"/>
  <c r="P544" i="7"/>
  <c r="L544" i="25" s="1"/>
  <c r="Q544" i="7"/>
  <c r="B309" i="7"/>
  <c r="C309" i="25" s="1"/>
  <c r="C309" i="7"/>
  <c r="B309" i="25" s="1"/>
  <c r="I309" i="7"/>
  <c r="E309" i="25" s="1"/>
  <c r="L309" i="7"/>
  <c r="M309" i="7"/>
  <c r="N309" i="7"/>
  <c r="O309" i="7"/>
  <c r="K309" i="25" s="1"/>
  <c r="P309" i="7"/>
  <c r="L309" i="25" s="1"/>
  <c r="Q309" i="7"/>
  <c r="B150" i="7"/>
  <c r="C150" i="7"/>
  <c r="B150" i="25" s="1"/>
  <c r="I150" i="7"/>
  <c r="E150" i="25" s="1"/>
  <c r="L150" i="7"/>
  <c r="M150" i="7"/>
  <c r="N150" i="7"/>
  <c r="O150" i="7"/>
  <c r="K150" i="25" s="1"/>
  <c r="P150" i="7"/>
  <c r="L150" i="25" s="1"/>
  <c r="Q150" i="7"/>
  <c r="B468" i="7"/>
  <c r="C468" i="25" s="1"/>
  <c r="C468" i="7"/>
  <c r="B468" i="25" s="1"/>
  <c r="I468" i="7"/>
  <c r="L468" i="7"/>
  <c r="M468" i="7"/>
  <c r="N468" i="7"/>
  <c r="O468" i="7"/>
  <c r="K468" i="25" s="1"/>
  <c r="P468" i="7"/>
  <c r="L468" i="25" s="1"/>
  <c r="Q468" i="7"/>
  <c r="B247" i="7"/>
  <c r="C247" i="7"/>
  <c r="B247" i="25" s="1"/>
  <c r="I247" i="7"/>
  <c r="L247" i="7"/>
  <c r="M247" i="7"/>
  <c r="N247" i="7"/>
  <c r="O247" i="7"/>
  <c r="K247" i="25" s="1"/>
  <c r="P247" i="7"/>
  <c r="L247" i="25" s="1"/>
  <c r="Q247" i="7"/>
  <c r="B429" i="7"/>
  <c r="C429" i="25" s="1"/>
  <c r="C429" i="7"/>
  <c r="B429" i="25" s="1"/>
  <c r="I429" i="7"/>
  <c r="L429" i="7"/>
  <c r="M429" i="7"/>
  <c r="N429" i="7"/>
  <c r="O429" i="7"/>
  <c r="K429" i="25" s="1"/>
  <c r="P429" i="7"/>
  <c r="L429" i="25" s="1"/>
  <c r="Q429" i="7"/>
  <c r="B123" i="7"/>
  <c r="C123" i="7"/>
  <c r="B123" i="25" s="1"/>
  <c r="I123" i="7"/>
  <c r="L123" i="7"/>
  <c r="M123" i="7"/>
  <c r="N123" i="7"/>
  <c r="O123" i="7"/>
  <c r="K123" i="25" s="1"/>
  <c r="P123" i="7"/>
  <c r="L123" i="25" s="1"/>
  <c r="Q123" i="7"/>
  <c r="B499" i="7"/>
  <c r="C499" i="25" s="1"/>
  <c r="C499" i="7"/>
  <c r="B499" i="25" s="1"/>
  <c r="I499" i="7"/>
  <c r="E499" i="25" s="1"/>
  <c r="L499" i="7"/>
  <c r="M499" i="7"/>
  <c r="N499" i="7"/>
  <c r="O499" i="7"/>
  <c r="K499" i="25" s="1"/>
  <c r="P499" i="7"/>
  <c r="L499" i="25" s="1"/>
  <c r="Q499" i="7"/>
  <c r="B269" i="7"/>
  <c r="C269" i="25" s="1"/>
  <c r="C269" i="7"/>
  <c r="B269" i="25" s="1"/>
  <c r="I269" i="7"/>
  <c r="L269" i="7"/>
  <c r="M269" i="7"/>
  <c r="N269" i="7"/>
  <c r="O269" i="7"/>
  <c r="K269" i="25" s="1"/>
  <c r="P269" i="7"/>
  <c r="L269" i="25" s="1"/>
  <c r="Q269" i="7"/>
  <c r="B345" i="7"/>
  <c r="C345" i="25" s="1"/>
  <c r="AY345" i="25" s="1"/>
  <c r="C345" i="7"/>
  <c r="B345" i="25" s="1"/>
  <c r="I345" i="7"/>
  <c r="L345" i="7"/>
  <c r="M345" i="7"/>
  <c r="N345" i="7"/>
  <c r="O345" i="7"/>
  <c r="K345" i="25" s="1"/>
  <c r="P345" i="7"/>
  <c r="L345" i="25" s="1"/>
  <c r="Q345" i="7"/>
  <c r="B416" i="7"/>
  <c r="C416" i="25" s="1"/>
  <c r="C416" i="7"/>
  <c r="B416" i="25" s="1"/>
  <c r="I416" i="7"/>
  <c r="L416" i="7"/>
  <c r="M416" i="7"/>
  <c r="N416" i="7"/>
  <c r="O416" i="7"/>
  <c r="K416" i="25" s="1"/>
  <c r="P416" i="7"/>
  <c r="L416" i="25" s="1"/>
  <c r="Q416" i="7"/>
  <c r="B300" i="7"/>
  <c r="C300" i="7"/>
  <c r="B300" i="25" s="1"/>
  <c r="I300" i="7"/>
  <c r="L300" i="7"/>
  <c r="M300" i="7"/>
  <c r="N300" i="7"/>
  <c r="O300" i="7"/>
  <c r="K300" i="25" s="1"/>
  <c r="P300" i="7"/>
  <c r="L300" i="25" s="1"/>
  <c r="Q300" i="7"/>
  <c r="B557" i="7"/>
  <c r="C557" i="25" s="1"/>
  <c r="C557" i="7"/>
  <c r="B557" i="25" s="1"/>
  <c r="I557" i="7"/>
  <c r="L557" i="7"/>
  <c r="M557" i="7"/>
  <c r="N557" i="7"/>
  <c r="O557" i="7"/>
  <c r="K557" i="25" s="1"/>
  <c r="P557" i="7"/>
  <c r="L557" i="25" s="1"/>
  <c r="Q557" i="7"/>
  <c r="B188" i="7"/>
  <c r="C188" i="7"/>
  <c r="B188" i="25" s="1"/>
  <c r="I188" i="7"/>
  <c r="L188" i="7"/>
  <c r="M188" i="7"/>
  <c r="N188" i="7"/>
  <c r="O188" i="7"/>
  <c r="K188" i="25" s="1"/>
  <c r="P188" i="7"/>
  <c r="L188" i="25" s="1"/>
  <c r="Q188" i="7"/>
  <c r="B70" i="7"/>
  <c r="C70" i="7"/>
  <c r="B70" i="25" s="1"/>
  <c r="I70" i="7"/>
  <c r="L70" i="7"/>
  <c r="M70" i="7"/>
  <c r="N70" i="7"/>
  <c r="O70" i="7"/>
  <c r="K70" i="25" s="1"/>
  <c r="P70" i="7"/>
  <c r="L70" i="25" s="1"/>
  <c r="Q70" i="7"/>
  <c r="B398" i="7"/>
  <c r="C398" i="25" s="1"/>
  <c r="C398" i="7"/>
  <c r="B398" i="25" s="1"/>
  <c r="I398" i="7"/>
  <c r="L398" i="7"/>
  <c r="M398" i="7"/>
  <c r="N398" i="7"/>
  <c r="O398" i="7"/>
  <c r="K398" i="25" s="1"/>
  <c r="P398" i="7"/>
  <c r="L398" i="25" s="1"/>
  <c r="Q398" i="7"/>
  <c r="B2" i="7"/>
  <c r="C2" i="7"/>
  <c r="B2" i="25" s="1"/>
  <c r="I2" i="7"/>
  <c r="L2" i="7"/>
  <c r="M2" i="7"/>
  <c r="N2" i="7"/>
  <c r="O2" i="7"/>
  <c r="K2" i="25" s="1"/>
  <c r="P2" i="7"/>
  <c r="L2" i="25" s="1"/>
  <c r="Q2" i="7"/>
  <c r="B535" i="7"/>
  <c r="C535" i="25" s="1"/>
  <c r="C535" i="7"/>
  <c r="B535" i="25" s="1"/>
  <c r="I535" i="7"/>
  <c r="E535" i="25" s="1"/>
  <c r="L535" i="7"/>
  <c r="M535" i="7"/>
  <c r="N535" i="7"/>
  <c r="O535" i="7"/>
  <c r="K535" i="25" s="1"/>
  <c r="P535" i="7"/>
  <c r="L535" i="25" s="1"/>
  <c r="Q535" i="7"/>
  <c r="B71" i="7"/>
  <c r="C71" i="7"/>
  <c r="B71" i="25" s="1"/>
  <c r="I71" i="7"/>
  <c r="L71" i="7"/>
  <c r="M71" i="7"/>
  <c r="N71" i="7"/>
  <c r="O71" i="7"/>
  <c r="K71" i="25" s="1"/>
  <c r="P71" i="7"/>
  <c r="L71" i="25" s="1"/>
  <c r="Q71" i="7"/>
  <c r="B434" i="7"/>
  <c r="C434" i="25" s="1"/>
  <c r="C434" i="7"/>
  <c r="B434" i="25" s="1"/>
  <c r="I434" i="7"/>
  <c r="L434" i="7"/>
  <c r="M434" i="7"/>
  <c r="N434" i="7"/>
  <c r="O434" i="7"/>
  <c r="K434" i="25" s="1"/>
  <c r="P434" i="7"/>
  <c r="L434" i="25" s="1"/>
  <c r="Q434" i="7"/>
  <c r="B302" i="7"/>
  <c r="C302" i="25" s="1"/>
  <c r="C302" i="7"/>
  <c r="B302" i="25" s="1"/>
  <c r="I302" i="7"/>
  <c r="L302" i="7"/>
  <c r="M302" i="7"/>
  <c r="N302" i="7"/>
  <c r="O302" i="7"/>
  <c r="K302" i="25" s="1"/>
  <c r="P302" i="7"/>
  <c r="L302" i="25" s="1"/>
  <c r="Q302" i="7"/>
  <c r="B209" i="7"/>
  <c r="C209" i="7"/>
  <c r="B209" i="25" s="1"/>
  <c r="I209" i="7"/>
  <c r="L209" i="7"/>
  <c r="M209" i="7"/>
  <c r="N209" i="7"/>
  <c r="O209" i="7"/>
  <c r="K209" i="25" s="1"/>
  <c r="P209" i="7"/>
  <c r="L209" i="25" s="1"/>
  <c r="Q209" i="7"/>
  <c r="B134" i="7"/>
  <c r="C134" i="7"/>
  <c r="B134" i="25" s="1"/>
  <c r="I134" i="7"/>
  <c r="L134" i="7"/>
  <c r="M134" i="7"/>
  <c r="N134" i="7"/>
  <c r="O134" i="7"/>
  <c r="K134" i="25" s="1"/>
  <c r="P134" i="7"/>
  <c r="L134" i="25" s="1"/>
  <c r="Q134" i="7"/>
  <c r="B219" i="7"/>
  <c r="C219" i="7"/>
  <c r="B219" i="25" s="1"/>
  <c r="I219" i="7"/>
  <c r="L219" i="7"/>
  <c r="M219" i="7"/>
  <c r="N219" i="7"/>
  <c r="O219" i="7"/>
  <c r="K219" i="25" s="1"/>
  <c r="P219" i="7"/>
  <c r="L219" i="25" s="1"/>
  <c r="Q219" i="7"/>
  <c r="B62" i="7"/>
  <c r="C62" i="7"/>
  <c r="B62" i="25" s="1"/>
  <c r="I62" i="7"/>
  <c r="L62" i="7"/>
  <c r="M62" i="7"/>
  <c r="N62" i="7"/>
  <c r="O62" i="7"/>
  <c r="K62" i="25" s="1"/>
  <c r="P62" i="7"/>
  <c r="L62" i="25" s="1"/>
  <c r="Q62" i="7"/>
  <c r="B368" i="7"/>
  <c r="C368" i="25" s="1"/>
  <c r="AY368" i="25" s="1"/>
  <c r="C368" i="7"/>
  <c r="B368" i="25" s="1"/>
  <c r="I368" i="7"/>
  <c r="L368" i="7"/>
  <c r="M368" i="7"/>
  <c r="N368" i="7"/>
  <c r="O368" i="7"/>
  <c r="K368" i="25" s="1"/>
  <c r="P368" i="7"/>
  <c r="L368" i="25" s="1"/>
  <c r="Q368" i="7"/>
  <c r="B232" i="7"/>
  <c r="C232" i="7"/>
  <c r="B232" i="25" s="1"/>
  <c r="I232" i="7"/>
  <c r="L232" i="7"/>
  <c r="M232" i="7"/>
  <c r="N232" i="7"/>
  <c r="O232" i="7"/>
  <c r="K232" i="25" s="1"/>
  <c r="P232" i="7"/>
  <c r="L232" i="25" s="1"/>
  <c r="Q232" i="7"/>
  <c r="B399" i="7"/>
  <c r="C399" i="25" s="1"/>
  <c r="C399" i="7"/>
  <c r="B399" i="25" s="1"/>
  <c r="I399" i="7"/>
  <c r="L399" i="7"/>
  <c r="M399" i="7"/>
  <c r="N399" i="7"/>
  <c r="O399" i="7"/>
  <c r="K399" i="25" s="1"/>
  <c r="P399" i="7"/>
  <c r="L399" i="25" s="1"/>
  <c r="Q399" i="7"/>
  <c r="B10" i="7"/>
  <c r="C10" i="7"/>
  <c r="B10" i="25" s="1"/>
  <c r="I10" i="7"/>
  <c r="L10" i="7"/>
  <c r="M10" i="7"/>
  <c r="N10" i="7"/>
  <c r="O10" i="7"/>
  <c r="K10" i="25" s="1"/>
  <c r="P10" i="7"/>
  <c r="L10" i="25" s="1"/>
  <c r="Q10" i="7"/>
  <c r="B381" i="7"/>
  <c r="C381" i="25" s="1"/>
  <c r="AY381" i="25" s="1"/>
  <c r="C381" i="7"/>
  <c r="B381" i="25" s="1"/>
  <c r="I381" i="7"/>
  <c r="E381" i="25" s="1"/>
  <c r="L381" i="7"/>
  <c r="M381" i="7"/>
  <c r="N381" i="7"/>
  <c r="O381" i="7"/>
  <c r="K381" i="25" s="1"/>
  <c r="P381" i="7"/>
  <c r="L381" i="25" s="1"/>
  <c r="Q381" i="7"/>
  <c r="B176" i="7"/>
  <c r="C176" i="7"/>
  <c r="B176" i="25" s="1"/>
  <c r="I176" i="7"/>
  <c r="L176" i="7"/>
  <c r="M176" i="7"/>
  <c r="N176" i="7"/>
  <c r="O176" i="7"/>
  <c r="K176" i="25" s="1"/>
  <c r="P176" i="7"/>
  <c r="L176" i="25" s="1"/>
  <c r="Q176" i="7"/>
  <c r="B137" i="7"/>
  <c r="C137" i="7"/>
  <c r="B137" i="25" s="1"/>
  <c r="I137" i="7"/>
  <c r="E137" i="25" s="1"/>
  <c r="L137" i="7"/>
  <c r="M137" i="7"/>
  <c r="N137" i="7"/>
  <c r="O137" i="7"/>
  <c r="K137" i="25" s="1"/>
  <c r="P137" i="7"/>
  <c r="L137" i="25" s="1"/>
  <c r="Q137" i="7"/>
  <c r="B596" i="7"/>
  <c r="C596" i="25" s="1"/>
  <c r="C596" i="7"/>
  <c r="B596" i="25" s="1"/>
  <c r="I596" i="7"/>
  <c r="L596" i="7"/>
  <c r="M596" i="7"/>
  <c r="N596" i="7"/>
  <c r="O596" i="7"/>
  <c r="K596" i="25" s="1"/>
  <c r="P596" i="7"/>
  <c r="L596" i="25" s="1"/>
  <c r="Q596" i="7"/>
  <c r="B120" i="7"/>
  <c r="C120" i="7"/>
  <c r="B120" i="25" s="1"/>
  <c r="I120" i="7"/>
  <c r="L120" i="7"/>
  <c r="M120" i="7"/>
  <c r="N120" i="7"/>
  <c r="O120" i="7"/>
  <c r="K120" i="25" s="1"/>
  <c r="P120" i="7"/>
  <c r="L120" i="25" s="1"/>
  <c r="Q120" i="7"/>
  <c r="B84" i="7"/>
  <c r="C84" i="7"/>
  <c r="B84" i="25" s="1"/>
  <c r="I84" i="7"/>
  <c r="E84" i="25" s="1"/>
  <c r="L84" i="7"/>
  <c r="M84" i="7"/>
  <c r="N84" i="7"/>
  <c r="O84" i="7"/>
  <c r="K84" i="25" s="1"/>
  <c r="P84" i="7"/>
  <c r="L84" i="25" s="1"/>
  <c r="Q84" i="7"/>
  <c r="B433" i="7"/>
  <c r="C433" i="25" s="1"/>
  <c r="C433" i="7"/>
  <c r="B433" i="25" s="1"/>
  <c r="I433" i="7"/>
  <c r="L433" i="7"/>
  <c r="M433" i="7"/>
  <c r="N433" i="7"/>
  <c r="O433" i="7"/>
  <c r="K433" i="25" s="1"/>
  <c r="P433" i="7"/>
  <c r="L433" i="25" s="1"/>
  <c r="Q433" i="7"/>
  <c r="B276" i="7"/>
  <c r="C276" i="7"/>
  <c r="B276" i="25" s="1"/>
  <c r="I276" i="7"/>
  <c r="L276" i="7"/>
  <c r="M276" i="7"/>
  <c r="N276" i="7"/>
  <c r="O276" i="7"/>
  <c r="K276" i="25" s="1"/>
  <c r="P276" i="7"/>
  <c r="L276" i="25" s="1"/>
  <c r="Q276" i="7"/>
  <c r="B293" i="7"/>
  <c r="C293" i="25" s="1"/>
  <c r="C293" i="7"/>
  <c r="B293" i="25" s="1"/>
  <c r="I293" i="7"/>
  <c r="L293" i="7"/>
  <c r="M293" i="7"/>
  <c r="N293" i="7"/>
  <c r="O293" i="7"/>
  <c r="K293" i="25" s="1"/>
  <c r="P293" i="7"/>
  <c r="L293" i="25" s="1"/>
  <c r="Q293" i="7"/>
  <c r="B34" i="7"/>
  <c r="C34" i="7"/>
  <c r="B34" i="25" s="1"/>
  <c r="I34" i="7"/>
  <c r="L34" i="7"/>
  <c r="M34" i="7"/>
  <c r="N34" i="7"/>
  <c r="O34" i="7"/>
  <c r="K34" i="25" s="1"/>
  <c r="P34" i="7"/>
  <c r="L34" i="25" s="1"/>
  <c r="Q34" i="7"/>
  <c r="B331" i="7"/>
  <c r="C331" i="25" s="1"/>
  <c r="AY331" i="25" s="1"/>
  <c r="C331" i="7"/>
  <c r="B331" i="25" s="1"/>
  <c r="I331" i="7"/>
  <c r="L331" i="7"/>
  <c r="M331" i="7"/>
  <c r="N331" i="7"/>
  <c r="O331" i="7"/>
  <c r="K331" i="25" s="1"/>
  <c r="P331" i="7"/>
  <c r="L331" i="25" s="1"/>
  <c r="Q331" i="7"/>
  <c r="B95" i="7"/>
  <c r="C95" i="7"/>
  <c r="B95" i="25" s="1"/>
  <c r="I95" i="7"/>
  <c r="L95" i="7"/>
  <c r="M95" i="7"/>
  <c r="N95" i="7"/>
  <c r="O95" i="7"/>
  <c r="K95" i="25" s="1"/>
  <c r="P95" i="7"/>
  <c r="L95" i="25" s="1"/>
  <c r="Q95" i="7"/>
  <c r="B199" i="7"/>
  <c r="C199" i="7"/>
  <c r="B199" i="25" s="1"/>
  <c r="I199" i="7"/>
  <c r="L199" i="7"/>
  <c r="M199" i="7"/>
  <c r="N199" i="7"/>
  <c r="O199" i="7"/>
  <c r="K199" i="25" s="1"/>
  <c r="P199" i="7"/>
  <c r="L199" i="25" s="1"/>
  <c r="Q199" i="7"/>
  <c r="B547" i="7"/>
  <c r="C547" i="25" s="1"/>
  <c r="AY547" i="25" s="1"/>
  <c r="C547" i="7"/>
  <c r="B547" i="25" s="1"/>
  <c r="I547" i="7"/>
  <c r="L547" i="7"/>
  <c r="M547" i="7"/>
  <c r="N547" i="7"/>
  <c r="O547" i="7"/>
  <c r="K547" i="25" s="1"/>
  <c r="P547" i="7"/>
  <c r="L547" i="25" s="1"/>
  <c r="Q547" i="7"/>
  <c r="B581" i="7"/>
  <c r="C581" i="25" s="1"/>
  <c r="AY581" i="25" s="1"/>
  <c r="C581" i="7"/>
  <c r="B581" i="25" s="1"/>
  <c r="I581" i="7"/>
  <c r="L581" i="7"/>
  <c r="M581" i="7"/>
  <c r="N581" i="7"/>
  <c r="O581" i="7"/>
  <c r="K581" i="25" s="1"/>
  <c r="P581" i="7"/>
  <c r="L581" i="25" s="1"/>
  <c r="Q581" i="7"/>
  <c r="B282" i="7"/>
  <c r="C282" i="25" s="1"/>
  <c r="AY282" i="25" s="1"/>
  <c r="C282" i="7"/>
  <c r="B282" i="25" s="1"/>
  <c r="I282" i="7"/>
  <c r="L282" i="7"/>
  <c r="M282" i="7"/>
  <c r="N282" i="7"/>
  <c r="O282" i="7"/>
  <c r="K282" i="25" s="1"/>
  <c r="P282" i="7"/>
  <c r="L282" i="25" s="1"/>
  <c r="Q282" i="7"/>
  <c r="B273" i="7"/>
  <c r="C273" i="25" s="1"/>
  <c r="AY273" i="25" s="1"/>
  <c r="C273" i="7"/>
  <c r="B273" i="25" s="1"/>
  <c r="I273" i="7"/>
  <c r="L273" i="7"/>
  <c r="M273" i="7"/>
  <c r="N273" i="7"/>
  <c r="O273" i="7"/>
  <c r="K273" i="25" s="1"/>
  <c r="P273" i="7"/>
  <c r="L273" i="25" s="1"/>
  <c r="Q273" i="7"/>
  <c r="B590" i="7"/>
  <c r="C590" i="25" s="1"/>
  <c r="AY590" i="25" s="1"/>
  <c r="C590" i="7"/>
  <c r="B590" i="25" s="1"/>
  <c r="I590" i="7"/>
  <c r="L590" i="7"/>
  <c r="M590" i="7"/>
  <c r="N590" i="7"/>
  <c r="O590" i="7"/>
  <c r="K590" i="25" s="1"/>
  <c r="P590" i="7"/>
  <c r="L590" i="25" s="1"/>
  <c r="Q590" i="7"/>
  <c r="B586" i="7"/>
  <c r="C586" i="25" s="1"/>
  <c r="C586" i="7"/>
  <c r="B586" i="25" s="1"/>
  <c r="I586" i="7"/>
  <c r="L586" i="7"/>
  <c r="M586" i="7"/>
  <c r="N586" i="7"/>
  <c r="O586" i="7"/>
  <c r="K586" i="25" s="1"/>
  <c r="P586" i="7"/>
  <c r="L586" i="25" s="1"/>
  <c r="Q586" i="7"/>
  <c r="B528" i="7"/>
  <c r="C528" i="25" s="1"/>
  <c r="AY528" i="25" s="1"/>
  <c r="C528" i="7"/>
  <c r="B528" i="25" s="1"/>
  <c r="I528" i="7"/>
  <c r="L528" i="7"/>
  <c r="M528" i="7"/>
  <c r="N528" i="7"/>
  <c r="O528" i="7"/>
  <c r="K528" i="25" s="1"/>
  <c r="P528" i="7"/>
  <c r="L528" i="25" s="1"/>
  <c r="Q528" i="7"/>
  <c r="B287" i="7"/>
  <c r="C287" i="25" s="1"/>
  <c r="AY287" i="25" s="1"/>
  <c r="C287" i="7"/>
  <c r="B287" i="25" s="1"/>
  <c r="I287" i="7"/>
  <c r="L287" i="7"/>
  <c r="M287" i="7"/>
  <c r="N287" i="7"/>
  <c r="O287" i="7"/>
  <c r="K287" i="25" s="1"/>
  <c r="P287" i="7"/>
  <c r="L287" i="25" s="1"/>
  <c r="Q287" i="7"/>
  <c r="B553" i="7"/>
  <c r="C553" i="25" s="1"/>
  <c r="C553" i="7"/>
  <c r="B553" i="25" s="1"/>
  <c r="I553" i="7"/>
  <c r="E553" i="25" s="1"/>
  <c r="L553" i="7"/>
  <c r="M553" i="7"/>
  <c r="N553" i="7"/>
  <c r="O553" i="7"/>
  <c r="K553" i="25" s="1"/>
  <c r="P553" i="7"/>
  <c r="L553" i="25" s="1"/>
  <c r="Q553" i="7"/>
  <c r="B145" i="7"/>
  <c r="C145" i="7"/>
  <c r="B145" i="25" s="1"/>
  <c r="I145" i="7"/>
  <c r="L145" i="7"/>
  <c r="M145" i="7"/>
  <c r="N145" i="7"/>
  <c r="O145" i="7"/>
  <c r="K145" i="25" s="1"/>
  <c r="P145" i="7"/>
  <c r="L145" i="25" s="1"/>
  <c r="Q145" i="7"/>
  <c r="B242" i="7"/>
  <c r="C242" i="7"/>
  <c r="B242" i="25" s="1"/>
  <c r="I242" i="7"/>
  <c r="L242" i="7"/>
  <c r="M242" i="7"/>
  <c r="N242" i="7"/>
  <c r="O242" i="7"/>
  <c r="K242" i="25" s="1"/>
  <c r="P242" i="7"/>
  <c r="L242" i="25" s="1"/>
  <c r="Q242" i="7"/>
  <c r="B440" i="7"/>
  <c r="C440" i="25" s="1"/>
  <c r="AY440" i="25" s="1"/>
  <c r="C440" i="7"/>
  <c r="B440" i="25" s="1"/>
  <c r="I440" i="7"/>
  <c r="L440" i="7"/>
  <c r="M440" i="7"/>
  <c r="N440" i="7"/>
  <c r="O440" i="7"/>
  <c r="K440" i="25" s="1"/>
  <c r="P440" i="7"/>
  <c r="L440" i="25" s="1"/>
  <c r="Q440" i="7"/>
  <c r="B461" i="7"/>
  <c r="C461" i="25" s="1"/>
  <c r="AY461" i="25" s="1"/>
  <c r="C461" i="7"/>
  <c r="B461" i="25" s="1"/>
  <c r="I461" i="7"/>
  <c r="L461" i="7"/>
  <c r="M461" i="7"/>
  <c r="N461" i="7"/>
  <c r="O461" i="7"/>
  <c r="K461" i="25" s="1"/>
  <c r="P461" i="7"/>
  <c r="L461" i="25" s="1"/>
  <c r="Q461" i="7"/>
  <c r="B102" i="7"/>
  <c r="C102" i="7"/>
  <c r="B102" i="25" s="1"/>
  <c r="I102" i="7"/>
  <c r="E102" i="25" s="1"/>
  <c r="L102" i="7"/>
  <c r="M102" i="7"/>
  <c r="N102" i="7"/>
  <c r="O102" i="7"/>
  <c r="K102" i="25" s="1"/>
  <c r="P102" i="7"/>
  <c r="L102" i="25" s="1"/>
  <c r="Q102" i="7"/>
  <c r="B104" i="7"/>
  <c r="C104" i="7"/>
  <c r="B104" i="25" s="1"/>
  <c r="I104" i="7"/>
  <c r="L104" i="7"/>
  <c r="M104" i="7"/>
  <c r="N104" i="7"/>
  <c r="O104" i="7"/>
  <c r="K104" i="25" s="1"/>
  <c r="P104" i="7"/>
  <c r="L104" i="25" s="1"/>
  <c r="Q104" i="7"/>
  <c r="B419" i="7"/>
  <c r="C419" i="25" s="1"/>
  <c r="AY419" i="25" s="1"/>
  <c r="C419" i="7"/>
  <c r="B419" i="25" s="1"/>
  <c r="I419" i="7"/>
  <c r="E419" i="25" s="1"/>
  <c r="L419" i="7"/>
  <c r="M419" i="7"/>
  <c r="N419" i="7"/>
  <c r="O419" i="7"/>
  <c r="K419" i="25" s="1"/>
  <c r="P419" i="7"/>
  <c r="L419" i="25" s="1"/>
  <c r="Q419" i="7"/>
  <c r="B404" i="7"/>
  <c r="C404" i="25" s="1"/>
  <c r="AY404" i="25" s="1"/>
  <c r="C404" i="7"/>
  <c r="B404" i="25" s="1"/>
  <c r="I404" i="7"/>
  <c r="L404" i="7"/>
  <c r="M404" i="7"/>
  <c r="N404" i="7"/>
  <c r="O404" i="7"/>
  <c r="K404" i="25" s="1"/>
  <c r="P404" i="7"/>
  <c r="L404" i="25" s="1"/>
  <c r="Q404" i="7"/>
  <c r="B575" i="7"/>
  <c r="C575" i="25" s="1"/>
  <c r="AY575" i="25" s="1"/>
  <c r="C575" i="7"/>
  <c r="B575" i="25" s="1"/>
  <c r="I575" i="7"/>
  <c r="L575" i="7"/>
  <c r="M575" i="7"/>
  <c r="N575" i="7"/>
  <c r="O575" i="7"/>
  <c r="K575" i="25" s="1"/>
  <c r="P575" i="7"/>
  <c r="L575" i="25" s="1"/>
  <c r="Q575" i="7"/>
  <c r="B94" i="7"/>
  <c r="C94" i="7"/>
  <c r="B94" i="25" s="1"/>
  <c r="I94" i="7"/>
  <c r="L94" i="7"/>
  <c r="M94" i="7"/>
  <c r="N94" i="7"/>
  <c r="O94" i="7"/>
  <c r="K94" i="25" s="1"/>
  <c r="P94" i="7"/>
  <c r="L94" i="25" s="1"/>
  <c r="Q94" i="7"/>
  <c r="B376" i="7"/>
  <c r="C376" i="25" s="1"/>
  <c r="AY376" i="25" s="1"/>
  <c r="C376" i="7"/>
  <c r="B376" i="25" s="1"/>
  <c r="I376" i="7"/>
  <c r="L376" i="7"/>
  <c r="M376" i="7"/>
  <c r="N376" i="7"/>
  <c r="O376" i="7"/>
  <c r="K376" i="25" s="1"/>
  <c r="P376" i="7"/>
  <c r="L376" i="25" s="1"/>
  <c r="Q376" i="7"/>
  <c r="B323" i="7"/>
  <c r="C323" i="25" s="1"/>
  <c r="C323" i="7"/>
  <c r="B323" i="25" s="1"/>
  <c r="I323" i="7"/>
  <c r="E323" i="25" s="1"/>
  <c r="L323" i="7"/>
  <c r="M323" i="7"/>
  <c r="N323" i="7"/>
  <c r="O323" i="7"/>
  <c r="K323" i="25" s="1"/>
  <c r="P323" i="7"/>
  <c r="L323" i="25" s="1"/>
  <c r="Q323" i="7"/>
  <c r="B386" i="7"/>
  <c r="C386" i="25" s="1"/>
  <c r="AY386" i="25" s="1"/>
  <c r="C386" i="7"/>
  <c r="B386" i="25" s="1"/>
  <c r="I386" i="7"/>
  <c r="L386" i="7"/>
  <c r="M386" i="7"/>
  <c r="N386" i="7"/>
  <c r="O386" i="7"/>
  <c r="K386" i="25" s="1"/>
  <c r="P386" i="7"/>
  <c r="L386" i="25" s="1"/>
  <c r="Q386" i="7"/>
  <c r="B267" i="7"/>
  <c r="C267" i="7"/>
  <c r="B267" i="25" s="1"/>
  <c r="I267" i="7"/>
  <c r="L267" i="7"/>
  <c r="M267" i="7"/>
  <c r="N267" i="7"/>
  <c r="O267" i="7"/>
  <c r="K267" i="25" s="1"/>
  <c r="P267" i="7"/>
  <c r="L267" i="25" s="1"/>
  <c r="Q267" i="7"/>
  <c r="B152" i="7"/>
  <c r="C152" i="7"/>
  <c r="B152" i="25" s="1"/>
  <c r="I152" i="7"/>
  <c r="L152" i="7"/>
  <c r="M152" i="7"/>
  <c r="N152" i="7"/>
  <c r="O152" i="7"/>
  <c r="K152" i="25" s="1"/>
  <c r="P152" i="7"/>
  <c r="L152" i="25" s="1"/>
  <c r="Q152" i="7"/>
  <c r="B261" i="7"/>
  <c r="C261" i="25" s="1"/>
  <c r="AY261" i="25" s="1"/>
  <c r="C261" i="7"/>
  <c r="B261" i="25" s="1"/>
  <c r="I261" i="7"/>
  <c r="L261" i="7"/>
  <c r="M261" i="7"/>
  <c r="N261" i="7"/>
  <c r="O261" i="7"/>
  <c r="K261" i="25" s="1"/>
  <c r="P261" i="7"/>
  <c r="L261" i="25" s="1"/>
  <c r="Q261" i="7"/>
  <c r="B45" i="7"/>
  <c r="C45" i="7"/>
  <c r="B45" i="25" s="1"/>
  <c r="I45" i="7"/>
  <c r="E45" i="25" s="1"/>
  <c r="L45" i="7"/>
  <c r="M45" i="7"/>
  <c r="N45" i="7"/>
  <c r="O45" i="7"/>
  <c r="K45" i="25" s="1"/>
  <c r="P45" i="7"/>
  <c r="L45" i="25" s="1"/>
  <c r="Q45" i="7"/>
  <c r="B16" i="7"/>
  <c r="C16" i="7"/>
  <c r="B16" i="25" s="1"/>
  <c r="I16" i="7"/>
  <c r="L16" i="7"/>
  <c r="M16" i="7"/>
  <c r="N16" i="7"/>
  <c r="O16" i="7"/>
  <c r="K16" i="25" s="1"/>
  <c r="P16" i="7"/>
  <c r="L16" i="25" s="1"/>
  <c r="Q16" i="7"/>
  <c r="B522" i="7"/>
  <c r="C522" i="25" s="1"/>
  <c r="AY522" i="25" s="1"/>
  <c r="C522" i="7"/>
  <c r="B522" i="25" s="1"/>
  <c r="I522" i="7"/>
  <c r="E522" i="25" s="1"/>
  <c r="L522" i="7"/>
  <c r="M522" i="7"/>
  <c r="N522" i="7"/>
  <c r="O522" i="7"/>
  <c r="K522" i="25" s="1"/>
  <c r="P522" i="7"/>
  <c r="L522" i="25" s="1"/>
  <c r="Q522" i="7"/>
  <c r="B593" i="7"/>
  <c r="C593" i="25" s="1"/>
  <c r="C593" i="7"/>
  <c r="B593" i="25" s="1"/>
  <c r="I593" i="7"/>
  <c r="E593" i="25" s="1"/>
  <c r="L593" i="7"/>
  <c r="M593" i="7"/>
  <c r="N593" i="7"/>
  <c r="O593" i="7"/>
  <c r="K593" i="25" s="1"/>
  <c r="P593" i="7"/>
  <c r="L593" i="25" s="1"/>
  <c r="Q593" i="7"/>
  <c r="B121" i="7"/>
  <c r="C121" i="7"/>
  <c r="B121" i="25" s="1"/>
  <c r="I121" i="7"/>
  <c r="L121" i="7"/>
  <c r="M121" i="7"/>
  <c r="N121" i="7"/>
  <c r="O121" i="7"/>
  <c r="K121" i="25" s="1"/>
  <c r="P121" i="7"/>
  <c r="L121" i="25" s="1"/>
  <c r="Q121" i="7"/>
  <c r="B270" i="7"/>
  <c r="C270" i="7"/>
  <c r="B270" i="25" s="1"/>
  <c r="I270" i="7"/>
  <c r="L270" i="7"/>
  <c r="M270" i="7"/>
  <c r="N270" i="7"/>
  <c r="O270" i="7"/>
  <c r="K270" i="25" s="1"/>
  <c r="P270" i="7"/>
  <c r="L270" i="25" s="1"/>
  <c r="Q270" i="7"/>
  <c r="B35" i="7"/>
  <c r="C35" i="7"/>
  <c r="B35" i="25" s="1"/>
  <c r="I35" i="7"/>
  <c r="L35" i="7"/>
  <c r="M35" i="7"/>
  <c r="N35" i="7"/>
  <c r="O35" i="7"/>
  <c r="K35" i="25" s="1"/>
  <c r="P35" i="7"/>
  <c r="L35" i="25" s="1"/>
  <c r="Q35" i="7"/>
  <c r="B140" i="7"/>
  <c r="C140" i="7"/>
  <c r="B140" i="25" s="1"/>
  <c r="I140" i="7"/>
  <c r="L140" i="7"/>
  <c r="M140" i="7"/>
  <c r="N140" i="7"/>
  <c r="O140" i="7"/>
  <c r="K140" i="25" s="1"/>
  <c r="P140" i="7"/>
  <c r="L140" i="25" s="1"/>
  <c r="Q140" i="7"/>
  <c r="B136" i="7"/>
  <c r="C136" i="7"/>
  <c r="B136" i="25" s="1"/>
  <c r="I136" i="7"/>
  <c r="L136" i="7"/>
  <c r="M136" i="7"/>
  <c r="N136" i="7"/>
  <c r="O136" i="7"/>
  <c r="K136" i="25" s="1"/>
  <c r="P136" i="7"/>
  <c r="L136" i="25" s="1"/>
  <c r="Q136" i="7"/>
  <c r="B595" i="7"/>
  <c r="C595" i="25" s="1"/>
  <c r="C595" i="7"/>
  <c r="B595" i="25" s="1"/>
  <c r="I595" i="7"/>
  <c r="L595" i="7"/>
  <c r="M595" i="7"/>
  <c r="N595" i="7"/>
  <c r="O595" i="7"/>
  <c r="K595" i="25" s="1"/>
  <c r="P595" i="7"/>
  <c r="L595" i="25" s="1"/>
  <c r="Q595" i="7"/>
  <c r="B473" i="7"/>
  <c r="C473" i="25" s="1"/>
  <c r="C473" i="7"/>
  <c r="B473" i="25" s="1"/>
  <c r="I473" i="7"/>
  <c r="L473" i="7"/>
  <c r="M473" i="7"/>
  <c r="N473" i="7"/>
  <c r="O473" i="7"/>
  <c r="K473" i="25" s="1"/>
  <c r="P473" i="7"/>
  <c r="L473" i="25" s="1"/>
  <c r="Q473" i="7"/>
  <c r="B583" i="7"/>
  <c r="C583" i="25" s="1"/>
  <c r="AY583" i="25" s="1"/>
  <c r="C583" i="7"/>
  <c r="B583" i="25" s="1"/>
  <c r="I583" i="7"/>
  <c r="L583" i="7"/>
  <c r="M583" i="7"/>
  <c r="N583" i="7"/>
  <c r="O583" i="7"/>
  <c r="K583" i="25" s="1"/>
  <c r="P583" i="7"/>
  <c r="L583" i="25" s="1"/>
  <c r="Q583" i="7"/>
  <c r="B571" i="7"/>
  <c r="C571" i="25" s="1"/>
  <c r="AY571" i="25" s="1"/>
  <c r="C571" i="7"/>
  <c r="B571" i="25" s="1"/>
  <c r="I571" i="7"/>
  <c r="L571" i="7"/>
  <c r="M571" i="7"/>
  <c r="N571" i="7"/>
  <c r="O571" i="7"/>
  <c r="K571" i="25" s="1"/>
  <c r="P571" i="7"/>
  <c r="L571" i="25" s="1"/>
  <c r="Q571" i="7"/>
  <c r="B413" i="7"/>
  <c r="C413" i="25" s="1"/>
  <c r="AY413" i="25" s="1"/>
  <c r="C413" i="7"/>
  <c r="B413" i="25" s="1"/>
  <c r="I413" i="7"/>
  <c r="L413" i="7"/>
  <c r="M413" i="7"/>
  <c r="N413" i="7"/>
  <c r="O413" i="7"/>
  <c r="K413" i="25" s="1"/>
  <c r="P413" i="7"/>
  <c r="L413" i="25" s="1"/>
  <c r="Q413" i="7"/>
  <c r="B320" i="7"/>
  <c r="C320" i="25" s="1"/>
  <c r="C320" i="7"/>
  <c r="B320" i="25" s="1"/>
  <c r="I320" i="7"/>
  <c r="L320" i="7"/>
  <c r="M320" i="7"/>
  <c r="N320" i="7"/>
  <c r="O320" i="7"/>
  <c r="K320" i="25" s="1"/>
  <c r="P320" i="7"/>
  <c r="L320" i="25" s="1"/>
  <c r="Q320" i="7"/>
  <c r="B430" i="7"/>
  <c r="C430" i="25" s="1"/>
  <c r="C430" i="7"/>
  <c r="B430" i="25" s="1"/>
  <c r="I430" i="7"/>
  <c r="L430" i="7"/>
  <c r="M430" i="7"/>
  <c r="N430" i="7"/>
  <c r="O430" i="7"/>
  <c r="K430" i="25" s="1"/>
  <c r="P430" i="7"/>
  <c r="L430" i="25" s="1"/>
  <c r="Q430" i="7"/>
  <c r="B438" i="7"/>
  <c r="C438" i="25" s="1"/>
  <c r="C438" i="7"/>
  <c r="B438" i="25" s="1"/>
  <c r="I438" i="7"/>
  <c r="L438" i="7"/>
  <c r="M438" i="7"/>
  <c r="N438" i="7"/>
  <c r="O438" i="7"/>
  <c r="K438" i="25" s="1"/>
  <c r="P438" i="7"/>
  <c r="L438" i="25" s="1"/>
  <c r="Q438" i="7"/>
  <c r="B491" i="7"/>
  <c r="C491" i="25" s="1"/>
  <c r="AY491" i="25" s="1"/>
  <c r="C491" i="7"/>
  <c r="B491" i="25" s="1"/>
  <c r="I491" i="7"/>
  <c r="L491" i="7"/>
  <c r="M491" i="7"/>
  <c r="N491" i="7"/>
  <c r="O491" i="7"/>
  <c r="K491" i="25" s="1"/>
  <c r="P491" i="7"/>
  <c r="L491" i="25" s="1"/>
  <c r="Q491" i="7"/>
  <c r="B498" i="7"/>
  <c r="C498" i="25" s="1"/>
  <c r="AY498" i="25" s="1"/>
  <c r="C498" i="7"/>
  <c r="B498" i="25" s="1"/>
  <c r="I498" i="7"/>
  <c r="L498" i="7"/>
  <c r="M498" i="7"/>
  <c r="N498" i="7"/>
  <c r="O498" i="7"/>
  <c r="K498" i="25" s="1"/>
  <c r="P498" i="7"/>
  <c r="L498" i="25" s="1"/>
  <c r="Q498" i="7"/>
  <c r="B314" i="7"/>
  <c r="C314" i="25" s="1"/>
  <c r="AY314" i="25" s="1"/>
  <c r="C314" i="7"/>
  <c r="B314" i="25" s="1"/>
  <c r="I314" i="7"/>
  <c r="E314" i="25" s="1"/>
  <c r="L314" i="7"/>
  <c r="M314" i="7"/>
  <c r="N314" i="7"/>
  <c r="O314" i="7"/>
  <c r="K314" i="25" s="1"/>
  <c r="P314" i="7"/>
  <c r="L314" i="25" s="1"/>
  <c r="Q314" i="7"/>
  <c r="B299" i="7"/>
  <c r="C299" i="25" s="1"/>
  <c r="AY299" i="25" s="1"/>
  <c r="C299" i="7"/>
  <c r="B299" i="25" s="1"/>
  <c r="I299" i="7"/>
  <c r="L299" i="7"/>
  <c r="M299" i="7"/>
  <c r="N299" i="7"/>
  <c r="O299" i="7"/>
  <c r="K299" i="25" s="1"/>
  <c r="P299" i="7"/>
  <c r="L299" i="25" s="1"/>
  <c r="Q299" i="7"/>
  <c r="B224" i="7"/>
  <c r="C224" i="7"/>
  <c r="B224" i="25" s="1"/>
  <c r="I224" i="7"/>
  <c r="L224" i="7"/>
  <c r="M224" i="7"/>
  <c r="N224" i="7"/>
  <c r="O224" i="7"/>
  <c r="K224" i="25" s="1"/>
  <c r="P224" i="7"/>
  <c r="L224" i="25" s="1"/>
  <c r="Q224" i="7"/>
  <c r="B402" i="7"/>
  <c r="C402" i="25" s="1"/>
  <c r="AY402" i="25" s="1"/>
  <c r="C402" i="7"/>
  <c r="B402" i="25" s="1"/>
  <c r="I402" i="7"/>
  <c r="L402" i="7"/>
  <c r="M402" i="7"/>
  <c r="N402" i="7"/>
  <c r="O402" i="7"/>
  <c r="K402" i="25" s="1"/>
  <c r="P402" i="7"/>
  <c r="L402" i="25" s="1"/>
  <c r="Q402" i="7"/>
  <c r="B549" i="7"/>
  <c r="C549" i="25" s="1"/>
  <c r="AY549" i="25" s="1"/>
  <c r="C549" i="7"/>
  <c r="B549" i="25" s="1"/>
  <c r="I549" i="7"/>
  <c r="L549" i="7"/>
  <c r="M549" i="7"/>
  <c r="N549" i="7"/>
  <c r="O549" i="7"/>
  <c r="K549" i="25" s="1"/>
  <c r="P549" i="7"/>
  <c r="L549" i="25" s="1"/>
  <c r="Q549" i="7"/>
  <c r="B445" i="7"/>
  <c r="C445" i="25" s="1"/>
  <c r="AY445" i="25" s="1"/>
  <c r="C445" i="7"/>
  <c r="B445" i="25" s="1"/>
  <c r="I445" i="7"/>
  <c r="E445" i="25" s="1"/>
  <c r="L445" i="7"/>
  <c r="M445" i="7"/>
  <c r="N445" i="7"/>
  <c r="O445" i="7"/>
  <c r="K445" i="25" s="1"/>
  <c r="P445" i="7"/>
  <c r="L445" i="25" s="1"/>
  <c r="Q445" i="7"/>
  <c r="B119" i="7"/>
  <c r="C119" i="7"/>
  <c r="B119" i="25" s="1"/>
  <c r="I119" i="7"/>
  <c r="L119" i="7"/>
  <c r="M119" i="7"/>
  <c r="N119" i="7"/>
  <c r="O119" i="7"/>
  <c r="K119" i="25" s="1"/>
  <c r="P119" i="7"/>
  <c r="L119" i="25" s="1"/>
  <c r="Q119" i="7"/>
  <c r="B20" i="7"/>
  <c r="C20" i="7"/>
  <c r="B20" i="25" s="1"/>
  <c r="I20" i="7"/>
  <c r="L20" i="7"/>
  <c r="M20" i="7"/>
  <c r="N20" i="7"/>
  <c r="O20" i="7"/>
  <c r="K20" i="25" s="1"/>
  <c r="P20" i="7"/>
  <c r="L20" i="25" s="1"/>
  <c r="Q20" i="7"/>
  <c r="B252" i="7"/>
  <c r="C252" i="7"/>
  <c r="B252" i="25" s="1"/>
  <c r="I252" i="7"/>
  <c r="L252" i="7"/>
  <c r="M252" i="7"/>
  <c r="N252" i="7"/>
  <c r="O252" i="7"/>
  <c r="K252" i="25" s="1"/>
  <c r="P252" i="7"/>
  <c r="L252" i="25" s="1"/>
  <c r="Q252" i="7"/>
  <c r="B207" i="7"/>
  <c r="C207" i="7"/>
  <c r="B207" i="25" s="1"/>
  <c r="I207" i="7"/>
  <c r="L207" i="7"/>
  <c r="M207" i="7"/>
  <c r="N207" i="7"/>
  <c r="O207" i="7"/>
  <c r="K207" i="25" s="1"/>
  <c r="P207" i="7"/>
  <c r="L207" i="25" s="1"/>
  <c r="Q207" i="7"/>
  <c r="B519" i="7"/>
  <c r="C519" i="25" s="1"/>
  <c r="AY519" i="25" s="1"/>
  <c r="C519" i="7"/>
  <c r="B519" i="25" s="1"/>
  <c r="I519" i="7"/>
  <c r="L519" i="7"/>
  <c r="M519" i="7"/>
  <c r="N519" i="7"/>
  <c r="O519" i="7"/>
  <c r="K519" i="25" s="1"/>
  <c r="P519" i="7"/>
  <c r="L519" i="25" s="1"/>
  <c r="Q519" i="7"/>
  <c r="B202" i="7"/>
  <c r="C202" i="7"/>
  <c r="B202" i="25" s="1"/>
  <c r="I202" i="7"/>
  <c r="L202" i="7"/>
  <c r="M202" i="7"/>
  <c r="N202" i="7"/>
  <c r="O202" i="7"/>
  <c r="K202" i="25" s="1"/>
  <c r="P202" i="7"/>
  <c r="L202" i="25" s="1"/>
  <c r="Q202" i="7"/>
  <c r="B231" i="7"/>
  <c r="C231" i="7"/>
  <c r="B231" i="25" s="1"/>
  <c r="I231" i="7"/>
  <c r="L231" i="7"/>
  <c r="M231" i="7"/>
  <c r="N231" i="7"/>
  <c r="O231" i="7"/>
  <c r="K231" i="25" s="1"/>
  <c r="P231" i="7"/>
  <c r="L231" i="25" s="1"/>
  <c r="Q231" i="7"/>
  <c r="B514" i="7"/>
  <c r="C514" i="25" s="1"/>
  <c r="AY514" i="25" s="1"/>
  <c r="C514" i="7"/>
  <c r="B514" i="25" s="1"/>
  <c r="I514" i="7"/>
  <c r="L514" i="7"/>
  <c r="M514" i="7"/>
  <c r="N514" i="7"/>
  <c r="O514" i="7"/>
  <c r="K514" i="25" s="1"/>
  <c r="P514" i="7"/>
  <c r="L514" i="25" s="1"/>
  <c r="Q514" i="7"/>
  <c r="B179" i="7"/>
  <c r="C179" i="7"/>
  <c r="B179" i="25" s="1"/>
  <c r="I179" i="7"/>
  <c r="L179" i="7"/>
  <c r="M179" i="7"/>
  <c r="N179" i="7"/>
  <c r="O179" i="7"/>
  <c r="K179" i="25" s="1"/>
  <c r="P179" i="7"/>
  <c r="L179" i="25" s="1"/>
  <c r="Q179" i="7"/>
  <c r="B115" i="7"/>
  <c r="C115" i="7"/>
  <c r="B115" i="25" s="1"/>
  <c r="I115" i="7"/>
  <c r="L115" i="7"/>
  <c r="M115" i="7"/>
  <c r="N115" i="7"/>
  <c r="O115" i="7"/>
  <c r="K115" i="25" s="1"/>
  <c r="P115" i="7"/>
  <c r="L115" i="25" s="1"/>
  <c r="Q115" i="7"/>
  <c r="B253" i="7"/>
  <c r="C253" i="7"/>
  <c r="B253" i="25" s="1"/>
  <c r="I253" i="7"/>
  <c r="L253" i="7"/>
  <c r="M253" i="7"/>
  <c r="N253" i="7"/>
  <c r="O253" i="7"/>
  <c r="K253" i="25" s="1"/>
  <c r="P253" i="7"/>
  <c r="L253" i="25" s="1"/>
  <c r="Q253" i="7"/>
  <c r="B105" i="7"/>
  <c r="C105" i="7"/>
  <c r="B105" i="25" s="1"/>
  <c r="I105" i="7"/>
  <c r="E105" i="25" s="1"/>
  <c r="L105" i="7"/>
  <c r="M105" i="7"/>
  <c r="N105" i="7"/>
  <c r="O105" i="7"/>
  <c r="K105" i="25" s="1"/>
  <c r="P105" i="7"/>
  <c r="L105" i="25" s="1"/>
  <c r="Q105" i="7"/>
  <c r="B201" i="7"/>
  <c r="C201" i="7"/>
  <c r="B201" i="25" s="1"/>
  <c r="I201" i="7"/>
  <c r="E201" i="25" s="1"/>
  <c r="L201" i="7"/>
  <c r="M201" i="7"/>
  <c r="N201" i="7"/>
  <c r="O201" i="7"/>
  <c r="K201" i="25" s="1"/>
  <c r="P201" i="7"/>
  <c r="L201" i="25" s="1"/>
  <c r="Q201" i="7"/>
  <c r="B313" i="7"/>
  <c r="C313" i="25" s="1"/>
  <c r="C313" i="7"/>
  <c r="B313" i="25" s="1"/>
  <c r="I313" i="7"/>
  <c r="L313" i="7"/>
  <c r="M313" i="7"/>
  <c r="N313" i="7"/>
  <c r="O313" i="7"/>
  <c r="K313" i="25" s="1"/>
  <c r="P313" i="7"/>
  <c r="L313" i="25" s="1"/>
  <c r="Q313" i="7"/>
  <c r="B352" i="7"/>
  <c r="C352" i="25" s="1"/>
  <c r="AY352" i="25" s="1"/>
  <c r="C352" i="7"/>
  <c r="B352" i="25" s="1"/>
  <c r="I352" i="7"/>
  <c r="E352" i="25" s="1"/>
  <c r="L352" i="7"/>
  <c r="M352" i="7"/>
  <c r="N352" i="7"/>
  <c r="O352" i="7"/>
  <c r="K352" i="25" s="1"/>
  <c r="P352" i="7"/>
  <c r="L352" i="25" s="1"/>
  <c r="Q352" i="7"/>
  <c r="B582" i="7"/>
  <c r="C582" i="25" s="1"/>
  <c r="C582" i="7"/>
  <c r="B582" i="25" s="1"/>
  <c r="I582" i="7"/>
  <c r="L582" i="7"/>
  <c r="M582" i="7"/>
  <c r="N582" i="7"/>
  <c r="O582" i="7"/>
  <c r="K582" i="25" s="1"/>
  <c r="P582" i="7"/>
  <c r="L582" i="25" s="1"/>
  <c r="Q582" i="7"/>
  <c r="B339" i="7"/>
  <c r="C339" i="25" s="1"/>
  <c r="AY339" i="25" s="1"/>
  <c r="C339" i="7"/>
  <c r="B339" i="25" s="1"/>
  <c r="I339" i="7"/>
  <c r="L339" i="7"/>
  <c r="M339" i="7"/>
  <c r="N339" i="7"/>
  <c r="O339" i="7"/>
  <c r="K339" i="25" s="1"/>
  <c r="P339" i="7"/>
  <c r="L339" i="25" s="1"/>
  <c r="Q339" i="7"/>
  <c r="B122" i="7"/>
  <c r="C122" i="7"/>
  <c r="B122" i="25" s="1"/>
  <c r="I122" i="7"/>
  <c r="L122" i="7"/>
  <c r="M122" i="7"/>
  <c r="N122" i="7"/>
  <c r="O122" i="7"/>
  <c r="K122" i="25" s="1"/>
  <c r="P122" i="7"/>
  <c r="L122" i="25" s="1"/>
  <c r="Q122" i="7"/>
  <c r="B28" i="7"/>
  <c r="C28" i="7"/>
  <c r="B28" i="25" s="1"/>
  <c r="I28" i="7"/>
  <c r="L28" i="7"/>
  <c r="M28" i="7"/>
  <c r="N28" i="7"/>
  <c r="O28" i="7"/>
  <c r="K28" i="25" s="1"/>
  <c r="P28" i="7"/>
  <c r="L28" i="25" s="1"/>
  <c r="Q28" i="7"/>
  <c r="B437" i="7"/>
  <c r="C437" i="25" s="1"/>
  <c r="C437" i="7"/>
  <c r="B437" i="25" s="1"/>
  <c r="I437" i="7"/>
  <c r="L437" i="7"/>
  <c r="M437" i="7"/>
  <c r="N437" i="7"/>
  <c r="O437" i="7"/>
  <c r="K437" i="25" s="1"/>
  <c r="P437" i="7"/>
  <c r="L437" i="25" s="1"/>
  <c r="Q437" i="7"/>
  <c r="B563" i="7"/>
  <c r="C563" i="25" s="1"/>
  <c r="C563" i="7"/>
  <c r="B563" i="25" s="1"/>
  <c r="I563" i="7"/>
  <c r="L563" i="7"/>
  <c r="M563" i="7"/>
  <c r="N563" i="7"/>
  <c r="O563" i="7"/>
  <c r="K563" i="25" s="1"/>
  <c r="P563" i="7"/>
  <c r="L563" i="25" s="1"/>
  <c r="Q563" i="7"/>
  <c r="B117" i="7"/>
  <c r="C117" i="7"/>
  <c r="B117" i="25" s="1"/>
  <c r="I117" i="7"/>
  <c r="L117" i="7"/>
  <c r="M117" i="7"/>
  <c r="N117" i="7"/>
  <c r="O117" i="7"/>
  <c r="K117" i="25" s="1"/>
  <c r="P117" i="7"/>
  <c r="L117" i="25" s="1"/>
  <c r="Q117" i="7"/>
  <c r="B106" i="7"/>
  <c r="C106" i="7"/>
  <c r="B106" i="25" s="1"/>
  <c r="I106" i="7"/>
  <c r="L106" i="7"/>
  <c r="M106" i="7"/>
  <c r="N106" i="7"/>
  <c r="O106" i="7"/>
  <c r="K106" i="25" s="1"/>
  <c r="P106" i="7"/>
  <c r="L106" i="25" s="1"/>
  <c r="Q106" i="7"/>
  <c r="B524" i="7"/>
  <c r="C524" i="25" s="1"/>
  <c r="AY524" i="25" s="1"/>
  <c r="C524" i="7"/>
  <c r="B524" i="25" s="1"/>
  <c r="I524" i="7"/>
  <c r="L524" i="7"/>
  <c r="M524" i="7"/>
  <c r="N524" i="7"/>
  <c r="O524" i="7"/>
  <c r="K524" i="25" s="1"/>
  <c r="P524" i="7"/>
  <c r="L524" i="25" s="1"/>
  <c r="Q524" i="7"/>
  <c r="B230" i="7"/>
  <c r="C230" i="7"/>
  <c r="B230" i="25" s="1"/>
  <c r="I230" i="7"/>
  <c r="L230" i="7"/>
  <c r="M230" i="7"/>
  <c r="N230" i="7"/>
  <c r="O230" i="7"/>
  <c r="K230" i="25" s="1"/>
  <c r="P230" i="7"/>
  <c r="L230" i="25" s="1"/>
  <c r="Q230" i="7"/>
  <c r="B153" i="7"/>
  <c r="C153" i="7"/>
  <c r="B153" i="25" s="1"/>
  <c r="I153" i="7"/>
  <c r="L153" i="7"/>
  <c r="M153" i="7"/>
  <c r="N153" i="7"/>
  <c r="O153" i="7"/>
  <c r="K153" i="25" s="1"/>
  <c r="P153" i="7"/>
  <c r="L153" i="25" s="1"/>
  <c r="Q153" i="7"/>
  <c r="B341" i="7"/>
  <c r="C341" i="25" s="1"/>
  <c r="AY341" i="25" s="1"/>
  <c r="C341" i="7"/>
  <c r="B341" i="25" s="1"/>
  <c r="I341" i="7"/>
  <c r="L341" i="7"/>
  <c r="M341" i="7"/>
  <c r="N341" i="7"/>
  <c r="O341" i="7"/>
  <c r="K341" i="25" s="1"/>
  <c r="P341" i="7"/>
  <c r="L341" i="25" s="1"/>
  <c r="Q341" i="7"/>
  <c r="B78" i="7"/>
  <c r="C78" i="7"/>
  <c r="B78" i="25" s="1"/>
  <c r="I78" i="7"/>
  <c r="E78" i="25" s="1"/>
  <c r="L78" i="7"/>
  <c r="M78" i="7"/>
  <c r="N78" i="7"/>
  <c r="O78" i="7"/>
  <c r="K78" i="25" s="1"/>
  <c r="P78" i="7"/>
  <c r="L78" i="25" s="1"/>
  <c r="Q78" i="7"/>
  <c r="B264" i="7"/>
  <c r="C264" i="7"/>
  <c r="B264" i="25" s="1"/>
  <c r="I264" i="7"/>
  <c r="E264" i="25" s="1"/>
  <c r="L264" i="7"/>
  <c r="M264" i="7"/>
  <c r="N264" i="7"/>
  <c r="O264" i="7"/>
  <c r="K264" i="25" s="1"/>
  <c r="P264" i="7"/>
  <c r="L264" i="25" s="1"/>
  <c r="Q264" i="7"/>
  <c r="B33" i="7"/>
  <c r="C33" i="7"/>
  <c r="B33" i="25" s="1"/>
  <c r="I33" i="7"/>
  <c r="E33" i="25" s="1"/>
  <c r="L33" i="7"/>
  <c r="M33" i="7"/>
  <c r="N33" i="7"/>
  <c r="O33" i="7"/>
  <c r="K33" i="25" s="1"/>
  <c r="P33" i="7"/>
  <c r="L33" i="25" s="1"/>
  <c r="Q33" i="7"/>
  <c r="B573" i="7"/>
  <c r="C573" i="25" s="1"/>
  <c r="AY573" i="25" s="1"/>
  <c r="C573" i="7"/>
  <c r="B573" i="25" s="1"/>
  <c r="I573" i="7"/>
  <c r="L573" i="7"/>
  <c r="M573" i="7"/>
  <c r="N573" i="7"/>
  <c r="O573" i="7"/>
  <c r="K573" i="25" s="1"/>
  <c r="P573" i="7"/>
  <c r="L573" i="25" s="1"/>
  <c r="Q573" i="7"/>
  <c r="B580" i="7"/>
  <c r="C580" i="25" s="1"/>
  <c r="AY580" i="25" s="1"/>
  <c r="C580" i="7"/>
  <c r="B580" i="25" s="1"/>
  <c r="I580" i="7"/>
  <c r="L580" i="7"/>
  <c r="M580" i="7"/>
  <c r="N580" i="7"/>
  <c r="O580" i="7"/>
  <c r="K580" i="25" s="1"/>
  <c r="P580" i="7"/>
  <c r="L580" i="25" s="1"/>
  <c r="Q580" i="7"/>
  <c r="B189" i="7"/>
  <c r="C189" i="7"/>
  <c r="B189" i="25" s="1"/>
  <c r="I189" i="7"/>
  <c r="L189" i="7"/>
  <c r="M189" i="7"/>
  <c r="N189" i="7"/>
  <c r="O189" i="7"/>
  <c r="K189" i="25" s="1"/>
  <c r="P189" i="7"/>
  <c r="L189" i="25" s="1"/>
  <c r="Q189" i="7"/>
  <c r="B59" i="7"/>
  <c r="C59" i="7"/>
  <c r="B59" i="25" s="1"/>
  <c r="I59" i="7"/>
  <c r="E59" i="25" s="1"/>
  <c r="L59" i="7"/>
  <c r="M59" i="7"/>
  <c r="N59" i="7"/>
  <c r="O59" i="7"/>
  <c r="K59" i="25" s="1"/>
  <c r="P59" i="7"/>
  <c r="L59" i="25" s="1"/>
  <c r="Q59" i="7"/>
  <c r="B518" i="7"/>
  <c r="C518" i="25" s="1"/>
  <c r="AY518" i="25" s="1"/>
  <c r="C518" i="7"/>
  <c r="B518" i="25" s="1"/>
  <c r="I518" i="7"/>
  <c r="L518" i="7"/>
  <c r="M518" i="7"/>
  <c r="N518" i="7"/>
  <c r="O518" i="7"/>
  <c r="K518" i="25" s="1"/>
  <c r="P518" i="7"/>
  <c r="L518" i="25" s="1"/>
  <c r="Q518" i="7"/>
  <c r="B243" i="7"/>
  <c r="C243" i="7"/>
  <c r="B243" i="25" s="1"/>
  <c r="I243" i="7"/>
  <c r="L243" i="7"/>
  <c r="M243" i="7"/>
  <c r="N243" i="7"/>
  <c r="O243" i="7"/>
  <c r="K243" i="25" s="1"/>
  <c r="P243" i="7"/>
  <c r="L243" i="25" s="1"/>
  <c r="Q243" i="7"/>
  <c r="B310" i="7"/>
  <c r="C310" i="25" s="1"/>
  <c r="AY310" i="25" s="1"/>
  <c r="C310" i="7"/>
  <c r="B310" i="25" s="1"/>
  <c r="I310" i="7"/>
  <c r="L310" i="7"/>
  <c r="M310" i="7"/>
  <c r="N310" i="7"/>
  <c r="O310" i="7"/>
  <c r="K310" i="25" s="1"/>
  <c r="P310" i="7"/>
  <c r="L310" i="25" s="1"/>
  <c r="Q310" i="7"/>
  <c r="B38" i="7"/>
  <c r="C38" i="7"/>
  <c r="B38" i="25" s="1"/>
  <c r="I38" i="7"/>
  <c r="L38" i="7"/>
  <c r="M38" i="7"/>
  <c r="N38" i="7"/>
  <c r="O38" i="7"/>
  <c r="K38" i="25" s="1"/>
  <c r="P38" i="7"/>
  <c r="L38" i="25" s="1"/>
  <c r="Q38" i="7"/>
  <c r="B584" i="7"/>
  <c r="C584" i="25" s="1"/>
  <c r="C584" i="7"/>
  <c r="B584" i="25" s="1"/>
  <c r="I584" i="7"/>
  <c r="L584" i="7"/>
  <c r="M584" i="7"/>
  <c r="N584" i="7"/>
  <c r="O584" i="7"/>
  <c r="K584" i="25" s="1"/>
  <c r="P584" i="7"/>
  <c r="L584" i="25" s="1"/>
  <c r="Q584" i="7"/>
  <c r="B173" i="7"/>
  <c r="C173" i="7"/>
  <c r="B173" i="25" s="1"/>
  <c r="I173" i="7"/>
  <c r="L173" i="7"/>
  <c r="M173" i="7"/>
  <c r="N173" i="7"/>
  <c r="O173" i="7"/>
  <c r="K173" i="25" s="1"/>
  <c r="P173" i="7"/>
  <c r="L173" i="25" s="1"/>
  <c r="Q173" i="7"/>
  <c r="B443" i="7"/>
  <c r="C443" i="25" s="1"/>
  <c r="AY443" i="25" s="1"/>
  <c r="C443" i="7"/>
  <c r="B443" i="25" s="1"/>
  <c r="I443" i="7"/>
  <c r="L443" i="7"/>
  <c r="M443" i="7"/>
  <c r="N443" i="7"/>
  <c r="O443" i="7"/>
  <c r="K443" i="25" s="1"/>
  <c r="P443" i="7"/>
  <c r="L443" i="25" s="1"/>
  <c r="Q443" i="7"/>
  <c r="B343" i="7"/>
  <c r="C343" i="25" s="1"/>
  <c r="C343" i="7"/>
  <c r="B343" i="25" s="1"/>
  <c r="I343" i="7"/>
  <c r="L343" i="7"/>
  <c r="M343" i="7"/>
  <c r="N343" i="7"/>
  <c r="O343" i="7"/>
  <c r="K343" i="25" s="1"/>
  <c r="P343" i="7"/>
  <c r="L343" i="25" s="1"/>
  <c r="Q343" i="7"/>
  <c r="B480" i="7"/>
  <c r="C480" i="25" s="1"/>
  <c r="AY480" i="25" s="1"/>
  <c r="C480" i="7"/>
  <c r="B480" i="25" s="1"/>
  <c r="I480" i="7"/>
  <c r="L480" i="7"/>
  <c r="M480" i="7"/>
  <c r="N480" i="7"/>
  <c r="O480" i="7"/>
  <c r="K480" i="25" s="1"/>
  <c r="P480" i="7"/>
  <c r="L480" i="25" s="1"/>
  <c r="Q480" i="7"/>
  <c r="B112" i="7"/>
  <c r="C112" i="7"/>
  <c r="B112" i="25" s="1"/>
  <c r="I112" i="7"/>
  <c r="L112" i="7"/>
  <c r="M112" i="7"/>
  <c r="N112" i="7"/>
  <c r="O112" i="7"/>
  <c r="K112" i="25" s="1"/>
  <c r="P112" i="7"/>
  <c r="L112" i="25" s="1"/>
  <c r="Q112" i="7"/>
  <c r="B206" i="7"/>
  <c r="C206" i="7"/>
  <c r="B206" i="25" s="1"/>
  <c r="I206" i="7"/>
  <c r="E206" i="25" s="1"/>
  <c r="L206" i="7"/>
  <c r="M206" i="7"/>
  <c r="N206" i="7"/>
  <c r="O206" i="7"/>
  <c r="K206" i="25" s="1"/>
  <c r="P206" i="7"/>
  <c r="L206" i="25" s="1"/>
  <c r="Q206" i="7"/>
  <c r="B19" i="7"/>
  <c r="C19" i="7"/>
  <c r="B19" i="25" s="1"/>
  <c r="I19" i="7"/>
  <c r="L19" i="7"/>
  <c r="M19" i="7"/>
  <c r="N19" i="7"/>
  <c r="O19" i="7"/>
  <c r="K19" i="25" s="1"/>
  <c r="P19" i="7"/>
  <c r="L19" i="25" s="1"/>
  <c r="Q19" i="7"/>
  <c r="B108" i="7"/>
  <c r="C108" i="7"/>
  <c r="B108" i="25" s="1"/>
  <c r="I108" i="7"/>
  <c r="L108" i="7"/>
  <c r="M108" i="7"/>
  <c r="N108" i="7"/>
  <c r="O108" i="7"/>
  <c r="K108" i="25" s="1"/>
  <c r="P108" i="7"/>
  <c r="L108" i="25" s="1"/>
  <c r="Q108" i="7"/>
  <c r="B86" i="7"/>
  <c r="C86" i="7"/>
  <c r="B86" i="25" s="1"/>
  <c r="I86" i="7"/>
  <c r="L86" i="7"/>
  <c r="M86" i="7"/>
  <c r="N86" i="7"/>
  <c r="O86" i="7"/>
  <c r="K86" i="25" s="1"/>
  <c r="P86" i="7"/>
  <c r="L86" i="25" s="1"/>
  <c r="Q86" i="7"/>
  <c r="B186" i="7"/>
  <c r="C186" i="7"/>
  <c r="B186" i="25" s="1"/>
  <c r="I186" i="7"/>
  <c r="L186" i="7"/>
  <c r="M186" i="7"/>
  <c r="N186" i="7"/>
  <c r="O186" i="7"/>
  <c r="K186" i="25" s="1"/>
  <c r="P186" i="7"/>
  <c r="L186" i="25" s="1"/>
  <c r="Q186" i="7"/>
  <c r="B234" i="7"/>
  <c r="C234" i="7"/>
  <c r="B234" i="25" s="1"/>
  <c r="I234" i="7"/>
  <c r="L234" i="7"/>
  <c r="M234" i="7"/>
  <c r="N234" i="7"/>
  <c r="O234" i="7"/>
  <c r="K234" i="25" s="1"/>
  <c r="P234" i="7"/>
  <c r="L234" i="25" s="1"/>
  <c r="Q234" i="7"/>
  <c r="B7" i="7"/>
  <c r="C7" i="7"/>
  <c r="B7" i="25" s="1"/>
  <c r="I7" i="7"/>
  <c r="L7" i="7"/>
  <c r="M7" i="7"/>
  <c r="N7" i="7"/>
  <c r="O7" i="7"/>
  <c r="K7" i="25" s="1"/>
  <c r="P7" i="7"/>
  <c r="L7" i="25" s="1"/>
  <c r="Q7" i="7"/>
  <c r="B525" i="7"/>
  <c r="C525" i="25" s="1"/>
  <c r="AY525" i="25" s="1"/>
  <c r="C525" i="7"/>
  <c r="B525" i="25" s="1"/>
  <c r="I525" i="7"/>
  <c r="L525" i="7"/>
  <c r="M525" i="7"/>
  <c r="N525" i="7"/>
  <c r="O525" i="7"/>
  <c r="K525" i="25" s="1"/>
  <c r="P525" i="7"/>
  <c r="L525" i="25" s="1"/>
  <c r="Q525" i="7"/>
  <c r="B129" i="7"/>
  <c r="C129" i="7"/>
  <c r="B129" i="25" s="1"/>
  <c r="I129" i="7"/>
  <c r="L129" i="7"/>
  <c r="M129" i="7"/>
  <c r="N129" i="7"/>
  <c r="O129" i="7"/>
  <c r="K129" i="25" s="1"/>
  <c r="P129" i="7"/>
  <c r="L129" i="25" s="1"/>
  <c r="Q129" i="7"/>
  <c r="B216" i="7"/>
  <c r="C216" i="7"/>
  <c r="B216" i="25" s="1"/>
  <c r="I216" i="7"/>
  <c r="L216" i="7"/>
  <c r="M216" i="7"/>
  <c r="N216" i="7"/>
  <c r="O216" i="7"/>
  <c r="K216" i="25" s="1"/>
  <c r="P216" i="7"/>
  <c r="L216" i="25" s="1"/>
  <c r="Q216" i="7"/>
  <c r="B128" i="7"/>
  <c r="C128" i="7"/>
  <c r="B128" i="25" s="1"/>
  <c r="I128" i="7"/>
  <c r="L128" i="7"/>
  <c r="M128" i="7"/>
  <c r="N128" i="7"/>
  <c r="O128" i="7"/>
  <c r="K128" i="25" s="1"/>
  <c r="P128" i="7"/>
  <c r="L128" i="25" s="1"/>
  <c r="Q128" i="7"/>
  <c r="B294" i="7"/>
  <c r="C294" i="25" s="1"/>
  <c r="C294" i="7"/>
  <c r="B294" i="25" s="1"/>
  <c r="I294" i="7"/>
  <c r="L294" i="7"/>
  <c r="M294" i="7"/>
  <c r="N294" i="7"/>
  <c r="O294" i="7"/>
  <c r="K294" i="25" s="1"/>
  <c r="P294" i="7"/>
  <c r="L294" i="25" s="1"/>
  <c r="Q294" i="7"/>
  <c r="B546" i="7"/>
  <c r="C546" i="25" s="1"/>
  <c r="AY546" i="25" s="1"/>
  <c r="C546" i="7"/>
  <c r="B546" i="25" s="1"/>
  <c r="I546" i="7"/>
  <c r="L546" i="7"/>
  <c r="M546" i="7"/>
  <c r="N546" i="7"/>
  <c r="O546" i="7"/>
  <c r="K546" i="25" s="1"/>
  <c r="P546" i="7"/>
  <c r="L546" i="25" s="1"/>
  <c r="Q546" i="7"/>
  <c r="B114" i="7"/>
  <c r="C114" i="7"/>
  <c r="B114" i="25" s="1"/>
  <c r="I114" i="7"/>
  <c r="L114" i="7"/>
  <c r="M114" i="7"/>
  <c r="N114" i="7"/>
  <c r="O114" i="7"/>
  <c r="K114" i="25" s="1"/>
  <c r="P114" i="7"/>
  <c r="L114" i="25" s="1"/>
  <c r="Q114" i="7"/>
  <c r="B454" i="7"/>
  <c r="C454" i="25" s="1"/>
  <c r="AY454" i="25" s="1"/>
  <c r="C454" i="7"/>
  <c r="B454" i="25" s="1"/>
  <c r="I454" i="7"/>
  <c r="E454" i="25" s="1"/>
  <c r="L454" i="7"/>
  <c r="M454" i="7"/>
  <c r="N454" i="7"/>
  <c r="O454" i="7"/>
  <c r="K454" i="25" s="1"/>
  <c r="P454" i="7"/>
  <c r="L454" i="25" s="1"/>
  <c r="Q454" i="7"/>
  <c r="B311" i="7"/>
  <c r="C311" i="25" s="1"/>
  <c r="AY311" i="25" s="1"/>
  <c r="C311" i="7"/>
  <c r="B311" i="25" s="1"/>
  <c r="I311" i="7"/>
  <c r="L311" i="7"/>
  <c r="M311" i="7"/>
  <c r="N311" i="7"/>
  <c r="O311" i="7"/>
  <c r="K311" i="25" s="1"/>
  <c r="P311" i="7"/>
  <c r="L311" i="25" s="1"/>
  <c r="Q311" i="7"/>
  <c r="B377" i="7"/>
  <c r="C377" i="25" s="1"/>
  <c r="AY377" i="25" s="1"/>
  <c r="C377" i="7"/>
  <c r="B377" i="25" s="1"/>
  <c r="I377" i="7"/>
  <c r="E377" i="25" s="1"/>
  <c r="L377" i="7"/>
  <c r="M377" i="7"/>
  <c r="N377" i="7"/>
  <c r="O377" i="7"/>
  <c r="K377" i="25" s="1"/>
  <c r="P377" i="7"/>
  <c r="L377" i="25" s="1"/>
  <c r="Q377" i="7"/>
  <c r="B211" i="7"/>
  <c r="C211" i="7"/>
  <c r="B211" i="25" s="1"/>
  <c r="I211" i="7"/>
  <c r="L211" i="7"/>
  <c r="M211" i="7"/>
  <c r="N211" i="7"/>
  <c r="O211" i="7"/>
  <c r="K211" i="25" s="1"/>
  <c r="P211" i="7"/>
  <c r="L211" i="25" s="1"/>
  <c r="Q211" i="7"/>
  <c r="B428" i="7"/>
  <c r="C428" i="25" s="1"/>
  <c r="AY428" i="25" s="1"/>
  <c r="C428" i="7"/>
  <c r="B428" i="25" s="1"/>
  <c r="I428" i="7"/>
  <c r="L428" i="7"/>
  <c r="M428" i="7"/>
  <c r="N428" i="7"/>
  <c r="O428" i="7"/>
  <c r="K428" i="25" s="1"/>
  <c r="P428" i="7"/>
  <c r="L428" i="25" s="1"/>
  <c r="Q428" i="7"/>
  <c r="B214" i="7"/>
  <c r="C214" i="7"/>
  <c r="B214" i="25" s="1"/>
  <c r="I214" i="7"/>
  <c r="L214" i="7"/>
  <c r="M214" i="7"/>
  <c r="N214" i="7"/>
  <c r="O214" i="7"/>
  <c r="K214" i="25" s="1"/>
  <c r="P214" i="7"/>
  <c r="L214" i="25" s="1"/>
  <c r="Q214" i="7"/>
  <c r="B532" i="7"/>
  <c r="C532" i="25" s="1"/>
  <c r="C532" i="7"/>
  <c r="B532" i="25" s="1"/>
  <c r="I532" i="7"/>
  <c r="L532" i="7"/>
  <c r="M532" i="7"/>
  <c r="N532" i="7"/>
  <c r="O532" i="7"/>
  <c r="K532" i="25" s="1"/>
  <c r="P532" i="7"/>
  <c r="L532" i="25" s="1"/>
  <c r="Q532" i="7"/>
  <c r="B85" i="7"/>
  <c r="C85" i="7"/>
  <c r="B85" i="25" s="1"/>
  <c r="I85" i="7"/>
  <c r="L85" i="7"/>
  <c r="M85" i="7"/>
  <c r="N85" i="7"/>
  <c r="O85" i="7"/>
  <c r="K85" i="25" s="1"/>
  <c r="P85" i="7"/>
  <c r="L85" i="25" s="1"/>
  <c r="Q85" i="7"/>
  <c r="B130" i="7"/>
  <c r="C130" i="7"/>
  <c r="B130" i="25" s="1"/>
  <c r="I130" i="7"/>
  <c r="L130" i="7"/>
  <c r="M130" i="7"/>
  <c r="N130" i="7"/>
  <c r="O130" i="7"/>
  <c r="K130" i="25" s="1"/>
  <c r="P130" i="7"/>
  <c r="L130" i="25" s="1"/>
  <c r="Q130" i="7"/>
  <c r="B465" i="7"/>
  <c r="C465" i="25" s="1"/>
  <c r="C465" i="7"/>
  <c r="B465" i="25" s="1"/>
  <c r="I465" i="7"/>
  <c r="E465" i="25" s="1"/>
  <c r="L465" i="7"/>
  <c r="M465" i="7"/>
  <c r="N465" i="7"/>
  <c r="O465" i="7"/>
  <c r="K465" i="25" s="1"/>
  <c r="P465" i="7"/>
  <c r="L465" i="25" s="1"/>
  <c r="Q465" i="7"/>
  <c r="B521" i="7"/>
  <c r="C521" i="25" s="1"/>
  <c r="AY521" i="25" s="1"/>
  <c r="C521" i="7"/>
  <c r="B521" i="25" s="1"/>
  <c r="I521" i="7"/>
  <c r="L521" i="7"/>
  <c r="M521" i="7"/>
  <c r="N521" i="7"/>
  <c r="O521" i="7"/>
  <c r="K521" i="25" s="1"/>
  <c r="P521" i="7"/>
  <c r="L521" i="25" s="1"/>
  <c r="Q521" i="7"/>
  <c r="B569" i="7"/>
  <c r="C569" i="25" s="1"/>
  <c r="C569" i="7"/>
  <c r="B569" i="25" s="1"/>
  <c r="I569" i="7"/>
  <c r="L569" i="7"/>
  <c r="M569" i="7"/>
  <c r="N569" i="7"/>
  <c r="O569" i="7"/>
  <c r="K569" i="25" s="1"/>
  <c r="P569" i="7"/>
  <c r="L569" i="25" s="1"/>
  <c r="Q569" i="7"/>
  <c r="B239" i="7"/>
  <c r="C239" i="7"/>
  <c r="B239" i="25" s="1"/>
  <c r="I239" i="7"/>
  <c r="L239" i="7"/>
  <c r="M239" i="7"/>
  <c r="N239" i="7"/>
  <c r="O239" i="7"/>
  <c r="K239" i="25" s="1"/>
  <c r="P239" i="7"/>
  <c r="L239" i="25" s="1"/>
  <c r="Q239" i="7"/>
  <c r="B263" i="7"/>
  <c r="C263" i="7"/>
  <c r="B263" i="25" s="1"/>
  <c r="I263" i="7"/>
  <c r="L263" i="7"/>
  <c r="M263" i="7"/>
  <c r="N263" i="7"/>
  <c r="O263" i="7"/>
  <c r="K263" i="25" s="1"/>
  <c r="P263" i="7"/>
  <c r="L263" i="25" s="1"/>
  <c r="Q263" i="7"/>
  <c r="B330" i="7"/>
  <c r="C330" i="25" s="1"/>
  <c r="AY330" i="25" s="1"/>
  <c r="C330" i="7"/>
  <c r="B330" i="25" s="1"/>
  <c r="I330" i="7"/>
  <c r="L330" i="7"/>
  <c r="M330" i="7"/>
  <c r="N330" i="7"/>
  <c r="O330" i="7"/>
  <c r="K330" i="25" s="1"/>
  <c r="P330" i="7"/>
  <c r="L330" i="25" s="1"/>
  <c r="Q330" i="7"/>
  <c r="B464" i="7"/>
  <c r="C464" i="25" s="1"/>
  <c r="C464" i="7"/>
  <c r="B464" i="25" s="1"/>
  <c r="I464" i="7"/>
  <c r="L464" i="7"/>
  <c r="M464" i="7"/>
  <c r="N464" i="7"/>
  <c r="O464" i="7"/>
  <c r="K464" i="25" s="1"/>
  <c r="P464" i="7"/>
  <c r="L464" i="25" s="1"/>
  <c r="Q464" i="7"/>
  <c r="B426" i="7"/>
  <c r="C426" i="25" s="1"/>
  <c r="AY426" i="25" s="1"/>
  <c r="C426" i="7"/>
  <c r="B426" i="25" s="1"/>
  <c r="I426" i="7"/>
  <c r="L426" i="7"/>
  <c r="M426" i="7"/>
  <c r="N426" i="7"/>
  <c r="O426" i="7"/>
  <c r="K426" i="25" s="1"/>
  <c r="P426" i="7"/>
  <c r="L426" i="25" s="1"/>
  <c r="Q426" i="7"/>
  <c r="B107" i="7"/>
  <c r="C107" i="7"/>
  <c r="B107" i="25" s="1"/>
  <c r="I107" i="7"/>
  <c r="E107" i="25" s="1"/>
  <c r="L107" i="7"/>
  <c r="M107" i="7"/>
  <c r="N107" i="7"/>
  <c r="O107" i="7"/>
  <c r="K107" i="25" s="1"/>
  <c r="P107" i="7"/>
  <c r="L107" i="25" s="1"/>
  <c r="Q107" i="7"/>
  <c r="B370" i="7"/>
  <c r="C370" i="25" s="1"/>
  <c r="AY370" i="25" s="1"/>
  <c r="C370" i="7"/>
  <c r="B370" i="25" s="1"/>
  <c r="I370" i="7"/>
  <c r="L370" i="7"/>
  <c r="M370" i="7"/>
  <c r="N370" i="7"/>
  <c r="O370" i="7"/>
  <c r="K370" i="25" s="1"/>
  <c r="P370" i="7"/>
  <c r="L370" i="25" s="1"/>
  <c r="Q370" i="7"/>
  <c r="B42" i="7"/>
  <c r="C42" i="7"/>
  <c r="B42" i="25" s="1"/>
  <c r="I42" i="7"/>
  <c r="L42" i="7"/>
  <c r="M42" i="7"/>
  <c r="N42" i="7"/>
  <c r="O42" i="7"/>
  <c r="K42" i="25" s="1"/>
  <c r="P42" i="7"/>
  <c r="L42" i="25" s="1"/>
  <c r="Q42" i="7"/>
  <c r="B367" i="7"/>
  <c r="C367" i="25" s="1"/>
  <c r="C367" i="7"/>
  <c r="B367" i="25" s="1"/>
  <c r="I367" i="7"/>
  <c r="E367" i="25" s="1"/>
  <c r="L367" i="7"/>
  <c r="M367" i="7"/>
  <c r="N367" i="7"/>
  <c r="O367" i="7"/>
  <c r="K367" i="25" s="1"/>
  <c r="P367" i="7"/>
  <c r="L367" i="25" s="1"/>
  <c r="Q367" i="7"/>
  <c r="B218" i="7"/>
  <c r="C218" i="7"/>
  <c r="B218" i="25" s="1"/>
  <c r="I218" i="7"/>
  <c r="L218" i="7"/>
  <c r="M218" i="7"/>
  <c r="N218" i="7"/>
  <c r="O218" i="7"/>
  <c r="K218" i="25" s="1"/>
  <c r="P218" i="7"/>
  <c r="L218" i="25" s="1"/>
  <c r="Q218" i="7"/>
  <c r="B328" i="7"/>
  <c r="C328" i="25" s="1"/>
  <c r="AY328" i="25" s="1"/>
  <c r="C328" i="7"/>
  <c r="B328" i="25" s="1"/>
  <c r="I328" i="7"/>
  <c r="L328" i="7"/>
  <c r="M328" i="7"/>
  <c r="N328" i="7"/>
  <c r="O328" i="7"/>
  <c r="K328" i="25" s="1"/>
  <c r="P328" i="7"/>
  <c r="L328" i="25" s="1"/>
  <c r="Q328" i="7"/>
  <c r="B579" i="7"/>
  <c r="C579" i="25" s="1"/>
  <c r="AY579" i="25" s="1"/>
  <c r="C579" i="7"/>
  <c r="B579" i="25" s="1"/>
  <c r="I579" i="7"/>
  <c r="L579" i="7"/>
  <c r="M579" i="7"/>
  <c r="N579" i="7"/>
  <c r="O579" i="7"/>
  <c r="K579" i="25" s="1"/>
  <c r="P579" i="7"/>
  <c r="L579" i="25" s="1"/>
  <c r="Q579" i="7"/>
  <c r="B543" i="7"/>
  <c r="C543" i="25" s="1"/>
  <c r="AY543" i="25" s="1"/>
  <c r="C543" i="7"/>
  <c r="B543" i="25" s="1"/>
  <c r="I543" i="7"/>
  <c r="L543" i="7"/>
  <c r="M543" i="7"/>
  <c r="N543" i="7"/>
  <c r="O543" i="7"/>
  <c r="K543" i="25" s="1"/>
  <c r="P543" i="7"/>
  <c r="L543" i="25" s="1"/>
  <c r="Q543" i="7"/>
  <c r="B12" i="7"/>
  <c r="C12" i="7"/>
  <c r="B12" i="25" s="1"/>
  <c r="I12" i="7"/>
  <c r="L12" i="7"/>
  <c r="M12" i="7"/>
  <c r="N12" i="7"/>
  <c r="O12" i="7"/>
  <c r="K12" i="25" s="1"/>
  <c r="P12" i="7"/>
  <c r="L12" i="25" s="1"/>
  <c r="Q12" i="7"/>
  <c r="B564" i="7"/>
  <c r="C564" i="25" s="1"/>
  <c r="C564" i="7"/>
  <c r="B564" i="25" s="1"/>
  <c r="I564" i="7"/>
  <c r="L564" i="7"/>
  <c r="M564" i="7"/>
  <c r="N564" i="7"/>
  <c r="O564" i="7"/>
  <c r="K564" i="25" s="1"/>
  <c r="P564" i="7"/>
  <c r="L564" i="25" s="1"/>
  <c r="Q564" i="7"/>
  <c r="B274" i="7"/>
  <c r="C274" i="7"/>
  <c r="B274" i="25" s="1"/>
  <c r="I274" i="7"/>
  <c r="L274" i="7"/>
  <c r="M274" i="7"/>
  <c r="N274" i="7"/>
  <c r="O274" i="7"/>
  <c r="K274" i="25" s="1"/>
  <c r="P274" i="7"/>
  <c r="L274" i="25" s="1"/>
  <c r="Q274" i="7"/>
  <c r="B335" i="7"/>
  <c r="C335" i="25" s="1"/>
  <c r="AY335" i="25" s="1"/>
  <c r="C335" i="7"/>
  <c r="B335" i="25" s="1"/>
  <c r="I335" i="7"/>
  <c r="L335" i="7"/>
  <c r="M335" i="7"/>
  <c r="N335" i="7"/>
  <c r="O335" i="7"/>
  <c r="K335" i="25" s="1"/>
  <c r="P335" i="7"/>
  <c r="L335" i="25" s="1"/>
  <c r="Q335" i="7"/>
  <c r="B431" i="7"/>
  <c r="C431" i="25" s="1"/>
  <c r="C431" i="7"/>
  <c r="B431" i="25" s="1"/>
  <c r="I431" i="7"/>
  <c r="L431" i="7"/>
  <c r="M431" i="7"/>
  <c r="N431" i="7"/>
  <c r="O431" i="7"/>
  <c r="K431" i="25" s="1"/>
  <c r="P431" i="7"/>
  <c r="L431" i="25" s="1"/>
  <c r="Q431" i="7"/>
  <c r="B194" i="7"/>
  <c r="C194" i="7"/>
  <c r="B194" i="25" s="1"/>
  <c r="I194" i="7"/>
  <c r="L194" i="7"/>
  <c r="M194" i="7"/>
  <c r="N194" i="7"/>
  <c r="O194" i="7"/>
  <c r="K194" i="25" s="1"/>
  <c r="P194" i="7"/>
  <c r="L194" i="25" s="1"/>
  <c r="Q194" i="7"/>
  <c r="B349" i="7"/>
  <c r="C349" i="25" s="1"/>
  <c r="C349" i="7"/>
  <c r="B349" i="25" s="1"/>
  <c r="I349" i="7"/>
  <c r="L349" i="7"/>
  <c r="M349" i="7"/>
  <c r="N349" i="7"/>
  <c r="O349" i="7"/>
  <c r="K349" i="25" s="1"/>
  <c r="P349" i="7"/>
  <c r="L349" i="25" s="1"/>
  <c r="Q349" i="7"/>
  <c r="B459" i="7"/>
  <c r="C459" i="25" s="1"/>
  <c r="AY459" i="25" s="1"/>
  <c r="C459" i="7"/>
  <c r="B459" i="25" s="1"/>
  <c r="I459" i="7"/>
  <c r="L459" i="7"/>
  <c r="M459" i="7"/>
  <c r="N459" i="7"/>
  <c r="O459" i="7"/>
  <c r="K459" i="25" s="1"/>
  <c r="P459" i="7"/>
  <c r="L459" i="25" s="1"/>
  <c r="Q459" i="7"/>
  <c r="A444" i="7"/>
  <c r="A472" i="7"/>
  <c r="A567" i="7"/>
  <c r="A46" i="7"/>
  <c r="A205" i="7"/>
  <c r="A151" i="7"/>
  <c r="A520" i="7"/>
  <c r="A548" i="7"/>
  <c r="A515" i="7"/>
  <c r="A187" i="7"/>
  <c r="A47" i="7"/>
  <c r="A568" i="7"/>
  <c r="A268" i="7"/>
  <c r="A139" i="7"/>
  <c r="A75" i="7"/>
  <c r="A3" i="7"/>
  <c r="A241" i="7"/>
  <c r="A585" i="7"/>
  <c r="A322" i="7"/>
  <c r="A295" i="7"/>
  <c r="A363" i="7"/>
  <c r="A592" i="7"/>
  <c r="A387" i="7"/>
  <c r="A286" i="7"/>
  <c r="A550" i="7"/>
  <c r="A336" i="7"/>
  <c r="A477" i="7"/>
  <c r="A400" i="7"/>
  <c r="A591" i="7"/>
  <c r="A124" i="7"/>
  <c r="A157" i="7"/>
  <c r="A555" i="7"/>
  <c r="A83" i="7"/>
  <c r="A356" i="7"/>
  <c r="A13" i="7"/>
  <c r="A255" i="7"/>
  <c r="A158" i="7"/>
  <c r="A246" i="7"/>
  <c r="A297" i="7"/>
  <c r="A303" i="7"/>
  <c r="A576" i="7"/>
  <c r="A48" i="7"/>
  <c r="A306" i="7"/>
  <c r="A574" i="7"/>
  <c r="A227" i="7"/>
  <c r="A146" i="7"/>
  <c r="A572" i="7"/>
  <c r="A171" i="7"/>
  <c r="A486" i="7"/>
  <c r="A271" i="7"/>
  <c r="A380" i="7"/>
  <c r="A453" i="7"/>
  <c r="A244" i="7"/>
  <c r="A96" i="7"/>
  <c r="A505" i="7"/>
  <c r="A172" i="7"/>
  <c r="A60" i="7"/>
  <c r="A414" i="7"/>
  <c r="A168" i="7"/>
  <c r="A533" i="7"/>
  <c r="A332" i="7"/>
  <c r="A143" i="7"/>
  <c r="A450" i="7"/>
  <c r="A58" i="7"/>
  <c r="A64" i="7"/>
  <c r="A482" i="7"/>
  <c r="A192" i="7"/>
  <c r="A346" i="7"/>
  <c r="A292" i="7"/>
  <c r="A127" i="7"/>
  <c r="A403" i="7"/>
  <c r="A148" i="7"/>
  <c r="A544" i="7"/>
  <c r="A309" i="7"/>
  <c r="A150" i="7"/>
  <c r="A468" i="7"/>
  <c r="A247" i="7"/>
  <c r="A429" i="7"/>
  <c r="A123" i="7"/>
  <c r="A499" i="7"/>
  <c r="A269" i="7"/>
  <c r="A345" i="7"/>
  <c r="A416" i="7"/>
  <c r="A300" i="7"/>
  <c r="A557" i="7"/>
  <c r="A188" i="7"/>
  <c r="A70" i="7"/>
  <c r="A398" i="7"/>
  <c r="A2" i="7"/>
  <c r="A535" i="7"/>
  <c r="A71" i="7"/>
  <c r="A434" i="7"/>
  <c r="A302" i="7"/>
  <c r="A209" i="7"/>
  <c r="A134" i="7"/>
  <c r="A219" i="7"/>
  <c r="A62" i="7"/>
  <c r="A368" i="7"/>
  <c r="A232" i="7"/>
  <c r="A399" i="7"/>
  <c r="A10" i="7"/>
  <c r="A381" i="7"/>
  <c r="A176" i="7"/>
  <c r="A137" i="7"/>
  <c r="A596" i="7"/>
  <c r="A120" i="7"/>
  <c r="A84" i="7"/>
  <c r="A433" i="7"/>
  <c r="A276" i="7"/>
  <c r="A293" i="7"/>
  <c r="A34" i="7"/>
  <c r="A331" i="7"/>
  <c r="A95" i="7"/>
  <c r="A199" i="7"/>
  <c r="A547" i="7"/>
  <c r="A581" i="7"/>
  <c r="A282" i="7"/>
  <c r="A273" i="7"/>
  <c r="A590" i="7"/>
  <c r="A586" i="7"/>
  <c r="A528" i="7"/>
  <c r="A287" i="7"/>
  <c r="A553" i="7"/>
  <c r="A145" i="7"/>
  <c r="A242" i="7"/>
  <c r="A440" i="7"/>
  <c r="A461" i="7"/>
  <c r="A102" i="7"/>
  <c r="A104" i="7"/>
  <c r="A419" i="7"/>
  <c r="A404" i="7"/>
  <c r="A575" i="7"/>
  <c r="A94" i="7"/>
  <c r="A376" i="7"/>
  <c r="A323" i="7"/>
  <c r="A386" i="7"/>
  <c r="A267" i="7"/>
  <c r="A152" i="7"/>
  <c r="A261" i="7"/>
  <c r="A45" i="7"/>
  <c r="A16" i="7"/>
  <c r="A522" i="7"/>
  <c r="A593" i="7"/>
  <c r="A121" i="7"/>
  <c r="A270" i="7"/>
  <c r="A35" i="7"/>
  <c r="A140" i="7"/>
  <c r="A136" i="7"/>
  <c r="A595" i="7"/>
  <c r="A473" i="7"/>
  <c r="A583" i="7"/>
  <c r="A571" i="7"/>
  <c r="A413" i="7"/>
  <c r="A320" i="7"/>
  <c r="A430" i="7"/>
  <c r="A438" i="7"/>
  <c r="A491" i="7"/>
  <c r="A498" i="7"/>
  <c r="A314" i="7"/>
  <c r="A299" i="7"/>
  <c r="A224" i="7"/>
  <c r="A402" i="7"/>
  <c r="A549" i="7"/>
  <c r="A445" i="7"/>
  <c r="A119" i="7"/>
  <c r="A20" i="7"/>
  <c r="A252" i="7"/>
  <c r="A207" i="7"/>
  <c r="A519" i="7"/>
  <c r="A202" i="7"/>
  <c r="A231" i="7"/>
  <c r="A514" i="7"/>
  <c r="A179" i="7"/>
  <c r="A115" i="7"/>
  <c r="A253" i="7"/>
  <c r="A105" i="7"/>
  <c r="A201" i="7"/>
  <c r="A313" i="7"/>
  <c r="A352" i="7"/>
  <c r="A582" i="7"/>
  <c r="A339" i="7"/>
  <c r="A122" i="7"/>
  <c r="A28" i="7"/>
  <c r="A437" i="7"/>
  <c r="A563" i="7"/>
  <c r="A117" i="7"/>
  <c r="A106" i="7"/>
  <c r="A524" i="7"/>
  <c r="A230" i="7"/>
  <c r="A153" i="7"/>
  <c r="A341" i="7"/>
  <c r="A78" i="7"/>
  <c r="A264" i="7"/>
  <c r="A33" i="7"/>
  <c r="A573" i="7"/>
  <c r="A580" i="7"/>
  <c r="A189" i="7"/>
  <c r="A59" i="7"/>
  <c r="A518" i="7"/>
  <c r="A243" i="7"/>
  <c r="A310" i="7"/>
  <c r="A38" i="7"/>
  <c r="A584" i="7"/>
  <c r="A173" i="7"/>
  <c r="A443" i="7"/>
  <c r="A343" i="7"/>
  <c r="A480" i="7"/>
  <c r="A112" i="7"/>
  <c r="A206" i="7"/>
  <c r="A19" i="7"/>
  <c r="A108" i="7"/>
  <c r="A86" i="7"/>
  <c r="A186" i="7"/>
  <c r="A234" i="7"/>
  <c r="A7" i="7"/>
  <c r="A525" i="7"/>
  <c r="A129" i="7"/>
  <c r="A216" i="7"/>
  <c r="A128" i="7"/>
  <c r="A294" i="7"/>
  <c r="A546" i="7"/>
  <c r="A114" i="7"/>
  <c r="A454" i="7"/>
  <c r="A311" i="7"/>
  <c r="A377" i="7"/>
  <c r="A211" i="7"/>
  <c r="A428" i="7"/>
  <c r="A214" i="7"/>
  <c r="A532" i="7"/>
  <c r="A85" i="7"/>
  <c r="A130" i="7"/>
  <c r="A465" i="7"/>
  <c r="A521" i="7"/>
  <c r="A569" i="7"/>
  <c r="A239" i="7"/>
  <c r="A263" i="7"/>
  <c r="A330" i="7"/>
  <c r="A464" i="7"/>
  <c r="A426" i="7"/>
  <c r="A107" i="7"/>
  <c r="A370" i="7"/>
  <c r="A42" i="7"/>
  <c r="A367" i="7"/>
  <c r="A218" i="7"/>
  <c r="A328" i="7"/>
  <c r="A579" i="7"/>
  <c r="A543" i="7"/>
  <c r="A12" i="7"/>
  <c r="A564" i="7"/>
  <c r="A274" i="7"/>
  <c r="A335" i="7"/>
  <c r="A431" i="7"/>
  <c r="A194" i="7"/>
  <c r="A349" i="7"/>
  <c r="A459" i="7"/>
  <c r="A342" i="7"/>
  <c r="A539" i="7"/>
  <c r="A40" i="7"/>
  <c r="A476" i="7"/>
  <c r="A291" i="7"/>
  <c r="A554" i="7"/>
  <c r="A39" i="7"/>
  <c r="A290" i="7"/>
  <c r="A460" i="7"/>
  <c r="A451" i="7"/>
  <c r="A321" i="7"/>
  <c r="A226" i="7"/>
  <c r="A181" i="7"/>
  <c r="A384" i="7"/>
  <c r="A131" i="7"/>
  <c r="A470" i="7"/>
  <c r="A395" i="7"/>
  <c r="A235" i="7"/>
  <c r="A229" i="7"/>
  <c r="A317" i="7"/>
  <c r="A562" i="7"/>
  <c r="A394" i="7"/>
  <c r="A89" i="7"/>
  <c r="A374" i="7"/>
  <c r="A523" i="7"/>
  <c r="A36" i="7"/>
  <c r="A266" i="7"/>
  <c r="A101" i="7"/>
  <c r="A289" i="7"/>
  <c r="A347" i="7"/>
  <c r="A570" i="7"/>
  <c r="A174" i="7"/>
  <c r="A57" i="7"/>
  <c r="A329" i="7"/>
  <c r="A184" i="7"/>
  <c r="A452" i="7"/>
  <c r="A327" i="7"/>
  <c r="A435" i="7"/>
  <c r="A163" i="7"/>
  <c r="A90" i="7"/>
  <c r="A410" i="7"/>
  <c r="A315" i="7"/>
  <c r="A324" i="7"/>
  <c r="A180" i="7"/>
  <c r="A338" i="7"/>
  <c r="A169" i="7"/>
  <c r="A318" i="7"/>
  <c r="A344" i="7"/>
  <c r="A502" i="7"/>
  <c r="A441" i="7"/>
  <c r="A493" i="7"/>
  <c r="A475" i="7"/>
  <c r="A15" i="7"/>
  <c r="A182" i="7"/>
  <c r="A210" i="7"/>
  <c r="A411" i="7"/>
  <c r="A415" i="7"/>
  <c r="A80" i="7"/>
  <c r="A196" i="7"/>
  <c r="A37" i="7"/>
  <c r="A27" i="7"/>
  <c r="A22" i="7"/>
  <c r="A354" i="7"/>
  <c r="A74" i="7"/>
  <c r="A348" i="7"/>
  <c r="A425" i="7"/>
  <c r="A198" i="7"/>
  <c r="A556" i="7"/>
  <c r="A213" i="7"/>
  <c r="A504" i="7"/>
  <c r="A69" i="7"/>
  <c r="A488" i="7"/>
  <c r="A325" i="7"/>
  <c r="A446" i="7"/>
  <c r="A406" i="7"/>
  <c r="A132" i="7"/>
  <c r="A337" i="7"/>
  <c r="A18" i="7"/>
  <c r="A279" i="7"/>
  <c r="A469" i="7"/>
  <c r="A391" i="7"/>
  <c r="A540" i="7"/>
  <c r="A61" i="7"/>
  <c r="A369" i="7"/>
  <c r="A262" i="7"/>
  <c r="A212" i="7"/>
  <c r="A31" i="7"/>
  <c r="A529" i="7"/>
  <c r="A160" i="7"/>
  <c r="A496" i="7"/>
  <c r="A372" i="7"/>
  <c r="A236" i="7"/>
  <c r="A587" i="7"/>
  <c r="A364" i="7"/>
  <c r="A24" i="7"/>
  <c r="A359" i="7"/>
  <c r="A545" i="7"/>
  <c r="A319" i="7"/>
  <c r="A79" i="7"/>
  <c r="A561" i="7"/>
  <c r="A375" i="7"/>
  <c r="A259" i="7"/>
  <c r="A423" i="7"/>
  <c r="A355" i="7"/>
  <c r="A457" i="7"/>
  <c r="A65" i="7"/>
  <c r="A190" i="7"/>
  <c r="A326" i="7"/>
  <c r="A154" i="7"/>
  <c r="A390" i="7"/>
  <c r="A500" i="7"/>
  <c r="A298" i="7"/>
  <c r="A351" i="7"/>
  <c r="A513" i="7"/>
  <c r="A183" i="7"/>
  <c r="A97" i="7"/>
  <c r="A100" i="7"/>
  <c r="A447" i="7"/>
  <c r="A510" i="7"/>
  <c r="A578" i="7"/>
  <c r="A197" i="7"/>
  <c r="A527" i="7"/>
  <c r="A492" i="7"/>
  <c r="A358" i="7"/>
  <c r="A225" i="7"/>
  <c r="A248" i="7"/>
  <c r="A144" i="7"/>
  <c r="A177" i="7"/>
  <c r="A483" i="7"/>
  <c r="A82" i="7"/>
  <c r="A362" i="7"/>
  <c r="A256" i="7"/>
  <c r="A537" i="7"/>
  <c r="A455" i="7"/>
  <c r="A193" i="7"/>
  <c r="A385" i="7"/>
  <c r="A471" i="7"/>
  <c r="A422" i="7"/>
  <c r="A67" i="7"/>
  <c r="A507" i="7"/>
  <c r="A565" i="7"/>
  <c r="A23" i="7"/>
  <c r="A6" i="7"/>
  <c r="A5" i="7"/>
  <c r="A408" i="7"/>
  <c r="A164" i="7"/>
  <c r="A301" i="7"/>
  <c r="A497" i="7"/>
  <c r="A501" i="7"/>
  <c r="A265" i="7"/>
  <c r="A49" i="7"/>
  <c r="A389" i="7"/>
  <c r="A208" i="7"/>
  <c r="A566" i="7"/>
  <c r="A467" i="7"/>
  <c r="A405" i="7"/>
  <c r="A393" i="7"/>
  <c r="A588" i="7"/>
  <c r="A427" i="7"/>
  <c r="A29" i="7"/>
  <c r="A103" i="7"/>
  <c r="A68" i="7"/>
  <c r="A159" i="7"/>
  <c r="A63" i="7"/>
  <c r="A51" i="7"/>
  <c r="A542" i="7"/>
  <c r="A285" i="7"/>
  <c r="A541" i="7"/>
  <c r="A30" i="7"/>
  <c r="A536" i="7"/>
  <c r="A333" i="7"/>
  <c r="A462" i="7"/>
  <c r="A93" i="7"/>
  <c r="A21" i="7"/>
  <c r="A26" i="7"/>
  <c r="A495" i="7"/>
  <c r="A257" i="7"/>
  <c r="A142" i="7"/>
  <c r="A551" i="7"/>
  <c r="A141" i="7"/>
  <c r="A178" i="7"/>
  <c r="A250" i="7"/>
  <c r="A516" i="7"/>
  <c r="A418" i="7"/>
  <c r="A353" i="7"/>
  <c r="A288" i="7"/>
  <c r="A135" i="7"/>
  <c r="A456" i="7"/>
  <c r="A424" i="7"/>
  <c r="A258" i="7"/>
  <c r="A589" i="7"/>
  <c r="A401" i="7"/>
  <c r="A8" i="7"/>
  <c r="A334" i="7"/>
  <c r="A44" i="7"/>
  <c r="A448" i="7"/>
  <c r="A409" i="7"/>
  <c r="A200" i="7"/>
  <c r="A72" i="7"/>
  <c r="A379" i="7"/>
  <c r="A185" i="7"/>
  <c r="A421" i="7"/>
  <c r="A275" i="7"/>
  <c r="A463" i="7"/>
  <c r="A249" i="7"/>
  <c r="A118" i="7"/>
  <c r="A76" i="7"/>
  <c r="A41" i="7"/>
  <c r="A147" i="7"/>
  <c r="A442" i="7"/>
  <c r="A420" i="7"/>
  <c r="A417" i="7"/>
  <c r="A161" i="7"/>
  <c r="A240" i="7"/>
  <c r="A155" i="7"/>
  <c r="A517" i="7"/>
  <c r="A490" i="7"/>
  <c r="A220" i="7"/>
  <c r="A32" i="7"/>
  <c r="A485" i="7"/>
  <c r="A284" i="7"/>
  <c r="A109" i="7"/>
  <c r="A272" i="7"/>
  <c r="A162" i="7"/>
  <c r="A509" i="7"/>
  <c r="A484" i="7"/>
  <c r="A508" i="7"/>
  <c r="A552" i="7"/>
  <c r="A281" i="7"/>
  <c r="A195" i="7"/>
  <c r="A167" i="7"/>
  <c r="A98" i="7"/>
  <c r="A350" i="7"/>
  <c r="A53" i="7"/>
  <c r="A312" i="7"/>
  <c r="A9" i="7"/>
  <c r="A371" i="7"/>
  <c r="A512" i="7"/>
  <c r="A217" i="7"/>
  <c r="A531" i="7"/>
  <c r="A534" i="7"/>
  <c r="A526" i="7"/>
  <c r="A432" i="7"/>
  <c r="A277" i="7"/>
  <c r="A156" i="7"/>
  <c r="A52" i="7"/>
  <c r="A307" i="7"/>
  <c r="A170" i="7"/>
  <c r="A116" i="7"/>
  <c r="A99" i="7"/>
  <c r="A245" i="7"/>
  <c r="A558" i="7"/>
  <c r="A449" i="7"/>
  <c r="A361" i="7"/>
  <c r="A530" i="7"/>
  <c r="A373" i="7"/>
  <c r="A73" i="7"/>
  <c r="A506" i="7"/>
  <c r="A43" i="7"/>
  <c r="A594" i="7"/>
  <c r="A223" i="7"/>
  <c r="A81" i="7"/>
  <c r="A577" i="7"/>
  <c r="A111" i="7"/>
  <c r="A494" i="7"/>
  <c r="A479" i="7"/>
  <c r="A237" i="7"/>
  <c r="A238" i="7"/>
  <c r="A304" i="7"/>
  <c r="A14" i="7"/>
  <c r="A383" i="7"/>
  <c r="A50" i="7"/>
  <c r="A511" i="7"/>
  <c r="A110" i="7"/>
  <c r="A365" i="7"/>
  <c r="A66" i="7"/>
  <c r="A283" i="7"/>
  <c r="A54" i="7"/>
  <c r="A439" i="7"/>
  <c r="A481" i="7"/>
  <c r="A278" i="7"/>
  <c r="A11" i="7"/>
  <c r="A397" i="7"/>
  <c r="A254" i="7"/>
  <c r="A92" i="7"/>
  <c r="A203" i="7"/>
  <c r="A412" i="7"/>
  <c r="A392" i="7"/>
  <c r="A487" i="7"/>
  <c r="A388" i="7"/>
  <c r="A221" i="7"/>
  <c r="A165" i="7"/>
  <c r="A125" i="7"/>
  <c r="A436" i="7"/>
  <c r="A138" i="7"/>
  <c r="A175" i="7"/>
  <c r="A466" i="7"/>
  <c r="A204" i="7"/>
  <c r="A296" i="7"/>
  <c r="A126" i="7"/>
  <c r="A191" i="7"/>
  <c r="A503" i="7"/>
  <c r="A474" i="7"/>
  <c r="A260" i="7"/>
  <c r="A366" i="7"/>
  <c r="A25" i="7"/>
  <c r="A560" i="7"/>
  <c r="A149" i="7"/>
  <c r="A396" i="7"/>
  <c r="A316" i="7"/>
  <c r="A91" i="7"/>
  <c r="A77" i="7"/>
  <c r="A133" i="7"/>
  <c r="A17" i="7"/>
  <c r="A55" i="7"/>
  <c r="A538" i="7"/>
  <c r="A88" i="7"/>
  <c r="A305" i="7"/>
  <c r="A215" i="7"/>
  <c r="A559" i="7"/>
  <c r="A360" i="7"/>
  <c r="A308" i="7"/>
  <c r="A382" i="7"/>
  <c r="A87" i="7"/>
  <c r="A233" i="7"/>
  <c r="A478" i="7"/>
  <c r="A340" i="7"/>
  <c r="A228" i="7"/>
  <c r="A4" i="7"/>
  <c r="A458" i="7"/>
  <c r="A56" i="7"/>
  <c r="A357" i="7"/>
  <c r="A251" i="7"/>
  <c r="A222" i="7"/>
  <c r="A280" i="7"/>
  <c r="Q378" i="7"/>
  <c r="Q166" i="7"/>
  <c r="Q407" i="7"/>
  <c r="Q113" i="7"/>
  <c r="Q489" i="7"/>
  <c r="P378" i="7"/>
  <c r="L378" i="25" s="1"/>
  <c r="P166" i="7"/>
  <c r="L166" i="25" s="1"/>
  <c r="P407" i="7"/>
  <c r="L407" i="25" s="1"/>
  <c r="P113" i="7"/>
  <c r="L113" i="25" s="1"/>
  <c r="P489" i="7"/>
  <c r="L489" i="25" s="1"/>
  <c r="O378" i="7"/>
  <c r="K378" i="25" s="1"/>
  <c r="O166" i="7"/>
  <c r="K166" i="25" s="1"/>
  <c r="O407" i="7"/>
  <c r="K407" i="25" s="1"/>
  <c r="O113" i="7"/>
  <c r="K113" i="25" s="1"/>
  <c r="O489" i="7"/>
  <c r="K489" i="25" s="1"/>
  <c r="N378" i="7"/>
  <c r="N166" i="7"/>
  <c r="N407" i="7"/>
  <c r="N113" i="7"/>
  <c r="N489" i="7"/>
  <c r="M378" i="7"/>
  <c r="M166" i="7"/>
  <c r="M407" i="7"/>
  <c r="M113" i="7"/>
  <c r="M489" i="7"/>
  <c r="L378" i="7"/>
  <c r="L166" i="7"/>
  <c r="L407" i="7"/>
  <c r="L113" i="7"/>
  <c r="L489" i="7"/>
  <c r="I378" i="7"/>
  <c r="I166" i="7"/>
  <c r="E166" i="25" s="1"/>
  <c r="I407" i="7"/>
  <c r="I113" i="7"/>
  <c r="E113" i="25" s="1"/>
  <c r="I489" i="7"/>
  <c r="C378" i="7"/>
  <c r="B378" i="25" s="1"/>
  <c r="C166" i="7"/>
  <c r="B166" i="25" s="1"/>
  <c r="C407" i="7"/>
  <c r="B407" i="25" s="1"/>
  <c r="C113" i="7"/>
  <c r="B113" i="25" s="1"/>
  <c r="C489" i="7"/>
  <c r="B489" i="25" s="1"/>
  <c r="B378" i="7"/>
  <c r="C378" i="25" s="1"/>
  <c r="AY378" i="25" s="1"/>
  <c r="B166" i="7"/>
  <c r="B407" i="7"/>
  <c r="C407" i="25" s="1"/>
  <c r="AY407" i="25" s="1"/>
  <c r="A378" i="7"/>
  <c r="A166" i="7"/>
  <c r="A407" i="7"/>
  <c r="A113" i="7"/>
  <c r="B489" i="7"/>
  <c r="C489" i="25" s="1"/>
  <c r="A489" i="7"/>
  <c r="C194" i="25" l="1"/>
  <c r="AY194" i="25" s="1"/>
  <c r="C206" i="25"/>
  <c r="AY206" i="25" s="1"/>
  <c r="C264" i="25"/>
  <c r="AY264" i="25" s="1"/>
  <c r="C267" i="25"/>
  <c r="C104" i="25"/>
  <c r="C276" i="25"/>
  <c r="AY276" i="25" s="1"/>
  <c r="C2" i="25"/>
  <c r="AY2" i="25" s="1"/>
  <c r="C227" i="25"/>
  <c r="AY227" i="25" s="1"/>
  <c r="C158" i="25"/>
  <c r="AY158" i="25" s="1"/>
  <c r="C83" i="25"/>
  <c r="AY83" i="25" s="1"/>
  <c r="C241" i="25"/>
  <c r="AY241" i="25" s="1"/>
  <c r="C228" i="25"/>
  <c r="AY228" i="25" s="1"/>
  <c r="C77" i="25"/>
  <c r="AY77" i="25" s="1"/>
  <c r="C126" i="25"/>
  <c r="C50" i="25"/>
  <c r="AY50" i="25" s="1"/>
  <c r="C170" i="25"/>
  <c r="C98" i="25"/>
  <c r="C41" i="25"/>
  <c r="AY41" i="25" s="1"/>
  <c r="C141" i="25"/>
  <c r="AY141" i="25" s="1"/>
  <c r="C67" i="25"/>
  <c r="AY67" i="25" s="1"/>
  <c r="C144" i="25"/>
  <c r="AY144" i="25" s="1"/>
  <c r="C190" i="25"/>
  <c r="C79" i="25"/>
  <c r="AY79" i="25" s="1"/>
  <c r="C24" i="25"/>
  <c r="AY24" i="25" s="1"/>
  <c r="C69" i="25"/>
  <c r="C210" i="25"/>
  <c r="AY210" i="25" s="1"/>
  <c r="C89" i="25"/>
  <c r="AY89" i="25" s="1"/>
  <c r="C218" i="25"/>
  <c r="AY218" i="25" s="1"/>
  <c r="C263" i="25"/>
  <c r="AY263" i="25" s="1"/>
  <c r="C112" i="25"/>
  <c r="AY112" i="25" s="1"/>
  <c r="C243" i="25"/>
  <c r="AY243" i="25" s="1"/>
  <c r="C78" i="25"/>
  <c r="AY78" i="25" s="1"/>
  <c r="C102" i="25"/>
  <c r="C219" i="25"/>
  <c r="AY219" i="25" s="1"/>
  <c r="C300" i="25"/>
  <c r="AY300" i="25" s="1"/>
  <c r="C58" i="25"/>
  <c r="C171" i="25"/>
  <c r="C166" i="25"/>
  <c r="C239" i="25"/>
  <c r="AY239" i="25" s="1"/>
  <c r="C130" i="25"/>
  <c r="C128" i="25"/>
  <c r="C7" i="25"/>
  <c r="C108" i="25"/>
  <c r="AY108" i="25" s="1"/>
  <c r="C106" i="25"/>
  <c r="AY106" i="25" s="1"/>
  <c r="C28" i="25"/>
  <c r="C253" i="25"/>
  <c r="AY253" i="25" s="1"/>
  <c r="C231" i="25"/>
  <c r="C252" i="25"/>
  <c r="AY252" i="25" s="1"/>
  <c r="C140" i="25"/>
  <c r="C34" i="25"/>
  <c r="C84" i="25"/>
  <c r="AY84" i="25" s="1"/>
  <c r="C176" i="25"/>
  <c r="AY176" i="25" s="1"/>
  <c r="C232" i="25"/>
  <c r="C134" i="25"/>
  <c r="AY134" i="25" s="1"/>
  <c r="C71" i="25"/>
  <c r="C70" i="25"/>
  <c r="C123" i="25"/>
  <c r="C150" i="25"/>
  <c r="AY150" i="25" s="1"/>
  <c r="C192" i="25"/>
  <c r="AY192" i="25" s="1"/>
  <c r="C168" i="25"/>
  <c r="C13" i="25"/>
  <c r="AY13" i="25" s="1"/>
  <c r="C157" i="25"/>
  <c r="AY157" i="25" s="1"/>
  <c r="C75" i="25"/>
  <c r="C47" i="25"/>
  <c r="AY47" i="25" s="1"/>
  <c r="C222" i="25"/>
  <c r="AY222" i="25" s="1"/>
  <c r="C308" i="25"/>
  <c r="C17" i="25"/>
  <c r="AY17" i="25" s="1"/>
  <c r="C316" i="25"/>
  <c r="AY316" i="25" s="1"/>
  <c r="C25" i="25"/>
  <c r="AY25" i="25" s="1"/>
  <c r="C204" i="25"/>
  <c r="C203" i="25"/>
  <c r="C11" i="25"/>
  <c r="C54" i="25"/>
  <c r="AY54" i="25" s="1"/>
  <c r="C110" i="25"/>
  <c r="AY110" i="25" s="1"/>
  <c r="C14" i="25"/>
  <c r="AY14" i="25" s="1"/>
  <c r="C81" i="25"/>
  <c r="AY81" i="25" s="1"/>
  <c r="C99" i="25"/>
  <c r="AY99" i="25" s="1"/>
  <c r="C52" i="25"/>
  <c r="AY52" i="25" s="1"/>
  <c r="C53" i="25"/>
  <c r="AY53" i="25" s="1"/>
  <c r="C195" i="25"/>
  <c r="C109" i="25"/>
  <c r="AY109" i="25" s="1"/>
  <c r="C220" i="25"/>
  <c r="AY220" i="25" s="1"/>
  <c r="C240" i="25"/>
  <c r="AY240" i="25" s="1"/>
  <c r="C118" i="25"/>
  <c r="AY118" i="25" s="1"/>
  <c r="C200" i="25"/>
  <c r="C258" i="25"/>
  <c r="C288" i="25"/>
  <c r="C250" i="25"/>
  <c r="AY250" i="25" s="1"/>
  <c r="C142" i="25"/>
  <c r="AY142" i="25" s="1"/>
  <c r="C93" i="25"/>
  <c r="AY93" i="25" s="1"/>
  <c r="C30" i="25"/>
  <c r="AY30" i="25" s="1"/>
  <c r="C51" i="25"/>
  <c r="AY51" i="25" s="1"/>
  <c r="C103" i="25"/>
  <c r="C208" i="25"/>
  <c r="AY208" i="25" s="1"/>
  <c r="C225" i="25"/>
  <c r="AY225" i="25" s="1"/>
  <c r="C197" i="25"/>
  <c r="C100" i="25"/>
  <c r="C154" i="25"/>
  <c r="AY154" i="25" s="1"/>
  <c r="C160" i="25"/>
  <c r="AY160" i="25" s="1"/>
  <c r="C262" i="25"/>
  <c r="AY262" i="25" s="1"/>
  <c r="C213" i="25"/>
  <c r="AY213" i="25" s="1"/>
  <c r="C27" i="25"/>
  <c r="AY27" i="25" s="1"/>
  <c r="C15" i="25"/>
  <c r="AY15" i="25" s="1"/>
  <c r="C57" i="25"/>
  <c r="AY57" i="25" s="1"/>
  <c r="C181" i="25"/>
  <c r="AY181" i="25" s="1"/>
  <c r="C189" i="25"/>
  <c r="C201" i="25"/>
  <c r="C119" i="25"/>
  <c r="AY119" i="25" s="1"/>
  <c r="C270" i="25"/>
  <c r="C242" i="25"/>
  <c r="AY242" i="25" s="1"/>
  <c r="C95" i="25"/>
  <c r="AY95" i="25" s="1"/>
  <c r="C292" i="25"/>
  <c r="C60" i="25"/>
  <c r="C244" i="25"/>
  <c r="AY244" i="25" s="1"/>
  <c r="C268" i="25"/>
  <c r="C205" i="25"/>
  <c r="AY205" i="25" s="1"/>
  <c r="C260" i="25"/>
  <c r="AY260" i="25" s="1"/>
  <c r="C165" i="25"/>
  <c r="C254" i="25"/>
  <c r="C66" i="25"/>
  <c r="AY66" i="25" s="1"/>
  <c r="C238" i="25"/>
  <c r="AY238" i="25" s="1"/>
  <c r="C159" i="25"/>
  <c r="AY159" i="25" s="1"/>
  <c r="C61" i="25"/>
  <c r="AY61" i="25" s="1"/>
  <c r="C196" i="25"/>
  <c r="C131" i="25"/>
  <c r="AY131" i="25" s="1"/>
  <c r="C12" i="25"/>
  <c r="C214" i="25"/>
  <c r="AY214" i="25" s="1"/>
  <c r="C86" i="25"/>
  <c r="AY86" i="25" s="1"/>
  <c r="C105" i="25"/>
  <c r="C207" i="25"/>
  <c r="AY207" i="25" s="1"/>
  <c r="C136" i="25"/>
  <c r="AY136" i="25" s="1"/>
  <c r="C45" i="25"/>
  <c r="AY45" i="25" s="1"/>
  <c r="C145" i="25"/>
  <c r="AY145" i="25" s="1"/>
  <c r="C148" i="25"/>
  <c r="C172" i="25"/>
  <c r="C274" i="25"/>
  <c r="AY274" i="25" s="1"/>
  <c r="C42" i="25"/>
  <c r="AY42" i="25" s="1"/>
  <c r="C85" i="25"/>
  <c r="AY85" i="25" s="1"/>
  <c r="C211" i="25"/>
  <c r="AY211" i="25" s="1"/>
  <c r="C114" i="25"/>
  <c r="AY114" i="25" s="1"/>
  <c r="C216" i="25"/>
  <c r="AY216" i="25" s="1"/>
  <c r="C234" i="25"/>
  <c r="C19" i="25"/>
  <c r="AY19" i="25" s="1"/>
  <c r="C38" i="25"/>
  <c r="C59" i="25"/>
  <c r="AY59" i="25" s="1"/>
  <c r="C33" i="25"/>
  <c r="C153" i="25"/>
  <c r="C117" i="25"/>
  <c r="AY117" i="25" s="1"/>
  <c r="C122" i="25"/>
  <c r="AY122" i="25" s="1"/>
  <c r="C115" i="25"/>
  <c r="AY115" i="25" s="1"/>
  <c r="C202" i="25"/>
  <c r="C20" i="25"/>
  <c r="AY20" i="25" s="1"/>
  <c r="C35" i="25"/>
  <c r="C152" i="25"/>
  <c r="AY152" i="25" s="1"/>
  <c r="C199" i="25"/>
  <c r="C120" i="25"/>
  <c r="C209" i="25"/>
  <c r="AY209" i="25" s="1"/>
  <c r="C188" i="25"/>
  <c r="AY188" i="25" s="1"/>
  <c r="C127" i="25"/>
  <c r="C143" i="25"/>
  <c r="AY143" i="25" s="1"/>
  <c r="C96" i="25"/>
  <c r="AY96" i="25" s="1"/>
  <c r="C271" i="25"/>
  <c r="C146" i="25"/>
  <c r="AY146" i="25" s="1"/>
  <c r="C48" i="25"/>
  <c r="AY48" i="25" s="1"/>
  <c r="C246" i="25"/>
  <c r="C124" i="25"/>
  <c r="C139" i="25"/>
  <c r="AY139" i="25" s="1"/>
  <c r="C187" i="25"/>
  <c r="C151" i="25"/>
  <c r="AY151" i="25" s="1"/>
  <c r="C251" i="25"/>
  <c r="AY251" i="25" s="1"/>
  <c r="C4" i="25"/>
  <c r="AY4" i="25" s="1"/>
  <c r="C233" i="25"/>
  <c r="C88" i="25"/>
  <c r="AY88" i="25" s="1"/>
  <c r="C133" i="25"/>
  <c r="AY133" i="25" s="1"/>
  <c r="C191" i="25"/>
  <c r="AY191" i="25" s="1"/>
  <c r="C125" i="25"/>
  <c r="C92" i="25"/>
  <c r="C278" i="25"/>
  <c r="AY278" i="25" s="1"/>
  <c r="C304" i="25"/>
  <c r="AY304" i="25" s="1"/>
  <c r="C223" i="25"/>
  <c r="AY223" i="25" s="1"/>
  <c r="C73" i="25"/>
  <c r="C116" i="25"/>
  <c r="AY116" i="25" s="1"/>
  <c r="C156" i="25"/>
  <c r="AY156" i="25" s="1"/>
  <c r="C284" i="25"/>
  <c r="C161" i="25"/>
  <c r="AY161" i="25" s="1"/>
  <c r="C147" i="25"/>
  <c r="AY147" i="25" s="1"/>
  <c r="C249" i="25"/>
  <c r="AY249" i="25" s="1"/>
  <c r="C185" i="25"/>
  <c r="C8" i="25"/>
  <c r="AY8" i="25" s="1"/>
  <c r="C178" i="25"/>
  <c r="AY178" i="25" s="1"/>
  <c r="C257" i="25"/>
  <c r="C63" i="25"/>
  <c r="AY63" i="25" s="1"/>
  <c r="C29" i="25"/>
  <c r="AY29" i="25" s="1"/>
  <c r="C5" i="25"/>
  <c r="C256" i="25"/>
  <c r="AY256" i="25" s="1"/>
  <c r="C177" i="25"/>
  <c r="AY177" i="25" s="1"/>
  <c r="C97" i="25"/>
  <c r="C236" i="25"/>
  <c r="AY236" i="25" s="1"/>
  <c r="C132" i="25"/>
  <c r="AY132" i="25" s="1"/>
  <c r="C74" i="25"/>
  <c r="C37" i="25"/>
  <c r="C180" i="25"/>
  <c r="AY180" i="25" s="1"/>
  <c r="C90" i="25"/>
  <c r="AY90" i="25" s="1"/>
  <c r="C174" i="25"/>
  <c r="AY174" i="25" s="1"/>
  <c r="C101" i="25"/>
  <c r="C226" i="25"/>
  <c r="C39" i="25"/>
  <c r="C40" i="25"/>
  <c r="C113" i="25"/>
  <c r="AY113" i="25" s="1"/>
  <c r="C129" i="25"/>
  <c r="C186" i="25"/>
  <c r="AY186" i="25" s="1"/>
  <c r="C230" i="25"/>
  <c r="C179" i="25"/>
  <c r="AY179" i="25" s="1"/>
  <c r="C224" i="25"/>
  <c r="AY224" i="25" s="1"/>
  <c r="C16" i="25"/>
  <c r="AY16" i="25" s="1"/>
  <c r="C94" i="25"/>
  <c r="AY94" i="25" s="1"/>
  <c r="C10" i="25"/>
  <c r="C62" i="25"/>
  <c r="C247" i="25"/>
  <c r="AY247" i="25" s="1"/>
  <c r="C64" i="25"/>
  <c r="C87" i="25"/>
  <c r="AY87" i="25" s="1"/>
  <c r="C149" i="25"/>
  <c r="C175" i="25"/>
  <c r="AY175" i="25" s="1"/>
  <c r="C111" i="25"/>
  <c r="AY111" i="25" s="1"/>
  <c r="C9" i="25"/>
  <c r="C162" i="25"/>
  <c r="AY162" i="25" s="1"/>
  <c r="C49" i="25"/>
  <c r="AY49" i="25" s="1"/>
  <c r="C6" i="25"/>
  <c r="C193" i="25"/>
  <c r="AY193" i="25" s="1"/>
  <c r="C183" i="25"/>
  <c r="AY183" i="25" s="1"/>
  <c r="C31" i="25"/>
  <c r="AY31" i="25" s="1"/>
  <c r="C198" i="25"/>
  <c r="C163" i="25"/>
  <c r="C184" i="25"/>
  <c r="AY184" i="25" s="1"/>
  <c r="C266" i="25"/>
  <c r="C229" i="25"/>
  <c r="C107" i="25"/>
  <c r="AY107" i="25" s="1"/>
  <c r="C173" i="25"/>
  <c r="AY173" i="25" s="1"/>
  <c r="C121" i="25"/>
  <c r="AY121" i="25" s="1"/>
  <c r="C137" i="25"/>
  <c r="AY137" i="25" s="1"/>
  <c r="C255" i="25"/>
  <c r="C3" i="25"/>
  <c r="AY3" i="25" s="1"/>
  <c r="C46" i="25"/>
  <c r="AY46" i="25" s="1"/>
  <c r="C280" i="25"/>
  <c r="AY280" i="25" s="1"/>
  <c r="C56" i="25"/>
  <c r="AY56" i="25" s="1"/>
  <c r="C215" i="25"/>
  <c r="AY215" i="25" s="1"/>
  <c r="C55" i="25"/>
  <c r="AY55" i="25" s="1"/>
  <c r="C91" i="25"/>
  <c r="C296" i="25"/>
  <c r="AY296" i="25" s="1"/>
  <c r="C138" i="25"/>
  <c r="AY138" i="25" s="1"/>
  <c r="C221" i="25"/>
  <c r="AY221" i="25" s="1"/>
  <c r="C237" i="25"/>
  <c r="AY237" i="25" s="1"/>
  <c r="C43" i="25"/>
  <c r="AY43" i="25" s="1"/>
  <c r="C245" i="25"/>
  <c r="AY245" i="25" s="1"/>
  <c r="C217" i="25"/>
  <c r="AY217" i="25" s="1"/>
  <c r="C312" i="25"/>
  <c r="C167" i="25"/>
  <c r="C272" i="25"/>
  <c r="C32" i="25"/>
  <c r="C155" i="25"/>
  <c r="AY155" i="25" s="1"/>
  <c r="C76" i="25"/>
  <c r="AY76" i="25" s="1"/>
  <c r="C275" i="25"/>
  <c r="AY275" i="25" s="1"/>
  <c r="C72" i="25"/>
  <c r="C44" i="25"/>
  <c r="AY44" i="25" s="1"/>
  <c r="C135" i="25"/>
  <c r="AY135" i="25" s="1"/>
  <c r="C26" i="25"/>
  <c r="AY26" i="25" s="1"/>
  <c r="C21" i="25"/>
  <c r="AY21" i="25" s="1"/>
  <c r="C68" i="25"/>
  <c r="AY68" i="25" s="1"/>
  <c r="C164" i="25"/>
  <c r="C23" i="25"/>
  <c r="AY23" i="25" s="1"/>
  <c r="C82" i="25"/>
  <c r="AY82" i="25" s="1"/>
  <c r="C248" i="25"/>
  <c r="AY248" i="25" s="1"/>
  <c r="C65" i="25"/>
  <c r="AY65" i="25" s="1"/>
  <c r="C259" i="25"/>
  <c r="AY259" i="25" s="1"/>
  <c r="C212" i="25"/>
  <c r="AY212" i="25" s="1"/>
  <c r="C18" i="25"/>
  <c r="AY18" i="25" s="1"/>
  <c r="C22" i="25"/>
  <c r="AY22" i="25" s="1"/>
  <c r="C80" i="25"/>
  <c r="AY80" i="25" s="1"/>
  <c r="C182" i="25"/>
  <c r="AY182" i="25" s="1"/>
  <c r="C169" i="25"/>
  <c r="C36" i="25"/>
  <c r="AY36" i="25" s="1"/>
  <c r="C235" i="25"/>
  <c r="AY235" i="25" s="1"/>
  <c r="AJ107" i="25"/>
  <c r="AJ465" i="25"/>
  <c r="AJ78" i="25"/>
  <c r="AJ105" i="25"/>
  <c r="AJ445" i="25"/>
  <c r="AJ45" i="25"/>
  <c r="AJ102" i="25"/>
  <c r="AJ137" i="25"/>
  <c r="AJ499" i="25"/>
  <c r="H499" i="25"/>
  <c r="AJ172" i="25"/>
  <c r="H172" i="25"/>
  <c r="AM172" i="25" s="1"/>
  <c r="AJ171" i="25"/>
  <c r="AJ3" i="25"/>
  <c r="H3" i="25"/>
  <c r="AJ568" i="25"/>
  <c r="H568" i="25"/>
  <c r="AJ548" i="25"/>
  <c r="AJ46" i="25"/>
  <c r="H46" i="25"/>
  <c r="AJ56" i="25"/>
  <c r="AJ382" i="25"/>
  <c r="AJ215" i="25"/>
  <c r="H215" i="25"/>
  <c r="AJ55" i="25"/>
  <c r="AJ91" i="25"/>
  <c r="AJ560" i="25"/>
  <c r="AJ474" i="25"/>
  <c r="AJ296" i="25"/>
  <c r="AJ138" i="25"/>
  <c r="H138" i="25"/>
  <c r="AJ221" i="25"/>
  <c r="AJ412" i="25"/>
  <c r="AJ397" i="25"/>
  <c r="AJ577" i="25"/>
  <c r="AJ43" i="25"/>
  <c r="AJ312" i="25"/>
  <c r="H312" i="25"/>
  <c r="AJ72" i="25"/>
  <c r="H72" i="25"/>
  <c r="AM72" i="25" s="1"/>
  <c r="AJ44" i="25"/>
  <c r="AJ589" i="25"/>
  <c r="AJ26" i="25"/>
  <c r="AJ513" i="25"/>
  <c r="AJ65" i="25"/>
  <c r="H65" i="25"/>
  <c r="AM65" i="25" s="1"/>
  <c r="AJ182" i="25"/>
  <c r="H182" i="25"/>
  <c r="AJ169" i="25"/>
  <c r="AJ315" i="25"/>
  <c r="H315" i="25"/>
  <c r="AJ291" i="25"/>
  <c r="H352" i="25"/>
  <c r="AJ352" i="25"/>
  <c r="AJ314" i="25"/>
  <c r="AJ593" i="25"/>
  <c r="AJ323" i="25"/>
  <c r="AJ553" i="25"/>
  <c r="AJ84" i="25"/>
  <c r="AJ150" i="25"/>
  <c r="AJ403" i="25"/>
  <c r="AJ505" i="25"/>
  <c r="AJ477" i="25"/>
  <c r="H477" i="25"/>
  <c r="AM477" i="25" s="1"/>
  <c r="AJ75" i="25"/>
  <c r="H75" i="25"/>
  <c r="AJ47" i="25"/>
  <c r="H47" i="25"/>
  <c r="AJ520" i="25"/>
  <c r="AJ222" i="25"/>
  <c r="AJ458" i="25"/>
  <c r="AJ478" i="25"/>
  <c r="H478" i="25"/>
  <c r="AJ305" i="25"/>
  <c r="AJ17" i="25"/>
  <c r="AJ316" i="25"/>
  <c r="H316" i="25"/>
  <c r="AJ25" i="25"/>
  <c r="AJ503" i="25"/>
  <c r="AJ436" i="25"/>
  <c r="AJ388" i="25"/>
  <c r="AJ11" i="25"/>
  <c r="AJ53" i="25"/>
  <c r="H53" i="25"/>
  <c r="AJ200" i="25"/>
  <c r="H200" i="25"/>
  <c r="AJ258" i="25"/>
  <c r="AJ93" i="25"/>
  <c r="AJ30" i="25"/>
  <c r="AJ103" i="25"/>
  <c r="AJ483" i="25"/>
  <c r="H483" i="25"/>
  <c r="AJ351" i="25"/>
  <c r="AJ391" i="25"/>
  <c r="AJ15" i="25"/>
  <c r="AJ395" i="25"/>
  <c r="AJ367" i="25"/>
  <c r="AJ454" i="25"/>
  <c r="AJ59" i="25"/>
  <c r="AJ33" i="25"/>
  <c r="AJ522" i="25"/>
  <c r="H419" i="25"/>
  <c r="AJ419" i="25"/>
  <c r="AJ381" i="25"/>
  <c r="AJ535" i="25"/>
  <c r="AJ309" i="25"/>
  <c r="H309" i="25"/>
  <c r="AJ127" i="25"/>
  <c r="H127" i="25"/>
  <c r="AJ482" i="25"/>
  <c r="H482" i="25"/>
  <c r="AJ96" i="25"/>
  <c r="H96" i="25"/>
  <c r="AS96" i="25" s="1"/>
  <c r="AJ146" i="25"/>
  <c r="AJ139" i="25"/>
  <c r="AJ187" i="25"/>
  <c r="H187" i="25"/>
  <c r="AJ151" i="25"/>
  <c r="AJ472" i="25"/>
  <c r="AJ4" i="25"/>
  <c r="H4" i="25"/>
  <c r="AJ233" i="25"/>
  <c r="H360" i="25"/>
  <c r="AJ360" i="25"/>
  <c r="AJ133" i="25"/>
  <c r="AJ396" i="25"/>
  <c r="AJ366" i="25"/>
  <c r="AJ191" i="25"/>
  <c r="AJ466" i="25"/>
  <c r="AJ125" i="25"/>
  <c r="AJ487" i="25"/>
  <c r="AJ92" i="25"/>
  <c r="H92" i="25"/>
  <c r="AM92" i="25" s="1"/>
  <c r="AJ494" i="25"/>
  <c r="H494" i="25"/>
  <c r="AJ116" i="25"/>
  <c r="AJ534" i="25"/>
  <c r="H534" i="25"/>
  <c r="AJ371" i="25"/>
  <c r="AJ249" i="25"/>
  <c r="AJ185" i="25"/>
  <c r="AJ8" i="25"/>
  <c r="H353" i="25"/>
  <c r="AJ353" i="25"/>
  <c r="AJ178" i="25"/>
  <c r="AJ257" i="25"/>
  <c r="H257" i="25"/>
  <c r="AJ256" i="25"/>
  <c r="AJ355" i="25"/>
  <c r="AJ561" i="25"/>
  <c r="AJ132" i="25"/>
  <c r="H132" i="25"/>
  <c r="AJ37" i="25"/>
  <c r="AJ166" i="25"/>
  <c r="AJ113" i="25"/>
  <c r="H377" i="25"/>
  <c r="AJ377" i="25"/>
  <c r="AJ206" i="25"/>
  <c r="AJ264" i="25"/>
  <c r="H264" i="25"/>
  <c r="AJ201" i="25"/>
  <c r="H201" i="25"/>
  <c r="AJ268" i="25"/>
  <c r="H268" i="25"/>
  <c r="AJ515" i="25"/>
  <c r="AJ357" i="25"/>
  <c r="AJ228" i="25"/>
  <c r="H228" i="25"/>
  <c r="AM228" i="25" s="1"/>
  <c r="AJ87" i="25"/>
  <c r="H87" i="25"/>
  <c r="AJ559" i="25"/>
  <c r="H559" i="25"/>
  <c r="AJ538" i="25"/>
  <c r="AJ77" i="25"/>
  <c r="AJ149" i="25"/>
  <c r="AJ260" i="25"/>
  <c r="AJ126" i="25"/>
  <c r="AJ175" i="25"/>
  <c r="AJ165" i="25"/>
  <c r="AJ392" i="25"/>
  <c r="AJ254" i="25"/>
  <c r="AJ111" i="25"/>
  <c r="H111" i="25"/>
  <c r="AJ9" i="25"/>
  <c r="AJ517" i="25"/>
  <c r="AJ463" i="25"/>
  <c r="AJ401" i="25"/>
  <c r="AJ418" i="25"/>
  <c r="H418" i="25"/>
  <c r="AJ141" i="25"/>
  <c r="H141" i="25"/>
  <c r="AM141" i="25" s="1"/>
  <c r="AJ495" i="25"/>
  <c r="AJ159" i="25"/>
  <c r="H159" i="25"/>
  <c r="AJ467" i="25"/>
  <c r="AJ423" i="25"/>
  <c r="AJ184" i="25"/>
  <c r="H184" i="25"/>
  <c r="AM184" i="25" s="1"/>
  <c r="AJ89" i="25"/>
  <c r="H89" i="25"/>
  <c r="AS65" i="25"/>
  <c r="AS53" i="25"/>
  <c r="AM53" i="25"/>
  <c r="AS477" i="25"/>
  <c r="AM96" i="25"/>
  <c r="AS228" i="25"/>
  <c r="AS172" i="25"/>
  <c r="AS92" i="25"/>
  <c r="A222" i="25"/>
  <c r="A478" i="25"/>
  <c r="A316" i="25"/>
  <c r="A204" i="25"/>
  <c r="A203" i="25"/>
  <c r="A110" i="25"/>
  <c r="A81" i="25"/>
  <c r="A99" i="25"/>
  <c r="A512" i="25"/>
  <c r="A109" i="25"/>
  <c r="A442" i="25"/>
  <c r="A200" i="25"/>
  <c r="A250" i="25"/>
  <c r="A536" i="25"/>
  <c r="A588" i="25"/>
  <c r="A23" i="25"/>
  <c r="AV23" i="25" s="1"/>
  <c r="AW23" i="25" s="1"/>
  <c r="A82" i="25"/>
  <c r="A513" i="25"/>
  <c r="A259" i="25"/>
  <c r="A212" i="25"/>
  <c r="A446" i="25"/>
  <c r="A80" i="25"/>
  <c r="A169" i="25"/>
  <c r="A347" i="25"/>
  <c r="A235" i="25"/>
  <c r="A539" i="25"/>
  <c r="S539" i="25" s="1" a="1"/>
  <c r="S539" i="25" s="1"/>
  <c r="A328" i="25"/>
  <c r="A521" i="25"/>
  <c r="S521" i="25" s="1" a="1"/>
  <c r="S521" i="25" s="1"/>
  <c r="A129" i="25"/>
  <c r="A310" i="25"/>
  <c r="A230" i="25"/>
  <c r="A179" i="25"/>
  <c r="A224" i="25"/>
  <c r="A595" i="25"/>
  <c r="S595" i="25" s="1" a="1"/>
  <c r="S595" i="25" s="1"/>
  <c r="A267" i="25"/>
  <c r="A242" i="25"/>
  <c r="A276" i="25"/>
  <c r="A62" i="25"/>
  <c r="A557" i="25"/>
  <c r="S557" i="25" s="1" a="1"/>
  <c r="S557" i="25" s="1"/>
  <c r="A544" i="25"/>
  <c r="S544" i="25" s="1" a="1"/>
  <c r="S544" i="25" s="1"/>
  <c r="A332" i="25"/>
  <c r="A576" i="25"/>
  <c r="A591" i="25"/>
  <c r="A363" i="25"/>
  <c r="A205" i="25"/>
  <c r="A251" i="25"/>
  <c r="A233" i="25"/>
  <c r="A88" i="25"/>
  <c r="A396" i="25"/>
  <c r="A191" i="25"/>
  <c r="A487" i="25"/>
  <c r="A283" i="25"/>
  <c r="A304" i="25"/>
  <c r="A223" i="25"/>
  <c r="A449" i="25"/>
  <c r="A116" i="25"/>
  <c r="A156" i="25"/>
  <c r="A534" i="25"/>
  <c r="A371" i="25"/>
  <c r="A350" i="25"/>
  <c r="A281" i="25"/>
  <c r="A509" i="25"/>
  <c r="A284" i="25"/>
  <c r="A490" i="25"/>
  <c r="A161" i="25"/>
  <c r="A147" i="25"/>
  <c r="A249" i="25"/>
  <c r="A185" i="25"/>
  <c r="A409" i="25"/>
  <c r="A8" i="25"/>
  <c r="A424" i="25"/>
  <c r="A353" i="25"/>
  <c r="A178" i="25"/>
  <c r="A257" i="25"/>
  <c r="A93" i="25"/>
  <c r="A30" i="25"/>
  <c r="A51" i="25"/>
  <c r="A103" i="25"/>
  <c r="A393" i="25"/>
  <c r="A208" i="25"/>
  <c r="A501" i="25"/>
  <c r="A408" i="25"/>
  <c r="A565" i="25"/>
  <c r="A471" i="25"/>
  <c r="A537" i="25"/>
  <c r="A483" i="25"/>
  <c r="A225" i="25"/>
  <c r="A197" i="25"/>
  <c r="A100" i="25"/>
  <c r="A351" i="25"/>
  <c r="A154" i="25"/>
  <c r="A457" i="25"/>
  <c r="A375" i="25"/>
  <c r="A545" i="25"/>
  <c r="A587" i="25"/>
  <c r="A160" i="25"/>
  <c r="A262" i="25"/>
  <c r="A391" i="25"/>
  <c r="A337" i="25"/>
  <c r="A325" i="25"/>
  <c r="A213" i="25"/>
  <c r="A348" i="25"/>
  <c r="A27" i="25"/>
  <c r="S27" i="25" s="1" a="1"/>
  <c r="S27" i="25" s="1"/>
  <c r="A415" i="25"/>
  <c r="A15" i="25"/>
  <c r="A502" i="25"/>
  <c r="A338" i="25"/>
  <c r="A410" i="25"/>
  <c r="A327" i="25"/>
  <c r="A57" i="25"/>
  <c r="A289" i="25"/>
  <c r="A523" i="25"/>
  <c r="S523" i="25" s="1" a="1"/>
  <c r="S523" i="25" s="1"/>
  <c r="A562" i="25"/>
  <c r="A395" i="25"/>
  <c r="A181" i="25"/>
  <c r="A460" i="25"/>
  <c r="A291" i="25"/>
  <c r="A342" i="25"/>
  <c r="A431" i="25"/>
  <c r="A12" i="25"/>
  <c r="A218" i="25"/>
  <c r="A107" i="25"/>
  <c r="A263" i="25"/>
  <c r="A465" i="25"/>
  <c r="A214" i="25"/>
  <c r="A311" i="25"/>
  <c r="A294" i="25"/>
  <c r="A525" i="25"/>
  <c r="S525" i="25" s="1" a="1"/>
  <c r="S525" i="25" s="1"/>
  <c r="A86" i="25"/>
  <c r="A112" i="25"/>
  <c r="A173" i="25"/>
  <c r="A243" i="25"/>
  <c r="A580" i="25"/>
  <c r="A78" i="25"/>
  <c r="A524" i="25"/>
  <c r="A437" i="25"/>
  <c r="A582" i="25"/>
  <c r="A105" i="25"/>
  <c r="A514" i="25"/>
  <c r="A207" i="25"/>
  <c r="A445" i="25"/>
  <c r="A299" i="25"/>
  <c r="A438" i="25"/>
  <c r="A571" i="25"/>
  <c r="S571" i="25" s="1" a="1"/>
  <c r="S571" i="25" s="1"/>
  <c r="A136" i="25"/>
  <c r="A121" i="25"/>
  <c r="A45" i="25"/>
  <c r="A386" i="25"/>
  <c r="S386" i="25" s="1" a="1"/>
  <c r="S386" i="25" s="1"/>
  <c r="A575" i="25"/>
  <c r="A102" i="25"/>
  <c r="A145" i="25"/>
  <c r="A586" i="25"/>
  <c r="A581" i="25"/>
  <c r="A331" i="25"/>
  <c r="A433" i="25"/>
  <c r="A137" i="25"/>
  <c r="A399" i="25"/>
  <c r="A219" i="25"/>
  <c r="A434" i="25"/>
  <c r="A398" i="25"/>
  <c r="A300" i="25"/>
  <c r="A499" i="25"/>
  <c r="A468" i="25"/>
  <c r="A148" i="25"/>
  <c r="A346" i="25"/>
  <c r="A58" i="25"/>
  <c r="A533" i="25"/>
  <c r="A172" i="25"/>
  <c r="A453" i="25"/>
  <c r="A171" i="25"/>
  <c r="A574" i="25"/>
  <c r="A303" i="25"/>
  <c r="A255" i="25"/>
  <c r="A555" i="25"/>
  <c r="S555" i="25" s="1" a="1"/>
  <c r="S555" i="25" s="1"/>
  <c r="A400" i="25"/>
  <c r="A286" i="25"/>
  <c r="A295" i="25"/>
  <c r="A568" i="25"/>
  <c r="A548" i="25"/>
  <c r="A46" i="25"/>
  <c r="A113" i="25"/>
  <c r="A458" i="25"/>
  <c r="A305" i="25"/>
  <c r="A25" i="25"/>
  <c r="A436" i="25"/>
  <c r="A11" i="25"/>
  <c r="S11" i="25" s="1" a="1"/>
  <c r="S11" i="25" s="1"/>
  <c r="A14" i="25"/>
  <c r="A506" i="25"/>
  <c r="A52" i="25"/>
  <c r="A53" i="25"/>
  <c r="A484" i="25"/>
  <c r="A240" i="25"/>
  <c r="A421" i="25"/>
  <c r="A334" i="25"/>
  <c r="A288" i="25"/>
  <c r="A21" i="25"/>
  <c r="A68" i="25"/>
  <c r="A265" i="25"/>
  <c r="A422" i="25"/>
  <c r="A455" i="25"/>
  <c r="S455" i="25" s="1" a="1"/>
  <c r="S455" i="25" s="1"/>
  <c r="A527" i="25"/>
  <c r="A390" i="25"/>
  <c r="A319" i="25"/>
  <c r="A496" i="25"/>
  <c r="A540" i="25"/>
  <c r="A504" i="25"/>
  <c r="A22" i="25"/>
  <c r="AV22" i="25" s="1"/>
  <c r="AW22" i="25" s="1"/>
  <c r="A182" i="25"/>
  <c r="S182" i="25" s="1" a="1"/>
  <c r="S182" i="25" s="1"/>
  <c r="A315" i="25"/>
  <c r="A329" i="25"/>
  <c r="A394" i="25"/>
  <c r="A384" i="25"/>
  <c r="A554" i="25"/>
  <c r="A564" i="25"/>
  <c r="A330" i="25"/>
  <c r="A532" i="25"/>
  <c r="A546" i="25"/>
  <c r="A206" i="25"/>
  <c r="A189" i="25"/>
  <c r="A563" i="25"/>
  <c r="S563" i="25" s="1" a="1"/>
  <c r="S563" i="25" s="1"/>
  <c r="A201" i="25"/>
  <c r="A519" i="25"/>
  <c r="S519" i="25" s="1" a="1"/>
  <c r="S519" i="25" s="1"/>
  <c r="A491" i="25"/>
  <c r="A270" i="25"/>
  <c r="A94" i="25"/>
  <c r="A528" i="25"/>
  <c r="A95" i="25"/>
  <c r="A10" i="25"/>
  <c r="A302" i="25"/>
  <c r="A269" i="25"/>
  <c r="S269" i="25" s="1" a="1"/>
  <c r="S269" i="25" s="1"/>
  <c r="A64" i="25"/>
  <c r="A60" i="25"/>
  <c r="A486" i="25"/>
  <c r="A158" i="25"/>
  <c r="A550" i="25"/>
  <c r="A268" i="25"/>
  <c r="A444" i="25"/>
  <c r="A407" i="25"/>
  <c r="A4" i="25"/>
  <c r="A360" i="25"/>
  <c r="A133" i="25"/>
  <c r="A366" i="25"/>
  <c r="A466" i="25"/>
  <c r="A125" i="25"/>
  <c r="A92" i="25"/>
  <c r="A278" i="25"/>
  <c r="A511" i="25"/>
  <c r="A494" i="25"/>
  <c r="A73" i="25"/>
  <c r="A489" i="25"/>
  <c r="A166" i="25"/>
  <c r="A357" i="25"/>
  <c r="A228" i="25"/>
  <c r="A87" i="25"/>
  <c r="A559" i="25"/>
  <c r="A538" i="25"/>
  <c r="A77" i="25"/>
  <c r="A149" i="25"/>
  <c r="A260" i="25"/>
  <c r="A126" i="25"/>
  <c r="A175" i="25"/>
  <c r="A165" i="25"/>
  <c r="A392" i="25"/>
  <c r="A254" i="25"/>
  <c r="A481" i="25"/>
  <c r="A66" i="25"/>
  <c r="A50" i="25"/>
  <c r="A238" i="25"/>
  <c r="A111" i="25"/>
  <c r="A594" i="25"/>
  <c r="A373" i="25"/>
  <c r="A558" i="25"/>
  <c r="A170" i="25"/>
  <c r="A277" i="25"/>
  <c r="A531" i="25"/>
  <c r="S531" i="25" s="1" a="1"/>
  <c r="S531" i="25" s="1"/>
  <c r="A9" i="25"/>
  <c r="A98" i="25"/>
  <c r="S98" i="25" s="1" a="1"/>
  <c r="S98" i="25" s="1"/>
  <c r="A552" i="25"/>
  <c r="A162" i="25"/>
  <c r="A485" i="25"/>
  <c r="A517" i="25"/>
  <c r="A417" i="25"/>
  <c r="A41" i="25"/>
  <c r="A463" i="25"/>
  <c r="A379" i="25"/>
  <c r="A448" i="25"/>
  <c r="A401" i="25"/>
  <c r="A456" i="25"/>
  <c r="A418" i="25"/>
  <c r="A141" i="25"/>
  <c r="A495" i="25"/>
  <c r="A462" i="25"/>
  <c r="A541" i="25"/>
  <c r="A63" i="25"/>
  <c r="A29" i="25"/>
  <c r="A405" i="25"/>
  <c r="A389" i="25"/>
  <c r="A497" i="25"/>
  <c r="A5" i="25"/>
  <c r="A507" i="25"/>
  <c r="S507" i="25" s="1" a="1"/>
  <c r="S507" i="25" s="1"/>
  <c r="A385" i="25"/>
  <c r="A256" i="25"/>
  <c r="A177" i="25"/>
  <c r="A358" i="25"/>
  <c r="S358" i="25" s="1" a="1"/>
  <c r="S358" i="25" s="1"/>
  <c r="A578" i="25"/>
  <c r="A97" i="25"/>
  <c r="A298" i="25"/>
  <c r="A326" i="25"/>
  <c r="A355" i="25"/>
  <c r="A561" i="25"/>
  <c r="A359" i="25"/>
  <c r="A236" i="25"/>
  <c r="A529" i="25"/>
  <c r="A369" i="25"/>
  <c r="A469" i="25"/>
  <c r="A132" i="25"/>
  <c r="A488" i="25"/>
  <c r="A556" i="25"/>
  <c r="A74" i="25"/>
  <c r="A37" i="25"/>
  <c r="AV37" i="25" s="1"/>
  <c r="AW37" i="25" s="1"/>
  <c r="A411" i="25"/>
  <c r="A475" i="25"/>
  <c r="A344" i="25"/>
  <c r="A180" i="25"/>
  <c r="A90" i="25"/>
  <c r="A452" i="25"/>
  <c r="A174" i="25"/>
  <c r="A101" i="25"/>
  <c r="A374" i="25"/>
  <c r="A317" i="25"/>
  <c r="A470" i="25"/>
  <c r="A226" i="25"/>
  <c r="S226" i="25" s="1" a="1"/>
  <c r="S226" i="25" s="1"/>
  <c r="A290" i="25"/>
  <c r="A476" i="25"/>
  <c r="A459" i="25"/>
  <c r="A335" i="25"/>
  <c r="A543" i="25"/>
  <c r="A367" i="25"/>
  <c r="A426" i="25"/>
  <c r="A239" i="25"/>
  <c r="A130" i="25"/>
  <c r="A428" i="25"/>
  <c r="A454" i="25"/>
  <c r="A128" i="25"/>
  <c r="A7" i="25"/>
  <c r="A108" i="25"/>
  <c r="A480" i="25"/>
  <c r="A584" i="25"/>
  <c r="A518" i="25"/>
  <c r="A573" i="25"/>
  <c r="S573" i="25" s="1" a="1"/>
  <c r="S573" i="25" s="1"/>
  <c r="A341" i="25"/>
  <c r="A106" i="25"/>
  <c r="A28" i="25"/>
  <c r="A352" i="25"/>
  <c r="A253" i="25"/>
  <c r="A231" i="25"/>
  <c r="A252" i="25"/>
  <c r="A549" i="25"/>
  <c r="S549" i="25" s="1" a="1"/>
  <c r="S549" i="25" s="1"/>
  <c r="A314" i="25"/>
  <c r="A430" i="25"/>
  <c r="A583" i="25"/>
  <c r="A140" i="25"/>
  <c r="A593" i="25"/>
  <c r="A261" i="25"/>
  <c r="A323" i="25"/>
  <c r="A404" i="25"/>
  <c r="A461" i="25"/>
  <c r="A553" i="25"/>
  <c r="S553" i="25" s="1" a="1"/>
  <c r="S553" i="25" s="1"/>
  <c r="A590" i="25"/>
  <c r="A547" i="25"/>
  <c r="S547" i="25" s="1" a="1"/>
  <c r="S547" i="25" s="1"/>
  <c r="A34" i="25"/>
  <c r="A84" i="25"/>
  <c r="A176" i="25"/>
  <c r="A232" i="25"/>
  <c r="A134" i="25"/>
  <c r="A71" i="25"/>
  <c r="S71" i="25" s="1" a="1"/>
  <c r="S71" i="25" s="1"/>
  <c r="A70" i="25"/>
  <c r="A416" i="25"/>
  <c r="A123" i="25"/>
  <c r="A150" i="25"/>
  <c r="S150" i="25" s="1" a="1"/>
  <c r="S150" i="25" s="1"/>
  <c r="A403" i="25"/>
  <c r="A192" i="25"/>
  <c r="A450" i="25"/>
  <c r="A168" i="25"/>
  <c r="A505" i="25"/>
  <c r="A380" i="25"/>
  <c r="A572" i="25"/>
  <c r="S572" i="25" s="1" a="1"/>
  <c r="S572" i="25" s="1"/>
  <c r="A306" i="25"/>
  <c r="S306" i="25" s="1" a="1"/>
  <c r="S306" i="25" s="1"/>
  <c r="A297" i="25"/>
  <c r="A13" i="25"/>
  <c r="A157" i="25"/>
  <c r="A477" i="25"/>
  <c r="A387" i="25"/>
  <c r="A322" i="25"/>
  <c r="A75" i="25"/>
  <c r="A47" i="25"/>
  <c r="S47" i="25" s="1" a="1"/>
  <c r="S47" i="25" s="1"/>
  <c r="A520" i="25"/>
  <c r="A567" i="25"/>
  <c r="S567" i="25" s="1" a="1"/>
  <c r="S567" i="25" s="1"/>
  <c r="A308" i="25"/>
  <c r="A17" i="25"/>
  <c r="AV17" i="25" s="1"/>
  <c r="AW17" i="25" s="1"/>
  <c r="A503" i="25"/>
  <c r="A388" i="25"/>
  <c r="A54" i="25"/>
  <c r="A479" i="25"/>
  <c r="A361" i="25"/>
  <c r="A526" i="25"/>
  <c r="A195" i="25"/>
  <c r="A220" i="25"/>
  <c r="S220" i="25" s="1" a="1"/>
  <c r="S220" i="25" s="1"/>
  <c r="A118" i="25"/>
  <c r="A258" i="25"/>
  <c r="S258" i="25" s="1" a="1"/>
  <c r="S258" i="25" s="1"/>
  <c r="A142" i="25"/>
  <c r="A542" i="25"/>
  <c r="A566" i="25"/>
  <c r="A164" i="25"/>
  <c r="A248" i="25"/>
  <c r="A447" i="25"/>
  <c r="S447" i="25" s="1" a="1"/>
  <c r="S447" i="25" s="1"/>
  <c r="A65" i="25"/>
  <c r="A364" i="25"/>
  <c r="A18" i="25"/>
  <c r="A425" i="25"/>
  <c r="A441" i="25"/>
  <c r="A435" i="25"/>
  <c r="A36" i="25"/>
  <c r="A451" i="25"/>
  <c r="A194" i="25"/>
  <c r="S194" i="25" s="1" a="1"/>
  <c r="S194" i="25" s="1"/>
  <c r="A370" i="25"/>
  <c r="A377" i="25"/>
  <c r="A186" i="25"/>
  <c r="A443" i="25"/>
  <c r="A264" i="25"/>
  <c r="A339" i="25"/>
  <c r="A119" i="25"/>
  <c r="A413" i="25"/>
  <c r="A16" i="25"/>
  <c r="A104" i="25"/>
  <c r="A282" i="25"/>
  <c r="A596" i="25"/>
  <c r="A2" i="25"/>
  <c r="A247" i="25"/>
  <c r="A292" i="25"/>
  <c r="A244" i="25"/>
  <c r="A227" i="25"/>
  <c r="A83" i="25"/>
  <c r="A241" i="25"/>
  <c r="A515" i="25"/>
  <c r="A378" i="25"/>
  <c r="A280" i="25"/>
  <c r="S280" i="25" s="1" a="1"/>
  <c r="S280" i="25" s="1"/>
  <c r="A56" i="25"/>
  <c r="A340" i="25"/>
  <c r="A382" i="25"/>
  <c r="A215" i="25"/>
  <c r="A55" i="25"/>
  <c r="S55" i="25" s="1" a="1"/>
  <c r="S55" i="25" s="1"/>
  <c r="A91" i="25"/>
  <c r="A560" i="25"/>
  <c r="S560" i="25" s="1" a="1"/>
  <c r="S560" i="25" s="1"/>
  <c r="A474" i="25"/>
  <c r="A296" i="25"/>
  <c r="A138" i="25"/>
  <c r="A221" i="25"/>
  <c r="S221" i="25" s="1" a="1"/>
  <c r="S221" i="25" s="1"/>
  <c r="A412" i="25"/>
  <c r="A397" i="25"/>
  <c r="S397" i="25" s="1" a="1"/>
  <c r="S397" i="25" s="1"/>
  <c r="A439" i="25"/>
  <c r="A365" i="25"/>
  <c r="S365" i="25" s="1" a="1"/>
  <c r="S365" i="25" s="1"/>
  <c r="A383" i="25"/>
  <c r="A237" i="25"/>
  <c r="S237" i="25" s="1" a="1"/>
  <c r="S237" i="25" s="1"/>
  <c r="A577" i="25"/>
  <c r="S577" i="25" s="1" a="1"/>
  <c r="S577" i="25" s="1"/>
  <c r="A43" i="25"/>
  <c r="S43" i="25" s="1" a="1"/>
  <c r="S43" i="25" s="1"/>
  <c r="A530" i="25"/>
  <c r="A245" i="25"/>
  <c r="A307" i="25"/>
  <c r="A432" i="25"/>
  <c r="A217" i="25"/>
  <c r="A312" i="25"/>
  <c r="A167" i="25"/>
  <c r="A508" i="25"/>
  <c r="A272" i="25"/>
  <c r="A32" i="25"/>
  <c r="AV32" i="25" s="1"/>
  <c r="AW32" i="25" s="1"/>
  <c r="A155" i="25"/>
  <c r="A420" i="25"/>
  <c r="S420" i="25" s="1" a="1"/>
  <c r="S420" i="25" s="1"/>
  <c r="A76" i="25"/>
  <c r="A275" i="25"/>
  <c r="A72" i="25"/>
  <c r="A44" i="25"/>
  <c r="A589" i="25"/>
  <c r="A135" i="25"/>
  <c r="A516" i="25"/>
  <c r="A551" i="25"/>
  <c r="S551" i="25" s="1" a="1"/>
  <c r="S551" i="25" s="1"/>
  <c r="A26" i="25"/>
  <c r="A333" i="25"/>
  <c r="S333" i="25" s="1" a="1"/>
  <c r="S333" i="25" s="1"/>
  <c r="A285" i="25"/>
  <c r="A159" i="25"/>
  <c r="A427" i="25"/>
  <c r="A467" i="25"/>
  <c r="A49" i="25"/>
  <c r="A301" i="25"/>
  <c r="S301" i="25" s="1" a="1"/>
  <c r="S301" i="25" s="1"/>
  <c r="A6" i="25"/>
  <c r="A67" i="25"/>
  <c r="S67" i="25" s="1" a="1"/>
  <c r="S67" i="25" s="1"/>
  <c r="A193" i="25"/>
  <c r="A362" i="25"/>
  <c r="A144" i="25"/>
  <c r="A492" i="25"/>
  <c r="Z492" i="25" s="1"/>
  <c r="A510" i="25"/>
  <c r="A183" i="25"/>
  <c r="A500" i="25"/>
  <c r="A190" i="25"/>
  <c r="A423" i="25"/>
  <c r="A79" i="25"/>
  <c r="A24" i="25"/>
  <c r="A372" i="25"/>
  <c r="A31" i="25"/>
  <c r="S31" i="25" s="1" a="1"/>
  <c r="S31" i="25" s="1"/>
  <c r="A61" i="25"/>
  <c r="A279" i="25"/>
  <c r="A406" i="25"/>
  <c r="S406" i="25" s="1" a="1"/>
  <c r="S406" i="25" s="1"/>
  <c r="A69" i="25"/>
  <c r="A198" i="25"/>
  <c r="S198" i="25" s="1" a="1"/>
  <c r="S198" i="25" s="1"/>
  <c r="A354" i="25"/>
  <c r="A196" i="25"/>
  <c r="A210" i="25"/>
  <c r="S210" i="25" s="1" a="1"/>
  <c r="S210" i="25" s="1"/>
  <c r="A493" i="25"/>
  <c r="A318" i="25"/>
  <c r="A324" i="25"/>
  <c r="A163" i="25"/>
  <c r="A184" i="25"/>
  <c r="A570" i="25"/>
  <c r="A266" i="25"/>
  <c r="A89" i="25"/>
  <c r="A229" i="25"/>
  <c r="A131" i="25"/>
  <c r="A321" i="25"/>
  <c r="A39" i="25"/>
  <c r="S39" i="25" s="1" a="1"/>
  <c r="S39" i="25" s="1"/>
  <c r="A40" i="25"/>
  <c r="A349" i="25"/>
  <c r="A274" i="25"/>
  <c r="S274" i="25" s="1" a="1"/>
  <c r="S274" i="25" s="1"/>
  <c r="A579" i="25"/>
  <c r="A42" i="25"/>
  <c r="A464" i="25"/>
  <c r="A569" i="25"/>
  <c r="A85" i="25"/>
  <c r="A211" i="25"/>
  <c r="A114" i="25"/>
  <c r="S114" i="25" s="1" a="1"/>
  <c r="S114" i="25" s="1"/>
  <c r="A216" i="25"/>
  <c r="A234" i="25"/>
  <c r="A19" i="25"/>
  <c r="S19" i="25" s="1" a="1"/>
  <c r="S19" i="25" s="1"/>
  <c r="A343" i="25"/>
  <c r="A38" i="25"/>
  <c r="S38" i="25" s="1" a="1"/>
  <c r="S38" i="25" s="1"/>
  <c r="A59" i="25"/>
  <c r="A33" i="25"/>
  <c r="A153" i="25"/>
  <c r="A117" i="25"/>
  <c r="A122" i="25"/>
  <c r="A313" i="25"/>
  <c r="A115" i="25"/>
  <c r="A202" i="25"/>
  <c r="A20" i="25"/>
  <c r="A402" i="25"/>
  <c r="S402" i="25" s="1" a="1"/>
  <c r="S402" i="25" s="1"/>
  <c r="A498" i="25"/>
  <c r="A320" i="25"/>
  <c r="A473" i="25"/>
  <c r="A35" i="25"/>
  <c r="S35" i="25" s="1" a="1"/>
  <c r="S35" i="25" s="1"/>
  <c r="A522" i="25"/>
  <c r="A152" i="25"/>
  <c r="A376" i="25"/>
  <c r="A419" i="25"/>
  <c r="A440" i="25"/>
  <c r="A287" i="25"/>
  <c r="S287" i="25" s="1" a="1"/>
  <c r="S287" i="25" s="1"/>
  <c r="A273" i="25"/>
  <c r="A199" i="25"/>
  <c r="S199" i="25" s="1" a="1"/>
  <c r="S199" i="25" s="1"/>
  <c r="A293" i="25"/>
  <c r="A120" i="25"/>
  <c r="A381" i="25"/>
  <c r="A368" i="25"/>
  <c r="A209" i="25"/>
  <c r="A535" i="25"/>
  <c r="S535" i="25" s="1" a="1"/>
  <c r="S535" i="25" s="1"/>
  <c r="A188" i="25"/>
  <c r="A345" i="25"/>
  <c r="A429" i="25"/>
  <c r="A309" i="25"/>
  <c r="A127" i="25"/>
  <c r="A482" i="25"/>
  <c r="A143" i="25"/>
  <c r="A414" i="25"/>
  <c r="A96" i="25"/>
  <c r="A271" i="25"/>
  <c r="A146" i="25"/>
  <c r="S146" i="25" s="1" a="1"/>
  <c r="S146" i="25" s="1"/>
  <c r="A48" i="25"/>
  <c r="A246" i="25"/>
  <c r="A356" i="25"/>
  <c r="A124" i="25"/>
  <c r="A336" i="25"/>
  <c r="A592" i="25"/>
  <c r="A585" i="25"/>
  <c r="S585" i="25" s="1" a="1"/>
  <c r="S585" i="25" s="1"/>
  <c r="A139" i="25"/>
  <c r="A187" i="25"/>
  <c r="A151" i="25"/>
  <c r="A472" i="25"/>
  <c r="B15" i="14"/>
  <c r="AA515" i="25"/>
  <c r="U501" i="25"/>
  <c r="AA537" i="25"/>
  <c r="AA587" i="25"/>
  <c r="U533" i="25"/>
  <c r="AA51" i="25"/>
  <c r="U517" i="25"/>
  <c r="AA529" i="25"/>
  <c r="AA583" i="25"/>
  <c r="Z581" i="25"/>
  <c r="Z509" i="25"/>
  <c r="Z541" i="25"/>
  <c r="Z317" i="25"/>
  <c r="Z7" i="25"/>
  <c r="Z253" i="25"/>
  <c r="Z593" i="25"/>
  <c r="Z439" i="25"/>
  <c r="Z589" i="25"/>
  <c r="Z579" i="25"/>
  <c r="Z59" i="25"/>
  <c r="Z381" i="25"/>
  <c r="Y6" i="25"/>
  <c r="Y592" i="25"/>
  <c r="Y54" i="25"/>
  <c r="Y588" i="25"/>
  <c r="Y422" i="25"/>
  <c r="Y82" i="25"/>
  <c r="Y390" i="25"/>
  <c r="Y540" i="25"/>
  <c r="Y22" i="25"/>
  <c r="Y310" i="25"/>
  <c r="Y242" i="25"/>
  <c r="Y576" i="25"/>
  <c r="Y466" i="25"/>
  <c r="Y278" i="25"/>
  <c r="Y511" i="25"/>
  <c r="Y178" i="25"/>
  <c r="V565" i="25"/>
  <c r="Y545" i="25"/>
  <c r="Y262" i="25"/>
  <c r="Y391" i="25"/>
  <c r="Y15" i="25"/>
  <c r="Y338" i="25"/>
  <c r="Y327" i="25"/>
  <c r="Y342" i="25"/>
  <c r="Y263" i="25"/>
  <c r="Y214" i="25"/>
  <c r="Y294" i="25"/>
  <c r="Y86" i="25"/>
  <c r="Y524" i="25"/>
  <c r="Y438" i="25"/>
  <c r="Y575" i="25"/>
  <c r="Y102" i="25"/>
  <c r="Y434" i="25"/>
  <c r="Y508" i="25"/>
  <c r="Y354" i="25"/>
  <c r="Y498" i="25"/>
  <c r="Y246" i="25"/>
  <c r="Y512" i="25"/>
  <c r="Y118" i="25"/>
  <c r="Y23" i="25"/>
  <c r="Y527" i="25"/>
  <c r="Y513" i="25"/>
  <c r="Y18" i="25"/>
  <c r="Y370" i="25"/>
  <c r="Y230" i="25"/>
  <c r="Y528" i="25"/>
  <c r="Y591" i="25"/>
  <c r="Y166" i="25"/>
  <c r="Y559" i="25"/>
  <c r="Y66" i="25"/>
  <c r="Y50" i="25"/>
  <c r="Y162" i="25"/>
  <c r="Y418" i="25"/>
  <c r="Y63" i="25"/>
  <c r="Y326" i="25"/>
  <c r="V561" i="25"/>
  <c r="Y556" i="25"/>
  <c r="Y374" i="25"/>
  <c r="Y470" i="25"/>
  <c r="Y290" i="25"/>
  <c r="Y543" i="25"/>
  <c r="Y130" i="25"/>
  <c r="Y454" i="25"/>
  <c r="Y34" i="25"/>
  <c r="Y134" i="25"/>
  <c r="Y70" i="25"/>
  <c r="Y450" i="25"/>
  <c r="Y505" i="25"/>
  <c r="Y322" i="25"/>
  <c r="J349" i="7"/>
  <c r="E349" i="25"/>
  <c r="J274" i="7"/>
  <c r="E274" i="25"/>
  <c r="N274" i="25" s="1"/>
  <c r="J579" i="7"/>
  <c r="E579" i="25"/>
  <c r="J42" i="7"/>
  <c r="E42" i="25"/>
  <c r="O42" i="25" s="1"/>
  <c r="J464" i="7"/>
  <c r="E464" i="25"/>
  <c r="J569" i="7"/>
  <c r="E569" i="25"/>
  <c r="O569" i="25" s="1"/>
  <c r="J85" i="7"/>
  <c r="E85" i="25"/>
  <c r="J211" i="7"/>
  <c r="E211" i="25"/>
  <c r="Q211" i="25" s="1"/>
  <c r="J114" i="7"/>
  <c r="E114" i="25"/>
  <c r="J216" i="7"/>
  <c r="E216" i="25"/>
  <c r="M216" i="25" s="1"/>
  <c r="J234" i="7"/>
  <c r="E234" i="25"/>
  <c r="J19" i="7"/>
  <c r="E19" i="25"/>
  <c r="P19" i="25" s="1"/>
  <c r="J343" i="7"/>
  <c r="E343" i="25"/>
  <c r="J38" i="7"/>
  <c r="E38" i="25"/>
  <c r="P38" i="25" s="1"/>
  <c r="J153" i="7"/>
  <c r="E153" i="25"/>
  <c r="J117" i="7"/>
  <c r="E117" i="25"/>
  <c r="O117" i="25" s="1"/>
  <c r="J122" i="7"/>
  <c r="E122" i="25"/>
  <c r="J313" i="7"/>
  <c r="E313" i="25"/>
  <c r="M313" i="25" s="1"/>
  <c r="J115" i="7"/>
  <c r="E115" i="25"/>
  <c r="J202" i="7"/>
  <c r="E202" i="25"/>
  <c r="N202" i="25" s="1"/>
  <c r="J20" i="7"/>
  <c r="E20" i="25"/>
  <c r="J402" i="7"/>
  <c r="E402" i="25"/>
  <c r="N402" i="25" s="1"/>
  <c r="J498" i="7"/>
  <c r="E498" i="25"/>
  <c r="J320" i="7"/>
  <c r="E320" i="25"/>
  <c r="P320" i="25" s="1"/>
  <c r="J473" i="7"/>
  <c r="E473" i="25"/>
  <c r="J35" i="7"/>
  <c r="E35" i="25"/>
  <c r="N35" i="25" s="1"/>
  <c r="J152" i="7"/>
  <c r="E152" i="25"/>
  <c r="J376" i="7"/>
  <c r="E376" i="25"/>
  <c r="G376" i="25" s="1"/>
  <c r="J440" i="7"/>
  <c r="E440" i="25"/>
  <c r="J287" i="7"/>
  <c r="E287" i="25"/>
  <c r="R287" i="25" s="1"/>
  <c r="J273" i="7"/>
  <c r="E273" i="25"/>
  <c r="J199" i="7"/>
  <c r="E199" i="25"/>
  <c r="O199" i="25" s="1"/>
  <c r="J293" i="7"/>
  <c r="E293" i="25"/>
  <c r="J120" i="7"/>
  <c r="E120" i="25"/>
  <c r="N120" i="25" s="1"/>
  <c r="J368" i="7"/>
  <c r="E368" i="25"/>
  <c r="J209" i="7"/>
  <c r="E209" i="25"/>
  <c r="R209" i="25" s="1"/>
  <c r="J188" i="7"/>
  <c r="E188" i="25"/>
  <c r="AG3" i="7"/>
  <c r="J3" i="25" s="1"/>
  <c r="A3" i="25"/>
  <c r="S3" i="25" s="1" a="1"/>
  <c r="S3" i="25" s="1"/>
  <c r="J194" i="7"/>
  <c r="E194" i="25"/>
  <c r="J564" i="7"/>
  <c r="E564" i="25"/>
  <c r="N564" i="25" s="1"/>
  <c r="J328" i="7"/>
  <c r="E328" i="25"/>
  <c r="J370" i="7"/>
  <c r="E370" i="25"/>
  <c r="G370" i="25" s="1"/>
  <c r="J330" i="7"/>
  <c r="E330" i="25"/>
  <c r="J521" i="7"/>
  <c r="E521" i="25"/>
  <c r="G521" i="25" s="1"/>
  <c r="J532" i="7"/>
  <c r="E532" i="25"/>
  <c r="J546" i="7"/>
  <c r="E546" i="25"/>
  <c r="N546" i="25" s="1"/>
  <c r="J129" i="7"/>
  <c r="E129" i="25"/>
  <c r="J186" i="7"/>
  <c r="E186" i="25"/>
  <c r="G186" i="25" s="1"/>
  <c r="J443" i="7"/>
  <c r="E443" i="25"/>
  <c r="J310" i="7"/>
  <c r="E310" i="25"/>
  <c r="O310" i="25" s="1"/>
  <c r="J189" i="7"/>
  <c r="E189" i="25"/>
  <c r="J230" i="7"/>
  <c r="E230" i="25"/>
  <c r="M230" i="25" s="1"/>
  <c r="J563" i="7"/>
  <c r="E563" i="25"/>
  <c r="J339" i="7"/>
  <c r="E339" i="25"/>
  <c r="N339" i="25" s="1"/>
  <c r="J179" i="7"/>
  <c r="E179" i="25"/>
  <c r="J519" i="7"/>
  <c r="E519" i="25"/>
  <c r="Q519" i="25" s="1"/>
  <c r="J119" i="7"/>
  <c r="E119" i="25"/>
  <c r="J224" i="7"/>
  <c r="E224" i="25"/>
  <c r="O224" i="25" s="1"/>
  <c r="J491" i="7"/>
  <c r="E491" i="25"/>
  <c r="J413" i="7"/>
  <c r="E413" i="25"/>
  <c r="J595" i="7"/>
  <c r="E595" i="25"/>
  <c r="J270" i="7"/>
  <c r="E270" i="25"/>
  <c r="O270" i="25" s="1"/>
  <c r="J16" i="7"/>
  <c r="E16" i="25"/>
  <c r="J267" i="7"/>
  <c r="E267" i="25"/>
  <c r="N267" i="25" s="1"/>
  <c r="J94" i="7"/>
  <c r="E94" i="25"/>
  <c r="J104" i="7"/>
  <c r="E104" i="25"/>
  <c r="O104" i="25" s="1"/>
  <c r="J242" i="7"/>
  <c r="E242" i="25"/>
  <c r="J528" i="7"/>
  <c r="E528" i="25"/>
  <c r="Q528" i="25" s="1"/>
  <c r="J282" i="7"/>
  <c r="E282" i="25"/>
  <c r="J95" i="7"/>
  <c r="E95" i="25"/>
  <c r="O95" i="25" s="1"/>
  <c r="J276" i="7"/>
  <c r="E276" i="25"/>
  <c r="J596" i="7"/>
  <c r="E596" i="25"/>
  <c r="N596" i="25" s="1"/>
  <c r="J10" i="7"/>
  <c r="E10" i="25"/>
  <c r="J62" i="7"/>
  <c r="E62" i="25"/>
  <c r="P62" i="25" s="1"/>
  <c r="J302" i="7"/>
  <c r="E302" i="25"/>
  <c r="J2" i="7"/>
  <c r="E2" i="25"/>
  <c r="M2" i="25" s="1"/>
  <c r="J557" i="7"/>
  <c r="E557" i="25"/>
  <c r="J269" i="7"/>
  <c r="E269" i="25"/>
  <c r="Q269" i="25" s="1"/>
  <c r="J247" i="7"/>
  <c r="E247" i="25"/>
  <c r="S544" i="7"/>
  <c r="K544" i="25"/>
  <c r="J544" i="7"/>
  <c r="E544" i="25"/>
  <c r="J292" i="7"/>
  <c r="E292" i="25"/>
  <c r="M292" i="25" s="1"/>
  <c r="J64" i="7"/>
  <c r="E64" i="25"/>
  <c r="J332" i="7"/>
  <c r="E332" i="25"/>
  <c r="J60" i="7"/>
  <c r="E60" i="25"/>
  <c r="J244" i="7"/>
  <c r="E244" i="25"/>
  <c r="O244" i="25" s="1"/>
  <c r="J486" i="7"/>
  <c r="E486" i="25"/>
  <c r="J227" i="7"/>
  <c r="E227" i="25"/>
  <c r="N227" i="25" s="1"/>
  <c r="J576" i="7"/>
  <c r="E576" i="25"/>
  <c r="J158" i="7"/>
  <c r="E158" i="25"/>
  <c r="O158" i="25" s="1"/>
  <c r="J83" i="7"/>
  <c r="E83" i="25"/>
  <c r="J591" i="7"/>
  <c r="E591" i="25"/>
  <c r="M591" i="25" s="1"/>
  <c r="J550" i="7"/>
  <c r="E550" i="25"/>
  <c r="J363" i="7"/>
  <c r="E363" i="25"/>
  <c r="N363" i="25" s="1"/>
  <c r="J241" i="7"/>
  <c r="E241" i="25"/>
  <c r="J205" i="7"/>
  <c r="E205" i="25"/>
  <c r="M205" i="25" s="1"/>
  <c r="J444" i="7"/>
  <c r="E444" i="25"/>
  <c r="J481" i="7"/>
  <c r="E481" i="25"/>
  <c r="R481" i="25" s="1"/>
  <c r="J66" i="7"/>
  <c r="E66" i="25"/>
  <c r="J50" i="7"/>
  <c r="E50" i="25"/>
  <c r="M50" i="25" s="1"/>
  <c r="J238" i="7"/>
  <c r="E238" i="25"/>
  <c r="J594" i="7"/>
  <c r="E594" i="25"/>
  <c r="P594" i="25" s="1"/>
  <c r="J373" i="7"/>
  <c r="E373" i="25"/>
  <c r="J558" i="7"/>
  <c r="E558" i="25"/>
  <c r="P558" i="25" s="1"/>
  <c r="J170" i="7"/>
  <c r="E170" i="25"/>
  <c r="J277" i="7"/>
  <c r="E277" i="25"/>
  <c r="P277" i="25" s="1"/>
  <c r="J531" i="7"/>
  <c r="E531" i="25"/>
  <c r="J98" i="7"/>
  <c r="E98" i="25"/>
  <c r="Q98" i="25" s="1"/>
  <c r="J552" i="7"/>
  <c r="E552" i="25"/>
  <c r="J162" i="7"/>
  <c r="E162" i="25"/>
  <c r="N162" i="25" s="1"/>
  <c r="J485" i="7"/>
  <c r="E485" i="25"/>
  <c r="J417" i="7"/>
  <c r="E417" i="25"/>
  <c r="N417" i="25" s="1"/>
  <c r="J41" i="7"/>
  <c r="E41" i="25"/>
  <c r="J379" i="7"/>
  <c r="E379" i="25"/>
  <c r="N379" i="25" s="1"/>
  <c r="J448" i="7"/>
  <c r="E448" i="25"/>
  <c r="J456" i="7"/>
  <c r="E456" i="25"/>
  <c r="Q456" i="25" s="1"/>
  <c r="J333" i="7"/>
  <c r="E333" i="25"/>
  <c r="J285" i="7"/>
  <c r="E285" i="25"/>
  <c r="O285" i="25" s="1"/>
  <c r="J427" i="7"/>
  <c r="E427" i="25"/>
  <c r="J49" i="7"/>
  <c r="E49" i="25"/>
  <c r="N49" i="25" s="1"/>
  <c r="J301" i="7"/>
  <c r="E301" i="25"/>
  <c r="J6" i="7"/>
  <c r="E6" i="25"/>
  <c r="G6" i="25" s="1"/>
  <c r="J67" i="7"/>
  <c r="E67" i="25"/>
  <c r="J193" i="7"/>
  <c r="E193" i="25"/>
  <c r="P193" i="25" s="1"/>
  <c r="J362" i="7"/>
  <c r="E362" i="25"/>
  <c r="J144" i="7"/>
  <c r="E144" i="25"/>
  <c r="O144" i="25" s="1"/>
  <c r="J492" i="7"/>
  <c r="E492" i="25"/>
  <c r="J510" i="7"/>
  <c r="E510" i="25"/>
  <c r="O510" i="25" s="1"/>
  <c r="J183" i="7"/>
  <c r="E183" i="25"/>
  <c r="J500" i="7"/>
  <c r="E500" i="25"/>
  <c r="M500" i="25" s="1"/>
  <c r="J190" i="7"/>
  <c r="E190" i="25"/>
  <c r="J79" i="7"/>
  <c r="E79" i="25"/>
  <c r="P79" i="25" s="1"/>
  <c r="J24" i="7"/>
  <c r="E24" i="25"/>
  <c r="J372" i="7"/>
  <c r="E372" i="25"/>
  <c r="N372" i="25" s="1"/>
  <c r="J31" i="7"/>
  <c r="E31" i="25"/>
  <c r="J61" i="7"/>
  <c r="E61" i="25"/>
  <c r="P61" i="25" s="1"/>
  <c r="J279" i="7"/>
  <c r="E279" i="25"/>
  <c r="J406" i="7"/>
  <c r="E406" i="25"/>
  <c r="P406" i="25" s="1"/>
  <c r="J69" i="7"/>
  <c r="E69" i="25"/>
  <c r="J198" i="7"/>
  <c r="E198" i="25"/>
  <c r="O198" i="25" s="1"/>
  <c r="J354" i="7"/>
  <c r="E354" i="25"/>
  <c r="J196" i="7"/>
  <c r="E196" i="25"/>
  <c r="P196" i="25" s="1"/>
  <c r="J210" i="7"/>
  <c r="E210" i="25"/>
  <c r="J493" i="7"/>
  <c r="E493" i="25"/>
  <c r="O493" i="25" s="1"/>
  <c r="J318" i="7"/>
  <c r="E318" i="25"/>
  <c r="J324" i="7"/>
  <c r="E324" i="25"/>
  <c r="J163" i="7"/>
  <c r="E163" i="25"/>
  <c r="J570" i="7"/>
  <c r="E570" i="25"/>
  <c r="N570" i="25" s="1"/>
  <c r="J266" i="7"/>
  <c r="E266" i="25"/>
  <c r="J229" i="7"/>
  <c r="E229" i="25"/>
  <c r="P229" i="25" s="1"/>
  <c r="J131" i="7"/>
  <c r="E131" i="25"/>
  <c r="J451" i="7"/>
  <c r="E451" i="25"/>
  <c r="J554" i="7"/>
  <c r="E554" i="25"/>
  <c r="J539" i="7"/>
  <c r="E539" i="25"/>
  <c r="N539" i="25" s="1"/>
  <c r="J407" i="7"/>
  <c r="E407" i="25"/>
  <c r="Y567" i="25"/>
  <c r="J431" i="7"/>
  <c r="E431" i="25"/>
  <c r="J12" i="7"/>
  <c r="E12" i="25"/>
  <c r="J218" i="7"/>
  <c r="E218" i="25"/>
  <c r="J263" i="7"/>
  <c r="E263" i="25"/>
  <c r="J214" i="7"/>
  <c r="E214" i="25"/>
  <c r="J311" i="7"/>
  <c r="E311" i="25"/>
  <c r="J294" i="7"/>
  <c r="E294" i="25"/>
  <c r="J525" i="7"/>
  <c r="E525" i="25"/>
  <c r="J86" i="7"/>
  <c r="E86" i="25"/>
  <c r="J112" i="7"/>
  <c r="E112" i="25"/>
  <c r="J173" i="7"/>
  <c r="E173" i="25"/>
  <c r="J243" i="7"/>
  <c r="E243" i="25"/>
  <c r="J580" i="7"/>
  <c r="E580" i="25"/>
  <c r="J524" i="7"/>
  <c r="E524" i="25"/>
  <c r="J437" i="7"/>
  <c r="E437" i="25"/>
  <c r="J582" i="7"/>
  <c r="E582" i="25"/>
  <c r="J514" i="7"/>
  <c r="E514" i="25"/>
  <c r="J207" i="7"/>
  <c r="E207" i="25"/>
  <c r="J299" i="7"/>
  <c r="E299" i="25"/>
  <c r="J438" i="7"/>
  <c r="E438" i="25"/>
  <c r="J571" i="7"/>
  <c r="E571" i="25"/>
  <c r="J136" i="7"/>
  <c r="E136" i="25"/>
  <c r="J121" i="7"/>
  <c r="E121" i="25"/>
  <c r="J386" i="7"/>
  <c r="E386" i="25"/>
  <c r="J575" i="7"/>
  <c r="E575" i="25"/>
  <c r="J145" i="7"/>
  <c r="E145" i="25"/>
  <c r="J586" i="7"/>
  <c r="E586" i="25"/>
  <c r="J581" i="7"/>
  <c r="E581" i="25"/>
  <c r="J331" i="7"/>
  <c r="E331" i="25"/>
  <c r="J433" i="7"/>
  <c r="E433" i="25"/>
  <c r="J399" i="7"/>
  <c r="E399" i="25"/>
  <c r="J219" i="7"/>
  <c r="E219" i="25"/>
  <c r="J434" i="7"/>
  <c r="E434" i="25"/>
  <c r="J398" i="7"/>
  <c r="E398" i="25"/>
  <c r="J300" i="7"/>
  <c r="E300" i="25"/>
  <c r="J468" i="7"/>
  <c r="E468" i="25"/>
  <c r="J148" i="7"/>
  <c r="E148" i="25"/>
  <c r="J346" i="7"/>
  <c r="E346" i="25"/>
  <c r="J58" i="7"/>
  <c r="E58" i="25"/>
  <c r="J533" i="7"/>
  <c r="E533" i="25"/>
  <c r="J453" i="7"/>
  <c r="E453" i="25"/>
  <c r="J574" i="7"/>
  <c r="E574" i="25"/>
  <c r="J303" i="7"/>
  <c r="E303" i="25"/>
  <c r="J255" i="7"/>
  <c r="E255" i="25"/>
  <c r="J555" i="7"/>
  <c r="E555" i="25"/>
  <c r="J400" i="7"/>
  <c r="E400" i="25"/>
  <c r="J286" i="7"/>
  <c r="E286" i="25"/>
  <c r="J295" i="7"/>
  <c r="E295" i="25"/>
  <c r="J280" i="7"/>
  <c r="E280" i="25"/>
  <c r="J340" i="7"/>
  <c r="E340" i="25"/>
  <c r="J439" i="7"/>
  <c r="E439" i="25"/>
  <c r="J365" i="7"/>
  <c r="E365" i="25"/>
  <c r="J383" i="7"/>
  <c r="E383" i="25"/>
  <c r="J237" i="7"/>
  <c r="E237" i="25"/>
  <c r="J530" i="7"/>
  <c r="E530" i="25"/>
  <c r="J245" i="7"/>
  <c r="E245" i="25"/>
  <c r="J307" i="7"/>
  <c r="E307" i="25"/>
  <c r="J432" i="7"/>
  <c r="E432" i="25"/>
  <c r="J217" i="7"/>
  <c r="E217" i="25"/>
  <c r="J167" i="7"/>
  <c r="E167" i="25"/>
  <c r="J508" i="7"/>
  <c r="E508" i="25"/>
  <c r="J272" i="7"/>
  <c r="E272" i="25"/>
  <c r="J32" i="7"/>
  <c r="E32" i="25"/>
  <c r="J155" i="7"/>
  <c r="E155" i="25"/>
  <c r="J420" i="7"/>
  <c r="E420" i="25"/>
  <c r="J76" i="7"/>
  <c r="E76" i="25"/>
  <c r="J275" i="7"/>
  <c r="E275" i="25"/>
  <c r="J135" i="7"/>
  <c r="E135" i="25"/>
  <c r="J516" i="7"/>
  <c r="E516" i="25"/>
  <c r="J551" i="7"/>
  <c r="E551" i="25"/>
  <c r="J21" i="7"/>
  <c r="E21" i="25"/>
  <c r="J536" i="7"/>
  <c r="E536" i="25"/>
  <c r="J542" i="7"/>
  <c r="E542" i="25"/>
  <c r="J68" i="7"/>
  <c r="E68" i="25"/>
  <c r="J588" i="7"/>
  <c r="E588" i="25"/>
  <c r="J566" i="7"/>
  <c r="E566" i="25"/>
  <c r="J265" i="7"/>
  <c r="E265" i="25"/>
  <c r="J164" i="7"/>
  <c r="E164" i="25"/>
  <c r="J23" i="7"/>
  <c r="E23" i="25"/>
  <c r="J422" i="7"/>
  <c r="E422" i="25"/>
  <c r="J455" i="7"/>
  <c r="E455" i="25"/>
  <c r="J82" i="7"/>
  <c r="E82" i="25"/>
  <c r="J248" i="7"/>
  <c r="E248" i="25"/>
  <c r="J527" i="7"/>
  <c r="E527" i="25"/>
  <c r="J447" i="7"/>
  <c r="E447" i="25"/>
  <c r="J390" i="7"/>
  <c r="E390" i="25"/>
  <c r="J259" i="7"/>
  <c r="E259" i="25"/>
  <c r="J319" i="7"/>
  <c r="E319" i="25"/>
  <c r="J364" i="7"/>
  <c r="E364" i="25"/>
  <c r="J496" i="7"/>
  <c r="E496" i="25"/>
  <c r="J212" i="7"/>
  <c r="E212" i="25"/>
  <c r="J540" i="7"/>
  <c r="E540" i="25"/>
  <c r="J18" i="7"/>
  <c r="E18" i="25"/>
  <c r="J446" i="7"/>
  <c r="E446" i="25"/>
  <c r="J504" i="7"/>
  <c r="E504" i="25"/>
  <c r="J425" i="7"/>
  <c r="E425" i="25"/>
  <c r="J22" i="7"/>
  <c r="E22" i="25"/>
  <c r="J80" i="7"/>
  <c r="E80" i="25"/>
  <c r="J441" i="7"/>
  <c r="E441" i="25"/>
  <c r="J435" i="7"/>
  <c r="E435" i="25"/>
  <c r="J329" i="7"/>
  <c r="E329" i="25"/>
  <c r="J347" i="7"/>
  <c r="E347" i="25"/>
  <c r="J36" i="7"/>
  <c r="E36" i="25"/>
  <c r="J394" i="7"/>
  <c r="E394" i="25"/>
  <c r="J235" i="7"/>
  <c r="E235" i="25"/>
  <c r="J384" i="7"/>
  <c r="E384" i="25"/>
  <c r="J460" i="7"/>
  <c r="E460" i="25"/>
  <c r="J342" i="7"/>
  <c r="E342" i="25"/>
  <c r="Y535" i="25"/>
  <c r="J459" i="7"/>
  <c r="E459" i="25"/>
  <c r="J335" i="7"/>
  <c r="E335" i="25"/>
  <c r="O335" i="25" s="1"/>
  <c r="J543" i="7"/>
  <c r="E543" i="25"/>
  <c r="J426" i="7"/>
  <c r="E426" i="25"/>
  <c r="O426" i="25" s="1"/>
  <c r="J239" i="7"/>
  <c r="E239" i="25"/>
  <c r="J130" i="7"/>
  <c r="E130" i="25"/>
  <c r="R130" i="25" s="1"/>
  <c r="J428" i="7"/>
  <c r="E428" i="25"/>
  <c r="J128" i="7"/>
  <c r="E128" i="25"/>
  <c r="M128" i="25" s="1"/>
  <c r="J7" i="7"/>
  <c r="E7" i="25"/>
  <c r="J108" i="7"/>
  <c r="E108" i="25"/>
  <c r="N108" i="25" s="1"/>
  <c r="J480" i="7"/>
  <c r="E480" i="25"/>
  <c r="J584" i="7"/>
  <c r="E584" i="25"/>
  <c r="O584" i="25" s="1"/>
  <c r="J518" i="7"/>
  <c r="E518" i="25"/>
  <c r="J573" i="7"/>
  <c r="E573" i="25"/>
  <c r="P573" i="25" s="1"/>
  <c r="J341" i="7"/>
  <c r="E341" i="25"/>
  <c r="J106" i="7"/>
  <c r="E106" i="25"/>
  <c r="P106" i="25" s="1"/>
  <c r="J28" i="7"/>
  <c r="E28" i="25"/>
  <c r="J253" i="7"/>
  <c r="E253" i="25"/>
  <c r="O253" i="25" s="1"/>
  <c r="J231" i="7"/>
  <c r="E231" i="25"/>
  <c r="J252" i="7"/>
  <c r="E252" i="25"/>
  <c r="M252" i="25" s="1"/>
  <c r="J549" i="7"/>
  <c r="E549" i="25"/>
  <c r="J430" i="7"/>
  <c r="E430" i="25"/>
  <c r="P430" i="25" s="1"/>
  <c r="J583" i="7"/>
  <c r="E583" i="25"/>
  <c r="J140" i="7"/>
  <c r="E140" i="25"/>
  <c r="N140" i="25" s="1"/>
  <c r="J261" i="7"/>
  <c r="E261" i="25"/>
  <c r="J404" i="7"/>
  <c r="E404" i="25"/>
  <c r="P404" i="25" s="1"/>
  <c r="J461" i="7"/>
  <c r="E461" i="25"/>
  <c r="J590" i="7"/>
  <c r="E590" i="25"/>
  <c r="P590" i="25" s="1"/>
  <c r="J547" i="7"/>
  <c r="E547" i="25"/>
  <c r="J34" i="7"/>
  <c r="E34" i="25"/>
  <c r="M34" i="25" s="1"/>
  <c r="J176" i="7"/>
  <c r="E176" i="25"/>
  <c r="J232" i="7"/>
  <c r="E232" i="25"/>
  <c r="O232" i="25" s="1"/>
  <c r="J134" i="7"/>
  <c r="E134" i="25"/>
  <c r="J71" i="7"/>
  <c r="E71" i="25"/>
  <c r="P71" i="25" s="1"/>
  <c r="J70" i="7"/>
  <c r="E70" i="25"/>
  <c r="J416" i="7"/>
  <c r="E416" i="25"/>
  <c r="P416" i="25" s="1"/>
  <c r="J123" i="7"/>
  <c r="E123" i="25"/>
  <c r="J192" i="7"/>
  <c r="E192" i="25"/>
  <c r="N192" i="25" s="1"/>
  <c r="J450" i="7"/>
  <c r="E450" i="25"/>
  <c r="J168" i="7"/>
  <c r="E168" i="25"/>
  <c r="N168" i="25" s="1"/>
  <c r="J380" i="7"/>
  <c r="E380" i="25"/>
  <c r="J572" i="7"/>
  <c r="E572" i="25"/>
  <c r="P572" i="25" s="1"/>
  <c r="J306" i="7"/>
  <c r="E306" i="25"/>
  <c r="J297" i="7"/>
  <c r="E297" i="25"/>
  <c r="M297" i="25" s="1"/>
  <c r="J13" i="7"/>
  <c r="E13" i="25"/>
  <c r="J157" i="7"/>
  <c r="E157" i="25"/>
  <c r="M157" i="25" s="1"/>
  <c r="J387" i="7"/>
  <c r="E387" i="25"/>
  <c r="J322" i="7"/>
  <c r="E322" i="25"/>
  <c r="P322" i="25" s="1"/>
  <c r="J567" i="7"/>
  <c r="E567" i="25"/>
  <c r="J308" i="7"/>
  <c r="E308" i="25"/>
  <c r="J204" i="7"/>
  <c r="E204" i="25"/>
  <c r="J203" i="7"/>
  <c r="E203" i="25"/>
  <c r="G203" i="25" s="1"/>
  <c r="J54" i="7"/>
  <c r="E54" i="25"/>
  <c r="J110" i="7"/>
  <c r="E110" i="25"/>
  <c r="O110" i="25" s="1"/>
  <c r="J14" i="7"/>
  <c r="E14" i="25"/>
  <c r="J479" i="7"/>
  <c r="E479" i="25"/>
  <c r="M479" i="25" s="1"/>
  <c r="J81" i="7"/>
  <c r="E81" i="25"/>
  <c r="J506" i="7"/>
  <c r="E506" i="25"/>
  <c r="P506" i="25" s="1"/>
  <c r="J361" i="7"/>
  <c r="E361" i="25"/>
  <c r="J99" i="7"/>
  <c r="E99" i="25"/>
  <c r="P99" i="25" s="1"/>
  <c r="J52" i="7"/>
  <c r="E52" i="25"/>
  <c r="J526" i="7"/>
  <c r="E526" i="25"/>
  <c r="Q526" i="25" s="1"/>
  <c r="J512" i="7"/>
  <c r="E512" i="25"/>
  <c r="J195" i="7"/>
  <c r="E195" i="25"/>
  <c r="O195" i="25" s="1"/>
  <c r="J484" i="7"/>
  <c r="E484" i="25"/>
  <c r="J109" i="7"/>
  <c r="E109" i="25"/>
  <c r="M109" i="25" s="1"/>
  <c r="J220" i="7"/>
  <c r="E220" i="25"/>
  <c r="J240" i="7"/>
  <c r="E240" i="25"/>
  <c r="N240" i="25" s="1"/>
  <c r="J442" i="7"/>
  <c r="E442" i="25"/>
  <c r="J118" i="7"/>
  <c r="E118" i="25"/>
  <c r="N118" i="25" s="1"/>
  <c r="J421" i="7"/>
  <c r="E421" i="25"/>
  <c r="J334" i="7"/>
  <c r="E334" i="25"/>
  <c r="R334" i="25" s="1"/>
  <c r="J288" i="7"/>
  <c r="E288" i="25"/>
  <c r="J250" i="7"/>
  <c r="E250" i="25"/>
  <c r="P250" i="25" s="1"/>
  <c r="J142" i="7"/>
  <c r="E142" i="25"/>
  <c r="J51" i="7"/>
  <c r="E51" i="25"/>
  <c r="R51" i="25" s="1"/>
  <c r="J393" i="7"/>
  <c r="E393" i="25"/>
  <c r="J208" i="7"/>
  <c r="E208" i="25"/>
  <c r="N208" i="25" s="1"/>
  <c r="J501" i="7"/>
  <c r="E501" i="25"/>
  <c r="J408" i="7"/>
  <c r="E408" i="25"/>
  <c r="P408" i="25" s="1"/>
  <c r="J565" i="7"/>
  <c r="E565" i="25"/>
  <c r="J471" i="7"/>
  <c r="E471" i="25"/>
  <c r="P471" i="25" s="1"/>
  <c r="J537" i="7"/>
  <c r="E537" i="25"/>
  <c r="J225" i="7"/>
  <c r="E225" i="25"/>
  <c r="P225" i="25" s="1"/>
  <c r="J197" i="7"/>
  <c r="E197" i="25"/>
  <c r="J100" i="7"/>
  <c r="E100" i="25"/>
  <c r="N100" i="25" s="1"/>
  <c r="J154" i="7"/>
  <c r="E154" i="25"/>
  <c r="J457" i="7"/>
  <c r="E457" i="25"/>
  <c r="N457" i="25" s="1"/>
  <c r="J375" i="7"/>
  <c r="E375" i="25"/>
  <c r="J545" i="7"/>
  <c r="E545" i="25"/>
  <c r="N545" i="25" s="1"/>
  <c r="J587" i="7"/>
  <c r="E587" i="25"/>
  <c r="J160" i="7"/>
  <c r="E160" i="25"/>
  <c r="S262" i="7"/>
  <c r="K262" i="25"/>
  <c r="J262" i="7"/>
  <c r="E262" i="25"/>
  <c r="P262" i="25" s="1"/>
  <c r="J337" i="7"/>
  <c r="E337" i="25"/>
  <c r="J325" i="7"/>
  <c r="E325" i="25"/>
  <c r="G325" i="25" s="1"/>
  <c r="J213" i="7"/>
  <c r="E213" i="25"/>
  <c r="J348" i="7"/>
  <c r="E348" i="25"/>
  <c r="N348" i="25" s="1"/>
  <c r="J27" i="7"/>
  <c r="E27" i="25"/>
  <c r="J415" i="7"/>
  <c r="E415" i="25"/>
  <c r="P415" i="25" s="1"/>
  <c r="J502" i="7"/>
  <c r="E502" i="25"/>
  <c r="J338" i="7"/>
  <c r="E338" i="25"/>
  <c r="P338" i="25" s="1"/>
  <c r="J410" i="7"/>
  <c r="E410" i="25"/>
  <c r="J327" i="7"/>
  <c r="E327" i="25"/>
  <c r="P327" i="25" s="1"/>
  <c r="J57" i="7"/>
  <c r="E57" i="25"/>
  <c r="J289" i="7"/>
  <c r="E289" i="25"/>
  <c r="P289" i="25" s="1"/>
  <c r="J523" i="7"/>
  <c r="E523" i="25"/>
  <c r="J562" i="7"/>
  <c r="E562" i="25"/>
  <c r="P562" i="25" s="1"/>
  <c r="J181" i="7"/>
  <c r="E181" i="25"/>
  <c r="J290" i="7"/>
  <c r="E290" i="25"/>
  <c r="N290" i="25" s="1"/>
  <c r="J476" i="7"/>
  <c r="E476" i="25"/>
  <c r="J489" i="7"/>
  <c r="E489" i="25"/>
  <c r="O489" i="25" s="1"/>
  <c r="J378" i="7"/>
  <c r="E378" i="25"/>
  <c r="AA503" i="25"/>
  <c r="Y503" i="25"/>
  <c r="J345" i="7"/>
  <c r="E345" i="25"/>
  <c r="J429" i="7"/>
  <c r="E429" i="25"/>
  <c r="O429" i="25" s="1"/>
  <c r="J143" i="7"/>
  <c r="E143" i="25"/>
  <c r="J414" i="7"/>
  <c r="E414" i="25"/>
  <c r="Q414" i="25" s="1"/>
  <c r="J271" i="7"/>
  <c r="E271" i="25"/>
  <c r="J48" i="7"/>
  <c r="E48" i="25"/>
  <c r="R48" i="25" s="1"/>
  <c r="J246" i="7"/>
  <c r="E246" i="25"/>
  <c r="J356" i="7"/>
  <c r="E356" i="25"/>
  <c r="P356" i="25" s="1"/>
  <c r="J124" i="7"/>
  <c r="E124" i="25"/>
  <c r="J336" i="7"/>
  <c r="E336" i="25"/>
  <c r="O336" i="25" s="1"/>
  <c r="J592" i="7"/>
  <c r="E592" i="25"/>
  <c r="J585" i="7"/>
  <c r="E585" i="25"/>
  <c r="R585" i="25" s="1"/>
  <c r="J251" i="7"/>
  <c r="E251" i="25"/>
  <c r="J88" i="7"/>
  <c r="E88" i="25"/>
  <c r="N88" i="25" s="1"/>
  <c r="J278" i="7"/>
  <c r="E278" i="25"/>
  <c r="J283" i="7"/>
  <c r="E283" i="25"/>
  <c r="N283" i="25" s="1"/>
  <c r="J511" i="7"/>
  <c r="E511" i="25"/>
  <c r="J304" i="7"/>
  <c r="E304" i="25"/>
  <c r="S223" i="7"/>
  <c r="K223" i="25"/>
  <c r="J223" i="7"/>
  <c r="E223" i="25"/>
  <c r="P223" i="25" s="1"/>
  <c r="J73" i="7"/>
  <c r="E73" i="25"/>
  <c r="J449" i="7"/>
  <c r="E449" i="25"/>
  <c r="J156" i="7"/>
  <c r="E156" i="25"/>
  <c r="J350" i="7"/>
  <c r="E350" i="25"/>
  <c r="P350" i="25" s="1"/>
  <c r="J281" i="7"/>
  <c r="E281" i="25"/>
  <c r="J509" i="7"/>
  <c r="E509" i="25"/>
  <c r="P509" i="25" s="1"/>
  <c r="J284" i="7"/>
  <c r="E284" i="25"/>
  <c r="J490" i="7"/>
  <c r="E490" i="25"/>
  <c r="J161" i="7"/>
  <c r="E161" i="25"/>
  <c r="J147" i="7"/>
  <c r="E147" i="25"/>
  <c r="R147" i="25" s="1"/>
  <c r="J409" i="7"/>
  <c r="E409" i="25"/>
  <c r="J424" i="7"/>
  <c r="E424" i="25"/>
  <c r="J462" i="7"/>
  <c r="E462" i="25"/>
  <c r="J541" i="7"/>
  <c r="E541" i="25"/>
  <c r="O541" i="25" s="1"/>
  <c r="J63" i="7"/>
  <c r="E63" i="25"/>
  <c r="J29" i="7"/>
  <c r="E29" i="25"/>
  <c r="M29" i="25" s="1"/>
  <c r="J405" i="7"/>
  <c r="E405" i="25"/>
  <c r="J389" i="7"/>
  <c r="E389" i="25"/>
  <c r="P389" i="25" s="1"/>
  <c r="J497" i="7"/>
  <c r="E497" i="25"/>
  <c r="J5" i="7"/>
  <c r="E5" i="25"/>
  <c r="M5" i="25" s="1"/>
  <c r="J507" i="7"/>
  <c r="E507" i="25"/>
  <c r="J385" i="7"/>
  <c r="E385" i="25"/>
  <c r="M385" i="25" s="1"/>
  <c r="J177" i="7"/>
  <c r="E177" i="25"/>
  <c r="J358" i="7"/>
  <c r="E358" i="25"/>
  <c r="P358" i="25" s="1"/>
  <c r="J578" i="7"/>
  <c r="E578" i="25"/>
  <c r="J97" i="7"/>
  <c r="E97" i="25"/>
  <c r="O97" i="25" s="1"/>
  <c r="J298" i="7"/>
  <c r="E298" i="25"/>
  <c r="J326" i="7"/>
  <c r="E326" i="25"/>
  <c r="O326" i="25" s="1"/>
  <c r="J359" i="7"/>
  <c r="E359" i="25"/>
  <c r="J236" i="7"/>
  <c r="E236" i="25"/>
  <c r="P236" i="25" s="1"/>
  <c r="S529" i="7"/>
  <c r="K529" i="25"/>
  <c r="J529" i="7"/>
  <c r="E529" i="25"/>
  <c r="P529" i="25" s="1"/>
  <c r="J369" i="7"/>
  <c r="E369" i="25"/>
  <c r="J469" i="7"/>
  <c r="E469" i="25"/>
  <c r="P469" i="25" s="1"/>
  <c r="J488" i="7"/>
  <c r="E488" i="25"/>
  <c r="J556" i="7"/>
  <c r="E556" i="25"/>
  <c r="N556" i="25" s="1"/>
  <c r="J74" i="7"/>
  <c r="E74" i="25"/>
  <c r="J411" i="7"/>
  <c r="E411" i="25"/>
  <c r="N411" i="25" s="1"/>
  <c r="J475" i="7"/>
  <c r="E475" i="25"/>
  <c r="J344" i="7"/>
  <c r="E344" i="25"/>
  <c r="O344" i="25" s="1"/>
  <c r="J180" i="7"/>
  <c r="E180" i="25"/>
  <c r="J90" i="7"/>
  <c r="E90" i="25"/>
  <c r="O90" i="25" s="1"/>
  <c r="J452" i="7"/>
  <c r="E452" i="25"/>
  <c r="J174" i="7"/>
  <c r="E174" i="25"/>
  <c r="O174" i="25" s="1"/>
  <c r="J101" i="7"/>
  <c r="E101" i="25"/>
  <c r="J374" i="7"/>
  <c r="E374" i="25"/>
  <c r="O374" i="25" s="1"/>
  <c r="J317" i="7"/>
  <c r="E317" i="25"/>
  <c r="J470" i="7"/>
  <c r="E470" i="25"/>
  <c r="O470" i="25" s="1"/>
  <c r="J226" i="7"/>
  <c r="E226" i="25"/>
  <c r="J321" i="7"/>
  <c r="E321" i="25"/>
  <c r="M321" i="25" s="1"/>
  <c r="J39" i="7"/>
  <c r="E39" i="25"/>
  <c r="J40" i="7"/>
  <c r="E40" i="25"/>
  <c r="R40" i="25" s="1"/>
  <c r="Y59" i="25"/>
  <c r="Y7" i="25"/>
  <c r="Z23" i="25"/>
  <c r="Y67" i="25"/>
  <c r="Y43" i="25"/>
  <c r="Z553" i="25"/>
  <c r="Z537" i="25"/>
  <c r="Z521" i="25"/>
  <c r="Z505" i="25"/>
  <c r="Z51" i="25"/>
  <c r="AA561" i="25"/>
  <c r="AA513" i="25"/>
  <c r="Y583" i="25"/>
  <c r="Y519" i="25"/>
  <c r="Y51" i="25"/>
  <c r="Y39" i="25"/>
  <c r="Y27" i="25"/>
  <c r="Z565" i="25"/>
  <c r="Z549" i="25"/>
  <c r="Z533" i="25"/>
  <c r="Z517" i="25"/>
  <c r="Z501" i="25"/>
  <c r="AA549" i="25"/>
  <c r="AA505" i="25"/>
  <c r="Y11" i="25"/>
  <c r="Z561" i="25"/>
  <c r="Z545" i="25"/>
  <c r="Z529" i="25"/>
  <c r="Z513" i="25"/>
  <c r="Z67" i="25"/>
  <c r="AA533" i="25"/>
  <c r="AA500" i="25"/>
  <c r="Z500" i="25"/>
  <c r="Y500" i="25"/>
  <c r="AA496" i="25"/>
  <c r="Z496" i="25"/>
  <c r="Y496" i="25"/>
  <c r="AA492" i="25"/>
  <c r="AA488" i="25"/>
  <c r="Z488" i="25"/>
  <c r="Y488" i="25"/>
  <c r="AA484" i="25"/>
  <c r="Z484" i="25"/>
  <c r="Y484" i="25"/>
  <c r="AA480" i="25"/>
  <c r="Z480" i="25"/>
  <c r="Y480" i="25"/>
  <c r="AA476" i="25"/>
  <c r="Z476" i="25"/>
  <c r="AA472" i="25"/>
  <c r="Z472" i="25"/>
  <c r="Y472" i="25"/>
  <c r="AA468" i="25"/>
  <c r="Z468" i="25"/>
  <c r="Y468" i="25"/>
  <c r="AA464" i="25"/>
  <c r="Z464" i="25"/>
  <c r="Y464" i="25"/>
  <c r="AA460" i="25"/>
  <c r="Z460" i="25"/>
  <c r="AA456" i="25"/>
  <c r="Z456" i="25"/>
  <c r="Y456" i="25"/>
  <c r="AA452" i="25"/>
  <c r="Z452" i="25"/>
  <c r="Y452" i="25"/>
  <c r="AA448" i="25"/>
  <c r="Z448" i="25"/>
  <c r="Y448" i="25"/>
  <c r="AA444" i="25"/>
  <c r="Z444" i="25"/>
  <c r="AA440" i="25"/>
  <c r="Z440" i="25"/>
  <c r="Y440" i="25"/>
  <c r="AA436" i="25"/>
  <c r="Z436" i="25"/>
  <c r="Y436" i="25"/>
  <c r="AA432" i="25"/>
  <c r="Z432" i="25"/>
  <c r="Y432" i="25"/>
  <c r="AA428" i="25"/>
  <c r="Z428" i="25"/>
  <c r="AA424" i="25"/>
  <c r="Z424" i="25"/>
  <c r="Y424" i="25"/>
  <c r="AA416" i="25"/>
  <c r="Z416" i="25"/>
  <c r="Y416" i="25"/>
  <c r="AA412" i="25"/>
  <c r="Z412" i="25"/>
  <c r="AA408" i="25"/>
  <c r="Z408" i="25"/>
  <c r="Y408" i="25"/>
  <c r="AA404" i="25"/>
  <c r="Z404" i="25"/>
  <c r="Y404" i="25"/>
  <c r="AA400" i="25"/>
  <c r="Z400" i="25"/>
  <c r="Y400" i="25"/>
  <c r="AA396" i="25"/>
  <c r="Z396" i="25"/>
  <c r="AA392" i="25"/>
  <c r="Z392" i="25"/>
  <c r="Y392" i="25"/>
  <c r="AA388" i="25"/>
  <c r="Z388" i="25"/>
  <c r="Y388" i="25"/>
  <c r="AA384" i="25"/>
  <c r="Z384" i="25"/>
  <c r="Y384" i="25"/>
  <c r="AA380" i="25"/>
  <c r="Z380" i="25"/>
  <c r="AA376" i="25"/>
  <c r="Y376" i="25"/>
  <c r="Z376" i="25"/>
  <c r="AA372" i="25"/>
  <c r="Z372" i="25"/>
  <c r="Y372" i="25"/>
  <c r="AA368" i="25"/>
  <c r="Z368" i="25"/>
  <c r="Y368" i="25"/>
  <c r="AA364" i="25"/>
  <c r="Z364" i="25"/>
  <c r="AA360" i="25"/>
  <c r="Y360" i="25"/>
  <c r="Z360" i="25"/>
  <c r="AA356" i="25"/>
  <c r="Z356" i="25"/>
  <c r="Y356" i="25"/>
  <c r="AA352" i="25"/>
  <c r="Z352" i="25"/>
  <c r="Y352" i="25"/>
  <c r="AA348" i="25"/>
  <c r="Z348" i="25"/>
  <c r="AA344" i="25"/>
  <c r="Y344" i="25"/>
  <c r="AA340" i="25"/>
  <c r="Z340" i="25"/>
  <c r="Y340" i="25"/>
  <c r="AA336" i="25"/>
  <c r="Z336" i="25"/>
  <c r="Y336" i="25"/>
  <c r="AA332" i="25"/>
  <c r="Z332" i="25"/>
  <c r="AA328" i="25"/>
  <c r="Z328" i="25"/>
  <c r="Y328" i="25"/>
  <c r="AA324" i="25"/>
  <c r="Z324" i="25"/>
  <c r="Y324" i="25"/>
  <c r="AA320" i="25"/>
  <c r="Z320" i="25"/>
  <c r="Y320" i="25"/>
  <c r="AA316" i="25"/>
  <c r="Z316" i="25"/>
  <c r="AA312" i="25"/>
  <c r="Y312" i="25"/>
  <c r="Z312" i="25"/>
  <c r="AA308" i="25"/>
  <c r="Z308" i="25"/>
  <c r="Y308" i="25"/>
  <c r="AA304" i="25"/>
  <c r="Z304" i="25"/>
  <c r="Y304" i="25"/>
  <c r="AA300" i="25"/>
  <c r="Z300" i="25"/>
  <c r="AA296" i="25"/>
  <c r="Y296" i="25"/>
  <c r="Z296" i="25"/>
  <c r="AA292" i="25"/>
  <c r="Z292" i="25"/>
  <c r="Y292" i="25"/>
  <c r="AA288" i="25"/>
  <c r="Z288" i="25"/>
  <c r="Y288" i="25"/>
  <c r="AA284" i="25"/>
  <c r="Z284" i="25"/>
  <c r="AA280" i="25"/>
  <c r="Y280" i="25"/>
  <c r="AA276" i="25"/>
  <c r="Z276" i="25"/>
  <c r="Y276" i="25"/>
  <c r="AA272" i="25"/>
  <c r="Z272" i="25"/>
  <c r="Y272" i="25"/>
  <c r="AA268" i="25"/>
  <c r="Z268" i="25"/>
  <c r="AA264" i="25"/>
  <c r="Z264" i="25"/>
  <c r="Y264" i="25"/>
  <c r="AA260" i="25"/>
  <c r="Z260" i="25"/>
  <c r="Y260" i="25"/>
  <c r="AA256" i="25"/>
  <c r="Z256" i="25"/>
  <c r="Y256" i="25"/>
  <c r="AA252" i="25"/>
  <c r="Z252" i="25"/>
  <c r="AA248" i="25"/>
  <c r="Y248" i="25"/>
  <c r="Z248" i="25"/>
  <c r="AA244" i="25"/>
  <c r="Z244" i="25"/>
  <c r="Y244" i="25"/>
  <c r="AA240" i="25"/>
  <c r="Z240" i="25"/>
  <c r="Y240" i="25"/>
  <c r="AA236" i="25"/>
  <c r="Z236" i="25"/>
  <c r="AA232" i="25"/>
  <c r="Y232" i="25"/>
  <c r="Z232" i="25"/>
  <c r="AA228" i="25"/>
  <c r="Z228" i="25"/>
  <c r="Y228" i="25"/>
  <c r="AA224" i="25"/>
  <c r="Z224" i="25"/>
  <c r="Y224" i="25"/>
  <c r="AA216" i="25"/>
  <c r="Z216" i="25"/>
  <c r="Y216" i="25"/>
  <c r="AA212" i="25"/>
  <c r="Z212" i="25"/>
  <c r="Y212" i="25"/>
  <c r="AA208" i="25"/>
  <c r="Z208" i="25"/>
  <c r="Y208" i="25"/>
  <c r="AA204" i="25"/>
  <c r="Z204" i="25"/>
  <c r="AA200" i="25"/>
  <c r="Z200" i="25"/>
  <c r="Y200" i="25"/>
  <c r="AA196" i="25"/>
  <c r="Z196" i="25"/>
  <c r="Y196" i="25"/>
  <c r="AA192" i="25"/>
  <c r="Z192" i="25"/>
  <c r="Y192" i="25"/>
  <c r="AA188" i="25"/>
  <c r="Z188" i="25"/>
  <c r="AA184" i="25"/>
  <c r="Z184" i="25"/>
  <c r="Y184" i="25"/>
  <c r="AA180" i="25"/>
  <c r="Z180" i="25"/>
  <c r="Y180" i="25"/>
  <c r="AA176" i="25"/>
  <c r="Z176" i="25"/>
  <c r="Y176" i="25"/>
  <c r="AA172" i="25"/>
  <c r="Z172" i="25"/>
  <c r="T168" i="25"/>
  <c r="AA168" i="25"/>
  <c r="Z168" i="25"/>
  <c r="Y168" i="25"/>
  <c r="AA164" i="25"/>
  <c r="Z164" i="25"/>
  <c r="Y164" i="25"/>
  <c r="AA160" i="25"/>
  <c r="Z160" i="25"/>
  <c r="Y160" i="25"/>
  <c r="AA156" i="25"/>
  <c r="Z156" i="25"/>
  <c r="T152" i="25"/>
  <c r="AA152" i="25"/>
  <c r="Z152" i="25"/>
  <c r="Y152" i="25"/>
  <c r="AA148" i="25"/>
  <c r="Z148" i="25"/>
  <c r="Y148" i="25"/>
  <c r="AA144" i="25"/>
  <c r="Z144" i="25"/>
  <c r="Y144" i="25"/>
  <c r="AA140" i="25"/>
  <c r="Z140" i="25"/>
  <c r="T136" i="25"/>
  <c r="AA136" i="25"/>
  <c r="Z136" i="25"/>
  <c r="Y136" i="25"/>
  <c r="AA132" i="25"/>
  <c r="Z132" i="25"/>
  <c r="Y132" i="25"/>
  <c r="AA128" i="25"/>
  <c r="Z128" i="25"/>
  <c r="Y128" i="25"/>
  <c r="AA124" i="25"/>
  <c r="Z124" i="25"/>
  <c r="T120" i="25"/>
  <c r="AA120" i="25"/>
  <c r="Z120" i="25"/>
  <c r="Y120" i="25"/>
  <c r="AA116" i="25"/>
  <c r="Z116" i="25"/>
  <c r="Y116" i="25"/>
  <c r="AA112" i="25"/>
  <c r="Z112" i="25"/>
  <c r="Y112" i="25"/>
  <c r="AA108" i="25"/>
  <c r="Z108" i="25"/>
  <c r="T104" i="25"/>
  <c r="AA104" i="25"/>
  <c r="Z104" i="25"/>
  <c r="Y104" i="25"/>
  <c r="AA100" i="25"/>
  <c r="Z100" i="25"/>
  <c r="Y100" i="25"/>
  <c r="AA96" i="25"/>
  <c r="Z96" i="25"/>
  <c r="Y96" i="25"/>
  <c r="AA92" i="25"/>
  <c r="Z92" i="25"/>
  <c r="T88" i="25"/>
  <c r="AA88" i="25"/>
  <c r="Z88" i="25"/>
  <c r="Y88" i="25"/>
  <c r="AA84" i="25"/>
  <c r="Z84" i="25"/>
  <c r="Y84" i="25"/>
  <c r="AA80" i="25"/>
  <c r="Z80" i="25"/>
  <c r="Y80" i="25"/>
  <c r="AA76" i="25"/>
  <c r="Z76" i="25"/>
  <c r="T72" i="25"/>
  <c r="AA72" i="25"/>
  <c r="Z72" i="25"/>
  <c r="Y72" i="25"/>
  <c r="AA68" i="25"/>
  <c r="Z68" i="25"/>
  <c r="Y68" i="25"/>
  <c r="AA64" i="25"/>
  <c r="Z64" i="25"/>
  <c r="Y64" i="25"/>
  <c r="AA60" i="25"/>
  <c r="Z60" i="25"/>
  <c r="T56" i="25"/>
  <c r="AA56" i="25"/>
  <c r="Z56" i="25"/>
  <c r="Y56" i="25"/>
  <c r="AA52" i="25"/>
  <c r="Z52" i="25"/>
  <c r="Y52" i="25"/>
  <c r="AA48" i="25"/>
  <c r="Z48" i="25"/>
  <c r="Y48" i="25"/>
  <c r="AA44" i="25"/>
  <c r="Z44" i="25"/>
  <c r="T40" i="25"/>
  <c r="AA40" i="25"/>
  <c r="Z40" i="25"/>
  <c r="Y40" i="25"/>
  <c r="AA36" i="25"/>
  <c r="Z36" i="25"/>
  <c r="Y36" i="25"/>
  <c r="AA32" i="25"/>
  <c r="Z32" i="25"/>
  <c r="Y32" i="25"/>
  <c r="AA28" i="25"/>
  <c r="Z28" i="25"/>
  <c r="T24" i="25"/>
  <c r="AA24" i="25"/>
  <c r="Z24" i="25"/>
  <c r="Y24" i="25"/>
  <c r="AA20" i="25"/>
  <c r="Z20" i="25"/>
  <c r="Y20" i="25"/>
  <c r="AA16" i="25"/>
  <c r="Z16" i="25"/>
  <c r="Y16" i="25"/>
  <c r="AA12" i="25"/>
  <c r="Z12" i="25"/>
  <c r="T8" i="25"/>
  <c r="AA8" i="25"/>
  <c r="Z8" i="25"/>
  <c r="Y8" i="25"/>
  <c r="AA4" i="25"/>
  <c r="Z4" i="25"/>
  <c r="Y4" i="25"/>
  <c r="U594" i="25"/>
  <c r="AA594" i="25"/>
  <c r="Z594" i="25"/>
  <c r="U590" i="25"/>
  <c r="AA590" i="25"/>
  <c r="Z590" i="25"/>
  <c r="Y590" i="25"/>
  <c r="AA586" i="25"/>
  <c r="Z586" i="25"/>
  <c r="Y586" i="25"/>
  <c r="Z582" i="25"/>
  <c r="AA582" i="25"/>
  <c r="Y582" i="25"/>
  <c r="U578" i="25"/>
  <c r="AA578" i="25"/>
  <c r="Z578" i="25"/>
  <c r="U574" i="25"/>
  <c r="AA574" i="25"/>
  <c r="Z574" i="25"/>
  <c r="Y574" i="25"/>
  <c r="Z570" i="25"/>
  <c r="AA570" i="25"/>
  <c r="Y570" i="25"/>
  <c r="AA566" i="25"/>
  <c r="Z566" i="25"/>
  <c r="Y566" i="25"/>
  <c r="U562" i="25"/>
  <c r="AA562" i="25"/>
  <c r="Z562" i="25"/>
  <c r="U558" i="25"/>
  <c r="AA558" i="25"/>
  <c r="Z558" i="25"/>
  <c r="Y558" i="25"/>
  <c r="AA554" i="25"/>
  <c r="Z554" i="25"/>
  <c r="Y554" i="25"/>
  <c r="U550" i="25"/>
  <c r="AA550" i="25"/>
  <c r="Z550" i="25"/>
  <c r="Y550" i="25"/>
  <c r="AA546" i="25"/>
  <c r="Z546" i="25"/>
  <c r="U542" i="25"/>
  <c r="Z542" i="25"/>
  <c r="AA542" i="25"/>
  <c r="Y542" i="25"/>
  <c r="AA538" i="25"/>
  <c r="Z538" i="25"/>
  <c r="Y538" i="25"/>
  <c r="U534" i="25"/>
  <c r="Z534" i="25"/>
  <c r="AA534" i="25"/>
  <c r="Y534" i="25"/>
  <c r="AA530" i="25"/>
  <c r="Z530" i="25"/>
  <c r="U526" i="25"/>
  <c r="AA526" i="25"/>
  <c r="Z526" i="25"/>
  <c r="Y526" i="25"/>
  <c r="AA522" i="25"/>
  <c r="Z522" i="25"/>
  <c r="Y522" i="25"/>
  <c r="U518" i="25"/>
  <c r="AA518" i="25"/>
  <c r="Z518" i="25"/>
  <c r="Y518" i="25"/>
  <c r="AA514" i="25"/>
  <c r="Z514" i="25"/>
  <c r="U510" i="25"/>
  <c r="AA510" i="25"/>
  <c r="Z510" i="25"/>
  <c r="Y510" i="25"/>
  <c r="Z506" i="25"/>
  <c r="AA506" i="25"/>
  <c r="Y506" i="25"/>
  <c r="U502" i="25"/>
  <c r="AA502" i="25"/>
  <c r="Z502" i="25"/>
  <c r="Y502" i="25"/>
  <c r="Y562" i="25"/>
  <c r="Y476" i="25"/>
  <c r="Y412" i="25"/>
  <c r="Y348" i="25"/>
  <c r="Y284" i="25"/>
  <c r="Y220" i="25"/>
  <c r="AA499" i="25"/>
  <c r="Y499" i="25"/>
  <c r="Z499" i="25"/>
  <c r="AA495" i="25"/>
  <c r="Z495" i="25"/>
  <c r="Y495" i="25"/>
  <c r="W491" i="25"/>
  <c r="AA491" i="25"/>
  <c r="Z491" i="25"/>
  <c r="Y491" i="25"/>
  <c r="W487" i="25"/>
  <c r="AA487" i="25"/>
  <c r="AA483" i="25"/>
  <c r="Y483" i="25"/>
  <c r="Z483" i="25"/>
  <c r="AA479" i="25"/>
  <c r="Z479" i="25"/>
  <c r="Y479" i="25"/>
  <c r="W475" i="25"/>
  <c r="AA475" i="25"/>
  <c r="Z475" i="25"/>
  <c r="Y475" i="25"/>
  <c r="W471" i="25"/>
  <c r="AA471" i="25"/>
  <c r="AA467" i="25"/>
  <c r="Y467" i="25"/>
  <c r="Z467" i="25"/>
  <c r="AA463" i="25"/>
  <c r="Z463" i="25"/>
  <c r="Y463" i="25"/>
  <c r="AA459" i="25"/>
  <c r="Z459" i="25"/>
  <c r="Y459" i="25"/>
  <c r="AA455" i="25"/>
  <c r="W451" i="25"/>
  <c r="AA451" i="25"/>
  <c r="Y451" i="25"/>
  <c r="Z451" i="25"/>
  <c r="AA443" i="25"/>
  <c r="Z443" i="25"/>
  <c r="Y443" i="25"/>
  <c r="AA439" i="25"/>
  <c r="W435" i="25"/>
  <c r="AA435" i="25"/>
  <c r="Y435" i="25"/>
  <c r="Z435" i="25"/>
  <c r="AA431" i="25"/>
  <c r="Z431" i="25"/>
  <c r="Y431" i="25"/>
  <c r="AA427" i="25"/>
  <c r="Z427" i="25"/>
  <c r="Y427" i="25"/>
  <c r="AA423" i="25"/>
  <c r="AA419" i="25"/>
  <c r="Y419" i="25"/>
  <c r="Z419" i="25"/>
  <c r="AA415" i="25"/>
  <c r="Z415" i="25"/>
  <c r="Y415" i="25"/>
  <c r="AA411" i="25"/>
  <c r="Z411" i="25"/>
  <c r="Y411" i="25"/>
  <c r="AA407" i="25"/>
  <c r="AA403" i="25"/>
  <c r="Y403" i="25"/>
  <c r="Z403" i="25"/>
  <c r="Z399" i="25"/>
  <c r="AA399" i="25"/>
  <c r="Y399" i="25"/>
  <c r="AA395" i="25"/>
  <c r="Z395" i="25"/>
  <c r="Y395" i="25"/>
  <c r="AA391" i="25"/>
  <c r="Z391" i="25"/>
  <c r="W387" i="25"/>
  <c r="AA387" i="25"/>
  <c r="Y387" i="25"/>
  <c r="Z383" i="25"/>
  <c r="AA383" i="25"/>
  <c r="Y383" i="25"/>
  <c r="AA379" i="25"/>
  <c r="Z379" i="25"/>
  <c r="Y379" i="25"/>
  <c r="AA375" i="25"/>
  <c r="Z375" i="25"/>
  <c r="W371" i="25"/>
  <c r="AA371" i="25"/>
  <c r="Z371" i="25"/>
  <c r="Y371" i="25"/>
  <c r="Z367" i="25"/>
  <c r="AA367" i="25"/>
  <c r="Y367" i="25"/>
  <c r="Z363" i="25"/>
  <c r="AA363" i="25"/>
  <c r="Y363" i="25"/>
  <c r="AA359" i="25"/>
  <c r="Z359" i="25"/>
  <c r="AA355" i="25"/>
  <c r="Y355" i="25"/>
  <c r="Z355" i="25"/>
  <c r="AA351" i="25"/>
  <c r="Z351" i="25"/>
  <c r="Y351" i="25"/>
  <c r="Z347" i="25"/>
  <c r="AA347" i="25"/>
  <c r="Y347" i="25"/>
  <c r="AA343" i="25"/>
  <c r="Z343" i="25"/>
  <c r="AA339" i="25"/>
  <c r="Y339" i="25"/>
  <c r="Z339" i="25"/>
  <c r="AA335" i="25"/>
  <c r="Z335" i="25"/>
  <c r="Y335" i="25"/>
  <c r="X331" i="25"/>
  <c r="AA331" i="25"/>
  <c r="Z331" i="25"/>
  <c r="Y331" i="25"/>
  <c r="AA327" i="25"/>
  <c r="Z327" i="25"/>
  <c r="W323" i="25"/>
  <c r="AA323" i="25"/>
  <c r="Y323" i="25"/>
  <c r="AA319" i="25"/>
  <c r="Z319" i="25"/>
  <c r="Y319" i="25"/>
  <c r="AA315" i="25"/>
  <c r="Z315" i="25"/>
  <c r="Y315" i="25"/>
  <c r="AA311" i="25"/>
  <c r="Z311" i="25"/>
  <c r="W307" i="25"/>
  <c r="AA307" i="25"/>
  <c r="Z307" i="25"/>
  <c r="Y307" i="25"/>
  <c r="AA303" i="25"/>
  <c r="Z303" i="25"/>
  <c r="Y303" i="25"/>
  <c r="AA299" i="25"/>
  <c r="Z299" i="25"/>
  <c r="Y299" i="25"/>
  <c r="AA295" i="25"/>
  <c r="Z295" i="25"/>
  <c r="AA291" i="25"/>
  <c r="Y291" i="25"/>
  <c r="Z291" i="25"/>
  <c r="Z287" i="25"/>
  <c r="AA283" i="25"/>
  <c r="Z283" i="25"/>
  <c r="Y283" i="25"/>
  <c r="AA279" i="25"/>
  <c r="Z279" i="25"/>
  <c r="AA275" i="25"/>
  <c r="Y275" i="25"/>
  <c r="Z275" i="25"/>
  <c r="AA271" i="25"/>
  <c r="Z271" i="25"/>
  <c r="Y271" i="25"/>
  <c r="X267" i="25"/>
  <c r="AA267" i="25"/>
  <c r="Z267" i="25"/>
  <c r="Y267" i="25"/>
  <c r="AA263" i="25"/>
  <c r="Z263" i="25"/>
  <c r="W259" i="25"/>
  <c r="AA259" i="25"/>
  <c r="Y259" i="25"/>
  <c r="AA255" i="25"/>
  <c r="Z255" i="25"/>
  <c r="Y255" i="25"/>
  <c r="AA251" i="25"/>
  <c r="Z251" i="25"/>
  <c r="Y251" i="25"/>
  <c r="AA247" i="25"/>
  <c r="Z247" i="25"/>
  <c r="AA243" i="25"/>
  <c r="Z243" i="25"/>
  <c r="Y243" i="25"/>
  <c r="AA239" i="25"/>
  <c r="Z239" i="25"/>
  <c r="Y239" i="25"/>
  <c r="W235" i="25"/>
  <c r="AA235" i="25"/>
  <c r="Z235" i="25"/>
  <c r="Y235" i="25"/>
  <c r="AA231" i="25"/>
  <c r="Z231" i="25"/>
  <c r="AA227" i="25"/>
  <c r="Y227" i="25"/>
  <c r="Z227" i="25"/>
  <c r="AA223" i="25"/>
  <c r="Z223" i="25"/>
  <c r="Y223" i="25"/>
  <c r="AA219" i="25"/>
  <c r="Z219" i="25"/>
  <c r="Y219" i="25"/>
  <c r="AA215" i="25"/>
  <c r="Z215" i="25"/>
  <c r="AA211" i="25"/>
  <c r="Z211" i="25"/>
  <c r="Y211" i="25"/>
  <c r="AA207" i="25"/>
  <c r="Z207" i="25"/>
  <c r="Y207" i="25"/>
  <c r="AA203" i="25"/>
  <c r="Z203" i="25"/>
  <c r="Y203" i="25"/>
  <c r="AA199" i="25"/>
  <c r="Z199" i="25"/>
  <c r="AA195" i="25"/>
  <c r="Z195" i="25"/>
  <c r="Y195" i="25"/>
  <c r="AA191" i="25"/>
  <c r="Z191" i="25"/>
  <c r="Y191" i="25"/>
  <c r="AA187" i="25"/>
  <c r="Z187" i="25"/>
  <c r="Y187" i="25"/>
  <c r="AA183" i="25"/>
  <c r="Z183" i="25"/>
  <c r="AA179" i="25"/>
  <c r="Z179" i="25"/>
  <c r="Y179" i="25"/>
  <c r="AA175" i="25"/>
  <c r="Z175" i="25"/>
  <c r="Y175" i="25"/>
  <c r="AA171" i="25"/>
  <c r="Z171" i="25"/>
  <c r="Y171" i="25"/>
  <c r="AA167" i="25"/>
  <c r="Z167" i="25"/>
  <c r="W163" i="25"/>
  <c r="AA163" i="25"/>
  <c r="Z163" i="25"/>
  <c r="Y163" i="25"/>
  <c r="AA159" i="25"/>
  <c r="Z159" i="25"/>
  <c r="Y159" i="25"/>
  <c r="AA155" i="25"/>
  <c r="Z155" i="25"/>
  <c r="Y155" i="25"/>
  <c r="AA151" i="25"/>
  <c r="Z151" i="25"/>
  <c r="AA147" i="25"/>
  <c r="Z147" i="25"/>
  <c r="Y147" i="25"/>
  <c r="AA143" i="25"/>
  <c r="Z143" i="25"/>
  <c r="Y143" i="25"/>
  <c r="AA139" i="25"/>
  <c r="Z139" i="25"/>
  <c r="Y139" i="25"/>
  <c r="AA135" i="25"/>
  <c r="Z135" i="25"/>
  <c r="AA131" i="25"/>
  <c r="Z131" i="25"/>
  <c r="Y131" i="25"/>
  <c r="AA127" i="25"/>
  <c r="Z127" i="25"/>
  <c r="Y127" i="25"/>
  <c r="AA123" i="25"/>
  <c r="Z123" i="25"/>
  <c r="Y123" i="25"/>
  <c r="AA119" i="25"/>
  <c r="Z119" i="25"/>
  <c r="AA115" i="25"/>
  <c r="Z115" i="25"/>
  <c r="Y115" i="25"/>
  <c r="AA111" i="25"/>
  <c r="Z111" i="25"/>
  <c r="Y111" i="25"/>
  <c r="AA107" i="25"/>
  <c r="Z107" i="25"/>
  <c r="Y107" i="25"/>
  <c r="AA103" i="25"/>
  <c r="Z103" i="25"/>
  <c r="W99" i="25"/>
  <c r="AA99" i="25"/>
  <c r="Z99" i="25"/>
  <c r="Y99" i="25"/>
  <c r="AA95" i="25"/>
  <c r="Z95" i="25"/>
  <c r="Y95" i="25"/>
  <c r="AA91" i="25"/>
  <c r="Z91" i="25"/>
  <c r="Y91" i="25"/>
  <c r="AA87" i="25"/>
  <c r="Z87" i="25"/>
  <c r="AA83" i="25"/>
  <c r="Z83" i="25"/>
  <c r="Y83" i="25"/>
  <c r="AA79" i="25"/>
  <c r="Z79" i="25"/>
  <c r="Y79" i="25"/>
  <c r="X75" i="25"/>
  <c r="AA75" i="25"/>
  <c r="Z75" i="25"/>
  <c r="Y75" i="25"/>
  <c r="Y578" i="25"/>
  <c r="Y514" i="25"/>
  <c r="Y492" i="25"/>
  <c r="Y471" i="25"/>
  <c r="Y428" i="25"/>
  <c r="Y407" i="25"/>
  <c r="Y364" i="25"/>
  <c r="Y343" i="25"/>
  <c r="AA498" i="25"/>
  <c r="Z498" i="25"/>
  <c r="AA494" i="25"/>
  <c r="Z494" i="25"/>
  <c r="Y494" i="25"/>
  <c r="AA490" i="25"/>
  <c r="Z490" i="25"/>
  <c r="Y490" i="25"/>
  <c r="AA486" i="25"/>
  <c r="Z486" i="25"/>
  <c r="Y486" i="25"/>
  <c r="AA482" i="25"/>
  <c r="Z482" i="25"/>
  <c r="Z478" i="25"/>
  <c r="AA478" i="25"/>
  <c r="Y478" i="25"/>
  <c r="AA474" i="25"/>
  <c r="Z474" i="25"/>
  <c r="Y474" i="25"/>
  <c r="Y594" i="25"/>
  <c r="Y530" i="25"/>
  <c r="Y487" i="25"/>
  <c r="Y444" i="25"/>
  <c r="Y423" i="25"/>
  <c r="Y380" i="25"/>
  <c r="Y359" i="25"/>
  <c r="Y316" i="25"/>
  <c r="Y295" i="25"/>
  <c r="Y252" i="25"/>
  <c r="Y231" i="25"/>
  <c r="Y188" i="25"/>
  <c r="Y167" i="25"/>
  <c r="Y124" i="25"/>
  <c r="Y103" i="25"/>
  <c r="Y44" i="25"/>
  <c r="Y12" i="25"/>
  <c r="X2" i="25"/>
  <c r="AA2" i="25"/>
  <c r="Z2" i="25"/>
  <c r="U497" i="25"/>
  <c r="Y497" i="25"/>
  <c r="Z497" i="25"/>
  <c r="AA497" i="25"/>
  <c r="AA493" i="25"/>
  <c r="Y493" i="25"/>
  <c r="Z493" i="25"/>
  <c r="Y489" i="25"/>
  <c r="AA489" i="25"/>
  <c r="Z489" i="25"/>
  <c r="Y485" i="25"/>
  <c r="Z485" i="25"/>
  <c r="AA485" i="25"/>
  <c r="U481" i="25"/>
  <c r="Y481" i="25"/>
  <c r="AA481" i="25"/>
  <c r="Z481" i="25"/>
  <c r="AA477" i="25"/>
  <c r="Y477" i="25"/>
  <c r="Z477" i="25"/>
  <c r="V473" i="25"/>
  <c r="AA473" i="25"/>
  <c r="Y473" i="25"/>
  <c r="Z473" i="25"/>
  <c r="Y469" i="25"/>
  <c r="Z469" i="25"/>
  <c r="AA469" i="25"/>
  <c r="AA465" i="25"/>
  <c r="Y465" i="25"/>
  <c r="Z465" i="25"/>
  <c r="AA461" i="25"/>
  <c r="Y461" i="25"/>
  <c r="Z461" i="25"/>
  <c r="V457" i="25"/>
  <c r="Y457" i="25"/>
  <c r="Z457" i="25"/>
  <c r="AA457" i="25"/>
  <c r="Y453" i="25"/>
  <c r="AA453" i="25"/>
  <c r="Z453" i="25"/>
  <c r="Y449" i="25"/>
  <c r="Z449" i="25"/>
  <c r="AA449" i="25"/>
  <c r="AA445" i="25"/>
  <c r="Y445" i="25"/>
  <c r="Z445" i="25"/>
  <c r="V441" i="25"/>
  <c r="Y441" i="25"/>
  <c r="Z441" i="25"/>
  <c r="AA441" i="25"/>
  <c r="V437" i="25"/>
  <c r="AA437" i="25"/>
  <c r="Y437" i="25"/>
  <c r="Z437" i="25"/>
  <c r="Y433" i="25"/>
  <c r="Z433" i="25"/>
  <c r="AA433" i="25"/>
  <c r="AA429" i="25"/>
  <c r="Y429" i="25"/>
  <c r="Z429" i="25"/>
  <c r="V425" i="25"/>
  <c r="Y425" i="25"/>
  <c r="AA425" i="25"/>
  <c r="Z425" i="25"/>
  <c r="Y421" i="25"/>
  <c r="Z421" i="25"/>
  <c r="AA421" i="25"/>
  <c r="Y417" i="25"/>
  <c r="AA417" i="25"/>
  <c r="Z417" i="25"/>
  <c r="AA413" i="25"/>
  <c r="Y413" i="25"/>
  <c r="Z413" i="25"/>
  <c r="Y546" i="25"/>
  <c r="Y482" i="25"/>
  <c r="Y460" i="25"/>
  <c r="Y439" i="25"/>
  <c r="Y396" i="25"/>
  <c r="Y375" i="25"/>
  <c r="Y332" i="25"/>
  <c r="Y311" i="25"/>
  <c r="Y268" i="25"/>
  <c r="Y247" i="25"/>
  <c r="Y204" i="25"/>
  <c r="Y183" i="25"/>
  <c r="Y140" i="25"/>
  <c r="Y119" i="25"/>
  <c r="Y76" i="25"/>
  <c r="Z487" i="25"/>
  <c r="Z423" i="25"/>
  <c r="Z344" i="25"/>
  <c r="Z259" i="25"/>
  <c r="Y156" i="25"/>
  <c r="Y135" i="25"/>
  <c r="Y92" i="25"/>
  <c r="Y60" i="25"/>
  <c r="Y28" i="25"/>
  <c r="Z471" i="25"/>
  <c r="Z407" i="25"/>
  <c r="Z323" i="25"/>
  <c r="Y300" i="25"/>
  <c r="Y279" i="25"/>
  <c r="Y236" i="25"/>
  <c r="Y215" i="25"/>
  <c r="Y172" i="25"/>
  <c r="Y151" i="25"/>
  <c r="Y108" i="25"/>
  <c r="Y87" i="25"/>
  <c r="Z455" i="25"/>
  <c r="Z387" i="25"/>
  <c r="Y587" i="25"/>
  <c r="Y571" i="25"/>
  <c r="Y555" i="25"/>
  <c r="Y539" i="25"/>
  <c r="Y523" i="25"/>
  <c r="Y507" i="25"/>
  <c r="Z587" i="25"/>
  <c r="Z571" i="25"/>
  <c r="Z555" i="25"/>
  <c r="Z547" i="25"/>
  <c r="Z539" i="25"/>
  <c r="Z531" i="25"/>
  <c r="Z523" i="25"/>
  <c r="Z515" i="25"/>
  <c r="Z507" i="25"/>
  <c r="Z470" i="25"/>
  <c r="AA470" i="25"/>
  <c r="AA466" i="25"/>
  <c r="Z466" i="25"/>
  <c r="AA462" i="25"/>
  <c r="Z462" i="25"/>
  <c r="AA458" i="25"/>
  <c r="Z458" i="25"/>
  <c r="AA454" i="25"/>
  <c r="Z454" i="25"/>
  <c r="AA450" i="25"/>
  <c r="Z450" i="25"/>
  <c r="AA446" i="25"/>
  <c r="Z446" i="25"/>
  <c r="Z442" i="25"/>
  <c r="AA442" i="25"/>
  <c r="AA438" i="25"/>
  <c r="Z438" i="25"/>
  <c r="AA434" i="25"/>
  <c r="Z434" i="25"/>
  <c r="AA430" i="25"/>
  <c r="Z430" i="25"/>
  <c r="AA426" i="25"/>
  <c r="Z426" i="25"/>
  <c r="AA422" i="25"/>
  <c r="Z422" i="25"/>
  <c r="AA418" i="25"/>
  <c r="Z418" i="25"/>
  <c r="Z414" i="25"/>
  <c r="AA414" i="25"/>
  <c r="AA410" i="25"/>
  <c r="Z410" i="25"/>
  <c r="Z406" i="25"/>
  <c r="AA406" i="25"/>
  <c r="AA402" i="25"/>
  <c r="Z402" i="25"/>
  <c r="Z398" i="25"/>
  <c r="AA398" i="25"/>
  <c r="Z394" i="25"/>
  <c r="AA394" i="25"/>
  <c r="Z390" i="25"/>
  <c r="AA390" i="25"/>
  <c r="AA386" i="25"/>
  <c r="Z386" i="25"/>
  <c r="Z382" i="25"/>
  <c r="AA382" i="25"/>
  <c r="Z378" i="25"/>
  <c r="AA378" i="25"/>
  <c r="Z374" i="25"/>
  <c r="AA374" i="25"/>
  <c r="AA370" i="25"/>
  <c r="Z370" i="25"/>
  <c r="Z366" i="25"/>
  <c r="AA366" i="25"/>
  <c r="Z362" i="25"/>
  <c r="AA362" i="25"/>
  <c r="Z358" i="25"/>
  <c r="AA358" i="25"/>
  <c r="AA354" i="25"/>
  <c r="Z354" i="25"/>
  <c r="Z350" i="25"/>
  <c r="AA350" i="25"/>
  <c r="Z346" i="25"/>
  <c r="AA346" i="25"/>
  <c r="Z342" i="25"/>
  <c r="AA342" i="25"/>
  <c r="AA338" i="25"/>
  <c r="Z338" i="25"/>
  <c r="AA334" i="25"/>
  <c r="Z334" i="25"/>
  <c r="AA330" i="25"/>
  <c r="Z330" i="25"/>
  <c r="Z326" i="25"/>
  <c r="AA326" i="25"/>
  <c r="AA322" i="25"/>
  <c r="Z322" i="25"/>
  <c r="Z318" i="25"/>
  <c r="AA318" i="25"/>
  <c r="AA314" i="25"/>
  <c r="Z314" i="25"/>
  <c r="Z310" i="25"/>
  <c r="AA310" i="25"/>
  <c r="AA306" i="25"/>
  <c r="Z306" i="25"/>
  <c r="AA302" i="25"/>
  <c r="Z302" i="25"/>
  <c r="AA298" i="25"/>
  <c r="Z298" i="25"/>
  <c r="Z294" i="25"/>
  <c r="AA294" i="25"/>
  <c r="AA290" i="25"/>
  <c r="Z290" i="25"/>
  <c r="Z286" i="25"/>
  <c r="AA286" i="25"/>
  <c r="AA282" i="25"/>
  <c r="Z282" i="25"/>
  <c r="Z278" i="25"/>
  <c r="AA278" i="25"/>
  <c r="AA274" i="25"/>
  <c r="Z274" i="25"/>
  <c r="AA270" i="25"/>
  <c r="Z270" i="25"/>
  <c r="AA266" i="25"/>
  <c r="Z266" i="25"/>
  <c r="Z262" i="25"/>
  <c r="AA262" i="25"/>
  <c r="AA258" i="25"/>
  <c r="Z258" i="25"/>
  <c r="AA254" i="25"/>
  <c r="Z254" i="25"/>
  <c r="AA250" i="25"/>
  <c r="Z250" i="25"/>
  <c r="AA246" i="25"/>
  <c r="Z246" i="25"/>
  <c r="AA242" i="25"/>
  <c r="Z242" i="25"/>
  <c r="AA238" i="25"/>
  <c r="Z238" i="25"/>
  <c r="AA234" i="25"/>
  <c r="Z234" i="25"/>
  <c r="AA230" i="25"/>
  <c r="Z230" i="25"/>
  <c r="AA226" i="25"/>
  <c r="Z226" i="25"/>
  <c r="AA222" i="25"/>
  <c r="Z222" i="25"/>
  <c r="AA218" i="25"/>
  <c r="Z218" i="25"/>
  <c r="AA214" i="25"/>
  <c r="Z214" i="25"/>
  <c r="AA210" i="25"/>
  <c r="Z210" i="25"/>
  <c r="AA206" i="25"/>
  <c r="Z206" i="25"/>
  <c r="AA202" i="25"/>
  <c r="Z202" i="25"/>
  <c r="AA198" i="25"/>
  <c r="Z198" i="25"/>
  <c r="AA194" i="25"/>
  <c r="Z194" i="25"/>
  <c r="AA190" i="25"/>
  <c r="Z190" i="25"/>
  <c r="AA186" i="25"/>
  <c r="Z186" i="25"/>
  <c r="AA182" i="25"/>
  <c r="Z182" i="25"/>
  <c r="AA178" i="25"/>
  <c r="Z178" i="25"/>
  <c r="AA174" i="25"/>
  <c r="Z174" i="25"/>
  <c r="AA170" i="25"/>
  <c r="Z170" i="25"/>
  <c r="AA166" i="25"/>
  <c r="Z166" i="25"/>
  <c r="AA162" i="25"/>
  <c r="Z162" i="25"/>
  <c r="AA158" i="25"/>
  <c r="Z158" i="25"/>
  <c r="AA154" i="25"/>
  <c r="Z154" i="25"/>
  <c r="AA150" i="25"/>
  <c r="Z150" i="25"/>
  <c r="AA146" i="25"/>
  <c r="Z146" i="25"/>
  <c r="AA142" i="25"/>
  <c r="Z142" i="25"/>
  <c r="AA138" i="25"/>
  <c r="Z138" i="25"/>
  <c r="AA134" i="25"/>
  <c r="Z134" i="25"/>
  <c r="AA130" i="25"/>
  <c r="Z130" i="25"/>
  <c r="AA126" i="25"/>
  <c r="Z126" i="25"/>
  <c r="AA122" i="25"/>
  <c r="Z122" i="25"/>
  <c r="AA118" i="25"/>
  <c r="Z118" i="25"/>
  <c r="AA114" i="25"/>
  <c r="Z114" i="25"/>
  <c r="AA110" i="25"/>
  <c r="Z110" i="25"/>
  <c r="AA106" i="25"/>
  <c r="Z106" i="25"/>
  <c r="AA102" i="25"/>
  <c r="Z102" i="25"/>
  <c r="AA98" i="25"/>
  <c r="Z98" i="25"/>
  <c r="AA94" i="25"/>
  <c r="Z94" i="25"/>
  <c r="AA90" i="25"/>
  <c r="Z90" i="25"/>
  <c r="AA86" i="25"/>
  <c r="Z86" i="25"/>
  <c r="AA82" i="25"/>
  <c r="Z82" i="25"/>
  <c r="AA78" i="25"/>
  <c r="Z78" i="25"/>
  <c r="AA74" i="25"/>
  <c r="Z74" i="25"/>
  <c r="AA70" i="25"/>
  <c r="Z70" i="25"/>
  <c r="AA66" i="25"/>
  <c r="Z66" i="25"/>
  <c r="AA62" i="25"/>
  <c r="Z62" i="25"/>
  <c r="AA58" i="25"/>
  <c r="Z58" i="25"/>
  <c r="AA54" i="25"/>
  <c r="Z54" i="25"/>
  <c r="AA50" i="25"/>
  <c r="Z50" i="25"/>
  <c r="AA46" i="25"/>
  <c r="Z46" i="25"/>
  <c r="AA42" i="25"/>
  <c r="Z42" i="25"/>
  <c r="AA38" i="25"/>
  <c r="Z38" i="25"/>
  <c r="AA34" i="25"/>
  <c r="Z34" i="25"/>
  <c r="AA30" i="25"/>
  <c r="Z30" i="25"/>
  <c r="AA26" i="25"/>
  <c r="Z26" i="25"/>
  <c r="AA22" i="25"/>
  <c r="Z22" i="25"/>
  <c r="AA18" i="25"/>
  <c r="Z18" i="25"/>
  <c r="AA14" i="25"/>
  <c r="Z14" i="25"/>
  <c r="AA10" i="25"/>
  <c r="Z10" i="25"/>
  <c r="AA6" i="25"/>
  <c r="Z6" i="25"/>
  <c r="Z596" i="25"/>
  <c r="AA596" i="25"/>
  <c r="Z592" i="25"/>
  <c r="AA592" i="25"/>
  <c r="AA588" i="25"/>
  <c r="Z588" i="25"/>
  <c r="Z584" i="25"/>
  <c r="AA584" i="25"/>
  <c r="Z580" i="25"/>
  <c r="AA580" i="25"/>
  <c r="Z576" i="25"/>
  <c r="AA576" i="25"/>
  <c r="AA572" i="25"/>
  <c r="Z572" i="25"/>
  <c r="AA568" i="25"/>
  <c r="Z568" i="25"/>
  <c r="AA564" i="25"/>
  <c r="Z564" i="25"/>
  <c r="AA560" i="25"/>
  <c r="Z560" i="25"/>
  <c r="AA556" i="25"/>
  <c r="Z556" i="25"/>
  <c r="AA552" i="25"/>
  <c r="Z552" i="25"/>
  <c r="AA548" i="25"/>
  <c r="Z548" i="25"/>
  <c r="AA544" i="25"/>
  <c r="Z544" i="25"/>
  <c r="AA540" i="25"/>
  <c r="Z540" i="25"/>
  <c r="AA536" i="25"/>
  <c r="Z536" i="25"/>
  <c r="AA532" i="25"/>
  <c r="Z532" i="25"/>
  <c r="AA528" i="25"/>
  <c r="Z528" i="25"/>
  <c r="AA524" i="25"/>
  <c r="Z524" i="25"/>
  <c r="AA520" i="25"/>
  <c r="Z520" i="25"/>
  <c r="AA516" i="25"/>
  <c r="Z516" i="25"/>
  <c r="AA512" i="25"/>
  <c r="Z512" i="25"/>
  <c r="AA508" i="25"/>
  <c r="Z508" i="25"/>
  <c r="AA504" i="25"/>
  <c r="Z504" i="25"/>
  <c r="Y596" i="25"/>
  <c r="Y580" i="25"/>
  <c r="Y564" i="25"/>
  <c r="Y548" i="25"/>
  <c r="Y532" i="25"/>
  <c r="Y516" i="25"/>
  <c r="Y458" i="25"/>
  <c r="Y442" i="25"/>
  <c r="Y426" i="25"/>
  <c r="Y410" i="25"/>
  <c r="Y394" i="25"/>
  <c r="Y378" i="25"/>
  <c r="Y362" i="25"/>
  <c r="Y346" i="25"/>
  <c r="Y330" i="25"/>
  <c r="Y314" i="25"/>
  <c r="Y298" i="25"/>
  <c r="Y282" i="25"/>
  <c r="Y266" i="25"/>
  <c r="Y250" i="25"/>
  <c r="Y234" i="25"/>
  <c r="Y218" i="25"/>
  <c r="Y202" i="25"/>
  <c r="Y186" i="25"/>
  <c r="Y170" i="25"/>
  <c r="Y154" i="25"/>
  <c r="Y138" i="25"/>
  <c r="Y122" i="25"/>
  <c r="Y106" i="25"/>
  <c r="Y90" i="25"/>
  <c r="Y74" i="25"/>
  <c r="Y58" i="25"/>
  <c r="Y42" i="25"/>
  <c r="Y26" i="25"/>
  <c r="Y10" i="25"/>
  <c r="V409" i="25"/>
  <c r="AA409" i="25"/>
  <c r="Y409" i="25"/>
  <c r="Z409" i="25"/>
  <c r="Y405" i="25"/>
  <c r="Z405" i="25"/>
  <c r="AA405" i="25"/>
  <c r="AA401" i="25"/>
  <c r="Y401" i="25"/>
  <c r="Z401" i="25"/>
  <c r="AA397" i="25"/>
  <c r="Y397" i="25"/>
  <c r="V393" i="25"/>
  <c r="Z393" i="25"/>
  <c r="Y393" i="25"/>
  <c r="AA393" i="25"/>
  <c r="Y389" i="25"/>
  <c r="AA389" i="25"/>
  <c r="Z389" i="25"/>
  <c r="Y385" i="25"/>
  <c r="Z385" i="25"/>
  <c r="AA385" i="25"/>
  <c r="AA381" i="25"/>
  <c r="Y381" i="25"/>
  <c r="V377" i="25"/>
  <c r="Z377" i="25"/>
  <c r="Y377" i="25"/>
  <c r="AA377" i="25"/>
  <c r="AA373" i="25"/>
  <c r="Y373" i="25"/>
  <c r="Z373" i="25"/>
  <c r="Y369" i="25"/>
  <c r="AA369" i="25"/>
  <c r="Z369" i="25"/>
  <c r="AA365" i="25"/>
  <c r="Y365" i="25"/>
  <c r="V361" i="25"/>
  <c r="Z361" i="25"/>
  <c r="Y361" i="25"/>
  <c r="AA361" i="25"/>
  <c r="Y357" i="25"/>
  <c r="Z357" i="25"/>
  <c r="AA357" i="25"/>
  <c r="Y353" i="25"/>
  <c r="AA353" i="25"/>
  <c r="Z353" i="25"/>
  <c r="AA349" i="25"/>
  <c r="Y349" i="25"/>
  <c r="V345" i="25"/>
  <c r="AA345" i="25"/>
  <c r="Z345" i="25"/>
  <c r="Y345" i="25"/>
  <c r="Y341" i="25"/>
  <c r="Z341" i="25"/>
  <c r="AA341" i="25"/>
  <c r="Y337" i="25"/>
  <c r="AA337" i="25"/>
  <c r="Z337" i="25"/>
  <c r="AA333" i="25"/>
  <c r="Y333" i="25"/>
  <c r="V329" i="25"/>
  <c r="Z329" i="25"/>
  <c r="Y329" i="25"/>
  <c r="AA329" i="25"/>
  <c r="AA325" i="25"/>
  <c r="Y325" i="25"/>
  <c r="Z325" i="25"/>
  <c r="Y321" i="25"/>
  <c r="AA321" i="25"/>
  <c r="Z321" i="25"/>
  <c r="Y317" i="25"/>
  <c r="AA317" i="25"/>
  <c r="V313" i="25"/>
  <c r="AA313" i="25"/>
  <c r="Z313" i="25"/>
  <c r="Y313" i="25"/>
  <c r="Y309" i="25"/>
  <c r="AA309" i="25"/>
  <c r="Z309" i="25"/>
  <c r="AA305" i="25"/>
  <c r="Y305" i="25"/>
  <c r="Z305" i="25"/>
  <c r="Y301" i="25"/>
  <c r="AA301" i="25"/>
  <c r="V297" i="25"/>
  <c r="Z297" i="25"/>
  <c r="Y297" i="25"/>
  <c r="AA297" i="25"/>
  <c r="AA293" i="25"/>
  <c r="Y293" i="25"/>
  <c r="Z293" i="25"/>
  <c r="X289" i="25"/>
  <c r="AA289" i="25"/>
  <c r="Y289" i="25"/>
  <c r="Z289" i="25"/>
  <c r="Y285" i="25"/>
  <c r="AA285" i="25"/>
  <c r="V281" i="25"/>
  <c r="AA281" i="25"/>
  <c r="Z281" i="25"/>
  <c r="Y281" i="25"/>
  <c r="AA277" i="25"/>
  <c r="Y277" i="25"/>
  <c r="Z277" i="25"/>
  <c r="Y273" i="25"/>
  <c r="Z273" i="25"/>
  <c r="AA273" i="25"/>
  <c r="Y269" i="25"/>
  <c r="AA269" i="25"/>
  <c r="V265" i="25"/>
  <c r="Z265" i="25"/>
  <c r="Y265" i="25"/>
  <c r="AA265" i="25"/>
  <c r="AA261" i="25"/>
  <c r="Y261" i="25"/>
  <c r="Z261" i="25"/>
  <c r="Y257" i="25"/>
  <c r="Z257" i="25"/>
  <c r="AA257" i="25"/>
  <c r="Y253" i="25"/>
  <c r="AA253" i="25"/>
  <c r="V249" i="25"/>
  <c r="Z249" i="25"/>
  <c r="Y249" i="25"/>
  <c r="AA249" i="25"/>
  <c r="AA245" i="25"/>
  <c r="Y245" i="25"/>
  <c r="Z245" i="25"/>
  <c r="AA241" i="25"/>
  <c r="Y241" i="25"/>
  <c r="Z241" i="25"/>
  <c r="AA237" i="25"/>
  <c r="Y237" i="25"/>
  <c r="V233" i="25"/>
  <c r="Z233" i="25"/>
  <c r="Y233" i="25"/>
  <c r="AA233" i="25"/>
  <c r="AA229" i="25"/>
  <c r="Y229" i="25"/>
  <c r="Z229" i="25"/>
  <c r="Y225" i="25"/>
  <c r="AA225" i="25"/>
  <c r="Z225" i="25"/>
  <c r="W221" i="25"/>
  <c r="Y221" i="25"/>
  <c r="Z221" i="25"/>
  <c r="V217" i="25"/>
  <c r="Z217" i="25"/>
  <c r="Y217" i="25"/>
  <c r="AA217" i="25"/>
  <c r="AA213" i="25"/>
  <c r="Y213" i="25"/>
  <c r="Z213" i="25"/>
  <c r="AA209" i="25"/>
  <c r="Y209" i="25"/>
  <c r="Z209" i="25"/>
  <c r="Y205" i="25"/>
  <c r="AA205" i="25"/>
  <c r="Z205" i="25"/>
  <c r="V201" i="25"/>
  <c r="AA201" i="25"/>
  <c r="Z201" i="25"/>
  <c r="Y201" i="25"/>
  <c r="AA197" i="25"/>
  <c r="Y197" i="25"/>
  <c r="Z197" i="25"/>
  <c r="W193" i="25"/>
  <c r="Y193" i="25"/>
  <c r="AA193" i="25"/>
  <c r="Z193" i="25"/>
  <c r="Y189" i="25"/>
  <c r="AA189" i="25"/>
  <c r="Z189" i="25"/>
  <c r="V185" i="25"/>
  <c r="AA185" i="25"/>
  <c r="Z185" i="25"/>
  <c r="Y185" i="25"/>
  <c r="AA181" i="25"/>
  <c r="Y181" i="25"/>
  <c r="Z181" i="25"/>
  <c r="AA177" i="25"/>
  <c r="Y177" i="25"/>
  <c r="Z177" i="25"/>
  <c r="Y173" i="25"/>
  <c r="AA173" i="25"/>
  <c r="Z173" i="25"/>
  <c r="V169" i="25"/>
  <c r="Z169" i="25"/>
  <c r="Y169" i="25"/>
  <c r="AA169" i="25"/>
  <c r="V165" i="25"/>
  <c r="AA165" i="25"/>
  <c r="Y165" i="25"/>
  <c r="Z165" i="25"/>
  <c r="Y161" i="25"/>
  <c r="AA161" i="25"/>
  <c r="Z161" i="25"/>
  <c r="AA157" i="25"/>
  <c r="Y157" i="25"/>
  <c r="Z157" i="25"/>
  <c r="V153" i="25"/>
  <c r="AA153" i="25"/>
  <c r="Z153" i="25"/>
  <c r="Y153" i="25"/>
  <c r="AA149" i="25"/>
  <c r="Y149" i="25"/>
  <c r="Z149" i="25"/>
  <c r="Y145" i="25"/>
  <c r="Z145" i="25"/>
  <c r="AA145" i="25"/>
  <c r="Y141" i="25"/>
  <c r="AA141" i="25"/>
  <c r="Z141" i="25"/>
  <c r="V137" i="25"/>
  <c r="AA137" i="25"/>
  <c r="Z137" i="25"/>
  <c r="Y137" i="25"/>
  <c r="AA133" i="25"/>
  <c r="Y133" i="25"/>
  <c r="Z133" i="25"/>
  <c r="Y129" i="25"/>
  <c r="AA129" i="25"/>
  <c r="Z129" i="25"/>
  <c r="AA125" i="25"/>
  <c r="Y125" i="25"/>
  <c r="Z125" i="25"/>
  <c r="V121" i="25"/>
  <c r="Z121" i="25"/>
  <c r="Y121" i="25"/>
  <c r="AA121" i="25"/>
  <c r="AA117" i="25"/>
  <c r="Y117" i="25"/>
  <c r="Z117" i="25"/>
  <c r="AA113" i="25"/>
  <c r="Y113" i="25"/>
  <c r="Z113" i="25"/>
  <c r="Y109" i="25"/>
  <c r="AA109" i="25"/>
  <c r="Z109" i="25"/>
  <c r="V105" i="25"/>
  <c r="Z105" i="25"/>
  <c r="Y105" i="25"/>
  <c r="AA105" i="25"/>
  <c r="AA101" i="25"/>
  <c r="Y101" i="25"/>
  <c r="Z101" i="25"/>
  <c r="AA97" i="25"/>
  <c r="Y97" i="25"/>
  <c r="Z97" i="25"/>
  <c r="AA93" i="25"/>
  <c r="Y93" i="25"/>
  <c r="Z93" i="25"/>
  <c r="V89" i="25"/>
  <c r="Z89" i="25"/>
  <c r="Y89" i="25"/>
  <c r="AA89" i="25"/>
  <c r="AA85" i="25"/>
  <c r="Y85" i="25"/>
  <c r="Z85" i="25"/>
  <c r="Y81" i="25"/>
  <c r="AA81" i="25"/>
  <c r="Z81" i="25"/>
  <c r="Y77" i="25"/>
  <c r="AA77" i="25"/>
  <c r="Z77" i="25"/>
  <c r="V73" i="25"/>
  <c r="AA73" i="25"/>
  <c r="Z73" i="25"/>
  <c r="Y73" i="25"/>
  <c r="AA69" i="25"/>
  <c r="Y69" i="25"/>
  <c r="Z69" i="25"/>
  <c r="AA65" i="25"/>
  <c r="Y65" i="25"/>
  <c r="Z65" i="25"/>
  <c r="Y61" i="25"/>
  <c r="AA61" i="25"/>
  <c r="Z61" i="25"/>
  <c r="V57" i="25"/>
  <c r="Z57" i="25"/>
  <c r="Y57" i="25"/>
  <c r="AA57" i="25"/>
  <c r="AA53" i="25"/>
  <c r="Y53" i="25"/>
  <c r="Z53" i="25"/>
  <c r="AA49" i="25"/>
  <c r="Y49" i="25"/>
  <c r="Z49" i="25"/>
  <c r="Y45" i="25"/>
  <c r="AA45" i="25"/>
  <c r="Z45" i="25"/>
  <c r="V41" i="25"/>
  <c r="AA41" i="25"/>
  <c r="Z41" i="25"/>
  <c r="Y41" i="25"/>
  <c r="AA37" i="25"/>
  <c r="Y37" i="25"/>
  <c r="Z37" i="25"/>
  <c r="Y33" i="25"/>
  <c r="Z33" i="25"/>
  <c r="AA33" i="25"/>
  <c r="AA29" i="25"/>
  <c r="Y29" i="25"/>
  <c r="Z29" i="25"/>
  <c r="V25" i="25"/>
  <c r="Z25" i="25"/>
  <c r="Y25" i="25"/>
  <c r="AA25" i="25"/>
  <c r="AA21" i="25"/>
  <c r="Y21" i="25"/>
  <c r="Z21" i="25"/>
  <c r="Y17" i="25"/>
  <c r="AA17" i="25"/>
  <c r="Z17" i="25"/>
  <c r="AA13" i="25"/>
  <c r="Y13" i="25"/>
  <c r="Z13" i="25"/>
  <c r="V9" i="25"/>
  <c r="AA9" i="25"/>
  <c r="Z9" i="25"/>
  <c r="Y9" i="25"/>
  <c r="AA5" i="25"/>
  <c r="Y5" i="25"/>
  <c r="Z5" i="25"/>
  <c r="U595" i="25"/>
  <c r="AA595" i="25"/>
  <c r="W591" i="25"/>
  <c r="AA591" i="25"/>
  <c r="U579" i="25"/>
  <c r="AA579" i="25"/>
  <c r="W575" i="25"/>
  <c r="AA575" i="25"/>
  <c r="U563" i="25"/>
  <c r="AA563" i="25"/>
  <c r="W559" i="25"/>
  <c r="AA559" i="25"/>
  <c r="W543" i="25"/>
  <c r="AA543" i="25"/>
  <c r="W527" i="25"/>
  <c r="AA527" i="25"/>
  <c r="W511" i="25"/>
  <c r="AA511" i="25"/>
  <c r="Y595" i="25"/>
  <c r="Y584" i="25"/>
  <c r="Y579" i="25"/>
  <c r="Y568" i="25"/>
  <c r="Y563" i="25"/>
  <c r="Y552" i="25"/>
  <c r="Y547" i="25"/>
  <c r="Y536" i="25"/>
  <c r="Y531" i="25"/>
  <c r="Y520" i="25"/>
  <c r="Y515" i="25"/>
  <c r="Y504" i="25"/>
  <c r="Y462" i="25"/>
  <c r="Y446" i="25"/>
  <c r="Y430" i="25"/>
  <c r="Y414" i="25"/>
  <c r="Y398" i="25"/>
  <c r="Y382" i="25"/>
  <c r="Y366" i="25"/>
  <c r="Y350" i="25"/>
  <c r="Y334" i="25"/>
  <c r="Y318" i="25"/>
  <c r="Y302" i="25"/>
  <c r="Y286" i="25"/>
  <c r="Y270" i="25"/>
  <c r="Y254" i="25"/>
  <c r="Y238" i="25"/>
  <c r="Y222" i="25"/>
  <c r="Y206" i="25"/>
  <c r="Y190" i="25"/>
  <c r="Y174" i="25"/>
  <c r="Y158" i="25"/>
  <c r="Y142" i="25"/>
  <c r="Y126" i="25"/>
  <c r="Y110" i="25"/>
  <c r="Y94" i="25"/>
  <c r="Y78" i="25"/>
  <c r="Y62" i="25"/>
  <c r="Y46" i="25"/>
  <c r="Y30" i="25"/>
  <c r="Y14" i="25"/>
  <c r="Z591" i="25"/>
  <c r="Z583" i="25"/>
  <c r="Z575" i="25"/>
  <c r="Z567" i="25"/>
  <c r="Z559" i="25"/>
  <c r="Z551" i="25"/>
  <c r="Z543" i="25"/>
  <c r="Z535" i="25"/>
  <c r="Z527" i="25"/>
  <c r="Z519" i="25"/>
  <c r="Z511" i="25"/>
  <c r="Z503" i="25"/>
  <c r="Z349" i="25"/>
  <c r="Z285" i="25"/>
  <c r="AA553" i="25"/>
  <c r="AA545" i="25"/>
  <c r="AA517" i="25"/>
  <c r="AA63" i="25"/>
  <c r="AA59" i="25"/>
  <c r="AA55" i="25"/>
  <c r="AA47" i="25"/>
  <c r="AA43" i="25"/>
  <c r="AA39" i="25"/>
  <c r="AA31" i="25"/>
  <c r="W27" i="25"/>
  <c r="AA27" i="25"/>
  <c r="AA23" i="25"/>
  <c r="AA15" i="25"/>
  <c r="AA11" i="25"/>
  <c r="AA7" i="25"/>
  <c r="V593" i="25"/>
  <c r="AA593" i="25"/>
  <c r="U589" i="25"/>
  <c r="AA589" i="25"/>
  <c r="X581" i="25"/>
  <c r="AA581" i="25"/>
  <c r="V577" i="25"/>
  <c r="AA577" i="25"/>
  <c r="U573" i="25"/>
  <c r="AA573" i="25"/>
  <c r="U557" i="25"/>
  <c r="AA557" i="25"/>
  <c r="U541" i="25"/>
  <c r="AA541" i="25"/>
  <c r="U525" i="25"/>
  <c r="AA525" i="25"/>
  <c r="U509" i="25"/>
  <c r="AA509" i="25"/>
  <c r="Y593" i="25"/>
  <c r="Y589" i="25"/>
  <c r="AD589" i="25" s="1"/>
  <c r="Y585" i="25"/>
  <c r="Y581" i="25"/>
  <c r="Y577" i="25"/>
  <c r="Y573" i="25"/>
  <c r="Y565" i="25"/>
  <c r="Y561" i="25"/>
  <c r="Y557" i="25"/>
  <c r="Y549" i="25"/>
  <c r="Y541" i="25"/>
  <c r="Y537" i="25"/>
  <c r="Y533" i="25"/>
  <c r="Y529" i="25"/>
  <c r="Y525" i="25"/>
  <c r="Y517" i="25"/>
  <c r="Y509" i="25"/>
  <c r="Y501" i="25"/>
  <c r="Z63" i="25"/>
  <c r="Z47" i="25"/>
  <c r="Z31" i="25"/>
  <c r="Z15" i="25"/>
  <c r="AA565" i="25"/>
  <c r="AA501" i="25"/>
  <c r="O593" i="25"/>
  <c r="P593" i="25"/>
  <c r="O589" i="25"/>
  <c r="P589" i="25"/>
  <c r="O581" i="25"/>
  <c r="O577" i="25"/>
  <c r="P577" i="25"/>
  <c r="P569" i="25"/>
  <c r="P565" i="25"/>
  <c r="O561" i="25"/>
  <c r="P561" i="25"/>
  <c r="O557" i="25"/>
  <c r="R557" i="25"/>
  <c r="P557" i="25"/>
  <c r="O553" i="25"/>
  <c r="P553" i="25"/>
  <c r="O549" i="25"/>
  <c r="O537" i="25"/>
  <c r="O533" i="25"/>
  <c r="P533" i="25"/>
  <c r="O525" i="25"/>
  <c r="O521" i="25"/>
  <c r="O517" i="25"/>
  <c r="P517" i="25"/>
  <c r="O513" i="25"/>
  <c r="P513" i="25"/>
  <c r="O505" i="25"/>
  <c r="P505" i="25"/>
  <c r="O497" i="25"/>
  <c r="P497" i="25"/>
  <c r="O485" i="25"/>
  <c r="P485" i="25"/>
  <c r="O477" i="25"/>
  <c r="Q477" i="25"/>
  <c r="R477" i="25"/>
  <c r="G477" i="25"/>
  <c r="P477" i="25"/>
  <c r="O473" i="25"/>
  <c r="P473" i="25"/>
  <c r="O465" i="25"/>
  <c r="P465" i="25"/>
  <c r="O461" i="25"/>
  <c r="O453" i="25"/>
  <c r="O445" i="25"/>
  <c r="P445" i="25"/>
  <c r="O441" i="25"/>
  <c r="O437" i="25"/>
  <c r="P437" i="25"/>
  <c r="Q433" i="25"/>
  <c r="R433" i="25"/>
  <c r="Q425" i="25"/>
  <c r="R425" i="25"/>
  <c r="O421" i="25"/>
  <c r="P421" i="25"/>
  <c r="Q417" i="25"/>
  <c r="O409" i="25"/>
  <c r="O405" i="25"/>
  <c r="O401" i="25"/>
  <c r="P401" i="25"/>
  <c r="O397" i="25"/>
  <c r="P397" i="25"/>
  <c r="O393" i="25"/>
  <c r="P385" i="25"/>
  <c r="O381" i="25"/>
  <c r="P381" i="25"/>
  <c r="O377" i="25"/>
  <c r="Q377" i="25"/>
  <c r="P377" i="25"/>
  <c r="R377" i="25"/>
  <c r="G377" i="25"/>
  <c r="O373" i="25"/>
  <c r="P373" i="25"/>
  <c r="O369" i="25"/>
  <c r="R369" i="25"/>
  <c r="P369" i="25"/>
  <c r="G369" i="25"/>
  <c r="Q361" i="25"/>
  <c r="P361" i="25"/>
  <c r="R361" i="25"/>
  <c r="O357" i="25"/>
  <c r="P357" i="25"/>
  <c r="O353" i="25"/>
  <c r="Q353" i="25"/>
  <c r="R353" i="25"/>
  <c r="G353" i="25"/>
  <c r="P353" i="25"/>
  <c r="O349" i="25"/>
  <c r="P349" i="25"/>
  <c r="P345" i="25"/>
  <c r="O341" i="25"/>
  <c r="Q341" i="25"/>
  <c r="P341" i="25"/>
  <c r="R341" i="25"/>
  <c r="O333" i="25"/>
  <c r="Q333" i="25"/>
  <c r="R333" i="25"/>
  <c r="P333" i="25"/>
  <c r="G333" i="25"/>
  <c r="O321" i="25"/>
  <c r="O317" i="25"/>
  <c r="R317" i="25"/>
  <c r="P317" i="25"/>
  <c r="O313" i="25"/>
  <c r="O309" i="25"/>
  <c r="Q309" i="25"/>
  <c r="P309" i="25"/>
  <c r="G309" i="25"/>
  <c r="R309" i="25"/>
  <c r="O305" i="25"/>
  <c r="P305" i="25"/>
  <c r="O301" i="25"/>
  <c r="P301" i="25"/>
  <c r="O293" i="25"/>
  <c r="P293" i="25"/>
  <c r="P285" i="25"/>
  <c r="P281" i="25"/>
  <c r="O273" i="25"/>
  <c r="P273" i="25"/>
  <c r="O265" i="25"/>
  <c r="P265" i="25"/>
  <c r="R265" i="25"/>
  <c r="G265" i="25"/>
  <c r="Q261" i="25"/>
  <c r="G261" i="25"/>
  <c r="O257" i="25"/>
  <c r="Q257" i="25"/>
  <c r="R257" i="25"/>
  <c r="G257" i="25"/>
  <c r="P257" i="25"/>
  <c r="O249" i="25"/>
  <c r="P249" i="25"/>
  <c r="Q245" i="25"/>
  <c r="P245" i="25"/>
  <c r="G245" i="25"/>
  <c r="O241" i="25"/>
  <c r="Q241" i="25"/>
  <c r="R241" i="25"/>
  <c r="P241" i="25"/>
  <c r="G241" i="25"/>
  <c r="O237" i="25"/>
  <c r="O233" i="25"/>
  <c r="P233" i="25"/>
  <c r="O221" i="25"/>
  <c r="P221" i="25"/>
  <c r="O217" i="25"/>
  <c r="Q213" i="25"/>
  <c r="P213" i="25"/>
  <c r="R213" i="25"/>
  <c r="P205" i="25"/>
  <c r="O201" i="25"/>
  <c r="Q201" i="25"/>
  <c r="P201" i="25"/>
  <c r="R201" i="25"/>
  <c r="G201" i="25"/>
  <c r="O197" i="25"/>
  <c r="P197" i="25"/>
  <c r="R193" i="25"/>
  <c r="O189" i="25"/>
  <c r="P189" i="25"/>
  <c r="O185" i="25"/>
  <c r="P185" i="25"/>
  <c r="P181" i="25"/>
  <c r="P177" i="25"/>
  <c r="O173" i="25"/>
  <c r="O169" i="25"/>
  <c r="P169" i="25"/>
  <c r="O165" i="25"/>
  <c r="P165" i="25"/>
  <c r="O161" i="25"/>
  <c r="O153" i="25"/>
  <c r="Q153" i="25"/>
  <c r="P153" i="25"/>
  <c r="R153" i="25"/>
  <c r="G153" i="25"/>
  <c r="O149" i="25"/>
  <c r="P149" i="25"/>
  <c r="O145" i="25"/>
  <c r="Q145" i="25"/>
  <c r="R145" i="25"/>
  <c r="G145" i="25"/>
  <c r="O141" i="25"/>
  <c r="Q141" i="25"/>
  <c r="R141" i="25"/>
  <c r="P141" i="25"/>
  <c r="G141" i="25"/>
  <c r="O137" i="25"/>
  <c r="P137" i="25"/>
  <c r="O133" i="25"/>
  <c r="P133" i="25"/>
  <c r="O129" i="25"/>
  <c r="P129" i="25"/>
  <c r="O125" i="25"/>
  <c r="P125" i="25"/>
  <c r="G117" i="25"/>
  <c r="O113" i="25"/>
  <c r="P113" i="25"/>
  <c r="O105" i="25"/>
  <c r="P105" i="25"/>
  <c r="O101" i="25"/>
  <c r="P101" i="25"/>
  <c r="P97" i="25"/>
  <c r="O93" i="25"/>
  <c r="P93" i="25"/>
  <c r="O89" i="25"/>
  <c r="Q89" i="25"/>
  <c r="R89" i="25"/>
  <c r="G89" i="25"/>
  <c r="P89" i="25"/>
  <c r="O85" i="25"/>
  <c r="P85" i="25"/>
  <c r="O81" i="25"/>
  <c r="O77" i="25"/>
  <c r="P77" i="25"/>
  <c r="P73" i="25"/>
  <c r="O69" i="25"/>
  <c r="P69" i="25"/>
  <c r="O65" i="25"/>
  <c r="Q65" i="25"/>
  <c r="R65" i="25"/>
  <c r="P65" i="25"/>
  <c r="G65" i="25"/>
  <c r="O57" i="25"/>
  <c r="G57" i="25"/>
  <c r="P57" i="25"/>
  <c r="O53" i="25"/>
  <c r="Q53" i="25"/>
  <c r="P53" i="25"/>
  <c r="G53" i="25"/>
  <c r="R53" i="25"/>
  <c r="O49" i="25"/>
  <c r="O45" i="25"/>
  <c r="P45" i="25"/>
  <c r="O41" i="25"/>
  <c r="P41" i="25"/>
  <c r="O37" i="25"/>
  <c r="P37" i="25"/>
  <c r="O33" i="25"/>
  <c r="P33" i="25"/>
  <c r="O25" i="25"/>
  <c r="P25" i="25"/>
  <c r="O21" i="25"/>
  <c r="Q21" i="25"/>
  <c r="R21" i="25"/>
  <c r="G21" i="25"/>
  <c r="O17" i="25"/>
  <c r="P17" i="25"/>
  <c r="O13" i="25"/>
  <c r="O9" i="25"/>
  <c r="P9" i="25"/>
  <c r="O5" i="25"/>
  <c r="O592" i="25"/>
  <c r="Q592" i="25"/>
  <c r="R592" i="25"/>
  <c r="G592" i="25"/>
  <c r="O588" i="25"/>
  <c r="P584" i="25"/>
  <c r="P580" i="25"/>
  <c r="O576" i="25"/>
  <c r="P576" i="25"/>
  <c r="O572" i="25"/>
  <c r="O568" i="25"/>
  <c r="Q568" i="25"/>
  <c r="R568" i="25"/>
  <c r="P568" i="25"/>
  <c r="G568" i="25"/>
  <c r="O560" i="25"/>
  <c r="P560" i="25"/>
  <c r="O556" i="25"/>
  <c r="O552" i="25"/>
  <c r="P552" i="25"/>
  <c r="O548" i="25"/>
  <c r="P548" i="25"/>
  <c r="O544" i="25"/>
  <c r="P544" i="25"/>
  <c r="O540" i="25"/>
  <c r="P540" i="25"/>
  <c r="O536" i="25"/>
  <c r="P536" i="25"/>
  <c r="O532" i="25"/>
  <c r="P532" i="25"/>
  <c r="R528" i="25"/>
  <c r="O520" i="25"/>
  <c r="P520" i="25"/>
  <c r="Q516" i="25"/>
  <c r="R516" i="25"/>
  <c r="O512" i="25"/>
  <c r="O496" i="25"/>
  <c r="Q496" i="25"/>
  <c r="P496" i="25"/>
  <c r="G496" i="25"/>
  <c r="O492" i="25"/>
  <c r="Q492" i="25"/>
  <c r="G492" i="25"/>
  <c r="R492" i="25"/>
  <c r="P492" i="25"/>
  <c r="O488" i="25"/>
  <c r="P488" i="25"/>
  <c r="P484" i="25"/>
  <c r="O480" i="25"/>
  <c r="P480" i="25"/>
  <c r="O476" i="25"/>
  <c r="P476" i="25"/>
  <c r="O472" i="25"/>
  <c r="P472" i="25"/>
  <c r="O468" i="25"/>
  <c r="O464" i="25"/>
  <c r="P464" i="25"/>
  <c r="O460" i="25"/>
  <c r="P452" i="25"/>
  <c r="O448" i="25"/>
  <c r="P448" i="25"/>
  <c r="O444" i="25"/>
  <c r="P444" i="25"/>
  <c r="O440" i="25"/>
  <c r="P440" i="25"/>
  <c r="O436" i="25"/>
  <c r="P436" i="25"/>
  <c r="O432" i="25"/>
  <c r="P432" i="25"/>
  <c r="G428" i="25"/>
  <c r="P428" i="25"/>
  <c r="O420" i="25"/>
  <c r="G420" i="25"/>
  <c r="R420" i="25"/>
  <c r="O412" i="25"/>
  <c r="P412" i="25"/>
  <c r="P400" i="25"/>
  <c r="O396" i="25"/>
  <c r="P396" i="25"/>
  <c r="O392" i="25"/>
  <c r="P392" i="25"/>
  <c r="O388" i="25"/>
  <c r="P388" i="25"/>
  <c r="P384" i="25"/>
  <c r="O380" i="25"/>
  <c r="P380" i="25"/>
  <c r="Q376" i="25"/>
  <c r="P372" i="25"/>
  <c r="O368" i="25"/>
  <c r="P368" i="25"/>
  <c r="O364" i="25"/>
  <c r="O360" i="25"/>
  <c r="Q360" i="25"/>
  <c r="R360" i="25"/>
  <c r="G360" i="25"/>
  <c r="P360" i="25"/>
  <c r="O352" i="25"/>
  <c r="Q352" i="25"/>
  <c r="R352" i="25"/>
  <c r="P352" i="25"/>
  <c r="G352" i="25"/>
  <c r="P348" i="25"/>
  <c r="O340" i="25"/>
  <c r="P340" i="25"/>
  <c r="G340" i="25"/>
  <c r="O328" i="25"/>
  <c r="P328" i="25"/>
  <c r="O320" i="25"/>
  <c r="O316" i="25"/>
  <c r="Q316" i="25"/>
  <c r="G316" i="25"/>
  <c r="P316" i="25"/>
  <c r="R316" i="25"/>
  <c r="O312" i="25"/>
  <c r="Q312" i="25"/>
  <c r="R312" i="25"/>
  <c r="G312" i="25"/>
  <c r="P312" i="25"/>
  <c r="O308" i="25"/>
  <c r="P304" i="25"/>
  <c r="P300" i="25"/>
  <c r="O296" i="25"/>
  <c r="P296" i="25"/>
  <c r="P292" i="25"/>
  <c r="O288" i="25"/>
  <c r="P288" i="25"/>
  <c r="O284" i="25"/>
  <c r="Q284" i="25"/>
  <c r="P284" i="25"/>
  <c r="O276" i="25"/>
  <c r="P276" i="25"/>
  <c r="O272" i="25"/>
  <c r="Q272" i="25"/>
  <c r="R272" i="25"/>
  <c r="P272" i="25"/>
  <c r="G272" i="25"/>
  <c r="O268" i="25"/>
  <c r="Q268" i="25"/>
  <c r="G268" i="25"/>
  <c r="R268" i="25"/>
  <c r="P268" i="25"/>
  <c r="O264" i="25"/>
  <c r="Q264" i="25"/>
  <c r="R264" i="25"/>
  <c r="G264" i="25"/>
  <c r="P264" i="25"/>
  <c r="O260" i="25"/>
  <c r="P260" i="25"/>
  <c r="O256" i="25"/>
  <c r="P256" i="25"/>
  <c r="P252" i="25"/>
  <c r="P248" i="25"/>
  <c r="O240" i="25"/>
  <c r="G232" i="25"/>
  <c r="O228" i="25"/>
  <c r="Q228" i="25"/>
  <c r="P228" i="25"/>
  <c r="G228" i="25"/>
  <c r="R228" i="25"/>
  <c r="P224" i="25"/>
  <c r="O220" i="25"/>
  <c r="P220" i="25"/>
  <c r="P212" i="25"/>
  <c r="O204" i="25"/>
  <c r="P204" i="25"/>
  <c r="O200" i="25"/>
  <c r="Q200" i="25"/>
  <c r="R200" i="25"/>
  <c r="G200" i="25"/>
  <c r="P200" i="25"/>
  <c r="P192" i="25"/>
  <c r="O188" i="25"/>
  <c r="P188" i="25"/>
  <c r="O184" i="25"/>
  <c r="Q184" i="25"/>
  <c r="R184" i="25"/>
  <c r="G184" i="25"/>
  <c r="P184" i="25"/>
  <c r="P180" i="25"/>
  <c r="O176" i="25"/>
  <c r="Q176" i="25"/>
  <c r="R176" i="25"/>
  <c r="P176" i="25"/>
  <c r="G176" i="25"/>
  <c r="O172" i="25"/>
  <c r="Q172" i="25"/>
  <c r="G172" i="25"/>
  <c r="R172" i="25"/>
  <c r="P172" i="25"/>
  <c r="P168" i="25"/>
  <c r="O164" i="25"/>
  <c r="Q164" i="25"/>
  <c r="P164" i="25"/>
  <c r="G164" i="25"/>
  <c r="R164" i="25"/>
  <c r="O156" i="25"/>
  <c r="Q156" i="25"/>
  <c r="G156" i="25"/>
  <c r="P156" i="25"/>
  <c r="R156" i="25"/>
  <c r="O152" i="25"/>
  <c r="P152" i="25"/>
  <c r="O148" i="25"/>
  <c r="P148" i="25"/>
  <c r="P140" i="25"/>
  <c r="O136" i="25"/>
  <c r="Q136" i="25"/>
  <c r="R136" i="25"/>
  <c r="G136" i="25"/>
  <c r="P136" i="25"/>
  <c r="O132" i="25"/>
  <c r="Q132" i="25"/>
  <c r="P132" i="25"/>
  <c r="G132" i="25"/>
  <c r="R132" i="25"/>
  <c r="P128" i="25"/>
  <c r="O124" i="25"/>
  <c r="P124" i="25"/>
  <c r="R120" i="25"/>
  <c r="O116" i="25"/>
  <c r="P116" i="25"/>
  <c r="O112" i="25"/>
  <c r="Q112" i="25"/>
  <c r="P112" i="25"/>
  <c r="R112" i="25"/>
  <c r="G112" i="25"/>
  <c r="P104" i="25"/>
  <c r="O96" i="25"/>
  <c r="Q96" i="25"/>
  <c r="P96" i="25"/>
  <c r="R96" i="25"/>
  <c r="G96" i="25"/>
  <c r="O92" i="25"/>
  <c r="Q92" i="25"/>
  <c r="P92" i="25"/>
  <c r="G92" i="25"/>
  <c r="R92" i="25"/>
  <c r="O84" i="25"/>
  <c r="P84" i="25"/>
  <c r="O80" i="25"/>
  <c r="P80" i="25"/>
  <c r="O76" i="25"/>
  <c r="P76" i="25"/>
  <c r="O72" i="25"/>
  <c r="Q72" i="25"/>
  <c r="P72" i="25"/>
  <c r="R72" i="25"/>
  <c r="G72" i="25"/>
  <c r="O68" i="25"/>
  <c r="Q68" i="25"/>
  <c r="P68" i="25"/>
  <c r="G68" i="25"/>
  <c r="R68" i="25"/>
  <c r="O64" i="25"/>
  <c r="Q64" i="25"/>
  <c r="P64" i="25"/>
  <c r="R64" i="25"/>
  <c r="G64" i="25"/>
  <c r="O60" i="25"/>
  <c r="Q60" i="25"/>
  <c r="P60" i="25"/>
  <c r="G60" i="25"/>
  <c r="R60" i="25"/>
  <c r="O56" i="25"/>
  <c r="P56" i="25"/>
  <c r="O52" i="25"/>
  <c r="P52" i="25"/>
  <c r="Q48" i="25"/>
  <c r="O44" i="25"/>
  <c r="P44" i="25"/>
  <c r="P36" i="25"/>
  <c r="Q32" i="25"/>
  <c r="P32" i="25"/>
  <c r="G32" i="25"/>
  <c r="O28" i="25"/>
  <c r="P28" i="25"/>
  <c r="O24" i="25"/>
  <c r="Q24" i="25"/>
  <c r="P24" i="25"/>
  <c r="R24" i="25"/>
  <c r="G24" i="25"/>
  <c r="O20" i="25"/>
  <c r="P20" i="25"/>
  <c r="O16" i="25"/>
  <c r="P16" i="25"/>
  <c r="O12" i="25"/>
  <c r="P12" i="25"/>
  <c r="O8" i="25"/>
  <c r="P8" i="25"/>
  <c r="O4" i="25"/>
  <c r="Q4" i="25"/>
  <c r="P4" i="25"/>
  <c r="G4" i="25"/>
  <c r="R4" i="25"/>
  <c r="O595" i="25"/>
  <c r="P595" i="25"/>
  <c r="O591" i="25"/>
  <c r="O587" i="25"/>
  <c r="Q587" i="25"/>
  <c r="P587" i="25"/>
  <c r="R587" i="25"/>
  <c r="G587" i="25"/>
  <c r="O583" i="25"/>
  <c r="P583" i="25"/>
  <c r="O579" i="25"/>
  <c r="P579" i="25"/>
  <c r="P575" i="25"/>
  <c r="O571" i="25"/>
  <c r="O567" i="25"/>
  <c r="P567" i="25"/>
  <c r="O563" i="25"/>
  <c r="P563" i="25"/>
  <c r="O559" i="25"/>
  <c r="Q559" i="25"/>
  <c r="P559" i="25"/>
  <c r="R559" i="25"/>
  <c r="G559" i="25"/>
  <c r="O555" i="25"/>
  <c r="O551" i="25"/>
  <c r="P551" i="25"/>
  <c r="O547" i="25"/>
  <c r="P547" i="25"/>
  <c r="O543" i="25"/>
  <c r="P543" i="25"/>
  <c r="O535" i="25"/>
  <c r="P535" i="25"/>
  <c r="O531" i="25"/>
  <c r="P531" i="25"/>
  <c r="O527" i="25"/>
  <c r="Q527" i="25"/>
  <c r="P527" i="25"/>
  <c r="O523" i="25"/>
  <c r="Q523" i="25"/>
  <c r="P523" i="25"/>
  <c r="R523" i="25"/>
  <c r="G523" i="25"/>
  <c r="R519" i="25"/>
  <c r="O515" i="25"/>
  <c r="P515" i="25"/>
  <c r="O511" i="25"/>
  <c r="P511" i="25"/>
  <c r="O507" i="25"/>
  <c r="P507" i="25"/>
  <c r="O503" i="25"/>
  <c r="P503" i="25"/>
  <c r="O499" i="25"/>
  <c r="Q499" i="25"/>
  <c r="P499" i="25"/>
  <c r="R499" i="25"/>
  <c r="G499" i="25"/>
  <c r="O495" i="25"/>
  <c r="P495" i="25"/>
  <c r="O491" i="25"/>
  <c r="P491" i="25"/>
  <c r="O487" i="25"/>
  <c r="P487" i="25"/>
  <c r="O483" i="25"/>
  <c r="Q483" i="25"/>
  <c r="P483" i="25"/>
  <c r="R483" i="25"/>
  <c r="G483" i="25"/>
  <c r="O475" i="25"/>
  <c r="P475" i="25"/>
  <c r="O467" i="25"/>
  <c r="P467" i="25"/>
  <c r="O463" i="25"/>
  <c r="P463" i="25"/>
  <c r="O459" i="25"/>
  <c r="P459" i="25"/>
  <c r="P455" i="25"/>
  <c r="Q451" i="25"/>
  <c r="Q447" i="25"/>
  <c r="P447" i="25"/>
  <c r="R447" i="25"/>
  <c r="O443" i="25"/>
  <c r="P443" i="25"/>
  <c r="O439" i="25"/>
  <c r="P439" i="25"/>
  <c r="O435" i="25"/>
  <c r="P435" i="25"/>
  <c r="O431" i="25"/>
  <c r="P431" i="25"/>
  <c r="O427" i="25"/>
  <c r="Q427" i="25"/>
  <c r="P427" i="25"/>
  <c r="R427" i="25"/>
  <c r="G427" i="25"/>
  <c r="O423" i="25"/>
  <c r="P423" i="25"/>
  <c r="O419" i="25"/>
  <c r="Q419" i="25"/>
  <c r="P419" i="25"/>
  <c r="R419" i="25"/>
  <c r="G419" i="25"/>
  <c r="O407" i="25"/>
  <c r="Q407" i="25"/>
  <c r="P407" i="25"/>
  <c r="R407" i="25"/>
  <c r="G407" i="25"/>
  <c r="O403" i="25"/>
  <c r="P403" i="25"/>
  <c r="O399" i="25"/>
  <c r="Q399" i="25"/>
  <c r="P399" i="25"/>
  <c r="O395" i="25"/>
  <c r="P395" i="25"/>
  <c r="O391" i="25"/>
  <c r="P391" i="25"/>
  <c r="O387" i="25"/>
  <c r="P387" i="25"/>
  <c r="Q383" i="25"/>
  <c r="P383" i="25"/>
  <c r="G383" i="25"/>
  <c r="O379" i="25"/>
  <c r="O375" i="25"/>
  <c r="P375" i="25"/>
  <c r="O371" i="25"/>
  <c r="P371" i="25"/>
  <c r="O367" i="25"/>
  <c r="P367" i="25"/>
  <c r="O359" i="25"/>
  <c r="Q359" i="25"/>
  <c r="P359" i="25"/>
  <c r="R359" i="25"/>
  <c r="G359" i="25"/>
  <c r="O355" i="25"/>
  <c r="P355" i="25"/>
  <c r="O351" i="25"/>
  <c r="P351" i="25"/>
  <c r="O347" i="25"/>
  <c r="P347" i="25"/>
  <c r="O343" i="25"/>
  <c r="P343" i="25"/>
  <c r="P339" i="25"/>
  <c r="R335" i="25"/>
  <c r="O331" i="25"/>
  <c r="P331" i="25"/>
  <c r="O323" i="25"/>
  <c r="P323" i="25"/>
  <c r="O319" i="25"/>
  <c r="P319" i="25"/>
  <c r="O315" i="25"/>
  <c r="Q315" i="25"/>
  <c r="P315" i="25"/>
  <c r="R315" i="25"/>
  <c r="G315" i="25"/>
  <c r="O311" i="25"/>
  <c r="P311" i="25"/>
  <c r="P307" i="25"/>
  <c r="O303" i="25"/>
  <c r="P303" i="25"/>
  <c r="O299" i="25"/>
  <c r="P299" i="25"/>
  <c r="O295" i="25"/>
  <c r="P295" i="25"/>
  <c r="O291" i="25"/>
  <c r="Q291" i="25"/>
  <c r="P291" i="25"/>
  <c r="O287" i="25"/>
  <c r="P283" i="25"/>
  <c r="O279" i="25"/>
  <c r="Q279" i="25"/>
  <c r="P279" i="25"/>
  <c r="R279" i="25"/>
  <c r="G279" i="25"/>
  <c r="O275" i="25"/>
  <c r="O271" i="25"/>
  <c r="Q271" i="25"/>
  <c r="P271" i="25"/>
  <c r="R271" i="25"/>
  <c r="G271" i="25"/>
  <c r="O267" i="25"/>
  <c r="O263" i="25"/>
  <c r="P263" i="25"/>
  <c r="P259" i="25"/>
  <c r="O255" i="25"/>
  <c r="P255" i="25"/>
  <c r="O251" i="25"/>
  <c r="Q251" i="25"/>
  <c r="P251" i="25"/>
  <c r="R251" i="25"/>
  <c r="G251" i="25"/>
  <c r="O247" i="25"/>
  <c r="Q247" i="25"/>
  <c r="P247" i="25"/>
  <c r="R247" i="25"/>
  <c r="G247" i="25"/>
  <c r="O243" i="25"/>
  <c r="Q243" i="25"/>
  <c r="P243" i="25"/>
  <c r="R243" i="25"/>
  <c r="G243" i="25"/>
  <c r="O239" i="25"/>
  <c r="Q239" i="25"/>
  <c r="P239" i="25"/>
  <c r="R239" i="25"/>
  <c r="G239" i="25"/>
  <c r="O235" i="25"/>
  <c r="Q235" i="25"/>
  <c r="R235" i="25"/>
  <c r="G235" i="25"/>
  <c r="O231" i="25"/>
  <c r="P231" i="25"/>
  <c r="P227" i="25"/>
  <c r="O219" i="25"/>
  <c r="Q219" i="25"/>
  <c r="P219" i="25"/>
  <c r="R219" i="25"/>
  <c r="G219" i="25"/>
  <c r="O215" i="25"/>
  <c r="Q215" i="25"/>
  <c r="P215" i="25"/>
  <c r="R215" i="25"/>
  <c r="G215" i="25"/>
  <c r="G211" i="25"/>
  <c r="O207" i="25"/>
  <c r="P207" i="25"/>
  <c r="Q203" i="25"/>
  <c r="P199" i="25"/>
  <c r="O191" i="25"/>
  <c r="P191" i="25"/>
  <c r="O187" i="25"/>
  <c r="Q187" i="25"/>
  <c r="P187" i="25"/>
  <c r="R187" i="25"/>
  <c r="G187" i="25"/>
  <c r="O183" i="25"/>
  <c r="Q183" i="25"/>
  <c r="P183" i="25"/>
  <c r="R183" i="25"/>
  <c r="G183" i="25"/>
  <c r="O179" i="25"/>
  <c r="Q179" i="25"/>
  <c r="P179" i="25"/>
  <c r="R179" i="25"/>
  <c r="G179" i="25"/>
  <c r="O175" i="25"/>
  <c r="P175" i="25"/>
  <c r="O171" i="25"/>
  <c r="P171" i="25"/>
  <c r="O167" i="25"/>
  <c r="Q167" i="25"/>
  <c r="P167" i="25"/>
  <c r="R167" i="25"/>
  <c r="G167" i="25"/>
  <c r="O163" i="25"/>
  <c r="P163" i="25"/>
  <c r="O159" i="25"/>
  <c r="Q159" i="25"/>
  <c r="P159" i="25"/>
  <c r="R159" i="25"/>
  <c r="G159" i="25"/>
  <c r="O155" i="25"/>
  <c r="Q155" i="25"/>
  <c r="P155" i="25"/>
  <c r="R155" i="25"/>
  <c r="G155" i="25"/>
  <c r="O151" i="25"/>
  <c r="P151" i="25"/>
  <c r="O147" i="25"/>
  <c r="O143" i="25"/>
  <c r="Q143" i="25"/>
  <c r="P143" i="25"/>
  <c r="R143" i="25"/>
  <c r="G143" i="25"/>
  <c r="O139" i="25"/>
  <c r="P139" i="25"/>
  <c r="O135" i="25"/>
  <c r="P135" i="25"/>
  <c r="O131" i="25"/>
  <c r="Q131" i="25"/>
  <c r="P131" i="25"/>
  <c r="R131" i="25"/>
  <c r="G131" i="25"/>
  <c r="O127" i="25"/>
  <c r="Q127" i="25"/>
  <c r="P127" i="25"/>
  <c r="R127" i="25"/>
  <c r="G127" i="25"/>
  <c r="O123" i="25"/>
  <c r="P123" i="25"/>
  <c r="O119" i="25"/>
  <c r="P119" i="25"/>
  <c r="O115" i="25"/>
  <c r="P115" i="25"/>
  <c r="O111" i="25"/>
  <c r="Q111" i="25"/>
  <c r="P111" i="25"/>
  <c r="R111" i="25"/>
  <c r="G111" i="25"/>
  <c r="O107" i="25"/>
  <c r="P107" i="25"/>
  <c r="O103" i="25"/>
  <c r="P103" i="25"/>
  <c r="P95" i="25"/>
  <c r="O91" i="25"/>
  <c r="P91" i="25"/>
  <c r="O87" i="25"/>
  <c r="Q87" i="25"/>
  <c r="P87" i="25"/>
  <c r="R87" i="25"/>
  <c r="G87" i="25"/>
  <c r="O83" i="25"/>
  <c r="P83" i="25"/>
  <c r="O75" i="25"/>
  <c r="Q75" i="25"/>
  <c r="P75" i="25"/>
  <c r="R75" i="25"/>
  <c r="G75" i="25"/>
  <c r="O71" i="25"/>
  <c r="G71" i="25"/>
  <c r="O67" i="25"/>
  <c r="Q67" i="25"/>
  <c r="P67" i="25"/>
  <c r="R67" i="25"/>
  <c r="G67" i="25"/>
  <c r="O63" i="25"/>
  <c r="Q63" i="25"/>
  <c r="P63" i="25"/>
  <c r="R63" i="25"/>
  <c r="G63" i="25"/>
  <c r="O59" i="25"/>
  <c r="P59" i="25"/>
  <c r="O55" i="25"/>
  <c r="P55" i="25"/>
  <c r="Q51" i="25"/>
  <c r="O47" i="25"/>
  <c r="Q47" i="25"/>
  <c r="P47" i="25"/>
  <c r="R47" i="25"/>
  <c r="G47" i="25"/>
  <c r="O43" i="25"/>
  <c r="P43" i="25"/>
  <c r="O39" i="25"/>
  <c r="Q39" i="25"/>
  <c r="P39" i="25"/>
  <c r="R39" i="25"/>
  <c r="G39" i="25"/>
  <c r="O35" i="25"/>
  <c r="O31" i="25"/>
  <c r="P31" i="25"/>
  <c r="O27" i="25"/>
  <c r="Q27" i="25"/>
  <c r="P27" i="25"/>
  <c r="R27" i="25"/>
  <c r="G27" i="25"/>
  <c r="O23" i="25"/>
  <c r="Q23" i="25"/>
  <c r="P23" i="25"/>
  <c r="R23" i="25"/>
  <c r="G23" i="25"/>
  <c r="O15" i="25"/>
  <c r="P15" i="25"/>
  <c r="O11" i="25"/>
  <c r="P11" i="25"/>
  <c r="O7" i="25"/>
  <c r="Q7" i="25"/>
  <c r="P7" i="25"/>
  <c r="R7" i="25"/>
  <c r="G7" i="25"/>
  <c r="O3" i="25"/>
  <c r="Q3" i="25"/>
  <c r="P3" i="25"/>
  <c r="R3" i="25"/>
  <c r="G3" i="25"/>
  <c r="O586" i="25"/>
  <c r="P586" i="25"/>
  <c r="O582" i="25"/>
  <c r="P582" i="25"/>
  <c r="O578" i="25"/>
  <c r="P578" i="25"/>
  <c r="O574" i="25"/>
  <c r="P574" i="25"/>
  <c r="O566" i="25"/>
  <c r="Q566" i="25"/>
  <c r="R566" i="25"/>
  <c r="G566" i="25"/>
  <c r="P566" i="25"/>
  <c r="O554" i="25"/>
  <c r="P554" i="25"/>
  <c r="O550" i="25"/>
  <c r="P550" i="25"/>
  <c r="O546" i="25"/>
  <c r="O542" i="25"/>
  <c r="P542" i="25"/>
  <c r="O538" i="25"/>
  <c r="P538" i="25"/>
  <c r="O534" i="25"/>
  <c r="Q534" i="25"/>
  <c r="R534" i="25"/>
  <c r="G534" i="25"/>
  <c r="P534" i="25"/>
  <c r="O530" i="25"/>
  <c r="P530" i="25"/>
  <c r="P526" i="25"/>
  <c r="O522" i="25"/>
  <c r="P522" i="25"/>
  <c r="O518" i="25"/>
  <c r="P518" i="25"/>
  <c r="O514" i="25"/>
  <c r="P514" i="25"/>
  <c r="P510" i="25"/>
  <c r="O502" i="25"/>
  <c r="P502" i="25"/>
  <c r="O498" i="25"/>
  <c r="P498" i="25"/>
  <c r="O494" i="25"/>
  <c r="Q494" i="25"/>
  <c r="R494" i="25"/>
  <c r="P494" i="25"/>
  <c r="G494" i="25"/>
  <c r="O490" i="25"/>
  <c r="O486" i="25"/>
  <c r="P486" i="25"/>
  <c r="O482" i="25"/>
  <c r="Q482" i="25"/>
  <c r="R482" i="25"/>
  <c r="P482" i="25"/>
  <c r="G482" i="25"/>
  <c r="O478" i="25"/>
  <c r="Q478" i="25"/>
  <c r="R478" i="25"/>
  <c r="P478" i="25"/>
  <c r="G478" i="25"/>
  <c r="O474" i="25"/>
  <c r="P474" i="25"/>
  <c r="R470" i="25"/>
  <c r="O466" i="25"/>
  <c r="P466" i="25"/>
  <c r="O462" i="25"/>
  <c r="P462" i="25"/>
  <c r="O458" i="25"/>
  <c r="P458" i="25"/>
  <c r="O454" i="25"/>
  <c r="P454" i="25"/>
  <c r="O450" i="25"/>
  <c r="P450" i="25"/>
  <c r="O446" i="25"/>
  <c r="P446" i="25"/>
  <c r="O442" i="25"/>
  <c r="P442" i="25"/>
  <c r="O438" i="25"/>
  <c r="P438" i="25"/>
  <c r="O434" i="25"/>
  <c r="Q434" i="25"/>
  <c r="R434" i="25"/>
  <c r="P434" i="25"/>
  <c r="G434" i="25"/>
  <c r="O430" i="25"/>
  <c r="R426" i="25"/>
  <c r="O422" i="25"/>
  <c r="Q422" i="25"/>
  <c r="R422" i="25"/>
  <c r="P422" i="25"/>
  <c r="G422" i="25"/>
  <c r="O418" i="25"/>
  <c r="Q418" i="25"/>
  <c r="R418" i="25"/>
  <c r="P418" i="25"/>
  <c r="G418" i="25"/>
  <c r="P414" i="25"/>
  <c r="O410" i="25"/>
  <c r="P410" i="25"/>
  <c r="O398" i="25"/>
  <c r="P398" i="25"/>
  <c r="O394" i="25"/>
  <c r="P394" i="25"/>
  <c r="O390" i="25"/>
  <c r="P390" i="25"/>
  <c r="O386" i="25"/>
  <c r="P386" i="25"/>
  <c r="O382" i="25"/>
  <c r="P382" i="25"/>
  <c r="O378" i="25"/>
  <c r="P378" i="25"/>
  <c r="Q370" i="25"/>
  <c r="O366" i="25"/>
  <c r="P366" i="25"/>
  <c r="O362" i="25"/>
  <c r="P362" i="25"/>
  <c r="O354" i="25"/>
  <c r="P354" i="25"/>
  <c r="O346" i="25"/>
  <c r="P346" i="25"/>
  <c r="O342" i="25"/>
  <c r="P342" i="25"/>
  <c r="Q338" i="25"/>
  <c r="O334" i="25"/>
  <c r="G334" i="25"/>
  <c r="O330" i="25"/>
  <c r="P330" i="25"/>
  <c r="P326" i="25"/>
  <c r="O318" i="25"/>
  <c r="P318" i="25"/>
  <c r="O314" i="25"/>
  <c r="P314" i="25"/>
  <c r="G310" i="25"/>
  <c r="O306" i="25"/>
  <c r="P306" i="25"/>
  <c r="O302" i="25"/>
  <c r="Q302" i="25"/>
  <c r="P302" i="25"/>
  <c r="O298" i="25"/>
  <c r="P298" i="25"/>
  <c r="O294" i="25"/>
  <c r="P294" i="25"/>
  <c r="O290" i="25"/>
  <c r="O286" i="25"/>
  <c r="P286" i="25"/>
  <c r="O282" i="25"/>
  <c r="P282" i="25"/>
  <c r="O278" i="25"/>
  <c r="P278" i="25"/>
  <c r="P274" i="25"/>
  <c r="O266" i="25"/>
  <c r="P266" i="25"/>
  <c r="O262" i="25"/>
  <c r="O258" i="25"/>
  <c r="P258" i="25"/>
  <c r="O254" i="25"/>
  <c r="P254" i="25"/>
  <c r="O246" i="25"/>
  <c r="Q246" i="25"/>
  <c r="R246" i="25"/>
  <c r="G246" i="25"/>
  <c r="P246" i="25"/>
  <c r="O242" i="25"/>
  <c r="Q242" i="25"/>
  <c r="R242" i="25"/>
  <c r="P242" i="25"/>
  <c r="G242" i="25"/>
  <c r="O238" i="25"/>
  <c r="P238" i="25"/>
  <c r="O234" i="25"/>
  <c r="P234" i="25"/>
  <c r="P230" i="25"/>
  <c r="O226" i="25"/>
  <c r="P226" i="25"/>
  <c r="O222" i="25"/>
  <c r="P222" i="25"/>
  <c r="O218" i="25"/>
  <c r="Q218" i="25"/>
  <c r="R218" i="25"/>
  <c r="P218" i="25"/>
  <c r="G218" i="25"/>
  <c r="O214" i="25"/>
  <c r="Q214" i="25"/>
  <c r="R214" i="25"/>
  <c r="G214" i="25"/>
  <c r="P214" i="25"/>
  <c r="O210" i="25"/>
  <c r="P210" i="25"/>
  <c r="O206" i="25"/>
  <c r="P206" i="25"/>
  <c r="R202" i="25"/>
  <c r="O194" i="25"/>
  <c r="Q194" i="25"/>
  <c r="R194" i="25"/>
  <c r="P194" i="25"/>
  <c r="G194" i="25"/>
  <c r="O190" i="25"/>
  <c r="P190" i="25"/>
  <c r="Q186" i="25"/>
  <c r="O182" i="25"/>
  <c r="Q182" i="25"/>
  <c r="R182" i="25"/>
  <c r="G182" i="25"/>
  <c r="P182" i="25"/>
  <c r="O178" i="25"/>
  <c r="P178" i="25"/>
  <c r="O170" i="25"/>
  <c r="Q170" i="25"/>
  <c r="R170" i="25"/>
  <c r="P170" i="25"/>
  <c r="G170" i="25"/>
  <c r="O166" i="25"/>
  <c r="P166" i="25"/>
  <c r="R162" i="25"/>
  <c r="O154" i="25"/>
  <c r="Q154" i="25"/>
  <c r="R154" i="25"/>
  <c r="P154" i="25"/>
  <c r="G154" i="25"/>
  <c r="O150" i="25"/>
  <c r="P150" i="25"/>
  <c r="O146" i="25"/>
  <c r="P146" i="25"/>
  <c r="O142" i="25"/>
  <c r="Q142" i="25"/>
  <c r="R142" i="25"/>
  <c r="P142" i="25"/>
  <c r="G142" i="25"/>
  <c r="O138" i="25"/>
  <c r="Q138" i="25"/>
  <c r="R138" i="25"/>
  <c r="P138" i="25"/>
  <c r="G138" i="25"/>
  <c r="O134" i="25"/>
  <c r="P134" i="25"/>
  <c r="O130" i="25"/>
  <c r="G130" i="25"/>
  <c r="O126" i="25"/>
  <c r="P126" i="25"/>
  <c r="O122" i="25"/>
  <c r="Q122" i="25"/>
  <c r="R122" i="25"/>
  <c r="P122" i="25"/>
  <c r="G122" i="25"/>
  <c r="O118" i="25"/>
  <c r="O114" i="25"/>
  <c r="Q114" i="25"/>
  <c r="R114" i="25"/>
  <c r="P114" i="25"/>
  <c r="G114" i="25"/>
  <c r="P110" i="25"/>
  <c r="O102" i="25"/>
  <c r="P102" i="25"/>
  <c r="G98" i="25"/>
  <c r="O94" i="25"/>
  <c r="Q94" i="25"/>
  <c r="R94" i="25"/>
  <c r="P94" i="25"/>
  <c r="G94" i="25"/>
  <c r="O86" i="25"/>
  <c r="Q86" i="25"/>
  <c r="R86" i="25"/>
  <c r="P86" i="25"/>
  <c r="G86" i="25"/>
  <c r="O82" i="25"/>
  <c r="P82" i="25"/>
  <c r="O78" i="25"/>
  <c r="P78" i="25"/>
  <c r="O74" i="25"/>
  <c r="Q74" i="25"/>
  <c r="R74" i="25"/>
  <c r="P74" i="25"/>
  <c r="G74" i="25"/>
  <c r="O70" i="25"/>
  <c r="P70" i="25"/>
  <c r="O66" i="25"/>
  <c r="P66" i="25"/>
  <c r="O58" i="25"/>
  <c r="P58" i="25"/>
  <c r="O54" i="25"/>
  <c r="P54" i="25"/>
  <c r="P50" i="25"/>
  <c r="O46" i="25"/>
  <c r="Q46" i="25"/>
  <c r="R46" i="25"/>
  <c r="P46" i="25"/>
  <c r="G46" i="25"/>
  <c r="P42" i="25"/>
  <c r="O30" i="25"/>
  <c r="P30" i="25"/>
  <c r="O26" i="25"/>
  <c r="P26" i="25"/>
  <c r="O22" i="25"/>
  <c r="Q22" i="25"/>
  <c r="R22" i="25"/>
  <c r="P22" i="25"/>
  <c r="G22" i="25"/>
  <c r="O18" i="25"/>
  <c r="P18" i="25"/>
  <c r="O14" i="25"/>
  <c r="P14" i="25"/>
  <c r="O10" i="25"/>
  <c r="P10" i="25"/>
  <c r="Q6" i="25"/>
  <c r="O2" i="25"/>
  <c r="W2" i="25"/>
  <c r="V2" i="25"/>
  <c r="U2" i="25"/>
  <c r="T2" i="25"/>
  <c r="W135" i="25"/>
  <c r="W107" i="25"/>
  <c r="V489" i="25"/>
  <c r="U489" i="25"/>
  <c r="W49" i="25"/>
  <c r="X33" i="25"/>
  <c r="X459" i="25"/>
  <c r="T492" i="25"/>
  <c r="T488" i="25"/>
  <c r="T476" i="25"/>
  <c r="T472" i="25"/>
  <c r="T460" i="25"/>
  <c r="W456" i="25"/>
  <c r="T444" i="25"/>
  <c r="T440" i="25"/>
  <c r="W440" i="25"/>
  <c r="T428" i="25"/>
  <c r="T424" i="25"/>
  <c r="T412" i="25"/>
  <c r="T408" i="25"/>
  <c r="T396" i="25"/>
  <c r="W392" i="25"/>
  <c r="T380" i="25"/>
  <c r="T376" i="25"/>
  <c r="W376" i="25"/>
  <c r="T364" i="25"/>
  <c r="T360" i="25"/>
  <c r="T348" i="25"/>
  <c r="T344" i="25"/>
  <c r="T332" i="25"/>
  <c r="W328" i="25"/>
  <c r="T316" i="25"/>
  <c r="T312" i="25"/>
  <c r="W312" i="25"/>
  <c r="T300" i="25"/>
  <c r="T296" i="25"/>
  <c r="T284" i="25"/>
  <c r="T280" i="25"/>
  <c r="T268" i="25"/>
  <c r="W264" i="25"/>
  <c r="T252" i="25"/>
  <c r="T248" i="25"/>
  <c r="W248" i="25"/>
  <c r="T236" i="25"/>
  <c r="T232" i="25"/>
  <c r="T220" i="25"/>
  <c r="T216" i="25"/>
  <c r="T204" i="25"/>
  <c r="T200" i="25"/>
  <c r="T188" i="25"/>
  <c r="T184" i="25"/>
  <c r="T172" i="25"/>
  <c r="T156" i="25"/>
  <c r="T140" i="25"/>
  <c r="T124" i="25"/>
  <c r="T108" i="25"/>
  <c r="T92" i="25"/>
  <c r="T76" i="25"/>
  <c r="T60" i="25"/>
  <c r="T44" i="25"/>
  <c r="T28" i="25"/>
  <c r="T12" i="25"/>
  <c r="W495" i="25"/>
  <c r="W479" i="25"/>
  <c r="W419" i="25"/>
  <c r="W355" i="25"/>
  <c r="W291" i="25"/>
  <c r="X203" i="25"/>
  <c r="W71" i="25"/>
  <c r="V585" i="25"/>
  <c r="U585" i="25"/>
  <c r="U569" i="25"/>
  <c r="V569" i="25"/>
  <c r="V553" i="25"/>
  <c r="U553" i="25"/>
  <c r="V545" i="25"/>
  <c r="U545" i="25"/>
  <c r="X545" i="25"/>
  <c r="V537" i="25"/>
  <c r="U537" i="25"/>
  <c r="V529" i="25"/>
  <c r="U529" i="25"/>
  <c r="U521" i="25"/>
  <c r="V521" i="25"/>
  <c r="V513" i="25"/>
  <c r="U513" i="25"/>
  <c r="V505" i="25"/>
  <c r="U505" i="25"/>
  <c r="M162" i="25"/>
  <c r="X494" i="25"/>
  <c r="V494" i="25"/>
  <c r="T494" i="25"/>
  <c r="W494" i="25"/>
  <c r="U494" i="25"/>
  <c r="X486" i="25"/>
  <c r="V486" i="25"/>
  <c r="T486" i="25"/>
  <c r="W486" i="25"/>
  <c r="U486" i="25"/>
  <c r="X474" i="25"/>
  <c r="V474" i="25"/>
  <c r="T474" i="25"/>
  <c r="W474" i="25"/>
  <c r="U474" i="25"/>
  <c r="X466" i="25"/>
  <c r="V466" i="25"/>
  <c r="T466" i="25"/>
  <c r="W466" i="25"/>
  <c r="U466" i="25"/>
  <c r="X458" i="25"/>
  <c r="W458" i="25"/>
  <c r="V458" i="25"/>
  <c r="T458" i="25"/>
  <c r="U458" i="25"/>
  <c r="X450" i="25"/>
  <c r="V450" i="25"/>
  <c r="T450" i="25"/>
  <c r="W450" i="25"/>
  <c r="U450" i="25"/>
  <c r="X442" i="25"/>
  <c r="W442" i="25"/>
  <c r="V442" i="25"/>
  <c r="T442" i="25"/>
  <c r="U442" i="25"/>
  <c r="X434" i="25"/>
  <c r="V434" i="25"/>
  <c r="T434" i="25"/>
  <c r="W434" i="25"/>
  <c r="U434" i="25"/>
  <c r="X426" i="25"/>
  <c r="W426" i="25"/>
  <c r="V426" i="25"/>
  <c r="T426" i="25"/>
  <c r="U426" i="25"/>
  <c r="X418" i="25"/>
  <c r="V418" i="25"/>
  <c r="T418" i="25"/>
  <c r="W418" i="25"/>
  <c r="U418" i="25"/>
  <c r="V406" i="25"/>
  <c r="X406" i="25"/>
  <c r="W406" i="25"/>
  <c r="T406" i="25"/>
  <c r="U406" i="25"/>
  <c r="X398" i="25"/>
  <c r="V398" i="25"/>
  <c r="T398" i="25"/>
  <c r="U398" i="25"/>
  <c r="W398" i="25"/>
  <c r="V390" i="25"/>
  <c r="W390" i="25"/>
  <c r="T390" i="25"/>
  <c r="X390" i="25"/>
  <c r="U390" i="25"/>
  <c r="X382" i="25"/>
  <c r="V382" i="25"/>
  <c r="T382" i="25"/>
  <c r="W382" i="25"/>
  <c r="U382" i="25"/>
  <c r="V374" i="25"/>
  <c r="W374" i="25"/>
  <c r="T374" i="25"/>
  <c r="X374" i="25"/>
  <c r="U374" i="25"/>
  <c r="X366" i="25"/>
  <c r="V366" i="25"/>
  <c r="T366" i="25"/>
  <c r="W366" i="25"/>
  <c r="U366" i="25"/>
  <c r="X358" i="25"/>
  <c r="V358" i="25"/>
  <c r="W358" i="25"/>
  <c r="T358" i="25"/>
  <c r="U358" i="25"/>
  <c r="X350" i="25"/>
  <c r="V350" i="25"/>
  <c r="T350" i="25"/>
  <c r="U350" i="25"/>
  <c r="W350" i="25"/>
  <c r="V342" i="25"/>
  <c r="X342" i="25"/>
  <c r="W342" i="25"/>
  <c r="T342" i="25"/>
  <c r="U342" i="25"/>
  <c r="X334" i="25"/>
  <c r="V334" i="25"/>
  <c r="T334" i="25"/>
  <c r="U334" i="25"/>
  <c r="W334" i="25"/>
  <c r="V326" i="25"/>
  <c r="W326" i="25"/>
  <c r="T326" i="25"/>
  <c r="X326" i="25"/>
  <c r="U326" i="25"/>
  <c r="X318" i="25"/>
  <c r="V318" i="25"/>
  <c r="T318" i="25"/>
  <c r="W318" i="25"/>
  <c r="U318" i="25"/>
  <c r="V310" i="25"/>
  <c r="W310" i="25"/>
  <c r="T310" i="25"/>
  <c r="X310" i="25"/>
  <c r="U310" i="25"/>
  <c r="X302" i="25"/>
  <c r="V302" i="25"/>
  <c r="T302" i="25"/>
  <c r="W302" i="25"/>
  <c r="U302" i="25"/>
  <c r="X294" i="25"/>
  <c r="V294" i="25"/>
  <c r="W294" i="25"/>
  <c r="T294" i="25"/>
  <c r="U294" i="25"/>
  <c r="X282" i="25"/>
  <c r="W282" i="25"/>
  <c r="V282" i="25"/>
  <c r="T282" i="25"/>
  <c r="U282" i="25"/>
  <c r="X274" i="25"/>
  <c r="V274" i="25"/>
  <c r="T274" i="25"/>
  <c r="W274" i="25"/>
  <c r="U274" i="25"/>
  <c r="X266" i="25"/>
  <c r="W266" i="25"/>
  <c r="V266" i="25"/>
  <c r="T266" i="25"/>
  <c r="U266" i="25"/>
  <c r="X258" i="25"/>
  <c r="V258" i="25"/>
  <c r="T258" i="25"/>
  <c r="W258" i="25"/>
  <c r="U258" i="25"/>
  <c r="X250" i="25"/>
  <c r="W250" i="25"/>
  <c r="V250" i="25"/>
  <c r="T250" i="25"/>
  <c r="U250" i="25"/>
  <c r="X242" i="25"/>
  <c r="V242" i="25"/>
  <c r="T242" i="25"/>
  <c r="W242" i="25"/>
  <c r="U242" i="25"/>
  <c r="W234" i="25"/>
  <c r="X234" i="25"/>
  <c r="V234" i="25"/>
  <c r="T234" i="25"/>
  <c r="U234" i="25"/>
  <c r="X226" i="25"/>
  <c r="V226" i="25"/>
  <c r="T226" i="25"/>
  <c r="W226" i="25"/>
  <c r="U226" i="25"/>
  <c r="V214" i="25"/>
  <c r="X214" i="25"/>
  <c r="T214" i="25"/>
  <c r="U214" i="25"/>
  <c r="W214" i="25"/>
  <c r="X206" i="25"/>
  <c r="V206" i="25"/>
  <c r="T206" i="25"/>
  <c r="W206" i="25"/>
  <c r="U206" i="25"/>
  <c r="V198" i="25"/>
  <c r="T198" i="25"/>
  <c r="X198" i="25"/>
  <c r="W198" i="25"/>
  <c r="U198" i="25"/>
  <c r="W186" i="25"/>
  <c r="X186" i="25"/>
  <c r="V186" i="25"/>
  <c r="T186" i="25"/>
  <c r="U186" i="25"/>
  <c r="X174" i="25"/>
  <c r="V174" i="25"/>
  <c r="W174" i="25"/>
  <c r="T174" i="25"/>
  <c r="U174" i="25"/>
  <c r="W170" i="25"/>
  <c r="X170" i="25"/>
  <c r="V170" i="25"/>
  <c r="T170" i="25"/>
  <c r="U170" i="25"/>
  <c r="X158" i="25"/>
  <c r="W158" i="25"/>
  <c r="V158" i="25"/>
  <c r="T158" i="25"/>
  <c r="U158" i="25"/>
  <c r="V150" i="25"/>
  <c r="X150" i="25"/>
  <c r="T150" i="25"/>
  <c r="W150" i="25"/>
  <c r="U150" i="25"/>
  <c r="X142" i="25"/>
  <c r="V142" i="25"/>
  <c r="T142" i="25"/>
  <c r="W142" i="25"/>
  <c r="U142" i="25"/>
  <c r="V134" i="25"/>
  <c r="T134" i="25"/>
  <c r="X134" i="25"/>
  <c r="W134" i="25"/>
  <c r="U134" i="25"/>
  <c r="X126" i="25"/>
  <c r="V126" i="25"/>
  <c r="T126" i="25"/>
  <c r="W126" i="25"/>
  <c r="U126" i="25"/>
  <c r="W122" i="25"/>
  <c r="X122" i="25"/>
  <c r="V122" i="25"/>
  <c r="T122" i="25"/>
  <c r="U122" i="25"/>
  <c r="X110" i="25"/>
  <c r="V110" i="25"/>
  <c r="W110" i="25"/>
  <c r="T110" i="25"/>
  <c r="U110" i="25"/>
  <c r="X102" i="25"/>
  <c r="W102" i="25"/>
  <c r="V102" i="25"/>
  <c r="T102" i="25"/>
  <c r="U102" i="25"/>
  <c r="X98" i="25"/>
  <c r="V98" i="25"/>
  <c r="T98" i="25"/>
  <c r="W98" i="25"/>
  <c r="U98" i="25"/>
  <c r="V86" i="25"/>
  <c r="X86" i="25"/>
  <c r="T86" i="25"/>
  <c r="W86" i="25"/>
  <c r="U86" i="25"/>
  <c r="V70" i="25"/>
  <c r="T70" i="25"/>
  <c r="X70" i="25"/>
  <c r="W70" i="25"/>
  <c r="U70" i="25"/>
  <c r="X62" i="25"/>
  <c r="V62" i="25"/>
  <c r="T62" i="25"/>
  <c r="W62" i="25"/>
  <c r="U62" i="25"/>
  <c r="W58" i="25"/>
  <c r="X58" i="25"/>
  <c r="V58" i="25"/>
  <c r="T58" i="25"/>
  <c r="U58" i="25"/>
  <c r="V54" i="25"/>
  <c r="W54" i="25"/>
  <c r="T54" i="25"/>
  <c r="X54" i="25"/>
  <c r="U54" i="25"/>
  <c r="W46" i="25"/>
  <c r="X46" i="25"/>
  <c r="V46" i="25"/>
  <c r="T46" i="25"/>
  <c r="U46" i="25"/>
  <c r="X38" i="25"/>
  <c r="V38" i="25"/>
  <c r="T38" i="25"/>
  <c r="U38" i="25"/>
  <c r="W38" i="25"/>
  <c r="W30" i="25"/>
  <c r="X30" i="25"/>
  <c r="V30" i="25"/>
  <c r="T30" i="25"/>
  <c r="U30" i="25"/>
  <c r="X22" i="25"/>
  <c r="V22" i="25"/>
  <c r="W22" i="25"/>
  <c r="T22" i="25"/>
  <c r="U22" i="25"/>
  <c r="X14" i="25"/>
  <c r="W14" i="25"/>
  <c r="V14" i="25"/>
  <c r="T14" i="25"/>
  <c r="U14" i="25"/>
  <c r="X6" i="25"/>
  <c r="V6" i="25"/>
  <c r="T6" i="25"/>
  <c r="W6" i="25"/>
  <c r="U6" i="25"/>
  <c r="X592" i="25"/>
  <c r="W592" i="25"/>
  <c r="U592" i="25"/>
  <c r="V592" i="25"/>
  <c r="T592" i="25"/>
  <c r="X584" i="25"/>
  <c r="W584" i="25"/>
  <c r="U584" i="25"/>
  <c r="V584" i="25"/>
  <c r="T584" i="25"/>
  <c r="X576" i="25"/>
  <c r="W576" i="25"/>
  <c r="U576" i="25"/>
  <c r="V576" i="25"/>
  <c r="T576" i="25"/>
  <c r="X568" i="25"/>
  <c r="W568" i="25"/>
  <c r="U568" i="25"/>
  <c r="V568" i="25"/>
  <c r="T568" i="25"/>
  <c r="X556" i="25"/>
  <c r="W556" i="25"/>
  <c r="U556" i="25"/>
  <c r="V556" i="25"/>
  <c r="T556" i="25"/>
  <c r="X544" i="25"/>
  <c r="W544" i="25"/>
  <c r="U544" i="25"/>
  <c r="V544" i="25"/>
  <c r="T544" i="25"/>
  <c r="X536" i="25"/>
  <c r="W536" i="25"/>
  <c r="U536" i="25"/>
  <c r="V536" i="25"/>
  <c r="T536" i="25"/>
  <c r="X524" i="25"/>
  <c r="W524" i="25"/>
  <c r="U524" i="25"/>
  <c r="V524" i="25"/>
  <c r="T524" i="25"/>
  <c r="X516" i="25"/>
  <c r="W516" i="25"/>
  <c r="U516" i="25"/>
  <c r="V516" i="25"/>
  <c r="T516" i="25"/>
  <c r="X504" i="25"/>
  <c r="W504" i="25"/>
  <c r="U504" i="25"/>
  <c r="V504" i="25"/>
  <c r="T504" i="25"/>
  <c r="X498" i="25"/>
  <c r="V498" i="25"/>
  <c r="T498" i="25"/>
  <c r="W498" i="25"/>
  <c r="U498" i="25"/>
  <c r="X490" i="25"/>
  <c r="V490" i="25"/>
  <c r="T490" i="25"/>
  <c r="W490" i="25"/>
  <c r="U490" i="25"/>
  <c r="X482" i="25"/>
  <c r="V482" i="25"/>
  <c r="T482" i="25"/>
  <c r="W482" i="25"/>
  <c r="U482" i="25"/>
  <c r="X478" i="25"/>
  <c r="V478" i="25"/>
  <c r="T478" i="25"/>
  <c r="W478" i="25"/>
  <c r="U478" i="25"/>
  <c r="V470" i="25"/>
  <c r="X470" i="25"/>
  <c r="T470" i="25"/>
  <c r="W470" i="25"/>
  <c r="U470" i="25"/>
  <c r="X462" i="25"/>
  <c r="V462" i="25"/>
  <c r="T462" i="25"/>
  <c r="U462" i="25"/>
  <c r="W462" i="25"/>
  <c r="V454" i="25"/>
  <c r="W454" i="25"/>
  <c r="T454" i="25"/>
  <c r="X454" i="25"/>
  <c r="U454" i="25"/>
  <c r="X446" i="25"/>
  <c r="V446" i="25"/>
  <c r="T446" i="25"/>
  <c r="W446" i="25"/>
  <c r="U446" i="25"/>
  <c r="V438" i="25"/>
  <c r="W438" i="25"/>
  <c r="T438" i="25"/>
  <c r="X438" i="25"/>
  <c r="U438" i="25"/>
  <c r="X430" i="25"/>
  <c r="V430" i="25"/>
  <c r="T430" i="25"/>
  <c r="W430" i="25"/>
  <c r="U430" i="25"/>
  <c r="X422" i="25"/>
  <c r="V422" i="25"/>
  <c r="W422" i="25"/>
  <c r="T422" i="25"/>
  <c r="U422" i="25"/>
  <c r="X414" i="25"/>
  <c r="V414" i="25"/>
  <c r="T414" i="25"/>
  <c r="U414" i="25"/>
  <c r="W414" i="25"/>
  <c r="X410" i="25"/>
  <c r="W410" i="25"/>
  <c r="V410" i="25"/>
  <c r="T410" i="25"/>
  <c r="U410" i="25"/>
  <c r="X402" i="25"/>
  <c r="V402" i="25"/>
  <c r="T402" i="25"/>
  <c r="W402" i="25"/>
  <c r="U402" i="25"/>
  <c r="X394" i="25"/>
  <c r="W394" i="25"/>
  <c r="V394" i="25"/>
  <c r="T394" i="25"/>
  <c r="U394" i="25"/>
  <c r="X386" i="25"/>
  <c r="V386" i="25"/>
  <c r="T386" i="25"/>
  <c r="W386" i="25"/>
  <c r="U386" i="25"/>
  <c r="X378" i="25"/>
  <c r="W378" i="25"/>
  <c r="V378" i="25"/>
  <c r="T378" i="25"/>
  <c r="U378" i="25"/>
  <c r="X370" i="25"/>
  <c r="V370" i="25"/>
  <c r="T370" i="25"/>
  <c r="W370" i="25"/>
  <c r="U370" i="25"/>
  <c r="X362" i="25"/>
  <c r="W362" i="25"/>
  <c r="V362" i="25"/>
  <c r="T362" i="25"/>
  <c r="U362" i="25"/>
  <c r="X354" i="25"/>
  <c r="V354" i="25"/>
  <c r="T354" i="25"/>
  <c r="W354" i="25"/>
  <c r="U354" i="25"/>
  <c r="X346" i="25"/>
  <c r="W346" i="25"/>
  <c r="V346" i="25"/>
  <c r="T346" i="25"/>
  <c r="U346" i="25"/>
  <c r="X338" i="25"/>
  <c r="V338" i="25"/>
  <c r="T338" i="25"/>
  <c r="W338" i="25"/>
  <c r="U338" i="25"/>
  <c r="X330" i="25"/>
  <c r="W330" i="25"/>
  <c r="V330" i="25"/>
  <c r="T330" i="25"/>
  <c r="U330" i="25"/>
  <c r="X322" i="25"/>
  <c r="V322" i="25"/>
  <c r="T322" i="25"/>
  <c r="W322" i="25"/>
  <c r="U322" i="25"/>
  <c r="X314" i="25"/>
  <c r="W314" i="25"/>
  <c r="V314" i="25"/>
  <c r="T314" i="25"/>
  <c r="U314" i="25"/>
  <c r="X306" i="25"/>
  <c r="V306" i="25"/>
  <c r="T306" i="25"/>
  <c r="W306" i="25"/>
  <c r="U306" i="25"/>
  <c r="X298" i="25"/>
  <c r="W298" i="25"/>
  <c r="V298" i="25"/>
  <c r="T298" i="25"/>
  <c r="U298" i="25"/>
  <c r="X290" i="25"/>
  <c r="V290" i="25"/>
  <c r="T290" i="25"/>
  <c r="W290" i="25"/>
  <c r="U290" i="25"/>
  <c r="X286" i="25"/>
  <c r="V286" i="25"/>
  <c r="T286" i="25"/>
  <c r="U286" i="25"/>
  <c r="W286" i="25"/>
  <c r="V278" i="25"/>
  <c r="X278" i="25"/>
  <c r="W278" i="25"/>
  <c r="T278" i="25"/>
  <c r="U278" i="25"/>
  <c r="X270" i="25"/>
  <c r="V270" i="25"/>
  <c r="T270" i="25"/>
  <c r="U270" i="25"/>
  <c r="W270" i="25"/>
  <c r="V262" i="25"/>
  <c r="W262" i="25"/>
  <c r="T262" i="25"/>
  <c r="X262" i="25"/>
  <c r="U262" i="25"/>
  <c r="X254" i="25"/>
  <c r="V254" i="25"/>
  <c r="T254" i="25"/>
  <c r="W254" i="25"/>
  <c r="U254" i="25"/>
  <c r="V246" i="25"/>
  <c r="W246" i="25"/>
  <c r="T246" i="25"/>
  <c r="X246" i="25"/>
  <c r="U246" i="25"/>
  <c r="X238" i="25"/>
  <c r="V238" i="25"/>
  <c r="W238" i="25"/>
  <c r="T238" i="25"/>
  <c r="U238" i="25"/>
  <c r="X230" i="25"/>
  <c r="W230" i="25"/>
  <c r="V230" i="25"/>
  <c r="T230" i="25"/>
  <c r="U230" i="25"/>
  <c r="X222" i="25"/>
  <c r="W222" i="25"/>
  <c r="V222" i="25"/>
  <c r="T222" i="25"/>
  <c r="U222" i="25"/>
  <c r="W218" i="25"/>
  <c r="X218" i="25"/>
  <c r="V218" i="25"/>
  <c r="T218" i="25"/>
  <c r="U218" i="25"/>
  <c r="X210" i="25"/>
  <c r="V210" i="25"/>
  <c r="W210" i="25"/>
  <c r="T210" i="25"/>
  <c r="U210" i="25"/>
  <c r="W202" i="25"/>
  <c r="X202" i="25"/>
  <c r="V202" i="25"/>
  <c r="T202" i="25"/>
  <c r="U202" i="25"/>
  <c r="X194" i="25"/>
  <c r="W194" i="25"/>
  <c r="V194" i="25"/>
  <c r="T194" i="25"/>
  <c r="U194" i="25"/>
  <c r="X190" i="25"/>
  <c r="V190" i="25"/>
  <c r="T190" i="25"/>
  <c r="W190" i="25"/>
  <c r="U190" i="25"/>
  <c r="V182" i="25"/>
  <c r="W182" i="25"/>
  <c r="T182" i="25"/>
  <c r="U182" i="25"/>
  <c r="X182" i="25"/>
  <c r="X178" i="25"/>
  <c r="V178" i="25"/>
  <c r="T178" i="25"/>
  <c r="W178" i="25"/>
  <c r="U178" i="25"/>
  <c r="X166" i="25"/>
  <c r="W166" i="25"/>
  <c r="V166" i="25"/>
  <c r="T166" i="25"/>
  <c r="U166" i="25"/>
  <c r="X162" i="25"/>
  <c r="V162" i="25"/>
  <c r="T162" i="25"/>
  <c r="W162" i="25"/>
  <c r="U162" i="25"/>
  <c r="W154" i="25"/>
  <c r="X154" i="25"/>
  <c r="V154" i="25"/>
  <c r="T154" i="25"/>
  <c r="U154" i="25"/>
  <c r="X146" i="25"/>
  <c r="V146" i="25"/>
  <c r="W146" i="25"/>
  <c r="T146" i="25"/>
  <c r="U146" i="25"/>
  <c r="W138" i="25"/>
  <c r="X138" i="25"/>
  <c r="V138" i="25"/>
  <c r="T138" i="25"/>
  <c r="U138" i="25"/>
  <c r="X130" i="25"/>
  <c r="W130" i="25"/>
  <c r="V130" i="25"/>
  <c r="T130" i="25"/>
  <c r="U130" i="25"/>
  <c r="V118" i="25"/>
  <c r="W118" i="25"/>
  <c r="T118" i="25"/>
  <c r="U118" i="25"/>
  <c r="X118" i="25"/>
  <c r="X114" i="25"/>
  <c r="V114" i="25"/>
  <c r="T114" i="25"/>
  <c r="W114" i="25"/>
  <c r="U114" i="25"/>
  <c r="W106" i="25"/>
  <c r="X106" i="25"/>
  <c r="V106" i="25"/>
  <c r="T106" i="25"/>
  <c r="U106" i="25"/>
  <c r="X94" i="25"/>
  <c r="W94" i="25"/>
  <c r="V94" i="25"/>
  <c r="T94" i="25"/>
  <c r="U94" i="25"/>
  <c r="W90" i="25"/>
  <c r="X90" i="25"/>
  <c r="V90" i="25"/>
  <c r="T90" i="25"/>
  <c r="U90" i="25"/>
  <c r="X82" i="25"/>
  <c r="V82" i="25"/>
  <c r="W82" i="25"/>
  <c r="T82" i="25"/>
  <c r="U82" i="25"/>
  <c r="X78" i="25"/>
  <c r="V78" i="25"/>
  <c r="T78" i="25"/>
  <c r="U78" i="25"/>
  <c r="W78" i="25"/>
  <c r="W74" i="25"/>
  <c r="X74" i="25"/>
  <c r="V74" i="25"/>
  <c r="T74" i="25"/>
  <c r="U74" i="25"/>
  <c r="X66" i="25"/>
  <c r="W66" i="25"/>
  <c r="V66" i="25"/>
  <c r="T66" i="25"/>
  <c r="U66" i="25"/>
  <c r="X50" i="25"/>
  <c r="W50" i="25"/>
  <c r="V50" i="25"/>
  <c r="T50" i="25"/>
  <c r="U50" i="25"/>
  <c r="W42" i="25"/>
  <c r="X42" i="25"/>
  <c r="V42" i="25"/>
  <c r="T42" i="25"/>
  <c r="U42" i="25"/>
  <c r="X34" i="25"/>
  <c r="V34" i="25"/>
  <c r="T34" i="25"/>
  <c r="W34" i="25"/>
  <c r="U34" i="25"/>
  <c r="W26" i="25"/>
  <c r="X26" i="25"/>
  <c r="V26" i="25"/>
  <c r="T26" i="25"/>
  <c r="U26" i="25"/>
  <c r="X18" i="25"/>
  <c r="W18" i="25"/>
  <c r="V18" i="25"/>
  <c r="T18" i="25"/>
  <c r="U18" i="25"/>
  <c r="W10" i="25"/>
  <c r="X10" i="25"/>
  <c r="V10" i="25"/>
  <c r="T10" i="25"/>
  <c r="U10" i="25"/>
  <c r="X596" i="25"/>
  <c r="W596" i="25"/>
  <c r="U596" i="25"/>
  <c r="V596" i="25"/>
  <c r="T596" i="25"/>
  <c r="X588" i="25"/>
  <c r="W588" i="25"/>
  <c r="U588" i="25"/>
  <c r="V588" i="25"/>
  <c r="T588" i="25"/>
  <c r="X580" i="25"/>
  <c r="W580" i="25"/>
  <c r="U580" i="25"/>
  <c r="V580" i="25"/>
  <c r="T580" i="25"/>
  <c r="X572" i="25"/>
  <c r="W572" i="25"/>
  <c r="U572" i="25"/>
  <c r="V572" i="25"/>
  <c r="T572" i="25"/>
  <c r="X564" i="25"/>
  <c r="W564" i="25"/>
  <c r="U564" i="25"/>
  <c r="V564" i="25"/>
  <c r="T564" i="25"/>
  <c r="X560" i="25"/>
  <c r="W560" i="25"/>
  <c r="U560" i="25"/>
  <c r="V560" i="25"/>
  <c r="T560" i="25"/>
  <c r="X552" i="25"/>
  <c r="W552" i="25"/>
  <c r="U552" i="25"/>
  <c r="V552" i="25"/>
  <c r="T552" i="25"/>
  <c r="X548" i="25"/>
  <c r="W548" i="25"/>
  <c r="U548" i="25"/>
  <c r="V548" i="25"/>
  <c r="T548" i="25"/>
  <c r="X540" i="25"/>
  <c r="W540" i="25"/>
  <c r="U540" i="25"/>
  <c r="V540" i="25"/>
  <c r="T540" i="25"/>
  <c r="X532" i="25"/>
  <c r="W532" i="25"/>
  <c r="U532" i="25"/>
  <c r="V532" i="25"/>
  <c r="T532" i="25"/>
  <c r="X528" i="25"/>
  <c r="W528" i="25"/>
  <c r="U528" i="25"/>
  <c r="V528" i="25"/>
  <c r="T528" i="25"/>
  <c r="X520" i="25"/>
  <c r="W520" i="25"/>
  <c r="U520" i="25"/>
  <c r="V520" i="25"/>
  <c r="T520" i="25"/>
  <c r="X512" i="25"/>
  <c r="W512" i="25"/>
  <c r="U512" i="25"/>
  <c r="V512" i="25"/>
  <c r="T512" i="25"/>
  <c r="X508" i="25"/>
  <c r="W508" i="25"/>
  <c r="U508" i="25"/>
  <c r="V508" i="25"/>
  <c r="T508" i="25"/>
  <c r="N593" i="25"/>
  <c r="M593" i="25"/>
  <c r="N589" i="25"/>
  <c r="M589" i="25"/>
  <c r="M585" i="25"/>
  <c r="N581" i="25"/>
  <c r="M581" i="25"/>
  <c r="N577" i="25"/>
  <c r="M577" i="25"/>
  <c r="M569" i="25"/>
  <c r="N565" i="25"/>
  <c r="M565" i="25"/>
  <c r="N561" i="25"/>
  <c r="M561" i="25"/>
  <c r="N557" i="25"/>
  <c r="M557" i="25"/>
  <c r="N553" i="25"/>
  <c r="M553" i="25"/>
  <c r="N549" i="25"/>
  <c r="M549" i="25"/>
  <c r="M545" i="25"/>
  <c r="N537" i="25"/>
  <c r="M537" i="25"/>
  <c r="N533" i="25"/>
  <c r="M533" i="25"/>
  <c r="M529" i="25"/>
  <c r="N525" i="25"/>
  <c r="M525" i="25"/>
  <c r="M521" i="25"/>
  <c r="N517" i="25"/>
  <c r="M517" i="25"/>
  <c r="N513" i="25"/>
  <c r="M513" i="25"/>
  <c r="N505" i="25"/>
  <c r="M505" i="25"/>
  <c r="N501" i="25"/>
  <c r="M501" i="25"/>
  <c r="N497" i="25"/>
  <c r="M497" i="25"/>
  <c r="N485" i="25"/>
  <c r="M485" i="25"/>
  <c r="N477" i="25"/>
  <c r="M477" i="25"/>
  <c r="N473" i="25"/>
  <c r="M473" i="25"/>
  <c r="N469" i="25"/>
  <c r="N465" i="25"/>
  <c r="M465" i="25"/>
  <c r="N461" i="25"/>
  <c r="M461" i="25"/>
  <c r="N453" i="25"/>
  <c r="M453" i="25"/>
  <c r="N445" i="25"/>
  <c r="M445" i="25"/>
  <c r="N441" i="25"/>
  <c r="M441" i="25"/>
  <c r="N437" i="25"/>
  <c r="M437" i="25"/>
  <c r="N433" i="25"/>
  <c r="M433" i="25"/>
  <c r="N429" i="25"/>
  <c r="N425" i="25"/>
  <c r="M425" i="25"/>
  <c r="N421" i="25"/>
  <c r="M421" i="25"/>
  <c r="M413" i="25"/>
  <c r="N409" i="25"/>
  <c r="M409" i="25"/>
  <c r="N405" i="25"/>
  <c r="M405" i="25"/>
  <c r="N401" i="25"/>
  <c r="M401" i="25"/>
  <c r="N397" i="25"/>
  <c r="M397" i="25"/>
  <c r="N393" i="25"/>
  <c r="M393" i="25"/>
  <c r="M389" i="25"/>
  <c r="N381" i="25"/>
  <c r="M381" i="25"/>
  <c r="N377" i="25"/>
  <c r="M377" i="25"/>
  <c r="N373" i="25"/>
  <c r="M373" i="25"/>
  <c r="N369" i="25"/>
  <c r="M369" i="25"/>
  <c r="N365" i="25"/>
  <c r="M365" i="25"/>
  <c r="N361" i="25"/>
  <c r="M361" i="25"/>
  <c r="N357" i="25"/>
  <c r="M357" i="25"/>
  <c r="N353" i="25"/>
  <c r="M353" i="25"/>
  <c r="N349" i="25"/>
  <c r="M349" i="25"/>
  <c r="N345" i="25"/>
  <c r="M345" i="25"/>
  <c r="N341" i="25"/>
  <c r="M341" i="25"/>
  <c r="N337" i="25"/>
  <c r="M337" i="25"/>
  <c r="N333" i="25"/>
  <c r="M333" i="25"/>
  <c r="N329" i="25"/>
  <c r="M329" i="25"/>
  <c r="M325" i="25"/>
  <c r="N317" i="25"/>
  <c r="M317" i="25"/>
  <c r="N309" i="25"/>
  <c r="M309" i="25"/>
  <c r="N305" i="25"/>
  <c r="M305" i="25"/>
  <c r="N301" i="25"/>
  <c r="M301" i="25"/>
  <c r="N293" i="25"/>
  <c r="M293" i="25"/>
  <c r="N281" i="25"/>
  <c r="M281" i="25"/>
  <c r="N273" i="25"/>
  <c r="M273" i="25"/>
  <c r="N265" i="25"/>
  <c r="M265" i="25"/>
  <c r="N261" i="25"/>
  <c r="M261" i="25"/>
  <c r="N257" i="25"/>
  <c r="M257" i="25"/>
  <c r="N253" i="25"/>
  <c r="N249" i="25"/>
  <c r="M249" i="25"/>
  <c r="N245" i="25"/>
  <c r="M245" i="25"/>
  <c r="N241" i="25"/>
  <c r="M241" i="25"/>
  <c r="N237" i="25"/>
  <c r="M237" i="25"/>
  <c r="N233" i="25"/>
  <c r="M233" i="25"/>
  <c r="M229" i="25"/>
  <c r="N221" i="25"/>
  <c r="M221" i="25"/>
  <c r="N217" i="25"/>
  <c r="M217" i="25"/>
  <c r="N213" i="25"/>
  <c r="M213" i="25"/>
  <c r="N201" i="25"/>
  <c r="M201" i="25"/>
  <c r="N197" i="25"/>
  <c r="M197" i="25"/>
  <c r="N193" i="25"/>
  <c r="M189" i="25"/>
  <c r="N189" i="25"/>
  <c r="M185" i="25"/>
  <c r="N185" i="25"/>
  <c r="M181" i="25"/>
  <c r="N181" i="25"/>
  <c r="M177" i="25"/>
  <c r="N177" i="25"/>
  <c r="M173" i="25"/>
  <c r="N173" i="25"/>
  <c r="M169" i="25"/>
  <c r="N169" i="25"/>
  <c r="M165" i="25"/>
  <c r="N165" i="25"/>
  <c r="M161" i="25"/>
  <c r="N161" i="25"/>
  <c r="M153" i="25"/>
  <c r="N153" i="25"/>
  <c r="M149" i="25"/>
  <c r="N149" i="25"/>
  <c r="M145" i="25"/>
  <c r="N145" i="25"/>
  <c r="M141" i="25"/>
  <c r="N141" i="25"/>
  <c r="M137" i="25"/>
  <c r="N137" i="25"/>
  <c r="M133" i="25"/>
  <c r="N133" i="25"/>
  <c r="M129" i="25"/>
  <c r="N129" i="25"/>
  <c r="M125" i="25"/>
  <c r="N125" i="25"/>
  <c r="M121" i="25"/>
  <c r="N121" i="25"/>
  <c r="M113" i="25"/>
  <c r="N113" i="25"/>
  <c r="M105" i="25"/>
  <c r="N105" i="25"/>
  <c r="M101" i="25"/>
  <c r="N101" i="25"/>
  <c r="M97" i="25"/>
  <c r="M93" i="25"/>
  <c r="N93" i="25"/>
  <c r="M89" i="25"/>
  <c r="N89" i="25"/>
  <c r="M85" i="25"/>
  <c r="N85" i="25"/>
  <c r="M81" i="25"/>
  <c r="N81" i="25"/>
  <c r="M77" i="25"/>
  <c r="N77" i="25"/>
  <c r="M73" i="25"/>
  <c r="N73" i="25"/>
  <c r="M69" i="25"/>
  <c r="N69" i="25"/>
  <c r="M65" i="25"/>
  <c r="N65" i="25"/>
  <c r="M57" i="25"/>
  <c r="N57" i="25"/>
  <c r="M53" i="25"/>
  <c r="N53" i="25"/>
  <c r="M49" i="25"/>
  <c r="M45" i="25"/>
  <c r="N45" i="25"/>
  <c r="M41" i="25"/>
  <c r="N41" i="25"/>
  <c r="M37" i="25"/>
  <c r="N37" i="25"/>
  <c r="M33" i="25"/>
  <c r="N33" i="25"/>
  <c r="M25" i="25"/>
  <c r="N25" i="25"/>
  <c r="M21" i="25"/>
  <c r="N21" i="25"/>
  <c r="M17" i="25"/>
  <c r="N17" i="25"/>
  <c r="M13" i="25"/>
  <c r="N13" i="25"/>
  <c r="M9" i="25"/>
  <c r="N9" i="25"/>
  <c r="X493" i="25"/>
  <c r="T493" i="25"/>
  <c r="W493" i="25"/>
  <c r="X485" i="25"/>
  <c r="T485" i="25"/>
  <c r="W485" i="25"/>
  <c r="X477" i="25"/>
  <c r="T477" i="25"/>
  <c r="W477" i="25"/>
  <c r="X469" i="25"/>
  <c r="T469" i="25"/>
  <c r="W469" i="25"/>
  <c r="U469" i="25"/>
  <c r="X461" i="25"/>
  <c r="W461" i="25"/>
  <c r="T461" i="25"/>
  <c r="U461" i="25"/>
  <c r="W453" i="25"/>
  <c r="X453" i="25"/>
  <c r="T453" i="25"/>
  <c r="U453" i="25"/>
  <c r="X445" i="25"/>
  <c r="W445" i="25"/>
  <c r="T445" i="25"/>
  <c r="U445" i="25"/>
  <c r="X441" i="25"/>
  <c r="W441" i="25"/>
  <c r="T441" i="25"/>
  <c r="U441" i="25"/>
  <c r="W433" i="25"/>
  <c r="T433" i="25"/>
  <c r="X433" i="25"/>
  <c r="U433" i="25"/>
  <c r="X429" i="25"/>
  <c r="W429" i="25"/>
  <c r="T429" i="25"/>
  <c r="U429" i="25"/>
  <c r="W421" i="25"/>
  <c r="X421" i="25"/>
  <c r="T421" i="25"/>
  <c r="U421" i="25"/>
  <c r="W417" i="25"/>
  <c r="T417" i="25"/>
  <c r="U417" i="25"/>
  <c r="X413" i="25"/>
  <c r="W413" i="25"/>
  <c r="T413" i="25"/>
  <c r="U413" i="25"/>
  <c r="X409" i="25"/>
  <c r="W409" i="25"/>
  <c r="T409" i="25"/>
  <c r="U409" i="25"/>
  <c r="W405" i="25"/>
  <c r="X405" i="25"/>
  <c r="T405" i="25"/>
  <c r="U405" i="25"/>
  <c r="W401" i="25"/>
  <c r="X401" i="25"/>
  <c r="T401" i="25"/>
  <c r="U401" i="25"/>
  <c r="X397" i="25"/>
  <c r="W397" i="25"/>
  <c r="T397" i="25"/>
  <c r="U397" i="25"/>
  <c r="X393" i="25"/>
  <c r="W393" i="25"/>
  <c r="T393" i="25"/>
  <c r="U393" i="25"/>
  <c r="W389" i="25"/>
  <c r="X389" i="25"/>
  <c r="T389" i="25"/>
  <c r="U389" i="25"/>
  <c r="W385" i="25"/>
  <c r="T385" i="25"/>
  <c r="X385" i="25"/>
  <c r="U385" i="25"/>
  <c r="X381" i="25"/>
  <c r="W381" i="25"/>
  <c r="T381" i="25"/>
  <c r="U381" i="25"/>
  <c r="X377" i="25"/>
  <c r="W377" i="25"/>
  <c r="T377" i="25"/>
  <c r="U377" i="25"/>
  <c r="W373" i="25"/>
  <c r="X373" i="25"/>
  <c r="T373" i="25"/>
  <c r="U373" i="25"/>
  <c r="W369" i="25"/>
  <c r="T369" i="25"/>
  <c r="X369" i="25"/>
  <c r="U369" i="25"/>
  <c r="X365" i="25"/>
  <c r="W365" i="25"/>
  <c r="T365" i="25"/>
  <c r="U365" i="25"/>
  <c r="X361" i="25"/>
  <c r="W361" i="25"/>
  <c r="T361" i="25"/>
  <c r="U361" i="25"/>
  <c r="W357" i="25"/>
  <c r="X357" i="25"/>
  <c r="T357" i="25"/>
  <c r="U357" i="25"/>
  <c r="W353" i="25"/>
  <c r="T353" i="25"/>
  <c r="U353" i="25"/>
  <c r="X349" i="25"/>
  <c r="W349" i="25"/>
  <c r="T349" i="25"/>
  <c r="U349" i="25"/>
  <c r="X345" i="25"/>
  <c r="W345" i="25"/>
  <c r="T345" i="25"/>
  <c r="U345" i="25"/>
  <c r="W341" i="25"/>
  <c r="X341" i="25"/>
  <c r="T341" i="25"/>
  <c r="U341" i="25"/>
  <c r="W337" i="25"/>
  <c r="X337" i="25"/>
  <c r="T337" i="25"/>
  <c r="U337" i="25"/>
  <c r="X333" i="25"/>
  <c r="W333" i="25"/>
  <c r="T333" i="25"/>
  <c r="U333" i="25"/>
  <c r="X329" i="25"/>
  <c r="W329" i="25"/>
  <c r="T329" i="25"/>
  <c r="U329" i="25"/>
  <c r="W325" i="25"/>
  <c r="X325" i="25"/>
  <c r="T325" i="25"/>
  <c r="U325" i="25"/>
  <c r="W321" i="25"/>
  <c r="T321" i="25"/>
  <c r="X321" i="25"/>
  <c r="U321" i="25"/>
  <c r="X317" i="25"/>
  <c r="W317" i="25"/>
  <c r="T317" i="25"/>
  <c r="U317" i="25"/>
  <c r="X313" i="25"/>
  <c r="W313" i="25"/>
  <c r="T313" i="25"/>
  <c r="U313" i="25"/>
  <c r="W309" i="25"/>
  <c r="X309" i="25"/>
  <c r="T309" i="25"/>
  <c r="U309" i="25"/>
  <c r="W305" i="25"/>
  <c r="T305" i="25"/>
  <c r="X305" i="25"/>
  <c r="U305" i="25"/>
  <c r="X301" i="25"/>
  <c r="W301" i="25"/>
  <c r="T301" i="25"/>
  <c r="U301" i="25"/>
  <c r="X297" i="25"/>
  <c r="W297" i="25"/>
  <c r="T297" i="25"/>
  <c r="U297" i="25"/>
  <c r="W293" i="25"/>
  <c r="X293" i="25"/>
  <c r="T293" i="25"/>
  <c r="U293" i="25"/>
  <c r="W289" i="25"/>
  <c r="T289" i="25"/>
  <c r="U289" i="25"/>
  <c r="X285" i="25"/>
  <c r="W285" i="25"/>
  <c r="T285" i="25"/>
  <c r="U285" i="25"/>
  <c r="X281" i="25"/>
  <c r="W281" i="25"/>
  <c r="T281" i="25"/>
  <c r="U281" i="25"/>
  <c r="W277" i="25"/>
  <c r="X277" i="25"/>
  <c r="T277" i="25"/>
  <c r="U277" i="25"/>
  <c r="W273" i="25"/>
  <c r="X273" i="25"/>
  <c r="T273" i="25"/>
  <c r="U273" i="25"/>
  <c r="X269" i="25"/>
  <c r="W269" i="25"/>
  <c r="T269" i="25"/>
  <c r="U269" i="25"/>
  <c r="X265" i="25"/>
  <c r="W265" i="25"/>
  <c r="T265" i="25"/>
  <c r="U265" i="25"/>
  <c r="W261" i="25"/>
  <c r="X261" i="25"/>
  <c r="T261" i="25"/>
  <c r="U261" i="25"/>
  <c r="W257" i="25"/>
  <c r="T257" i="25"/>
  <c r="X257" i="25"/>
  <c r="U257" i="25"/>
  <c r="X253" i="25"/>
  <c r="W253" i="25"/>
  <c r="T253" i="25"/>
  <c r="U253" i="25"/>
  <c r="X249" i="25"/>
  <c r="W249" i="25"/>
  <c r="T249" i="25"/>
  <c r="U249" i="25"/>
  <c r="W245" i="25"/>
  <c r="X245" i="25"/>
  <c r="T245" i="25"/>
  <c r="U245" i="25"/>
  <c r="T241" i="25"/>
  <c r="X241" i="25"/>
  <c r="W241" i="25"/>
  <c r="U241" i="25"/>
  <c r="X237" i="25"/>
  <c r="W237" i="25"/>
  <c r="T237" i="25"/>
  <c r="U237" i="25"/>
  <c r="X233" i="25"/>
  <c r="T233" i="25"/>
  <c r="W233" i="25"/>
  <c r="U233" i="25"/>
  <c r="W229" i="25"/>
  <c r="X229" i="25"/>
  <c r="T229" i="25"/>
  <c r="U229" i="25"/>
  <c r="T225" i="25"/>
  <c r="W225" i="25"/>
  <c r="U225" i="25"/>
  <c r="X221" i="25"/>
  <c r="T221" i="25"/>
  <c r="U221" i="25"/>
  <c r="X217" i="25"/>
  <c r="T217" i="25"/>
  <c r="W217" i="25"/>
  <c r="U217" i="25"/>
  <c r="W213" i="25"/>
  <c r="X213" i="25"/>
  <c r="T213" i="25"/>
  <c r="U213" i="25"/>
  <c r="X209" i="25"/>
  <c r="W209" i="25"/>
  <c r="T209" i="25"/>
  <c r="U209" i="25"/>
  <c r="X205" i="25"/>
  <c r="T205" i="25"/>
  <c r="W205" i="25"/>
  <c r="U205" i="25"/>
  <c r="X201" i="25"/>
  <c r="W201" i="25"/>
  <c r="T201" i="25"/>
  <c r="U201" i="25"/>
  <c r="W197" i="25"/>
  <c r="X197" i="25"/>
  <c r="T197" i="25"/>
  <c r="U197" i="25"/>
  <c r="T193" i="25"/>
  <c r="X193" i="25"/>
  <c r="U193" i="25"/>
  <c r="X189" i="25"/>
  <c r="T189" i="25"/>
  <c r="W189" i="25"/>
  <c r="U189" i="25"/>
  <c r="X185" i="25"/>
  <c r="T185" i="25"/>
  <c r="U185" i="25"/>
  <c r="W181" i="25"/>
  <c r="X181" i="25"/>
  <c r="T181" i="25"/>
  <c r="U181" i="25"/>
  <c r="T177" i="25"/>
  <c r="X177" i="25"/>
  <c r="W177" i="25"/>
  <c r="U177" i="25"/>
  <c r="X173" i="25"/>
  <c r="W173" i="25"/>
  <c r="T173" i="25"/>
  <c r="U173" i="25"/>
  <c r="X169" i="25"/>
  <c r="T169" i="25"/>
  <c r="W169" i="25"/>
  <c r="U169" i="25"/>
  <c r="T161" i="25"/>
  <c r="W161" i="25"/>
  <c r="U161" i="25"/>
  <c r="X157" i="25"/>
  <c r="T157" i="25"/>
  <c r="U157" i="25"/>
  <c r="X153" i="25"/>
  <c r="T153" i="25"/>
  <c r="W153" i="25"/>
  <c r="U153" i="25"/>
  <c r="W149" i="25"/>
  <c r="X149" i="25"/>
  <c r="T149" i="25"/>
  <c r="U149" i="25"/>
  <c r="X145" i="25"/>
  <c r="W145" i="25"/>
  <c r="T145" i="25"/>
  <c r="U145" i="25"/>
  <c r="X141" i="25"/>
  <c r="T141" i="25"/>
  <c r="W141" i="25"/>
  <c r="U141" i="25"/>
  <c r="X137" i="25"/>
  <c r="W137" i="25"/>
  <c r="T137" i="25"/>
  <c r="U137" i="25"/>
  <c r="W133" i="25"/>
  <c r="X133" i="25"/>
  <c r="T133" i="25"/>
  <c r="U133" i="25"/>
  <c r="T129" i="25"/>
  <c r="X129" i="25"/>
  <c r="U129" i="25"/>
  <c r="X125" i="25"/>
  <c r="T125" i="25"/>
  <c r="W125" i="25"/>
  <c r="U125" i="25"/>
  <c r="X121" i="25"/>
  <c r="T121" i="25"/>
  <c r="U121" i="25"/>
  <c r="W117" i="25"/>
  <c r="X117" i="25"/>
  <c r="T117" i="25"/>
  <c r="U117" i="25"/>
  <c r="T113" i="25"/>
  <c r="X113" i="25"/>
  <c r="W113" i="25"/>
  <c r="U113" i="25"/>
  <c r="X109" i="25"/>
  <c r="W109" i="25"/>
  <c r="T109" i="25"/>
  <c r="U109" i="25"/>
  <c r="X105" i="25"/>
  <c r="T105" i="25"/>
  <c r="W105" i="25"/>
  <c r="U105" i="25"/>
  <c r="W101" i="25"/>
  <c r="X101" i="25"/>
  <c r="T101" i="25"/>
  <c r="U101" i="25"/>
  <c r="T97" i="25"/>
  <c r="W97" i="25"/>
  <c r="U97" i="25"/>
  <c r="X93" i="25"/>
  <c r="T93" i="25"/>
  <c r="U93" i="25"/>
  <c r="X89" i="25"/>
  <c r="T89" i="25"/>
  <c r="W89" i="25"/>
  <c r="U89" i="25"/>
  <c r="W85" i="25"/>
  <c r="X85" i="25"/>
  <c r="T85" i="25"/>
  <c r="U85" i="25"/>
  <c r="X81" i="25"/>
  <c r="W81" i="25"/>
  <c r="T81" i="25"/>
  <c r="U81" i="25"/>
  <c r="X77" i="25"/>
  <c r="T77" i="25"/>
  <c r="W77" i="25"/>
  <c r="U77" i="25"/>
  <c r="X73" i="25"/>
  <c r="W73" i="25"/>
  <c r="T73" i="25"/>
  <c r="U73" i="25"/>
  <c r="W69" i="25"/>
  <c r="X69" i="25"/>
  <c r="T69" i="25"/>
  <c r="U69" i="25"/>
  <c r="T65" i="25"/>
  <c r="X65" i="25"/>
  <c r="U65" i="25"/>
  <c r="X61" i="25"/>
  <c r="T61" i="25"/>
  <c r="W61" i="25"/>
  <c r="U61" i="25"/>
  <c r="X57" i="25"/>
  <c r="T57" i="25"/>
  <c r="U57" i="25"/>
  <c r="W53" i="25"/>
  <c r="X53" i="25"/>
  <c r="T53" i="25"/>
  <c r="U53" i="25"/>
  <c r="T49" i="25"/>
  <c r="X49" i="25"/>
  <c r="U49" i="25"/>
  <c r="X45" i="25"/>
  <c r="T45" i="25"/>
  <c r="W45" i="25"/>
  <c r="U45" i="25"/>
  <c r="W41" i="25"/>
  <c r="X41" i="25"/>
  <c r="T41" i="25"/>
  <c r="U41" i="25"/>
  <c r="W37" i="25"/>
  <c r="X37" i="25"/>
  <c r="T37" i="25"/>
  <c r="U37" i="25"/>
  <c r="T33" i="25"/>
  <c r="W33" i="25"/>
  <c r="U33" i="25"/>
  <c r="X29" i="25"/>
  <c r="W29" i="25"/>
  <c r="T29" i="25"/>
  <c r="U29" i="25"/>
  <c r="X25" i="25"/>
  <c r="W25" i="25"/>
  <c r="T25" i="25"/>
  <c r="U25" i="25"/>
  <c r="X21" i="25"/>
  <c r="W21" i="25"/>
  <c r="T21" i="25"/>
  <c r="U21" i="25"/>
  <c r="X17" i="25"/>
  <c r="T17" i="25"/>
  <c r="U17" i="25"/>
  <c r="X13" i="25"/>
  <c r="T13" i="25"/>
  <c r="W13" i="25"/>
  <c r="U13" i="25"/>
  <c r="X9" i="25"/>
  <c r="W9" i="25"/>
  <c r="T9" i="25"/>
  <c r="U9" i="25"/>
  <c r="X5" i="25"/>
  <c r="W5" i="25"/>
  <c r="T5" i="25"/>
  <c r="U5" i="25"/>
  <c r="X595" i="25"/>
  <c r="V595" i="25"/>
  <c r="T595" i="25"/>
  <c r="V591" i="25"/>
  <c r="T591" i="25"/>
  <c r="V587" i="25"/>
  <c r="X587" i="25"/>
  <c r="T587" i="25"/>
  <c r="X583" i="25"/>
  <c r="V583" i="25"/>
  <c r="T583" i="25"/>
  <c r="X579" i="25"/>
  <c r="V579" i="25"/>
  <c r="T579" i="25"/>
  <c r="X575" i="25"/>
  <c r="V575" i="25"/>
  <c r="T575" i="25"/>
  <c r="X571" i="25"/>
  <c r="V571" i="25"/>
  <c r="T571" i="25"/>
  <c r="X567" i="25"/>
  <c r="V567" i="25"/>
  <c r="T567" i="25"/>
  <c r="X563" i="25"/>
  <c r="V563" i="25"/>
  <c r="T563" i="25"/>
  <c r="X559" i="25"/>
  <c r="V559" i="25"/>
  <c r="T559" i="25"/>
  <c r="X555" i="25"/>
  <c r="V555" i="25"/>
  <c r="T555" i="25"/>
  <c r="X551" i="25"/>
  <c r="U551" i="25"/>
  <c r="V551" i="25"/>
  <c r="T551" i="25"/>
  <c r="X547" i="25"/>
  <c r="U547" i="25"/>
  <c r="V547" i="25"/>
  <c r="T547" i="25"/>
  <c r="X543" i="25"/>
  <c r="U543" i="25"/>
  <c r="V543" i="25"/>
  <c r="T543" i="25"/>
  <c r="U539" i="25"/>
  <c r="V539" i="25"/>
  <c r="X539" i="25"/>
  <c r="T539" i="25"/>
  <c r="X535" i="25"/>
  <c r="U535" i="25"/>
  <c r="V535" i="25"/>
  <c r="T535" i="25"/>
  <c r="X531" i="25"/>
  <c r="U531" i="25"/>
  <c r="V531" i="25"/>
  <c r="T531" i="25"/>
  <c r="X527" i="25"/>
  <c r="U527" i="25"/>
  <c r="V527" i="25"/>
  <c r="T527" i="25"/>
  <c r="U523" i="25"/>
  <c r="V523" i="25"/>
  <c r="T523" i="25"/>
  <c r="X519" i="25"/>
  <c r="U519" i="25"/>
  <c r="V519" i="25"/>
  <c r="T519" i="25"/>
  <c r="X515" i="25"/>
  <c r="U515" i="25"/>
  <c r="V515" i="25"/>
  <c r="T515" i="25"/>
  <c r="X511" i="25"/>
  <c r="U511" i="25"/>
  <c r="V511" i="25"/>
  <c r="T511" i="25"/>
  <c r="X507" i="25"/>
  <c r="U507" i="25"/>
  <c r="V507" i="25"/>
  <c r="T507" i="25"/>
  <c r="X503" i="25"/>
  <c r="U503" i="25"/>
  <c r="V503" i="25"/>
  <c r="T503" i="25"/>
  <c r="N592" i="25"/>
  <c r="M592" i="25"/>
  <c r="N588" i="25"/>
  <c r="M588" i="25"/>
  <c r="M584" i="25"/>
  <c r="N580" i="25"/>
  <c r="M580" i="25"/>
  <c r="N576" i="25"/>
  <c r="M576" i="25"/>
  <c r="M568" i="25"/>
  <c r="N568" i="25"/>
  <c r="N560" i="25"/>
  <c r="M560" i="25"/>
  <c r="M552" i="25"/>
  <c r="N548" i="25"/>
  <c r="M548" i="25"/>
  <c r="N544" i="25"/>
  <c r="M544" i="25"/>
  <c r="N540" i="25"/>
  <c r="M540" i="25"/>
  <c r="M536" i="25"/>
  <c r="N536" i="25"/>
  <c r="N532" i="25"/>
  <c r="M532" i="25"/>
  <c r="M528" i="25"/>
  <c r="N524" i="25"/>
  <c r="M524" i="25"/>
  <c r="M520" i="25"/>
  <c r="N520" i="25"/>
  <c r="N516" i="25"/>
  <c r="M516" i="25"/>
  <c r="N512" i="25"/>
  <c r="M512" i="25"/>
  <c r="N508" i="25"/>
  <c r="M508" i="25"/>
  <c r="M504" i="25"/>
  <c r="N504" i="25"/>
  <c r="N496" i="25"/>
  <c r="M496" i="25"/>
  <c r="N492" i="25"/>
  <c r="M492" i="25"/>
  <c r="M488" i="25"/>
  <c r="N484" i="25"/>
  <c r="M484" i="25"/>
  <c r="N480" i="25"/>
  <c r="M480" i="25"/>
  <c r="N476" i="25"/>
  <c r="M476" i="25"/>
  <c r="M472" i="25"/>
  <c r="N472" i="25"/>
  <c r="N468" i="25"/>
  <c r="M468" i="25"/>
  <c r="N464" i="25"/>
  <c r="M464" i="25"/>
  <c r="N460" i="25"/>
  <c r="M460" i="25"/>
  <c r="N452" i="25"/>
  <c r="M452" i="25"/>
  <c r="N448" i="25"/>
  <c r="M448" i="25"/>
  <c r="N444" i="25"/>
  <c r="M444" i="25"/>
  <c r="M440" i="25"/>
  <c r="N440" i="25"/>
  <c r="N436" i="25"/>
  <c r="M436" i="25"/>
  <c r="N432" i="25"/>
  <c r="M432" i="25"/>
  <c r="N428" i="25"/>
  <c r="M428" i="25"/>
  <c r="N420" i="25"/>
  <c r="M420" i="25"/>
  <c r="N412" i="25"/>
  <c r="M412" i="25"/>
  <c r="M404" i="25"/>
  <c r="N400" i="25"/>
  <c r="M400" i="25"/>
  <c r="N396" i="25"/>
  <c r="M396" i="25"/>
  <c r="M392" i="25"/>
  <c r="N392" i="25"/>
  <c r="N388" i="25"/>
  <c r="M388" i="25"/>
  <c r="N384" i="25"/>
  <c r="M384" i="25"/>
  <c r="N380" i="25"/>
  <c r="M380" i="25"/>
  <c r="M372" i="25"/>
  <c r="N368" i="25"/>
  <c r="M368" i="25"/>
  <c r="N364" i="25"/>
  <c r="M364" i="25"/>
  <c r="M360" i="25"/>
  <c r="N352" i="25"/>
  <c r="M352" i="25"/>
  <c r="M344" i="25"/>
  <c r="N340" i="25"/>
  <c r="M340" i="25"/>
  <c r="N336" i="25"/>
  <c r="M328" i="25"/>
  <c r="N328" i="25"/>
  <c r="N320" i="25"/>
  <c r="N316" i="25"/>
  <c r="M316" i="25"/>
  <c r="M312" i="25"/>
  <c r="N312" i="25"/>
  <c r="N304" i="25"/>
  <c r="N300" i="25"/>
  <c r="M300" i="25"/>
  <c r="M296" i="25"/>
  <c r="N288" i="25"/>
  <c r="M288" i="25"/>
  <c r="N284" i="25"/>
  <c r="M284" i="25"/>
  <c r="M280" i="25"/>
  <c r="N280" i="25"/>
  <c r="N276" i="25"/>
  <c r="M276" i="25"/>
  <c r="N272" i="25"/>
  <c r="M272" i="25"/>
  <c r="N268" i="25"/>
  <c r="M268" i="25"/>
  <c r="M264" i="25"/>
  <c r="N264" i="25"/>
  <c r="N260" i="25"/>
  <c r="M260" i="25"/>
  <c r="N256" i="25"/>
  <c r="M256" i="25"/>
  <c r="M248" i="25"/>
  <c r="N248" i="25"/>
  <c r="M240" i="25"/>
  <c r="N228" i="25"/>
  <c r="M228" i="25"/>
  <c r="N220" i="25"/>
  <c r="M220" i="25"/>
  <c r="N212" i="25"/>
  <c r="M212" i="25"/>
  <c r="N204" i="25"/>
  <c r="M204" i="25"/>
  <c r="M200" i="25"/>
  <c r="N200" i="25"/>
  <c r="N196" i="25"/>
  <c r="N188" i="25"/>
  <c r="M188" i="25"/>
  <c r="M184" i="25"/>
  <c r="N184" i="25"/>
  <c r="N180" i="25"/>
  <c r="M180" i="25"/>
  <c r="M176" i="25"/>
  <c r="N176" i="25"/>
  <c r="N172" i="25"/>
  <c r="M172" i="25"/>
  <c r="N164" i="25"/>
  <c r="M164" i="25"/>
  <c r="N156" i="25"/>
  <c r="M156" i="25"/>
  <c r="M152" i="25"/>
  <c r="N152" i="25"/>
  <c r="N148" i="25"/>
  <c r="M148" i="25"/>
  <c r="M140" i="25"/>
  <c r="M136" i="25"/>
  <c r="N136" i="25"/>
  <c r="N132" i="25"/>
  <c r="M132" i="25"/>
  <c r="N124" i="25"/>
  <c r="M124" i="25"/>
  <c r="N116" i="25"/>
  <c r="M116" i="25"/>
  <c r="M112" i="25"/>
  <c r="N112" i="25"/>
  <c r="M108" i="25"/>
  <c r="N96" i="25"/>
  <c r="M96" i="25"/>
  <c r="N92" i="25"/>
  <c r="M92" i="25"/>
  <c r="M88" i="25"/>
  <c r="N84" i="25"/>
  <c r="M84" i="25"/>
  <c r="N80" i="25"/>
  <c r="M80" i="25"/>
  <c r="N76" i="25"/>
  <c r="M72" i="25"/>
  <c r="N72" i="25"/>
  <c r="N68" i="25"/>
  <c r="M68" i="25"/>
  <c r="N64" i="25"/>
  <c r="M64" i="25"/>
  <c r="N60" i="25"/>
  <c r="M60" i="25"/>
  <c r="M56" i="25"/>
  <c r="N56" i="25"/>
  <c r="N52" i="25"/>
  <c r="M52" i="25"/>
  <c r="M48" i="25"/>
  <c r="N44" i="25"/>
  <c r="M44" i="25"/>
  <c r="N40" i="25"/>
  <c r="N36" i="25"/>
  <c r="M36" i="25"/>
  <c r="N32" i="25"/>
  <c r="M32" i="25"/>
  <c r="N28" i="25"/>
  <c r="M28" i="25"/>
  <c r="M24" i="25"/>
  <c r="N24" i="25"/>
  <c r="N20" i="25"/>
  <c r="M20" i="25"/>
  <c r="N16" i="25"/>
  <c r="M16" i="25"/>
  <c r="M12" i="25"/>
  <c r="M8" i="25"/>
  <c r="N8" i="25"/>
  <c r="N4" i="25"/>
  <c r="M4" i="25"/>
  <c r="U583" i="25"/>
  <c r="U567" i="25"/>
  <c r="V581" i="25"/>
  <c r="V549" i="25"/>
  <c r="V533" i="25"/>
  <c r="V517" i="25"/>
  <c r="V501" i="25"/>
  <c r="V485" i="25"/>
  <c r="V469" i="25"/>
  <c r="V453" i="25"/>
  <c r="V421" i="25"/>
  <c r="V405" i="25"/>
  <c r="V389" i="25"/>
  <c r="V373" i="25"/>
  <c r="V357" i="25"/>
  <c r="V341" i="25"/>
  <c r="V325" i="25"/>
  <c r="V309" i="25"/>
  <c r="V293" i="25"/>
  <c r="V277" i="25"/>
  <c r="V261" i="25"/>
  <c r="V245" i="25"/>
  <c r="V229" i="25"/>
  <c r="V213" i="25"/>
  <c r="V197" i="25"/>
  <c r="V181" i="25"/>
  <c r="V149" i="25"/>
  <c r="V133" i="25"/>
  <c r="V117" i="25"/>
  <c r="V101" i="25"/>
  <c r="V85" i="25"/>
  <c r="V69" i="25"/>
  <c r="V53" i="25"/>
  <c r="V37" i="25"/>
  <c r="V21" i="25"/>
  <c r="V5" i="25"/>
  <c r="T456" i="25"/>
  <c r="T392" i="25"/>
  <c r="T328" i="25"/>
  <c r="T264" i="25"/>
  <c r="W587" i="25"/>
  <c r="W571" i="25"/>
  <c r="W555" i="25"/>
  <c r="W539" i="25"/>
  <c r="W523" i="25"/>
  <c r="W507" i="25"/>
  <c r="W185" i="25"/>
  <c r="W157" i="25"/>
  <c r="W129" i="25"/>
  <c r="X591" i="25"/>
  <c r="X523" i="25"/>
  <c r="X353" i="25"/>
  <c r="X97" i="25"/>
  <c r="N12" i="25"/>
  <c r="N232" i="25"/>
  <c r="N488" i="25"/>
  <c r="T497" i="25"/>
  <c r="W497" i="25"/>
  <c r="X497" i="25"/>
  <c r="X489" i="25"/>
  <c r="T489" i="25"/>
  <c r="W489" i="25"/>
  <c r="T481" i="25"/>
  <c r="W481" i="25"/>
  <c r="X473" i="25"/>
  <c r="T473" i="25"/>
  <c r="W473" i="25"/>
  <c r="U473" i="25"/>
  <c r="W465" i="25"/>
  <c r="X465" i="25"/>
  <c r="T465" i="25"/>
  <c r="U465" i="25"/>
  <c r="X457" i="25"/>
  <c r="W457" i="25"/>
  <c r="T457" i="25"/>
  <c r="U457" i="25"/>
  <c r="W449" i="25"/>
  <c r="T449" i="25"/>
  <c r="X449" i="25"/>
  <c r="U449" i="25"/>
  <c r="W437" i="25"/>
  <c r="X437" i="25"/>
  <c r="T437" i="25"/>
  <c r="U437" i="25"/>
  <c r="X425" i="25"/>
  <c r="W425" i="25"/>
  <c r="T425" i="25"/>
  <c r="U425" i="25"/>
  <c r="W165" i="25"/>
  <c r="X165" i="25"/>
  <c r="T165" i="25"/>
  <c r="U165" i="25"/>
  <c r="X500" i="25"/>
  <c r="W500" i="25"/>
  <c r="U500" i="25"/>
  <c r="V500" i="25"/>
  <c r="X496" i="25"/>
  <c r="W496" i="25"/>
  <c r="U496" i="25"/>
  <c r="V496" i="25"/>
  <c r="X492" i="25"/>
  <c r="W492" i="25"/>
  <c r="U492" i="25"/>
  <c r="V492" i="25"/>
  <c r="X488" i="25"/>
  <c r="W488" i="25"/>
  <c r="U488" i="25"/>
  <c r="V488" i="25"/>
  <c r="X484" i="25"/>
  <c r="W484" i="25"/>
  <c r="U484" i="25"/>
  <c r="V484" i="25"/>
  <c r="X480" i="25"/>
  <c r="W480" i="25"/>
  <c r="U480" i="25"/>
  <c r="V480" i="25"/>
  <c r="X476" i="25"/>
  <c r="W476" i="25"/>
  <c r="U476" i="25"/>
  <c r="V476" i="25"/>
  <c r="X472" i="25"/>
  <c r="W472" i="25"/>
  <c r="U472" i="25"/>
  <c r="V472" i="25"/>
  <c r="X468" i="25"/>
  <c r="W468" i="25"/>
  <c r="U468" i="25"/>
  <c r="V468" i="25"/>
  <c r="X464" i="25"/>
  <c r="W464" i="25"/>
  <c r="U464" i="25"/>
  <c r="V464" i="25"/>
  <c r="X460" i="25"/>
  <c r="U460" i="25"/>
  <c r="W460" i="25"/>
  <c r="V460" i="25"/>
  <c r="X456" i="25"/>
  <c r="U456" i="25"/>
  <c r="V456" i="25"/>
  <c r="X452" i="25"/>
  <c r="W452" i="25"/>
  <c r="U452" i="25"/>
  <c r="V452" i="25"/>
  <c r="X448" i="25"/>
  <c r="W448" i="25"/>
  <c r="U448" i="25"/>
  <c r="V448" i="25"/>
  <c r="X444" i="25"/>
  <c r="U444" i="25"/>
  <c r="W444" i="25"/>
  <c r="V444" i="25"/>
  <c r="X440" i="25"/>
  <c r="U440" i="25"/>
  <c r="V440" i="25"/>
  <c r="X436" i="25"/>
  <c r="W436" i="25"/>
  <c r="U436" i="25"/>
  <c r="V436" i="25"/>
  <c r="X432" i="25"/>
  <c r="W432" i="25"/>
  <c r="U432" i="25"/>
  <c r="V432" i="25"/>
  <c r="X428" i="25"/>
  <c r="U428" i="25"/>
  <c r="W428" i="25"/>
  <c r="V428" i="25"/>
  <c r="X424" i="25"/>
  <c r="U424" i="25"/>
  <c r="V424" i="25"/>
  <c r="X420" i="25"/>
  <c r="W420" i="25"/>
  <c r="U420" i="25"/>
  <c r="V420" i="25"/>
  <c r="X416" i="25"/>
  <c r="W416" i="25"/>
  <c r="U416" i="25"/>
  <c r="V416" i="25"/>
  <c r="X412" i="25"/>
  <c r="U412" i="25"/>
  <c r="W412" i="25"/>
  <c r="V412" i="25"/>
  <c r="X408" i="25"/>
  <c r="U408" i="25"/>
  <c r="V408" i="25"/>
  <c r="X404" i="25"/>
  <c r="W404" i="25"/>
  <c r="U404" i="25"/>
  <c r="V404" i="25"/>
  <c r="X400" i="25"/>
  <c r="W400" i="25"/>
  <c r="U400" i="25"/>
  <c r="V400" i="25"/>
  <c r="X396" i="25"/>
  <c r="U396" i="25"/>
  <c r="W396" i="25"/>
  <c r="V396" i="25"/>
  <c r="X392" i="25"/>
  <c r="U392" i="25"/>
  <c r="V392" i="25"/>
  <c r="X388" i="25"/>
  <c r="W388" i="25"/>
  <c r="U388" i="25"/>
  <c r="V388" i="25"/>
  <c r="X384" i="25"/>
  <c r="W384" i="25"/>
  <c r="U384" i="25"/>
  <c r="V384" i="25"/>
  <c r="X380" i="25"/>
  <c r="U380" i="25"/>
  <c r="W380" i="25"/>
  <c r="V380" i="25"/>
  <c r="X376" i="25"/>
  <c r="U376" i="25"/>
  <c r="V376" i="25"/>
  <c r="X372" i="25"/>
  <c r="W372" i="25"/>
  <c r="U372" i="25"/>
  <c r="V372" i="25"/>
  <c r="X368" i="25"/>
  <c r="W368" i="25"/>
  <c r="U368" i="25"/>
  <c r="V368" i="25"/>
  <c r="X364" i="25"/>
  <c r="U364" i="25"/>
  <c r="W364" i="25"/>
  <c r="V364" i="25"/>
  <c r="X360" i="25"/>
  <c r="U360" i="25"/>
  <c r="V360" i="25"/>
  <c r="X356" i="25"/>
  <c r="W356" i="25"/>
  <c r="U356" i="25"/>
  <c r="V356" i="25"/>
  <c r="X352" i="25"/>
  <c r="W352" i="25"/>
  <c r="U352" i="25"/>
  <c r="V352" i="25"/>
  <c r="X348" i="25"/>
  <c r="U348" i="25"/>
  <c r="W348" i="25"/>
  <c r="V348" i="25"/>
  <c r="X344" i="25"/>
  <c r="U344" i="25"/>
  <c r="V344" i="25"/>
  <c r="X340" i="25"/>
  <c r="W340" i="25"/>
  <c r="U340" i="25"/>
  <c r="V340" i="25"/>
  <c r="X336" i="25"/>
  <c r="W336" i="25"/>
  <c r="U336" i="25"/>
  <c r="V336" i="25"/>
  <c r="X332" i="25"/>
  <c r="U332" i="25"/>
  <c r="W332" i="25"/>
  <c r="V332" i="25"/>
  <c r="X328" i="25"/>
  <c r="U328" i="25"/>
  <c r="V328" i="25"/>
  <c r="X324" i="25"/>
  <c r="W324" i="25"/>
  <c r="U324" i="25"/>
  <c r="V324" i="25"/>
  <c r="X320" i="25"/>
  <c r="W320" i="25"/>
  <c r="U320" i="25"/>
  <c r="V320" i="25"/>
  <c r="X316" i="25"/>
  <c r="U316" i="25"/>
  <c r="W316" i="25"/>
  <c r="V316" i="25"/>
  <c r="X312" i="25"/>
  <c r="U312" i="25"/>
  <c r="V312" i="25"/>
  <c r="X308" i="25"/>
  <c r="W308" i="25"/>
  <c r="U308" i="25"/>
  <c r="V308" i="25"/>
  <c r="X304" i="25"/>
  <c r="W304" i="25"/>
  <c r="U304" i="25"/>
  <c r="V304" i="25"/>
  <c r="X300" i="25"/>
  <c r="U300" i="25"/>
  <c r="W300" i="25"/>
  <c r="V300" i="25"/>
  <c r="X296" i="25"/>
  <c r="U296" i="25"/>
  <c r="V296" i="25"/>
  <c r="X292" i="25"/>
  <c r="W292" i="25"/>
  <c r="U292" i="25"/>
  <c r="V292" i="25"/>
  <c r="X288" i="25"/>
  <c r="W288" i="25"/>
  <c r="U288" i="25"/>
  <c r="V288" i="25"/>
  <c r="X284" i="25"/>
  <c r="U284" i="25"/>
  <c r="W284" i="25"/>
  <c r="V284" i="25"/>
  <c r="X280" i="25"/>
  <c r="U280" i="25"/>
  <c r="V280" i="25"/>
  <c r="X276" i="25"/>
  <c r="W276" i="25"/>
  <c r="U276" i="25"/>
  <c r="V276" i="25"/>
  <c r="X272" i="25"/>
  <c r="W272" i="25"/>
  <c r="U272" i="25"/>
  <c r="V272" i="25"/>
  <c r="X268" i="25"/>
  <c r="U268" i="25"/>
  <c r="W268" i="25"/>
  <c r="V268" i="25"/>
  <c r="X264" i="25"/>
  <c r="U264" i="25"/>
  <c r="V264" i="25"/>
  <c r="X260" i="25"/>
  <c r="W260" i="25"/>
  <c r="U260" i="25"/>
  <c r="V260" i="25"/>
  <c r="X256" i="25"/>
  <c r="W256" i="25"/>
  <c r="U256" i="25"/>
  <c r="V256" i="25"/>
  <c r="X252" i="25"/>
  <c r="U252" i="25"/>
  <c r="W252" i="25"/>
  <c r="V252" i="25"/>
  <c r="X248" i="25"/>
  <c r="U248" i="25"/>
  <c r="V248" i="25"/>
  <c r="X244" i="25"/>
  <c r="W244" i="25"/>
  <c r="U244" i="25"/>
  <c r="V244" i="25"/>
  <c r="X240" i="25"/>
  <c r="W240" i="25"/>
  <c r="U240" i="25"/>
  <c r="V240" i="25"/>
  <c r="X236" i="25"/>
  <c r="W236" i="25"/>
  <c r="U236" i="25"/>
  <c r="V236" i="25"/>
  <c r="X232" i="25"/>
  <c r="W232" i="25"/>
  <c r="U232" i="25"/>
  <c r="V232" i="25"/>
  <c r="X228" i="25"/>
  <c r="W228" i="25"/>
  <c r="U228" i="25"/>
  <c r="V228" i="25"/>
  <c r="X224" i="25"/>
  <c r="W224" i="25"/>
  <c r="U224" i="25"/>
  <c r="V224" i="25"/>
  <c r="X220" i="25"/>
  <c r="W220" i="25"/>
  <c r="U220" i="25"/>
  <c r="V220" i="25"/>
  <c r="X216" i="25"/>
  <c r="W216" i="25"/>
  <c r="U216" i="25"/>
  <c r="V216" i="25"/>
  <c r="X212" i="25"/>
  <c r="W212" i="25"/>
  <c r="U212" i="25"/>
  <c r="V212" i="25"/>
  <c r="X208" i="25"/>
  <c r="W208" i="25"/>
  <c r="U208" i="25"/>
  <c r="V208" i="25"/>
  <c r="X204" i="25"/>
  <c r="W204" i="25"/>
  <c r="U204" i="25"/>
  <c r="V204" i="25"/>
  <c r="X200" i="25"/>
  <c r="W200" i="25"/>
  <c r="U200" i="25"/>
  <c r="V200" i="25"/>
  <c r="X196" i="25"/>
  <c r="W196" i="25"/>
  <c r="U196" i="25"/>
  <c r="V196" i="25"/>
  <c r="X192" i="25"/>
  <c r="W192" i="25"/>
  <c r="U192" i="25"/>
  <c r="V192" i="25"/>
  <c r="X188" i="25"/>
  <c r="W188" i="25"/>
  <c r="U188" i="25"/>
  <c r="V188" i="25"/>
  <c r="X184" i="25"/>
  <c r="W184" i="25"/>
  <c r="U184" i="25"/>
  <c r="V184" i="25"/>
  <c r="X180" i="25"/>
  <c r="W180" i="25"/>
  <c r="U180" i="25"/>
  <c r="V180" i="25"/>
  <c r="X176" i="25"/>
  <c r="W176" i="25"/>
  <c r="U176" i="25"/>
  <c r="V176" i="25"/>
  <c r="X172" i="25"/>
  <c r="W172" i="25"/>
  <c r="U172" i="25"/>
  <c r="V172" i="25"/>
  <c r="X168" i="25"/>
  <c r="W168" i="25"/>
  <c r="U168" i="25"/>
  <c r="V168" i="25"/>
  <c r="X164" i="25"/>
  <c r="W164" i="25"/>
  <c r="U164" i="25"/>
  <c r="V164" i="25"/>
  <c r="X160" i="25"/>
  <c r="W160" i="25"/>
  <c r="U160" i="25"/>
  <c r="V160" i="25"/>
  <c r="X156" i="25"/>
  <c r="W156" i="25"/>
  <c r="U156" i="25"/>
  <c r="V156" i="25"/>
  <c r="X152" i="25"/>
  <c r="W152" i="25"/>
  <c r="U152" i="25"/>
  <c r="V152" i="25"/>
  <c r="X148" i="25"/>
  <c r="W148" i="25"/>
  <c r="U148" i="25"/>
  <c r="V148" i="25"/>
  <c r="X144" i="25"/>
  <c r="W144" i="25"/>
  <c r="U144" i="25"/>
  <c r="V144" i="25"/>
  <c r="X140" i="25"/>
  <c r="W140" i="25"/>
  <c r="U140" i="25"/>
  <c r="V140" i="25"/>
  <c r="X136" i="25"/>
  <c r="W136" i="25"/>
  <c r="U136" i="25"/>
  <c r="V136" i="25"/>
  <c r="X132" i="25"/>
  <c r="W132" i="25"/>
  <c r="U132" i="25"/>
  <c r="V132" i="25"/>
  <c r="X128" i="25"/>
  <c r="W128" i="25"/>
  <c r="U128" i="25"/>
  <c r="V128" i="25"/>
  <c r="X124" i="25"/>
  <c r="W124" i="25"/>
  <c r="U124" i="25"/>
  <c r="V124" i="25"/>
  <c r="X120" i="25"/>
  <c r="W120" i="25"/>
  <c r="U120" i="25"/>
  <c r="V120" i="25"/>
  <c r="X116" i="25"/>
  <c r="W116" i="25"/>
  <c r="U116" i="25"/>
  <c r="V116" i="25"/>
  <c r="X112" i="25"/>
  <c r="W112" i="25"/>
  <c r="U112" i="25"/>
  <c r="V112" i="25"/>
  <c r="X108" i="25"/>
  <c r="W108" i="25"/>
  <c r="U108" i="25"/>
  <c r="V108" i="25"/>
  <c r="X104" i="25"/>
  <c r="W104" i="25"/>
  <c r="U104" i="25"/>
  <c r="V104" i="25"/>
  <c r="X100" i="25"/>
  <c r="W100" i="25"/>
  <c r="U100" i="25"/>
  <c r="V100" i="25"/>
  <c r="X96" i="25"/>
  <c r="W96" i="25"/>
  <c r="U96" i="25"/>
  <c r="V96" i="25"/>
  <c r="X92" i="25"/>
  <c r="W92" i="25"/>
  <c r="U92" i="25"/>
  <c r="V92" i="25"/>
  <c r="X88" i="25"/>
  <c r="W88" i="25"/>
  <c r="U88" i="25"/>
  <c r="V88" i="25"/>
  <c r="X84" i="25"/>
  <c r="W84" i="25"/>
  <c r="U84" i="25"/>
  <c r="V84" i="25"/>
  <c r="X80" i="25"/>
  <c r="W80" i="25"/>
  <c r="U80" i="25"/>
  <c r="V80" i="25"/>
  <c r="X76" i="25"/>
  <c r="W76" i="25"/>
  <c r="U76" i="25"/>
  <c r="V76" i="25"/>
  <c r="X72" i="25"/>
  <c r="W72" i="25"/>
  <c r="U72" i="25"/>
  <c r="V72" i="25"/>
  <c r="X68" i="25"/>
  <c r="W68" i="25"/>
  <c r="U68" i="25"/>
  <c r="V68" i="25"/>
  <c r="X64" i="25"/>
  <c r="W64" i="25"/>
  <c r="U64" i="25"/>
  <c r="V64" i="25"/>
  <c r="X60" i="25"/>
  <c r="W60" i="25"/>
  <c r="U60" i="25"/>
  <c r="V60" i="25"/>
  <c r="X56" i="25"/>
  <c r="W56" i="25"/>
  <c r="U56" i="25"/>
  <c r="V56" i="25"/>
  <c r="X52" i="25"/>
  <c r="W52" i="25"/>
  <c r="U52" i="25"/>
  <c r="V52" i="25"/>
  <c r="X48" i="25"/>
  <c r="W48" i="25"/>
  <c r="U48" i="25"/>
  <c r="V48" i="25"/>
  <c r="X44" i="25"/>
  <c r="W44" i="25"/>
  <c r="U44" i="25"/>
  <c r="V44" i="25"/>
  <c r="X40" i="25"/>
  <c r="W40" i="25"/>
  <c r="U40" i="25"/>
  <c r="V40" i="25"/>
  <c r="X36" i="25"/>
  <c r="W36" i="25"/>
  <c r="U36" i="25"/>
  <c r="V36" i="25"/>
  <c r="X32" i="25"/>
  <c r="W32" i="25"/>
  <c r="U32" i="25"/>
  <c r="V32" i="25"/>
  <c r="X28" i="25"/>
  <c r="W28" i="25"/>
  <c r="U28" i="25"/>
  <c r="V28" i="25"/>
  <c r="X24" i="25"/>
  <c r="W24" i="25"/>
  <c r="U24" i="25"/>
  <c r="V24" i="25"/>
  <c r="X20" i="25"/>
  <c r="W20" i="25"/>
  <c r="U20" i="25"/>
  <c r="V20" i="25"/>
  <c r="X16" i="25"/>
  <c r="W16" i="25"/>
  <c r="U16" i="25"/>
  <c r="V16" i="25"/>
  <c r="X12" i="25"/>
  <c r="W12" i="25"/>
  <c r="U12" i="25"/>
  <c r="V12" i="25"/>
  <c r="X8" i="25"/>
  <c r="W8" i="25"/>
  <c r="U8" i="25"/>
  <c r="V8" i="25"/>
  <c r="X4" i="25"/>
  <c r="W4" i="25"/>
  <c r="U4" i="25"/>
  <c r="V4" i="25"/>
  <c r="X594" i="25"/>
  <c r="V594" i="25"/>
  <c r="T594" i="25"/>
  <c r="W594" i="25"/>
  <c r="X590" i="25"/>
  <c r="V590" i="25"/>
  <c r="T590" i="25"/>
  <c r="W590" i="25"/>
  <c r="V586" i="25"/>
  <c r="X586" i="25"/>
  <c r="T586" i="25"/>
  <c r="W586" i="25"/>
  <c r="X582" i="25"/>
  <c r="V582" i="25"/>
  <c r="T582" i="25"/>
  <c r="W582" i="25"/>
  <c r="X578" i="25"/>
  <c r="V578" i="25"/>
  <c r="T578" i="25"/>
  <c r="W578" i="25"/>
  <c r="X574" i="25"/>
  <c r="V574" i="25"/>
  <c r="T574" i="25"/>
  <c r="W574" i="25"/>
  <c r="X570" i="25"/>
  <c r="V570" i="25"/>
  <c r="T570" i="25"/>
  <c r="W570" i="25"/>
  <c r="V566" i="25"/>
  <c r="T566" i="25"/>
  <c r="W566" i="25"/>
  <c r="X562" i="25"/>
  <c r="V562" i="25"/>
  <c r="T562" i="25"/>
  <c r="W562" i="25"/>
  <c r="X558" i="25"/>
  <c r="V558" i="25"/>
  <c r="T558" i="25"/>
  <c r="W558" i="25"/>
  <c r="X554" i="25"/>
  <c r="V554" i="25"/>
  <c r="T554" i="25"/>
  <c r="W554" i="25"/>
  <c r="X550" i="25"/>
  <c r="V550" i="25"/>
  <c r="T550" i="25"/>
  <c r="W550" i="25"/>
  <c r="X546" i="25"/>
  <c r="V546" i="25"/>
  <c r="T546" i="25"/>
  <c r="W546" i="25"/>
  <c r="X542" i="25"/>
  <c r="V542" i="25"/>
  <c r="T542" i="25"/>
  <c r="W542" i="25"/>
  <c r="X538" i="25"/>
  <c r="V538" i="25"/>
  <c r="T538" i="25"/>
  <c r="W538" i="25"/>
  <c r="V534" i="25"/>
  <c r="X534" i="25"/>
  <c r="T534" i="25"/>
  <c r="W534" i="25"/>
  <c r="X530" i="25"/>
  <c r="V530" i="25"/>
  <c r="T530" i="25"/>
  <c r="W530" i="25"/>
  <c r="X526" i="25"/>
  <c r="V526" i="25"/>
  <c r="T526" i="25"/>
  <c r="W526" i="25"/>
  <c r="X522" i="25"/>
  <c r="V522" i="25"/>
  <c r="T522" i="25"/>
  <c r="W522" i="25"/>
  <c r="V518" i="25"/>
  <c r="T518" i="25"/>
  <c r="X518" i="25"/>
  <c r="W518" i="25"/>
  <c r="X514" i="25"/>
  <c r="V514" i="25"/>
  <c r="T514" i="25"/>
  <c r="W514" i="25"/>
  <c r="X510" i="25"/>
  <c r="V510" i="25"/>
  <c r="T510" i="25"/>
  <c r="W510" i="25"/>
  <c r="X506" i="25"/>
  <c r="V506" i="25"/>
  <c r="T506" i="25"/>
  <c r="W506" i="25"/>
  <c r="V502" i="25"/>
  <c r="T502" i="25"/>
  <c r="W502" i="25"/>
  <c r="N595" i="25"/>
  <c r="M595" i="25"/>
  <c r="N591" i="25"/>
  <c r="N587" i="25"/>
  <c r="M587" i="25"/>
  <c r="N583" i="25"/>
  <c r="M583" i="25"/>
  <c r="N579" i="25"/>
  <c r="M579" i="25"/>
  <c r="N575" i="25"/>
  <c r="M575" i="25"/>
  <c r="N571" i="25"/>
  <c r="M571" i="25"/>
  <c r="N567" i="25"/>
  <c r="M567" i="25"/>
  <c r="N563" i="25"/>
  <c r="M563" i="25"/>
  <c r="N559" i="25"/>
  <c r="M559" i="25"/>
  <c r="N555" i="25"/>
  <c r="M555" i="25"/>
  <c r="N551" i="25"/>
  <c r="M551" i="25"/>
  <c r="N547" i="25"/>
  <c r="M547" i="25"/>
  <c r="N543" i="25"/>
  <c r="M543" i="25"/>
  <c r="N535" i="25"/>
  <c r="M535" i="25"/>
  <c r="N531" i="25"/>
  <c r="M531" i="25"/>
  <c r="N527" i="25"/>
  <c r="M527" i="25"/>
  <c r="N523" i="25"/>
  <c r="M523" i="25"/>
  <c r="N519" i="25"/>
  <c r="N515" i="25"/>
  <c r="M515" i="25"/>
  <c r="N511" i="25"/>
  <c r="M511" i="25"/>
  <c r="N507" i="25"/>
  <c r="M507" i="25"/>
  <c r="N503" i="25"/>
  <c r="M503" i="25"/>
  <c r="N499" i="25"/>
  <c r="M499" i="25"/>
  <c r="N495" i="25"/>
  <c r="M495" i="25"/>
  <c r="N491" i="25"/>
  <c r="M491" i="25"/>
  <c r="N487" i="25"/>
  <c r="M487" i="25"/>
  <c r="N483" i="25"/>
  <c r="M483" i="25"/>
  <c r="N479" i="25"/>
  <c r="N475" i="25"/>
  <c r="M475" i="25"/>
  <c r="N471" i="25"/>
  <c r="N467" i="25"/>
  <c r="M467" i="25"/>
  <c r="N463" i="25"/>
  <c r="M463" i="25"/>
  <c r="N459" i="25"/>
  <c r="M459" i="25"/>
  <c r="N455" i="25"/>
  <c r="M455" i="25"/>
  <c r="N447" i="25"/>
  <c r="M447" i="25"/>
  <c r="N443" i="25"/>
  <c r="M443" i="25"/>
  <c r="N439" i="25"/>
  <c r="M439" i="25"/>
  <c r="N435" i="25"/>
  <c r="M435" i="25"/>
  <c r="N431" i="25"/>
  <c r="M431" i="25"/>
  <c r="N427" i="25"/>
  <c r="M427" i="25"/>
  <c r="N423" i="25"/>
  <c r="M423" i="25"/>
  <c r="N419" i="25"/>
  <c r="M419" i="25"/>
  <c r="N415" i="25"/>
  <c r="N407" i="25"/>
  <c r="M407" i="25"/>
  <c r="N403" i="25"/>
  <c r="M403" i="25"/>
  <c r="N399" i="25"/>
  <c r="M399" i="25"/>
  <c r="N395" i="25"/>
  <c r="M395" i="25"/>
  <c r="N391" i="25"/>
  <c r="M391" i="25"/>
  <c r="N387" i="25"/>
  <c r="M387" i="25"/>
  <c r="N383" i="25"/>
  <c r="M383" i="25"/>
  <c r="N375" i="25"/>
  <c r="M375" i="25"/>
  <c r="N371" i="25"/>
  <c r="M371" i="25"/>
  <c r="N367" i="25"/>
  <c r="M367" i="25"/>
  <c r="N359" i="25"/>
  <c r="M359" i="25"/>
  <c r="N355" i="25"/>
  <c r="M355" i="25"/>
  <c r="N351" i="25"/>
  <c r="M351" i="25"/>
  <c r="N347" i="25"/>
  <c r="M347" i="25"/>
  <c r="N343" i="25"/>
  <c r="M343" i="25"/>
  <c r="N335" i="25"/>
  <c r="N331" i="25"/>
  <c r="M331" i="25"/>
  <c r="N327" i="25"/>
  <c r="N323" i="25"/>
  <c r="M323" i="25"/>
  <c r="N319" i="25"/>
  <c r="M319" i="25"/>
  <c r="N315" i="25"/>
  <c r="M315" i="25"/>
  <c r="N311" i="25"/>
  <c r="M311" i="25"/>
  <c r="N307" i="25"/>
  <c r="M307" i="25"/>
  <c r="N303" i="25"/>
  <c r="M303" i="25"/>
  <c r="N299" i="25"/>
  <c r="M299" i="25"/>
  <c r="N295" i="25"/>
  <c r="M295" i="25"/>
  <c r="N291" i="25"/>
  <c r="M291" i="25"/>
  <c r="N287" i="25"/>
  <c r="N279" i="25"/>
  <c r="M279" i="25"/>
  <c r="N275" i="25"/>
  <c r="M275" i="25"/>
  <c r="N271" i="25"/>
  <c r="M271" i="25"/>
  <c r="N263" i="25"/>
  <c r="M263" i="25"/>
  <c r="N259" i="25"/>
  <c r="M259" i="25"/>
  <c r="N255" i="25"/>
  <c r="M255" i="25"/>
  <c r="N251" i="25"/>
  <c r="M251" i="25"/>
  <c r="N247" i="25"/>
  <c r="M247" i="25"/>
  <c r="N243" i="25"/>
  <c r="M243" i="25"/>
  <c r="N239" i="25"/>
  <c r="M239" i="25"/>
  <c r="N235" i="25"/>
  <c r="M235" i="25"/>
  <c r="N231" i="25"/>
  <c r="M231" i="25"/>
  <c r="N223" i="25"/>
  <c r="N219" i="25"/>
  <c r="M219" i="25"/>
  <c r="N215" i="25"/>
  <c r="M215" i="25"/>
  <c r="N207" i="25"/>
  <c r="M207" i="25"/>
  <c r="N199" i="25"/>
  <c r="N191" i="25"/>
  <c r="M191" i="25"/>
  <c r="N187" i="25"/>
  <c r="M187" i="25"/>
  <c r="N183" i="25"/>
  <c r="M183" i="25"/>
  <c r="N179" i="25"/>
  <c r="M179" i="25"/>
  <c r="N175" i="25"/>
  <c r="M175" i="25"/>
  <c r="N171" i="25"/>
  <c r="M171" i="25"/>
  <c r="N167" i="25"/>
  <c r="M167" i="25"/>
  <c r="N163" i="25"/>
  <c r="M163" i="25"/>
  <c r="N159" i="25"/>
  <c r="M159" i="25"/>
  <c r="N155" i="25"/>
  <c r="M155" i="25"/>
  <c r="N151" i="25"/>
  <c r="M151" i="25"/>
  <c r="N143" i="25"/>
  <c r="M143" i="25"/>
  <c r="N139" i="25"/>
  <c r="M139" i="25"/>
  <c r="N135" i="25"/>
  <c r="M135" i="25"/>
  <c r="N131" i="25"/>
  <c r="M131" i="25"/>
  <c r="N127" i="25"/>
  <c r="M127" i="25"/>
  <c r="N123" i="25"/>
  <c r="M123" i="25"/>
  <c r="N119" i="25"/>
  <c r="N115" i="25"/>
  <c r="M115" i="25"/>
  <c r="N111" i="25"/>
  <c r="M111" i="25"/>
  <c r="N107" i="25"/>
  <c r="M107" i="25"/>
  <c r="N103" i="25"/>
  <c r="M103" i="25"/>
  <c r="M95" i="25"/>
  <c r="N91" i="25"/>
  <c r="M91" i="25"/>
  <c r="N87" i="25"/>
  <c r="M87" i="25"/>
  <c r="M83" i="25"/>
  <c r="N83" i="25"/>
  <c r="M79" i="25"/>
  <c r="N75" i="25"/>
  <c r="M75" i="25"/>
  <c r="M71" i="25"/>
  <c r="M67" i="25"/>
  <c r="N67" i="25"/>
  <c r="N63" i="25"/>
  <c r="M63" i="25"/>
  <c r="N59" i="25"/>
  <c r="M59" i="25"/>
  <c r="M55" i="25"/>
  <c r="M51" i="25"/>
  <c r="N47" i="25"/>
  <c r="M47" i="25"/>
  <c r="N43" i="25"/>
  <c r="M43" i="25"/>
  <c r="N39" i="25"/>
  <c r="M39" i="25"/>
  <c r="M35" i="25"/>
  <c r="N31" i="25"/>
  <c r="M31" i="25"/>
  <c r="N27" i="25"/>
  <c r="M27" i="25"/>
  <c r="N23" i="25"/>
  <c r="M23" i="25"/>
  <c r="M19" i="25"/>
  <c r="N15" i="25"/>
  <c r="M15" i="25"/>
  <c r="N11" i="25"/>
  <c r="M11" i="25"/>
  <c r="N7" i="25"/>
  <c r="M7" i="25"/>
  <c r="M3" i="25"/>
  <c r="N3" i="25"/>
  <c r="U593" i="25"/>
  <c r="U587" i="25"/>
  <c r="U582" i="25"/>
  <c r="U577" i="25"/>
  <c r="U571" i="25"/>
  <c r="U566" i="25"/>
  <c r="U561" i="25"/>
  <c r="U555" i="25"/>
  <c r="U493" i="25"/>
  <c r="U485" i="25"/>
  <c r="U477" i="25"/>
  <c r="V497" i="25"/>
  <c r="V481" i="25"/>
  <c r="V465" i="25"/>
  <c r="V449" i="25"/>
  <c r="V433" i="25"/>
  <c r="V417" i="25"/>
  <c r="V401" i="25"/>
  <c r="V385" i="25"/>
  <c r="V369" i="25"/>
  <c r="V353" i="25"/>
  <c r="V337" i="25"/>
  <c r="V321" i="25"/>
  <c r="V305" i="25"/>
  <c r="V289" i="25"/>
  <c r="V273" i="25"/>
  <c r="V257" i="25"/>
  <c r="V241" i="25"/>
  <c r="V225" i="25"/>
  <c r="V209" i="25"/>
  <c r="V193" i="25"/>
  <c r="V177" i="25"/>
  <c r="V161" i="25"/>
  <c r="V145" i="25"/>
  <c r="V129" i="25"/>
  <c r="V113" i="25"/>
  <c r="V97" i="25"/>
  <c r="V81" i="25"/>
  <c r="V65" i="25"/>
  <c r="V49" i="25"/>
  <c r="V33" i="25"/>
  <c r="V17" i="25"/>
  <c r="T500" i="25"/>
  <c r="T484" i="25"/>
  <c r="T468" i="25"/>
  <c r="T452" i="25"/>
  <c r="T436" i="25"/>
  <c r="T420" i="25"/>
  <c r="T404" i="25"/>
  <c r="T388" i="25"/>
  <c r="T372" i="25"/>
  <c r="T356" i="25"/>
  <c r="T340" i="25"/>
  <c r="T324" i="25"/>
  <c r="T308" i="25"/>
  <c r="T292" i="25"/>
  <c r="T276" i="25"/>
  <c r="T260" i="25"/>
  <c r="T244" i="25"/>
  <c r="T228" i="25"/>
  <c r="T212" i="25"/>
  <c r="T196" i="25"/>
  <c r="T180" i="25"/>
  <c r="T164" i="25"/>
  <c r="T148" i="25"/>
  <c r="T132" i="25"/>
  <c r="T116" i="25"/>
  <c r="T100" i="25"/>
  <c r="T84" i="25"/>
  <c r="T68" i="25"/>
  <c r="T52" i="25"/>
  <c r="T36" i="25"/>
  <c r="T20" i="25"/>
  <c r="T4" i="25"/>
  <c r="W583" i="25"/>
  <c r="W567" i="25"/>
  <c r="W551" i="25"/>
  <c r="W535" i="25"/>
  <c r="W519" i="25"/>
  <c r="W503" i="25"/>
  <c r="W408" i="25"/>
  <c r="W344" i="25"/>
  <c r="W280" i="25"/>
  <c r="W121" i="25"/>
  <c r="W93" i="25"/>
  <c r="W65" i="25"/>
  <c r="X502" i="25"/>
  <c r="X417" i="25"/>
  <c r="X161" i="25"/>
  <c r="M119" i="25"/>
  <c r="N55" i="25"/>
  <c r="N296" i="25"/>
  <c r="N552" i="25"/>
  <c r="X499" i="25"/>
  <c r="U499" i="25"/>
  <c r="V499" i="25"/>
  <c r="T499" i="25"/>
  <c r="X495" i="25"/>
  <c r="U495" i="25"/>
  <c r="V495" i="25"/>
  <c r="T495" i="25"/>
  <c r="U491" i="25"/>
  <c r="X491" i="25"/>
  <c r="V491" i="25"/>
  <c r="T491" i="25"/>
  <c r="X487" i="25"/>
  <c r="U487" i="25"/>
  <c r="V487" i="25"/>
  <c r="T487" i="25"/>
  <c r="X483" i="25"/>
  <c r="U483" i="25"/>
  <c r="V483" i="25"/>
  <c r="T483" i="25"/>
  <c r="X479" i="25"/>
  <c r="U479" i="25"/>
  <c r="V479" i="25"/>
  <c r="T479" i="25"/>
  <c r="U475" i="25"/>
  <c r="V475" i="25"/>
  <c r="X475" i="25"/>
  <c r="T475" i="25"/>
  <c r="X471" i="25"/>
  <c r="U471" i="25"/>
  <c r="V471" i="25"/>
  <c r="T471" i="25"/>
  <c r="X467" i="25"/>
  <c r="U467" i="25"/>
  <c r="V467" i="25"/>
  <c r="T467" i="25"/>
  <c r="X463" i="25"/>
  <c r="W463" i="25"/>
  <c r="U463" i="25"/>
  <c r="V463" i="25"/>
  <c r="T463" i="25"/>
  <c r="U459" i="25"/>
  <c r="W459" i="25"/>
  <c r="V459" i="25"/>
  <c r="T459" i="25"/>
  <c r="X455" i="25"/>
  <c r="U455" i="25"/>
  <c r="V455" i="25"/>
  <c r="W455" i="25"/>
  <c r="T455" i="25"/>
  <c r="X451" i="25"/>
  <c r="U451" i="25"/>
  <c r="V451" i="25"/>
  <c r="T451" i="25"/>
  <c r="X447" i="25"/>
  <c r="W447" i="25"/>
  <c r="U447" i="25"/>
  <c r="V447" i="25"/>
  <c r="T447" i="25"/>
  <c r="X443" i="25"/>
  <c r="U443" i="25"/>
  <c r="W443" i="25"/>
  <c r="V443" i="25"/>
  <c r="T443" i="25"/>
  <c r="X439" i="25"/>
  <c r="U439" i="25"/>
  <c r="V439" i="25"/>
  <c r="W439" i="25"/>
  <c r="T439" i="25"/>
  <c r="X435" i="25"/>
  <c r="U435" i="25"/>
  <c r="V435" i="25"/>
  <c r="T435" i="25"/>
  <c r="X431" i="25"/>
  <c r="W431" i="25"/>
  <c r="U431" i="25"/>
  <c r="V431" i="25"/>
  <c r="T431" i="25"/>
  <c r="U427" i="25"/>
  <c r="X427" i="25"/>
  <c r="W427" i="25"/>
  <c r="V427" i="25"/>
  <c r="T427" i="25"/>
  <c r="X423" i="25"/>
  <c r="U423" i="25"/>
  <c r="V423" i="25"/>
  <c r="W423" i="25"/>
  <c r="T423" i="25"/>
  <c r="X419" i="25"/>
  <c r="U419" i="25"/>
  <c r="V419" i="25"/>
  <c r="T419" i="25"/>
  <c r="X415" i="25"/>
  <c r="W415" i="25"/>
  <c r="U415" i="25"/>
  <c r="V415" i="25"/>
  <c r="T415" i="25"/>
  <c r="U411" i="25"/>
  <c r="W411" i="25"/>
  <c r="V411" i="25"/>
  <c r="X411" i="25"/>
  <c r="T411" i="25"/>
  <c r="X407" i="25"/>
  <c r="U407" i="25"/>
  <c r="V407" i="25"/>
  <c r="W407" i="25"/>
  <c r="T407" i="25"/>
  <c r="X403" i="25"/>
  <c r="U403" i="25"/>
  <c r="V403" i="25"/>
  <c r="T403" i="25"/>
  <c r="X399" i="25"/>
  <c r="W399" i="25"/>
  <c r="U399" i="25"/>
  <c r="V399" i="25"/>
  <c r="T399" i="25"/>
  <c r="U395" i="25"/>
  <c r="W395" i="25"/>
  <c r="V395" i="25"/>
  <c r="T395" i="25"/>
  <c r="X391" i="25"/>
  <c r="U391" i="25"/>
  <c r="V391" i="25"/>
  <c r="W391" i="25"/>
  <c r="T391" i="25"/>
  <c r="X387" i="25"/>
  <c r="U387" i="25"/>
  <c r="V387" i="25"/>
  <c r="T387" i="25"/>
  <c r="X383" i="25"/>
  <c r="W383" i="25"/>
  <c r="U383" i="25"/>
  <c r="V383" i="25"/>
  <c r="T383" i="25"/>
  <c r="X379" i="25"/>
  <c r="U379" i="25"/>
  <c r="W379" i="25"/>
  <c r="V379" i="25"/>
  <c r="T379" i="25"/>
  <c r="X375" i="25"/>
  <c r="U375" i="25"/>
  <c r="V375" i="25"/>
  <c r="W375" i="25"/>
  <c r="T375" i="25"/>
  <c r="X371" i="25"/>
  <c r="U371" i="25"/>
  <c r="V371" i="25"/>
  <c r="T371" i="25"/>
  <c r="X367" i="25"/>
  <c r="W367" i="25"/>
  <c r="U367" i="25"/>
  <c r="V367" i="25"/>
  <c r="T367" i="25"/>
  <c r="U363" i="25"/>
  <c r="X363" i="25"/>
  <c r="W363" i="25"/>
  <c r="V363" i="25"/>
  <c r="T363" i="25"/>
  <c r="X359" i="25"/>
  <c r="U359" i="25"/>
  <c r="V359" i="25"/>
  <c r="W359" i="25"/>
  <c r="T359" i="25"/>
  <c r="X355" i="25"/>
  <c r="U355" i="25"/>
  <c r="V355" i="25"/>
  <c r="T355" i="25"/>
  <c r="X351" i="25"/>
  <c r="W351" i="25"/>
  <c r="U351" i="25"/>
  <c r="V351" i="25"/>
  <c r="T351" i="25"/>
  <c r="U347" i="25"/>
  <c r="W347" i="25"/>
  <c r="V347" i="25"/>
  <c r="X347" i="25"/>
  <c r="T347" i="25"/>
  <c r="X343" i="25"/>
  <c r="U343" i="25"/>
  <c r="V343" i="25"/>
  <c r="W343" i="25"/>
  <c r="T343" i="25"/>
  <c r="X339" i="25"/>
  <c r="U339" i="25"/>
  <c r="V339" i="25"/>
  <c r="T339" i="25"/>
  <c r="X335" i="25"/>
  <c r="W335" i="25"/>
  <c r="U335" i="25"/>
  <c r="V335" i="25"/>
  <c r="T335" i="25"/>
  <c r="U331" i="25"/>
  <c r="W331" i="25"/>
  <c r="V331" i="25"/>
  <c r="T331" i="25"/>
  <c r="X327" i="25"/>
  <c r="U327" i="25"/>
  <c r="V327" i="25"/>
  <c r="W327" i="25"/>
  <c r="T327" i="25"/>
  <c r="X323" i="25"/>
  <c r="U323" i="25"/>
  <c r="V323" i="25"/>
  <c r="T323" i="25"/>
  <c r="X319" i="25"/>
  <c r="W319" i="25"/>
  <c r="U319" i="25"/>
  <c r="V319" i="25"/>
  <c r="T319" i="25"/>
  <c r="X315" i="25"/>
  <c r="U315" i="25"/>
  <c r="W315" i="25"/>
  <c r="V315" i="25"/>
  <c r="T315" i="25"/>
  <c r="X311" i="25"/>
  <c r="U311" i="25"/>
  <c r="V311" i="25"/>
  <c r="W311" i="25"/>
  <c r="T311" i="25"/>
  <c r="X307" i="25"/>
  <c r="U307" i="25"/>
  <c r="V307" i="25"/>
  <c r="T307" i="25"/>
  <c r="X303" i="25"/>
  <c r="W303" i="25"/>
  <c r="U303" i="25"/>
  <c r="V303" i="25"/>
  <c r="T303" i="25"/>
  <c r="U299" i="25"/>
  <c r="X299" i="25"/>
  <c r="W299" i="25"/>
  <c r="V299" i="25"/>
  <c r="T299" i="25"/>
  <c r="X295" i="25"/>
  <c r="U295" i="25"/>
  <c r="V295" i="25"/>
  <c r="W295" i="25"/>
  <c r="T295" i="25"/>
  <c r="X291" i="25"/>
  <c r="U291" i="25"/>
  <c r="V291" i="25"/>
  <c r="T291" i="25"/>
  <c r="X287" i="25"/>
  <c r="W287" i="25"/>
  <c r="U287" i="25"/>
  <c r="V287" i="25"/>
  <c r="T287" i="25"/>
  <c r="U283" i="25"/>
  <c r="W283" i="25"/>
  <c r="V283" i="25"/>
  <c r="X283" i="25"/>
  <c r="T283" i="25"/>
  <c r="X279" i="25"/>
  <c r="U279" i="25"/>
  <c r="V279" i="25"/>
  <c r="W279" i="25"/>
  <c r="T279" i="25"/>
  <c r="X275" i="25"/>
  <c r="U275" i="25"/>
  <c r="V275" i="25"/>
  <c r="T275" i="25"/>
  <c r="X271" i="25"/>
  <c r="W271" i="25"/>
  <c r="U271" i="25"/>
  <c r="V271" i="25"/>
  <c r="T271" i="25"/>
  <c r="U267" i="25"/>
  <c r="W267" i="25"/>
  <c r="V267" i="25"/>
  <c r="T267" i="25"/>
  <c r="X263" i="25"/>
  <c r="U263" i="25"/>
  <c r="V263" i="25"/>
  <c r="W263" i="25"/>
  <c r="T263" i="25"/>
  <c r="X259" i="25"/>
  <c r="U259" i="25"/>
  <c r="V259" i="25"/>
  <c r="T259" i="25"/>
  <c r="X255" i="25"/>
  <c r="W255" i="25"/>
  <c r="U255" i="25"/>
  <c r="V255" i="25"/>
  <c r="T255" i="25"/>
  <c r="X251" i="25"/>
  <c r="U251" i="25"/>
  <c r="W251" i="25"/>
  <c r="V251" i="25"/>
  <c r="T251" i="25"/>
  <c r="X247" i="25"/>
  <c r="U247" i="25"/>
  <c r="V247" i="25"/>
  <c r="W247" i="25"/>
  <c r="T247" i="25"/>
  <c r="X243" i="25"/>
  <c r="W243" i="25"/>
  <c r="U243" i="25"/>
  <c r="V243" i="25"/>
  <c r="T243" i="25"/>
  <c r="W239" i="25"/>
  <c r="X239" i="25"/>
  <c r="U239" i="25"/>
  <c r="V239" i="25"/>
  <c r="T239" i="25"/>
  <c r="U235" i="25"/>
  <c r="X235" i="25"/>
  <c r="V235" i="25"/>
  <c r="T235" i="25"/>
  <c r="X231" i="25"/>
  <c r="U231" i="25"/>
  <c r="W231" i="25"/>
  <c r="V231" i="25"/>
  <c r="T231" i="25"/>
  <c r="X227" i="25"/>
  <c r="U227" i="25"/>
  <c r="V227" i="25"/>
  <c r="T227" i="25"/>
  <c r="W223" i="25"/>
  <c r="X223" i="25"/>
  <c r="U223" i="25"/>
  <c r="V223" i="25"/>
  <c r="T223" i="25"/>
  <c r="U219" i="25"/>
  <c r="V219" i="25"/>
  <c r="X219" i="25"/>
  <c r="W219" i="25"/>
  <c r="T219" i="25"/>
  <c r="X215" i="25"/>
  <c r="W215" i="25"/>
  <c r="U215" i="25"/>
  <c r="V215" i="25"/>
  <c r="T215" i="25"/>
  <c r="X211" i="25"/>
  <c r="U211" i="25"/>
  <c r="V211" i="25"/>
  <c r="W211" i="25"/>
  <c r="T211" i="25"/>
  <c r="W207" i="25"/>
  <c r="X207" i="25"/>
  <c r="U207" i="25"/>
  <c r="V207" i="25"/>
  <c r="T207" i="25"/>
  <c r="U203" i="25"/>
  <c r="W203" i="25"/>
  <c r="V203" i="25"/>
  <c r="T203" i="25"/>
  <c r="X199" i="25"/>
  <c r="U199" i="25"/>
  <c r="V199" i="25"/>
  <c r="T199" i="25"/>
  <c r="X195" i="25"/>
  <c r="U195" i="25"/>
  <c r="W195" i="25"/>
  <c r="V195" i="25"/>
  <c r="T195" i="25"/>
  <c r="W191" i="25"/>
  <c r="X191" i="25"/>
  <c r="U191" i="25"/>
  <c r="V191" i="25"/>
  <c r="T191" i="25"/>
  <c r="X187" i="25"/>
  <c r="W187" i="25"/>
  <c r="U187" i="25"/>
  <c r="V187" i="25"/>
  <c r="T187" i="25"/>
  <c r="X183" i="25"/>
  <c r="U183" i="25"/>
  <c r="V183" i="25"/>
  <c r="W183" i="25"/>
  <c r="T183" i="25"/>
  <c r="X179" i="25"/>
  <c r="W179" i="25"/>
  <c r="U179" i="25"/>
  <c r="V179" i="25"/>
  <c r="T179" i="25"/>
  <c r="W175" i="25"/>
  <c r="X175" i="25"/>
  <c r="U175" i="25"/>
  <c r="V175" i="25"/>
  <c r="T175" i="25"/>
  <c r="U171" i="25"/>
  <c r="X171" i="25"/>
  <c r="V171" i="25"/>
  <c r="T171" i="25"/>
  <c r="X167" i="25"/>
  <c r="U167" i="25"/>
  <c r="W167" i="25"/>
  <c r="V167" i="25"/>
  <c r="T167" i="25"/>
  <c r="X163" i="25"/>
  <c r="U163" i="25"/>
  <c r="V163" i="25"/>
  <c r="T163" i="25"/>
  <c r="W159" i="25"/>
  <c r="X159" i="25"/>
  <c r="U159" i="25"/>
  <c r="V159" i="25"/>
  <c r="T159" i="25"/>
  <c r="U155" i="25"/>
  <c r="V155" i="25"/>
  <c r="X155" i="25"/>
  <c r="W155" i="25"/>
  <c r="T155" i="25"/>
  <c r="X151" i="25"/>
  <c r="W151" i="25"/>
  <c r="U151" i="25"/>
  <c r="V151" i="25"/>
  <c r="T151" i="25"/>
  <c r="X147" i="25"/>
  <c r="U147" i="25"/>
  <c r="V147" i="25"/>
  <c r="W147" i="25"/>
  <c r="T147" i="25"/>
  <c r="W143" i="25"/>
  <c r="X143" i="25"/>
  <c r="U143" i="25"/>
  <c r="V143" i="25"/>
  <c r="T143" i="25"/>
  <c r="U139" i="25"/>
  <c r="W139" i="25"/>
  <c r="V139" i="25"/>
  <c r="T139" i="25"/>
  <c r="X135" i="25"/>
  <c r="U135" i="25"/>
  <c r="V135" i="25"/>
  <c r="T135" i="25"/>
  <c r="X131" i="25"/>
  <c r="U131" i="25"/>
  <c r="W131" i="25"/>
  <c r="V131" i="25"/>
  <c r="T131" i="25"/>
  <c r="W127" i="25"/>
  <c r="X127" i="25"/>
  <c r="U127" i="25"/>
  <c r="V127" i="25"/>
  <c r="T127" i="25"/>
  <c r="X123" i="25"/>
  <c r="W123" i="25"/>
  <c r="U123" i="25"/>
  <c r="V123" i="25"/>
  <c r="T123" i="25"/>
  <c r="X119" i="25"/>
  <c r="U119" i="25"/>
  <c r="V119" i="25"/>
  <c r="W119" i="25"/>
  <c r="T119" i="25"/>
  <c r="X115" i="25"/>
  <c r="W115" i="25"/>
  <c r="U115" i="25"/>
  <c r="V115" i="25"/>
  <c r="T115" i="25"/>
  <c r="W111" i="25"/>
  <c r="X111" i="25"/>
  <c r="U111" i="25"/>
  <c r="V111" i="25"/>
  <c r="T111" i="25"/>
  <c r="U107" i="25"/>
  <c r="X107" i="25"/>
  <c r="V107" i="25"/>
  <c r="T107" i="25"/>
  <c r="X103" i="25"/>
  <c r="U103" i="25"/>
  <c r="W103" i="25"/>
  <c r="V103" i="25"/>
  <c r="T103" i="25"/>
  <c r="X99" i="25"/>
  <c r="U99" i="25"/>
  <c r="V99" i="25"/>
  <c r="T99" i="25"/>
  <c r="W95" i="25"/>
  <c r="X95" i="25"/>
  <c r="U95" i="25"/>
  <c r="V95" i="25"/>
  <c r="T95" i="25"/>
  <c r="U91" i="25"/>
  <c r="V91" i="25"/>
  <c r="X91" i="25"/>
  <c r="W91" i="25"/>
  <c r="T91" i="25"/>
  <c r="X87" i="25"/>
  <c r="W87" i="25"/>
  <c r="U87" i="25"/>
  <c r="V87" i="25"/>
  <c r="T87" i="25"/>
  <c r="X83" i="25"/>
  <c r="U83" i="25"/>
  <c r="V83" i="25"/>
  <c r="W83" i="25"/>
  <c r="T83" i="25"/>
  <c r="W79" i="25"/>
  <c r="X79" i="25"/>
  <c r="U79" i="25"/>
  <c r="V79" i="25"/>
  <c r="T79" i="25"/>
  <c r="U75" i="25"/>
  <c r="W75" i="25"/>
  <c r="V75" i="25"/>
  <c r="T75" i="25"/>
  <c r="X71" i="25"/>
  <c r="U71" i="25"/>
  <c r="V71" i="25"/>
  <c r="T71" i="25"/>
  <c r="X67" i="25"/>
  <c r="U67" i="25"/>
  <c r="W67" i="25"/>
  <c r="V67" i="25"/>
  <c r="T67" i="25"/>
  <c r="W63" i="25"/>
  <c r="X63" i="25"/>
  <c r="U63" i="25"/>
  <c r="V63" i="25"/>
  <c r="T63" i="25"/>
  <c r="X59" i="25"/>
  <c r="W59" i="25"/>
  <c r="U59" i="25"/>
  <c r="V59" i="25"/>
  <c r="T59" i="25"/>
  <c r="X55" i="25"/>
  <c r="U55" i="25"/>
  <c r="V55" i="25"/>
  <c r="W55" i="25"/>
  <c r="T55" i="25"/>
  <c r="W51" i="25"/>
  <c r="X51" i="25"/>
  <c r="U51" i="25"/>
  <c r="V51" i="25"/>
  <c r="T51" i="25"/>
  <c r="W47" i="25"/>
  <c r="X47" i="25"/>
  <c r="U47" i="25"/>
  <c r="V47" i="25"/>
  <c r="T47" i="25"/>
  <c r="U43" i="25"/>
  <c r="X43" i="25"/>
  <c r="W43" i="25"/>
  <c r="V43" i="25"/>
  <c r="T43" i="25"/>
  <c r="X39" i="25"/>
  <c r="W39" i="25"/>
  <c r="U39" i="25"/>
  <c r="V39" i="25"/>
  <c r="T39" i="25"/>
  <c r="W35" i="25"/>
  <c r="X35" i="25"/>
  <c r="U35" i="25"/>
  <c r="V35" i="25"/>
  <c r="T35" i="25"/>
  <c r="W31" i="25"/>
  <c r="X31" i="25"/>
  <c r="U31" i="25"/>
  <c r="V31" i="25"/>
  <c r="T31" i="25"/>
  <c r="U27" i="25"/>
  <c r="V27" i="25"/>
  <c r="X27" i="25"/>
  <c r="T27" i="25"/>
  <c r="X23" i="25"/>
  <c r="U23" i="25"/>
  <c r="V23" i="25"/>
  <c r="W23" i="25"/>
  <c r="T23" i="25"/>
  <c r="W19" i="25"/>
  <c r="U19" i="25"/>
  <c r="X19" i="25"/>
  <c r="V19" i="25"/>
  <c r="T19" i="25"/>
  <c r="X15" i="25"/>
  <c r="W15" i="25"/>
  <c r="U15" i="25"/>
  <c r="V15" i="25"/>
  <c r="T15" i="25"/>
  <c r="X11" i="25"/>
  <c r="U11" i="25"/>
  <c r="W11" i="25"/>
  <c r="V11" i="25"/>
  <c r="T11" i="25"/>
  <c r="X7" i="25"/>
  <c r="W7" i="25"/>
  <c r="U7" i="25"/>
  <c r="V7" i="25"/>
  <c r="T7" i="25"/>
  <c r="W3" i="25"/>
  <c r="X593" i="25"/>
  <c r="T593" i="25"/>
  <c r="W593" i="25"/>
  <c r="X589" i="25"/>
  <c r="T589" i="25"/>
  <c r="W589" i="25"/>
  <c r="X585" i="25"/>
  <c r="T585" i="25"/>
  <c r="W585" i="25"/>
  <c r="T581" i="25"/>
  <c r="W581" i="25"/>
  <c r="T577" i="25"/>
  <c r="W577" i="25"/>
  <c r="X577" i="25"/>
  <c r="X573" i="25"/>
  <c r="T573" i="25"/>
  <c r="W573" i="25"/>
  <c r="X569" i="25"/>
  <c r="T569" i="25"/>
  <c r="W569" i="25"/>
  <c r="X565" i="25"/>
  <c r="T565" i="25"/>
  <c r="W565" i="25"/>
  <c r="T561" i="25"/>
  <c r="W561" i="25"/>
  <c r="X561" i="25"/>
  <c r="X557" i="25"/>
  <c r="T557" i="25"/>
  <c r="W557" i="25"/>
  <c r="X553" i="25"/>
  <c r="T553" i="25"/>
  <c r="W553" i="25"/>
  <c r="X549" i="25"/>
  <c r="T549" i="25"/>
  <c r="W549" i="25"/>
  <c r="T545" i="25"/>
  <c r="W545" i="25"/>
  <c r="X541" i="25"/>
  <c r="T541" i="25"/>
  <c r="W541" i="25"/>
  <c r="X537" i="25"/>
  <c r="T537" i="25"/>
  <c r="W537" i="25"/>
  <c r="X533" i="25"/>
  <c r="T533" i="25"/>
  <c r="W533" i="25"/>
  <c r="X529" i="25"/>
  <c r="T529" i="25"/>
  <c r="W529" i="25"/>
  <c r="X525" i="25"/>
  <c r="T525" i="25"/>
  <c r="W525" i="25"/>
  <c r="X521" i="25"/>
  <c r="T521" i="25"/>
  <c r="W521" i="25"/>
  <c r="X517" i="25"/>
  <c r="T517" i="25"/>
  <c r="W517" i="25"/>
  <c r="T513" i="25"/>
  <c r="X513" i="25"/>
  <c r="W513" i="25"/>
  <c r="X509" i="25"/>
  <c r="T509" i="25"/>
  <c r="W509" i="25"/>
  <c r="X505" i="25"/>
  <c r="T505" i="25"/>
  <c r="W505" i="25"/>
  <c r="X501" i="25"/>
  <c r="T501" i="25"/>
  <c r="W501" i="25"/>
  <c r="N590" i="25"/>
  <c r="N586" i="25"/>
  <c r="M586" i="25"/>
  <c r="N582" i="25"/>
  <c r="M582" i="25"/>
  <c r="N578" i="25"/>
  <c r="M578" i="25"/>
  <c r="N574" i="25"/>
  <c r="M574" i="25"/>
  <c r="N566" i="25"/>
  <c r="M566" i="25"/>
  <c r="N558" i="25"/>
  <c r="N554" i="25"/>
  <c r="M554" i="25"/>
  <c r="N550" i="25"/>
  <c r="M550" i="25"/>
  <c r="N542" i="25"/>
  <c r="M542" i="25"/>
  <c r="N538" i="25"/>
  <c r="M538" i="25"/>
  <c r="N534" i="25"/>
  <c r="M534" i="25"/>
  <c r="N530" i="25"/>
  <c r="M530" i="25"/>
  <c r="N526" i="25"/>
  <c r="N522" i="25"/>
  <c r="M522" i="25"/>
  <c r="N518" i="25"/>
  <c r="M518" i="25"/>
  <c r="N514" i="25"/>
  <c r="M514" i="25"/>
  <c r="N510" i="25"/>
  <c r="N502" i="25"/>
  <c r="M502" i="25"/>
  <c r="N498" i="25"/>
  <c r="M498" i="25"/>
  <c r="N494" i="25"/>
  <c r="M494" i="25"/>
  <c r="N486" i="25"/>
  <c r="M486" i="25"/>
  <c r="N482" i="25"/>
  <c r="M482" i="25"/>
  <c r="N478" i="25"/>
  <c r="M478" i="25"/>
  <c r="N474" i="25"/>
  <c r="M474" i="25"/>
  <c r="N470" i="25"/>
  <c r="N466" i="25"/>
  <c r="M466" i="25"/>
  <c r="N462" i="25"/>
  <c r="M462" i="25"/>
  <c r="N458" i="25"/>
  <c r="M458" i="25"/>
  <c r="N454" i="25"/>
  <c r="M454" i="25"/>
  <c r="N450" i="25"/>
  <c r="M450" i="25"/>
  <c r="N446" i="25"/>
  <c r="M446" i="25"/>
  <c r="N442" i="25"/>
  <c r="M442" i="25"/>
  <c r="N438" i="25"/>
  <c r="M438" i="25"/>
  <c r="N434" i="25"/>
  <c r="M434" i="25"/>
  <c r="N430" i="25"/>
  <c r="N422" i="25"/>
  <c r="M422" i="25"/>
  <c r="N418" i="25"/>
  <c r="M418" i="25"/>
  <c r="N414" i="25"/>
  <c r="N410" i="25"/>
  <c r="M410" i="25"/>
  <c r="N406" i="25"/>
  <c r="N398" i="25"/>
  <c r="M398" i="25"/>
  <c r="N394" i="25"/>
  <c r="M394" i="25"/>
  <c r="N390" i="25"/>
  <c r="M390" i="25"/>
  <c r="N386" i="25"/>
  <c r="M386" i="25"/>
  <c r="N382" i="25"/>
  <c r="M382" i="25"/>
  <c r="N378" i="25"/>
  <c r="M378" i="25"/>
  <c r="N374" i="25"/>
  <c r="N366" i="25"/>
  <c r="M366" i="25"/>
  <c r="N362" i="25"/>
  <c r="M362" i="25"/>
  <c r="N358" i="25"/>
  <c r="N354" i="25"/>
  <c r="M354" i="25"/>
  <c r="N350" i="25"/>
  <c r="N346" i="25"/>
  <c r="M346" i="25"/>
  <c r="N342" i="25"/>
  <c r="M342" i="25"/>
  <c r="N334" i="25"/>
  <c r="N330" i="25"/>
  <c r="M330" i="25"/>
  <c r="N326" i="25"/>
  <c r="N318" i="25"/>
  <c r="M318" i="25"/>
  <c r="N314" i="25"/>
  <c r="M314" i="25"/>
  <c r="N310" i="25"/>
  <c r="N306" i="25"/>
  <c r="M306" i="25"/>
  <c r="N302" i="25"/>
  <c r="M302" i="25"/>
  <c r="N298" i="25"/>
  <c r="M298" i="25"/>
  <c r="N294" i="25"/>
  <c r="M294" i="25"/>
  <c r="N286" i="25"/>
  <c r="M286" i="25"/>
  <c r="N282" i="25"/>
  <c r="M282" i="25"/>
  <c r="N278" i="25"/>
  <c r="M278" i="25"/>
  <c r="N270" i="25"/>
  <c r="N266" i="25"/>
  <c r="M266" i="25"/>
  <c r="N262" i="25"/>
  <c r="N258" i="25"/>
  <c r="M258" i="25"/>
  <c r="N254" i="25"/>
  <c r="M254" i="25"/>
  <c r="N246" i="25"/>
  <c r="M246" i="25"/>
  <c r="N242" i="25"/>
  <c r="M242" i="25"/>
  <c r="N238" i="25"/>
  <c r="M238" i="25"/>
  <c r="N234" i="25"/>
  <c r="M234" i="25"/>
  <c r="N230" i="25"/>
  <c r="N226" i="25"/>
  <c r="M226" i="25"/>
  <c r="N222" i="25"/>
  <c r="M222" i="25"/>
  <c r="N218" i="25"/>
  <c r="M218" i="25"/>
  <c r="N214" i="25"/>
  <c r="M214" i="25"/>
  <c r="N210" i="25"/>
  <c r="M210" i="25"/>
  <c r="N206" i="25"/>
  <c r="M206" i="25"/>
  <c r="N198" i="25"/>
  <c r="N194" i="25"/>
  <c r="M194" i="25"/>
  <c r="N190" i="25"/>
  <c r="M190" i="25"/>
  <c r="N182" i="25"/>
  <c r="M182" i="25"/>
  <c r="N178" i="25"/>
  <c r="M178" i="25"/>
  <c r="N174" i="25"/>
  <c r="N170" i="25"/>
  <c r="M170" i="25"/>
  <c r="N166" i="25"/>
  <c r="M166" i="25"/>
  <c r="M158" i="25"/>
  <c r="N154" i="25"/>
  <c r="M154" i="25"/>
  <c r="N150" i="25"/>
  <c r="M150" i="25"/>
  <c r="N146" i="25"/>
  <c r="M146" i="25"/>
  <c r="N142" i="25"/>
  <c r="M142" i="25"/>
  <c r="N138" i="25"/>
  <c r="M138" i="25"/>
  <c r="N134" i="25"/>
  <c r="M134" i="25"/>
  <c r="N126" i="25"/>
  <c r="M126" i="25"/>
  <c r="N122" i="25"/>
  <c r="M122" i="25"/>
  <c r="M118" i="25"/>
  <c r="N114" i="25"/>
  <c r="M114" i="25"/>
  <c r="M110" i="25"/>
  <c r="N102" i="25"/>
  <c r="M102" i="25"/>
  <c r="N94" i="25"/>
  <c r="M94" i="25"/>
  <c r="N86" i="25"/>
  <c r="M86" i="25"/>
  <c r="N82" i="25"/>
  <c r="M82" i="25"/>
  <c r="N78" i="25"/>
  <c r="M78" i="25"/>
  <c r="N74" i="25"/>
  <c r="M74" i="25"/>
  <c r="N70" i="25"/>
  <c r="M70" i="25"/>
  <c r="N66" i="25"/>
  <c r="M66" i="25"/>
  <c r="M62" i="25"/>
  <c r="N58" i="25"/>
  <c r="M58" i="25"/>
  <c r="N54" i="25"/>
  <c r="M54" i="25"/>
  <c r="N46" i="25"/>
  <c r="M46" i="25"/>
  <c r="M38" i="25"/>
  <c r="N30" i="25"/>
  <c r="M30" i="25"/>
  <c r="N26" i="25"/>
  <c r="M26" i="25"/>
  <c r="N22" i="25"/>
  <c r="M22" i="25"/>
  <c r="N18" i="25"/>
  <c r="M18" i="25"/>
  <c r="N14" i="25"/>
  <c r="M14" i="25"/>
  <c r="N10" i="25"/>
  <c r="M10" i="25"/>
  <c r="U591" i="25"/>
  <c r="U586" i="25"/>
  <c r="U581" i="25"/>
  <c r="U575" i="25"/>
  <c r="U570" i="25"/>
  <c r="U565" i="25"/>
  <c r="U559" i="25"/>
  <c r="U554" i="25"/>
  <c r="U546" i="25"/>
  <c r="U538" i="25"/>
  <c r="U530" i="25"/>
  <c r="U522" i="25"/>
  <c r="U514" i="25"/>
  <c r="U506" i="25"/>
  <c r="V589" i="25"/>
  <c r="V573" i="25"/>
  <c r="V557" i="25"/>
  <c r="V541" i="25"/>
  <c r="V525" i="25"/>
  <c r="V509" i="25"/>
  <c r="V493" i="25"/>
  <c r="V477" i="25"/>
  <c r="V461" i="25"/>
  <c r="V445" i="25"/>
  <c r="V429" i="25"/>
  <c r="V413" i="25"/>
  <c r="V397" i="25"/>
  <c r="V381" i="25"/>
  <c r="V365" i="25"/>
  <c r="V349" i="25"/>
  <c r="V333" i="25"/>
  <c r="V317" i="25"/>
  <c r="V301" i="25"/>
  <c r="V285" i="25"/>
  <c r="V269" i="25"/>
  <c r="V253" i="25"/>
  <c r="V237" i="25"/>
  <c r="V221" i="25"/>
  <c r="V205" i="25"/>
  <c r="V189" i="25"/>
  <c r="V173" i="25"/>
  <c r="V157" i="25"/>
  <c r="V141" i="25"/>
  <c r="V125" i="25"/>
  <c r="V109" i="25"/>
  <c r="V93" i="25"/>
  <c r="V77" i="25"/>
  <c r="V61" i="25"/>
  <c r="V45" i="25"/>
  <c r="V29" i="25"/>
  <c r="V13" i="25"/>
  <c r="T496" i="25"/>
  <c r="T480" i="25"/>
  <c r="T464" i="25"/>
  <c r="T448" i="25"/>
  <c r="T432" i="25"/>
  <c r="T416" i="25"/>
  <c r="T400" i="25"/>
  <c r="T384" i="25"/>
  <c r="T368" i="25"/>
  <c r="T352" i="25"/>
  <c r="T336" i="25"/>
  <c r="T320" i="25"/>
  <c r="T304" i="25"/>
  <c r="T288" i="25"/>
  <c r="T272" i="25"/>
  <c r="T256" i="25"/>
  <c r="T240" i="25"/>
  <c r="T224" i="25"/>
  <c r="T208" i="25"/>
  <c r="T192" i="25"/>
  <c r="T176" i="25"/>
  <c r="T160" i="25"/>
  <c r="T144" i="25"/>
  <c r="T128" i="25"/>
  <c r="T112" i="25"/>
  <c r="T96" i="25"/>
  <c r="T80" i="25"/>
  <c r="T64" i="25"/>
  <c r="T48" i="25"/>
  <c r="T32" i="25"/>
  <c r="T16" i="25"/>
  <c r="W595" i="25"/>
  <c r="W579" i="25"/>
  <c r="W563" i="25"/>
  <c r="W547" i="25"/>
  <c r="W531" i="25"/>
  <c r="W515" i="25"/>
  <c r="W499" i="25"/>
  <c r="W483" i="25"/>
  <c r="W467" i="25"/>
  <c r="W424" i="25"/>
  <c r="W403" i="25"/>
  <c r="W360" i="25"/>
  <c r="W339" i="25"/>
  <c r="W296" i="25"/>
  <c r="W275" i="25"/>
  <c r="W227" i="25"/>
  <c r="W199" i="25"/>
  <c r="W171" i="25"/>
  <c r="W57" i="25"/>
  <c r="W17" i="25"/>
  <c r="X566" i="25"/>
  <c r="X481" i="25"/>
  <c r="X395" i="25"/>
  <c r="X225" i="25"/>
  <c r="X139" i="25"/>
  <c r="M76" i="25"/>
  <c r="N104" i="25"/>
  <c r="N360" i="25"/>
  <c r="E16" i="14"/>
  <c r="H23" i="14"/>
  <c r="B20" i="14"/>
  <c r="N16" i="14"/>
  <c r="B9" i="14"/>
  <c r="H9" i="14"/>
  <c r="B5" i="14"/>
  <c r="K12" i="14"/>
  <c r="H257" i="7"/>
  <c r="H193" i="7"/>
  <c r="H129" i="7"/>
  <c r="H65" i="7"/>
  <c r="B16" i="14"/>
  <c r="E12" i="14"/>
  <c r="H20" i="14"/>
  <c r="K23" i="14"/>
  <c r="K9" i="14"/>
  <c r="N12" i="14"/>
  <c r="E23" i="14"/>
  <c r="E9" i="14"/>
  <c r="H16" i="14"/>
  <c r="K20" i="14"/>
  <c r="N23" i="14"/>
  <c r="N9" i="14"/>
  <c r="B23" i="14"/>
  <c r="B12" i="14"/>
  <c r="E20" i="14"/>
  <c r="E6" i="14"/>
  <c r="H12" i="14"/>
  <c r="K16" i="14"/>
  <c r="N20" i="14"/>
  <c r="B24" i="14"/>
  <c r="B19" i="14"/>
  <c r="B11" i="14"/>
  <c r="B8" i="14"/>
  <c r="E24" i="14"/>
  <c r="E19" i="14"/>
  <c r="E15" i="14"/>
  <c r="E11" i="14"/>
  <c r="E8" i="14"/>
  <c r="H24" i="14"/>
  <c r="H19" i="14"/>
  <c r="H15" i="14"/>
  <c r="H11" i="14"/>
  <c r="H8" i="14"/>
  <c r="K24" i="14"/>
  <c r="K19" i="14"/>
  <c r="K15" i="14"/>
  <c r="K11" i="14"/>
  <c r="K8" i="14"/>
  <c r="N24" i="14"/>
  <c r="N19" i="14"/>
  <c r="N15" i="14"/>
  <c r="N11" i="14"/>
  <c r="N8" i="14"/>
  <c r="B22" i="14"/>
  <c r="B18" i="14"/>
  <c r="B14" i="14"/>
  <c r="B10" i="14"/>
  <c r="B6" i="14"/>
  <c r="E22" i="14"/>
  <c r="E18" i="14"/>
  <c r="E14" i="14"/>
  <c r="E10" i="14"/>
  <c r="H22" i="14"/>
  <c r="H18" i="14"/>
  <c r="H14" i="14"/>
  <c r="H10" i="14"/>
  <c r="H6" i="14"/>
  <c r="K22" i="14"/>
  <c r="K18" i="14"/>
  <c r="K14" i="14"/>
  <c r="K10" i="14"/>
  <c r="K6" i="14"/>
  <c r="N22" i="14"/>
  <c r="N18" i="14"/>
  <c r="N14" i="14"/>
  <c r="N10" i="14"/>
  <c r="N6" i="14"/>
  <c r="B21" i="14"/>
  <c r="B17" i="14"/>
  <c r="B13" i="14"/>
  <c r="B7" i="14"/>
  <c r="E21" i="14"/>
  <c r="E17" i="14"/>
  <c r="E13" i="14"/>
  <c r="E7" i="14"/>
  <c r="E5" i="14"/>
  <c r="H21" i="14"/>
  <c r="H17" i="14"/>
  <c r="H13" i="14"/>
  <c r="H7" i="14"/>
  <c r="H5" i="14"/>
  <c r="K21" i="14"/>
  <c r="K17" i="14"/>
  <c r="K13" i="14"/>
  <c r="K7" i="14"/>
  <c r="K5" i="14"/>
  <c r="N21" i="14"/>
  <c r="N17" i="14"/>
  <c r="N13" i="14"/>
  <c r="N7" i="14"/>
  <c r="N5" i="14"/>
  <c r="N19" i="20"/>
  <c r="N3" i="20"/>
  <c r="P7" i="20"/>
  <c r="N15" i="20"/>
  <c r="P19" i="20"/>
  <c r="P3" i="20"/>
  <c r="N11" i="20"/>
  <c r="P15" i="20"/>
  <c r="N7" i="20"/>
  <c r="P11" i="20"/>
  <c r="N18" i="20"/>
  <c r="N14" i="20"/>
  <c r="N10" i="20"/>
  <c r="N6" i="20"/>
  <c r="N2" i="20"/>
  <c r="P18" i="20"/>
  <c r="P14" i="20"/>
  <c r="P10" i="20"/>
  <c r="P6" i="20"/>
  <c r="P2" i="20"/>
  <c r="N21" i="20"/>
  <c r="N17" i="20"/>
  <c r="N13" i="20"/>
  <c r="N9" i="20"/>
  <c r="N5" i="20"/>
  <c r="P21" i="20"/>
  <c r="P17" i="20"/>
  <c r="P13" i="20"/>
  <c r="P9" i="20"/>
  <c r="P5" i="20"/>
  <c r="N20" i="20"/>
  <c r="N16" i="20"/>
  <c r="N12" i="20"/>
  <c r="N8" i="20"/>
  <c r="N4" i="20"/>
  <c r="P20" i="20"/>
  <c r="P16" i="20"/>
  <c r="P12" i="20"/>
  <c r="P8" i="20"/>
  <c r="P4" i="20"/>
  <c r="H447" i="7"/>
  <c r="H383" i="7"/>
  <c r="H596" i="7"/>
  <c r="H592" i="7"/>
  <c r="H588" i="7"/>
  <c r="H584" i="7"/>
  <c r="H580" i="7"/>
  <c r="H576" i="7"/>
  <c r="H572" i="7"/>
  <c r="H568" i="7"/>
  <c r="H564" i="7"/>
  <c r="H560" i="7"/>
  <c r="H556" i="7"/>
  <c r="H552" i="7"/>
  <c r="H548" i="7"/>
  <c r="H544" i="7"/>
  <c r="H540" i="7"/>
  <c r="H536" i="7"/>
  <c r="H532" i="7"/>
  <c r="H528" i="7"/>
  <c r="H524" i="7"/>
  <c r="H520" i="7"/>
  <c r="H516" i="7"/>
  <c r="BD516" i="7" s="1"/>
  <c r="H512" i="7"/>
  <c r="H508" i="7"/>
  <c r="H504" i="7"/>
  <c r="H500" i="7"/>
  <c r="H496" i="7"/>
  <c r="H492" i="7"/>
  <c r="H488" i="7"/>
  <c r="H484" i="7"/>
  <c r="H480" i="7"/>
  <c r="H476" i="7"/>
  <c r="H472" i="7"/>
  <c r="H468" i="7"/>
  <c r="H464" i="7"/>
  <c r="H460" i="7"/>
  <c r="H575" i="7"/>
  <c r="H511" i="7"/>
  <c r="H456" i="7"/>
  <c r="H452" i="7"/>
  <c r="H448" i="7"/>
  <c r="H444" i="7"/>
  <c r="H440" i="7"/>
  <c r="H436" i="7"/>
  <c r="H432" i="7"/>
  <c r="H428" i="7"/>
  <c r="H424" i="7"/>
  <c r="H420" i="7"/>
  <c r="H416" i="7"/>
  <c r="H412" i="7"/>
  <c r="H408" i="7"/>
  <c r="H404" i="7"/>
  <c r="H400" i="7"/>
  <c r="H396" i="7"/>
  <c r="H392" i="7"/>
  <c r="H388" i="7"/>
  <c r="H384" i="7"/>
  <c r="H380" i="7"/>
  <c r="H376" i="7"/>
  <c r="H372" i="7"/>
  <c r="H368" i="7"/>
  <c r="H321" i="7"/>
  <c r="H364" i="7"/>
  <c r="H360" i="7"/>
  <c r="H356" i="7"/>
  <c r="H352" i="7"/>
  <c r="H348" i="7"/>
  <c r="H344" i="7"/>
  <c r="H340" i="7"/>
  <c r="H336" i="7"/>
  <c r="H332" i="7"/>
  <c r="H328" i="7"/>
  <c r="H324" i="7"/>
  <c r="H320" i="7"/>
  <c r="H316" i="7"/>
  <c r="H312" i="7"/>
  <c r="H308" i="7"/>
  <c r="H304" i="7"/>
  <c r="H300" i="7"/>
  <c r="H296" i="7"/>
  <c r="H292" i="7"/>
  <c r="H288" i="7"/>
  <c r="H284" i="7"/>
  <c r="H280" i="7"/>
  <c r="H276" i="7"/>
  <c r="H272" i="7"/>
  <c r="H268" i="7"/>
  <c r="H264" i="7"/>
  <c r="H260" i="7"/>
  <c r="H256" i="7"/>
  <c r="H252" i="7"/>
  <c r="H248" i="7"/>
  <c r="H244" i="7"/>
  <c r="H240" i="7"/>
  <c r="H236" i="7"/>
  <c r="H232" i="7"/>
  <c r="BD232" i="7" s="1"/>
  <c r="H228" i="7"/>
  <c r="H224" i="7"/>
  <c r="H220" i="7"/>
  <c r="H216" i="7"/>
  <c r="H212" i="7"/>
  <c r="H208" i="7"/>
  <c r="H204" i="7"/>
  <c r="H200" i="7"/>
  <c r="H196" i="7"/>
  <c r="H192" i="7"/>
  <c r="H188" i="7"/>
  <c r="H184" i="7"/>
  <c r="H180" i="7"/>
  <c r="H176" i="7"/>
  <c r="H172" i="7"/>
  <c r="H168" i="7"/>
  <c r="H164" i="7"/>
  <c r="H160" i="7"/>
  <c r="H156" i="7"/>
  <c r="H152" i="7"/>
  <c r="H148" i="7"/>
  <c r="H144" i="7"/>
  <c r="H140" i="7"/>
  <c r="H136" i="7"/>
  <c r="H132" i="7"/>
  <c r="H128" i="7"/>
  <c r="H124" i="7"/>
  <c r="H120" i="7"/>
  <c r="H116" i="7"/>
  <c r="H112" i="7"/>
  <c r="H108" i="7"/>
  <c r="H104" i="7"/>
  <c r="H100" i="7"/>
  <c r="H96" i="7"/>
  <c r="H92" i="7"/>
  <c r="H88" i="7"/>
  <c r="H84" i="7"/>
  <c r="H80" i="7"/>
  <c r="H76" i="7"/>
  <c r="H72" i="7"/>
  <c r="BD72" i="7" s="1"/>
  <c r="H68" i="7"/>
  <c r="H64" i="7"/>
  <c r="H60" i="7"/>
  <c r="H56" i="7"/>
  <c r="H52" i="7"/>
  <c r="BD52" i="7" s="1"/>
  <c r="H48" i="7"/>
  <c r="H44" i="7"/>
  <c r="H40" i="7"/>
  <c r="BD40" i="7" s="1"/>
  <c r="H36" i="7"/>
  <c r="H32" i="7"/>
  <c r="BD32" i="7" s="1"/>
  <c r="H28" i="7"/>
  <c r="H24" i="7"/>
  <c r="BD24" i="7" s="1"/>
  <c r="H20" i="7"/>
  <c r="H16" i="7"/>
  <c r="H12" i="7"/>
  <c r="H8" i="7"/>
  <c r="H4" i="7"/>
  <c r="H591" i="7"/>
  <c r="H559" i="7"/>
  <c r="H543" i="7"/>
  <c r="H527" i="7"/>
  <c r="H495" i="7"/>
  <c r="H479" i="7"/>
  <c r="H463" i="7"/>
  <c r="H431" i="7"/>
  <c r="H415" i="7"/>
  <c r="H399" i="7"/>
  <c r="H367" i="7"/>
  <c r="H351" i="7"/>
  <c r="H595" i="7"/>
  <c r="H587" i="7"/>
  <c r="H583" i="7"/>
  <c r="H579" i="7"/>
  <c r="H571" i="7"/>
  <c r="H567" i="7"/>
  <c r="H563" i="7"/>
  <c r="H555" i="7"/>
  <c r="H551" i="7"/>
  <c r="H547" i="7"/>
  <c r="H539" i="7"/>
  <c r="H535" i="7"/>
  <c r="H531" i="7"/>
  <c r="H523" i="7"/>
  <c r="H519" i="7"/>
  <c r="H515" i="7"/>
  <c r="H507" i="7"/>
  <c r="H503" i="7"/>
  <c r="H499" i="7"/>
  <c r="H491" i="7"/>
  <c r="H487" i="7"/>
  <c r="H483" i="7"/>
  <c r="H475" i="7"/>
  <c r="H471" i="7"/>
  <c r="H467" i="7"/>
  <c r="H459" i="7"/>
  <c r="H455" i="7"/>
  <c r="H451" i="7"/>
  <c r="H443" i="7"/>
  <c r="H439" i="7"/>
  <c r="H435" i="7"/>
  <c r="H427" i="7"/>
  <c r="H423" i="7"/>
  <c r="H419" i="7"/>
  <c r="H411" i="7"/>
  <c r="H407" i="7"/>
  <c r="H403" i="7"/>
  <c r="H395" i="7"/>
  <c r="H391" i="7"/>
  <c r="H387" i="7"/>
  <c r="H379" i="7"/>
  <c r="H375" i="7"/>
  <c r="H371" i="7"/>
  <c r="H363" i="7"/>
  <c r="H359" i="7"/>
  <c r="H355" i="7"/>
  <c r="H347" i="7"/>
  <c r="H343" i="7"/>
  <c r="H339" i="7"/>
  <c r="H335" i="7"/>
  <c r="H331" i="7"/>
  <c r="H327" i="7"/>
  <c r="H323" i="7"/>
  <c r="H319" i="7"/>
  <c r="H315" i="7"/>
  <c r="H311" i="7"/>
  <c r="H307" i="7"/>
  <c r="H303" i="7"/>
  <c r="H299" i="7"/>
  <c r="H295" i="7"/>
  <c r="H291" i="7"/>
  <c r="H287" i="7"/>
  <c r="H283" i="7"/>
  <c r="H279" i="7"/>
  <c r="H275" i="7"/>
  <c r="H271" i="7"/>
  <c r="H267" i="7"/>
  <c r="H263" i="7"/>
  <c r="H259" i="7"/>
  <c r="H594" i="7"/>
  <c r="H590" i="7"/>
  <c r="H586" i="7"/>
  <c r="H582" i="7"/>
  <c r="H578" i="7"/>
  <c r="H574" i="7"/>
  <c r="H570" i="7"/>
  <c r="H566" i="7"/>
  <c r="H562" i="7"/>
  <c r="H558" i="7"/>
  <c r="H554" i="7"/>
  <c r="H550" i="7"/>
  <c r="H546" i="7"/>
  <c r="H542" i="7"/>
  <c r="H538" i="7"/>
  <c r="H534" i="7"/>
  <c r="H530" i="7"/>
  <c r="H526" i="7"/>
  <c r="H522" i="7"/>
  <c r="H518" i="7"/>
  <c r="H514" i="7"/>
  <c r="H510" i="7"/>
  <c r="H506" i="7"/>
  <c r="H502" i="7"/>
  <c r="H498" i="7"/>
  <c r="H494" i="7"/>
  <c r="H490" i="7"/>
  <c r="H486" i="7"/>
  <c r="H482" i="7"/>
  <c r="H478" i="7"/>
  <c r="BD478" i="7" s="1"/>
  <c r="H474" i="7"/>
  <c r="H470" i="7"/>
  <c r="H466" i="7"/>
  <c r="H462" i="7"/>
  <c r="H458" i="7"/>
  <c r="H454" i="7"/>
  <c r="H450" i="7"/>
  <c r="H446" i="7"/>
  <c r="H442" i="7"/>
  <c r="H438" i="7"/>
  <c r="H434" i="7"/>
  <c r="H430" i="7"/>
  <c r="H426" i="7"/>
  <c r="H422" i="7"/>
  <c r="H418" i="7"/>
  <c r="H414" i="7"/>
  <c r="H410" i="7"/>
  <c r="H406" i="7"/>
  <c r="H402" i="7"/>
  <c r="H398" i="7"/>
  <c r="H394" i="7"/>
  <c r="H390" i="7"/>
  <c r="H386" i="7"/>
  <c r="H382" i="7"/>
  <c r="H378" i="7"/>
  <c r="H374" i="7"/>
  <c r="H370" i="7"/>
  <c r="H366" i="7"/>
  <c r="H362" i="7"/>
  <c r="H358" i="7"/>
  <c r="H354" i="7"/>
  <c r="H350" i="7"/>
  <c r="H346" i="7"/>
  <c r="H342" i="7"/>
  <c r="H338" i="7"/>
  <c r="H334" i="7"/>
  <c r="H330" i="7"/>
  <c r="H326" i="7"/>
  <c r="H322" i="7"/>
  <c r="H318" i="7"/>
  <c r="H314" i="7"/>
  <c r="H310" i="7"/>
  <c r="H306" i="7"/>
  <c r="H302" i="7"/>
  <c r="H298" i="7"/>
  <c r="H294" i="7"/>
  <c r="H290" i="7"/>
  <c r="H286" i="7"/>
  <c r="H282" i="7"/>
  <c r="BD282" i="7" s="1"/>
  <c r="H278" i="7"/>
  <c r="H274" i="7"/>
  <c r="H270" i="7"/>
  <c r="H266" i="7"/>
  <c r="H262" i="7"/>
  <c r="H258" i="7"/>
  <c r="H593" i="7"/>
  <c r="H589" i="7"/>
  <c r="H585" i="7"/>
  <c r="H581" i="7"/>
  <c r="H577" i="7"/>
  <c r="H573" i="7"/>
  <c r="H569" i="7"/>
  <c r="H565" i="7"/>
  <c r="H561" i="7"/>
  <c r="H557" i="7"/>
  <c r="H553" i="7"/>
  <c r="H549" i="7"/>
  <c r="H545" i="7"/>
  <c r="H541" i="7"/>
  <c r="H537" i="7"/>
  <c r="H533" i="7"/>
  <c r="H529" i="7"/>
  <c r="H525" i="7"/>
  <c r="H521" i="7"/>
  <c r="H517" i="7"/>
  <c r="H513" i="7"/>
  <c r="H509" i="7"/>
  <c r="H505" i="7"/>
  <c r="H501" i="7"/>
  <c r="H497" i="7"/>
  <c r="H493" i="7"/>
  <c r="H489" i="7"/>
  <c r="H485" i="7"/>
  <c r="H481" i="7"/>
  <c r="BD481" i="7" s="1"/>
  <c r="H477" i="7"/>
  <c r="H473" i="7"/>
  <c r="H469" i="7"/>
  <c r="H465" i="7"/>
  <c r="H461" i="7"/>
  <c r="H457" i="7"/>
  <c r="H453" i="7"/>
  <c r="H449" i="7"/>
  <c r="H445" i="7"/>
  <c r="H441" i="7"/>
  <c r="H437" i="7"/>
  <c r="H433" i="7"/>
  <c r="H429" i="7"/>
  <c r="H425" i="7"/>
  <c r="H421" i="7"/>
  <c r="H417" i="7"/>
  <c r="H413" i="7"/>
  <c r="H409" i="7"/>
  <c r="H405" i="7"/>
  <c r="H401" i="7"/>
  <c r="H397" i="7"/>
  <c r="H393" i="7"/>
  <c r="H389" i="7"/>
  <c r="H385" i="7"/>
  <c r="H381" i="7"/>
  <c r="H377" i="7"/>
  <c r="H373" i="7"/>
  <c r="H369" i="7"/>
  <c r="BD369" i="7" s="1"/>
  <c r="H365" i="7"/>
  <c r="H361" i="7"/>
  <c r="H357" i="7"/>
  <c r="H353" i="7"/>
  <c r="H349" i="7"/>
  <c r="H345" i="7"/>
  <c r="H341" i="7"/>
  <c r="H337" i="7"/>
  <c r="H333" i="7"/>
  <c r="H329" i="7"/>
  <c r="H325" i="7"/>
  <c r="H317" i="7"/>
  <c r="H313" i="7"/>
  <c r="H309" i="7"/>
  <c r="H305" i="7"/>
  <c r="H301" i="7"/>
  <c r="H297" i="7"/>
  <c r="H289" i="7"/>
  <c r="H273" i="7"/>
  <c r="H241" i="7"/>
  <c r="H225" i="7"/>
  <c r="H209" i="7"/>
  <c r="H177" i="7"/>
  <c r="H161" i="7"/>
  <c r="H145" i="7"/>
  <c r="BD145" i="7" s="1"/>
  <c r="H113" i="7"/>
  <c r="H97" i="7"/>
  <c r="H81" i="7"/>
  <c r="H49" i="7"/>
  <c r="H33" i="7"/>
  <c r="H17" i="7"/>
  <c r="H255" i="7"/>
  <c r="H251" i="7"/>
  <c r="H247" i="7"/>
  <c r="H243" i="7"/>
  <c r="H239" i="7"/>
  <c r="H235" i="7"/>
  <c r="H231" i="7"/>
  <c r="H227" i="7"/>
  <c r="H223" i="7"/>
  <c r="H219" i="7"/>
  <c r="H215" i="7"/>
  <c r="H211" i="7"/>
  <c r="H207" i="7"/>
  <c r="H203" i="7"/>
  <c r="H199" i="7"/>
  <c r="H195" i="7"/>
  <c r="H191" i="7"/>
  <c r="H187" i="7"/>
  <c r="H183" i="7"/>
  <c r="H179" i="7"/>
  <c r="H175" i="7"/>
  <c r="H171" i="7"/>
  <c r="H167" i="7"/>
  <c r="BD167" i="7" s="1"/>
  <c r="H163" i="7"/>
  <c r="H159" i="7"/>
  <c r="H155" i="7"/>
  <c r="H151" i="7"/>
  <c r="H147" i="7"/>
  <c r="H143" i="7"/>
  <c r="H139" i="7"/>
  <c r="H135" i="7"/>
  <c r="H131" i="7"/>
  <c r="BD131" i="7" s="1"/>
  <c r="H127" i="7"/>
  <c r="H123" i="7"/>
  <c r="H119" i="7"/>
  <c r="H115" i="7"/>
  <c r="H111" i="7"/>
  <c r="H107" i="7"/>
  <c r="H103" i="7"/>
  <c r="H99" i="7"/>
  <c r="H95" i="7"/>
  <c r="H91" i="7"/>
  <c r="H87" i="7"/>
  <c r="BD87" i="7" s="1"/>
  <c r="H83" i="7"/>
  <c r="H79" i="7"/>
  <c r="H75" i="7"/>
  <c r="H71" i="7"/>
  <c r="H67" i="7"/>
  <c r="H63" i="7"/>
  <c r="H59" i="7"/>
  <c r="H55" i="7"/>
  <c r="H51" i="7"/>
  <c r="BD51" i="7" s="1"/>
  <c r="H47" i="7"/>
  <c r="BD47" i="7" s="1"/>
  <c r="H43" i="7"/>
  <c r="H39" i="7"/>
  <c r="H35" i="7"/>
  <c r="H31" i="7"/>
  <c r="H27" i="7"/>
  <c r="H23" i="7"/>
  <c r="H19" i="7"/>
  <c r="H15" i="7"/>
  <c r="H11" i="7"/>
  <c r="H7" i="7"/>
  <c r="BD7" i="7" s="1"/>
  <c r="H3" i="7"/>
  <c r="H254" i="7"/>
  <c r="H250" i="7"/>
  <c r="H246" i="7"/>
  <c r="H242" i="7"/>
  <c r="H238" i="7"/>
  <c r="H234" i="7"/>
  <c r="H230" i="7"/>
  <c r="H226" i="7"/>
  <c r="H222" i="7"/>
  <c r="H218" i="7"/>
  <c r="BD218" i="7" s="1"/>
  <c r="H214" i="7"/>
  <c r="BD214" i="7" s="1"/>
  <c r="H210" i="7"/>
  <c r="H206" i="7"/>
  <c r="H202" i="7"/>
  <c r="BD202" i="7" s="1"/>
  <c r="H198" i="7"/>
  <c r="H194" i="7"/>
  <c r="H190" i="7"/>
  <c r="H186" i="7"/>
  <c r="H182" i="7"/>
  <c r="H178" i="7"/>
  <c r="H174" i="7"/>
  <c r="H170" i="7"/>
  <c r="H166" i="7"/>
  <c r="H162" i="7"/>
  <c r="H158" i="7"/>
  <c r="H154" i="7"/>
  <c r="H150" i="7"/>
  <c r="H146" i="7"/>
  <c r="H142" i="7"/>
  <c r="H138" i="7"/>
  <c r="H134" i="7"/>
  <c r="H130" i="7"/>
  <c r="H126" i="7"/>
  <c r="H122" i="7"/>
  <c r="H118" i="7"/>
  <c r="H114" i="7"/>
  <c r="H110" i="7"/>
  <c r="H106" i="7"/>
  <c r="H102" i="7"/>
  <c r="H98" i="7"/>
  <c r="H94" i="7"/>
  <c r="H90" i="7"/>
  <c r="H86" i="7"/>
  <c r="H82" i="7"/>
  <c r="H78" i="7"/>
  <c r="H74" i="7"/>
  <c r="H70" i="7"/>
  <c r="H66" i="7"/>
  <c r="H62" i="7"/>
  <c r="H58" i="7"/>
  <c r="H54" i="7"/>
  <c r="H50" i="7"/>
  <c r="H46" i="7"/>
  <c r="BD46" i="7" s="1"/>
  <c r="H42" i="7"/>
  <c r="H38" i="7"/>
  <c r="H34" i="7"/>
  <c r="H30" i="7"/>
  <c r="H26" i="7"/>
  <c r="H22" i="7"/>
  <c r="H18" i="7"/>
  <c r="H14" i="7"/>
  <c r="H10" i="7"/>
  <c r="H6" i="7"/>
  <c r="BD6" i="7" s="1"/>
  <c r="H2" i="7"/>
  <c r="H293" i="7"/>
  <c r="H285" i="7"/>
  <c r="H281" i="7"/>
  <c r="H277" i="7"/>
  <c r="H269" i="7"/>
  <c r="H265" i="7"/>
  <c r="H261" i="7"/>
  <c r="H253" i="7"/>
  <c r="H249" i="7"/>
  <c r="H245" i="7"/>
  <c r="H237" i="7"/>
  <c r="H233" i="7"/>
  <c r="H229" i="7"/>
  <c r="H221" i="7"/>
  <c r="H217" i="7"/>
  <c r="H213" i="7"/>
  <c r="BD213" i="7" s="1"/>
  <c r="H205" i="7"/>
  <c r="H201" i="7"/>
  <c r="H197" i="7"/>
  <c r="H189" i="7"/>
  <c r="H185" i="7"/>
  <c r="H181" i="7"/>
  <c r="H173" i="7"/>
  <c r="H169" i="7"/>
  <c r="H165" i="7"/>
  <c r="H157" i="7"/>
  <c r="H153" i="7"/>
  <c r="H149" i="7"/>
  <c r="H141" i="7"/>
  <c r="H137" i="7"/>
  <c r="H133" i="7"/>
  <c r="BD133" i="7" s="1"/>
  <c r="H125" i="7"/>
  <c r="H121" i="7"/>
  <c r="H117" i="7"/>
  <c r="H109" i="7"/>
  <c r="BD109" i="7" s="1"/>
  <c r="H105" i="7"/>
  <c r="H101" i="7"/>
  <c r="H93" i="7"/>
  <c r="H89" i="7"/>
  <c r="H85" i="7"/>
  <c r="H77" i="7"/>
  <c r="H73" i="7"/>
  <c r="H69" i="7"/>
  <c r="H61" i="7"/>
  <c r="H57" i="7"/>
  <c r="BD57" i="7" s="1"/>
  <c r="H53" i="7"/>
  <c r="BD53" i="7" s="1"/>
  <c r="H45" i="7"/>
  <c r="H41" i="7"/>
  <c r="H37" i="7"/>
  <c r="H29" i="7"/>
  <c r="H25" i="7"/>
  <c r="H21" i="7"/>
  <c r="H13" i="7"/>
  <c r="H9" i="7"/>
  <c r="H5" i="7"/>
  <c r="AF431" i="7"/>
  <c r="I431" i="25" s="1"/>
  <c r="AG12" i="7"/>
  <c r="J12" i="25" s="1"/>
  <c r="AG218" i="7"/>
  <c r="J218" i="25" s="1"/>
  <c r="AG107" i="7"/>
  <c r="J107" i="25" s="1"/>
  <c r="AG263" i="7"/>
  <c r="J263" i="25" s="1"/>
  <c r="AG465" i="7"/>
  <c r="J465" i="25" s="1"/>
  <c r="AG214" i="7"/>
  <c r="J214" i="25" s="1"/>
  <c r="AG311" i="7"/>
  <c r="J311" i="25" s="1"/>
  <c r="AG294" i="7"/>
  <c r="J294" i="25" s="1"/>
  <c r="AG525" i="7"/>
  <c r="J525" i="25" s="1"/>
  <c r="AG86" i="7"/>
  <c r="J86" i="25" s="1"/>
  <c r="AG112" i="7"/>
  <c r="J112" i="25" s="1"/>
  <c r="AG173" i="7"/>
  <c r="J173" i="25" s="1"/>
  <c r="AG243" i="7"/>
  <c r="J243" i="25" s="1"/>
  <c r="AG580" i="7"/>
  <c r="J580" i="25" s="1"/>
  <c r="AG78" i="7"/>
  <c r="J78" i="25" s="1"/>
  <c r="AG524" i="7"/>
  <c r="J524" i="25" s="1"/>
  <c r="AG437" i="7"/>
  <c r="J437" i="25" s="1"/>
  <c r="AG582" i="7"/>
  <c r="J582" i="25" s="1"/>
  <c r="AG105" i="7"/>
  <c r="J105" i="25" s="1"/>
  <c r="AG514" i="7"/>
  <c r="J514" i="25" s="1"/>
  <c r="AG207" i="7"/>
  <c r="J207" i="25" s="1"/>
  <c r="AF438" i="7"/>
  <c r="I438" i="25" s="1"/>
  <c r="AG571" i="7"/>
  <c r="J571" i="25" s="1"/>
  <c r="AG136" i="7"/>
  <c r="J136" i="25" s="1"/>
  <c r="AG121" i="7"/>
  <c r="J121" i="25" s="1"/>
  <c r="AG45" i="7"/>
  <c r="J45" i="25" s="1"/>
  <c r="AG386" i="7"/>
  <c r="J386" i="25" s="1"/>
  <c r="AG575" i="7"/>
  <c r="J575" i="25" s="1"/>
  <c r="AG102" i="7"/>
  <c r="J102" i="25" s="1"/>
  <c r="AG145" i="7"/>
  <c r="J145" i="25" s="1"/>
  <c r="AG586" i="7"/>
  <c r="J586" i="25" s="1"/>
  <c r="AG581" i="7"/>
  <c r="J581" i="25" s="1"/>
  <c r="AG331" i="7"/>
  <c r="J331" i="25" s="1"/>
  <c r="AG433" i="7"/>
  <c r="J433" i="25" s="1"/>
  <c r="AG137" i="7"/>
  <c r="J137" i="25" s="1"/>
  <c r="AG399" i="7"/>
  <c r="J399" i="25" s="1"/>
  <c r="AG219" i="7"/>
  <c r="J219" i="25" s="1"/>
  <c r="AG434" i="7"/>
  <c r="J434" i="25" s="1"/>
  <c r="AG398" i="7"/>
  <c r="J398" i="25" s="1"/>
  <c r="AG300" i="7"/>
  <c r="J300" i="25" s="1"/>
  <c r="AG499" i="7"/>
  <c r="J499" i="25" s="1"/>
  <c r="AG468" i="7"/>
  <c r="J468" i="25" s="1"/>
  <c r="AG148" i="7"/>
  <c r="J148" i="25" s="1"/>
  <c r="AG346" i="7"/>
  <c r="J346" i="25" s="1"/>
  <c r="AG58" i="7"/>
  <c r="J58" i="25" s="1"/>
  <c r="AG533" i="7"/>
  <c r="J533" i="25" s="1"/>
  <c r="AG172" i="7"/>
  <c r="J172" i="25" s="1"/>
  <c r="AG453" i="7"/>
  <c r="J453" i="25" s="1"/>
  <c r="AG171" i="7"/>
  <c r="J171" i="25" s="1"/>
  <c r="AG574" i="7"/>
  <c r="J574" i="25" s="1"/>
  <c r="AG303" i="7"/>
  <c r="J303" i="25" s="1"/>
  <c r="AG255" i="7"/>
  <c r="J255" i="25" s="1"/>
  <c r="AG555" i="7"/>
  <c r="J555" i="25" s="1"/>
  <c r="AG400" i="7"/>
  <c r="J400" i="25" s="1"/>
  <c r="AG286" i="7"/>
  <c r="J286" i="25" s="1"/>
  <c r="AG295" i="7"/>
  <c r="J295" i="25" s="1"/>
  <c r="R309" i="7"/>
  <c r="T17" i="7"/>
  <c r="AI17" i="7" s="1"/>
  <c r="T315" i="7"/>
  <c r="AI315" i="7" s="1"/>
  <c r="U221" i="7"/>
  <c r="T515" i="7"/>
  <c r="AI515" i="7" s="1"/>
  <c r="T478" i="7"/>
  <c r="AI478" i="7" s="1"/>
  <c r="R25" i="7"/>
  <c r="U3" i="7"/>
  <c r="R589" i="7"/>
  <c r="U222" i="7"/>
  <c r="R47" i="7"/>
  <c r="U520" i="7"/>
  <c r="T305" i="7"/>
  <c r="AI305" i="7" s="1"/>
  <c r="T436" i="7"/>
  <c r="AI436" i="7" s="1"/>
  <c r="R200" i="7"/>
  <c r="T458" i="7"/>
  <c r="AI458" i="7" s="1"/>
  <c r="T316" i="7"/>
  <c r="AI316" i="7" s="1"/>
  <c r="U503" i="7"/>
  <c r="T388" i="7"/>
  <c r="AI388" i="7" s="1"/>
  <c r="R258" i="7"/>
  <c r="S268" i="7"/>
  <c r="T559" i="7"/>
  <c r="AI559" i="7" s="1"/>
  <c r="S159" i="7"/>
  <c r="AH159" i="7" s="1"/>
  <c r="U166" i="7"/>
  <c r="U75" i="7"/>
  <c r="U65" i="7"/>
  <c r="U187" i="7"/>
  <c r="S59" i="7"/>
  <c r="T146" i="7"/>
  <c r="AI146" i="7" s="1"/>
  <c r="R139" i="7"/>
  <c r="S151" i="7"/>
  <c r="AH151" i="7" s="1"/>
  <c r="U472" i="7"/>
  <c r="T396" i="7"/>
  <c r="AI396" i="7" s="1"/>
  <c r="S77" i="7"/>
  <c r="T568" i="7"/>
  <c r="AI568" i="7" s="1"/>
  <c r="R548" i="7"/>
  <c r="T46" i="7"/>
  <c r="AI46" i="7" s="1"/>
  <c r="T56" i="7"/>
  <c r="AI56" i="7" s="1"/>
  <c r="T382" i="7"/>
  <c r="AI382" i="7" s="1"/>
  <c r="U215" i="7"/>
  <c r="T55" i="7"/>
  <c r="AI55" i="7" s="1"/>
  <c r="U91" i="7"/>
  <c r="T560" i="7"/>
  <c r="AI560" i="7" s="1"/>
  <c r="U474" i="7"/>
  <c r="T296" i="7"/>
  <c r="AI296" i="7" s="1"/>
  <c r="U138" i="7"/>
  <c r="S412" i="7"/>
  <c r="AH412" i="7" s="1"/>
  <c r="R72" i="7"/>
  <c r="T44" i="7"/>
  <c r="AI44" i="7" s="1"/>
  <c r="S26" i="7"/>
  <c r="AH26" i="7" s="1"/>
  <c r="T184" i="7"/>
  <c r="AI184" i="7" s="1"/>
  <c r="T89" i="7"/>
  <c r="AI89" i="7" s="1"/>
  <c r="U150" i="7"/>
  <c r="S169" i="7"/>
  <c r="AH169" i="7" s="1"/>
  <c r="D543" i="7"/>
  <c r="D426" i="7"/>
  <c r="D130" i="7"/>
  <c r="D454" i="7"/>
  <c r="D7" i="7"/>
  <c r="D480" i="7"/>
  <c r="D518" i="7"/>
  <c r="D341" i="7"/>
  <c r="D28" i="7"/>
  <c r="D253" i="7"/>
  <c r="D252" i="7"/>
  <c r="D314" i="7"/>
  <c r="D583" i="7"/>
  <c r="D593" i="7"/>
  <c r="D323" i="7"/>
  <c r="D461" i="7"/>
  <c r="D590" i="7"/>
  <c r="D34" i="7"/>
  <c r="D176" i="7"/>
  <c r="D134" i="7"/>
  <c r="D70" i="7"/>
  <c r="D123" i="7"/>
  <c r="D403" i="7"/>
  <c r="D450" i="7"/>
  <c r="D505" i="7"/>
  <c r="D380" i="7"/>
  <c r="D572" i="7"/>
  <c r="D306" i="7"/>
  <c r="D297" i="7"/>
  <c r="D13" i="7"/>
  <c r="D157" i="7"/>
  <c r="D477" i="7"/>
  <c r="D387" i="7"/>
  <c r="D322" i="7"/>
  <c r="D75" i="7"/>
  <c r="D47" i="7"/>
  <c r="D520" i="7"/>
  <c r="D567" i="7"/>
  <c r="D187" i="7"/>
  <c r="D151" i="7"/>
  <c r="D472" i="7"/>
  <c r="D251" i="7"/>
  <c r="D194" i="7"/>
  <c r="D321" i="7"/>
  <c r="D39" i="7"/>
  <c r="D382" i="7"/>
  <c r="D55" i="7"/>
  <c r="D91" i="7"/>
  <c r="D296" i="7"/>
  <c r="D397" i="7"/>
  <c r="D577" i="7"/>
  <c r="D245" i="7"/>
  <c r="D307" i="7"/>
  <c r="D312" i="7"/>
  <c r="D167" i="7"/>
  <c r="D32" i="7"/>
  <c r="D155" i="7"/>
  <c r="D275" i="7"/>
  <c r="D72" i="7"/>
  <c r="D135" i="7"/>
  <c r="D333" i="7"/>
  <c r="D467" i="7"/>
  <c r="D67" i="7"/>
  <c r="D193" i="7"/>
  <c r="D492" i="7"/>
  <c r="D190" i="7"/>
  <c r="D423" i="7"/>
  <c r="D372" i="7"/>
  <c r="D31" i="7"/>
  <c r="D406" i="7"/>
  <c r="D69" i="7"/>
  <c r="D196" i="7"/>
  <c r="D210" i="7"/>
  <c r="D324" i="7"/>
  <c r="D163" i="7"/>
  <c r="D266" i="7"/>
  <c r="D89" i="7"/>
  <c r="B2" i="20"/>
  <c r="B18" i="20"/>
  <c r="B14" i="20"/>
  <c r="B10" i="20"/>
  <c r="B6" i="20"/>
  <c r="C2" i="20"/>
  <c r="C17" i="20"/>
  <c r="C13" i="20"/>
  <c r="C9" i="20"/>
  <c r="C5" i="20"/>
  <c r="D21" i="20"/>
  <c r="O21" i="20" s="1"/>
  <c r="D17" i="20"/>
  <c r="O17" i="20" s="1"/>
  <c r="D13" i="20"/>
  <c r="O13" i="20" s="1"/>
  <c r="D9" i="20"/>
  <c r="O9" i="20" s="1"/>
  <c r="D5" i="20"/>
  <c r="O5" i="20" s="1"/>
  <c r="E21" i="20"/>
  <c r="E17" i="20"/>
  <c r="E13" i="20"/>
  <c r="E9" i="20"/>
  <c r="E5" i="20"/>
  <c r="F21" i="20"/>
  <c r="F17" i="20"/>
  <c r="F13" i="20"/>
  <c r="F9" i="20"/>
  <c r="F5" i="20"/>
  <c r="I21" i="20"/>
  <c r="I17" i="20"/>
  <c r="J17" i="20" s="1"/>
  <c r="I13" i="20"/>
  <c r="J13" i="20" s="1"/>
  <c r="I9" i="20"/>
  <c r="J9" i="20" s="1"/>
  <c r="I5" i="20"/>
  <c r="J5" i="20" s="1"/>
  <c r="B21" i="20"/>
  <c r="C20" i="20"/>
  <c r="C16" i="20"/>
  <c r="C12" i="20"/>
  <c r="C8" i="20"/>
  <c r="C4" i="20"/>
  <c r="D20" i="20"/>
  <c r="O20" i="20" s="1"/>
  <c r="D16" i="20"/>
  <c r="O16" i="20" s="1"/>
  <c r="D12" i="20"/>
  <c r="O12" i="20" s="1"/>
  <c r="D8" i="20"/>
  <c r="O8" i="20" s="1"/>
  <c r="D4" i="20"/>
  <c r="O4" i="20" s="1"/>
  <c r="E20" i="20"/>
  <c r="E16" i="20"/>
  <c r="E12" i="20"/>
  <c r="E8" i="20"/>
  <c r="E4" i="20"/>
  <c r="F20" i="20"/>
  <c r="F16" i="20"/>
  <c r="F12" i="20"/>
  <c r="F8" i="20"/>
  <c r="F4" i="20"/>
  <c r="I20" i="20"/>
  <c r="J20" i="20" s="1"/>
  <c r="I16" i="20"/>
  <c r="J16" i="20" s="1"/>
  <c r="I12" i="20"/>
  <c r="J12" i="20" s="1"/>
  <c r="I8" i="20"/>
  <c r="J8" i="20" s="1"/>
  <c r="I4" i="20"/>
  <c r="J4" i="20" s="1"/>
  <c r="C19" i="20"/>
  <c r="C15" i="20"/>
  <c r="C11" i="20"/>
  <c r="C7" i="20"/>
  <c r="C3" i="20"/>
  <c r="D19" i="20"/>
  <c r="O19" i="20" s="1"/>
  <c r="D15" i="20"/>
  <c r="O15" i="20" s="1"/>
  <c r="D11" i="20"/>
  <c r="O11" i="20" s="1"/>
  <c r="D7" i="20"/>
  <c r="O7" i="20" s="1"/>
  <c r="D3" i="20"/>
  <c r="O3" i="20" s="1"/>
  <c r="E19" i="20"/>
  <c r="E15" i="20"/>
  <c r="E11" i="20"/>
  <c r="E7" i="20"/>
  <c r="E3" i="20"/>
  <c r="F19" i="20"/>
  <c r="F15" i="20"/>
  <c r="F11" i="20"/>
  <c r="F7" i="20"/>
  <c r="F3" i="20"/>
  <c r="I19" i="20"/>
  <c r="J19" i="20" s="1"/>
  <c r="I15" i="20"/>
  <c r="J15" i="20" s="1"/>
  <c r="I11" i="20"/>
  <c r="J11" i="20" s="1"/>
  <c r="I7" i="20"/>
  <c r="J7" i="20" s="1"/>
  <c r="I3" i="20"/>
  <c r="C18" i="20"/>
  <c r="C14" i="20"/>
  <c r="C10" i="20"/>
  <c r="C6" i="20"/>
  <c r="D18" i="20"/>
  <c r="D14" i="20"/>
  <c r="D10" i="20"/>
  <c r="D6" i="20"/>
  <c r="D2" i="20"/>
  <c r="E18" i="20"/>
  <c r="E14" i="20"/>
  <c r="E10" i="20"/>
  <c r="E6" i="20"/>
  <c r="E2" i="20"/>
  <c r="F18" i="20"/>
  <c r="F14" i="20"/>
  <c r="F10" i="20"/>
  <c r="X10" i="20" s="1"/>
  <c r="F6" i="20"/>
  <c r="F2" i="20"/>
  <c r="AH544" i="7"/>
  <c r="AH268" i="7"/>
  <c r="AH77" i="7"/>
  <c r="AH529" i="7"/>
  <c r="AH59" i="7"/>
  <c r="AH223" i="7"/>
  <c r="AH262" i="7"/>
  <c r="AE445" i="7"/>
  <c r="AG445" i="7"/>
  <c r="J445" i="25" s="1"/>
  <c r="AG548" i="7"/>
  <c r="J548" i="25" s="1"/>
  <c r="AF548" i="7"/>
  <c r="I548" i="25" s="1"/>
  <c r="AF263" i="7"/>
  <c r="I263" i="25" s="1"/>
  <c r="AF294" i="7"/>
  <c r="I294" i="25" s="1"/>
  <c r="AF173" i="7"/>
  <c r="I173" i="25" s="1"/>
  <c r="AF524" i="7"/>
  <c r="I524" i="25" s="1"/>
  <c r="AF514" i="7"/>
  <c r="I514" i="25" s="1"/>
  <c r="AF45" i="7"/>
  <c r="I45" i="25" s="1"/>
  <c r="AF145" i="7"/>
  <c r="I145" i="25" s="1"/>
  <c r="AF433" i="7"/>
  <c r="I433" i="25" s="1"/>
  <c r="AF434" i="7"/>
  <c r="I434" i="25" s="1"/>
  <c r="AF468" i="7"/>
  <c r="I468" i="25" s="1"/>
  <c r="AF533" i="7"/>
  <c r="I533" i="25" s="1"/>
  <c r="AF574" i="7"/>
  <c r="I574" i="25" s="1"/>
  <c r="AF400" i="7"/>
  <c r="I400" i="25" s="1"/>
  <c r="AG568" i="7"/>
  <c r="J568" i="25" s="1"/>
  <c r="AF568" i="7"/>
  <c r="I568" i="25" s="1"/>
  <c r="AG46" i="7"/>
  <c r="J46" i="25" s="1"/>
  <c r="AF46" i="7"/>
  <c r="I46" i="25" s="1"/>
  <c r="AE489" i="7"/>
  <c r="AG489" i="7"/>
  <c r="J489" i="25" s="1"/>
  <c r="AF489" i="7"/>
  <c r="I489" i="25" s="1"/>
  <c r="AG166" i="7"/>
  <c r="J166" i="25" s="1"/>
  <c r="AF166" i="7"/>
  <c r="I166" i="25" s="1"/>
  <c r="AG357" i="7"/>
  <c r="J357" i="25" s="1"/>
  <c r="AF357" i="7"/>
  <c r="I357" i="25" s="1"/>
  <c r="AE228" i="7"/>
  <c r="AG228" i="7"/>
  <c r="J228" i="25" s="1"/>
  <c r="AF228" i="7"/>
  <c r="I228" i="25" s="1"/>
  <c r="AE87" i="7"/>
  <c r="AF87" i="7"/>
  <c r="I87" i="25" s="1"/>
  <c r="AG87" i="7"/>
  <c r="J87" i="25" s="1"/>
  <c r="AC559" i="7"/>
  <c r="AG559" i="7"/>
  <c r="J559" i="25" s="1"/>
  <c r="AF559" i="7"/>
  <c r="I559" i="25" s="1"/>
  <c r="AG538" i="7"/>
  <c r="J538" i="25" s="1"/>
  <c r="AF538" i="7"/>
  <c r="I538" i="25" s="1"/>
  <c r="AE77" i="7"/>
  <c r="AG77" i="7"/>
  <c r="J77" i="25" s="1"/>
  <c r="AF77" i="7"/>
  <c r="I77" i="25" s="1"/>
  <c r="AE149" i="7"/>
  <c r="AG149" i="7"/>
  <c r="J149" i="25" s="1"/>
  <c r="AF149" i="7"/>
  <c r="I149" i="25" s="1"/>
  <c r="AG260" i="7"/>
  <c r="J260" i="25" s="1"/>
  <c r="AF260" i="7"/>
  <c r="I260" i="25" s="1"/>
  <c r="AG126" i="7"/>
  <c r="J126" i="25" s="1"/>
  <c r="AF126" i="7"/>
  <c r="I126" i="25" s="1"/>
  <c r="AE175" i="7"/>
  <c r="AG175" i="7"/>
  <c r="J175" i="25" s="1"/>
  <c r="AF175" i="7"/>
  <c r="I175" i="25" s="1"/>
  <c r="AG165" i="7"/>
  <c r="J165" i="25" s="1"/>
  <c r="AF165" i="7"/>
  <c r="I165" i="25" s="1"/>
  <c r="AE392" i="7"/>
  <c r="AG392" i="7"/>
  <c r="J392" i="25" s="1"/>
  <c r="AF392" i="7"/>
  <c r="I392" i="25" s="1"/>
  <c r="AG254" i="7"/>
  <c r="J254" i="25" s="1"/>
  <c r="AF254" i="7"/>
  <c r="I254" i="25" s="1"/>
  <c r="AE481" i="7"/>
  <c r="AG481" i="7"/>
  <c r="J481" i="25" s="1"/>
  <c r="AF481" i="7"/>
  <c r="I481" i="25" s="1"/>
  <c r="AG66" i="7"/>
  <c r="J66" i="25" s="1"/>
  <c r="AF66" i="7"/>
  <c r="I66" i="25" s="1"/>
  <c r="AE50" i="7"/>
  <c r="AG50" i="7"/>
  <c r="J50" i="25" s="1"/>
  <c r="AF50" i="7"/>
  <c r="I50" i="25" s="1"/>
  <c r="AG238" i="7"/>
  <c r="J238" i="25" s="1"/>
  <c r="AF238" i="7"/>
  <c r="I238" i="25" s="1"/>
  <c r="AE111" i="7"/>
  <c r="AG111" i="7"/>
  <c r="J111" i="25" s="1"/>
  <c r="AF111" i="7"/>
  <c r="I111" i="25" s="1"/>
  <c r="AG594" i="7"/>
  <c r="J594" i="25" s="1"/>
  <c r="AF594" i="7"/>
  <c r="I594" i="25" s="1"/>
  <c r="AE373" i="7"/>
  <c r="AG373" i="7"/>
  <c r="J373" i="25" s="1"/>
  <c r="AF373" i="7"/>
  <c r="I373" i="25" s="1"/>
  <c r="AG558" i="7"/>
  <c r="J558" i="25" s="1"/>
  <c r="AF558" i="7"/>
  <c r="I558" i="25" s="1"/>
  <c r="AE170" i="7"/>
  <c r="AG170" i="7"/>
  <c r="J170" i="25" s="1"/>
  <c r="AF170" i="7"/>
  <c r="I170" i="25" s="1"/>
  <c r="AG277" i="7"/>
  <c r="J277" i="25" s="1"/>
  <c r="AF277" i="7"/>
  <c r="I277" i="25" s="1"/>
  <c r="AE531" i="7"/>
  <c r="AG531" i="7"/>
  <c r="J531" i="25" s="1"/>
  <c r="AF531" i="7"/>
  <c r="I531" i="25" s="1"/>
  <c r="AG9" i="7"/>
  <c r="J9" i="25" s="1"/>
  <c r="AF9" i="7"/>
  <c r="I9" i="25" s="1"/>
  <c r="AE98" i="7"/>
  <c r="AG98" i="7"/>
  <c r="J98" i="25" s="1"/>
  <c r="AF98" i="7"/>
  <c r="I98" i="25" s="1"/>
  <c r="AG552" i="7"/>
  <c r="J552" i="25" s="1"/>
  <c r="AF552" i="7"/>
  <c r="I552" i="25" s="1"/>
  <c r="AE162" i="7"/>
  <c r="AG162" i="7"/>
  <c r="J162" i="25" s="1"/>
  <c r="AF162" i="7"/>
  <c r="I162" i="25" s="1"/>
  <c r="AG485" i="7"/>
  <c r="J485" i="25" s="1"/>
  <c r="AF485" i="7"/>
  <c r="I485" i="25" s="1"/>
  <c r="AE517" i="7"/>
  <c r="AG517" i="7"/>
  <c r="J517" i="25" s="1"/>
  <c r="AF517" i="7"/>
  <c r="I517" i="25" s="1"/>
  <c r="AG417" i="7"/>
  <c r="J417" i="25" s="1"/>
  <c r="AF417" i="7"/>
  <c r="I417" i="25" s="1"/>
  <c r="AE41" i="7"/>
  <c r="AG41" i="7"/>
  <c r="J41" i="25" s="1"/>
  <c r="AF41" i="7"/>
  <c r="I41" i="25" s="1"/>
  <c r="AG463" i="7"/>
  <c r="J463" i="25" s="1"/>
  <c r="AF463" i="7"/>
  <c r="I463" i="25" s="1"/>
  <c r="AE379" i="7"/>
  <c r="AG379" i="7"/>
  <c r="J379" i="25" s="1"/>
  <c r="AF379" i="7"/>
  <c r="I379" i="25" s="1"/>
  <c r="AG448" i="7"/>
  <c r="J448" i="25" s="1"/>
  <c r="AF448" i="7"/>
  <c r="I448" i="25" s="1"/>
  <c r="AE401" i="7"/>
  <c r="AG401" i="7"/>
  <c r="J401" i="25" s="1"/>
  <c r="AF401" i="7"/>
  <c r="I401" i="25" s="1"/>
  <c r="AG456" i="7"/>
  <c r="J456" i="25" s="1"/>
  <c r="AF456" i="7"/>
  <c r="I456" i="25" s="1"/>
  <c r="AE418" i="7"/>
  <c r="AG418" i="7"/>
  <c r="J418" i="25" s="1"/>
  <c r="AF418" i="7"/>
  <c r="I418" i="25" s="1"/>
  <c r="AG141" i="7"/>
  <c r="J141" i="25" s="1"/>
  <c r="AF141" i="7"/>
  <c r="I141" i="25" s="1"/>
  <c r="AE495" i="7"/>
  <c r="AG495" i="7"/>
  <c r="J495" i="25" s="1"/>
  <c r="AF495" i="7"/>
  <c r="I495" i="25" s="1"/>
  <c r="AG462" i="7"/>
  <c r="J462" i="25" s="1"/>
  <c r="AF462" i="7"/>
  <c r="I462" i="25" s="1"/>
  <c r="AE541" i="7"/>
  <c r="AG541" i="7"/>
  <c r="J541" i="25" s="1"/>
  <c r="AF541" i="7"/>
  <c r="I541" i="25" s="1"/>
  <c r="AG63" i="7"/>
  <c r="J63" i="25" s="1"/>
  <c r="AF63" i="7"/>
  <c r="I63" i="25" s="1"/>
  <c r="AE29" i="7"/>
  <c r="AG29" i="7"/>
  <c r="J29" i="25" s="1"/>
  <c r="AF29" i="7"/>
  <c r="I29" i="25" s="1"/>
  <c r="AG405" i="7"/>
  <c r="J405" i="25" s="1"/>
  <c r="AF405" i="7"/>
  <c r="I405" i="25" s="1"/>
  <c r="AE389" i="7"/>
  <c r="AG389" i="7"/>
  <c r="J389" i="25" s="1"/>
  <c r="AF389" i="7"/>
  <c r="I389" i="25" s="1"/>
  <c r="AG497" i="7"/>
  <c r="J497" i="25" s="1"/>
  <c r="AF497" i="7"/>
  <c r="I497" i="25" s="1"/>
  <c r="AE5" i="7"/>
  <c r="AG5" i="7"/>
  <c r="J5" i="25" s="1"/>
  <c r="AF5" i="7"/>
  <c r="I5" i="25" s="1"/>
  <c r="AG507" i="7"/>
  <c r="J507" i="25" s="1"/>
  <c r="AF507" i="7"/>
  <c r="I507" i="25" s="1"/>
  <c r="AE385" i="7"/>
  <c r="AG385" i="7"/>
  <c r="J385" i="25" s="1"/>
  <c r="AF385" i="7"/>
  <c r="I385" i="25" s="1"/>
  <c r="AG256" i="7"/>
  <c r="J256" i="25" s="1"/>
  <c r="AF256" i="7"/>
  <c r="I256" i="25" s="1"/>
  <c r="AE177" i="7"/>
  <c r="AG177" i="7"/>
  <c r="J177" i="25" s="1"/>
  <c r="AF177" i="7"/>
  <c r="I177" i="25" s="1"/>
  <c r="AG358" i="7"/>
  <c r="J358" i="25" s="1"/>
  <c r="AF358" i="7"/>
  <c r="I358" i="25" s="1"/>
  <c r="AE578" i="7"/>
  <c r="AG578" i="7"/>
  <c r="J578" i="25" s="1"/>
  <c r="AF578" i="7"/>
  <c r="I578" i="25" s="1"/>
  <c r="AG97" i="7"/>
  <c r="J97" i="25" s="1"/>
  <c r="AF97" i="7"/>
  <c r="I97" i="25" s="1"/>
  <c r="AE298" i="7"/>
  <c r="AG298" i="7"/>
  <c r="J298" i="25" s="1"/>
  <c r="AF298" i="7"/>
  <c r="I298" i="25" s="1"/>
  <c r="AG326" i="7"/>
  <c r="J326" i="25" s="1"/>
  <c r="AF326" i="7"/>
  <c r="I326" i="25" s="1"/>
  <c r="AE355" i="7"/>
  <c r="AG355" i="7"/>
  <c r="J355" i="25" s="1"/>
  <c r="AF355" i="7"/>
  <c r="I355" i="25" s="1"/>
  <c r="AG561" i="7"/>
  <c r="J561" i="25" s="1"/>
  <c r="AF561" i="7"/>
  <c r="I561" i="25" s="1"/>
  <c r="AE359" i="7"/>
  <c r="AG359" i="7"/>
  <c r="J359" i="25" s="1"/>
  <c r="AF359" i="7"/>
  <c r="I359" i="25" s="1"/>
  <c r="AG236" i="7"/>
  <c r="J236" i="25" s="1"/>
  <c r="AF236" i="7"/>
  <c r="I236" i="25" s="1"/>
  <c r="AE529" i="7"/>
  <c r="AG529" i="7"/>
  <c r="J529" i="25" s="1"/>
  <c r="AF529" i="7"/>
  <c r="I529" i="25" s="1"/>
  <c r="AG369" i="7"/>
  <c r="J369" i="25" s="1"/>
  <c r="AF369" i="7"/>
  <c r="I369" i="25" s="1"/>
  <c r="AE469" i="7"/>
  <c r="AG469" i="7"/>
  <c r="J469" i="25" s="1"/>
  <c r="AF469" i="7"/>
  <c r="I469" i="25" s="1"/>
  <c r="AG132" i="7"/>
  <c r="J132" i="25" s="1"/>
  <c r="AF132" i="7"/>
  <c r="I132" i="25" s="1"/>
  <c r="AE488" i="7"/>
  <c r="AG488" i="7"/>
  <c r="J488" i="25" s="1"/>
  <c r="AF488" i="7"/>
  <c r="I488" i="25" s="1"/>
  <c r="AG556" i="7"/>
  <c r="J556" i="25" s="1"/>
  <c r="AF556" i="7"/>
  <c r="I556" i="25" s="1"/>
  <c r="AE74" i="7"/>
  <c r="AG74" i="7"/>
  <c r="J74" i="25" s="1"/>
  <c r="AF74" i="7"/>
  <c r="I74" i="25" s="1"/>
  <c r="AG37" i="7"/>
  <c r="J37" i="25" s="1"/>
  <c r="AF37" i="7"/>
  <c r="I37" i="25" s="1"/>
  <c r="AE411" i="7"/>
  <c r="AG411" i="7"/>
  <c r="J411" i="25" s="1"/>
  <c r="AF411" i="7"/>
  <c r="I411" i="25" s="1"/>
  <c r="AG475" i="7"/>
  <c r="J475" i="25" s="1"/>
  <c r="AF475" i="7"/>
  <c r="I475" i="25" s="1"/>
  <c r="AE344" i="7"/>
  <c r="AG344" i="7"/>
  <c r="J344" i="25" s="1"/>
  <c r="AF344" i="7"/>
  <c r="I344" i="25" s="1"/>
  <c r="AG180" i="7"/>
  <c r="J180" i="25" s="1"/>
  <c r="AF180" i="7"/>
  <c r="I180" i="25" s="1"/>
  <c r="AE90" i="7"/>
  <c r="AG90" i="7"/>
  <c r="J90" i="25" s="1"/>
  <c r="AF90" i="7"/>
  <c r="I90" i="25" s="1"/>
  <c r="AG452" i="7"/>
  <c r="J452" i="25" s="1"/>
  <c r="AF452" i="7"/>
  <c r="I452" i="25" s="1"/>
  <c r="AE174" i="7"/>
  <c r="AG174" i="7"/>
  <c r="J174" i="25" s="1"/>
  <c r="AF174" i="7"/>
  <c r="I174" i="25" s="1"/>
  <c r="AG101" i="7"/>
  <c r="J101" i="25" s="1"/>
  <c r="AF101" i="7"/>
  <c r="I101" i="25" s="1"/>
  <c r="AE374" i="7"/>
  <c r="AG374" i="7"/>
  <c r="J374" i="25" s="1"/>
  <c r="AF374" i="7"/>
  <c r="I374" i="25" s="1"/>
  <c r="AG317" i="7"/>
  <c r="J317" i="25" s="1"/>
  <c r="AF317" i="7"/>
  <c r="I317" i="25" s="1"/>
  <c r="AE470" i="7"/>
  <c r="AG470" i="7"/>
  <c r="J470" i="25" s="1"/>
  <c r="AF470" i="7"/>
  <c r="I470" i="25" s="1"/>
  <c r="AG226" i="7"/>
  <c r="J226" i="25" s="1"/>
  <c r="AF226" i="7"/>
  <c r="I226" i="25" s="1"/>
  <c r="AE290" i="7"/>
  <c r="AG290" i="7"/>
  <c r="J290" i="25" s="1"/>
  <c r="AF290" i="7"/>
  <c r="I290" i="25" s="1"/>
  <c r="AG476" i="7"/>
  <c r="J476" i="25" s="1"/>
  <c r="AF476" i="7"/>
  <c r="I476" i="25" s="1"/>
  <c r="E459" i="7"/>
  <c r="D459" i="25" s="1"/>
  <c r="AG459" i="7"/>
  <c r="J459" i="25" s="1"/>
  <c r="AF459" i="7"/>
  <c r="I459" i="25" s="1"/>
  <c r="E335" i="7"/>
  <c r="AG335" i="7"/>
  <c r="J335" i="25" s="1"/>
  <c r="AF335" i="7"/>
  <c r="I335" i="25" s="1"/>
  <c r="AG543" i="7"/>
  <c r="J543" i="25" s="1"/>
  <c r="AF543" i="7"/>
  <c r="I543" i="25" s="1"/>
  <c r="AG367" i="7"/>
  <c r="J367" i="25" s="1"/>
  <c r="AF367" i="7"/>
  <c r="I367" i="25" s="1"/>
  <c r="AG426" i="7"/>
  <c r="J426" i="25" s="1"/>
  <c r="AF426" i="7"/>
  <c r="I426" i="25" s="1"/>
  <c r="AG239" i="7"/>
  <c r="J239" i="25" s="1"/>
  <c r="AF239" i="7"/>
  <c r="I239" i="25" s="1"/>
  <c r="AG130" i="7"/>
  <c r="J130" i="25" s="1"/>
  <c r="AF130" i="7"/>
  <c r="I130" i="25" s="1"/>
  <c r="AF428" i="7"/>
  <c r="I428" i="25" s="1"/>
  <c r="AG428" i="7"/>
  <c r="J428" i="25" s="1"/>
  <c r="AG454" i="7"/>
  <c r="J454" i="25" s="1"/>
  <c r="AF454" i="7"/>
  <c r="I454" i="25" s="1"/>
  <c r="AG128" i="7"/>
  <c r="J128" i="25" s="1"/>
  <c r="AF128" i="7"/>
  <c r="I128" i="25" s="1"/>
  <c r="AF7" i="7"/>
  <c r="I7" i="25" s="1"/>
  <c r="AG7" i="7"/>
  <c r="J7" i="25" s="1"/>
  <c r="AG108" i="7"/>
  <c r="J108" i="25" s="1"/>
  <c r="AF108" i="7"/>
  <c r="I108" i="25" s="1"/>
  <c r="AG480" i="7"/>
  <c r="J480" i="25" s="1"/>
  <c r="AF480" i="7"/>
  <c r="I480" i="25" s="1"/>
  <c r="AG584" i="7"/>
  <c r="J584" i="25" s="1"/>
  <c r="AF584" i="7"/>
  <c r="I584" i="25" s="1"/>
  <c r="AF518" i="7"/>
  <c r="I518" i="25" s="1"/>
  <c r="AG518" i="7"/>
  <c r="J518" i="25" s="1"/>
  <c r="AG573" i="7"/>
  <c r="J573" i="25" s="1"/>
  <c r="AF573" i="7"/>
  <c r="I573" i="25" s="1"/>
  <c r="AG341" i="7"/>
  <c r="J341" i="25" s="1"/>
  <c r="AF341" i="7"/>
  <c r="I341" i="25" s="1"/>
  <c r="AG106" i="7"/>
  <c r="J106" i="25" s="1"/>
  <c r="AF106" i="7"/>
  <c r="I106" i="25" s="1"/>
  <c r="AF28" i="7"/>
  <c r="I28" i="25" s="1"/>
  <c r="AG28" i="7"/>
  <c r="J28" i="25" s="1"/>
  <c r="AG352" i="7"/>
  <c r="J352" i="25" s="1"/>
  <c r="AF352" i="7"/>
  <c r="I352" i="25" s="1"/>
  <c r="AG253" i="7"/>
  <c r="J253" i="25" s="1"/>
  <c r="AF253" i="7"/>
  <c r="I253" i="25" s="1"/>
  <c r="AG231" i="7"/>
  <c r="J231" i="25" s="1"/>
  <c r="AF231" i="7"/>
  <c r="I231" i="25" s="1"/>
  <c r="AF252" i="7"/>
  <c r="I252" i="25" s="1"/>
  <c r="AG252" i="7"/>
  <c r="J252" i="25" s="1"/>
  <c r="AG549" i="7"/>
  <c r="J549" i="25" s="1"/>
  <c r="AF549" i="7"/>
  <c r="I549" i="25" s="1"/>
  <c r="AE314" i="7"/>
  <c r="AG314" i="7"/>
  <c r="J314" i="25" s="1"/>
  <c r="AF314" i="7"/>
  <c r="I314" i="25" s="1"/>
  <c r="AE430" i="7"/>
  <c r="AG430" i="7"/>
  <c r="J430" i="25" s="1"/>
  <c r="AF430" i="7"/>
  <c r="I430" i="25" s="1"/>
  <c r="AE583" i="7"/>
  <c r="AF583" i="7"/>
  <c r="I583" i="25" s="1"/>
  <c r="AG583" i="7"/>
  <c r="J583" i="25" s="1"/>
  <c r="AE140" i="7"/>
  <c r="AG140" i="7"/>
  <c r="J140" i="25" s="1"/>
  <c r="AF140" i="7"/>
  <c r="I140" i="25" s="1"/>
  <c r="AE593" i="7"/>
  <c r="AG593" i="7"/>
  <c r="J593" i="25" s="1"/>
  <c r="AF593" i="7"/>
  <c r="I593" i="25" s="1"/>
  <c r="AE261" i="7"/>
  <c r="AG261" i="7"/>
  <c r="J261" i="25" s="1"/>
  <c r="AF261" i="7"/>
  <c r="I261" i="25" s="1"/>
  <c r="AE323" i="7"/>
  <c r="AF323" i="7"/>
  <c r="I323" i="25" s="1"/>
  <c r="AG323" i="7"/>
  <c r="J323" i="25" s="1"/>
  <c r="AE404" i="7"/>
  <c r="AG404" i="7"/>
  <c r="J404" i="25" s="1"/>
  <c r="AF404" i="7"/>
  <c r="I404" i="25" s="1"/>
  <c r="AE461" i="7"/>
  <c r="AG461" i="7"/>
  <c r="J461" i="25" s="1"/>
  <c r="AF461" i="7"/>
  <c r="I461" i="25" s="1"/>
  <c r="AE553" i="7"/>
  <c r="AG553" i="7"/>
  <c r="J553" i="25" s="1"/>
  <c r="AF553" i="7"/>
  <c r="I553" i="25" s="1"/>
  <c r="AE590" i="7"/>
  <c r="AF590" i="7"/>
  <c r="I590" i="25" s="1"/>
  <c r="AG590" i="7"/>
  <c r="J590" i="25" s="1"/>
  <c r="AE547" i="7"/>
  <c r="AG547" i="7"/>
  <c r="J547" i="25" s="1"/>
  <c r="AF547" i="7"/>
  <c r="I547" i="25" s="1"/>
  <c r="AE34" i="7"/>
  <c r="AG34" i="7"/>
  <c r="J34" i="25" s="1"/>
  <c r="AF34" i="7"/>
  <c r="I34" i="25" s="1"/>
  <c r="AE84" i="7"/>
  <c r="AG84" i="7"/>
  <c r="J84" i="25" s="1"/>
  <c r="AF84" i="7"/>
  <c r="I84" i="25" s="1"/>
  <c r="AE176" i="7"/>
  <c r="AF176" i="7"/>
  <c r="I176" i="25" s="1"/>
  <c r="AG176" i="7"/>
  <c r="J176" i="25" s="1"/>
  <c r="AE232" i="7"/>
  <c r="AG232" i="7"/>
  <c r="J232" i="25" s="1"/>
  <c r="AF232" i="7"/>
  <c r="I232" i="25" s="1"/>
  <c r="AE134" i="7"/>
  <c r="AG134" i="7"/>
  <c r="J134" i="25" s="1"/>
  <c r="AF134" i="7"/>
  <c r="I134" i="25" s="1"/>
  <c r="AE71" i="7"/>
  <c r="AG71" i="7"/>
  <c r="J71" i="25" s="1"/>
  <c r="AF71" i="7"/>
  <c r="I71" i="25" s="1"/>
  <c r="AE70" i="7"/>
  <c r="AG70" i="7"/>
  <c r="J70" i="25" s="1"/>
  <c r="AF70" i="7"/>
  <c r="I70" i="25" s="1"/>
  <c r="AE416" i="7"/>
  <c r="AG416" i="7"/>
  <c r="J416" i="25" s="1"/>
  <c r="AF416" i="7"/>
  <c r="I416" i="25" s="1"/>
  <c r="AE123" i="7"/>
  <c r="AG123" i="7"/>
  <c r="J123" i="25" s="1"/>
  <c r="AF123" i="7"/>
  <c r="I123" i="25" s="1"/>
  <c r="AE150" i="7"/>
  <c r="AG150" i="7"/>
  <c r="J150" i="25" s="1"/>
  <c r="AF150" i="7"/>
  <c r="I150" i="25" s="1"/>
  <c r="AE403" i="7"/>
  <c r="AG403" i="7"/>
  <c r="J403" i="25" s="1"/>
  <c r="AF403" i="7"/>
  <c r="I403" i="25" s="1"/>
  <c r="AE192" i="7"/>
  <c r="AG192" i="7"/>
  <c r="J192" i="25" s="1"/>
  <c r="AF192" i="7"/>
  <c r="I192" i="25" s="1"/>
  <c r="AE450" i="7"/>
  <c r="AG450" i="7"/>
  <c r="J450" i="25" s="1"/>
  <c r="AF450" i="7"/>
  <c r="I450" i="25" s="1"/>
  <c r="AE168" i="7"/>
  <c r="AG168" i="7"/>
  <c r="J168" i="25" s="1"/>
  <c r="AF168" i="7"/>
  <c r="I168" i="25" s="1"/>
  <c r="AE505" i="7"/>
  <c r="AG505" i="7"/>
  <c r="J505" i="25" s="1"/>
  <c r="AF505" i="7"/>
  <c r="I505" i="25" s="1"/>
  <c r="AE380" i="7"/>
  <c r="AG380" i="7"/>
  <c r="J380" i="25" s="1"/>
  <c r="AF380" i="7"/>
  <c r="I380" i="25" s="1"/>
  <c r="AE572" i="7"/>
  <c r="AG572" i="7"/>
  <c r="J572" i="25" s="1"/>
  <c r="AF572" i="7"/>
  <c r="I572" i="25" s="1"/>
  <c r="AE306" i="7"/>
  <c r="AG306" i="7"/>
  <c r="J306" i="25" s="1"/>
  <c r="AF306" i="7"/>
  <c r="I306" i="25" s="1"/>
  <c r="AE297" i="7"/>
  <c r="AG297" i="7"/>
  <c r="J297" i="25" s="1"/>
  <c r="AF297" i="7"/>
  <c r="I297" i="25" s="1"/>
  <c r="AE13" i="7"/>
  <c r="AG13" i="7"/>
  <c r="J13" i="25" s="1"/>
  <c r="AF13" i="7"/>
  <c r="I13" i="25" s="1"/>
  <c r="AE157" i="7"/>
  <c r="AG157" i="7"/>
  <c r="J157" i="25" s="1"/>
  <c r="AF157" i="7"/>
  <c r="I157" i="25" s="1"/>
  <c r="AE477" i="7"/>
  <c r="AG477" i="7"/>
  <c r="J477" i="25" s="1"/>
  <c r="AF477" i="7"/>
  <c r="I477" i="25" s="1"/>
  <c r="AE387" i="7"/>
  <c r="AG387" i="7"/>
  <c r="J387" i="25" s="1"/>
  <c r="AF387" i="7"/>
  <c r="I387" i="25" s="1"/>
  <c r="AE322" i="7"/>
  <c r="AG322" i="7"/>
  <c r="J322" i="25" s="1"/>
  <c r="AF322" i="7"/>
  <c r="I322" i="25" s="1"/>
  <c r="AE75" i="7"/>
  <c r="AG75" i="7"/>
  <c r="J75" i="25" s="1"/>
  <c r="AF75" i="7"/>
  <c r="I75" i="25" s="1"/>
  <c r="AE47" i="7"/>
  <c r="AG47" i="7"/>
  <c r="J47" i="25" s="1"/>
  <c r="AF47" i="7"/>
  <c r="I47" i="25" s="1"/>
  <c r="AE520" i="7"/>
  <c r="AG520" i="7"/>
  <c r="J520" i="25" s="1"/>
  <c r="AF520" i="7"/>
  <c r="I520" i="25" s="1"/>
  <c r="AE567" i="7"/>
  <c r="AG567" i="7"/>
  <c r="J567" i="25" s="1"/>
  <c r="AF567" i="7"/>
  <c r="I567" i="25" s="1"/>
  <c r="AF12" i="7"/>
  <c r="I12" i="25" s="1"/>
  <c r="AF465" i="7"/>
  <c r="I465" i="25" s="1"/>
  <c r="AF525" i="7"/>
  <c r="I525" i="25" s="1"/>
  <c r="AF243" i="7"/>
  <c r="I243" i="25" s="1"/>
  <c r="AF437" i="7"/>
  <c r="I437" i="25" s="1"/>
  <c r="AF207" i="7"/>
  <c r="I207" i="25" s="1"/>
  <c r="AF571" i="7"/>
  <c r="I571" i="25" s="1"/>
  <c r="AF386" i="7"/>
  <c r="I386" i="25" s="1"/>
  <c r="AF586" i="7"/>
  <c r="I586" i="25" s="1"/>
  <c r="AF137" i="7"/>
  <c r="I137" i="25" s="1"/>
  <c r="AF398" i="7"/>
  <c r="I398" i="25" s="1"/>
  <c r="AF148" i="7"/>
  <c r="I148" i="25" s="1"/>
  <c r="AF172" i="7"/>
  <c r="I172" i="25" s="1"/>
  <c r="AF303" i="7"/>
  <c r="I303" i="25" s="1"/>
  <c r="AF286" i="7"/>
  <c r="I286" i="25" s="1"/>
  <c r="AG407" i="7"/>
  <c r="J407" i="25" s="1"/>
  <c r="AF407" i="7"/>
  <c r="I407" i="25" s="1"/>
  <c r="AG251" i="7"/>
  <c r="J251" i="25" s="1"/>
  <c r="AF251" i="7"/>
  <c r="I251" i="25" s="1"/>
  <c r="AG233" i="7"/>
  <c r="J233" i="25" s="1"/>
  <c r="AF233" i="7"/>
  <c r="I233" i="25" s="1"/>
  <c r="AG133" i="7"/>
  <c r="J133" i="25" s="1"/>
  <c r="AF133" i="7"/>
  <c r="I133" i="25" s="1"/>
  <c r="AG396" i="7"/>
  <c r="J396" i="25" s="1"/>
  <c r="AF396" i="7"/>
  <c r="I396" i="25" s="1"/>
  <c r="AG191" i="7"/>
  <c r="J191" i="25" s="1"/>
  <c r="AF191" i="7"/>
  <c r="I191" i="25" s="1"/>
  <c r="AG487" i="7"/>
  <c r="J487" i="25" s="1"/>
  <c r="AF487" i="7"/>
  <c r="I487" i="25" s="1"/>
  <c r="AG278" i="7"/>
  <c r="J278" i="25" s="1"/>
  <c r="AF278" i="7"/>
  <c r="I278" i="25" s="1"/>
  <c r="AG511" i="7"/>
  <c r="J511" i="25" s="1"/>
  <c r="AF511" i="7"/>
  <c r="I511" i="25" s="1"/>
  <c r="AG494" i="7"/>
  <c r="J494" i="25" s="1"/>
  <c r="AF494" i="7"/>
  <c r="I494" i="25" s="1"/>
  <c r="AG73" i="7"/>
  <c r="J73" i="25" s="1"/>
  <c r="AF73" i="7"/>
  <c r="I73" i="25" s="1"/>
  <c r="AG116" i="7"/>
  <c r="J116" i="25" s="1"/>
  <c r="AF116" i="7"/>
  <c r="I116" i="25" s="1"/>
  <c r="AG534" i="7"/>
  <c r="J534" i="25" s="1"/>
  <c r="AF534" i="7"/>
  <c r="I534" i="25" s="1"/>
  <c r="AG350" i="7"/>
  <c r="J350" i="25" s="1"/>
  <c r="AF350" i="7"/>
  <c r="I350" i="25" s="1"/>
  <c r="AG509" i="7"/>
  <c r="J509" i="25" s="1"/>
  <c r="AF509" i="7"/>
  <c r="I509" i="25" s="1"/>
  <c r="AG490" i="7"/>
  <c r="J490" i="25" s="1"/>
  <c r="AF490" i="7"/>
  <c r="I490" i="25" s="1"/>
  <c r="AG147" i="7"/>
  <c r="J147" i="25" s="1"/>
  <c r="AF147" i="7"/>
  <c r="I147" i="25" s="1"/>
  <c r="AG249" i="7"/>
  <c r="J249" i="25" s="1"/>
  <c r="AF249" i="7"/>
  <c r="I249" i="25" s="1"/>
  <c r="AG409" i="7"/>
  <c r="J409" i="25" s="1"/>
  <c r="AF409" i="7"/>
  <c r="I409" i="25" s="1"/>
  <c r="AG424" i="7"/>
  <c r="J424" i="25" s="1"/>
  <c r="AF424" i="7"/>
  <c r="I424" i="25" s="1"/>
  <c r="AG257" i="7"/>
  <c r="J257" i="25" s="1"/>
  <c r="AF257" i="7"/>
  <c r="I257" i="25" s="1"/>
  <c r="AG93" i="7"/>
  <c r="J93" i="25" s="1"/>
  <c r="AF93" i="7"/>
  <c r="I93" i="25" s="1"/>
  <c r="AG51" i="7"/>
  <c r="J51" i="25" s="1"/>
  <c r="AF51" i="7"/>
  <c r="I51" i="25" s="1"/>
  <c r="AG393" i="7"/>
  <c r="J393" i="25" s="1"/>
  <c r="AF393" i="7"/>
  <c r="I393" i="25" s="1"/>
  <c r="AG501" i="7"/>
  <c r="J501" i="25" s="1"/>
  <c r="AF501" i="7"/>
  <c r="I501" i="25" s="1"/>
  <c r="AG565" i="7"/>
  <c r="J565" i="25" s="1"/>
  <c r="AF565" i="7"/>
  <c r="I565" i="25" s="1"/>
  <c r="AG537" i="7"/>
  <c r="J537" i="25" s="1"/>
  <c r="AF537" i="7"/>
  <c r="I537" i="25" s="1"/>
  <c r="AG225" i="7"/>
  <c r="J225" i="25" s="1"/>
  <c r="AF225" i="7"/>
  <c r="I225" i="25" s="1"/>
  <c r="AG197" i="7"/>
  <c r="J197" i="25" s="1"/>
  <c r="AF197" i="7"/>
  <c r="I197" i="25" s="1"/>
  <c r="AG100" i="7"/>
  <c r="J100" i="25" s="1"/>
  <c r="AF100" i="7"/>
  <c r="I100" i="25" s="1"/>
  <c r="AG351" i="7"/>
  <c r="J351" i="25" s="1"/>
  <c r="AF351" i="7"/>
  <c r="I351" i="25" s="1"/>
  <c r="AG154" i="7"/>
  <c r="J154" i="25" s="1"/>
  <c r="AF154" i="7"/>
  <c r="I154" i="25" s="1"/>
  <c r="AG457" i="7"/>
  <c r="J457" i="25" s="1"/>
  <c r="AF457" i="7"/>
  <c r="I457" i="25" s="1"/>
  <c r="AG375" i="7"/>
  <c r="J375" i="25" s="1"/>
  <c r="AF375" i="7"/>
  <c r="I375" i="25" s="1"/>
  <c r="AG545" i="7"/>
  <c r="J545" i="25" s="1"/>
  <c r="AF545" i="7"/>
  <c r="I545" i="25" s="1"/>
  <c r="AG587" i="7"/>
  <c r="J587" i="25" s="1"/>
  <c r="AF587" i="7"/>
  <c r="I587" i="25" s="1"/>
  <c r="AG160" i="7"/>
  <c r="J160" i="25" s="1"/>
  <c r="AF160" i="7"/>
  <c r="I160" i="25" s="1"/>
  <c r="AG262" i="7"/>
  <c r="J262" i="25" s="1"/>
  <c r="AF262" i="7"/>
  <c r="I262" i="25" s="1"/>
  <c r="AG391" i="7"/>
  <c r="J391" i="25" s="1"/>
  <c r="AF391" i="7"/>
  <c r="I391" i="25" s="1"/>
  <c r="AG337" i="7"/>
  <c r="J337" i="25" s="1"/>
  <c r="AF337" i="7"/>
  <c r="I337" i="25" s="1"/>
  <c r="AG325" i="7"/>
  <c r="J325" i="25" s="1"/>
  <c r="AF325" i="7"/>
  <c r="I325" i="25" s="1"/>
  <c r="AG213" i="7"/>
  <c r="J213" i="25" s="1"/>
  <c r="AF213" i="7"/>
  <c r="I213" i="25" s="1"/>
  <c r="AG348" i="7"/>
  <c r="J348" i="25" s="1"/>
  <c r="AF348" i="7"/>
  <c r="I348" i="25" s="1"/>
  <c r="AG27" i="7"/>
  <c r="J27" i="25" s="1"/>
  <c r="AF27" i="7"/>
  <c r="I27" i="25" s="1"/>
  <c r="AG415" i="7"/>
  <c r="J415" i="25" s="1"/>
  <c r="AF415" i="7"/>
  <c r="I415" i="25" s="1"/>
  <c r="AG15" i="7"/>
  <c r="J15" i="25" s="1"/>
  <c r="AF15" i="7"/>
  <c r="I15" i="25" s="1"/>
  <c r="AG502" i="7"/>
  <c r="J502" i="25" s="1"/>
  <c r="AF502" i="7"/>
  <c r="I502" i="25" s="1"/>
  <c r="AG338" i="7"/>
  <c r="J338" i="25" s="1"/>
  <c r="AF338" i="7"/>
  <c r="I338" i="25" s="1"/>
  <c r="AG410" i="7"/>
  <c r="J410" i="25" s="1"/>
  <c r="AF410" i="7"/>
  <c r="I410" i="25" s="1"/>
  <c r="AG327" i="7"/>
  <c r="J327" i="25" s="1"/>
  <c r="AF327" i="7"/>
  <c r="I327" i="25" s="1"/>
  <c r="AG57" i="7"/>
  <c r="J57" i="25" s="1"/>
  <c r="AF57" i="7"/>
  <c r="I57" i="25" s="1"/>
  <c r="AG289" i="7"/>
  <c r="J289" i="25" s="1"/>
  <c r="AF289" i="7"/>
  <c r="I289" i="25" s="1"/>
  <c r="AG523" i="7"/>
  <c r="J523" i="25" s="1"/>
  <c r="AF523" i="7"/>
  <c r="I523" i="25" s="1"/>
  <c r="AG562" i="7"/>
  <c r="J562" i="25" s="1"/>
  <c r="AF562" i="7"/>
  <c r="I562" i="25" s="1"/>
  <c r="AG395" i="7"/>
  <c r="J395" i="25" s="1"/>
  <c r="AF395" i="7"/>
  <c r="I395" i="25" s="1"/>
  <c r="AG181" i="7"/>
  <c r="J181" i="25" s="1"/>
  <c r="AF181" i="7"/>
  <c r="I181" i="25" s="1"/>
  <c r="AG460" i="7"/>
  <c r="J460" i="25" s="1"/>
  <c r="AF460" i="7"/>
  <c r="I460" i="25" s="1"/>
  <c r="AG291" i="7"/>
  <c r="J291" i="25" s="1"/>
  <c r="AF291" i="7"/>
  <c r="I291" i="25" s="1"/>
  <c r="AG342" i="7"/>
  <c r="J342" i="25" s="1"/>
  <c r="AF342" i="7"/>
  <c r="I342" i="25" s="1"/>
  <c r="AC431" i="7"/>
  <c r="AG431" i="7"/>
  <c r="J431" i="25" s="1"/>
  <c r="AE299" i="7"/>
  <c r="AG299" i="7"/>
  <c r="J299" i="25" s="1"/>
  <c r="AE438" i="7"/>
  <c r="AG438" i="7"/>
  <c r="J438" i="25" s="1"/>
  <c r="AG378" i="7"/>
  <c r="J378" i="25" s="1"/>
  <c r="AF378" i="7"/>
  <c r="I378" i="25" s="1"/>
  <c r="AG280" i="7"/>
  <c r="J280" i="25" s="1"/>
  <c r="AF280" i="7"/>
  <c r="I280" i="25" s="1"/>
  <c r="AD56" i="7"/>
  <c r="Q56" i="25" s="1"/>
  <c r="AG56" i="7"/>
  <c r="J56" i="25" s="1"/>
  <c r="AF56" i="7"/>
  <c r="I56" i="25" s="1"/>
  <c r="AG340" i="7"/>
  <c r="J340" i="25" s="1"/>
  <c r="AF340" i="7"/>
  <c r="I340" i="25" s="1"/>
  <c r="AE382" i="7"/>
  <c r="AG382" i="7"/>
  <c r="J382" i="25" s="1"/>
  <c r="AF382" i="7"/>
  <c r="I382" i="25" s="1"/>
  <c r="AG215" i="7"/>
  <c r="J215" i="25" s="1"/>
  <c r="AF215" i="7"/>
  <c r="I215" i="25" s="1"/>
  <c r="AD55" i="7"/>
  <c r="Q55" i="25" s="1"/>
  <c r="AG55" i="7"/>
  <c r="J55" i="25" s="1"/>
  <c r="AF55" i="7"/>
  <c r="I55" i="25" s="1"/>
  <c r="AD91" i="7"/>
  <c r="Q91" i="25" s="1"/>
  <c r="AG91" i="7"/>
  <c r="J91" i="25" s="1"/>
  <c r="AF91" i="7"/>
  <c r="I91" i="25" s="1"/>
  <c r="AE560" i="7"/>
  <c r="AG560" i="7"/>
  <c r="J560" i="25" s="1"/>
  <c r="AF560" i="7"/>
  <c r="I560" i="25" s="1"/>
  <c r="AG474" i="7"/>
  <c r="J474" i="25" s="1"/>
  <c r="AF474" i="7"/>
  <c r="I474" i="25" s="1"/>
  <c r="AD296" i="7"/>
  <c r="Q296" i="25" s="1"/>
  <c r="AG296" i="7"/>
  <c r="J296" i="25" s="1"/>
  <c r="AF296" i="7"/>
  <c r="I296" i="25" s="1"/>
  <c r="AD138" i="7"/>
  <c r="AG138" i="7"/>
  <c r="J138" i="25" s="1"/>
  <c r="AF138" i="7"/>
  <c r="I138" i="25" s="1"/>
  <c r="AG221" i="7"/>
  <c r="J221" i="25" s="1"/>
  <c r="AF221" i="7"/>
  <c r="I221" i="25" s="1"/>
  <c r="AG412" i="7"/>
  <c r="J412" i="25" s="1"/>
  <c r="AF412" i="7"/>
  <c r="I412" i="25" s="1"/>
  <c r="AD397" i="7"/>
  <c r="Q397" i="25" s="1"/>
  <c r="AG397" i="7"/>
  <c r="J397" i="25" s="1"/>
  <c r="AF397" i="7"/>
  <c r="I397" i="25" s="1"/>
  <c r="AD439" i="7"/>
  <c r="Q439" i="25" s="1"/>
  <c r="AG439" i="7"/>
  <c r="J439" i="25" s="1"/>
  <c r="AF439" i="7"/>
  <c r="I439" i="25" s="1"/>
  <c r="AG365" i="7"/>
  <c r="J365" i="25" s="1"/>
  <c r="AF365" i="7"/>
  <c r="I365" i="25" s="1"/>
  <c r="AG383" i="7"/>
  <c r="J383" i="25" s="1"/>
  <c r="AF383" i="7"/>
  <c r="I383" i="25" s="1"/>
  <c r="AD237" i="7"/>
  <c r="Q237" i="25" s="1"/>
  <c r="AG237" i="7"/>
  <c r="J237" i="25" s="1"/>
  <c r="AF237" i="7"/>
  <c r="I237" i="25" s="1"/>
  <c r="AD577" i="7"/>
  <c r="Q577" i="25" s="1"/>
  <c r="AG577" i="7"/>
  <c r="J577" i="25" s="1"/>
  <c r="AF577" i="7"/>
  <c r="I577" i="25" s="1"/>
  <c r="AG43" i="7"/>
  <c r="J43" i="25" s="1"/>
  <c r="AF43" i="7"/>
  <c r="I43" i="25" s="1"/>
  <c r="AG530" i="7"/>
  <c r="J530" i="25" s="1"/>
  <c r="AF530" i="7"/>
  <c r="I530" i="25" s="1"/>
  <c r="AD245" i="7"/>
  <c r="AG245" i="7"/>
  <c r="J245" i="25" s="1"/>
  <c r="AF245" i="7"/>
  <c r="I245" i="25" s="1"/>
  <c r="AD307" i="7"/>
  <c r="Q307" i="25" s="1"/>
  <c r="AG307" i="7"/>
  <c r="J307" i="25" s="1"/>
  <c r="AF307" i="7"/>
  <c r="I307" i="25" s="1"/>
  <c r="AG432" i="7"/>
  <c r="J432" i="25" s="1"/>
  <c r="AF432" i="7"/>
  <c r="I432" i="25" s="1"/>
  <c r="AG217" i="7"/>
  <c r="J217" i="25" s="1"/>
  <c r="AF217" i="7"/>
  <c r="I217" i="25" s="1"/>
  <c r="AD312" i="7"/>
  <c r="AG312" i="7"/>
  <c r="J312" i="25" s="1"/>
  <c r="AF312" i="7"/>
  <c r="I312" i="25" s="1"/>
  <c r="AD167" i="7"/>
  <c r="AG167" i="7"/>
  <c r="J167" i="25" s="1"/>
  <c r="AF167" i="7"/>
  <c r="I167" i="25" s="1"/>
  <c r="AG508" i="7"/>
  <c r="J508" i="25" s="1"/>
  <c r="AF508" i="7"/>
  <c r="I508" i="25" s="1"/>
  <c r="AG272" i="7"/>
  <c r="J272" i="25" s="1"/>
  <c r="AF272" i="7"/>
  <c r="I272" i="25" s="1"/>
  <c r="AD32" i="7"/>
  <c r="AG32" i="7"/>
  <c r="J32" i="25" s="1"/>
  <c r="AF32" i="7"/>
  <c r="I32" i="25" s="1"/>
  <c r="AD155" i="7"/>
  <c r="AG155" i="7"/>
  <c r="J155" i="25" s="1"/>
  <c r="AF155" i="7"/>
  <c r="I155" i="25" s="1"/>
  <c r="AG420" i="7"/>
  <c r="J420" i="25" s="1"/>
  <c r="AF420" i="7"/>
  <c r="I420" i="25" s="1"/>
  <c r="AG76" i="7"/>
  <c r="J76" i="25" s="1"/>
  <c r="AF76" i="7"/>
  <c r="I76" i="25" s="1"/>
  <c r="AD275" i="7"/>
  <c r="Q275" i="25" s="1"/>
  <c r="AG275" i="7"/>
  <c r="J275" i="25" s="1"/>
  <c r="AF275" i="7"/>
  <c r="I275" i="25" s="1"/>
  <c r="AD72" i="7"/>
  <c r="AG72" i="7"/>
  <c r="J72" i="25" s="1"/>
  <c r="AF72" i="7"/>
  <c r="I72" i="25" s="1"/>
  <c r="AG44" i="7"/>
  <c r="J44" i="25" s="1"/>
  <c r="AF44" i="7"/>
  <c r="I44" i="25" s="1"/>
  <c r="AG589" i="7"/>
  <c r="J589" i="25" s="1"/>
  <c r="AF589" i="7"/>
  <c r="I589" i="25" s="1"/>
  <c r="AA135" i="7"/>
  <c r="AG135" i="7"/>
  <c r="J135" i="25" s="1"/>
  <c r="AF135" i="7"/>
  <c r="I135" i="25" s="1"/>
  <c r="AD516" i="7"/>
  <c r="AG516" i="7"/>
  <c r="J516" i="25" s="1"/>
  <c r="AF516" i="7"/>
  <c r="I516" i="25" s="1"/>
  <c r="AG551" i="7"/>
  <c r="J551" i="25" s="1"/>
  <c r="AF551" i="7"/>
  <c r="I551" i="25" s="1"/>
  <c r="AG26" i="7"/>
  <c r="J26" i="25" s="1"/>
  <c r="AF26" i="7"/>
  <c r="I26" i="25" s="1"/>
  <c r="AA333" i="7"/>
  <c r="AB333" i="7" s="1"/>
  <c r="AK333" i="7" s="1"/>
  <c r="AG333" i="7"/>
  <c r="J333" i="25" s="1"/>
  <c r="AF333" i="7"/>
  <c r="I333" i="25" s="1"/>
  <c r="AD285" i="7"/>
  <c r="AG285" i="7"/>
  <c r="J285" i="25" s="1"/>
  <c r="AF285" i="7"/>
  <c r="I285" i="25" s="1"/>
  <c r="AG159" i="7"/>
  <c r="J159" i="25" s="1"/>
  <c r="AF159" i="7"/>
  <c r="I159" i="25" s="1"/>
  <c r="AG427" i="7"/>
  <c r="J427" i="25" s="1"/>
  <c r="AF427" i="7"/>
  <c r="I427" i="25" s="1"/>
  <c r="AA467" i="7"/>
  <c r="R467" i="25" s="1"/>
  <c r="AG467" i="7"/>
  <c r="J467" i="25" s="1"/>
  <c r="AF467" i="7"/>
  <c r="I467" i="25" s="1"/>
  <c r="AD49" i="7"/>
  <c r="Q49" i="25" s="1"/>
  <c r="AG49" i="7"/>
  <c r="J49" i="25" s="1"/>
  <c r="AF49" i="7"/>
  <c r="I49" i="25" s="1"/>
  <c r="AG301" i="7"/>
  <c r="J301" i="25" s="1"/>
  <c r="AF301" i="7"/>
  <c r="I301" i="25" s="1"/>
  <c r="AG6" i="7"/>
  <c r="J6" i="25" s="1"/>
  <c r="AF6" i="7"/>
  <c r="I6" i="25" s="1"/>
  <c r="AA67" i="7"/>
  <c r="AB67" i="7" s="1"/>
  <c r="AG67" i="7"/>
  <c r="J67" i="25" s="1"/>
  <c r="AF67" i="7"/>
  <c r="I67" i="25" s="1"/>
  <c r="AD193" i="7"/>
  <c r="AG193" i="7"/>
  <c r="J193" i="25" s="1"/>
  <c r="AF193" i="7"/>
  <c r="I193" i="25" s="1"/>
  <c r="AG362" i="7"/>
  <c r="J362" i="25" s="1"/>
  <c r="AF362" i="7"/>
  <c r="I362" i="25" s="1"/>
  <c r="AG144" i="7"/>
  <c r="J144" i="25" s="1"/>
  <c r="AF144" i="7"/>
  <c r="I144" i="25" s="1"/>
  <c r="AA492" i="7"/>
  <c r="AB492" i="7" s="1"/>
  <c r="AG492" i="7"/>
  <c r="J492" i="25" s="1"/>
  <c r="AF492" i="7"/>
  <c r="I492" i="25" s="1"/>
  <c r="AD510" i="7"/>
  <c r="Q510" i="25" s="1"/>
  <c r="AG510" i="7"/>
  <c r="J510" i="25" s="1"/>
  <c r="AF510" i="7"/>
  <c r="I510" i="25" s="1"/>
  <c r="AG183" i="7"/>
  <c r="J183" i="25" s="1"/>
  <c r="AF183" i="7"/>
  <c r="I183" i="25" s="1"/>
  <c r="AG500" i="7"/>
  <c r="J500" i="25" s="1"/>
  <c r="AF500" i="7"/>
  <c r="I500" i="25" s="1"/>
  <c r="AA190" i="7"/>
  <c r="AG190" i="7"/>
  <c r="J190" i="25" s="1"/>
  <c r="AF190" i="7"/>
  <c r="I190" i="25" s="1"/>
  <c r="AD423" i="7"/>
  <c r="Q423" i="25" s="1"/>
  <c r="AG423" i="7"/>
  <c r="J423" i="25" s="1"/>
  <c r="AF423" i="7"/>
  <c r="I423" i="25" s="1"/>
  <c r="AG79" i="7"/>
  <c r="J79" i="25" s="1"/>
  <c r="AF79" i="7"/>
  <c r="I79" i="25" s="1"/>
  <c r="AG24" i="7"/>
  <c r="J24" i="25" s="1"/>
  <c r="AF24" i="7"/>
  <c r="I24" i="25" s="1"/>
  <c r="AA372" i="7"/>
  <c r="AB372" i="7" s="1"/>
  <c r="AG372" i="7"/>
  <c r="J372" i="25" s="1"/>
  <c r="AF372" i="7"/>
  <c r="I372" i="25" s="1"/>
  <c r="AD31" i="7"/>
  <c r="Q31" i="25" s="1"/>
  <c r="AG31" i="7"/>
  <c r="J31" i="25" s="1"/>
  <c r="AF31" i="7"/>
  <c r="I31" i="25" s="1"/>
  <c r="AG61" i="7"/>
  <c r="J61" i="25" s="1"/>
  <c r="AF61" i="7"/>
  <c r="I61" i="25" s="1"/>
  <c r="AG279" i="7"/>
  <c r="J279" i="25" s="1"/>
  <c r="AF279" i="7"/>
  <c r="I279" i="25" s="1"/>
  <c r="AA406" i="7"/>
  <c r="AB406" i="7" s="1"/>
  <c r="AG406" i="7"/>
  <c r="J406" i="25" s="1"/>
  <c r="AF406" i="7"/>
  <c r="I406" i="25" s="1"/>
  <c r="AD69" i="7"/>
  <c r="Q69" i="25" s="1"/>
  <c r="AG69" i="7"/>
  <c r="J69" i="25" s="1"/>
  <c r="AF69" i="7"/>
  <c r="I69" i="25" s="1"/>
  <c r="AG198" i="7"/>
  <c r="J198" i="25" s="1"/>
  <c r="AF198" i="7"/>
  <c r="I198" i="25" s="1"/>
  <c r="AG354" i="7"/>
  <c r="J354" i="25" s="1"/>
  <c r="AF354" i="7"/>
  <c r="I354" i="25" s="1"/>
  <c r="AA196" i="7"/>
  <c r="AB196" i="7" s="1"/>
  <c r="AF196" i="7"/>
  <c r="I196" i="25" s="1"/>
  <c r="AG196" i="7"/>
  <c r="J196" i="25" s="1"/>
  <c r="AD210" i="7"/>
  <c r="Q210" i="25" s="1"/>
  <c r="AG210" i="7"/>
  <c r="J210" i="25" s="1"/>
  <c r="AF210" i="7"/>
  <c r="I210" i="25" s="1"/>
  <c r="AG493" i="7"/>
  <c r="J493" i="25" s="1"/>
  <c r="AF493" i="7"/>
  <c r="I493" i="25" s="1"/>
  <c r="AG318" i="7"/>
  <c r="J318" i="25" s="1"/>
  <c r="AF318" i="7"/>
  <c r="I318" i="25" s="1"/>
  <c r="AA324" i="7"/>
  <c r="AB324" i="7" s="1"/>
  <c r="AG324" i="7"/>
  <c r="J324" i="25" s="1"/>
  <c r="AF324" i="7"/>
  <c r="I324" i="25" s="1"/>
  <c r="AD163" i="7"/>
  <c r="Q163" i="25" s="1"/>
  <c r="AG163" i="7"/>
  <c r="J163" i="25" s="1"/>
  <c r="AF163" i="7"/>
  <c r="I163" i="25" s="1"/>
  <c r="AG184" i="7"/>
  <c r="J184" i="25" s="1"/>
  <c r="AF184" i="7"/>
  <c r="I184" i="25" s="1"/>
  <c r="AG570" i="7"/>
  <c r="J570" i="25" s="1"/>
  <c r="AF570" i="7"/>
  <c r="I570" i="25" s="1"/>
  <c r="AA266" i="7"/>
  <c r="AG266" i="7"/>
  <c r="J266" i="25" s="1"/>
  <c r="AF266" i="7"/>
  <c r="I266" i="25" s="1"/>
  <c r="AD89" i="7"/>
  <c r="AG89" i="7"/>
  <c r="J89" i="25" s="1"/>
  <c r="AF89" i="7"/>
  <c r="I89" i="25" s="1"/>
  <c r="AG229" i="7"/>
  <c r="J229" i="25" s="1"/>
  <c r="AF229" i="7"/>
  <c r="I229" i="25" s="1"/>
  <c r="AG131" i="7"/>
  <c r="J131" i="25" s="1"/>
  <c r="AF131" i="7"/>
  <c r="I131" i="25" s="1"/>
  <c r="AA321" i="7"/>
  <c r="AG321" i="7"/>
  <c r="J321" i="25" s="1"/>
  <c r="AF321" i="7"/>
  <c r="I321" i="25" s="1"/>
  <c r="AD39" i="7"/>
  <c r="AG39" i="7"/>
  <c r="J39" i="25" s="1"/>
  <c r="AF39" i="7"/>
  <c r="I39" i="25" s="1"/>
  <c r="AG40" i="7"/>
  <c r="J40" i="25" s="1"/>
  <c r="AF40" i="7"/>
  <c r="I40" i="25" s="1"/>
  <c r="AA349" i="7"/>
  <c r="R349" i="25" s="1"/>
  <c r="AG349" i="7"/>
  <c r="J349" i="25" s="1"/>
  <c r="AF349" i="7"/>
  <c r="I349" i="25" s="1"/>
  <c r="AA274" i="7"/>
  <c r="AB274" i="7" s="1"/>
  <c r="AG274" i="7"/>
  <c r="J274" i="25" s="1"/>
  <c r="AF274" i="7"/>
  <c r="I274" i="25" s="1"/>
  <c r="AA579" i="7"/>
  <c r="R579" i="25" s="1"/>
  <c r="AG579" i="7"/>
  <c r="J579" i="25" s="1"/>
  <c r="AF579" i="7"/>
  <c r="I579" i="25" s="1"/>
  <c r="AA42" i="7"/>
  <c r="AB42" i="7" s="1"/>
  <c r="AG42" i="7"/>
  <c r="J42" i="25" s="1"/>
  <c r="AF42" i="7"/>
  <c r="I42" i="25" s="1"/>
  <c r="AA464" i="7"/>
  <c r="AB464" i="7" s="1"/>
  <c r="AG464" i="7"/>
  <c r="J464" i="25" s="1"/>
  <c r="AF464" i="7"/>
  <c r="I464" i="25" s="1"/>
  <c r="AA569" i="7"/>
  <c r="AG569" i="7"/>
  <c r="J569" i="25" s="1"/>
  <c r="AF569" i="7"/>
  <c r="I569" i="25" s="1"/>
  <c r="AA85" i="7"/>
  <c r="R85" i="25" s="1"/>
  <c r="AG85" i="7"/>
  <c r="J85" i="25" s="1"/>
  <c r="AF85" i="7"/>
  <c r="I85" i="25" s="1"/>
  <c r="AA211" i="7"/>
  <c r="AB211" i="7" s="1"/>
  <c r="AG211" i="7"/>
  <c r="J211" i="25" s="1"/>
  <c r="AF211" i="7"/>
  <c r="I211" i="25" s="1"/>
  <c r="AA114" i="7"/>
  <c r="AB114" i="7" s="1"/>
  <c r="AG114" i="7"/>
  <c r="J114" i="25" s="1"/>
  <c r="AF114" i="7"/>
  <c r="I114" i="25" s="1"/>
  <c r="AA216" i="7"/>
  <c r="AB216" i="7" s="1"/>
  <c r="AG216" i="7"/>
  <c r="J216" i="25" s="1"/>
  <c r="AF216" i="7"/>
  <c r="I216" i="25" s="1"/>
  <c r="AA234" i="7"/>
  <c r="R234" i="25" s="1"/>
  <c r="AG234" i="7"/>
  <c r="J234" i="25" s="1"/>
  <c r="AF234" i="7"/>
  <c r="I234" i="25" s="1"/>
  <c r="AA19" i="7"/>
  <c r="AB19" i="7" s="1"/>
  <c r="AG19" i="7"/>
  <c r="J19" i="25" s="1"/>
  <c r="AF19" i="7"/>
  <c r="I19" i="25" s="1"/>
  <c r="AA343" i="7"/>
  <c r="AG343" i="7"/>
  <c r="J343" i="25" s="1"/>
  <c r="AF343" i="7"/>
  <c r="I343" i="25" s="1"/>
  <c r="AA38" i="7"/>
  <c r="AB38" i="7" s="1"/>
  <c r="AK38" i="7" s="1"/>
  <c r="AG38" i="7"/>
  <c r="J38" i="25" s="1"/>
  <c r="AF38" i="7"/>
  <c r="I38" i="25" s="1"/>
  <c r="AA59" i="7"/>
  <c r="AB59" i="7" s="1"/>
  <c r="AK59" i="7" s="1"/>
  <c r="AG59" i="7"/>
  <c r="J59" i="25" s="1"/>
  <c r="AF59" i="7"/>
  <c r="I59" i="25" s="1"/>
  <c r="AA33" i="7"/>
  <c r="AG33" i="7"/>
  <c r="J33" i="25" s="1"/>
  <c r="AF33" i="7"/>
  <c r="I33" i="25" s="1"/>
  <c r="AA153" i="7"/>
  <c r="AB153" i="7" s="1"/>
  <c r="AG153" i="7"/>
  <c r="J153" i="25" s="1"/>
  <c r="AF153" i="7"/>
  <c r="I153" i="25" s="1"/>
  <c r="AA117" i="7"/>
  <c r="AB117" i="7" s="1"/>
  <c r="AG117" i="7"/>
  <c r="J117" i="25" s="1"/>
  <c r="AF117" i="7"/>
  <c r="I117" i="25" s="1"/>
  <c r="AA122" i="7"/>
  <c r="AB122" i="7" s="1"/>
  <c r="AG122" i="7"/>
  <c r="J122" i="25" s="1"/>
  <c r="AF122" i="7"/>
  <c r="I122" i="25" s="1"/>
  <c r="AA313" i="7"/>
  <c r="AG313" i="7"/>
  <c r="J313" i="25" s="1"/>
  <c r="AF313" i="7"/>
  <c r="I313" i="25" s="1"/>
  <c r="E115" i="7"/>
  <c r="AG115" i="7"/>
  <c r="J115" i="25" s="1"/>
  <c r="AF115" i="7"/>
  <c r="I115" i="25" s="1"/>
  <c r="E202" i="7"/>
  <c r="AG202" i="7"/>
  <c r="J202" i="25" s="1"/>
  <c r="AF202" i="7"/>
  <c r="I202" i="25" s="1"/>
  <c r="E20" i="7"/>
  <c r="D20" i="25" s="1"/>
  <c r="AG20" i="7"/>
  <c r="J20" i="25" s="1"/>
  <c r="AF20" i="7"/>
  <c r="I20" i="25" s="1"/>
  <c r="E402" i="7"/>
  <c r="AG402" i="7"/>
  <c r="J402" i="25" s="1"/>
  <c r="AF402" i="7"/>
  <c r="I402" i="25" s="1"/>
  <c r="E498" i="7"/>
  <c r="AG498" i="7"/>
  <c r="J498" i="25" s="1"/>
  <c r="AF498" i="7"/>
  <c r="I498" i="25" s="1"/>
  <c r="E320" i="7"/>
  <c r="AG320" i="7"/>
  <c r="J320" i="25" s="1"/>
  <c r="AF320" i="7"/>
  <c r="I320" i="25" s="1"/>
  <c r="E473" i="7"/>
  <c r="D473" i="25" s="1"/>
  <c r="AG473" i="7"/>
  <c r="J473" i="25" s="1"/>
  <c r="AF473" i="7"/>
  <c r="I473" i="25" s="1"/>
  <c r="E35" i="7"/>
  <c r="AG35" i="7"/>
  <c r="J35" i="25" s="1"/>
  <c r="AF35" i="7"/>
  <c r="I35" i="25" s="1"/>
  <c r="E522" i="7"/>
  <c r="AG522" i="7"/>
  <c r="J522" i="25" s="1"/>
  <c r="AF522" i="7"/>
  <c r="I522" i="25" s="1"/>
  <c r="E152" i="7"/>
  <c r="AG152" i="7"/>
  <c r="J152" i="25" s="1"/>
  <c r="AF152" i="7"/>
  <c r="I152" i="25" s="1"/>
  <c r="E376" i="7"/>
  <c r="D376" i="25" s="1"/>
  <c r="AG376" i="7"/>
  <c r="J376" i="25" s="1"/>
  <c r="AF376" i="7"/>
  <c r="I376" i="25" s="1"/>
  <c r="E419" i="7"/>
  <c r="AG419" i="7"/>
  <c r="J419" i="25" s="1"/>
  <c r="AF419" i="7"/>
  <c r="I419" i="25" s="1"/>
  <c r="E440" i="7"/>
  <c r="AG440" i="7"/>
  <c r="J440" i="25" s="1"/>
  <c r="AF440" i="7"/>
  <c r="I440" i="25" s="1"/>
  <c r="E287" i="7"/>
  <c r="AG287" i="7"/>
  <c r="J287" i="25" s="1"/>
  <c r="AF287" i="7"/>
  <c r="I287" i="25" s="1"/>
  <c r="E273" i="7"/>
  <c r="D273" i="25" s="1"/>
  <c r="AG273" i="7"/>
  <c r="J273" i="25" s="1"/>
  <c r="AF273" i="7"/>
  <c r="I273" i="25" s="1"/>
  <c r="E199" i="7"/>
  <c r="AG199" i="7"/>
  <c r="J199" i="25" s="1"/>
  <c r="AF199" i="7"/>
  <c r="I199" i="25" s="1"/>
  <c r="E293" i="7"/>
  <c r="AG293" i="7"/>
  <c r="J293" i="25" s="1"/>
  <c r="AF293" i="7"/>
  <c r="I293" i="25" s="1"/>
  <c r="E120" i="7"/>
  <c r="AG120" i="7"/>
  <c r="J120" i="25" s="1"/>
  <c r="AF120" i="7"/>
  <c r="I120" i="25" s="1"/>
  <c r="E381" i="7"/>
  <c r="D381" i="25" s="1"/>
  <c r="AG381" i="7"/>
  <c r="J381" i="25" s="1"/>
  <c r="AF381" i="7"/>
  <c r="I381" i="25" s="1"/>
  <c r="E368" i="7"/>
  <c r="AG368" i="7"/>
  <c r="J368" i="25" s="1"/>
  <c r="AF368" i="7"/>
  <c r="I368" i="25" s="1"/>
  <c r="E209" i="7"/>
  <c r="AG209" i="7"/>
  <c r="J209" i="25" s="1"/>
  <c r="AF209" i="7"/>
  <c r="I209" i="25" s="1"/>
  <c r="E535" i="7"/>
  <c r="AG535" i="7"/>
  <c r="J535" i="25" s="1"/>
  <c r="AF535" i="7"/>
  <c r="I535" i="25" s="1"/>
  <c r="E188" i="7"/>
  <c r="D188" i="25" s="1"/>
  <c r="AG188" i="7"/>
  <c r="J188" i="25" s="1"/>
  <c r="AF188" i="7"/>
  <c r="I188" i="25" s="1"/>
  <c r="E345" i="7"/>
  <c r="AG345" i="7"/>
  <c r="J345" i="25" s="1"/>
  <c r="AF345" i="7"/>
  <c r="I345" i="25" s="1"/>
  <c r="E429" i="7"/>
  <c r="AG429" i="7"/>
  <c r="J429" i="25" s="1"/>
  <c r="AF429" i="7"/>
  <c r="I429" i="25" s="1"/>
  <c r="E309" i="7"/>
  <c r="AG309" i="7"/>
  <c r="J309" i="25" s="1"/>
  <c r="AF309" i="7"/>
  <c r="I309" i="25" s="1"/>
  <c r="E127" i="7"/>
  <c r="D127" i="25" s="1"/>
  <c r="AG127" i="7"/>
  <c r="J127" i="25" s="1"/>
  <c r="AF127" i="7"/>
  <c r="I127" i="25" s="1"/>
  <c r="E482" i="7"/>
  <c r="AG482" i="7"/>
  <c r="J482" i="25" s="1"/>
  <c r="AF482" i="7"/>
  <c r="I482" i="25" s="1"/>
  <c r="E143" i="7"/>
  <c r="AG143" i="7"/>
  <c r="J143" i="25" s="1"/>
  <c r="AF143" i="7"/>
  <c r="I143" i="25" s="1"/>
  <c r="E414" i="7"/>
  <c r="AG414" i="7"/>
  <c r="J414" i="25" s="1"/>
  <c r="AF414" i="7"/>
  <c r="I414" i="25" s="1"/>
  <c r="E96" i="7"/>
  <c r="D96" i="25" s="1"/>
  <c r="AG96" i="7"/>
  <c r="J96" i="25" s="1"/>
  <c r="AF96" i="7"/>
  <c r="I96" i="25" s="1"/>
  <c r="E271" i="7"/>
  <c r="AG271" i="7"/>
  <c r="J271" i="25" s="1"/>
  <c r="AF271" i="7"/>
  <c r="I271" i="25" s="1"/>
  <c r="AD146" i="7"/>
  <c r="Q146" i="25" s="1"/>
  <c r="AG146" i="7"/>
  <c r="J146" i="25" s="1"/>
  <c r="AF146" i="7"/>
  <c r="I146" i="25" s="1"/>
  <c r="AD48" i="7"/>
  <c r="AG48" i="7"/>
  <c r="J48" i="25" s="1"/>
  <c r="AF48" i="7"/>
  <c r="I48" i="25" s="1"/>
  <c r="AD246" i="7"/>
  <c r="AG246" i="7"/>
  <c r="J246" i="25" s="1"/>
  <c r="AF246" i="7"/>
  <c r="I246" i="25" s="1"/>
  <c r="AD356" i="7"/>
  <c r="Q356" i="25" s="1"/>
  <c r="AG356" i="7"/>
  <c r="J356" i="25" s="1"/>
  <c r="AF356" i="7"/>
  <c r="I356" i="25" s="1"/>
  <c r="AD124" i="7"/>
  <c r="Q124" i="25" s="1"/>
  <c r="AG124" i="7"/>
  <c r="J124" i="25" s="1"/>
  <c r="AF124" i="7"/>
  <c r="I124" i="25" s="1"/>
  <c r="AD336" i="7"/>
  <c r="AG336" i="7"/>
  <c r="J336" i="25" s="1"/>
  <c r="AF336" i="7"/>
  <c r="I336" i="25" s="1"/>
  <c r="AD592" i="7"/>
  <c r="AG592" i="7"/>
  <c r="J592" i="25" s="1"/>
  <c r="AF592" i="7"/>
  <c r="I592" i="25" s="1"/>
  <c r="AD585" i="7"/>
  <c r="AG585" i="7"/>
  <c r="J585" i="25" s="1"/>
  <c r="AF585" i="7"/>
  <c r="I585" i="25" s="1"/>
  <c r="AD139" i="7"/>
  <c r="Q139" i="25" s="1"/>
  <c r="AG139" i="7"/>
  <c r="J139" i="25" s="1"/>
  <c r="AF139" i="7"/>
  <c r="I139" i="25" s="1"/>
  <c r="AD187" i="7"/>
  <c r="AG187" i="7"/>
  <c r="J187" i="25" s="1"/>
  <c r="AF187" i="7"/>
  <c r="I187" i="25" s="1"/>
  <c r="AD151" i="7"/>
  <c r="Q151" i="25" s="1"/>
  <c r="AG151" i="7"/>
  <c r="J151" i="25" s="1"/>
  <c r="AF151" i="7"/>
  <c r="I151" i="25" s="1"/>
  <c r="AD472" i="7"/>
  <c r="Q472" i="25" s="1"/>
  <c r="AG472" i="7"/>
  <c r="J472" i="25" s="1"/>
  <c r="AF472" i="7"/>
  <c r="I472" i="25" s="1"/>
  <c r="AF218" i="7"/>
  <c r="I218" i="25" s="1"/>
  <c r="AF214" i="7"/>
  <c r="I214" i="25" s="1"/>
  <c r="AF86" i="7"/>
  <c r="I86" i="25" s="1"/>
  <c r="AF580" i="7"/>
  <c r="I580" i="25" s="1"/>
  <c r="AF582" i="7"/>
  <c r="I582" i="25" s="1"/>
  <c r="AF445" i="7"/>
  <c r="I445" i="25" s="1"/>
  <c r="AF136" i="7"/>
  <c r="I136" i="25" s="1"/>
  <c r="AF575" i="7"/>
  <c r="I575" i="25" s="1"/>
  <c r="AF581" i="7"/>
  <c r="I581" i="25" s="1"/>
  <c r="AF399" i="7"/>
  <c r="I399" i="25" s="1"/>
  <c r="AF300" i="7"/>
  <c r="I300" i="25" s="1"/>
  <c r="AF346" i="7"/>
  <c r="I346" i="25" s="1"/>
  <c r="AF453" i="7"/>
  <c r="I453" i="25" s="1"/>
  <c r="AF255" i="7"/>
  <c r="I255" i="25" s="1"/>
  <c r="AF295" i="7"/>
  <c r="I295" i="25" s="1"/>
  <c r="AG4" i="7"/>
  <c r="J4" i="25" s="1"/>
  <c r="AF4" i="7"/>
  <c r="I4" i="25" s="1"/>
  <c r="AG360" i="7"/>
  <c r="J360" i="25" s="1"/>
  <c r="AF360" i="7"/>
  <c r="I360" i="25" s="1"/>
  <c r="AG88" i="7"/>
  <c r="J88" i="25" s="1"/>
  <c r="AF88" i="7"/>
  <c r="I88" i="25" s="1"/>
  <c r="AG366" i="7"/>
  <c r="J366" i="25" s="1"/>
  <c r="AF366" i="7"/>
  <c r="I366" i="25" s="1"/>
  <c r="AG466" i="7"/>
  <c r="J466" i="25" s="1"/>
  <c r="AF466" i="7"/>
  <c r="I466" i="25" s="1"/>
  <c r="AG125" i="7"/>
  <c r="J125" i="25" s="1"/>
  <c r="AF125" i="7"/>
  <c r="I125" i="25" s="1"/>
  <c r="AG92" i="7"/>
  <c r="J92" i="25" s="1"/>
  <c r="AF92" i="7"/>
  <c r="I92" i="25" s="1"/>
  <c r="AG283" i="7"/>
  <c r="J283" i="25" s="1"/>
  <c r="AF283" i="7"/>
  <c r="I283" i="25" s="1"/>
  <c r="AG304" i="7"/>
  <c r="J304" i="25" s="1"/>
  <c r="AF304" i="7"/>
  <c r="I304" i="25" s="1"/>
  <c r="AG223" i="7"/>
  <c r="J223" i="25" s="1"/>
  <c r="AF223" i="7"/>
  <c r="I223" i="25" s="1"/>
  <c r="AG449" i="7"/>
  <c r="J449" i="25" s="1"/>
  <c r="AF449" i="7"/>
  <c r="I449" i="25" s="1"/>
  <c r="AG156" i="7"/>
  <c r="J156" i="25" s="1"/>
  <c r="AF156" i="7"/>
  <c r="I156" i="25" s="1"/>
  <c r="AG371" i="7"/>
  <c r="J371" i="25" s="1"/>
  <c r="AF371" i="7"/>
  <c r="I371" i="25" s="1"/>
  <c r="AG281" i="7"/>
  <c r="J281" i="25" s="1"/>
  <c r="AF281" i="7"/>
  <c r="I281" i="25" s="1"/>
  <c r="AG284" i="7"/>
  <c r="J284" i="25" s="1"/>
  <c r="AF284" i="7"/>
  <c r="I284" i="25" s="1"/>
  <c r="AG161" i="7"/>
  <c r="J161" i="25" s="1"/>
  <c r="AF161" i="7"/>
  <c r="I161" i="25" s="1"/>
  <c r="AG185" i="7"/>
  <c r="J185" i="25" s="1"/>
  <c r="AF185" i="7"/>
  <c r="I185" i="25" s="1"/>
  <c r="AG8" i="7"/>
  <c r="J8" i="25" s="1"/>
  <c r="AF8" i="7"/>
  <c r="I8" i="25" s="1"/>
  <c r="AG353" i="7"/>
  <c r="J353" i="25" s="1"/>
  <c r="AF353" i="7"/>
  <c r="I353" i="25" s="1"/>
  <c r="AG178" i="7"/>
  <c r="J178" i="25" s="1"/>
  <c r="AF178" i="7"/>
  <c r="I178" i="25" s="1"/>
  <c r="AG30" i="7"/>
  <c r="J30" i="25" s="1"/>
  <c r="AF30" i="7"/>
  <c r="I30" i="25" s="1"/>
  <c r="AG103" i="7"/>
  <c r="J103" i="25" s="1"/>
  <c r="AF103" i="7"/>
  <c r="I103" i="25" s="1"/>
  <c r="AG208" i="7"/>
  <c r="J208" i="25" s="1"/>
  <c r="AF208" i="7"/>
  <c r="I208" i="25" s="1"/>
  <c r="AG408" i="7"/>
  <c r="J408" i="25" s="1"/>
  <c r="AF408" i="7"/>
  <c r="I408" i="25" s="1"/>
  <c r="AG471" i="7"/>
  <c r="J471" i="25" s="1"/>
  <c r="AF471" i="7"/>
  <c r="I471" i="25" s="1"/>
  <c r="AG483" i="7"/>
  <c r="J483" i="25" s="1"/>
  <c r="AF483" i="7"/>
  <c r="I483" i="25" s="1"/>
  <c r="AG113" i="7"/>
  <c r="J113" i="25" s="1"/>
  <c r="AF113" i="7"/>
  <c r="I113" i="25" s="1"/>
  <c r="AE222" i="7"/>
  <c r="AG222" i="7"/>
  <c r="J222" i="25" s="1"/>
  <c r="AF222" i="7"/>
  <c r="I222" i="25" s="1"/>
  <c r="AG458" i="7"/>
  <c r="J458" i="25" s="1"/>
  <c r="AF458" i="7"/>
  <c r="I458" i="25" s="1"/>
  <c r="AG478" i="7"/>
  <c r="J478" i="25" s="1"/>
  <c r="AF478" i="7"/>
  <c r="I478" i="25" s="1"/>
  <c r="AG308" i="7"/>
  <c r="J308" i="25" s="1"/>
  <c r="AF308" i="7"/>
  <c r="I308" i="25" s="1"/>
  <c r="AE305" i="7"/>
  <c r="AG305" i="7"/>
  <c r="J305" i="25" s="1"/>
  <c r="AF305" i="7"/>
  <c r="I305" i="25" s="1"/>
  <c r="AG17" i="7"/>
  <c r="J17" i="25" s="1"/>
  <c r="AF17" i="7"/>
  <c r="I17" i="25" s="1"/>
  <c r="AG316" i="7"/>
  <c r="J316" i="25" s="1"/>
  <c r="AF316" i="7"/>
  <c r="I316" i="25" s="1"/>
  <c r="AG25" i="7"/>
  <c r="J25" i="25" s="1"/>
  <c r="AF25" i="7"/>
  <c r="I25" i="25" s="1"/>
  <c r="AE503" i="7"/>
  <c r="AG503" i="7"/>
  <c r="J503" i="25" s="1"/>
  <c r="AF503" i="7"/>
  <c r="I503" i="25" s="1"/>
  <c r="AG204" i="7"/>
  <c r="J204" i="25" s="1"/>
  <c r="AF204" i="7"/>
  <c r="I204" i="25" s="1"/>
  <c r="AG436" i="7"/>
  <c r="J436" i="25" s="1"/>
  <c r="AF436" i="7"/>
  <c r="I436" i="25" s="1"/>
  <c r="AG388" i="7"/>
  <c r="J388" i="25" s="1"/>
  <c r="AF388" i="7"/>
  <c r="I388" i="25" s="1"/>
  <c r="AE203" i="7"/>
  <c r="AG203" i="7"/>
  <c r="J203" i="25" s="1"/>
  <c r="AF203" i="7"/>
  <c r="I203" i="25" s="1"/>
  <c r="AG11" i="7"/>
  <c r="J11" i="25" s="1"/>
  <c r="AF11" i="7"/>
  <c r="I11" i="25" s="1"/>
  <c r="AG54" i="7"/>
  <c r="J54" i="25" s="1"/>
  <c r="AF54" i="7"/>
  <c r="I54" i="25" s="1"/>
  <c r="AG110" i="7"/>
  <c r="J110" i="25" s="1"/>
  <c r="AF110" i="7"/>
  <c r="I110" i="25" s="1"/>
  <c r="AE14" i="7"/>
  <c r="AG14" i="7"/>
  <c r="J14" i="25" s="1"/>
  <c r="AF14" i="7"/>
  <c r="I14" i="25" s="1"/>
  <c r="AG479" i="7"/>
  <c r="J479" i="25" s="1"/>
  <c r="AF479" i="7"/>
  <c r="I479" i="25" s="1"/>
  <c r="AG81" i="7"/>
  <c r="J81" i="25" s="1"/>
  <c r="AF81" i="7"/>
  <c r="I81" i="25" s="1"/>
  <c r="AG506" i="7"/>
  <c r="J506" i="25" s="1"/>
  <c r="AF506" i="7"/>
  <c r="I506" i="25" s="1"/>
  <c r="AE361" i="7"/>
  <c r="AG361" i="7"/>
  <c r="J361" i="25" s="1"/>
  <c r="AF361" i="7"/>
  <c r="I361" i="25" s="1"/>
  <c r="AG99" i="7"/>
  <c r="J99" i="25" s="1"/>
  <c r="AF99" i="7"/>
  <c r="I99" i="25" s="1"/>
  <c r="AE52" i="7"/>
  <c r="AG52" i="7"/>
  <c r="J52" i="25" s="1"/>
  <c r="AF52" i="7"/>
  <c r="I52" i="25" s="1"/>
  <c r="AG526" i="7"/>
  <c r="J526" i="25" s="1"/>
  <c r="AF526" i="7"/>
  <c r="I526" i="25" s="1"/>
  <c r="AE512" i="7"/>
  <c r="AG512" i="7"/>
  <c r="J512" i="25" s="1"/>
  <c r="AF512" i="7"/>
  <c r="I512" i="25" s="1"/>
  <c r="AG53" i="7"/>
  <c r="J53" i="25" s="1"/>
  <c r="AF53" i="7"/>
  <c r="I53" i="25" s="1"/>
  <c r="AE195" i="7"/>
  <c r="AG195" i="7"/>
  <c r="J195" i="25" s="1"/>
  <c r="AF195" i="7"/>
  <c r="I195" i="25" s="1"/>
  <c r="AG484" i="7"/>
  <c r="J484" i="25" s="1"/>
  <c r="AF484" i="7"/>
  <c r="I484" i="25" s="1"/>
  <c r="AE109" i="7"/>
  <c r="AG109" i="7"/>
  <c r="J109" i="25" s="1"/>
  <c r="AF109" i="7"/>
  <c r="I109" i="25" s="1"/>
  <c r="AG220" i="7"/>
  <c r="J220" i="25" s="1"/>
  <c r="AF220" i="7"/>
  <c r="I220" i="25" s="1"/>
  <c r="AE240" i="7"/>
  <c r="AG240" i="7"/>
  <c r="J240" i="25" s="1"/>
  <c r="AF240" i="7"/>
  <c r="I240" i="25" s="1"/>
  <c r="AG442" i="7"/>
  <c r="J442" i="25" s="1"/>
  <c r="AF442" i="7"/>
  <c r="I442" i="25" s="1"/>
  <c r="AE118" i="7"/>
  <c r="AG118" i="7"/>
  <c r="J118" i="25" s="1"/>
  <c r="AF118" i="7"/>
  <c r="I118" i="25" s="1"/>
  <c r="AG421" i="7"/>
  <c r="J421" i="25" s="1"/>
  <c r="AF421" i="7"/>
  <c r="I421" i="25" s="1"/>
  <c r="AE200" i="7"/>
  <c r="AG200" i="7"/>
  <c r="J200" i="25" s="1"/>
  <c r="AF200" i="7"/>
  <c r="I200" i="25" s="1"/>
  <c r="AG334" i="7"/>
  <c r="J334" i="25" s="1"/>
  <c r="AF334" i="7"/>
  <c r="I334" i="25" s="1"/>
  <c r="AG258" i="7"/>
  <c r="J258" i="25" s="1"/>
  <c r="AF258" i="7"/>
  <c r="I258" i="25" s="1"/>
  <c r="AG288" i="7"/>
  <c r="J288" i="25" s="1"/>
  <c r="AF288" i="7"/>
  <c r="I288" i="25" s="1"/>
  <c r="AG250" i="7"/>
  <c r="J250" i="25" s="1"/>
  <c r="AF250" i="7"/>
  <c r="I250" i="25" s="1"/>
  <c r="AG142" i="7"/>
  <c r="J142" i="25" s="1"/>
  <c r="AF142" i="7"/>
  <c r="I142" i="25" s="1"/>
  <c r="AG21" i="7"/>
  <c r="J21" i="25" s="1"/>
  <c r="AF21" i="7"/>
  <c r="I21" i="25" s="1"/>
  <c r="AG536" i="7"/>
  <c r="J536" i="25" s="1"/>
  <c r="AF536" i="7"/>
  <c r="I536" i="25" s="1"/>
  <c r="AG542" i="7"/>
  <c r="J542" i="25" s="1"/>
  <c r="AF542" i="7"/>
  <c r="I542" i="25" s="1"/>
  <c r="AG68" i="7"/>
  <c r="J68" i="25" s="1"/>
  <c r="AF68" i="7"/>
  <c r="I68" i="25" s="1"/>
  <c r="AG588" i="7"/>
  <c r="J588" i="25" s="1"/>
  <c r="AF588" i="7"/>
  <c r="I588" i="25" s="1"/>
  <c r="AG566" i="7"/>
  <c r="J566" i="25" s="1"/>
  <c r="AF566" i="7"/>
  <c r="I566" i="25" s="1"/>
  <c r="AG265" i="7"/>
  <c r="J265" i="25" s="1"/>
  <c r="AF265" i="7"/>
  <c r="I265" i="25" s="1"/>
  <c r="AG164" i="7"/>
  <c r="J164" i="25" s="1"/>
  <c r="AF164" i="7"/>
  <c r="I164" i="25" s="1"/>
  <c r="AG23" i="7"/>
  <c r="J23" i="25" s="1"/>
  <c r="AF23" i="7"/>
  <c r="I23" i="25" s="1"/>
  <c r="AG422" i="7"/>
  <c r="J422" i="25" s="1"/>
  <c r="AF422" i="7"/>
  <c r="I422" i="25" s="1"/>
  <c r="AG455" i="7"/>
  <c r="J455" i="25" s="1"/>
  <c r="AF455" i="7"/>
  <c r="I455" i="25" s="1"/>
  <c r="AG82" i="7"/>
  <c r="J82" i="25" s="1"/>
  <c r="AF82" i="7"/>
  <c r="I82" i="25" s="1"/>
  <c r="AG248" i="7"/>
  <c r="J248" i="25" s="1"/>
  <c r="AF248" i="7"/>
  <c r="I248" i="25" s="1"/>
  <c r="AG527" i="7"/>
  <c r="J527" i="25" s="1"/>
  <c r="AF527" i="7"/>
  <c r="I527" i="25" s="1"/>
  <c r="AG447" i="7"/>
  <c r="J447" i="25" s="1"/>
  <c r="AF447" i="7"/>
  <c r="I447" i="25" s="1"/>
  <c r="AG513" i="7"/>
  <c r="J513" i="25" s="1"/>
  <c r="AF513" i="7"/>
  <c r="I513" i="25" s="1"/>
  <c r="AG390" i="7"/>
  <c r="J390" i="25" s="1"/>
  <c r="AF390" i="7"/>
  <c r="I390" i="25" s="1"/>
  <c r="AG65" i="7"/>
  <c r="J65" i="25" s="1"/>
  <c r="AF65" i="7"/>
  <c r="I65" i="25" s="1"/>
  <c r="AG259" i="7"/>
  <c r="J259" i="25" s="1"/>
  <c r="AF259" i="7"/>
  <c r="I259" i="25" s="1"/>
  <c r="AG319" i="7"/>
  <c r="J319" i="25" s="1"/>
  <c r="AF319" i="7"/>
  <c r="I319" i="25" s="1"/>
  <c r="AG364" i="7"/>
  <c r="J364" i="25" s="1"/>
  <c r="AF364" i="7"/>
  <c r="I364" i="25" s="1"/>
  <c r="AG496" i="7"/>
  <c r="J496" i="25" s="1"/>
  <c r="AF496" i="7"/>
  <c r="I496" i="25" s="1"/>
  <c r="AG212" i="7"/>
  <c r="J212" i="25" s="1"/>
  <c r="AF212" i="7"/>
  <c r="I212" i="25" s="1"/>
  <c r="AG540" i="7"/>
  <c r="J540" i="25" s="1"/>
  <c r="AF540" i="7"/>
  <c r="I540" i="25" s="1"/>
  <c r="AG18" i="7"/>
  <c r="J18" i="25" s="1"/>
  <c r="AF18" i="7"/>
  <c r="I18" i="25" s="1"/>
  <c r="AG446" i="7"/>
  <c r="J446" i="25" s="1"/>
  <c r="AF446" i="7"/>
  <c r="I446" i="25" s="1"/>
  <c r="AG504" i="7"/>
  <c r="J504" i="25" s="1"/>
  <c r="AF504" i="7"/>
  <c r="I504" i="25" s="1"/>
  <c r="AG425" i="7"/>
  <c r="J425" i="25" s="1"/>
  <c r="AF425" i="7"/>
  <c r="I425" i="25" s="1"/>
  <c r="AG22" i="7"/>
  <c r="J22" i="25" s="1"/>
  <c r="AF22" i="7"/>
  <c r="I22" i="25" s="1"/>
  <c r="AG80" i="7"/>
  <c r="J80" i="25" s="1"/>
  <c r="AF80" i="7"/>
  <c r="I80" i="25" s="1"/>
  <c r="AG182" i="7"/>
  <c r="J182" i="25" s="1"/>
  <c r="AF182" i="7"/>
  <c r="I182" i="25" s="1"/>
  <c r="AG441" i="7"/>
  <c r="J441" i="25" s="1"/>
  <c r="AF441" i="7"/>
  <c r="I441" i="25" s="1"/>
  <c r="AG169" i="7"/>
  <c r="J169" i="25" s="1"/>
  <c r="AF169" i="7"/>
  <c r="I169" i="25" s="1"/>
  <c r="AG315" i="7"/>
  <c r="J315" i="25" s="1"/>
  <c r="AF315" i="7"/>
  <c r="I315" i="25" s="1"/>
  <c r="AG435" i="7"/>
  <c r="J435" i="25" s="1"/>
  <c r="AF435" i="7"/>
  <c r="I435" i="25" s="1"/>
  <c r="AG329" i="7"/>
  <c r="J329" i="25" s="1"/>
  <c r="AF329" i="7"/>
  <c r="I329" i="25" s="1"/>
  <c r="AG347" i="7"/>
  <c r="J347" i="25" s="1"/>
  <c r="AF347" i="7"/>
  <c r="I347" i="25" s="1"/>
  <c r="AG36" i="7"/>
  <c r="J36" i="25" s="1"/>
  <c r="AF36" i="7"/>
  <c r="I36" i="25" s="1"/>
  <c r="AG394" i="7"/>
  <c r="J394" i="25" s="1"/>
  <c r="AF394" i="7"/>
  <c r="I394" i="25" s="1"/>
  <c r="AG235" i="7"/>
  <c r="J235" i="25" s="1"/>
  <c r="AF235" i="7"/>
  <c r="I235" i="25" s="1"/>
  <c r="AG384" i="7"/>
  <c r="J384" i="25" s="1"/>
  <c r="AF384" i="7"/>
  <c r="I384" i="25" s="1"/>
  <c r="AG451" i="7"/>
  <c r="J451" i="25" s="1"/>
  <c r="AF451" i="7"/>
  <c r="I451" i="25" s="1"/>
  <c r="AG554" i="7"/>
  <c r="J554" i="25" s="1"/>
  <c r="AF554" i="7"/>
  <c r="I554" i="25" s="1"/>
  <c r="AG539" i="7"/>
  <c r="J539" i="25" s="1"/>
  <c r="AF539" i="7"/>
  <c r="I539" i="25" s="1"/>
  <c r="AA194" i="7"/>
  <c r="AB194" i="7" s="1"/>
  <c r="AF194" i="7"/>
  <c r="I194" i="25" s="1"/>
  <c r="AG194" i="7"/>
  <c r="J194" i="25" s="1"/>
  <c r="AA564" i="7"/>
  <c r="AB564" i="7" s="1"/>
  <c r="AG564" i="7"/>
  <c r="J564" i="25" s="1"/>
  <c r="AF564" i="7"/>
  <c r="I564" i="25" s="1"/>
  <c r="AA328" i="7"/>
  <c r="AB328" i="7" s="1"/>
  <c r="AF328" i="7"/>
  <c r="I328" i="25" s="1"/>
  <c r="AG328" i="7"/>
  <c r="J328" i="25" s="1"/>
  <c r="AA370" i="7"/>
  <c r="AB370" i="7" s="1"/>
  <c r="AG370" i="7"/>
  <c r="J370" i="25" s="1"/>
  <c r="AF370" i="7"/>
  <c r="I370" i="25" s="1"/>
  <c r="AA330" i="7"/>
  <c r="AF330" i="7"/>
  <c r="I330" i="25" s="1"/>
  <c r="AG330" i="7"/>
  <c r="J330" i="25" s="1"/>
  <c r="AA521" i="7"/>
  <c r="AB521" i="7" s="1"/>
  <c r="AK521" i="7" s="1"/>
  <c r="AG521" i="7"/>
  <c r="J521" i="25" s="1"/>
  <c r="AF521" i="7"/>
  <c r="I521" i="25" s="1"/>
  <c r="AA532" i="7"/>
  <c r="AB532" i="7" s="1"/>
  <c r="AG532" i="7"/>
  <c r="J532" i="25" s="1"/>
  <c r="AF532" i="7"/>
  <c r="I532" i="25" s="1"/>
  <c r="AA377" i="7"/>
  <c r="AB377" i="7" s="1"/>
  <c r="AG377" i="7"/>
  <c r="J377" i="25" s="1"/>
  <c r="AF377" i="7"/>
  <c r="I377" i="25" s="1"/>
  <c r="AA546" i="7"/>
  <c r="AF546" i="7"/>
  <c r="I546" i="25" s="1"/>
  <c r="AG546" i="7"/>
  <c r="J546" i="25" s="1"/>
  <c r="AA129" i="7"/>
  <c r="AG129" i="7"/>
  <c r="J129" i="25" s="1"/>
  <c r="AF129" i="7"/>
  <c r="I129" i="25" s="1"/>
  <c r="AA186" i="7"/>
  <c r="AB186" i="7" s="1"/>
  <c r="AG186" i="7"/>
  <c r="J186" i="25" s="1"/>
  <c r="AF186" i="7"/>
  <c r="I186" i="25" s="1"/>
  <c r="AA206" i="7"/>
  <c r="AG206" i="7"/>
  <c r="J206" i="25" s="1"/>
  <c r="AF206" i="7"/>
  <c r="I206" i="25" s="1"/>
  <c r="AA443" i="7"/>
  <c r="AB443" i="7" s="1"/>
  <c r="AG443" i="7"/>
  <c r="J443" i="25" s="1"/>
  <c r="AF443" i="7"/>
  <c r="I443" i="25" s="1"/>
  <c r="AD310" i="7"/>
  <c r="AG310" i="7"/>
  <c r="J310" i="25" s="1"/>
  <c r="AF310" i="7"/>
  <c r="I310" i="25" s="1"/>
  <c r="AD189" i="7"/>
  <c r="Q189" i="25" s="1"/>
  <c r="AG189" i="7"/>
  <c r="J189" i="25" s="1"/>
  <c r="AF189" i="7"/>
  <c r="I189" i="25" s="1"/>
  <c r="AD264" i="7"/>
  <c r="AG264" i="7"/>
  <c r="J264" i="25" s="1"/>
  <c r="AF264" i="7"/>
  <c r="I264" i="25" s="1"/>
  <c r="AD230" i="7"/>
  <c r="AG230" i="7"/>
  <c r="J230" i="25" s="1"/>
  <c r="AF230" i="7"/>
  <c r="I230" i="25" s="1"/>
  <c r="AD563" i="7"/>
  <c r="Q563" i="25" s="1"/>
  <c r="AG563" i="7"/>
  <c r="J563" i="25" s="1"/>
  <c r="AF563" i="7"/>
  <c r="I563" i="25" s="1"/>
  <c r="AD339" i="7"/>
  <c r="AG339" i="7"/>
  <c r="J339" i="25" s="1"/>
  <c r="AF339" i="7"/>
  <c r="I339" i="25" s="1"/>
  <c r="AD201" i="7"/>
  <c r="AG201" i="7"/>
  <c r="J201" i="25" s="1"/>
  <c r="AF201" i="7"/>
  <c r="I201" i="25" s="1"/>
  <c r="AD179" i="7"/>
  <c r="AG179" i="7"/>
  <c r="J179" i="25" s="1"/>
  <c r="AF179" i="7"/>
  <c r="I179" i="25" s="1"/>
  <c r="AD519" i="7"/>
  <c r="AG519" i="7"/>
  <c r="J519" i="25" s="1"/>
  <c r="AF519" i="7"/>
  <c r="I519" i="25" s="1"/>
  <c r="AD119" i="7"/>
  <c r="Q119" i="25" s="1"/>
  <c r="AG119" i="7"/>
  <c r="J119" i="25" s="1"/>
  <c r="AF119" i="7"/>
  <c r="I119" i="25" s="1"/>
  <c r="AD224" i="7"/>
  <c r="AG224" i="7"/>
  <c r="J224" i="25" s="1"/>
  <c r="AF224" i="7"/>
  <c r="I224" i="25" s="1"/>
  <c r="AD491" i="7"/>
  <c r="Q491" i="25" s="1"/>
  <c r="AG491" i="7"/>
  <c r="J491" i="25" s="1"/>
  <c r="AF491" i="7"/>
  <c r="I491" i="25" s="1"/>
  <c r="AD413" i="7"/>
  <c r="AG413" i="7"/>
  <c r="J413" i="25" s="1"/>
  <c r="AF413" i="7"/>
  <c r="I413" i="25" s="1"/>
  <c r="AD595" i="7"/>
  <c r="Q595" i="25" s="1"/>
  <c r="AG595" i="7"/>
  <c r="J595" i="25" s="1"/>
  <c r="AF595" i="7"/>
  <c r="I595" i="25" s="1"/>
  <c r="AD270" i="7"/>
  <c r="AG270" i="7"/>
  <c r="J270" i="25" s="1"/>
  <c r="AF270" i="7"/>
  <c r="I270" i="25" s="1"/>
  <c r="AD16" i="7"/>
  <c r="Q16" i="25" s="1"/>
  <c r="AG16" i="7"/>
  <c r="J16" i="25" s="1"/>
  <c r="AF16" i="7"/>
  <c r="I16" i="25" s="1"/>
  <c r="AD267" i="7"/>
  <c r="Q267" i="25" s="1"/>
  <c r="AG267" i="7"/>
  <c r="J267" i="25" s="1"/>
  <c r="AF267" i="7"/>
  <c r="I267" i="25" s="1"/>
  <c r="AD94" i="7"/>
  <c r="AG94" i="7"/>
  <c r="J94" i="25" s="1"/>
  <c r="AF94" i="7"/>
  <c r="I94" i="25" s="1"/>
  <c r="AD104" i="7"/>
  <c r="AG104" i="7"/>
  <c r="J104" i="25" s="1"/>
  <c r="AF104" i="7"/>
  <c r="I104" i="25" s="1"/>
  <c r="AD242" i="7"/>
  <c r="AG242" i="7"/>
  <c r="J242" i="25" s="1"/>
  <c r="AF242" i="7"/>
  <c r="I242" i="25" s="1"/>
  <c r="AD528" i="7"/>
  <c r="AG528" i="7"/>
  <c r="J528" i="25" s="1"/>
  <c r="AF528" i="7"/>
  <c r="I528" i="25" s="1"/>
  <c r="AD282" i="7"/>
  <c r="Q282" i="25" s="1"/>
  <c r="AG282" i="7"/>
  <c r="J282" i="25" s="1"/>
  <c r="AF282" i="7"/>
  <c r="I282" i="25" s="1"/>
  <c r="AD95" i="7"/>
  <c r="AG95" i="7"/>
  <c r="J95" i="25" s="1"/>
  <c r="AF95" i="7"/>
  <c r="I95" i="25" s="1"/>
  <c r="AD276" i="7"/>
  <c r="Q276" i="25" s="1"/>
  <c r="AG276" i="7"/>
  <c r="J276" i="25" s="1"/>
  <c r="AF276" i="7"/>
  <c r="I276" i="25" s="1"/>
  <c r="AD596" i="7"/>
  <c r="Q596" i="25" s="1"/>
  <c r="AG596" i="7"/>
  <c r="J596" i="25" s="1"/>
  <c r="AF596" i="7"/>
  <c r="I596" i="25" s="1"/>
  <c r="AD10" i="7"/>
  <c r="Q10" i="25" s="1"/>
  <c r="AG10" i="7"/>
  <c r="J10" i="25" s="1"/>
  <c r="AF10" i="7"/>
  <c r="I10" i="25" s="1"/>
  <c r="AD62" i="7"/>
  <c r="AG62" i="7"/>
  <c r="J62" i="25" s="1"/>
  <c r="AF62" i="7"/>
  <c r="I62" i="25" s="1"/>
  <c r="AD302" i="7"/>
  <c r="AG302" i="7"/>
  <c r="J302" i="25" s="1"/>
  <c r="AF302" i="7"/>
  <c r="I302" i="25" s="1"/>
  <c r="AD2" i="7"/>
  <c r="Q2" i="25" s="1"/>
  <c r="AG2" i="7"/>
  <c r="J2" i="25" s="1"/>
  <c r="AF2" i="7"/>
  <c r="I2" i="25" s="1"/>
  <c r="AD557" i="7"/>
  <c r="Q557" i="25" s="1"/>
  <c r="AG557" i="7"/>
  <c r="J557" i="25" s="1"/>
  <c r="AF557" i="7"/>
  <c r="I557" i="25" s="1"/>
  <c r="AD269" i="7"/>
  <c r="AG269" i="7"/>
  <c r="J269" i="25" s="1"/>
  <c r="AF269" i="7"/>
  <c r="I269" i="25" s="1"/>
  <c r="AD247" i="7"/>
  <c r="AG247" i="7"/>
  <c r="J247" i="25" s="1"/>
  <c r="AF247" i="7"/>
  <c r="I247" i="25" s="1"/>
  <c r="AD544" i="7"/>
  <c r="Q544" i="25" s="1"/>
  <c r="AG544" i="7"/>
  <c r="J544" i="25" s="1"/>
  <c r="AF544" i="7"/>
  <c r="I544" i="25" s="1"/>
  <c r="AD292" i="7"/>
  <c r="AG292" i="7"/>
  <c r="J292" i="25" s="1"/>
  <c r="AF292" i="7"/>
  <c r="I292" i="25" s="1"/>
  <c r="AD64" i="7"/>
  <c r="AG64" i="7"/>
  <c r="J64" i="25" s="1"/>
  <c r="AF64" i="7"/>
  <c r="I64" i="25" s="1"/>
  <c r="AD332" i="7"/>
  <c r="AG332" i="7"/>
  <c r="J332" i="25" s="1"/>
  <c r="AF332" i="7"/>
  <c r="I332" i="25" s="1"/>
  <c r="AD60" i="7"/>
  <c r="AG60" i="7"/>
  <c r="J60" i="25" s="1"/>
  <c r="AF60" i="7"/>
  <c r="I60" i="25" s="1"/>
  <c r="AD244" i="7"/>
  <c r="AG244" i="7"/>
  <c r="J244" i="25" s="1"/>
  <c r="AF244" i="7"/>
  <c r="I244" i="25" s="1"/>
  <c r="AD486" i="7"/>
  <c r="Q486" i="25" s="1"/>
  <c r="AG486" i="7"/>
  <c r="J486" i="25" s="1"/>
  <c r="AF486" i="7"/>
  <c r="I486" i="25" s="1"/>
  <c r="AD227" i="7"/>
  <c r="AG227" i="7"/>
  <c r="J227" i="25" s="1"/>
  <c r="AF227" i="7"/>
  <c r="I227" i="25" s="1"/>
  <c r="AD576" i="7"/>
  <c r="Q576" i="25" s="1"/>
  <c r="AG576" i="7"/>
  <c r="J576" i="25" s="1"/>
  <c r="AF576" i="7"/>
  <c r="I576" i="25" s="1"/>
  <c r="AD158" i="7"/>
  <c r="AG158" i="7"/>
  <c r="J158" i="25" s="1"/>
  <c r="AF158" i="7"/>
  <c r="I158" i="25" s="1"/>
  <c r="AD83" i="7"/>
  <c r="Q83" i="25" s="1"/>
  <c r="AG83" i="7"/>
  <c r="J83" i="25" s="1"/>
  <c r="AF83" i="7"/>
  <c r="I83" i="25" s="1"/>
  <c r="AD591" i="7"/>
  <c r="AG591" i="7"/>
  <c r="J591" i="25" s="1"/>
  <c r="AF591" i="7"/>
  <c r="I591" i="25" s="1"/>
  <c r="AD550" i="7"/>
  <c r="Q550" i="25" s="1"/>
  <c r="AG550" i="7"/>
  <c r="J550" i="25" s="1"/>
  <c r="AF550" i="7"/>
  <c r="I550" i="25" s="1"/>
  <c r="AD363" i="7"/>
  <c r="AG363" i="7"/>
  <c r="J363" i="25" s="1"/>
  <c r="AF363" i="7"/>
  <c r="I363" i="25" s="1"/>
  <c r="AD241" i="7"/>
  <c r="AG241" i="7"/>
  <c r="J241" i="25" s="1"/>
  <c r="AF241" i="7"/>
  <c r="I241" i="25" s="1"/>
  <c r="AD268" i="7"/>
  <c r="AG268" i="7"/>
  <c r="J268" i="25" s="1"/>
  <c r="AF268" i="7"/>
  <c r="I268" i="25" s="1"/>
  <c r="AD515" i="7"/>
  <c r="Q515" i="25" s="1"/>
  <c r="AG515" i="7"/>
  <c r="J515" i="25" s="1"/>
  <c r="AF515" i="7"/>
  <c r="I515" i="25" s="1"/>
  <c r="AD205" i="7"/>
  <c r="AG205" i="7"/>
  <c r="J205" i="25" s="1"/>
  <c r="AF205" i="7"/>
  <c r="I205" i="25" s="1"/>
  <c r="AD444" i="7"/>
  <c r="Q444" i="25" s="1"/>
  <c r="AG444" i="7"/>
  <c r="J444" i="25" s="1"/>
  <c r="AF444" i="7"/>
  <c r="I444" i="25" s="1"/>
  <c r="AF107" i="7"/>
  <c r="I107" i="25" s="1"/>
  <c r="AF311" i="7"/>
  <c r="I311" i="25" s="1"/>
  <c r="AF112" i="7"/>
  <c r="I112" i="25" s="1"/>
  <c r="AF78" i="7"/>
  <c r="I78" i="25" s="1"/>
  <c r="AF105" i="7"/>
  <c r="I105" i="25" s="1"/>
  <c r="AF299" i="7"/>
  <c r="I299" i="25" s="1"/>
  <c r="AF121" i="7"/>
  <c r="I121" i="25" s="1"/>
  <c r="AF102" i="7"/>
  <c r="I102" i="25" s="1"/>
  <c r="AF331" i="7"/>
  <c r="I331" i="25" s="1"/>
  <c r="AF219" i="7"/>
  <c r="I219" i="25" s="1"/>
  <c r="AF499" i="7"/>
  <c r="I499" i="25" s="1"/>
  <c r="AF58" i="7"/>
  <c r="I58" i="25" s="1"/>
  <c r="AF171" i="7"/>
  <c r="I171" i="25" s="1"/>
  <c r="AF555" i="7"/>
  <c r="I555" i="25" s="1"/>
  <c r="AF3" i="7"/>
  <c r="I3" i="25" s="1"/>
  <c r="AD412" i="7"/>
  <c r="Q412" i="25" s="1"/>
  <c r="AE412" i="7"/>
  <c r="AD383" i="7"/>
  <c r="AE383" i="7"/>
  <c r="AD530" i="7"/>
  <c r="Q530" i="25" s="1"/>
  <c r="AE530" i="7"/>
  <c r="AD217" i="7"/>
  <c r="Q217" i="25" s="1"/>
  <c r="AE217" i="7"/>
  <c r="AD508" i="7"/>
  <c r="AE508" i="7"/>
  <c r="AD420" i="7"/>
  <c r="AE420" i="7"/>
  <c r="AD44" i="7"/>
  <c r="Q44" i="25" s="1"/>
  <c r="AE44" i="7"/>
  <c r="AE431" i="7"/>
  <c r="AE579" i="7"/>
  <c r="AE464" i="7"/>
  <c r="AE85" i="7"/>
  <c r="AE114" i="7"/>
  <c r="AE234" i="7"/>
  <c r="AE343" i="7"/>
  <c r="AE59" i="7"/>
  <c r="AE153" i="7"/>
  <c r="AE122" i="7"/>
  <c r="AE115" i="7"/>
  <c r="AE20" i="7"/>
  <c r="AE498" i="7"/>
  <c r="AE473" i="7"/>
  <c r="AE522" i="7"/>
  <c r="AE376" i="7"/>
  <c r="AE440" i="7"/>
  <c r="AE273" i="7"/>
  <c r="AE293" i="7"/>
  <c r="AE381" i="7"/>
  <c r="AE209" i="7"/>
  <c r="AE188" i="7"/>
  <c r="AE429" i="7"/>
  <c r="AE127" i="7"/>
  <c r="AE143" i="7"/>
  <c r="AE96" i="7"/>
  <c r="AE146" i="7"/>
  <c r="AE246" i="7"/>
  <c r="AE124" i="7"/>
  <c r="AE592" i="7"/>
  <c r="AE139" i="7"/>
  <c r="AE151" i="7"/>
  <c r="AE56" i="7"/>
  <c r="AE55" i="7"/>
  <c r="AE397" i="7"/>
  <c r="AE245" i="7"/>
  <c r="AE32" i="7"/>
  <c r="AE135" i="7"/>
  <c r="AE467" i="7"/>
  <c r="AE492" i="7"/>
  <c r="AE372" i="7"/>
  <c r="AE196" i="7"/>
  <c r="AE266" i="7"/>
  <c r="AC357" i="7"/>
  <c r="AE357" i="7"/>
  <c r="AC165" i="7"/>
  <c r="AE165" i="7"/>
  <c r="AC66" i="7"/>
  <c r="AE66" i="7"/>
  <c r="AC594" i="7"/>
  <c r="AE594" i="7"/>
  <c r="AC277" i="7"/>
  <c r="AE277" i="7"/>
  <c r="AC552" i="7"/>
  <c r="AE552" i="7"/>
  <c r="AC417" i="7"/>
  <c r="AE417" i="7"/>
  <c r="AC448" i="7"/>
  <c r="AE448" i="7"/>
  <c r="AC141" i="7"/>
  <c r="AE141" i="7"/>
  <c r="AC63" i="7"/>
  <c r="AE63" i="7"/>
  <c r="AC507" i="7"/>
  <c r="AE507" i="7"/>
  <c r="AC256" i="7"/>
  <c r="AE256" i="7"/>
  <c r="AC326" i="7"/>
  <c r="AE326" i="7"/>
  <c r="AC236" i="7"/>
  <c r="AE236" i="7"/>
  <c r="AC132" i="7"/>
  <c r="AE132" i="7"/>
  <c r="AC37" i="7"/>
  <c r="AE37" i="7"/>
  <c r="AC475" i="7"/>
  <c r="AE475" i="7"/>
  <c r="AC101" i="7"/>
  <c r="AE101" i="7"/>
  <c r="AC476" i="7"/>
  <c r="AE476" i="7"/>
  <c r="AD378" i="7"/>
  <c r="Q378" i="25" s="1"/>
  <c r="AE378" i="7"/>
  <c r="AD474" i="7"/>
  <c r="Q474" i="25" s="1"/>
  <c r="AE474" i="7"/>
  <c r="AA221" i="7"/>
  <c r="AB221" i="7" s="1"/>
  <c r="AK221" i="7" s="1"/>
  <c r="AE221" i="7"/>
  <c r="AA365" i="7"/>
  <c r="AB365" i="7" s="1"/>
  <c r="AE365" i="7"/>
  <c r="AA43" i="7"/>
  <c r="AB43" i="7" s="1"/>
  <c r="AE43" i="7"/>
  <c r="AD432" i="7"/>
  <c r="AE432" i="7"/>
  <c r="AD272" i="7"/>
  <c r="AE272" i="7"/>
  <c r="AD76" i="7"/>
  <c r="Q76" i="25" s="1"/>
  <c r="AE76" i="7"/>
  <c r="AD589" i="7"/>
  <c r="Q589" i="25" s="1"/>
  <c r="AE589" i="7"/>
  <c r="AD551" i="7"/>
  <c r="Q551" i="25" s="1"/>
  <c r="AE551" i="7"/>
  <c r="AD26" i="7"/>
  <c r="Q26" i="25" s="1"/>
  <c r="AE26" i="7"/>
  <c r="AD159" i="7"/>
  <c r="AE159" i="7"/>
  <c r="AD427" i="7"/>
  <c r="AE427" i="7"/>
  <c r="AD301" i="7"/>
  <c r="Q301" i="25" s="1"/>
  <c r="AE301" i="7"/>
  <c r="AD6" i="7"/>
  <c r="AE6" i="7"/>
  <c r="AD362" i="7"/>
  <c r="Q362" i="25" s="1"/>
  <c r="AE362" i="7"/>
  <c r="AD144" i="7"/>
  <c r="AE144" i="7"/>
  <c r="AD183" i="7"/>
  <c r="AE183" i="7"/>
  <c r="AD500" i="7"/>
  <c r="AE500" i="7"/>
  <c r="AD79" i="7"/>
  <c r="AE79" i="7"/>
  <c r="AD24" i="7"/>
  <c r="AE24" i="7"/>
  <c r="AD61" i="7"/>
  <c r="AE61" i="7"/>
  <c r="AD279" i="7"/>
  <c r="AE279" i="7"/>
  <c r="AD198" i="7"/>
  <c r="AE198" i="7"/>
  <c r="AD354" i="7"/>
  <c r="Q354" i="25" s="1"/>
  <c r="AE354" i="7"/>
  <c r="AD493" i="7"/>
  <c r="AE493" i="7"/>
  <c r="AD318" i="7"/>
  <c r="Q318" i="25" s="1"/>
  <c r="AE318" i="7"/>
  <c r="AD184" i="7"/>
  <c r="AE184" i="7"/>
  <c r="AD570" i="7"/>
  <c r="AE570" i="7"/>
  <c r="AD229" i="7"/>
  <c r="AE229" i="7"/>
  <c r="AD131" i="7"/>
  <c r="AE131" i="7"/>
  <c r="AD40" i="7"/>
  <c r="AE40" i="7"/>
  <c r="AD113" i="7"/>
  <c r="Q113" i="25" s="1"/>
  <c r="AE113" i="7"/>
  <c r="AD458" i="7"/>
  <c r="Q458" i="25" s="1"/>
  <c r="AE458" i="7"/>
  <c r="AD478" i="7"/>
  <c r="AE478" i="7"/>
  <c r="AD308" i="7"/>
  <c r="AE308" i="7"/>
  <c r="AD17" i="7"/>
  <c r="Q17" i="25" s="1"/>
  <c r="AE17" i="7"/>
  <c r="AD316" i="7"/>
  <c r="AE316" i="7"/>
  <c r="AD25" i="7"/>
  <c r="Q25" i="25" s="1"/>
  <c r="AE25" i="7"/>
  <c r="AD204" i="7"/>
  <c r="Q204" i="25" s="1"/>
  <c r="AE204" i="7"/>
  <c r="AD436" i="7"/>
  <c r="Q436" i="25" s="1"/>
  <c r="AE436" i="7"/>
  <c r="AD388" i="7"/>
  <c r="Q388" i="25" s="1"/>
  <c r="AE388" i="7"/>
  <c r="AD11" i="7"/>
  <c r="Q11" i="25" s="1"/>
  <c r="AE11" i="7"/>
  <c r="AD54" i="7"/>
  <c r="Q54" i="25" s="1"/>
  <c r="AE54" i="7"/>
  <c r="AD110" i="7"/>
  <c r="AE110" i="7"/>
  <c r="AD479" i="7"/>
  <c r="AE479" i="7"/>
  <c r="AD81" i="7"/>
  <c r="Q81" i="25" s="1"/>
  <c r="AE81" i="7"/>
  <c r="AD506" i="7"/>
  <c r="AE506" i="7"/>
  <c r="AD99" i="7"/>
  <c r="AE99" i="7"/>
  <c r="AD526" i="7"/>
  <c r="AE526" i="7"/>
  <c r="AD53" i="7"/>
  <c r="AE53" i="7"/>
  <c r="AD484" i="7"/>
  <c r="Q484" i="25" s="1"/>
  <c r="AE484" i="7"/>
  <c r="AD220" i="7"/>
  <c r="Q220" i="25" s="1"/>
  <c r="AE220" i="7"/>
  <c r="AD442" i="7"/>
  <c r="Q442" i="25" s="1"/>
  <c r="AE442" i="7"/>
  <c r="AD421" i="7"/>
  <c r="AE421" i="7"/>
  <c r="AD334" i="7"/>
  <c r="AE334" i="7"/>
  <c r="AD258" i="7"/>
  <c r="Q258" i="25" s="1"/>
  <c r="AE258" i="7"/>
  <c r="AD288" i="7"/>
  <c r="Q288" i="25" s="1"/>
  <c r="AE288" i="7"/>
  <c r="AD250" i="7"/>
  <c r="AE250" i="7"/>
  <c r="AD142" i="7"/>
  <c r="AE142" i="7"/>
  <c r="AD21" i="7"/>
  <c r="AE21" i="7"/>
  <c r="AD536" i="7"/>
  <c r="Q536" i="25" s="1"/>
  <c r="AE536" i="7"/>
  <c r="AD542" i="7"/>
  <c r="Q542" i="25" s="1"/>
  <c r="AE542" i="7"/>
  <c r="AD68" i="7"/>
  <c r="AE68" i="7"/>
  <c r="AD588" i="7"/>
  <c r="Q588" i="25" s="1"/>
  <c r="AE588" i="7"/>
  <c r="AD566" i="7"/>
  <c r="AE566" i="7"/>
  <c r="AD265" i="7"/>
  <c r="AE265" i="7"/>
  <c r="AD164" i="7"/>
  <c r="AE164" i="7"/>
  <c r="AD23" i="7"/>
  <c r="AE23" i="7"/>
  <c r="AD422" i="7"/>
  <c r="AE422" i="7"/>
  <c r="AD455" i="7"/>
  <c r="AE455" i="7"/>
  <c r="AD82" i="7"/>
  <c r="Q82" i="25" s="1"/>
  <c r="AE82" i="7"/>
  <c r="AD248" i="7"/>
  <c r="Q248" i="25" s="1"/>
  <c r="AE248" i="7"/>
  <c r="AD527" i="7"/>
  <c r="AE527" i="7"/>
  <c r="AD447" i="7"/>
  <c r="AE447" i="7"/>
  <c r="AD513" i="7"/>
  <c r="Q513" i="25" s="1"/>
  <c r="AE513" i="7"/>
  <c r="AD390" i="7"/>
  <c r="Q390" i="25" s="1"/>
  <c r="AE390" i="7"/>
  <c r="AD65" i="7"/>
  <c r="AE65" i="7"/>
  <c r="AD259" i="7"/>
  <c r="Q259" i="25" s="1"/>
  <c r="AE259" i="7"/>
  <c r="AD319" i="7"/>
  <c r="Q319" i="25" s="1"/>
  <c r="AE319" i="7"/>
  <c r="AD364" i="7"/>
  <c r="Q364" i="25" s="1"/>
  <c r="AE364" i="7"/>
  <c r="AD496" i="7"/>
  <c r="AE496" i="7"/>
  <c r="AD212" i="7"/>
  <c r="Q212" i="25" s="1"/>
  <c r="AE212" i="7"/>
  <c r="AD540" i="7"/>
  <c r="AE540" i="7"/>
  <c r="AD18" i="7"/>
  <c r="Q18" i="25" s="1"/>
  <c r="AE18" i="7"/>
  <c r="AD446" i="7"/>
  <c r="Q446" i="25" s="1"/>
  <c r="AE446" i="7"/>
  <c r="AD504" i="7"/>
  <c r="Q504" i="25" s="1"/>
  <c r="AE504" i="7"/>
  <c r="AD425" i="7"/>
  <c r="AE425" i="7"/>
  <c r="AD22" i="7"/>
  <c r="AE22" i="7"/>
  <c r="AD80" i="7"/>
  <c r="Q80" i="25" s="1"/>
  <c r="AE80" i="7"/>
  <c r="AD182" i="7"/>
  <c r="AE182" i="7"/>
  <c r="AD441" i="7"/>
  <c r="Q441" i="25" s="1"/>
  <c r="AE441" i="7"/>
  <c r="AD169" i="7"/>
  <c r="Q169" i="25" s="1"/>
  <c r="AE169" i="7"/>
  <c r="AD315" i="7"/>
  <c r="AE315" i="7"/>
  <c r="AD435" i="7"/>
  <c r="Q435" i="25" s="1"/>
  <c r="AE435" i="7"/>
  <c r="AD329" i="7"/>
  <c r="Q329" i="25" s="1"/>
  <c r="AE329" i="7"/>
  <c r="AD347" i="7"/>
  <c r="Q347" i="25" s="1"/>
  <c r="AE347" i="7"/>
  <c r="AD36" i="7"/>
  <c r="Q36" i="25" s="1"/>
  <c r="AE36" i="7"/>
  <c r="AD394" i="7"/>
  <c r="Q394" i="25" s="1"/>
  <c r="AE394" i="7"/>
  <c r="AD235" i="7"/>
  <c r="AE235" i="7"/>
  <c r="AD384" i="7"/>
  <c r="Q384" i="25" s="1"/>
  <c r="AE384" i="7"/>
  <c r="AD451" i="7"/>
  <c r="AE451" i="7"/>
  <c r="AD554" i="7"/>
  <c r="Q554" i="25" s="1"/>
  <c r="AE554" i="7"/>
  <c r="AD539" i="7"/>
  <c r="AE539" i="7"/>
  <c r="AD407" i="7"/>
  <c r="AE407" i="7"/>
  <c r="AD251" i="7"/>
  <c r="AE251" i="7"/>
  <c r="AD4" i="7"/>
  <c r="AE4" i="7"/>
  <c r="AD233" i="7"/>
  <c r="Q233" i="25" s="1"/>
  <c r="AE233" i="7"/>
  <c r="AD360" i="7"/>
  <c r="AE360" i="7"/>
  <c r="AD88" i="7"/>
  <c r="AE88" i="7"/>
  <c r="AD133" i="7"/>
  <c r="Q133" i="25" s="1"/>
  <c r="AE133" i="7"/>
  <c r="AD396" i="7"/>
  <c r="Q396" i="25" s="1"/>
  <c r="AE396" i="7"/>
  <c r="AD366" i="7"/>
  <c r="Q366" i="25" s="1"/>
  <c r="AE366" i="7"/>
  <c r="AD191" i="7"/>
  <c r="Q191" i="25" s="1"/>
  <c r="AE191" i="7"/>
  <c r="AD466" i="7"/>
  <c r="Q466" i="25" s="1"/>
  <c r="AE466" i="7"/>
  <c r="AD125" i="7"/>
  <c r="Q125" i="25" s="1"/>
  <c r="AE125" i="7"/>
  <c r="AD487" i="7"/>
  <c r="Q487" i="25" s="1"/>
  <c r="AE487" i="7"/>
  <c r="AD92" i="7"/>
  <c r="AE92" i="7"/>
  <c r="AD278" i="7"/>
  <c r="Q278" i="25" s="1"/>
  <c r="AE278" i="7"/>
  <c r="AD283" i="7"/>
  <c r="AE283" i="7"/>
  <c r="AD511" i="7"/>
  <c r="Q511" i="25" s="1"/>
  <c r="AE511" i="7"/>
  <c r="AD304" i="7"/>
  <c r="AE304" i="7"/>
  <c r="AD494" i="7"/>
  <c r="AE494" i="7"/>
  <c r="AD223" i="7"/>
  <c r="AE223" i="7"/>
  <c r="AD73" i="7"/>
  <c r="Q73" i="25" s="1"/>
  <c r="AE73" i="7"/>
  <c r="AD449" i="7"/>
  <c r="AE449" i="7"/>
  <c r="AD116" i="7"/>
  <c r="Q116" i="25" s="1"/>
  <c r="AE116" i="7"/>
  <c r="AD156" i="7"/>
  <c r="AE156" i="7"/>
  <c r="AD534" i="7"/>
  <c r="AE534" i="7"/>
  <c r="AD371" i="7"/>
  <c r="Q371" i="25" s="1"/>
  <c r="AE371" i="7"/>
  <c r="AD350" i="7"/>
  <c r="AE350" i="7"/>
  <c r="AD281" i="7"/>
  <c r="Q281" i="25" s="1"/>
  <c r="AE281" i="7"/>
  <c r="AD509" i="7"/>
  <c r="AE509" i="7"/>
  <c r="AD284" i="7"/>
  <c r="AE284" i="7"/>
  <c r="AD490" i="7"/>
  <c r="AE490" i="7"/>
  <c r="AD161" i="7"/>
  <c r="Q161" i="25" s="1"/>
  <c r="AE161" i="7"/>
  <c r="AD147" i="7"/>
  <c r="AE147" i="7"/>
  <c r="AD249" i="7"/>
  <c r="Q249" i="25" s="1"/>
  <c r="AE249" i="7"/>
  <c r="AD185" i="7"/>
  <c r="Q185" i="25" s="1"/>
  <c r="AE185" i="7"/>
  <c r="AD409" i="7"/>
  <c r="Q409" i="25" s="1"/>
  <c r="AE409" i="7"/>
  <c r="AD8" i="7"/>
  <c r="Q8" i="25" s="1"/>
  <c r="AE8" i="7"/>
  <c r="AD424" i="7"/>
  <c r="AE424" i="7"/>
  <c r="AD353" i="7"/>
  <c r="AE353" i="7"/>
  <c r="AD178" i="7"/>
  <c r="Q178" i="25" s="1"/>
  <c r="AE178" i="7"/>
  <c r="AD257" i="7"/>
  <c r="AE257" i="7"/>
  <c r="AD93" i="7"/>
  <c r="Q93" i="25" s="1"/>
  <c r="AE93" i="7"/>
  <c r="AD30" i="7"/>
  <c r="Q30" i="25" s="1"/>
  <c r="AE30" i="7"/>
  <c r="AD51" i="7"/>
  <c r="AE51" i="7"/>
  <c r="AD103" i="7"/>
  <c r="Q103" i="25" s="1"/>
  <c r="AE103" i="7"/>
  <c r="AD393" i="7"/>
  <c r="AE393" i="7"/>
  <c r="AD208" i="7"/>
  <c r="AE208" i="7"/>
  <c r="AD501" i="7"/>
  <c r="Q501" i="25" s="1"/>
  <c r="AE501" i="7"/>
  <c r="AD408" i="7"/>
  <c r="AE408" i="7"/>
  <c r="AD565" i="7"/>
  <c r="Q565" i="25" s="1"/>
  <c r="AE565" i="7"/>
  <c r="AD471" i="7"/>
  <c r="AE471" i="7"/>
  <c r="AD537" i="7"/>
  <c r="Q537" i="25" s="1"/>
  <c r="AE537" i="7"/>
  <c r="AD483" i="7"/>
  <c r="AE483" i="7"/>
  <c r="AD225" i="7"/>
  <c r="AE225" i="7"/>
  <c r="AD197" i="7"/>
  <c r="Q197" i="25" s="1"/>
  <c r="AE197" i="7"/>
  <c r="AD100" i="7"/>
  <c r="AE100" i="7"/>
  <c r="AD351" i="7"/>
  <c r="Q351" i="25" s="1"/>
  <c r="AE351" i="7"/>
  <c r="AD154" i="7"/>
  <c r="AE154" i="7"/>
  <c r="AD457" i="7"/>
  <c r="AE457" i="7"/>
  <c r="AD375" i="7"/>
  <c r="Q375" i="25" s="1"/>
  <c r="AE375" i="7"/>
  <c r="AD545" i="7"/>
  <c r="AE545" i="7"/>
  <c r="AD587" i="7"/>
  <c r="AE587" i="7"/>
  <c r="AD160" i="7"/>
  <c r="AE160" i="7"/>
  <c r="AD262" i="7"/>
  <c r="AE262" i="7"/>
  <c r="AD391" i="7"/>
  <c r="Q391" i="25" s="1"/>
  <c r="AE391" i="7"/>
  <c r="AD337" i="7"/>
  <c r="Q337" i="25" s="1"/>
  <c r="AE337" i="7"/>
  <c r="AD325" i="7"/>
  <c r="AE325" i="7"/>
  <c r="AD213" i="7"/>
  <c r="AE213" i="7"/>
  <c r="AD348" i="7"/>
  <c r="AE348" i="7"/>
  <c r="AD27" i="7"/>
  <c r="AE27" i="7"/>
  <c r="AD415" i="7"/>
  <c r="AE415" i="7"/>
  <c r="AD15" i="7"/>
  <c r="Q15" i="25" s="1"/>
  <c r="AE15" i="7"/>
  <c r="AD502" i="7"/>
  <c r="Q502" i="25" s="1"/>
  <c r="AE502" i="7"/>
  <c r="AD338" i="7"/>
  <c r="AE338" i="7"/>
  <c r="AD410" i="7"/>
  <c r="Q410" i="25" s="1"/>
  <c r="AE410" i="7"/>
  <c r="AD327" i="7"/>
  <c r="AE327" i="7"/>
  <c r="AD57" i="7"/>
  <c r="AE57" i="7"/>
  <c r="AD289" i="7"/>
  <c r="AE289" i="7"/>
  <c r="AD523" i="7"/>
  <c r="AE523" i="7"/>
  <c r="AD562" i="7"/>
  <c r="AE562" i="7"/>
  <c r="AD395" i="7"/>
  <c r="Q395" i="25" s="1"/>
  <c r="AE395" i="7"/>
  <c r="AD181" i="7"/>
  <c r="Q181" i="25" s="1"/>
  <c r="AE181" i="7"/>
  <c r="AD460" i="7"/>
  <c r="Q460" i="25" s="1"/>
  <c r="AE460" i="7"/>
  <c r="AD291" i="7"/>
  <c r="AE291" i="7"/>
  <c r="AD342" i="7"/>
  <c r="Q342" i="25" s="1"/>
  <c r="AE342" i="7"/>
  <c r="AC12" i="7"/>
  <c r="AE12" i="7"/>
  <c r="AC218" i="7"/>
  <c r="AE218" i="7"/>
  <c r="AC107" i="7"/>
  <c r="AE107" i="7"/>
  <c r="AC263" i="7"/>
  <c r="AE263" i="7"/>
  <c r="AC465" i="7"/>
  <c r="AE465" i="7"/>
  <c r="AC214" i="7"/>
  <c r="AE214" i="7"/>
  <c r="AC311" i="7"/>
  <c r="AE311" i="7"/>
  <c r="AC294" i="7"/>
  <c r="AE294" i="7"/>
  <c r="AC525" i="7"/>
  <c r="AE525" i="7"/>
  <c r="AC86" i="7"/>
  <c r="AE86" i="7"/>
  <c r="AC112" i="7"/>
  <c r="AE112" i="7"/>
  <c r="E173" i="7"/>
  <c r="AE173" i="7"/>
  <c r="E243" i="7"/>
  <c r="D243" i="25" s="1"/>
  <c r="AE243" i="7"/>
  <c r="AD580" i="7"/>
  <c r="Q580" i="25" s="1"/>
  <c r="AE580" i="7"/>
  <c r="AD78" i="7"/>
  <c r="Q78" i="25" s="1"/>
  <c r="AE78" i="7"/>
  <c r="AD524" i="7"/>
  <c r="Q524" i="25" s="1"/>
  <c r="AE524" i="7"/>
  <c r="AD437" i="7"/>
  <c r="Q437" i="25" s="1"/>
  <c r="AE437" i="7"/>
  <c r="AD582" i="7"/>
  <c r="Q582" i="25" s="1"/>
  <c r="AE582" i="7"/>
  <c r="AD105" i="7"/>
  <c r="Q105" i="25" s="1"/>
  <c r="AE105" i="7"/>
  <c r="AD514" i="7"/>
  <c r="Q514" i="25" s="1"/>
  <c r="AE514" i="7"/>
  <c r="AC207" i="7"/>
  <c r="AE207" i="7"/>
  <c r="AD571" i="7"/>
  <c r="Q571" i="25" s="1"/>
  <c r="AE571" i="7"/>
  <c r="AD136" i="7"/>
  <c r="AE136" i="7"/>
  <c r="AD121" i="7"/>
  <c r="Q121" i="25" s="1"/>
  <c r="AE121" i="7"/>
  <c r="AD45" i="7"/>
  <c r="Q45" i="25" s="1"/>
  <c r="AE45" i="7"/>
  <c r="AD386" i="7"/>
  <c r="Q386" i="25" s="1"/>
  <c r="AE386" i="7"/>
  <c r="AD575" i="7"/>
  <c r="Q575" i="25" s="1"/>
  <c r="AE575" i="7"/>
  <c r="AD102" i="7"/>
  <c r="Q102" i="25" s="1"/>
  <c r="AE102" i="7"/>
  <c r="AD145" i="7"/>
  <c r="AE145" i="7"/>
  <c r="AD586" i="7"/>
  <c r="Q586" i="25" s="1"/>
  <c r="AE586" i="7"/>
  <c r="AD581" i="7"/>
  <c r="Q581" i="25" s="1"/>
  <c r="AE581" i="7"/>
  <c r="AD331" i="7"/>
  <c r="Q331" i="25" s="1"/>
  <c r="AE331" i="7"/>
  <c r="AD433" i="7"/>
  <c r="AE433" i="7"/>
  <c r="AD137" i="7"/>
  <c r="Q137" i="25" s="1"/>
  <c r="AE137" i="7"/>
  <c r="AD399" i="7"/>
  <c r="AE399" i="7"/>
  <c r="AD219" i="7"/>
  <c r="AE219" i="7"/>
  <c r="AD434" i="7"/>
  <c r="AE434" i="7"/>
  <c r="AD398" i="7"/>
  <c r="Q398" i="25" s="1"/>
  <c r="AE398" i="7"/>
  <c r="AD300" i="7"/>
  <c r="Q300" i="25" s="1"/>
  <c r="AE300" i="7"/>
  <c r="AD499" i="7"/>
  <c r="AE499" i="7"/>
  <c r="AD468" i="7"/>
  <c r="Q468" i="25" s="1"/>
  <c r="AE468" i="7"/>
  <c r="AD148" i="7"/>
  <c r="AE148" i="7"/>
  <c r="AD346" i="7"/>
  <c r="Q346" i="25" s="1"/>
  <c r="AE346" i="7"/>
  <c r="AD58" i="7"/>
  <c r="Q58" i="25" s="1"/>
  <c r="AE58" i="7"/>
  <c r="AD533" i="7"/>
  <c r="Q533" i="25" s="1"/>
  <c r="AE533" i="7"/>
  <c r="AD172" i="7"/>
  <c r="AE172" i="7"/>
  <c r="AD453" i="7"/>
  <c r="AE453" i="7"/>
  <c r="AD171" i="7"/>
  <c r="Q171" i="25" s="1"/>
  <c r="AE171" i="7"/>
  <c r="AD574" i="7"/>
  <c r="Q574" i="25" s="1"/>
  <c r="AE574" i="7"/>
  <c r="AD303" i="7"/>
  <c r="Q303" i="25" s="1"/>
  <c r="AE303" i="7"/>
  <c r="AD255" i="7"/>
  <c r="Q255" i="25" s="1"/>
  <c r="AE255" i="7"/>
  <c r="AD555" i="7"/>
  <c r="Q555" i="25" s="1"/>
  <c r="AE555" i="7"/>
  <c r="AD400" i="7"/>
  <c r="Q400" i="25" s="1"/>
  <c r="AE400" i="7"/>
  <c r="AD286" i="7"/>
  <c r="Q286" i="25" s="1"/>
  <c r="AE286" i="7"/>
  <c r="AD295" i="7"/>
  <c r="Q295" i="25" s="1"/>
  <c r="AE295" i="7"/>
  <c r="AD3" i="7"/>
  <c r="AE3" i="7"/>
  <c r="AD568" i="7"/>
  <c r="AE568" i="7"/>
  <c r="AD548" i="7"/>
  <c r="Q548" i="25" s="1"/>
  <c r="AE548" i="7"/>
  <c r="AD46" i="7"/>
  <c r="AE46" i="7"/>
  <c r="AE459" i="7"/>
  <c r="AE335" i="7"/>
  <c r="AE328" i="7"/>
  <c r="AE330" i="7"/>
  <c r="AE532" i="7"/>
  <c r="AE546" i="7"/>
  <c r="AE186" i="7"/>
  <c r="AE443" i="7"/>
  <c r="AE189" i="7"/>
  <c r="AE230" i="7"/>
  <c r="AE339" i="7"/>
  <c r="AE179" i="7"/>
  <c r="AE119" i="7"/>
  <c r="AE491" i="7"/>
  <c r="AE595" i="7"/>
  <c r="AE16" i="7"/>
  <c r="AE94" i="7"/>
  <c r="AE242" i="7"/>
  <c r="AE282" i="7"/>
  <c r="AE276" i="7"/>
  <c r="AE10" i="7"/>
  <c r="AE302" i="7"/>
  <c r="AE557" i="7"/>
  <c r="AE247" i="7"/>
  <c r="AE292" i="7"/>
  <c r="AE332" i="7"/>
  <c r="AE244" i="7"/>
  <c r="AE227" i="7"/>
  <c r="AE158" i="7"/>
  <c r="AE591" i="7"/>
  <c r="AE363" i="7"/>
  <c r="AE268" i="7"/>
  <c r="AE205" i="7"/>
  <c r="AE91" i="7"/>
  <c r="AE439" i="7"/>
  <c r="AE307" i="7"/>
  <c r="AE155" i="7"/>
  <c r="AE516" i="7"/>
  <c r="AE49" i="7"/>
  <c r="AE510" i="7"/>
  <c r="AE31" i="7"/>
  <c r="AE210" i="7"/>
  <c r="AE89" i="7"/>
  <c r="E543" i="7"/>
  <c r="AE543" i="7"/>
  <c r="E367" i="7"/>
  <c r="AE367" i="7"/>
  <c r="E426" i="7"/>
  <c r="AE426" i="7"/>
  <c r="E239" i="7"/>
  <c r="AE239" i="7"/>
  <c r="E130" i="7"/>
  <c r="AE130" i="7"/>
  <c r="E428" i="7"/>
  <c r="AE428" i="7"/>
  <c r="E454" i="7"/>
  <c r="AE454" i="7"/>
  <c r="E128" i="7"/>
  <c r="AE128" i="7"/>
  <c r="E7" i="7"/>
  <c r="V7" i="7" s="1"/>
  <c r="AE7" i="7"/>
  <c r="E108" i="7"/>
  <c r="AE108" i="7"/>
  <c r="E480" i="7"/>
  <c r="AE480" i="7"/>
  <c r="E584" i="7"/>
  <c r="AE584" i="7"/>
  <c r="E518" i="7"/>
  <c r="AE518" i="7"/>
  <c r="E573" i="7"/>
  <c r="AE573" i="7"/>
  <c r="E341" i="7"/>
  <c r="AE341" i="7"/>
  <c r="E106" i="7"/>
  <c r="AE106" i="7"/>
  <c r="E28" i="7"/>
  <c r="AE28" i="7"/>
  <c r="E352" i="7"/>
  <c r="AE352" i="7"/>
  <c r="AC253" i="7"/>
  <c r="AE253" i="7"/>
  <c r="AC231" i="7"/>
  <c r="AE231" i="7"/>
  <c r="AC252" i="7"/>
  <c r="AE252" i="7"/>
  <c r="AC549" i="7"/>
  <c r="AE549" i="7"/>
  <c r="AE349" i="7"/>
  <c r="AE274" i="7"/>
  <c r="AE42" i="7"/>
  <c r="AE569" i="7"/>
  <c r="AE211" i="7"/>
  <c r="AE216" i="7"/>
  <c r="AE19" i="7"/>
  <c r="AE38" i="7"/>
  <c r="AE33" i="7"/>
  <c r="AE117" i="7"/>
  <c r="AE313" i="7"/>
  <c r="AE202" i="7"/>
  <c r="AE402" i="7"/>
  <c r="AE320" i="7"/>
  <c r="AE35" i="7"/>
  <c r="AE152" i="7"/>
  <c r="AE419" i="7"/>
  <c r="AE287" i="7"/>
  <c r="AE199" i="7"/>
  <c r="AE120" i="7"/>
  <c r="AE368" i="7"/>
  <c r="AE535" i="7"/>
  <c r="AE345" i="7"/>
  <c r="AE309" i="7"/>
  <c r="AE482" i="7"/>
  <c r="AE414" i="7"/>
  <c r="AE271" i="7"/>
  <c r="AE48" i="7"/>
  <c r="AE356" i="7"/>
  <c r="AE336" i="7"/>
  <c r="AE585" i="7"/>
  <c r="AE187" i="7"/>
  <c r="AE472" i="7"/>
  <c r="AE296" i="7"/>
  <c r="AE237" i="7"/>
  <c r="AE312" i="7"/>
  <c r="AE275" i="7"/>
  <c r="AE333" i="7"/>
  <c r="AE67" i="7"/>
  <c r="AE190" i="7"/>
  <c r="AE406" i="7"/>
  <c r="AE324" i="7"/>
  <c r="AE321" i="7"/>
  <c r="AD166" i="7"/>
  <c r="Q166" i="25" s="1"/>
  <c r="AE166" i="7"/>
  <c r="AC538" i="7"/>
  <c r="AE538" i="7"/>
  <c r="AC260" i="7"/>
  <c r="AE260" i="7"/>
  <c r="AC126" i="7"/>
  <c r="AE126" i="7"/>
  <c r="AC254" i="7"/>
  <c r="AE254" i="7"/>
  <c r="AC238" i="7"/>
  <c r="AE238" i="7"/>
  <c r="AC558" i="7"/>
  <c r="AE558" i="7"/>
  <c r="AC9" i="7"/>
  <c r="AE9" i="7"/>
  <c r="AC485" i="7"/>
  <c r="AE485" i="7"/>
  <c r="AC463" i="7"/>
  <c r="AE463" i="7"/>
  <c r="AC456" i="7"/>
  <c r="AE456" i="7"/>
  <c r="AC462" i="7"/>
  <c r="AE462" i="7"/>
  <c r="AC405" i="7"/>
  <c r="AE405" i="7"/>
  <c r="AC497" i="7"/>
  <c r="AE497" i="7"/>
  <c r="AC358" i="7"/>
  <c r="AE358" i="7"/>
  <c r="AC97" i="7"/>
  <c r="AE97" i="7"/>
  <c r="AC561" i="7"/>
  <c r="AE561" i="7"/>
  <c r="AC369" i="7"/>
  <c r="AE369" i="7"/>
  <c r="AC556" i="7"/>
  <c r="AE556" i="7"/>
  <c r="AC180" i="7"/>
  <c r="AE180" i="7"/>
  <c r="AC452" i="7"/>
  <c r="AE452" i="7"/>
  <c r="AC317" i="7"/>
  <c r="AE317" i="7"/>
  <c r="AC226" i="7"/>
  <c r="AE226" i="7"/>
  <c r="AD280" i="7"/>
  <c r="Q280" i="25" s="1"/>
  <c r="AE280" i="7"/>
  <c r="AD340" i="7"/>
  <c r="AE340" i="7"/>
  <c r="AD215" i="7"/>
  <c r="AE215" i="7"/>
  <c r="AE194" i="7"/>
  <c r="AE564" i="7"/>
  <c r="AE370" i="7"/>
  <c r="AE521" i="7"/>
  <c r="AE377" i="7"/>
  <c r="AE129" i="7"/>
  <c r="AE206" i="7"/>
  <c r="AE310" i="7"/>
  <c r="AE264" i="7"/>
  <c r="AE563" i="7"/>
  <c r="AE201" i="7"/>
  <c r="AE519" i="7"/>
  <c r="AE224" i="7"/>
  <c r="AE413" i="7"/>
  <c r="AE270" i="7"/>
  <c r="AE267" i="7"/>
  <c r="AE104" i="7"/>
  <c r="AE528" i="7"/>
  <c r="AE95" i="7"/>
  <c r="AE596" i="7"/>
  <c r="AE62" i="7"/>
  <c r="AE2" i="7"/>
  <c r="AE269" i="7"/>
  <c r="AE544" i="7"/>
  <c r="AE64" i="7"/>
  <c r="AE60" i="7"/>
  <c r="AE486" i="7"/>
  <c r="AE576" i="7"/>
  <c r="AE83" i="7"/>
  <c r="AE550" i="7"/>
  <c r="AE241" i="7"/>
  <c r="AE515" i="7"/>
  <c r="AE444" i="7"/>
  <c r="AE559" i="7"/>
  <c r="AE138" i="7"/>
  <c r="AE577" i="7"/>
  <c r="AE167" i="7"/>
  <c r="AE72" i="7"/>
  <c r="AE285" i="7"/>
  <c r="AE193" i="7"/>
  <c r="AE423" i="7"/>
  <c r="AE69" i="7"/>
  <c r="AE163" i="7"/>
  <c r="AE39" i="7"/>
  <c r="AC489" i="7"/>
  <c r="AD489" i="7"/>
  <c r="AC228" i="7"/>
  <c r="AD228" i="7"/>
  <c r="AC87" i="7"/>
  <c r="AD87" i="7"/>
  <c r="AC77" i="7"/>
  <c r="AD77" i="7"/>
  <c r="Q77" i="25" s="1"/>
  <c r="AC175" i="7"/>
  <c r="AD175" i="7"/>
  <c r="Q175" i="25" s="1"/>
  <c r="AC392" i="7"/>
  <c r="AD392" i="7"/>
  <c r="Q392" i="25" s="1"/>
  <c r="AC50" i="7"/>
  <c r="AD50" i="7"/>
  <c r="AC170" i="7"/>
  <c r="AD170" i="7"/>
  <c r="AC41" i="7"/>
  <c r="AD41" i="7"/>
  <c r="Q41" i="25" s="1"/>
  <c r="AC379" i="7"/>
  <c r="AD379" i="7"/>
  <c r="Q379" i="25" s="1"/>
  <c r="AC418" i="7"/>
  <c r="AD418" i="7"/>
  <c r="AC495" i="7"/>
  <c r="AD495" i="7"/>
  <c r="Q495" i="25" s="1"/>
  <c r="AC541" i="7"/>
  <c r="AD541" i="7"/>
  <c r="AC385" i="7"/>
  <c r="AD385" i="7"/>
  <c r="Q385" i="25" s="1"/>
  <c r="AC298" i="7"/>
  <c r="AD298" i="7"/>
  <c r="Q298" i="25" s="1"/>
  <c r="AC374" i="7"/>
  <c r="AD374" i="7"/>
  <c r="Q374" i="25" s="1"/>
  <c r="AA560" i="7"/>
  <c r="AB560" i="7" s="1"/>
  <c r="AD560" i="7"/>
  <c r="Q560" i="25" s="1"/>
  <c r="AD194" i="7"/>
  <c r="AD564" i="7"/>
  <c r="AD328" i="7"/>
  <c r="Q328" i="25" s="1"/>
  <c r="AD370" i="7"/>
  <c r="AD330" i="7"/>
  <c r="Q330" i="25" s="1"/>
  <c r="AD521" i="7"/>
  <c r="AD532" i="7"/>
  <c r="Q532" i="25" s="1"/>
  <c r="AD377" i="7"/>
  <c r="AD546" i="7"/>
  <c r="AD129" i="7"/>
  <c r="Q129" i="25" s="1"/>
  <c r="AD186" i="7"/>
  <c r="AD206" i="7"/>
  <c r="Q206" i="25" s="1"/>
  <c r="AD443" i="7"/>
  <c r="Q443" i="25" s="1"/>
  <c r="AD498" i="7"/>
  <c r="Q498" i="25" s="1"/>
  <c r="AD473" i="7"/>
  <c r="Q473" i="25" s="1"/>
  <c r="AD522" i="7"/>
  <c r="Q522" i="25" s="1"/>
  <c r="AD376" i="7"/>
  <c r="AD440" i="7"/>
  <c r="Q440" i="25" s="1"/>
  <c r="AD273" i="7"/>
  <c r="Q273" i="25" s="1"/>
  <c r="AD293" i="7"/>
  <c r="Q293" i="25" s="1"/>
  <c r="AD381" i="7"/>
  <c r="Q381" i="25" s="1"/>
  <c r="AD209" i="7"/>
  <c r="AD188" i="7"/>
  <c r="Q188" i="25" s="1"/>
  <c r="AD429" i="7"/>
  <c r="AD127" i="7"/>
  <c r="AD143" i="7"/>
  <c r="AD96" i="7"/>
  <c r="AD357" i="7"/>
  <c r="Q357" i="25" s="1"/>
  <c r="AD126" i="7"/>
  <c r="Q126" i="25" s="1"/>
  <c r="AD254" i="7"/>
  <c r="Q254" i="25" s="1"/>
  <c r="AD238" i="7"/>
  <c r="Q238" i="25" s="1"/>
  <c r="AD558" i="7"/>
  <c r="AD9" i="7"/>
  <c r="Q9" i="25" s="1"/>
  <c r="AD485" i="7"/>
  <c r="Q485" i="25" s="1"/>
  <c r="AD463" i="7"/>
  <c r="Q463" i="25" s="1"/>
  <c r="AD456" i="7"/>
  <c r="AD462" i="7"/>
  <c r="Q462" i="25" s="1"/>
  <c r="AD405" i="7"/>
  <c r="Q405" i="25" s="1"/>
  <c r="AD507" i="7"/>
  <c r="Q507" i="25" s="1"/>
  <c r="AD358" i="7"/>
  <c r="Q358" i="25" s="1"/>
  <c r="AD326" i="7"/>
  <c r="AD236" i="7"/>
  <c r="Q236" i="25" s="1"/>
  <c r="AD132" i="7"/>
  <c r="AD37" i="7"/>
  <c r="Q37" i="25" s="1"/>
  <c r="AD180" i="7"/>
  <c r="Q180" i="25" s="1"/>
  <c r="AD101" i="7"/>
  <c r="Q101" i="25" s="1"/>
  <c r="AD226" i="7"/>
  <c r="Q226" i="25" s="1"/>
  <c r="AC149" i="7"/>
  <c r="AD149" i="7"/>
  <c r="Q149" i="25" s="1"/>
  <c r="AC481" i="7"/>
  <c r="AD481" i="7"/>
  <c r="AC531" i="7"/>
  <c r="AD531" i="7"/>
  <c r="Q531" i="25" s="1"/>
  <c r="AC98" i="7"/>
  <c r="AD98" i="7"/>
  <c r="AC517" i="7"/>
  <c r="AD517" i="7"/>
  <c r="Q517" i="25" s="1"/>
  <c r="AC29" i="7"/>
  <c r="AD29" i="7"/>
  <c r="AC389" i="7"/>
  <c r="AD389" i="7"/>
  <c r="AC5" i="7"/>
  <c r="AD5" i="7"/>
  <c r="AC177" i="7"/>
  <c r="AD177" i="7"/>
  <c r="Q177" i="25" s="1"/>
  <c r="AC355" i="7"/>
  <c r="AD355" i="7"/>
  <c r="Q355" i="25" s="1"/>
  <c r="AC359" i="7"/>
  <c r="AD359" i="7"/>
  <c r="AC469" i="7"/>
  <c r="AD469" i="7"/>
  <c r="AC488" i="7"/>
  <c r="AD488" i="7"/>
  <c r="Q488" i="25" s="1"/>
  <c r="AC174" i="7"/>
  <c r="AD174" i="7"/>
  <c r="AA382" i="7"/>
  <c r="AB382" i="7" s="1"/>
  <c r="AD382" i="7"/>
  <c r="Q382" i="25" s="1"/>
  <c r="AA222" i="7"/>
  <c r="AD222" i="7"/>
  <c r="Q222" i="25" s="1"/>
  <c r="AA305" i="7"/>
  <c r="AD305" i="7"/>
  <c r="Q305" i="25" s="1"/>
  <c r="AA503" i="7"/>
  <c r="AD503" i="7"/>
  <c r="Q503" i="25" s="1"/>
  <c r="AA203" i="7"/>
  <c r="AB203" i="7" s="1"/>
  <c r="AD203" i="7"/>
  <c r="AA14" i="7"/>
  <c r="AB14" i="7" s="1"/>
  <c r="AD14" i="7"/>
  <c r="Q14" i="25" s="1"/>
  <c r="AA361" i="7"/>
  <c r="AB361" i="7" s="1"/>
  <c r="AD361" i="7"/>
  <c r="AA52" i="7"/>
  <c r="AB52" i="7" s="1"/>
  <c r="AD52" i="7"/>
  <c r="Q52" i="25" s="1"/>
  <c r="AA512" i="7"/>
  <c r="AB512" i="7" s="1"/>
  <c r="AD512" i="7"/>
  <c r="Q512" i="25" s="1"/>
  <c r="AA195" i="7"/>
  <c r="AB195" i="7" s="1"/>
  <c r="AD195" i="7"/>
  <c r="AA109" i="7"/>
  <c r="AB109" i="7" s="1"/>
  <c r="AD109" i="7"/>
  <c r="AA240" i="7"/>
  <c r="AB240" i="7" s="1"/>
  <c r="AD240" i="7"/>
  <c r="AA118" i="7"/>
  <c r="AB118" i="7" s="1"/>
  <c r="AD118" i="7"/>
  <c r="AA200" i="7"/>
  <c r="AB200" i="7" s="1"/>
  <c r="AD200" i="7"/>
  <c r="AD431" i="7"/>
  <c r="Q431" i="25" s="1"/>
  <c r="AD12" i="7"/>
  <c r="Q12" i="25" s="1"/>
  <c r="AD218" i="7"/>
  <c r="AD107" i="7"/>
  <c r="Q107" i="25" s="1"/>
  <c r="AD263" i="7"/>
  <c r="Q263" i="25" s="1"/>
  <c r="AD465" i="7"/>
  <c r="Q465" i="25" s="1"/>
  <c r="AD214" i="7"/>
  <c r="AD311" i="7"/>
  <c r="Q311" i="25" s="1"/>
  <c r="AD294" i="7"/>
  <c r="Q294" i="25" s="1"/>
  <c r="AD525" i="7"/>
  <c r="Q525" i="25" s="1"/>
  <c r="AD86" i="7"/>
  <c r="AD112" i="7"/>
  <c r="AD173" i="7"/>
  <c r="Q173" i="25" s="1"/>
  <c r="AD243" i="7"/>
  <c r="AD207" i="7"/>
  <c r="Q207" i="25" s="1"/>
  <c r="AD549" i="7"/>
  <c r="Q549" i="25" s="1"/>
  <c r="AD559" i="7"/>
  <c r="AD135" i="7"/>
  <c r="Q135" i="25" s="1"/>
  <c r="AD333" i="7"/>
  <c r="AD467" i="7"/>
  <c r="Q467" i="25" s="1"/>
  <c r="AD67" i="7"/>
  <c r="AD492" i="7"/>
  <c r="AD190" i="7"/>
  <c r="Q190" i="25" s="1"/>
  <c r="AD372" i="7"/>
  <c r="AD406" i="7"/>
  <c r="Q406" i="25" s="1"/>
  <c r="AD196" i="7"/>
  <c r="AD324" i="7"/>
  <c r="AD266" i="7"/>
  <c r="Q266" i="25" s="1"/>
  <c r="AD321" i="7"/>
  <c r="AC445" i="7"/>
  <c r="AD445" i="7"/>
  <c r="Q445" i="25" s="1"/>
  <c r="AC299" i="7"/>
  <c r="AD299" i="7"/>
  <c r="Q299" i="25" s="1"/>
  <c r="AC438" i="7"/>
  <c r="AD438" i="7"/>
  <c r="Q438" i="25" s="1"/>
  <c r="AD459" i="7"/>
  <c r="Q459" i="25" s="1"/>
  <c r="AD335" i="7"/>
  <c r="AD543" i="7"/>
  <c r="Q543" i="25" s="1"/>
  <c r="AD367" i="7"/>
  <c r="Q367" i="25" s="1"/>
  <c r="AD426" i="7"/>
  <c r="AD239" i="7"/>
  <c r="AD130" i="7"/>
  <c r="AD428" i="7"/>
  <c r="AD454" i="7"/>
  <c r="Q454" i="25" s="1"/>
  <c r="AD128" i="7"/>
  <c r="AD7" i="7"/>
  <c r="AD108" i="7"/>
  <c r="Q108" i="25" s="1"/>
  <c r="AD480" i="7"/>
  <c r="AD584" i="7"/>
  <c r="AD518" i="7"/>
  <c r="Q518" i="25" s="1"/>
  <c r="AD573" i="7"/>
  <c r="AD341" i="7"/>
  <c r="AD106" i="7"/>
  <c r="AD28" i="7"/>
  <c r="Q28" i="25" s="1"/>
  <c r="AD352" i="7"/>
  <c r="AD253" i="7"/>
  <c r="AD231" i="7"/>
  <c r="Q231" i="25" s="1"/>
  <c r="AD252" i="7"/>
  <c r="AD402" i="7"/>
  <c r="Q402" i="25" s="1"/>
  <c r="AD320" i="7"/>
  <c r="AD35" i="7"/>
  <c r="AD152" i="7"/>
  <c r="Q152" i="25" s="1"/>
  <c r="AD419" i="7"/>
  <c r="AD287" i="7"/>
  <c r="AD199" i="7"/>
  <c r="AD120" i="7"/>
  <c r="AD368" i="7"/>
  <c r="Q368" i="25" s="1"/>
  <c r="AD535" i="7"/>
  <c r="Q535" i="25" s="1"/>
  <c r="AD345" i="7"/>
  <c r="Q345" i="25" s="1"/>
  <c r="AD309" i="7"/>
  <c r="AD482" i="7"/>
  <c r="AD414" i="7"/>
  <c r="AD271" i="7"/>
  <c r="AD538" i="7"/>
  <c r="Q538" i="25" s="1"/>
  <c r="AD165" i="7"/>
  <c r="Q165" i="25" s="1"/>
  <c r="AD66" i="7"/>
  <c r="Q66" i="25" s="1"/>
  <c r="AD594" i="7"/>
  <c r="AD277" i="7"/>
  <c r="AD552" i="7"/>
  <c r="Q552" i="25" s="1"/>
  <c r="AD417" i="7"/>
  <c r="AD448" i="7"/>
  <c r="Q448" i="25" s="1"/>
  <c r="AD141" i="7"/>
  <c r="AD63" i="7"/>
  <c r="AD497" i="7"/>
  <c r="Q497" i="25" s="1"/>
  <c r="AD256" i="7"/>
  <c r="Q256" i="25" s="1"/>
  <c r="AD97" i="7"/>
  <c r="AD561" i="7"/>
  <c r="Q561" i="25" s="1"/>
  <c r="AD369" i="7"/>
  <c r="AD556" i="7"/>
  <c r="AD475" i="7"/>
  <c r="Q475" i="25" s="1"/>
  <c r="AD452" i="7"/>
  <c r="Q452" i="25" s="1"/>
  <c r="AD317" i="7"/>
  <c r="AD476" i="7"/>
  <c r="Q476" i="25" s="1"/>
  <c r="AC111" i="7"/>
  <c r="AD111" i="7"/>
  <c r="AC373" i="7"/>
  <c r="AD373" i="7"/>
  <c r="Q373" i="25" s="1"/>
  <c r="AC162" i="7"/>
  <c r="AD162" i="7"/>
  <c r="AC401" i="7"/>
  <c r="AD401" i="7"/>
  <c r="Q401" i="25" s="1"/>
  <c r="AC578" i="7"/>
  <c r="AD578" i="7"/>
  <c r="Q578" i="25" s="1"/>
  <c r="AC529" i="7"/>
  <c r="AD529" i="7"/>
  <c r="AC74" i="7"/>
  <c r="AD74" i="7"/>
  <c r="AC411" i="7"/>
  <c r="AD411" i="7"/>
  <c r="AC344" i="7"/>
  <c r="AD344" i="7"/>
  <c r="Q344" i="25" s="1"/>
  <c r="AC90" i="7"/>
  <c r="AD90" i="7"/>
  <c r="AC470" i="7"/>
  <c r="AD470" i="7"/>
  <c r="AC290" i="7"/>
  <c r="AD290" i="7"/>
  <c r="AC314" i="7"/>
  <c r="AD314" i="7"/>
  <c r="Q314" i="25" s="1"/>
  <c r="AC430" i="7"/>
  <c r="AD430" i="7"/>
  <c r="AC583" i="7"/>
  <c r="AD583" i="7"/>
  <c r="Q583" i="25" s="1"/>
  <c r="AC140" i="7"/>
  <c r="AD140" i="7"/>
  <c r="AC593" i="7"/>
  <c r="AD593" i="7"/>
  <c r="Q593" i="25" s="1"/>
  <c r="AC261" i="7"/>
  <c r="AD261" i="7"/>
  <c r="AC323" i="7"/>
  <c r="AD323" i="7"/>
  <c r="Q323" i="25" s="1"/>
  <c r="AC404" i="7"/>
  <c r="AD404" i="7"/>
  <c r="AC461" i="7"/>
  <c r="AD461" i="7"/>
  <c r="Q461" i="25" s="1"/>
  <c r="AC553" i="7"/>
  <c r="AD553" i="7"/>
  <c r="Q553" i="25" s="1"/>
  <c r="AC590" i="7"/>
  <c r="AD590" i="7"/>
  <c r="Q590" i="25" s="1"/>
  <c r="AC547" i="7"/>
  <c r="AD547" i="7"/>
  <c r="Q547" i="25" s="1"/>
  <c r="AC34" i="7"/>
  <c r="AD34" i="7"/>
  <c r="Q34" i="25" s="1"/>
  <c r="AC84" i="7"/>
  <c r="AD84" i="7"/>
  <c r="Q84" i="25" s="1"/>
  <c r="AC176" i="7"/>
  <c r="AD176" i="7"/>
  <c r="AC232" i="7"/>
  <c r="AD232" i="7"/>
  <c r="AC134" i="7"/>
  <c r="AD134" i="7"/>
  <c r="Q134" i="25" s="1"/>
  <c r="AC71" i="7"/>
  <c r="AD71" i="7"/>
  <c r="AC70" i="7"/>
  <c r="AD70" i="7"/>
  <c r="Q70" i="25" s="1"/>
  <c r="AC416" i="7"/>
  <c r="AD416" i="7"/>
  <c r="AC123" i="7"/>
  <c r="AD123" i="7"/>
  <c r="Q123" i="25" s="1"/>
  <c r="AC150" i="7"/>
  <c r="AD150" i="7"/>
  <c r="Q150" i="25" s="1"/>
  <c r="AC403" i="7"/>
  <c r="AD403" i="7"/>
  <c r="Q403" i="25" s="1"/>
  <c r="AC192" i="7"/>
  <c r="AD192" i="7"/>
  <c r="AC450" i="7"/>
  <c r="AD450" i="7"/>
  <c r="Q450" i="25" s="1"/>
  <c r="AC168" i="7"/>
  <c r="AD168" i="7"/>
  <c r="AC505" i="7"/>
  <c r="AD505" i="7"/>
  <c r="Q505" i="25" s="1"/>
  <c r="AC380" i="7"/>
  <c r="AD380" i="7"/>
  <c r="AC572" i="7"/>
  <c r="AD572" i="7"/>
  <c r="AC306" i="7"/>
  <c r="AD306" i="7"/>
  <c r="Q306" i="25" s="1"/>
  <c r="AC297" i="7"/>
  <c r="AD297" i="7"/>
  <c r="Q297" i="25" s="1"/>
  <c r="AC13" i="7"/>
  <c r="AD13" i="7"/>
  <c r="Q13" i="25" s="1"/>
  <c r="AC157" i="7"/>
  <c r="AD157" i="7"/>
  <c r="Q157" i="25" s="1"/>
  <c r="AC477" i="7"/>
  <c r="AD477" i="7"/>
  <c r="AC387" i="7"/>
  <c r="AD387" i="7"/>
  <c r="Q387" i="25" s="1"/>
  <c r="AC322" i="7"/>
  <c r="AD322" i="7"/>
  <c r="AC75" i="7"/>
  <c r="AD75" i="7"/>
  <c r="AC47" i="7"/>
  <c r="AD47" i="7"/>
  <c r="AC520" i="7"/>
  <c r="AD520" i="7"/>
  <c r="Q520" i="25" s="1"/>
  <c r="AC567" i="7"/>
  <c r="AD567" i="7"/>
  <c r="Q567" i="25" s="1"/>
  <c r="AD349" i="7"/>
  <c r="Q349" i="25" s="1"/>
  <c r="AD274" i="7"/>
  <c r="Q274" i="25" s="1"/>
  <c r="AD579" i="7"/>
  <c r="Q579" i="25" s="1"/>
  <c r="AD42" i="7"/>
  <c r="AD464" i="7"/>
  <c r="Q464" i="25" s="1"/>
  <c r="AD569" i="7"/>
  <c r="Q569" i="25" s="1"/>
  <c r="AD85" i="7"/>
  <c r="Q85" i="25" s="1"/>
  <c r="AD211" i="7"/>
  <c r="AD114" i="7"/>
  <c r="AD216" i="7"/>
  <c r="Q216" i="25" s="1"/>
  <c r="AD234" i="7"/>
  <c r="Q234" i="25" s="1"/>
  <c r="AD19" i="7"/>
  <c r="AD343" i="7"/>
  <c r="Q343" i="25" s="1"/>
  <c r="AD38" i="7"/>
  <c r="Q38" i="25" s="1"/>
  <c r="AD59" i="7"/>
  <c r="Q59" i="25" s="1"/>
  <c r="AD33" i="7"/>
  <c r="Q33" i="25" s="1"/>
  <c r="AD153" i="7"/>
  <c r="AD117" i="7"/>
  <c r="AD122" i="7"/>
  <c r="AD313" i="7"/>
  <c r="AD115" i="7"/>
  <c r="Q115" i="25" s="1"/>
  <c r="AD202" i="7"/>
  <c r="AD20" i="7"/>
  <c r="Q20" i="25" s="1"/>
  <c r="AD260" i="7"/>
  <c r="Q260" i="25" s="1"/>
  <c r="AD221" i="7"/>
  <c r="Q221" i="25" s="1"/>
  <c r="AD365" i="7"/>
  <c r="AD43" i="7"/>
  <c r="Q43" i="25" s="1"/>
  <c r="E146" i="7"/>
  <c r="AC146" i="7"/>
  <c r="E48" i="7"/>
  <c r="AC48" i="7"/>
  <c r="E246" i="7"/>
  <c r="AC246" i="7"/>
  <c r="E356" i="7"/>
  <c r="AC356" i="7"/>
  <c r="E124" i="7"/>
  <c r="AC124" i="7"/>
  <c r="E336" i="7"/>
  <c r="AC336" i="7"/>
  <c r="E592" i="7"/>
  <c r="AC592" i="7"/>
  <c r="E585" i="7"/>
  <c r="AC585" i="7"/>
  <c r="E139" i="7"/>
  <c r="AC139" i="7"/>
  <c r="E187" i="7"/>
  <c r="AC187" i="7"/>
  <c r="E151" i="7"/>
  <c r="AC151" i="7"/>
  <c r="E472" i="7"/>
  <c r="AC472" i="7"/>
  <c r="AC194" i="7"/>
  <c r="AC564" i="7"/>
  <c r="AC328" i="7"/>
  <c r="AC370" i="7"/>
  <c r="AC330" i="7"/>
  <c r="AC521" i="7"/>
  <c r="AC532" i="7"/>
  <c r="AC377" i="7"/>
  <c r="AC546" i="7"/>
  <c r="AC129" i="7"/>
  <c r="AC186" i="7"/>
  <c r="AC206" i="7"/>
  <c r="AC443" i="7"/>
  <c r="AC243" i="7"/>
  <c r="AC33" i="7"/>
  <c r="AC117" i="7"/>
  <c r="AC313" i="7"/>
  <c r="AC202" i="7"/>
  <c r="AC402" i="7"/>
  <c r="AC320" i="7"/>
  <c r="AC35" i="7"/>
  <c r="AC152" i="7"/>
  <c r="AC419" i="7"/>
  <c r="AC287" i="7"/>
  <c r="AC199" i="7"/>
  <c r="AC120" i="7"/>
  <c r="AC368" i="7"/>
  <c r="AC535" i="7"/>
  <c r="AC345" i="7"/>
  <c r="AC309" i="7"/>
  <c r="AC482" i="7"/>
  <c r="AC414" i="7"/>
  <c r="AC271" i="7"/>
  <c r="AC305" i="7"/>
  <c r="AC365" i="7"/>
  <c r="AC361" i="7"/>
  <c r="AC109" i="7"/>
  <c r="AC135" i="7"/>
  <c r="AC492" i="7"/>
  <c r="AC196" i="7"/>
  <c r="AA55" i="7"/>
  <c r="AC55" i="7"/>
  <c r="AA91" i="7"/>
  <c r="AB91" i="7" s="1"/>
  <c r="AC91" i="7"/>
  <c r="AA474" i="7"/>
  <c r="AC474" i="7"/>
  <c r="AA296" i="7"/>
  <c r="AB296" i="7" s="1"/>
  <c r="AC296" i="7"/>
  <c r="AA138" i="7"/>
  <c r="AB138" i="7" s="1"/>
  <c r="AC138" i="7"/>
  <c r="AA412" i="7"/>
  <c r="AB412" i="7" s="1"/>
  <c r="AC412" i="7"/>
  <c r="AA439" i="7"/>
  <c r="AC439" i="7"/>
  <c r="AA383" i="7"/>
  <c r="AB383" i="7" s="1"/>
  <c r="AC383" i="7"/>
  <c r="AA237" i="7"/>
  <c r="AB237" i="7" s="1"/>
  <c r="AK237" i="7" s="1"/>
  <c r="AC237" i="7"/>
  <c r="AA530" i="7"/>
  <c r="AB530" i="7" s="1"/>
  <c r="AC530" i="7"/>
  <c r="AA432" i="7"/>
  <c r="AB432" i="7" s="1"/>
  <c r="AK432" i="7" s="1"/>
  <c r="AC432" i="7"/>
  <c r="AA167" i="7"/>
  <c r="AB167" i="7" s="1"/>
  <c r="AC167" i="7"/>
  <c r="AA32" i="7"/>
  <c r="AB32" i="7" s="1"/>
  <c r="AC32" i="7"/>
  <c r="AA420" i="7"/>
  <c r="AB420" i="7" s="1"/>
  <c r="AK420" i="7" s="1"/>
  <c r="AC420" i="7"/>
  <c r="AA49" i="7"/>
  <c r="AC49" i="7"/>
  <c r="AA301" i="7"/>
  <c r="AB301" i="7" s="1"/>
  <c r="AC301" i="7"/>
  <c r="AA6" i="7"/>
  <c r="AB6" i="7" s="1"/>
  <c r="AC6" i="7"/>
  <c r="AA193" i="7"/>
  <c r="AB193" i="7" s="1"/>
  <c r="AC193" i="7"/>
  <c r="AA61" i="7"/>
  <c r="AB61" i="7" s="1"/>
  <c r="AC61" i="7"/>
  <c r="AA279" i="7"/>
  <c r="AB279" i="7" s="1"/>
  <c r="AC279" i="7"/>
  <c r="AA69" i="7"/>
  <c r="AC69" i="7"/>
  <c r="AA198" i="7"/>
  <c r="AB198" i="7" s="1"/>
  <c r="AC198" i="7"/>
  <c r="AA458" i="7"/>
  <c r="AB458" i="7" s="1"/>
  <c r="AC458" i="7"/>
  <c r="AA99" i="7"/>
  <c r="AB99" i="7" s="1"/>
  <c r="AC99" i="7"/>
  <c r="AA526" i="7"/>
  <c r="AB526" i="7" s="1"/>
  <c r="AC526" i="7"/>
  <c r="AA334" i="7"/>
  <c r="AB334" i="7" s="1"/>
  <c r="AC334" i="7"/>
  <c r="AA250" i="7"/>
  <c r="AC250" i="7"/>
  <c r="AA536" i="7"/>
  <c r="AB536" i="7" s="1"/>
  <c r="AC536" i="7"/>
  <c r="AA68" i="7"/>
  <c r="AB68" i="7" s="1"/>
  <c r="AC68" i="7"/>
  <c r="AA566" i="7"/>
  <c r="AB566" i="7" s="1"/>
  <c r="AC566" i="7"/>
  <c r="AA23" i="7"/>
  <c r="AB23" i="7" s="1"/>
  <c r="AK23" i="7" s="1"/>
  <c r="AC23" i="7"/>
  <c r="AA422" i="7"/>
  <c r="AB422" i="7" s="1"/>
  <c r="AC422" i="7"/>
  <c r="AA455" i="7"/>
  <c r="AB455" i="7" s="1"/>
  <c r="AK455" i="7" s="1"/>
  <c r="AC455" i="7"/>
  <c r="AA82" i="7"/>
  <c r="AB82" i="7" s="1"/>
  <c r="AC82" i="7"/>
  <c r="AA248" i="7"/>
  <c r="AB248" i="7" s="1"/>
  <c r="AC248" i="7"/>
  <c r="AA513" i="7"/>
  <c r="AB513" i="7" s="1"/>
  <c r="AC513" i="7"/>
  <c r="AA65" i="7"/>
  <c r="AB65" i="7" s="1"/>
  <c r="AC65" i="7"/>
  <c r="AA319" i="7"/>
  <c r="AB319" i="7" s="1"/>
  <c r="AC319" i="7"/>
  <c r="AA496" i="7"/>
  <c r="AB496" i="7" s="1"/>
  <c r="AC496" i="7"/>
  <c r="AA80" i="7"/>
  <c r="AB80" i="7" s="1"/>
  <c r="AC80" i="7"/>
  <c r="AA441" i="7"/>
  <c r="AC441" i="7"/>
  <c r="AA315" i="7"/>
  <c r="AB315" i="7" s="1"/>
  <c r="AC315" i="7"/>
  <c r="AA435" i="7"/>
  <c r="AB435" i="7" s="1"/>
  <c r="AC435" i="7"/>
  <c r="AA329" i="7"/>
  <c r="AB329" i="7" s="1"/>
  <c r="AC329" i="7"/>
  <c r="AA347" i="7"/>
  <c r="AB347" i="7" s="1"/>
  <c r="AC347" i="7"/>
  <c r="AA36" i="7"/>
  <c r="AB36" i="7" s="1"/>
  <c r="AC36" i="7"/>
  <c r="AA394" i="7"/>
  <c r="AC394" i="7"/>
  <c r="AA235" i="7"/>
  <c r="AB235" i="7" s="1"/>
  <c r="AC235" i="7"/>
  <c r="AA384" i="7"/>
  <c r="AB384" i="7" s="1"/>
  <c r="AC384" i="7"/>
  <c r="AA451" i="7"/>
  <c r="AB451" i="7" s="1"/>
  <c r="AC451" i="7"/>
  <c r="AA554" i="7"/>
  <c r="AC554" i="7"/>
  <c r="AA539" i="7"/>
  <c r="AB539" i="7" s="1"/>
  <c r="AC539" i="7"/>
  <c r="AA189" i="7"/>
  <c r="AB189" i="7" s="1"/>
  <c r="AC189" i="7"/>
  <c r="AA563" i="7"/>
  <c r="AB563" i="7" s="1"/>
  <c r="AC563" i="7"/>
  <c r="E179" i="7"/>
  <c r="AC179" i="7"/>
  <c r="E119" i="7"/>
  <c r="AC119" i="7"/>
  <c r="E413" i="7"/>
  <c r="AC413" i="7"/>
  <c r="E270" i="7"/>
  <c r="AC270" i="7"/>
  <c r="E94" i="7"/>
  <c r="AC94" i="7"/>
  <c r="E242" i="7"/>
  <c r="AC242" i="7"/>
  <c r="E95" i="7"/>
  <c r="AC95" i="7"/>
  <c r="E596" i="7"/>
  <c r="AC596" i="7"/>
  <c r="E62" i="7"/>
  <c r="AC62" i="7"/>
  <c r="E557" i="7"/>
  <c r="AC557" i="7"/>
  <c r="E247" i="7"/>
  <c r="AC247" i="7"/>
  <c r="E292" i="7"/>
  <c r="AC292" i="7"/>
  <c r="E60" i="7"/>
  <c r="AC60" i="7"/>
  <c r="E486" i="7"/>
  <c r="AC486" i="7"/>
  <c r="E158" i="7"/>
  <c r="AC158" i="7"/>
  <c r="E591" i="7"/>
  <c r="AC591" i="7"/>
  <c r="E241" i="7"/>
  <c r="AC241" i="7"/>
  <c r="E205" i="7"/>
  <c r="AC205" i="7"/>
  <c r="AC173" i="7"/>
  <c r="AC518" i="7"/>
  <c r="AC341" i="7"/>
  <c r="AC28" i="7"/>
  <c r="AC222" i="7"/>
  <c r="AC221" i="7"/>
  <c r="AC14" i="7"/>
  <c r="AC52" i="7"/>
  <c r="AC240" i="7"/>
  <c r="AC333" i="7"/>
  <c r="AC190" i="7"/>
  <c r="AC324" i="7"/>
  <c r="AA378" i="7"/>
  <c r="AC378" i="7"/>
  <c r="AA280" i="7"/>
  <c r="AB280" i="7" s="1"/>
  <c r="AC280" i="7"/>
  <c r="AA56" i="7"/>
  <c r="AB56" i="7" s="1"/>
  <c r="AC56" i="7"/>
  <c r="AA340" i="7"/>
  <c r="AB340" i="7" s="1"/>
  <c r="AK340" i="7" s="1"/>
  <c r="AC340" i="7"/>
  <c r="AA215" i="7"/>
  <c r="AB215" i="7" s="1"/>
  <c r="AC215" i="7"/>
  <c r="AA397" i="7"/>
  <c r="AB397" i="7" s="1"/>
  <c r="AK397" i="7" s="1"/>
  <c r="AC397" i="7"/>
  <c r="AA307" i="7"/>
  <c r="AB307" i="7" s="1"/>
  <c r="AC307" i="7"/>
  <c r="AA312" i="7"/>
  <c r="AB312" i="7" s="1"/>
  <c r="AK312" i="7" s="1"/>
  <c r="AC312" i="7"/>
  <c r="AA508" i="7"/>
  <c r="AB508" i="7" s="1"/>
  <c r="AC508" i="7"/>
  <c r="AA155" i="7"/>
  <c r="AB155" i="7" s="1"/>
  <c r="AC155" i="7"/>
  <c r="AA275" i="7"/>
  <c r="AB275" i="7" s="1"/>
  <c r="AK275" i="7" s="1"/>
  <c r="AC275" i="7"/>
  <c r="AA159" i="7"/>
  <c r="AB159" i="7" s="1"/>
  <c r="AC159" i="7"/>
  <c r="AA427" i="7"/>
  <c r="AB427" i="7" s="1"/>
  <c r="AC427" i="7"/>
  <c r="AA362" i="7"/>
  <c r="AC362" i="7"/>
  <c r="AA144" i="7"/>
  <c r="AB144" i="7" s="1"/>
  <c r="AC144" i="7"/>
  <c r="AA510" i="7"/>
  <c r="AC510" i="7"/>
  <c r="AA423" i="7"/>
  <c r="AC423" i="7"/>
  <c r="AA24" i="7"/>
  <c r="AB24" i="7" s="1"/>
  <c r="AC24" i="7"/>
  <c r="AA31" i="7"/>
  <c r="AC31" i="7"/>
  <c r="AA210" i="7"/>
  <c r="AB210" i="7" s="1"/>
  <c r="AK210" i="7" s="1"/>
  <c r="AC210" i="7"/>
  <c r="AA493" i="7"/>
  <c r="AB493" i="7" s="1"/>
  <c r="AK493" i="7" s="1"/>
  <c r="AC493" i="7"/>
  <c r="AA318" i="7"/>
  <c r="AC318" i="7"/>
  <c r="AA163" i="7"/>
  <c r="AB163" i="7" s="1"/>
  <c r="AC163" i="7"/>
  <c r="AA229" i="7"/>
  <c r="AC229" i="7"/>
  <c r="AA40" i="7"/>
  <c r="AB40" i="7" s="1"/>
  <c r="AC40" i="7"/>
  <c r="AA113" i="7"/>
  <c r="AC113" i="7"/>
  <c r="AA81" i="7"/>
  <c r="AC81" i="7"/>
  <c r="AA220" i="7"/>
  <c r="AB220" i="7" s="1"/>
  <c r="AC220" i="7"/>
  <c r="AA442" i="7"/>
  <c r="AC442" i="7"/>
  <c r="AA421" i="7"/>
  <c r="AB421" i="7" s="1"/>
  <c r="AK421" i="7" s="1"/>
  <c r="AC421" i="7"/>
  <c r="AA258" i="7"/>
  <c r="AB258" i="7" s="1"/>
  <c r="AC258" i="7"/>
  <c r="AA288" i="7"/>
  <c r="AB288" i="7" s="1"/>
  <c r="AC288" i="7"/>
  <c r="AA142" i="7"/>
  <c r="AB142" i="7" s="1"/>
  <c r="AK142" i="7" s="1"/>
  <c r="AC142" i="7"/>
  <c r="AA21" i="7"/>
  <c r="AB21" i="7" s="1"/>
  <c r="AC21" i="7"/>
  <c r="AA542" i="7"/>
  <c r="AC542" i="7"/>
  <c r="AA588" i="7"/>
  <c r="AC588" i="7"/>
  <c r="AA265" i="7"/>
  <c r="AB265" i="7" s="1"/>
  <c r="AC265" i="7"/>
  <c r="AA164" i="7"/>
  <c r="AB164" i="7" s="1"/>
  <c r="AC164" i="7"/>
  <c r="AA527" i="7"/>
  <c r="AB527" i="7" s="1"/>
  <c r="AC527" i="7"/>
  <c r="AA447" i="7"/>
  <c r="AB447" i="7" s="1"/>
  <c r="AC447" i="7"/>
  <c r="AA390" i="7"/>
  <c r="AB390" i="7" s="1"/>
  <c r="AC390" i="7"/>
  <c r="AA259" i="7"/>
  <c r="AB259" i="7" s="1"/>
  <c r="AC259" i="7"/>
  <c r="AA364" i="7"/>
  <c r="AC364" i="7"/>
  <c r="AA212" i="7"/>
  <c r="AB212" i="7" s="1"/>
  <c r="AC212" i="7"/>
  <c r="AA540" i="7"/>
  <c r="AB540" i="7" s="1"/>
  <c r="AK540" i="7" s="1"/>
  <c r="AC540" i="7"/>
  <c r="AA18" i="7"/>
  <c r="AC18" i="7"/>
  <c r="AA446" i="7"/>
  <c r="AB446" i="7" s="1"/>
  <c r="AC446" i="7"/>
  <c r="AA504" i="7"/>
  <c r="AB504" i="7" s="1"/>
  <c r="AC504" i="7"/>
  <c r="AA425" i="7"/>
  <c r="AB425" i="7" s="1"/>
  <c r="AC425" i="7"/>
  <c r="AA22" i="7"/>
  <c r="AB22" i="7" s="1"/>
  <c r="AC22" i="7"/>
  <c r="AA182" i="7"/>
  <c r="AB182" i="7" s="1"/>
  <c r="AK182" i="7" s="1"/>
  <c r="AC182" i="7"/>
  <c r="AA169" i="7"/>
  <c r="AC169" i="7"/>
  <c r="AA310" i="7"/>
  <c r="AB310" i="7" s="1"/>
  <c r="AK310" i="7" s="1"/>
  <c r="AC310" i="7"/>
  <c r="AA264" i="7"/>
  <c r="AB264" i="7" s="1"/>
  <c r="AK264" i="7" s="1"/>
  <c r="AC264" i="7"/>
  <c r="AA230" i="7"/>
  <c r="AB230" i="7" s="1"/>
  <c r="AC230" i="7"/>
  <c r="AA339" i="7"/>
  <c r="AB339" i="7" s="1"/>
  <c r="AC339" i="7"/>
  <c r="AA201" i="7"/>
  <c r="AB201" i="7" s="1"/>
  <c r="AC201" i="7"/>
  <c r="E519" i="7"/>
  <c r="AC519" i="7"/>
  <c r="E224" i="7"/>
  <c r="AC224" i="7"/>
  <c r="E491" i="7"/>
  <c r="AC491" i="7"/>
  <c r="E595" i="7"/>
  <c r="AC595" i="7"/>
  <c r="E16" i="7"/>
  <c r="AC16" i="7"/>
  <c r="E267" i="7"/>
  <c r="AC267" i="7"/>
  <c r="E104" i="7"/>
  <c r="AC104" i="7"/>
  <c r="E528" i="7"/>
  <c r="AC528" i="7"/>
  <c r="E282" i="7"/>
  <c r="AC282" i="7"/>
  <c r="E276" i="7"/>
  <c r="AC276" i="7"/>
  <c r="E10" i="7"/>
  <c r="AC10" i="7"/>
  <c r="E302" i="7"/>
  <c r="AC302" i="7"/>
  <c r="E2" i="7"/>
  <c r="AC2" i="7"/>
  <c r="E269" i="7"/>
  <c r="AC269" i="7"/>
  <c r="E544" i="7"/>
  <c r="AC544" i="7"/>
  <c r="E64" i="7"/>
  <c r="AC64" i="7"/>
  <c r="E332" i="7"/>
  <c r="AC332" i="7"/>
  <c r="E244" i="7"/>
  <c r="AC244" i="7"/>
  <c r="E227" i="7"/>
  <c r="AC227" i="7"/>
  <c r="E576" i="7"/>
  <c r="AC576" i="7"/>
  <c r="E83" i="7"/>
  <c r="AC83" i="7"/>
  <c r="E550" i="7"/>
  <c r="AC550" i="7"/>
  <c r="E363" i="7"/>
  <c r="AC363" i="7"/>
  <c r="E268" i="7"/>
  <c r="AC268" i="7"/>
  <c r="E515" i="7"/>
  <c r="AC515" i="7"/>
  <c r="E444" i="7"/>
  <c r="AC444" i="7"/>
  <c r="AA407" i="7"/>
  <c r="AB407" i="7" s="1"/>
  <c r="AC407" i="7"/>
  <c r="AA251" i="7"/>
  <c r="AB251" i="7" s="1"/>
  <c r="AC251" i="7"/>
  <c r="AA4" i="7"/>
  <c r="AB4" i="7" s="1"/>
  <c r="AC4" i="7"/>
  <c r="AA233" i="7"/>
  <c r="AC233" i="7"/>
  <c r="AA360" i="7"/>
  <c r="AB360" i="7" s="1"/>
  <c r="AC360" i="7"/>
  <c r="AA88" i="7"/>
  <c r="AB88" i="7" s="1"/>
  <c r="AC88" i="7"/>
  <c r="AA133" i="7"/>
  <c r="AC133" i="7"/>
  <c r="AA396" i="7"/>
  <c r="AC396" i="7"/>
  <c r="AA366" i="7"/>
  <c r="AC366" i="7"/>
  <c r="AA191" i="7"/>
  <c r="AC191" i="7"/>
  <c r="AA466" i="7"/>
  <c r="AB466" i="7" s="1"/>
  <c r="AC466" i="7"/>
  <c r="AA125" i="7"/>
  <c r="AB125" i="7" s="1"/>
  <c r="AC125" i="7"/>
  <c r="AA487" i="7"/>
  <c r="AC487" i="7"/>
  <c r="AA92" i="7"/>
  <c r="AB92" i="7" s="1"/>
  <c r="AK92" i="7" s="1"/>
  <c r="AC92" i="7"/>
  <c r="AA278" i="7"/>
  <c r="AB278" i="7" s="1"/>
  <c r="AC278" i="7"/>
  <c r="AA283" i="7"/>
  <c r="AB283" i="7" s="1"/>
  <c r="AC283" i="7"/>
  <c r="AA511" i="7"/>
  <c r="AC511" i="7"/>
  <c r="AA304" i="7"/>
  <c r="AB304" i="7" s="1"/>
  <c r="AC304" i="7"/>
  <c r="AA494" i="7"/>
  <c r="AB494" i="7" s="1"/>
  <c r="AK494" i="7" s="1"/>
  <c r="AC494" i="7"/>
  <c r="AA223" i="7"/>
  <c r="AB223" i="7" s="1"/>
  <c r="AC223" i="7"/>
  <c r="AA73" i="7"/>
  <c r="AC73" i="7"/>
  <c r="AA449" i="7"/>
  <c r="AB449" i="7" s="1"/>
  <c r="AC449" i="7"/>
  <c r="AA116" i="7"/>
  <c r="AB116" i="7" s="1"/>
  <c r="AC116" i="7"/>
  <c r="AA156" i="7"/>
  <c r="AB156" i="7" s="1"/>
  <c r="AK156" i="7" s="1"/>
  <c r="AC156" i="7"/>
  <c r="AA534" i="7"/>
  <c r="AB534" i="7" s="1"/>
  <c r="AC534" i="7"/>
  <c r="AA371" i="7"/>
  <c r="AB371" i="7" s="1"/>
  <c r="AK371" i="7" s="1"/>
  <c r="AC371" i="7"/>
  <c r="AA350" i="7"/>
  <c r="AC350" i="7"/>
  <c r="AA281" i="7"/>
  <c r="AC281" i="7"/>
  <c r="AA509" i="7"/>
  <c r="AB509" i="7" s="1"/>
  <c r="AC509" i="7"/>
  <c r="AA284" i="7"/>
  <c r="AB284" i="7" s="1"/>
  <c r="AC284" i="7"/>
  <c r="AA490" i="7"/>
  <c r="AB490" i="7" s="1"/>
  <c r="AC490" i="7"/>
  <c r="AA161" i="7"/>
  <c r="AC161" i="7"/>
  <c r="AA147" i="7"/>
  <c r="AB147" i="7" s="1"/>
  <c r="AC147" i="7"/>
  <c r="AA249" i="7"/>
  <c r="AC249" i="7"/>
  <c r="AA185" i="7"/>
  <c r="AC185" i="7"/>
  <c r="AA409" i="7"/>
  <c r="AB409" i="7" s="1"/>
  <c r="AC409" i="7"/>
  <c r="AA8" i="7"/>
  <c r="AB8" i="7" s="1"/>
  <c r="AC8" i="7"/>
  <c r="AA424" i="7"/>
  <c r="AB424" i="7" s="1"/>
  <c r="AC424" i="7"/>
  <c r="AA353" i="7"/>
  <c r="AB353" i="7" s="1"/>
  <c r="AC353" i="7"/>
  <c r="AA178" i="7"/>
  <c r="AB178" i="7" s="1"/>
  <c r="AC178" i="7"/>
  <c r="AA257" i="7"/>
  <c r="AB257" i="7" s="1"/>
  <c r="AK257" i="7" s="1"/>
  <c r="AC257" i="7"/>
  <c r="AA93" i="7"/>
  <c r="AB93" i="7" s="1"/>
  <c r="AC93" i="7"/>
  <c r="AA30" i="7"/>
  <c r="AB30" i="7" s="1"/>
  <c r="AK30" i="7" s="1"/>
  <c r="AC30" i="7"/>
  <c r="AA51" i="7"/>
  <c r="AB51" i="7" s="1"/>
  <c r="AK51" i="7" s="1"/>
  <c r="AC51" i="7"/>
  <c r="AA103" i="7"/>
  <c r="AC103" i="7"/>
  <c r="AA393" i="7"/>
  <c r="AB393" i="7" s="1"/>
  <c r="AC393" i="7"/>
  <c r="AA208" i="7"/>
  <c r="AB208" i="7" s="1"/>
  <c r="AC208" i="7"/>
  <c r="AA501" i="7"/>
  <c r="AC501" i="7"/>
  <c r="AA408" i="7"/>
  <c r="AB408" i="7" s="1"/>
  <c r="AC408" i="7"/>
  <c r="AA565" i="7"/>
  <c r="AB565" i="7" s="1"/>
  <c r="AK565" i="7" s="1"/>
  <c r="AC565" i="7"/>
  <c r="AA471" i="7"/>
  <c r="AC471" i="7"/>
  <c r="AA537" i="7"/>
  <c r="AC537" i="7"/>
  <c r="AA483" i="7"/>
  <c r="AB483" i="7" s="1"/>
  <c r="AC483" i="7"/>
  <c r="AA225" i="7"/>
  <c r="AC225" i="7"/>
  <c r="AA197" i="7"/>
  <c r="AC197" i="7"/>
  <c r="AA100" i="7"/>
  <c r="AB100" i="7" s="1"/>
  <c r="AC100" i="7"/>
  <c r="AA351" i="7"/>
  <c r="AB351" i="7" s="1"/>
  <c r="AC351" i="7"/>
  <c r="AA154" i="7"/>
  <c r="AB154" i="7" s="1"/>
  <c r="AC154" i="7"/>
  <c r="AA457" i="7"/>
  <c r="AC457" i="7"/>
  <c r="AA375" i="7"/>
  <c r="AB375" i="7" s="1"/>
  <c r="AC375" i="7"/>
  <c r="AA545" i="7"/>
  <c r="AC545" i="7"/>
  <c r="AA587" i="7"/>
  <c r="AB587" i="7" s="1"/>
  <c r="AC587" i="7"/>
  <c r="AA160" i="7"/>
  <c r="AB160" i="7" s="1"/>
  <c r="AC160" i="7"/>
  <c r="AA262" i="7"/>
  <c r="AB262" i="7" s="1"/>
  <c r="AC262" i="7"/>
  <c r="AA391" i="7"/>
  <c r="AB391" i="7" s="1"/>
  <c r="AK391" i="7" s="1"/>
  <c r="AC391" i="7"/>
  <c r="AA337" i="7"/>
  <c r="AB337" i="7" s="1"/>
  <c r="AK337" i="7" s="1"/>
  <c r="AC337" i="7"/>
  <c r="AA325" i="7"/>
  <c r="AB325" i="7" s="1"/>
  <c r="AC325" i="7"/>
  <c r="AA213" i="7"/>
  <c r="AB213" i="7" s="1"/>
  <c r="AC213" i="7"/>
  <c r="AA348" i="7"/>
  <c r="AB348" i="7" s="1"/>
  <c r="AC348" i="7"/>
  <c r="AA27" i="7"/>
  <c r="AB27" i="7" s="1"/>
  <c r="AC27" i="7"/>
  <c r="AA415" i="7"/>
  <c r="AC415" i="7"/>
  <c r="AA15" i="7"/>
  <c r="AC15" i="7"/>
  <c r="AA502" i="7"/>
  <c r="AB502" i="7" s="1"/>
  <c r="AK502" i="7" s="1"/>
  <c r="AC502" i="7"/>
  <c r="AA338" i="7"/>
  <c r="AB338" i="7" s="1"/>
  <c r="AC338" i="7"/>
  <c r="AA410" i="7"/>
  <c r="AC410" i="7"/>
  <c r="AA327" i="7"/>
  <c r="AC327" i="7"/>
  <c r="AA57" i="7"/>
  <c r="AB57" i="7" s="1"/>
  <c r="AC57" i="7"/>
  <c r="AA289" i="7"/>
  <c r="AC289" i="7"/>
  <c r="AA523" i="7"/>
  <c r="AB523" i="7" s="1"/>
  <c r="AK523" i="7" s="1"/>
  <c r="AC523" i="7"/>
  <c r="AA562" i="7"/>
  <c r="AB562" i="7" s="1"/>
  <c r="AK562" i="7" s="1"/>
  <c r="AC562" i="7"/>
  <c r="AA395" i="7"/>
  <c r="AB395" i="7" s="1"/>
  <c r="AC395" i="7"/>
  <c r="AA181" i="7"/>
  <c r="AC181" i="7"/>
  <c r="AA460" i="7"/>
  <c r="AC460" i="7"/>
  <c r="AA291" i="7"/>
  <c r="AB291" i="7" s="1"/>
  <c r="AC291" i="7"/>
  <c r="AA342" i="7"/>
  <c r="AB342" i="7" s="1"/>
  <c r="AC342" i="7"/>
  <c r="E580" i="7"/>
  <c r="AC580" i="7"/>
  <c r="E78" i="7"/>
  <c r="AC78" i="7"/>
  <c r="E524" i="7"/>
  <c r="AC524" i="7"/>
  <c r="E437" i="7"/>
  <c r="AC437" i="7"/>
  <c r="E582" i="7"/>
  <c r="AC582" i="7"/>
  <c r="E105" i="7"/>
  <c r="AC105" i="7"/>
  <c r="E514" i="7"/>
  <c r="AC514" i="7"/>
  <c r="AA571" i="7"/>
  <c r="AB571" i="7" s="1"/>
  <c r="AC571" i="7"/>
  <c r="AA136" i="7"/>
  <c r="AB136" i="7" s="1"/>
  <c r="AC136" i="7"/>
  <c r="AA121" i="7"/>
  <c r="AC121" i="7"/>
  <c r="AA45" i="7"/>
  <c r="AB45" i="7" s="1"/>
  <c r="AC45" i="7"/>
  <c r="AA386" i="7"/>
  <c r="AB386" i="7" s="1"/>
  <c r="AC386" i="7"/>
  <c r="AA575" i="7"/>
  <c r="AC575" i="7"/>
  <c r="AA102" i="7"/>
  <c r="AB102" i="7" s="1"/>
  <c r="AC102" i="7"/>
  <c r="AA145" i="7"/>
  <c r="AB145" i="7" s="1"/>
  <c r="AC145" i="7"/>
  <c r="AA586" i="7"/>
  <c r="AC586" i="7"/>
  <c r="AA581" i="7"/>
  <c r="AC581" i="7"/>
  <c r="AA331" i="7"/>
  <c r="AB331" i="7" s="1"/>
  <c r="AC331" i="7"/>
  <c r="AA433" i="7"/>
  <c r="AB433" i="7" s="1"/>
  <c r="AC433" i="7"/>
  <c r="AA137" i="7"/>
  <c r="AC137" i="7"/>
  <c r="AA399" i="7"/>
  <c r="AB399" i="7" s="1"/>
  <c r="AC399" i="7"/>
  <c r="AA219" i="7"/>
  <c r="AB219" i="7" s="1"/>
  <c r="AC219" i="7"/>
  <c r="AA434" i="7"/>
  <c r="AB434" i="7" s="1"/>
  <c r="AC434" i="7"/>
  <c r="AA398" i="7"/>
  <c r="AC398" i="7"/>
  <c r="AA300" i="7"/>
  <c r="AC300" i="7"/>
  <c r="AA499" i="7"/>
  <c r="AB499" i="7" s="1"/>
  <c r="AC499" i="7"/>
  <c r="AA468" i="7"/>
  <c r="AB468" i="7" s="1"/>
  <c r="AK468" i="7" s="1"/>
  <c r="AC468" i="7"/>
  <c r="AA148" i="7"/>
  <c r="AB148" i="7" s="1"/>
  <c r="AC148" i="7"/>
  <c r="AA346" i="7"/>
  <c r="AC346" i="7"/>
  <c r="AA58" i="7"/>
  <c r="AC58" i="7"/>
  <c r="AA533" i="7"/>
  <c r="AC533" i="7"/>
  <c r="AA172" i="7"/>
  <c r="AB172" i="7" s="1"/>
  <c r="AC172" i="7"/>
  <c r="AA453" i="7"/>
  <c r="AB453" i="7" s="1"/>
  <c r="AK453" i="7" s="1"/>
  <c r="AC453" i="7"/>
  <c r="AA171" i="7"/>
  <c r="AB171" i="7" s="1"/>
  <c r="AK171" i="7" s="1"/>
  <c r="AC171" i="7"/>
  <c r="AA574" i="7"/>
  <c r="AC574" i="7"/>
  <c r="AA303" i="7"/>
  <c r="AC303" i="7"/>
  <c r="AA255" i="7"/>
  <c r="AC255" i="7"/>
  <c r="AA555" i="7"/>
  <c r="AB555" i="7" s="1"/>
  <c r="AC555" i="7"/>
  <c r="AA400" i="7"/>
  <c r="AB400" i="7" s="1"/>
  <c r="AC400" i="7"/>
  <c r="AA286" i="7"/>
  <c r="AB286" i="7" s="1"/>
  <c r="AC286" i="7"/>
  <c r="AA295" i="7"/>
  <c r="AC295" i="7"/>
  <c r="AA3" i="7"/>
  <c r="AB3" i="7" s="1"/>
  <c r="AK3" i="7" s="1"/>
  <c r="AC3" i="7"/>
  <c r="AA568" i="7"/>
  <c r="AB568" i="7" s="1"/>
  <c r="AK568" i="7" s="1"/>
  <c r="AC568" i="7"/>
  <c r="AA548" i="7"/>
  <c r="AB548" i="7" s="1"/>
  <c r="AK548" i="7" s="1"/>
  <c r="AC548" i="7"/>
  <c r="AA46" i="7"/>
  <c r="AB46" i="7" s="1"/>
  <c r="AC46" i="7"/>
  <c r="AC459" i="7"/>
  <c r="AC335" i="7"/>
  <c r="AC543" i="7"/>
  <c r="AC367" i="7"/>
  <c r="AC426" i="7"/>
  <c r="AC239" i="7"/>
  <c r="AC130" i="7"/>
  <c r="AC428" i="7"/>
  <c r="AC454" i="7"/>
  <c r="AC128" i="7"/>
  <c r="AC7" i="7"/>
  <c r="AC108" i="7"/>
  <c r="AC480" i="7"/>
  <c r="AC584" i="7"/>
  <c r="AC59" i="7"/>
  <c r="AC153" i="7"/>
  <c r="AC122" i="7"/>
  <c r="AC115" i="7"/>
  <c r="AC20" i="7"/>
  <c r="AC498" i="7"/>
  <c r="AC473" i="7"/>
  <c r="AC522" i="7"/>
  <c r="AC376" i="7"/>
  <c r="AC440" i="7"/>
  <c r="AC273" i="7"/>
  <c r="AC293" i="7"/>
  <c r="AC381" i="7"/>
  <c r="AC209" i="7"/>
  <c r="AC188" i="7"/>
  <c r="AC429" i="7"/>
  <c r="AC127" i="7"/>
  <c r="AC143" i="7"/>
  <c r="AC96" i="7"/>
  <c r="AC560" i="7"/>
  <c r="AC203" i="7"/>
  <c r="AC512" i="7"/>
  <c r="AC118" i="7"/>
  <c r="AC467" i="7"/>
  <c r="AC372" i="7"/>
  <c r="AC266" i="7"/>
  <c r="AA577" i="7"/>
  <c r="AB577" i="7" s="1"/>
  <c r="AK577" i="7" s="1"/>
  <c r="AC577" i="7"/>
  <c r="AA245" i="7"/>
  <c r="AB245" i="7" s="1"/>
  <c r="AC245" i="7"/>
  <c r="AA217" i="7"/>
  <c r="AC217" i="7"/>
  <c r="AA272" i="7"/>
  <c r="AB272" i="7" s="1"/>
  <c r="AC272" i="7"/>
  <c r="AA76" i="7"/>
  <c r="AB76" i="7" s="1"/>
  <c r="AC76" i="7"/>
  <c r="AA72" i="7"/>
  <c r="AB72" i="7" s="1"/>
  <c r="AC72" i="7"/>
  <c r="AA44" i="7"/>
  <c r="AB44" i="7" s="1"/>
  <c r="AC44" i="7"/>
  <c r="AA589" i="7"/>
  <c r="AB589" i="7" s="1"/>
  <c r="AC589" i="7"/>
  <c r="AA516" i="7"/>
  <c r="AB516" i="7" s="1"/>
  <c r="AC516" i="7"/>
  <c r="AA551" i="7"/>
  <c r="AC551" i="7"/>
  <c r="AA26" i="7"/>
  <c r="AC26" i="7"/>
  <c r="AA285" i="7"/>
  <c r="AB285" i="7" s="1"/>
  <c r="AK285" i="7" s="1"/>
  <c r="AC285" i="7"/>
  <c r="AA183" i="7"/>
  <c r="AB183" i="7" s="1"/>
  <c r="AC183" i="7"/>
  <c r="AA500" i="7"/>
  <c r="AB500" i="7" s="1"/>
  <c r="AC500" i="7"/>
  <c r="AA79" i="7"/>
  <c r="AC79" i="7"/>
  <c r="AA354" i="7"/>
  <c r="AB354" i="7" s="1"/>
  <c r="AC354" i="7"/>
  <c r="AA184" i="7"/>
  <c r="AB184" i="7" s="1"/>
  <c r="AC184" i="7"/>
  <c r="AA570" i="7"/>
  <c r="AC570" i="7"/>
  <c r="AA89" i="7"/>
  <c r="AB89" i="7" s="1"/>
  <c r="AC89" i="7"/>
  <c r="AA131" i="7"/>
  <c r="AB131" i="7" s="1"/>
  <c r="AC131" i="7"/>
  <c r="AA39" i="7"/>
  <c r="AB39" i="7" s="1"/>
  <c r="AC39" i="7"/>
  <c r="AA478" i="7"/>
  <c r="AB478" i="7" s="1"/>
  <c r="AK478" i="7" s="1"/>
  <c r="AC478" i="7"/>
  <c r="AA308" i="7"/>
  <c r="AB308" i="7" s="1"/>
  <c r="AC308" i="7"/>
  <c r="AA17" i="7"/>
  <c r="AC17" i="7"/>
  <c r="AA316" i="7"/>
  <c r="AB316" i="7" s="1"/>
  <c r="AK316" i="7" s="1"/>
  <c r="AC316" i="7"/>
  <c r="AA25" i="7"/>
  <c r="AB25" i="7" s="1"/>
  <c r="AC25" i="7"/>
  <c r="AA204" i="7"/>
  <c r="AC204" i="7"/>
  <c r="AA436" i="7"/>
  <c r="AB436" i="7" s="1"/>
  <c r="AC436" i="7"/>
  <c r="AA388" i="7"/>
  <c r="AB388" i="7" s="1"/>
  <c r="AK388" i="7" s="1"/>
  <c r="AC388" i="7"/>
  <c r="AA11" i="7"/>
  <c r="AB11" i="7" s="1"/>
  <c r="AC11" i="7"/>
  <c r="AA54" i="7"/>
  <c r="AB54" i="7" s="1"/>
  <c r="AC54" i="7"/>
  <c r="AA110" i="7"/>
  <c r="AC110" i="7"/>
  <c r="AA479" i="7"/>
  <c r="AC479" i="7"/>
  <c r="AA506" i="7"/>
  <c r="AC506" i="7"/>
  <c r="AA53" i="7"/>
  <c r="AB53" i="7" s="1"/>
  <c r="AK53" i="7" s="1"/>
  <c r="AC53" i="7"/>
  <c r="AA484" i="7"/>
  <c r="AB484" i="7" s="1"/>
  <c r="AC484" i="7"/>
  <c r="AA166" i="7"/>
  <c r="AB166" i="7" s="1"/>
  <c r="AK166" i="7" s="1"/>
  <c r="AC166" i="7"/>
  <c r="AC349" i="7"/>
  <c r="AC274" i="7"/>
  <c r="AC579" i="7"/>
  <c r="AC42" i="7"/>
  <c r="AC464" i="7"/>
  <c r="AC569" i="7"/>
  <c r="AC85" i="7"/>
  <c r="AC211" i="7"/>
  <c r="AC114" i="7"/>
  <c r="AC216" i="7"/>
  <c r="AC234" i="7"/>
  <c r="AC19" i="7"/>
  <c r="AC343" i="7"/>
  <c r="AC38" i="7"/>
  <c r="AC573" i="7"/>
  <c r="AC106" i="7"/>
  <c r="AC352" i="7"/>
  <c r="AC382" i="7"/>
  <c r="AC503" i="7"/>
  <c r="AC43" i="7"/>
  <c r="AC195" i="7"/>
  <c r="AC200" i="7"/>
  <c r="AC67" i="7"/>
  <c r="AC406" i="7"/>
  <c r="AC321" i="7"/>
  <c r="AB349" i="7"/>
  <c r="E431" i="7"/>
  <c r="AA431" i="7"/>
  <c r="E12" i="7"/>
  <c r="AA12" i="7"/>
  <c r="AB12" i="7" s="1"/>
  <c r="E218" i="7"/>
  <c r="AA218" i="7"/>
  <c r="AB218" i="7" s="1"/>
  <c r="E107" i="7"/>
  <c r="AA107" i="7"/>
  <c r="AB107" i="7" s="1"/>
  <c r="E263" i="7"/>
  <c r="AA263" i="7"/>
  <c r="E465" i="7"/>
  <c r="AA465" i="7"/>
  <c r="E214" i="7"/>
  <c r="AA214" i="7"/>
  <c r="AB214" i="7" s="1"/>
  <c r="E311" i="7"/>
  <c r="AA311" i="7"/>
  <c r="AB311" i="7" s="1"/>
  <c r="E294" i="7"/>
  <c r="AA294" i="7"/>
  <c r="AB294" i="7" s="1"/>
  <c r="E525" i="7"/>
  <c r="D525" i="25" s="1"/>
  <c r="AA525" i="7"/>
  <c r="AB525" i="7" s="1"/>
  <c r="E86" i="7"/>
  <c r="AA86" i="7"/>
  <c r="AB86" i="7" s="1"/>
  <c r="E112" i="7"/>
  <c r="AA112" i="7"/>
  <c r="AB112" i="7" s="1"/>
  <c r="E489" i="7"/>
  <c r="AA489" i="7"/>
  <c r="E357" i="7"/>
  <c r="AA357" i="7"/>
  <c r="E228" i="7"/>
  <c r="AA228" i="7"/>
  <c r="AB228" i="7" s="1"/>
  <c r="AK228" i="7" s="1"/>
  <c r="E87" i="7"/>
  <c r="AA87" i="7"/>
  <c r="AB87" i="7" s="1"/>
  <c r="E559" i="7"/>
  <c r="AA559" i="7"/>
  <c r="AB559" i="7" s="1"/>
  <c r="E538" i="7"/>
  <c r="AA538" i="7"/>
  <c r="E77" i="7"/>
  <c r="AA77" i="7"/>
  <c r="AB77" i="7" s="1"/>
  <c r="E149" i="7"/>
  <c r="AA149" i="7"/>
  <c r="E260" i="7"/>
  <c r="AA260" i="7"/>
  <c r="AB260" i="7" s="1"/>
  <c r="E126" i="7"/>
  <c r="AA126" i="7"/>
  <c r="E175" i="7"/>
  <c r="AA175" i="7"/>
  <c r="E165" i="7"/>
  <c r="AA165" i="7"/>
  <c r="E392" i="7"/>
  <c r="D392" i="25" s="1"/>
  <c r="AA392" i="7"/>
  <c r="AB392" i="7" s="1"/>
  <c r="AK392" i="7" s="1"/>
  <c r="E254" i="7"/>
  <c r="AA254" i="7"/>
  <c r="E481" i="7"/>
  <c r="AA481" i="7"/>
  <c r="AB481" i="7" s="1"/>
  <c r="E66" i="7"/>
  <c r="AA66" i="7"/>
  <c r="AB66" i="7" s="1"/>
  <c r="E50" i="7"/>
  <c r="AA50" i="7"/>
  <c r="AB50" i="7" s="1"/>
  <c r="E238" i="7"/>
  <c r="AA238" i="7"/>
  <c r="AB238" i="7" s="1"/>
  <c r="E111" i="7"/>
  <c r="AA111" i="7"/>
  <c r="AB111" i="7" s="1"/>
  <c r="AK111" i="7" s="1"/>
  <c r="E594" i="7"/>
  <c r="AA594" i="7"/>
  <c r="AB594" i="7" s="1"/>
  <c r="E373" i="7"/>
  <c r="AA373" i="7"/>
  <c r="E558" i="7"/>
  <c r="AA558" i="7"/>
  <c r="E170" i="7"/>
  <c r="AA170" i="7"/>
  <c r="AB170" i="7" s="1"/>
  <c r="E277" i="7"/>
  <c r="AA277" i="7"/>
  <c r="E531" i="7"/>
  <c r="AA531" i="7"/>
  <c r="AB531" i="7" s="1"/>
  <c r="E9" i="7"/>
  <c r="AA9" i="7"/>
  <c r="E98" i="7"/>
  <c r="D98" i="25" s="1"/>
  <c r="AA98" i="7"/>
  <c r="AB98" i="7" s="1"/>
  <c r="AK98" i="7" s="1"/>
  <c r="E552" i="7"/>
  <c r="AA552" i="7"/>
  <c r="AB552" i="7" s="1"/>
  <c r="E162" i="7"/>
  <c r="AA162" i="7"/>
  <c r="AB162" i="7" s="1"/>
  <c r="E485" i="7"/>
  <c r="AA485" i="7"/>
  <c r="E517" i="7"/>
  <c r="AA517" i="7"/>
  <c r="AB517" i="7" s="1"/>
  <c r="E417" i="7"/>
  <c r="AA417" i="7"/>
  <c r="AB417" i="7" s="1"/>
  <c r="E41" i="7"/>
  <c r="AA41" i="7"/>
  <c r="E463" i="7"/>
  <c r="AA463" i="7"/>
  <c r="E379" i="7"/>
  <c r="AA379" i="7"/>
  <c r="AB379" i="7" s="1"/>
  <c r="AK379" i="7" s="1"/>
  <c r="E448" i="7"/>
  <c r="AA448" i="7"/>
  <c r="AB448" i="7" s="1"/>
  <c r="E401" i="7"/>
  <c r="AA401" i="7"/>
  <c r="E456" i="7"/>
  <c r="AA456" i="7"/>
  <c r="AB456" i="7" s="1"/>
  <c r="E418" i="7"/>
  <c r="AA418" i="7"/>
  <c r="AB418" i="7" s="1"/>
  <c r="E141" i="7"/>
  <c r="AA141" i="7"/>
  <c r="AB141" i="7" s="1"/>
  <c r="E495" i="7"/>
  <c r="D495" i="25" s="1"/>
  <c r="AA495" i="7"/>
  <c r="E462" i="7"/>
  <c r="AA462" i="7"/>
  <c r="AB462" i="7" s="1"/>
  <c r="E541" i="7"/>
  <c r="AA541" i="7"/>
  <c r="AB541" i="7" s="1"/>
  <c r="AK541" i="7" s="1"/>
  <c r="E63" i="7"/>
  <c r="AA63" i="7"/>
  <c r="AB63" i="7" s="1"/>
  <c r="AK63" i="7" s="1"/>
  <c r="E29" i="7"/>
  <c r="AA29" i="7"/>
  <c r="AB29" i="7" s="1"/>
  <c r="E405" i="7"/>
  <c r="AA405" i="7"/>
  <c r="E389" i="7"/>
  <c r="AA389" i="7"/>
  <c r="AB389" i="7" s="1"/>
  <c r="E497" i="7"/>
  <c r="AA497" i="7"/>
  <c r="AB497" i="7" s="1"/>
  <c r="E5" i="7"/>
  <c r="D5" i="25" s="1"/>
  <c r="AA5" i="7"/>
  <c r="AB5" i="7" s="1"/>
  <c r="E507" i="7"/>
  <c r="AA507" i="7"/>
  <c r="AB507" i="7" s="1"/>
  <c r="AK507" i="7" s="1"/>
  <c r="E385" i="7"/>
  <c r="AA385" i="7"/>
  <c r="E256" i="7"/>
  <c r="AA256" i="7"/>
  <c r="AB256" i="7" s="1"/>
  <c r="AK256" i="7" s="1"/>
  <c r="E177" i="7"/>
  <c r="AA177" i="7"/>
  <c r="E358" i="7"/>
  <c r="AA358" i="7"/>
  <c r="AB358" i="7" s="1"/>
  <c r="E578" i="7"/>
  <c r="AA578" i="7"/>
  <c r="AB578" i="7" s="1"/>
  <c r="E97" i="7"/>
  <c r="AA97" i="7"/>
  <c r="E298" i="7"/>
  <c r="AA298" i="7"/>
  <c r="E326" i="7"/>
  <c r="AA326" i="7"/>
  <c r="AB326" i="7" s="1"/>
  <c r="AK326" i="7" s="1"/>
  <c r="E355" i="7"/>
  <c r="AA355" i="7"/>
  <c r="AB355" i="7" s="1"/>
  <c r="AK355" i="7" s="1"/>
  <c r="E561" i="7"/>
  <c r="AA561" i="7"/>
  <c r="E359" i="7"/>
  <c r="AA359" i="7"/>
  <c r="AB359" i="7" s="1"/>
  <c r="E236" i="7"/>
  <c r="AA236" i="7"/>
  <c r="E529" i="7"/>
  <c r="AA529" i="7"/>
  <c r="E369" i="7"/>
  <c r="AA369" i="7"/>
  <c r="AB369" i="7" s="1"/>
  <c r="E469" i="7"/>
  <c r="AA469" i="7"/>
  <c r="E132" i="7"/>
  <c r="AA132" i="7"/>
  <c r="AB132" i="7" s="1"/>
  <c r="AK132" i="7" s="1"/>
  <c r="E488" i="7"/>
  <c r="D488" i="25" s="1"/>
  <c r="AA488" i="7"/>
  <c r="AB488" i="7" s="1"/>
  <c r="E556" i="7"/>
  <c r="AA556" i="7"/>
  <c r="E74" i="7"/>
  <c r="AA74" i="7"/>
  <c r="AB74" i="7" s="1"/>
  <c r="E37" i="7"/>
  <c r="AA37" i="7"/>
  <c r="E411" i="7"/>
  <c r="AA411" i="7"/>
  <c r="AB411" i="7" s="1"/>
  <c r="AK411" i="7" s="1"/>
  <c r="E475" i="7"/>
  <c r="AA475" i="7"/>
  <c r="AB475" i="7" s="1"/>
  <c r="E344" i="7"/>
  <c r="AA344" i="7"/>
  <c r="AB344" i="7" s="1"/>
  <c r="AK344" i="7" s="1"/>
  <c r="E180" i="7"/>
  <c r="AA180" i="7"/>
  <c r="AB180" i="7" s="1"/>
  <c r="E90" i="7"/>
  <c r="AA90" i="7"/>
  <c r="E452" i="7"/>
  <c r="AA452" i="7"/>
  <c r="AB452" i="7" s="1"/>
  <c r="E174" i="7"/>
  <c r="AA174" i="7"/>
  <c r="E101" i="7"/>
  <c r="AA101" i="7"/>
  <c r="E374" i="7"/>
  <c r="D374" i="25" s="1"/>
  <c r="AA374" i="7"/>
  <c r="AB374" i="7" s="1"/>
  <c r="AK374" i="7" s="1"/>
  <c r="E317" i="7"/>
  <c r="D317" i="25" s="1"/>
  <c r="AA317" i="7"/>
  <c r="AB317" i="7" s="1"/>
  <c r="AK317" i="7" s="1"/>
  <c r="E470" i="7"/>
  <c r="AA470" i="7"/>
  <c r="AB470" i="7" s="1"/>
  <c r="E226" i="7"/>
  <c r="D226" i="25" s="1"/>
  <c r="AA226" i="7"/>
  <c r="AB226" i="7" s="1"/>
  <c r="E290" i="7"/>
  <c r="AA290" i="7"/>
  <c r="AB290" i="7" s="1"/>
  <c r="E476" i="7"/>
  <c r="AA476" i="7"/>
  <c r="AB476" i="7" s="1"/>
  <c r="E253" i="7"/>
  <c r="AA253" i="7"/>
  <c r="AB253" i="7" s="1"/>
  <c r="Z231" i="7"/>
  <c r="AA231" i="7"/>
  <c r="E252" i="7"/>
  <c r="AA252" i="7"/>
  <c r="AB252" i="7" s="1"/>
  <c r="AK252" i="7" s="1"/>
  <c r="E549" i="7"/>
  <c r="AA549" i="7"/>
  <c r="E314" i="7"/>
  <c r="AA314" i="7"/>
  <c r="AB314" i="7" s="1"/>
  <c r="E430" i="7"/>
  <c r="AA430" i="7"/>
  <c r="E583" i="7"/>
  <c r="D583" i="25" s="1"/>
  <c r="AA583" i="7"/>
  <c r="AB583" i="7" s="1"/>
  <c r="E140" i="7"/>
  <c r="AA140" i="7"/>
  <c r="E593" i="7"/>
  <c r="AA593" i="7"/>
  <c r="E261" i="7"/>
  <c r="AA261" i="7"/>
  <c r="AB261" i="7" s="1"/>
  <c r="E323" i="7"/>
  <c r="AA323" i="7"/>
  <c r="AB323" i="7" s="1"/>
  <c r="E404" i="7"/>
  <c r="AA404" i="7"/>
  <c r="AB404" i="7" s="1"/>
  <c r="E461" i="7"/>
  <c r="AA461" i="7"/>
  <c r="AB461" i="7" s="1"/>
  <c r="E553" i="7"/>
  <c r="AA553" i="7"/>
  <c r="AB553" i="7" s="1"/>
  <c r="E590" i="7"/>
  <c r="D590" i="25" s="1"/>
  <c r="AA590" i="7"/>
  <c r="AB590" i="7" s="1"/>
  <c r="E547" i="7"/>
  <c r="AA547" i="7"/>
  <c r="AB547" i="7" s="1"/>
  <c r="AK547" i="7" s="1"/>
  <c r="E34" i="7"/>
  <c r="AA34" i="7"/>
  <c r="Z84" i="7"/>
  <c r="AA84" i="7"/>
  <c r="AB84" i="7" s="1"/>
  <c r="E176" i="7"/>
  <c r="AA176" i="7"/>
  <c r="AB176" i="7" s="1"/>
  <c r="E232" i="7"/>
  <c r="AA232" i="7"/>
  <c r="AB232" i="7" s="1"/>
  <c r="AK232" i="7" s="1"/>
  <c r="E134" i="7"/>
  <c r="AA134" i="7"/>
  <c r="AB134" i="7" s="1"/>
  <c r="E71" i="7"/>
  <c r="AA71" i="7"/>
  <c r="AB71" i="7" s="1"/>
  <c r="E70" i="7"/>
  <c r="AA70" i="7"/>
  <c r="AB70" i="7" s="1"/>
  <c r="E416" i="7"/>
  <c r="AA416" i="7"/>
  <c r="AB416" i="7" s="1"/>
  <c r="AK416" i="7" s="1"/>
  <c r="E123" i="7"/>
  <c r="AA123" i="7"/>
  <c r="AB123" i="7" s="1"/>
  <c r="AK123" i="7" s="1"/>
  <c r="E150" i="7"/>
  <c r="AA150" i="7"/>
  <c r="AB150" i="7" s="1"/>
  <c r="E403" i="7"/>
  <c r="AA403" i="7"/>
  <c r="AB403" i="7" s="1"/>
  <c r="E192" i="7"/>
  <c r="AA192" i="7"/>
  <c r="AB192" i="7" s="1"/>
  <c r="E450" i="7"/>
  <c r="AA450" i="7"/>
  <c r="AB450" i="7" s="1"/>
  <c r="E168" i="7"/>
  <c r="AA168" i="7"/>
  <c r="AB168" i="7" s="1"/>
  <c r="E505" i="7"/>
  <c r="AA505" i="7"/>
  <c r="E380" i="7"/>
  <c r="AA380" i="7"/>
  <c r="AB380" i="7" s="1"/>
  <c r="AK380" i="7" s="1"/>
  <c r="E572" i="7"/>
  <c r="AA572" i="7"/>
  <c r="AB572" i="7" s="1"/>
  <c r="AK572" i="7" s="1"/>
  <c r="Z306" i="7"/>
  <c r="AA306" i="7"/>
  <c r="AB306" i="7" s="1"/>
  <c r="AK306" i="7" s="1"/>
  <c r="E297" i="7"/>
  <c r="AA297" i="7"/>
  <c r="E13" i="7"/>
  <c r="AA13" i="7"/>
  <c r="AB13" i="7" s="1"/>
  <c r="E157" i="7"/>
  <c r="AA157" i="7"/>
  <c r="AB157" i="7" s="1"/>
  <c r="E477" i="7"/>
  <c r="AA477" i="7"/>
  <c r="AB477" i="7" s="1"/>
  <c r="E387" i="7"/>
  <c r="AA387" i="7"/>
  <c r="AB387" i="7" s="1"/>
  <c r="AK387" i="7" s="1"/>
  <c r="E322" i="7"/>
  <c r="D322" i="25" s="1"/>
  <c r="AA322" i="7"/>
  <c r="AB322" i="7" s="1"/>
  <c r="E75" i="7"/>
  <c r="AA75" i="7"/>
  <c r="AB75" i="7" s="1"/>
  <c r="E47" i="7"/>
  <c r="AA47" i="7"/>
  <c r="AB47" i="7" s="1"/>
  <c r="AK47" i="7" s="1"/>
  <c r="E520" i="7"/>
  <c r="AA520" i="7"/>
  <c r="AB520" i="7" s="1"/>
  <c r="AK520" i="7" s="1"/>
  <c r="E567" i="7"/>
  <c r="AA567" i="7"/>
  <c r="AA179" i="7"/>
  <c r="AB179" i="7" s="1"/>
  <c r="AA20" i="7"/>
  <c r="AB20" i="7" s="1"/>
  <c r="AK20" i="7" s="1"/>
  <c r="AA498" i="7"/>
  <c r="AB498" i="7" s="1"/>
  <c r="AA473" i="7"/>
  <c r="AA522" i="7"/>
  <c r="AA376" i="7"/>
  <c r="AB376" i="7" s="1"/>
  <c r="AA440" i="7"/>
  <c r="AB440" i="7" s="1"/>
  <c r="AA273" i="7"/>
  <c r="AA293" i="7"/>
  <c r="AA381" i="7"/>
  <c r="AB381" i="7" s="1"/>
  <c r="AA209" i="7"/>
  <c r="AB209" i="7" s="1"/>
  <c r="AA188" i="7"/>
  <c r="AB188" i="7" s="1"/>
  <c r="AA429" i="7"/>
  <c r="AB429" i="7" s="1"/>
  <c r="AA127" i="7"/>
  <c r="AB127" i="7" s="1"/>
  <c r="AA143" i="7"/>
  <c r="AB143" i="7" s="1"/>
  <c r="AA96" i="7"/>
  <c r="AB96" i="7" s="1"/>
  <c r="AA146" i="7"/>
  <c r="AB146" i="7" s="1"/>
  <c r="AA246" i="7"/>
  <c r="AB246" i="7" s="1"/>
  <c r="AA124" i="7"/>
  <c r="AB124" i="7" s="1"/>
  <c r="AA592" i="7"/>
  <c r="AB592" i="7" s="1"/>
  <c r="AA139" i="7"/>
  <c r="AB139" i="7" s="1"/>
  <c r="AA151" i="7"/>
  <c r="AA514" i="7"/>
  <c r="AB514" i="7" s="1"/>
  <c r="AK514" i="7" s="1"/>
  <c r="AA119" i="7"/>
  <c r="AA491" i="7"/>
  <c r="AB491" i="7" s="1"/>
  <c r="AA595" i="7"/>
  <c r="AB595" i="7" s="1"/>
  <c r="AA16" i="7"/>
  <c r="AB16" i="7" s="1"/>
  <c r="AA94" i="7"/>
  <c r="AB94" i="7" s="1"/>
  <c r="AA242" i="7"/>
  <c r="AB242" i="7" s="1"/>
  <c r="AA282" i="7"/>
  <c r="AA276" i="7"/>
  <c r="AB276" i="7" s="1"/>
  <c r="AK276" i="7" s="1"/>
  <c r="AA10" i="7"/>
  <c r="AB10" i="7" s="1"/>
  <c r="AA302" i="7"/>
  <c r="AB302" i="7" s="1"/>
  <c r="AA557" i="7"/>
  <c r="AB557" i="7" s="1"/>
  <c r="AA247" i="7"/>
  <c r="AB247" i="7" s="1"/>
  <c r="AK247" i="7" s="1"/>
  <c r="AA292" i="7"/>
  <c r="AB292" i="7" s="1"/>
  <c r="AA332" i="7"/>
  <c r="AB332" i="7" s="1"/>
  <c r="AA244" i="7"/>
  <c r="AB244" i="7" s="1"/>
  <c r="AA227" i="7"/>
  <c r="AB227" i="7" s="1"/>
  <c r="AK227" i="7" s="1"/>
  <c r="AA158" i="7"/>
  <c r="AA591" i="7"/>
  <c r="AA363" i="7"/>
  <c r="AB363" i="7" s="1"/>
  <c r="AA268" i="7"/>
  <c r="AB268" i="7" s="1"/>
  <c r="AK268" i="7" s="1"/>
  <c r="AA205" i="7"/>
  <c r="AB205" i="7" s="1"/>
  <c r="AA173" i="7"/>
  <c r="AB173" i="7" s="1"/>
  <c r="AK173" i="7" s="1"/>
  <c r="AA243" i="7"/>
  <c r="AB243" i="7" s="1"/>
  <c r="AA580" i="7"/>
  <c r="AB580" i="7" s="1"/>
  <c r="AA78" i="7"/>
  <c r="AA524" i="7"/>
  <c r="AB524" i="7" s="1"/>
  <c r="AA437" i="7"/>
  <c r="AA582" i="7"/>
  <c r="AB582" i="7" s="1"/>
  <c r="AA105" i="7"/>
  <c r="AB105" i="7" s="1"/>
  <c r="AA202" i="7"/>
  <c r="AB202" i="7" s="1"/>
  <c r="AA402" i="7"/>
  <c r="AB402" i="7" s="1"/>
  <c r="AA320" i="7"/>
  <c r="AB320" i="7" s="1"/>
  <c r="AA35" i="7"/>
  <c r="AB35" i="7" s="1"/>
  <c r="AK35" i="7" s="1"/>
  <c r="AA152" i="7"/>
  <c r="AB152" i="7" s="1"/>
  <c r="AA419" i="7"/>
  <c r="AB419" i="7" s="1"/>
  <c r="AA287" i="7"/>
  <c r="AB287" i="7" s="1"/>
  <c r="AA199" i="7"/>
  <c r="AB199" i="7" s="1"/>
  <c r="AK199" i="7" s="1"/>
  <c r="AA120" i="7"/>
  <c r="AB120" i="7" s="1"/>
  <c r="AA368" i="7"/>
  <c r="AB368" i="7" s="1"/>
  <c r="AA535" i="7"/>
  <c r="AB535" i="7" s="1"/>
  <c r="AA345" i="7"/>
  <c r="AB345" i="7" s="1"/>
  <c r="AA309" i="7"/>
  <c r="AB309" i="7" s="1"/>
  <c r="AA482" i="7"/>
  <c r="AB482" i="7" s="1"/>
  <c r="AA414" i="7"/>
  <c r="AB414" i="7" s="1"/>
  <c r="AA271" i="7"/>
  <c r="AB271" i="7" s="1"/>
  <c r="AK271" i="7" s="1"/>
  <c r="AA48" i="7"/>
  <c r="AB48" i="7" s="1"/>
  <c r="AK48" i="7" s="1"/>
  <c r="AA356" i="7"/>
  <c r="AB356" i="7" s="1"/>
  <c r="AA336" i="7"/>
  <c r="AB336" i="7" s="1"/>
  <c r="AA585" i="7"/>
  <c r="AB585" i="7" s="1"/>
  <c r="AK585" i="7" s="1"/>
  <c r="AA187" i="7"/>
  <c r="AB187" i="7" s="1"/>
  <c r="AA472" i="7"/>
  <c r="AB472" i="7" s="1"/>
  <c r="E207" i="7"/>
  <c r="AA207" i="7"/>
  <c r="E445" i="7"/>
  <c r="AA445" i="7"/>
  <c r="AB445" i="7" s="1"/>
  <c r="AK445" i="7" s="1"/>
  <c r="E299" i="7"/>
  <c r="AA299" i="7"/>
  <c r="AB299" i="7" s="1"/>
  <c r="E438" i="7"/>
  <c r="AA438" i="7"/>
  <c r="AB438" i="7" s="1"/>
  <c r="AA459" i="7"/>
  <c r="AB459" i="7" s="1"/>
  <c r="AA335" i="7"/>
  <c r="AB335" i="7" s="1"/>
  <c r="AA543" i="7"/>
  <c r="AA367" i="7"/>
  <c r="AA426" i="7"/>
  <c r="AB426" i="7" s="1"/>
  <c r="AA239" i="7"/>
  <c r="AB239" i="7" s="1"/>
  <c r="AK239" i="7" s="1"/>
  <c r="AA130" i="7"/>
  <c r="AB130" i="7" s="1"/>
  <c r="AA428" i="7"/>
  <c r="AB428" i="7" s="1"/>
  <c r="AA454" i="7"/>
  <c r="AB454" i="7" s="1"/>
  <c r="AA128" i="7"/>
  <c r="AB128" i="7" s="1"/>
  <c r="AA7" i="7"/>
  <c r="AB7" i="7" s="1"/>
  <c r="AA108" i="7"/>
  <c r="AB108" i="7" s="1"/>
  <c r="AA480" i="7"/>
  <c r="AB480" i="7" s="1"/>
  <c r="AA584" i="7"/>
  <c r="AB584" i="7" s="1"/>
  <c r="AK584" i="7" s="1"/>
  <c r="AA518" i="7"/>
  <c r="AB518" i="7" s="1"/>
  <c r="AA573" i="7"/>
  <c r="AB573" i="7" s="1"/>
  <c r="AK573" i="7" s="1"/>
  <c r="AA341" i="7"/>
  <c r="AB341" i="7" s="1"/>
  <c r="AA106" i="7"/>
  <c r="AA28" i="7"/>
  <c r="AB28" i="7" s="1"/>
  <c r="AA352" i="7"/>
  <c r="AB352" i="7" s="1"/>
  <c r="AA115" i="7"/>
  <c r="AB115" i="7" s="1"/>
  <c r="AA519" i="7"/>
  <c r="AB519" i="7" s="1"/>
  <c r="AK519" i="7" s="1"/>
  <c r="AA224" i="7"/>
  <c r="AB224" i="7" s="1"/>
  <c r="AA413" i="7"/>
  <c r="AB413" i="7" s="1"/>
  <c r="AA270" i="7"/>
  <c r="AA267" i="7"/>
  <c r="AB267" i="7" s="1"/>
  <c r="AA104" i="7"/>
  <c r="AB104" i="7" s="1"/>
  <c r="AA528" i="7"/>
  <c r="AB528" i="7" s="1"/>
  <c r="AA95" i="7"/>
  <c r="AA596" i="7"/>
  <c r="AB596" i="7" s="1"/>
  <c r="AA62" i="7"/>
  <c r="AA2" i="7"/>
  <c r="AB2" i="7" s="1"/>
  <c r="AA269" i="7"/>
  <c r="AB269" i="7" s="1"/>
  <c r="AA544" i="7"/>
  <c r="AB544" i="7" s="1"/>
  <c r="AA64" i="7"/>
  <c r="AB64" i="7" s="1"/>
  <c r="AA60" i="7"/>
  <c r="AB60" i="7" s="1"/>
  <c r="AA486" i="7"/>
  <c r="AB486" i="7" s="1"/>
  <c r="AK486" i="7" s="1"/>
  <c r="AA576" i="7"/>
  <c r="AB576" i="7" s="1"/>
  <c r="AK576" i="7" s="1"/>
  <c r="AA83" i="7"/>
  <c r="AB83" i="7" s="1"/>
  <c r="AA550" i="7"/>
  <c r="AB550" i="7" s="1"/>
  <c r="AA241" i="7"/>
  <c r="AB241" i="7" s="1"/>
  <c r="AA515" i="7"/>
  <c r="AB515" i="7" s="1"/>
  <c r="AA444" i="7"/>
  <c r="AB444" i="7" s="1"/>
  <c r="U11" i="7"/>
  <c r="Z463" i="7"/>
  <c r="Z507" i="7"/>
  <c r="Z132" i="7"/>
  <c r="Z226" i="7"/>
  <c r="E306" i="7"/>
  <c r="Z456" i="7"/>
  <c r="Z358" i="7"/>
  <c r="Z37" i="7"/>
  <c r="Z489" i="7"/>
  <c r="T533" i="7"/>
  <c r="AI533" i="7" s="1"/>
  <c r="Z9" i="7"/>
  <c r="Z462" i="7"/>
  <c r="Z326" i="7"/>
  <c r="Z180" i="7"/>
  <c r="E231" i="7"/>
  <c r="Z485" i="7"/>
  <c r="Z405" i="7"/>
  <c r="Z236" i="7"/>
  <c r="Z101" i="7"/>
  <c r="E84" i="7"/>
  <c r="E4" i="7"/>
  <c r="Z4" i="7"/>
  <c r="E88" i="7"/>
  <c r="Z88" i="7"/>
  <c r="E396" i="7"/>
  <c r="Z396" i="7"/>
  <c r="E466" i="7"/>
  <c r="Z466" i="7"/>
  <c r="E487" i="7"/>
  <c r="Z487" i="7"/>
  <c r="E283" i="7"/>
  <c r="Z283" i="7"/>
  <c r="E304" i="7"/>
  <c r="Z304" i="7"/>
  <c r="E494" i="7"/>
  <c r="Z494" i="7"/>
  <c r="E73" i="7"/>
  <c r="Z73" i="7"/>
  <c r="E116" i="7"/>
  <c r="Z116" i="7"/>
  <c r="E534" i="7"/>
  <c r="Z534" i="7"/>
  <c r="E350" i="7"/>
  <c r="Z350" i="7"/>
  <c r="E509" i="7"/>
  <c r="Z509" i="7"/>
  <c r="E284" i="7"/>
  <c r="Z284" i="7"/>
  <c r="E490" i="7"/>
  <c r="Z490" i="7"/>
  <c r="E161" i="7"/>
  <c r="Z161" i="7"/>
  <c r="E147" i="7"/>
  <c r="Z147" i="7"/>
  <c r="E249" i="7"/>
  <c r="Z249" i="7"/>
  <c r="E185" i="7"/>
  <c r="Z185" i="7"/>
  <c r="E409" i="7"/>
  <c r="Z409" i="7"/>
  <c r="E8" i="7"/>
  <c r="Z8" i="7"/>
  <c r="E424" i="7"/>
  <c r="Z424" i="7"/>
  <c r="E353" i="7"/>
  <c r="Z353" i="7"/>
  <c r="E178" i="7"/>
  <c r="Z178" i="7"/>
  <c r="E257" i="7"/>
  <c r="Z257" i="7"/>
  <c r="E93" i="7"/>
  <c r="Z93" i="7"/>
  <c r="E30" i="7"/>
  <c r="Z30" i="7"/>
  <c r="E51" i="7"/>
  <c r="Z51" i="7"/>
  <c r="E103" i="7"/>
  <c r="Z103" i="7"/>
  <c r="E393" i="7"/>
  <c r="Z393" i="7"/>
  <c r="E208" i="7"/>
  <c r="Z208" i="7"/>
  <c r="E501" i="7"/>
  <c r="Z501" i="7"/>
  <c r="E408" i="7"/>
  <c r="Z408" i="7"/>
  <c r="E565" i="7"/>
  <c r="Z565" i="7"/>
  <c r="E471" i="7"/>
  <c r="Z471" i="7"/>
  <c r="E537" i="7"/>
  <c r="Z537" i="7"/>
  <c r="E483" i="7"/>
  <c r="Z483" i="7"/>
  <c r="E225" i="7"/>
  <c r="Z225" i="7"/>
  <c r="E197" i="7"/>
  <c r="Z197" i="7"/>
  <c r="E100" i="7"/>
  <c r="Z100" i="7"/>
  <c r="E351" i="7"/>
  <c r="Z351" i="7"/>
  <c r="E154" i="7"/>
  <c r="Z154" i="7"/>
  <c r="E457" i="7"/>
  <c r="Z457" i="7"/>
  <c r="E375" i="7"/>
  <c r="Z375" i="7"/>
  <c r="E545" i="7"/>
  <c r="Z545" i="7"/>
  <c r="E587" i="7"/>
  <c r="Z587" i="7"/>
  <c r="E160" i="7"/>
  <c r="Z160" i="7"/>
  <c r="E262" i="7"/>
  <c r="Z262" i="7"/>
  <c r="E391" i="7"/>
  <c r="Z391" i="7"/>
  <c r="E337" i="7"/>
  <c r="Z337" i="7"/>
  <c r="E325" i="7"/>
  <c r="Z325" i="7"/>
  <c r="E213" i="7"/>
  <c r="Z213" i="7"/>
  <c r="E348" i="7"/>
  <c r="Z348" i="7"/>
  <c r="E27" i="7"/>
  <c r="Z27" i="7"/>
  <c r="E415" i="7"/>
  <c r="Z415" i="7"/>
  <c r="E15" i="7"/>
  <c r="Z15" i="7"/>
  <c r="E502" i="7"/>
  <c r="Z502" i="7"/>
  <c r="E338" i="7"/>
  <c r="Z338" i="7"/>
  <c r="E410" i="7"/>
  <c r="Z410" i="7"/>
  <c r="E327" i="7"/>
  <c r="Z327" i="7"/>
  <c r="E57" i="7"/>
  <c r="Z57" i="7"/>
  <c r="E289" i="7"/>
  <c r="Z289" i="7"/>
  <c r="E523" i="7"/>
  <c r="Z523" i="7"/>
  <c r="E562" i="7"/>
  <c r="Z562" i="7"/>
  <c r="E395" i="7"/>
  <c r="Z395" i="7"/>
  <c r="E181" i="7"/>
  <c r="Z181" i="7"/>
  <c r="E460" i="7"/>
  <c r="Z460" i="7"/>
  <c r="E291" i="7"/>
  <c r="Z291" i="7"/>
  <c r="E342" i="7"/>
  <c r="Z342" i="7"/>
  <c r="E571" i="7"/>
  <c r="Z571" i="7"/>
  <c r="E136" i="7"/>
  <c r="Z136" i="7"/>
  <c r="E45" i="7"/>
  <c r="Z45" i="7"/>
  <c r="E575" i="7"/>
  <c r="Z575" i="7"/>
  <c r="E145" i="7"/>
  <c r="Z145" i="7"/>
  <c r="E581" i="7"/>
  <c r="Z581" i="7"/>
  <c r="E433" i="7"/>
  <c r="Z433" i="7"/>
  <c r="E399" i="7"/>
  <c r="Z399" i="7"/>
  <c r="E434" i="7"/>
  <c r="Z434" i="7"/>
  <c r="E300" i="7"/>
  <c r="Z300" i="7"/>
  <c r="E468" i="7"/>
  <c r="Z468" i="7"/>
  <c r="E346" i="7"/>
  <c r="Z346" i="7"/>
  <c r="E533" i="7"/>
  <c r="Z533" i="7"/>
  <c r="E453" i="7"/>
  <c r="Z453" i="7"/>
  <c r="E574" i="7"/>
  <c r="Z574" i="7"/>
  <c r="E255" i="7"/>
  <c r="Z255" i="7"/>
  <c r="E400" i="7"/>
  <c r="Z400" i="7"/>
  <c r="E295" i="7"/>
  <c r="Z295" i="7"/>
  <c r="E568" i="7"/>
  <c r="Z568" i="7"/>
  <c r="E46" i="7"/>
  <c r="Z46" i="7"/>
  <c r="Z12" i="7"/>
  <c r="Z465" i="7"/>
  <c r="Z525" i="7"/>
  <c r="Z243" i="7"/>
  <c r="Z437" i="7"/>
  <c r="Z207" i="7"/>
  <c r="E251" i="7"/>
  <c r="Z251" i="7"/>
  <c r="E360" i="7"/>
  <c r="Z360" i="7"/>
  <c r="E191" i="7"/>
  <c r="Z191" i="7"/>
  <c r="E121" i="7"/>
  <c r="Z121" i="7"/>
  <c r="E386" i="7"/>
  <c r="Z386" i="7"/>
  <c r="E102" i="7"/>
  <c r="Z102" i="7"/>
  <c r="E586" i="7"/>
  <c r="Z586" i="7"/>
  <c r="E331" i="7"/>
  <c r="Z331" i="7"/>
  <c r="E137" i="7"/>
  <c r="Z137" i="7"/>
  <c r="E219" i="7"/>
  <c r="Z219" i="7"/>
  <c r="E398" i="7"/>
  <c r="Z398" i="7"/>
  <c r="E499" i="7"/>
  <c r="Z499" i="7"/>
  <c r="E148" i="7"/>
  <c r="Z148" i="7"/>
  <c r="E58" i="7"/>
  <c r="Z58" i="7"/>
  <c r="E172" i="7"/>
  <c r="Z172" i="7"/>
  <c r="E171" i="7"/>
  <c r="Z171" i="7"/>
  <c r="E303" i="7"/>
  <c r="Z303" i="7"/>
  <c r="E555" i="7"/>
  <c r="Z555" i="7"/>
  <c r="E286" i="7"/>
  <c r="Z286" i="7"/>
  <c r="E3" i="7"/>
  <c r="Z3" i="7"/>
  <c r="E548" i="7"/>
  <c r="Z548" i="7"/>
  <c r="Z431" i="7"/>
  <c r="Z263" i="7"/>
  <c r="Z294" i="7"/>
  <c r="Z173" i="7"/>
  <c r="Z524" i="7"/>
  <c r="Z514" i="7"/>
  <c r="Z438" i="7"/>
  <c r="E378" i="7"/>
  <c r="Z378" i="7"/>
  <c r="E280" i="7"/>
  <c r="D280" i="25" s="1"/>
  <c r="Z280" i="7"/>
  <c r="E56" i="7"/>
  <c r="Z56" i="7"/>
  <c r="E340" i="7"/>
  <c r="D340" i="25" s="1"/>
  <c r="Z340" i="7"/>
  <c r="E382" i="7"/>
  <c r="Z382" i="7"/>
  <c r="E215" i="7"/>
  <c r="Z215" i="7"/>
  <c r="E55" i="7"/>
  <c r="Z55" i="7"/>
  <c r="E91" i="7"/>
  <c r="D91" i="25" s="1"/>
  <c r="Z91" i="7"/>
  <c r="E560" i="7"/>
  <c r="Z560" i="7"/>
  <c r="E474" i="7"/>
  <c r="Z474" i="7"/>
  <c r="E296" i="7"/>
  <c r="Z296" i="7"/>
  <c r="E138" i="7"/>
  <c r="Z138" i="7"/>
  <c r="E221" i="7"/>
  <c r="Z221" i="7"/>
  <c r="E412" i="7"/>
  <c r="Z412" i="7"/>
  <c r="E397" i="7"/>
  <c r="Z397" i="7"/>
  <c r="E439" i="7"/>
  <c r="Z439" i="7"/>
  <c r="E365" i="7"/>
  <c r="Z365" i="7"/>
  <c r="E383" i="7"/>
  <c r="Z383" i="7"/>
  <c r="E237" i="7"/>
  <c r="Z237" i="7"/>
  <c r="E577" i="7"/>
  <c r="Z577" i="7"/>
  <c r="E43" i="7"/>
  <c r="Z43" i="7"/>
  <c r="E530" i="7"/>
  <c r="Z530" i="7"/>
  <c r="Z245" i="7"/>
  <c r="E245" i="7"/>
  <c r="E307" i="7"/>
  <c r="Z307" i="7"/>
  <c r="E432" i="7"/>
  <c r="Z432" i="7"/>
  <c r="E217" i="7"/>
  <c r="Z217" i="7"/>
  <c r="E312" i="7"/>
  <c r="Z312" i="7"/>
  <c r="E167" i="7"/>
  <c r="Z167" i="7"/>
  <c r="E508" i="7"/>
  <c r="Z508" i="7"/>
  <c r="E272" i="7"/>
  <c r="D272" i="25" s="1"/>
  <c r="Z272" i="7"/>
  <c r="E32" i="7"/>
  <c r="Z32" i="7"/>
  <c r="E155" i="7"/>
  <c r="Z155" i="7"/>
  <c r="E420" i="7"/>
  <c r="Z420" i="7"/>
  <c r="E76" i="7"/>
  <c r="Z76" i="7"/>
  <c r="E275" i="7"/>
  <c r="Z275" i="7"/>
  <c r="E72" i="7"/>
  <c r="Z72" i="7"/>
  <c r="E44" i="7"/>
  <c r="Z44" i="7"/>
  <c r="E589" i="7"/>
  <c r="Z589" i="7"/>
  <c r="Z135" i="7"/>
  <c r="E135" i="7"/>
  <c r="E516" i="7"/>
  <c r="Z516" i="7"/>
  <c r="E551" i="7"/>
  <c r="Z551" i="7"/>
  <c r="E26" i="7"/>
  <c r="Z26" i="7"/>
  <c r="E333" i="7"/>
  <c r="Z333" i="7"/>
  <c r="E285" i="7"/>
  <c r="Z285" i="7"/>
  <c r="E159" i="7"/>
  <c r="Z159" i="7"/>
  <c r="E427" i="7"/>
  <c r="Z427" i="7"/>
  <c r="E467" i="7"/>
  <c r="Z467" i="7"/>
  <c r="E49" i="7"/>
  <c r="D49" i="25" s="1"/>
  <c r="Z49" i="7"/>
  <c r="E301" i="7"/>
  <c r="Z301" i="7"/>
  <c r="E6" i="7"/>
  <c r="Z6" i="7"/>
  <c r="E67" i="7"/>
  <c r="Z67" i="7"/>
  <c r="E193" i="7"/>
  <c r="Z193" i="7"/>
  <c r="E362" i="7"/>
  <c r="Z362" i="7"/>
  <c r="E144" i="7"/>
  <c r="Z144" i="7"/>
  <c r="Z492" i="7"/>
  <c r="E492" i="7"/>
  <c r="E510" i="7"/>
  <c r="Z510" i="7"/>
  <c r="E183" i="7"/>
  <c r="Z183" i="7"/>
  <c r="E500" i="7"/>
  <c r="D500" i="25" s="1"/>
  <c r="Z500" i="7"/>
  <c r="E190" i="7"/>
  <c r="Z190" i="7"/>
  <c r="E423" i="7"/>
  <c r="Z423" i="7"/>
  <c r="E79" i="7"/>
  <c r="Z79" i="7"/>
  <c r="E24" i="7"/>
  <c r="Z24" i="7"/>
  <c r="E372" i="7"/>
  <c r="Z372" i="7"/>
  <c r="E31" i="7"/>
  <c r="D31" i="25" s="1"/>
  <c r="Z31" i="7"/>
  <c r="E61" i="7"/>
  <c r="Z61" i="7"/>
  <c r="E279" i="7"/>
  <c r="Z279" i="7"/>
  <c r="E406" i="7"/>
  <c r="Z406" i="7"/>
  <c r="E69" i="7"/>
  <c r="Z69" i="7"/>
  <c r="E198" i="7"/>
  <c r="Z198" i="7"/>
  <c r="E354" i="7"/>
  <c r="Z354" i="7"/>
  <c r="Z196" i="7"/>
  <c r="E196" i="7"/>
  <c r="E210" i="7"/>
  <c r="D210" i="25" s="1"/>
  <c r="Z210" i="7"/>
  <c r="E493" i="7"/>
  <c r="Z493" i="7"/>
  <c r="E318" i="7"/>
  <c r="Z318" i="7"/>
  <c r="E324" i="7"/>
  <c r="Z324" i="7"/>
  <c r="E163" i="7"/>
  <c r="Z163" i="7"/>
  <c r="E184" i="7"/>
  <c r="Z184" i="7"/>
  <c r="E570" i="7"/>
  <c r="Z570" i="7"/>
  <c r="E266" i="7"/>
  <c r="Z266" i="7"/>
  <c r="E89" i="7"/>
  <c r="D89" i="25" s="1"/>
  <c r="Z89" i="7"/>
  <c r="E229" i="7"/>
  <c r="Z229" i="7"/>
  <c r="E131" i="7"/>
  <c r="D131" i="25" s="1"/>
  <c r="Z131" i="7"/>
  <c r="E321" i="7"/>
  <c r="Z321" i="7"/>
  <c r="E39" i="7"/>
  <c r="Z39" i="7"/>
  <c r="E40" i="7"/>
  <c r="Z40" i="7"/>
  <c r="E349" i="7"/>
  <c r="D349" i="25" s="1"/>
  <c r="Z349" i="7"/>
  <c r="E274" i="7"/>
  <c r="Z274" i="7"/>
  <c r="E579" i="7"/>
  <c r="Z579" i="7"/>
  <c r="E42" i="7"/>
  <c r="Z42" i="7"/>
  <c r="E464" i="7"/>
  <c r="Z464" i="7"/>
  <c r="E569" i="7"/>
  <c r="Z569" i="7"/>
  <c r="E85" i="7"/>
  <c r="Z85" i="7"/>
  <c r="E211" i="7"/>
  <c r="Z211" i="7"/>
  <c r="E114" i="7"/>
  <c r="D114" i="25" s="1"/>
  <c r="Z114" i="7"/>
  <c r="E216" i="7"/>
  <c r="Z216" i="7"/>
  <c r="E234" i="7"/>
  <c r="Z234" i="7"/>
  <c r="E19" i="7"/>
  <c r="Z19" i="7"/>
  <c r="E343" i="7"/>
  <c r="D343" i="25" s="1"/>
  <c r="Z343" i="7"/>
  <c r="E38" i="7"/>
  <c r="Z38" i="7"/>
  <c r="E59" i="7"/>
  <c r="Z59" i="7"/>
  <c r="E33" i="7"/>
  <c r="Z33" i="7"/>
  <c r="E153" i="7"/>
  <c r="Z153" i="7"/>
  <c r="E117" i="7"/>
  <c r="Z117" i="7"/>
  <c r="E122" i="7"/>
  <c r="Z122" i="7"/>
  <c r="E313" i="7"/>
  <c r="Z313" i="7"/>
  <c r="Z218" i="7"/>
  <c r="Z214" i="7"/>
  <c r="Z86" i="7"/>
  <c r="Z580" i="7"/>
  <c r="Z582" i="7"/>
  <c r="Z445" i="7"/>
  <c r="E407" i="7"/>
  <c r="Z407" i="7"/>
  <c r="E233" i="7"/>
  <c r="D233" i="25" s="1"/>
  <c r="Z233" i="7"/>
  <c r="E133" i="7"/>
  <c r="Z133" i="7"/>
  <c r="E366" i="7"/>
  <c r="Z366" i="7"/>
  <c r="E125" i="7"/>
  <c r="Z125" i="7"/>
  <c r="E92" i="7"/>
  <c r="Z92" i="7"/>
  <c r="E278" i="7"/>
  <c r="Z278" i="7"/>
  <c r="E511" i="7"/>
  <c r="D511" i="25" s="1"/>
  <c r="Z511" i="7"/>
  <c r="E223" i="7"/>
  <c r="Z223" i="7"/>
  <c r="E449" i="7"/>
  <c r="Z449" i="7"/>
  <c r="E156" i="7"/>
  <c r="Z156" i="7"/>
  <c r="E371" i="7"/>
  <c r="Z371" i="7"/>
  <c r="E281" i="7"/>
  <c r="Z281" i="7"/>
  <c r="E113" i="7"/>
  <c r="Z113" i="7"/>
  <c r="E222" i="7"/>
  <c r="Z222" i="7"/>
  <c r="E458" i="7"/>
  <c r="Z458" i="7"/>
  <c r="E478" i="7"/>
  <c r="Z478" i="7"/>
  <c r="E308" i="7"/>
  <c r="Z308" i="7"/>
  <c r="E305" i="7"/>
  <c r="Z305" i="7"/>
  <c r="E17" i="7"/>
  <c r="Z17" i="7"/>
  <c r="E316" i="7"/>
  <c r="Z316" i="7"/>
  <c r="E25" i="7"/>
  <c r="Z25" i="7"/>
  <c r="E503" i="7"/>
  <c r="Z503" i="7"/>
  <c r="E204" i="7"/>
  <c r="Z204" i="7"/>
  <c r="E436" i="7"/>
  <c r="Z436" i="7"/>
  <c r="E388" i="7"/>
  <c r="Z388" i="7"/>
  <c r="E203" i="7"/>
  <c r="Z203" i="7"/>
  <c r="E11" i="7"/>
  <c r="Z11" i="7"/>
  <c r="E54" i="7"/>
  <c r="Z54" i="7"/>
  <c r="E110" i="7"/>
  <c r="Z110" i="7"/>
  <c r="E14" i="7"/>
  <c r="Z14" i="7"/>
  <c r="E479" i="7"/>
  <c r="Z479" i="7"/>
  <c r="E81" i="7"/>
  <c r="Z81" i="7"/>
  <c r="E506" i="7"/>
  <c r="Z506" i="7"/>
  <c r="E361" i="7"/>
  <c r="Z361" i="7"/>
  <c r="E99" i="7"/>
  <c r="Z99" i="7"/>
  <c r="E52" i="7"/>
  <c r="Z52" i="7"/>
  <c r="E526" i="7"/>
  <c r="Z526" i="7"/>
  <c r="E512" i="7"/>
  <c r="Z512" i="7"/>
  <c r="E53" i="7"/>
  <c r="Z53" i="7"/>
  <c r="E195" i="7"/>
  <c r="Z195" i="7"/>
  <c r="E484" i="7"/>
  <c r="Z484" i="7"/>
  <c r="E109" i="7"/>
  <c r="Z109" i="7"/>
  <c r="E220" i="7"/>
  <c r="Z220" i="7"/>
  <c r="E240" i="7"/>
  <c r="Z240" i="7"/>
  <c r="E442" i="7"/>
  <c r="Z442" i="7"/>
  <c r="E118" i="7"/>
  <c r="Z118" i="7"/>
  <c r="E421" i="7"/>
  <c r="D421" i="25" s="1"/>
  <c r="Z421" i="7"/>
  <c r="E200" i="7"/>
  <c r="Z200" i="7"/>
  <c r="E334" i="7"/>
  <c r="Z334" i="7"/>
  <c r="E258" i="7"/>
  <c r="Z258" i="7"/>
  <c r="E288" i="7"/>
  <c r="Z288" i="7"/>
  <c r="E250" i="7"/>
  <c r="Z250" i="7"/>
  <c r="E142" i="7"/>
  <c r="Z142" i="7"/>
  <c r="E21" i="7"/>
  <c r="Z21" i="7"/>
  <c r="E536" i="7"/>
  <c r="Z536" i="7"/>
  <c r="E542" i="7"/>
  <c r="Z542" i="7"/>
  <c r="E68" i="7"/>
  <c r="Z68" i="7"/>
  <c r="E588" i="7"/>
  <c r="Z588" i="7"/>
  <c r="E566" i="7"/>
  <c r="D566" i="25" s="1"/>
  <c r="Z566" i="7"/>
  <c r="E265" i="7"/>
  <c r="Z265" i="7"/>
  <c r="E164" i="7"/>
  <c r="Z164" i="7"/>
  <c r="E23" i="7"/>
  <c r="Z23" i="7"/>
  <c r="E422" i="7"/>
  <c r="Z422" i="7"/>
  <c r="E455" i="7"/>
  <c r="Z455" i="7"/>
  <c r="E82" i="7"/>
  <c r="Z82" i="7"/>
  <c r="E248" i="7"/>
  <c r="Z248" i="7"/>
  <c r="E527" i="7"/>
  <c r="Z527" i="7"/>
  <c r="E447" i="7"/>
  <c r="Z447" i="7"/>
  <c r="E513" i="7"/>
  <c r="Z513" i="7"/>
  <c r="E390" i="7"/>
  <c r="Z390" i="7"/>
  <c r="E65" i="7"/>
  <c r="Z65" i="7"/>
  <c r="E259" i="7"/>
  <c r="Z259" i="7"/>
  <c r="E319" i="7"/>
  <c r="Z319" i="7"/>
  <c r="E364" i="7"/>
  <c r="Z364" i="7"/>
  <c r="E496" i="7"/>
  <c r="D496" i="25" s="1"/>
  <c r="Z496" i="7"/>
  <c r="E212" i="7"/>
  <c r="Z212" i="7"/>
  <c r="E540" i="7"/>
  <c r="Z540" i="7"/>
  <c r="E18" i="7"/>
  <c r="Z18" i="7"/>
  <c r="E446" i="7"/>
  <c r="Z446" i="7"/>
  <c r="E504" i="7"/>
  <c r="Z504" i="7"/>
  <c r="E425" i="7"/>
  <c r="Z425" i="7"/>
  <c r="E22" i="7"/>
  <c r="Z22" i="7"/>
  <c r="E80" i="7"/>
  <c r="Z80" i="7"/>
  <c r="E182" i="7"/>
  <c r="Z182" i="7"/>
  <c r="E441" i="7"/>
  <c r="Z441" i="7"/>
  <c r="E169" i="7"/>
  <c r="Z169" i="7"/>
  <c r="E315" i="7"/>
  <c r="Z315" i="7"/>
  <c r="E435" i="7"/>
  <c r="Z435" i="7"/>
  <c r="E329" i="7"/>
  <c r="Z329" i="7"/>
  <c r="E347" i="7"/>
  <c r="Z347" i="7"/>
  <c r="E36" i="7"/>
  <c r="D36" i="25" s="1"/>
  <c r="Z36" i="7"/>
  <c r="E394" i="7"/>
  <c r="Z394" i="7"/>
  <c r="E235" i="7"/>
  <c r="D235" i="25" s="1"/>
  <c r="Z235" i="7"/>
  <c r="E384" i="7"/>
  <c r="Z384" i="7"/>
  <c r="E451" i="7"/>
  <c r="Z451" i="7"/>
  <c r="E554" i="7"/>
  <c r="Z554" i="7"/>
  <c r="E539" i="7"/>
  <c r="Z539" i="7"/>
  <c r="E194" i="7"/>
  <c r="Z194" i="7"/>
  <c r="E564" i="7"/>
  <c r="Z564" i="7"/>
  <c r="E328" i="7"/>
  <c r="Z328" i="7"/>
  <c r="E370" i="7"/>
  <c r="Z370" i="7"/>
  <c r="E330" i="7"/>
  <c r="Z330" i="7"/>
  <c r="E521" i="7"/>
  <c r="Z521" i="7"/>
  <c r="E532" i="7"/>
  <c r="Z532" i="7"/>
  <c r="E377" i="7"/>
  <c r="Z377" i="7"/>
  <c r="E546" i="7"/>
  <c r="Z546" i="7"/>
  <c r="E129" i="7"/>
  <c r="Z129" i="7"/>
  <c r="E186" i="7"/>
  <c r="Z186" i="7"/>
  <c r="E206" i="7"/>
  <c r="Z206" i="7"/>
  <c r="E443" i="7"/>
  <c r="Z443" i="7"/>
  <c r="E310" i="7"/>
  <c r="Z310" i="7"/>
  <c r="E189" i="7"/>
  <c r="Z189" i="7"/>
  <c r="E264" i="7"/>
  <c r="Z264" i="7"/>
  <c r="E230" i="7"/>
  <c r="Z230" i="7"/>
  <c r="E563" i="7"/>
  <c r="D563" i="25" s="1"/>
  <c r="Z563" i="7"/>
  <c r="E339" i="7"/>
  <c r="Z339" i="7"/>
  <c r="E201" i="7"/>
  <c r="Z201" i="7"/>
  <c r="Z107" i="7"/>
  <c r="Z311" i="7"/>
  <c r="Z112" i="7"/>
  <c r="Z78" i="7"/>
  <c r="Z105" i="7"/>
  <c r="Z299" i="7"/>
  <c r="E166" i="7"/>
  <c r="Z166" i="7"/>
  <c r="U107" i="7"/>
  <c r="U111" i="7"/>
  <c r="Z459" i="7"/>
  <c r="Z335" i="7"/>
  <c r="Z543" i="7"/>
  <c r="Z367" i="7"/>
  <c r="Z426" i="7"/>
  <c r="Z239" i="7"/>
  <c r="Z130" i="7"/>
  <c r="Z428" i="7"/>
  <c r="Z454" i="7"/>
  <c r="Z128" i="7"/>
  <c r="Z7" i="7"/>
  <c r="Z108" i="7"/>
  <c r="Z480" i="7"/>
  <c r="Z584" i="7"/>
  <c r="Z518" i="7"/>
  <c r="Z573" i="7"/>
  <c r="Z341" i="7"/>
  <c r="Z106" i="7"/>
  <c r="Z28" i="7"/>
  <c r="Z352" i="7"/>
  <c r="Z253" i="7"/>
  <c r="Z252" i="7"/>
  <c r="Z549" i="7"/>
  <c r="Z314" i="7"/>
  <c r="Z430" i="7"/>
  <c r="Z583" i="7"/>
  <c r="Z140" i="7"/>
  <c r="Z593" i="7"/>
  <c r="Z261" i="7"/>
  <c r="Z323" i="7"/>
  <c r="Z404" i="7"/>
  <c r="Z461" i="7"/>
  <c r="Z553" i="7"/>
  <c r="Z590" i="7"/>
  <c r="Z547" i="7"/>
  <c r="Z34" i="7"/>
  <c r="Z176" i="7"/>
  <c r="Z232" i="7"/>
  <c r="Z134" i="7"/>
  <c r="Z71" i="7"/>
  <c r="Z70" i="7"/>
  <c r="Z416" i="7"/>
  <c r="Z123" i="7"/>
  <c r="Z150" i="7"/>
  <c r="Z403" i="7"/>
  <c r="Z192" i="7"/>
  <c r="Z450" i="7"/>
  <c r="Z168" i="7"/>
  <c r="Z505" i="7"/>
  <c r="Z380" i="7"/>
  <c r="Z572" i="7"/>
  <c r="Z297" i="7"/>
  <c r="Z13" i="7"/>
  <c r="Z157" i="7"/>
  <c r="Z477" i="7"/>
  <c r="Z387" i="7"/>
  <c r="Z322" i="7"/>
  <c r="Z75" i="7"/>
  <c r="Z47" i="7"/>
  <c r="Z520" i="7"/>
  <c r="Z567" i="7"/>
  <c r="Z594" i="7"/>
  <c r="Z558" i="7"/>
  <c r="Z277" i="7"/>
  <c r="Z98" i="7"/>
  <c r="Z517" i="7"/>
  <c r="Z379" i="7"/>
  <c r="Z418" i="7"/>
  <c r="Z541" i="7"/>
  <c r="Z389" i="7"/>
  <c r="Z385" i="7"/>
  <c r="Z578" i="7"/>
  <c r="Z355" i="7"/>
  <c r="Z529" i="7"/>
  <c r="Z488" i="7"/>
  <c r="Z411" i="7"/>
  <c r="Z90" i="7"/>
  <c r="Z374" i="7"/>
  <c r="Z290" i="7"/>
  <c r="Z115" i="7"/>
  <c r="Z202" i="7"/>
  <c r="Z20" i="7"/>
  <c r="Z402" i="7"/>
  <c r="Z498" i="7"/>
  <c r="Z320" i="7"/>
  <c r="Z473" i="7"/>
  <c r="Z35" i="7"/>
  <c r="Z522" i="7"/>
  <c r="Z152" i="7"/>
  <c r="Z376" i="7"/>
  <c r="Z419" i="7"/>
  <c r="Z440" i="7"/>
  <c r="Z287" i="7"/>
  <c r="Z273" i="7"/>
  <c r="Z199" i="7"/>
  <c r="Z293" i="7"/>
  <c r="Z120" i="7"/>
  <c r="Z381" i="7"/>
  <c r="Z368" i="7"/>
  <c r="Z209" i="7"/>
  <c r="Z535" i="7"/>
  <c r="Z188" i="7"/>
  <c r="Z345" i="7"/>
  <c r="Z429" i="7"/>
  <c r="Z309" i="7"/>
  <c r="Z127" i="7"/>
  <c r="Z482" i="7"/>
  <c r="Z143" i="7"/>
  <c r="Z414" i="7"/>
  <c r="Z96" i="7"/>
  <c r="Z271" i="7"/>
  <c r="Z146" i="7"/>
  <c r="Z48" i="7"/>
  <c r="Z246" i="7"/>
  <c r="Z356" i="7"/>
  <c r="Z124" i="7"/>
  <c r="Z336" i="7"/>
  <c r="Z592" i="7"/>
  <c r="Z585" i="7"/>
  <c r="Z139" i="7"/>
  <c r="Z187" i="7"/>
  <c r="Z151" i="7"/>
  <c r="Z472" i="7"/>
  <c r="Z111" i="7"/>
  <c r="Z552" i="7"/>
  <c r="Z417" i="7"/>
  <c r="Z448" i="7"/>
  <c r="Z141" i="7"/>
  <c r="Z63" i="7"/>
  <c r="Z497" i="7"/>
  <c r="Z256" i="7"/>
  <c r="Z97" i="7"/>
  <c r="Z561" i="7"/>
  <c r="Z369" i="7"/>
  <c r="Z556" i="7"/>
  <c r="Z475" i="7"/>
  <c r="Z452" i="7"/>
  <c r="Z317" i="7"/>
  <c r="Z476" i="7"/>
  <c r="T143" i="7"/>
  <c r="AI143" i="7" s="1"/>
  <c r="T592" i="7"/>
  <c r="AI592" i="7" s="1"/>
  <c r="R592" i="7"/>
  <c r="Z179" i="7"/>
  <c r="Z519" i="7"/>
  <c r="Z119" i="7"/>
  <c r="Z224" i="7"/>
  <c r="Z491" i="7"/>
  <c r="Z413" i="7"/>
  <c r="Z595" i="7"/>
  <c r="Z270" i="7"/>
  <c r="Z16" i="7"/>
  <c r="Z267" i="7"/>
  <c r="Z94" i="7"/>
  <c r="Z104" i="7"/>
  <c r="Z242" i="7"/>
  <c r="Z528" i="7"/>
  <c r="Z282" i="7"/>
  <c r="Z95" i="7"/>
  <c r="Z276" i="7"/>
  <c r="Z596" i="7"/>
  <c r="Z10" i="7"/>
  <c r="Z62" i="7"/>
  <c r="Z302" i="7"/>
  <c r="Z2" i="7"/>
  <c r="Z557" i="7"/>
  <c r="Z269" i="7"/>
  <c r="Z247" i="7"/>
  <c r="Z544" i="7"/>
  <c r="Z292" i="7"/>
  <c r="Z64" i="7"/>
  <c r="Z332" i="7"/>
  <c r="Z60" i="7"/>
  <c r="Z244" i="7"/>
  <c r="Z486" i="7"/>
  <c r="Z227" i="7"/>
  <c r="Z576" i="7"/>
  <c r="Z158" i="7"/>
  <c r="Z83" i="7"/>
  <c r="Z591" i="7"/>
  <c r="Z550" i="7"/>
  <c r="Z363" i="7"/>
  <c r="Z241" i="7"/>
  <c r="Z268" i="7"/>
  <c r="Z515" i="7"/>
  <c r="Z205" i="7"/>
  <c r="Z444" i="7"/>
  <c r="Z357" i="7"/>
  <c r="Z228" i="7"/>
  <c r="Z87" i="7"/>
  <c r="Z559" i="7"/>
  <c r="Z538" i="7"/>
  <c r="Z77" i="7"/>
  <c r="Z149" i="7"/>
  <c r="Z260" i="7"/>
  <c r="Z126" i="7"/>
  <c r="Z175" i="7"/>
  <c r="Z165" i="7"/>
  <c r="Z392" i="7"/>
  <c r="Z254" i="7"/>
  <c r="Z481" i="7"/>
  <c r="Z66" i="7"/>
  <c r="Z50" i="7"/>
  <c r="Z238" i="7"/>
  <c r="Z373" i="7"/>
  <c r="Z170" i="7"/>
  <c r="Z531" i="7"/>
  <c r="Z162" i="7"/>
  <c r="Z41" i="7"/>
  <c r="Z401" i="7"/>
  <c r="Z495" i="7"/>
  <c r="Z29" i="7"/>
  <c r="Z5" i="7"/>
  <c r="Z177" i="7"/>
  <c r="Z298" i="7"/>
  <c r="Z359" i="7"/>
  <c r="Z469" i="7"/>
  <c r="Z74" i="7"/>
  <c r="Z344" i="7"/>
  <c r="Z174" i="7"/>
  <c r="Z470" i="7"/>
  <c r="T465" i="7"/>
  <c r="AI465" i="7" s="1"/>
  <c r="U137" i="7"/>
  <c r="U381" i="7"/>
  <c r="S423" i="7"/>
  <c r="AH423" i="7" s="1"/>
  <c r="U105" i="7"/>
  <c r="U445" i="7"/>
  <c r="U522" i="7"/>
  <c r="U45" i="7"/>
  <c r="U102" i="7"/>
  <c r="S377" i="7"/>
  <c r="AH377" i="7" s="1"/>
  <c r="T206" i="7"/>
  <c r="AI206" i="7" s="1"/>
  <c r="T513" i="7"/>
  <c r="AI513" i="7" s="1"/>
  <c r="U499" i="7"/>
  <c r="U482" i="7"/>
  <c r="U172" i="7"/>
  <c r="R577" i="7"/>
  <c r="T43" i="7"/>
  <c r="AI43" i="7" s="1"/>
  <c r="T312" i="7"/>
  <c r="AI312" i="7" s="1"/>
  <c r="T328" i="7"/>
  <c r="AI328" i="7" s="1"/>
  <c r="T370" i="7"/>
  <c r="AI370" i="7" s="1"/>
  <c r="T77" i="7"/>
  <c r="AI77" i="7" s="1"/>
  <c r="J315" i="7"/>
  <c r="T87" i="7"/>
  <c r="AI87" i="7" s="1"/>
  <c r="S467" i="7"/>
  <c r="AH467" i="7" s="1"/>
  <c r="J43" i="7"/>
  <c r="J44" i="7"/>
  <c r="S33" i="7"/>
  <c r="AH33" i="7" s="1"/>
  <c r="T78" i="7"/>
  <c r="AI78" i="7" s="1"/>
  <c r="S419" i="7"/>
  <c r="AH419" i="7" s="1"/>
  <c r="T535" i="7"/>
  <c r="AI535" i="7" s="1"/>
  <c r="R127" i="7"/>
  <c r="T96" i="7"/>
  <c r="AI96" i="7" s="1"/>
  <c r="T171" i="7"/>
  <c r="AI171" i="7" s="1"/>
  <c r="U47" i="7"/>
  <c r="T423" i="7"/>
  <c r="AI423" i="7" s="1"/>
  <c r="J206" i="7"/>
  <c r="J59" i="7"/>
  <c r="J381" i="7"/>
  <c r="J127" i="7"/>
  <c r="J96" i="7"/>
  <c r="J146" i="7"/>
  <c r="J139" i="7"/>
  <c r="J55" i="7"/>
  <c r="J467" i="7"/>
  <c r="J184" i="7"/>
  <c r="U367" i="7"/>
  <c r="U25" i="7"/>
  <c r="S526" i="7"/>
  <c r="AH526" i="7" s="1"/>
  <c r="S53" i="7"/>
  <c r="AH53" i="7" s="1"/>
  <c r="S484" i="7"/>
  <c r="AH484" i="7" s="1"/>
  <c r="J33" i="7"/>
  <c r="J268" i="7"/>
  <c r="J296" i="7"/>
  <c r="J312" i="7"/>
  <c r="S454" i="7"/>
  <c r="AH454" i="7" s="1"/>
  <c r="S264" i="7"/>
  <c r="AH264" i="7" s="1"/>
  <c r="U352" i="7"/>
  <c r="U201" i="7"/>
  <c r="U314" i="7"/>
  <c r="U593" i="7"/>
  <c r="U323" i="7"/>
  <c r="U553" i="7"/>
  <c r="U95" i="7"/>
  <c r="U84" i="7"/>
  <c r="U10" i="7"/>
  <c r="T247" i="7"/>
  <c r="AI247" i="7" s="1"/>
  <c r="T403" i="7"/>
  <c r="AI403" i="7" s="1"/>
  <c r="T292" i="7"/>
  <c r="AI292" i="7" s="1"/>
  <c r="T60" i="7"/>
  <c r="AI60" i="7" s="1"/>
  <c r="T505" i="7"/>
  <c r="AI505" i="7" s="1"/>
  <c r="R576" i="7"/>
  <c r="U477" i="7"/>
  <c r="U559" i="7"/>
  <c r="U397" i="7"/>
  <c r="S496" i="7"/>
  <c r="AH496" i="7" s="1"/>
  <c r="S182" i="7"/>
  <c r="AH182" i="7" s="1"/>
  <c r="J419" i="7"/>
  <c r="J535" i="7"/>
  <c r="J309" i="7"/>
  <c r="J482" i="7"/>
  <c r="J382" i="7"/>
  <c r="J221" i="7"/>
  <c r="J53" i="7"/>
  <c r="U4" i="7"/>
  <c r="J4" i="7"/>
  <c r="T133" i="7"/>
  <c r="AI133" i="7" s="1"/>
  <c r="J133" i="7"/>
  <c r="U396" i="7"/>
  <c r="J396" i="7"/>
  <c r="U360" i="7"/>
  <c r="J360" i="7"/>
  <c r="T392" i="7"/>
  <c r="AI392" i="7" s="1"/>
  <c r="J392" i="7"/>
  <c r="S116" i="7"/>
  <c r="AH116" i="7" s="1"/>
  <c r="J116" i="7"/>
  <c r="S534" i="7"/>
  <c r="AH534" i="7" s="1"/>
  <c r="J534" i="7"/>
  <c r="S371" i="7"/>
  <c r="AH371" i="7" s="1"/>
  <c r="J371" i="7"/>
  <c r="R249" i="7"/>
  <c r="J249" i="7"/>
  <c r="R185" i="7"/>
  <c r="J185" i="7"/>
  <c r="R418" i="7"/>
  <c r="J418" i="7"/>
  <c r="S141" i="7"/>
  <c r="AH141" i="7" s="1"/>
  <c r="J141" i="7"/>
  <c r="U265" i="7"/>
  <c r="R355" i="7"/>
  <c r="J355" i="7"/>
  <c r="R391" i="7"/>
  <c r="J391" i="7"/>
  <c r="T15" i="7"/>
  <c r="AI15" i="7" s="1"/>
  <c r="J15" i="7"/>
  <c r="T395" i="7"/>
  <c r="AI395" i="7" s="1"/>
  <c r="J395" i="7"/>
  <c r="J377" i="7"/>
  <c r="J264" i="7"/>
  <c r="J201" i="7"/>
  <c r="J515" i="7"/>
  <c r="J458" i="7"/>
  <c r="J17" i="7"/>
  <c r="J25" i="7"/>
  <c r="J388" i="7"/>
  <c r="J11" i="7"/>
  <c r="J513" i="7"/>
  <c r="J65" i="7"/>
  <c r="T260" i="7"/>
  <c r="AI260" i="7" s="1"/>
  <c r="J260" i="7"/>
  <c r="R401" i="7"/>
  <c r="J401" i="7"/>
  <c r="U93" i="7"/>
  <c r="J93" i="7"/>
  <c r="U103" i="7"/>
  <c r="J103" i="7"/>
  <c r="J56" i="7"/>
  <c r="J397" i="7"/>
  <c r="J159" i="7"/>
  <c r="S133" i="7"/>
  <c r="AH133" i="7" s="1"/>
  <c r="S396" i="7"/>
  <c r="AH396" i="7" s="1"/>
  <c r="T25" i="7"/>
  <c r="AI25" i="7" s="1"/>
  <c r="S165" i="7"/>
  <c r="AH165" i="7" s="1"/>
  <c r="J165" i="7"/>
  <c r="U357" i="7"/>
  <c r="J357" i="7"/>
  <c r="T228" i="7"/>
  <c r="AI228" i="7" s="1"/>
  <c r="J228" i="7"/>
  <c r="T149" i="7"/>
  <c r="AI149" i="7" s="1"/>
  <c r="J149" i="7"/>
  <c r="T366" i="7"/>
  <c r="AI366" i="7" s="1"/>
  <c r="J366" i="7"/>
  <c r="T191" i="7"/>
  <c r="AI191" i="7" s="1"/>
  <c r="J191" i="7"/>
  <c r="S466" i="7"/>
  <c r="AH466" i="7" s="1"/>
  <c r="J466" i="7"/>
  <c r="S436" i="7"/>
  <c r="AH436" i="7" s="1"/>
  <c r="T254" i="7"/>
  <c r="AI254" i="7" s="1"/>
  <c r="J254" i="7"/>
  <c r="R8" i="7"/>
  <c r="J8" i="7"/>
  <c r="R353" i="7"/>
  <c r="J353" i="7"/>
  <c r="U418" i="7"/>
  <c r="S495" i="7"/>
  <c r="AH495" i="7" s="1"/>
  <c r="J495" i="7"/>
  <c r="U393" i="7"/>
  <c r="T483" i="7"/>
  <c r="AI483" i="7" s="1"/>
  <c r="J483" i="7"/>
  <c r="S513" i="7"/>
  <c r="AH513" i="7" s="1"/>
  <c r="R423" i="7"/>
  <c r="T319" i="7"/>
  <c r="AI319" i="7" s="1"/>
  <c r="J107" i="7"/>
  <c r="J465" i="7"/>
  <c r="J78" i="7"/>
  <c r="J105" i="7"/>
  <c r="J445" i="7"/>
  <c r="J45" i="7"/>
  <c r="J102" i="7"/>
  <c r="J137" i="7"/>
  <c r="J499" i="7"/>
  <c r="J172" i="7"/>
  <c r="J171" i="7"/>
  <c r="J3" i="7"/>
  <c r="J568" i="7"/>
  <c r="J548" i="7"/>
  <c r="J46" i="7"/>
  <c r="J215" i="7"/>
  <c r="J91" i="7"/>
  <c r="J474" i="7"/>
  <c r="J138" i="7"/>
  <c r="J412" i="7"/>
  <c r="J577" i="7"/>
  <c r="J72" i="7"/>
  <c r="J589" i="7"/>
  <c r="J26" i="7"/>
  <c r="J423" i="7"/>
  <c r="J89" i="7"/>
  <c r="T233" i="7"/>
  <c r="AI233" i="7" s="1"/>
  <c r="J233" i="7"/>
  <c r="U77" i="7"/>
  <c r="J77" i="7"/>
  <c r="S126" i="7"/>
  <c r="AH126" i="7" s="1"/>
  <c r="J126" i="7"/>
  <c r="R175" i="7"/>
  <c r="J175" i="7"/>
  <c r="S92" i="7"/>
  <c r="AH92" i="7" s="1"/>
  <c r="J92" i="7"/>
  <c r="R494" i="7"/>
  <c r="J494" i="7"/>
  <c r="U30" i="7"/>
  <c r="J30" i="7"/>
  <c r="S256" i="7"/>
  <c r="AH256" i="7" s="1"/>
  <c r="J256" i="7"/>
  <c r="T291" i="7"/>
  <c r="AI291" i="7" s="1"/>
  <c r="J291" i="7"/>
  <c r="J522" i="7"/>
  <c r="J187" i="7"/>
  <c r="J151" i="7"/>
  <c r="J472" i="7"/>
  <c r="J560" i="7"/>
  <c r="S113" i="7"/>
  <c r="AH113" i="7" s="1"/>
  <c r="J113" i="7"/>
  <c r="R559" i="7"/>
  <c r="J559" i="7"/>
  <c r="T538" i="7"/>
  <c r="AI538" i="7" s="1"/>
  <c r="J538" i="7"/>
  <c r="T593" i="7"/>
  <c r="AI593" i="7" s="1"/>
  <c r="U158" i="7"/>
  <c r="U83" i="7"/>
  <c r="S568" i="7"/>
  <c r="AH568" i="7" s="1"/>
  <c r="S47" i="7"/>
  <c r="AH47" i="7" s="1"/>
  <c r="U87" i="7"/>
  <c r="J87" i="7"/>
  <c r="T125" i="7"/>
  <c r="AI125" i="7" s="1"/>
  <c r="J125" i="7"/>
  <c r="T487" i="7"/>
  <c r="AI487" i="7" s="1"/>
  <c r="J487" i="7"/>
  <c r="T111" i="7"/>
  <c r="AI111" i="7" s="1"/>
  <c r="J111" i="7"/>
  <c r="T9" i="7"/>
  <c r="AI9" i="7" s="1"/>
  <c r="J9" i="7"/>
  <c r="U517" i="7"/>
  <c r="J517" i="7"/>
  <c r="R463" i="7"/>
  <c r="J463" i="7"/>
  <c r="T72" i="7"/>
  <c r="AI72" i="7" s="1"/>
  <c r="U178" i="7"/>
  <c r="J178" i="7"/>
  <c r="U257" i="7"/>
  <c r="J257" i="7"/>
  <c r="U495" i="7"/>
  <c r="R351" i="7"/>
  <c r="J351" i="7"/>
  <c r="S561" i="7"/>
  <c r="AH561" i="7" s="1"/>
  <c r="J561" i="7"/>
  <c r="S132" i="7"/>
  <c r="AH132" i="7" s="1"/>
  <c r="J132" i="7"/>
  <c r="T37" i="7"/>
  <c r="AI37" i="7" s="1"/>
  <c r="J37" i="7"/>
  <c r="J367" i="7"/>
  <c r="J454" i="7"/>
  <c r="J352" i="7"/>
  <c r="J314" i="7"/>
  <c r="J593" i="7"/>
  <c r="J323" i="7"/>
  <c r="J553" i="7"/>
  <c r="J84" i="7"/>
  <c r="J150" i="7"/>
  <c r="J403" i="7"/>
  <c r="J505" i="7"/>
  <c r="J477" i="7"/>
  <c r="J75" i="7"/>
  <c r="J47" i="7"/>
  <c r="J520" i="7"/>
  <c r="J222" i="7"/>
  <c r="J478" i="7"/>
  <c r="J305" i="7"/>
  <c r="J316" i="7"/>
  <c r="J503" i="7"/>
  <c r="J436" i="7"/>
  <c r="J200" i="7"/>
  <c r="J258" i="7"/>
  <c r="J182" i="7"/>
  <c r="J169" i="7"/>
  <c r="J166" i="7"/>
  <c r="D128" i="7"/>
  <c r="D186" i="7"/>
  <c r="D407" i="7"/>
  <c r="D114" i="7"/>
  <c r="D294" i="7"/>
  <c r="D216" i="7"/>
  <c r="D525" i="7"/>
  <c r="D234" i="7"/>
  <c r="D86" i="7"/>
  <c r="D19" i="7"/>
  <c r="D112" i="7"/>
  <c r="D343" i="7"/>
  <c r="D173" i="7"/>
  <c r="D189" i="7"/>
  <c r="D573" i="7"/>
  <c r="D264" i="7"/>
  <c r="D230" i="7"/>
  <c r="D106" i="7"/>
  <c r="D563" i="7"/>
  <c r="D339" i="7"/>
  <c r="D352" i="7"/>
  <c r="D201" i="7"/>
  <c r="D179" i="7"/>
  <c r="D231" i="7"/>
  <c r="D519" i="7"/>
  <c r="D119" i="7"/>
  <c r="D549" i="7"/>
  <c r="D224" i="7"/>
  <c r="D491" i="7"/>
  <c r="D430" i="7"/>
  <c r="D413" i="7"/>
  <c r="D595" i="7"/>
  <c r="D140" i="7"/>
  <c r="D270" i="7"/>
  <c r="D522" i="7"/>
  <c r="D45" i="7"/>
  <c r="D152" i="7"/>
  <c r="D386" i="7"/>
  <c r="D376" i="7"/>
  <c r="D575" i="7"/>
  <c r="U585" i="7"/>
  <c r="T585" i="7"/>
  <c r="AI585" i="7" s="1"/>
  <c r="D241" i="7"/>
  <c r="D268" i="7"/>
  <c r="D88" i="7"/>
  <c r="D203" i="7"/>
  <c r="D254" i="7"/>
  <c r="D11" i="7"/>
  <c r="D481" i="7"/>
  <c r="D54" i="7"/>
  <c r="D66" i="7"/>
  <c r="D110" i="7"/>
  <c r="D50" i="7"/>
  <c r="D14" i="7"/>
  <c r="D238" i="7"/>
  <c r="D479" i="7"/>
  <c r="D424" i="7"/>
  <c r="R135" i="7"/>
  <c r="S135" i="7"/>
  <c r="AH135" i="7" s="1"/>
  <c r="D288" i="7"/>
  <c r="D285" i="7"/>
  <c r="D51" i="7"/>
  <c r="D159" i="7"/>
  <c r="D103" i="7"/>
  <c r="D427" i="7"/>
  <c r="D393" i="7"/>
  <c r="D358" i="7"/>
  <c r="D527" i="7"/>
  <c r="S197" i="7"/>
  <c r="AH197" i="7" s="1"/>
  <c r="D578" i="7"/>
  <c r="D447" i="7"/>
  <c r="D97" i="7"/>
  <c r="D378" i="7"/>
  <c r="D108" i="7"/>
  <c r="D206" i="7"/>
  <c r="D166" i="7"/>
  <c r="D459" i="7"/>
  <c r="D335" i="7"/>
  <c r="D564" i="7"/>
  <c r="D328" i="7"/>
  <c r="D367" i="7"/>
  <c r="D370" i="7"/>
  <c r="D330" i="7"/>
  <c r="D239" i="7"/>
  <c r="D521" i="7"/>
  <c r="D532" i="7"/>
  <c r="D428" i="7"/>
  <c r="D377" i="7"/>
  <c r="D38" i="7"/>
  <c r="D243" i="7"/>
  <c r="D59" i="7"/>
  <c r="T179" i="7"/>
  <c r="AI179" i="7" s="1"/>
  <c r="D419" i="7"/>
  <c r="D102" i="7"/>
  <c r="D440" i="7"/>
  <c r="D145" i="7"/>
  <c r="D287" i="7"/>
  <c r="D586" i="7"/>
  <c r="D273" i="7"/>
  <c r="D581" i="7"/>
  <c r="D199" i="7"/>
  <c r="D331" i="7"/>
  <c r="D293" i="7"/>
  <c r="D433" i="7"/>
  <c r="D120" i="7"/>
  <c r="D137" i="7"/>
  <c r="D381" i="7"/>
  <c r="D399" i="7"/>
  <c r="D368" i="7"/>
  <c r="D219" i="7"/>
  <c r="D209" i="7"/>
  <c r="D434" i="7"/>
  <c r="D535" i="7"/>
  <c r="D398" i="7"/>
  <c r="D188" i="7"/>
  <c r="D300" i="7"/>
  <c r="D345" i="7"/>
  <c r="D499" i="7"/>
  <c r="D429" i="7"/>
  <c r="D468" i="7"/>
  <c r="D309" i="7"/>
  <c r="D148" i="7"/>
  <c r="D127" i="7"/>
  <c r="D346" i="7"/>
  <c r="D482" i="7"/>
  <c r="D58" i="7"/>
  <c r="S450" i="7"/>
  <c r="AH450" i="7" s="1"/>
  <c r="D143" i="7"/>
  <c r="D533" i="7"/>
  <c r="D414" i="7"/>
  <c r="D172" i="7"/>
  <c r="D280" i="7"/>
  <c r="D56" i="7"/>
  <c r="D4" i="7"/>
  <c r="D340" i="7"/>
  <c r="D233" i="7"/>
  <c r="D204" i="7"/>
  <c r="D175" i="7"/>
  <c r="D412" i="7"/>
  <c r="D379" i="7"/>
  <c r="R456" i="7"/>
  <c r="T456" i="7"/>
  <c r="AI456" i="7" s="1"/>
  <c r="T135" i="7"/>
  <c r="AI135" i="7" s="1"/>
  <c r="R516" i="7"/>
  <c r="T516" i="7"/>
  <c r="AI516" i="7" s="1"/>
  <c r="D250" i="7"/>
  <c r="D141" i="7"/>
  <c r="D142" i="7"/>
  <c r="S389" i="7"/>
  <c r="AH389" i="7" s="1"/>
  <c r="U389" i="7"/>
  <c r="D49" i="7"/>
  <c r="D546" i="7"/>
  <c r="D129" i="7"/>
  <c r="D443" i="7"/>
  <c r="D584" i="7"/>
  <c r="D580" i="7"/>
  <c r="D33" i="7"/>
  <c r="D78" i="7"/>
  <c r="D153" i="7"/>
  <c r="D524" i="7"/>
  <c r="D117" i="7"/>
  <c r="D437" i="7"/>
  <c r="D122" i="7"/>
  <c r="D582" i="7"/>
  <c r="D313" i="7"/>
  <c r="D105" i="7"/>
  <c r="D115" i="7"/>
  <c r="D514" i="7"/>
  <c r="D202" i="7"/>
  <c r="D207" i="7"/>
  <c r="D20" i="7"/>
  <c r="D445" i="7"/>
  <c r="D402" i="7"/>
  <c r="D299" i="7"/>
  <c r="D498" i="7"/>
  <c r="D438" i="7"/>
  <c r="D320" i="7"/>
  <c r="D571" i="7"/>
  <c r="D473" i="7"/>
  <c r="D136" i="7"/>
  <c r="D35" i="7"/>
  <c r="D121" i="7"/>
  <c r="D16" i="7"/>
  <c r="D261" i="7"/>
  <c r="D267" i="7"/>
  <c r="D94" i="7"/>
  <c r="D404" i="7"/>
  <c r="D96" i="7"/>
  <c r="D453" i="7"/>
  <c r="D271" i="7"/>
  <c r="D171" i="7"/>
  <c r="D146" i="7"/>
  <c r="D574" i="7"/>
  <c r="D48" i="7"/>
  <c r="D303" i="7"/>
  <c r="D246" i="7"/>
  <c r="D255" i="7"/>
  <c r="D356" i="7"/>
  <c r="D555" i="7"/>
  <c r="D124" i="7"/>
  <c r="D400" i="7"/>
  <c r="D336" i="7"/>
  <c r="D286" i="7"/>
  <c r="S387" i="7"/>
  <c r="AH387" i="7" s="1"/>
  <c r="D592" i="7"/>
  <c r="D295" i="7"/>
  <c r="D585" i="7"/>
  <c r="D3" i="7"/>
  <c r="D139" i="7"/>
  <c r="U88" i="7"/>
  <c r="T88" i="7"/>
  <c r="AI88" i="7" s="1"/>
  <c r="D538" i="7"/>
  <c r="D17" i="7"/>
  <c r="U203" i="7"/>
  <c r="R203" i="7"/>
  <c r="D92" i="7"/>
  <c r="D278" i="7"/>
  <c r="D439" i="7"/>
  <c r="D283" i="7"/>
  <c r="D365" i="7"/>
  <c r="D511" i="7"/>
  <c r="D383" i="7"/>
  <c r="D304" i="7"/>
  <c r="D237" i="7"/>
  <c r="S479" i="7"/>
  <c r="AH479" i="7" s="1"/>
  <c r="D494" i="7"/>
  <c r="R424" i="7"/>
  <c r="T424" i="7"/>
  <c r="AI424" i="7" s="1"/>
  <c r="U456" i="7"/>
  <c r="D353" i="7"/>
  <c r="S285" i="7"/>
  <c r="AH285" i="7" s="1"/>
  <c r="U285" i="7"/>
  <c r="D542" i="7"/>
  <c r="D63" i="7"/>
  <c r="D68" i="7"/>
  <c r="D29" i="7"/>
  <c r="D588" i="7"/>
  <c r="D405" i="7"/>
  <c r="D225" i="7"/>
  <c r="D197" i="7"/>
  <c r="D510" i="7"/>
  <c r="D100" i="7"/>
  <c r="D183" i="7"/>
  <c r="D489" i="7"/>
  <c r="D113" i="7"/>
  <c r="S459" i="7"/>
  <c r="AH459" i="7" s="1"/>
  <c r="D349" i="7"/>
  <c r="D431" i="7"/>
  <c r="S335" i="7"/>
  <c r="AH335" i="7" s="1"/>
  <c r="D274" i="7"/>
  <c r="S564" i="7"/>
  <c r="AH564" i="7" s="1"/>
  <c r="D12" i="7"/>
  <c r="D579" i="7"/>
  <c r="D218" i="7"/>
  <c r="D42" i="7"/>
  <c r="D107" i="7"/>
  <c r="D464" i="7"/>
  <c r="D263" i="7"/>
  <c r="D569" i="7"/>
  <c r="D465" i="7"/>
  <c r="D85" i="7"/>
  <c r="D214" i="7"/>
  <c r="D211" i="7"/>
  <c r="D311" i="7"/>
  <c r="D310" i="7"/>
  <c r="T522" i="7"/>
  <c r="AI522" i="7" s="1"/>
  <c r="D104" i="7"/>
  <c r="D242" i="7"/>
  <c r="D553" i="7"/>
  <c r="D528" i="7"/>
  <c r="D282" i="7"/>
  <c r="D547" i="7"/>
  <c r="D95" i="7"/>
  <c r="D276" i="7"/>
  <c r="D84" i="7"/>
  <c r="D596" i="7"/>
  <c r="D10" i="7"/>
  <c r="D232" i="7"/>
  <c r="D62" i="7"/>
  <c r="D302" i="7"/>
  <c r="D71" i="7"/>
  <c r="D2" i="7"/>
  <c r="D557" i="7"/>
  <c r="D416" i="7"/>
  <c r="D269" i="7"/>
  <c r="D247" i="7"/>
  <c r="D150" i="7"/>
  <c r="D544" i="7"/>
  <c r="D292" i="7"/>
  <c r="D192" i="7"/>
  <c r="D64" i="7"/>
  <c r="D332" i="7"/>
  <c r="D168" i="7"/>
  <c r="D60" i="7"/>
  <c r="S505" i="7"/>
  <c r="AH505" i="7" s="1"/>
  <c r="U280" i="7"/>
  <c r="T280" i="7"/>
  <c r="AI280" i="7" s="1"/>
  <c r="D222" i="7"/>
  <c r="D357" i="7"/>
  <c r="D458" i="7"/>
  <c r="D228" i="7"/>
  <c r="D478" i="7"/>
  <c r="R204" i="7"/>
  <c r="T204" i="7"/>
  <c r="AI204" i="7" s="1"/>
  <c r="D466" i="7"/>
  <c r="D138" i="7"/>
  <c r="T412" i="7"/>
  <c r="AI412" i="7" s="1"/>
  <c r="R412" i="7"/>
  <c r="U412" i="7"/>
  <c r="S203" i="7"/>
  <c r="AH203" i="7" s="1"/>
  <c r="R379" i="7"/>
  <c r="U379" i="7"/>
  <c r="D456" i="7"/>
  <c r="D516" i="7"/>
  <c r="D178" i="7"/>
  <c r="D551" i="7"/>
  <c r="D257" i="7"/>
  <c r="D389" i="7"/>
  <c r="T493" i="7"/>
  <c r="AI493" i="7" s="1"/>
  <c r="S493" i="7"/>
  <c r="AH493" i="7" s="1"/>
  <c r="D441" i="7"/>
  <c r="D344" i="7"/>
  <c r="D169" i="7"/>
  <c r="D180" i="7"/>
  <c r="D315" i="7"/>
  <c r="D90" i="7"/>
  <c r="D435" i="7"/>
  <c r="D452" i="7"/>
  <c r="D329" i="7"/>
  <c r="D174" i="7"/>
  <c r="D347" i="7"/>
  <c r="D101" i="7"/>
  <c r="D36" i="7"/>
  <c r="D374" i="7"/>
  <c r="D394" i="7"/>
  <c r="D317" i="7"/>
  <c r="D235" i="7"/>
  <c r="D470" i="7"/>
  <c r="D384" i="7"/>
  <c r="D226" i="7"/>
  <c r="T302" i="7"/>
  <c r="AI302" i="7" s="1"/>
  <c r="D244" i="7"/>
  <c r="D486" i="7"/>
  <c r="D227" i="7"/>
  <c r="D576" i="7"/>
  <c r="D158" i="7"/>
  <c r="D83" i="7"/>
  <c r="D591" i="7"/>
  <c r="D550" i="7"/>
  <c r="D363" i="7"/>
  <c r="D568" i="7"/>
  <c r="D515" i="7"/>
  <c r="D205" i="7"/>
  <c r="D444" i="7"/>
  <c r="D360" i="7"/>
  <c r="D559" i="7"/>
  <c r="D305" i="7"/>
  <c r="D133" i="7"/>
  <c r="D77" i="7"/>
  <c r="D316" i="7"/>
  <c r="D396" i="7"/>
  <c r="D560" i="7"/>
  <c r="D25" i="7"/>
  <c r="D260" i="7"/>
  <c r="D503" i="7"/>
  <c r="D126" i="7"/>
  <c r="D125" i="7"/>
  <c r="D221" i="7"/>
  <c r="D487" i="7"/>
  <c r="D111" i="7"/>
  <c r="D81" i="7"/>
  <c r="D594" i="7"/>
  <c r="D506" i="7"/>
  <c r="D373" i="7"/>
  <c r="D361" i="7"/>
  <c r="D558" i="7"/>
  <c r="D99" i="7"/>
  <c r="D170" i="7"/>
  <c r="D52" i="7"/>
  <c r="D277" i="7"/>
  <c r="D526" i="7"/>
  <c r="D531" i="7"/>
  <c r="D512" i="7"/>
  <c r="D9" i="7"/>
  <c r="D53" i="7"/>
  <c r="D98" i="7"/>
  <c r="D195" i="7"/>
  <c r="D552" i="7"/>
  <c r="D484" i="7"/>
  <c r="D162" i="7"/>
  <c r="D109" i="7"/>
  <c r="D485" i="7"/>
  <c r="D220" i="7"/>
  <c r="D517" i="7"/>
  <c r="D240" i="7"/>
  <c r="D417" i="7"/>
  <c r="D442" i="7"/>
  <c r="D41" i="7"/>
  <c r="D118" i="7"/>
  <c r="D463" i="7"/>
  <c r="S275" i="7"/>
  <c r="AH275" i="7" s="1"/>
  <c r="D421" i="7"/>
  <c r="D409" i="7"/>
  <c r="D44" i="7"/>
  <c r="D8" i="7"/>
  <c r="D589" i="7"/>
  <c r="D418" i="7"/>
  <c r="D26" i="7"/>
  <c r="D93" i="7"/>
  <c r="D30" i="7"/>
  <c r="D566" i="7"/>
  <c r="D501" i="7"/>
  <c r="D301" i="7"/>
  <c r="D408" i="7"/>
  <c r="D6" i="7"/>
  <c r="D565" i="7"/>
  <c r="D471" i="7"/>
  <c r="D537" i="7"/>
  <c r="D362" i="7"/>
  <c r="D483" i="7"/>
  <c r="D144" i="7"/>
  <c r="D513" i="7"/>
  <c r="D298" i="7"/>
  <c r="D390" i="7"/>
  <c r="D326" i="7"/>
  <c r="D65" i="7"/>
  <c r="S457" i="7"/>
  <c r="AH457" i="7" s="1"/>
  <c r="D355" i="7"/>
  <c r="D375" i="7"/>
  <c r="D79" i="7"/>
  <c r="D545" i="7"/>
  <c r="S359" i="7"/>
  <c r="AH359" i="7" s="1"/>
  <c r="D24" i="7"/>
  <c r="D587" i="7"/>
  <c r="D160" i="7"/>
  <c r="D262" i="7"/>
  <c r="D61" i="7"/>
  <c r="D391" i="7"/>
  <c r="D279" i="7"/>
  <c r="D337" i="7"/>
  <c r="D325" i="7"/>
  <c r="D213" i="7"/>
  <c r="D198" i="7"/>
  <c r="D348" i="7"/>
  <c r="D354" i="7"/>
  <c r="D27" i="7"/>
  <c r="D415" i="7"/>
  <c r="D15" i="7"/>
  <c r="D460" i="7"/>
  <c r="D291" i="7"/>
  <c r="D40" i="7"/>
  <c r="D342" i="7"/>
  <c r="D493" i="7"/>
  <c r="D502" i="7"/>
  <c r="D318" i="7"/>
  <c r="D338" i="7"/>
  <c r="D410" i="7"/>
  <c r="D327" i="7"/>
  <c r="D184" i="7"/>
  <c r="D57" i="7"/>
  <c r="D570" i="7"/>
  <c r="D289" i="7"/>
  <c r="D523" i="7"/>
  <c r="D562" i="7"/>
  <c r="D229" i="7"/>
  <c r="D395" i="7"/>
  <c r="D131" i="7"/>
  <c r="D181" i="7"/>
  <c r="D548" i="7"/>
  <c r="D46" i="7"/>
  <c r="D87" i="7"/>
  <c r="D308" i="7"/>
  <c r="D215" i="7"/>
  <c r="D149" i="7"/>
  <c r="D366" i="7"/>
  <c r="D474" i="7"/>
  <c r="D191" i="7"/>
  <c r="D436" i="7"/>
  <c r="D165" i="7"/>
  <c r="D388" i="7"/>
  <c r="D392" i="7"/>
  <c r="D223" i="7"/>
  <c r="D43" i="7"/>
  <c r="D73" i="7"/>
  <c r="D530" i="7"/>
  <c r="D449" i="7"/>
  <c r="D116" i="7"/>
  <c r="D156" i="7"/>
  <c r="D432" i="7"/>
  <c r="D534" i="7"/>
  <c r="D217" i="7"/>
  <c r="D371" i="7"/>
  <c r="D350" i="7"/>
  <c r="D281" i="7"/>
  <c r="D508" i="7"/>
  <c r="D509" i="7"/>
  <c r="D272" i="7"/>
  <c r="D284" i="7"/>
  <c r="D490" i="7"/>
  <c r="D161" i="7"/>
  <c r="D420" i="7"/>
  <c r="D147" i="7"/>
  <c r="D76" i="7"/>
  <c r="D249" i="7"/>
  <c r="D185" i="7"/>
  <c r="D200" i="7"/>
  <c r="D448" i="7"/>
  <c r="D334" i="7"/>
  <c r="D401" i="7"/>
  <c r="D258" i="7"/>
  <c r="D495" i="7"/>
  <c r="D21" i="7"/>
  <c r="D462" i="7"/>
  <c r="D536" i="7"/>
  <c r="D541" i="7"/>
  <c r="D208" i="7"/>
  <c r="D265" i="7"/>
  <c r="D497" i="7"/>
  <c r="D164" i="7"/>
  <c r="D5" i="7"/>
  <c r="D23" i="7"/>
  <c r="D507" i="7"/>
  <c r="D422" i="7"/>
  <c r="D385" i="7"/>
  <c r="D455" i="7"/>
  <c r="D256" i="7"/>
  <c r="D82" i="7"/>
  <c r="D177" i="7"/>
  <c r="S144" i="7"/>
  <c r="AH144" i="7" s="1"/>
  <c r="D248" i="7"/>
  <c r="D351" i="7"/>
  <c r="D500" i="7"/>
  <c r="S390" i="7"/>
  <c r="AH390" i="7" s="1"/>
  <c r="D154" i="7"/>
  <c r="D457" i="7"/>
  <c r="D259" i="7"/>
  <c r="D561" i="7"/>
  <c r="D319" i="7"/>
  <c r="D359" i="7"/>
  <c r="D364" i="7"/>
  <c r="D236" i="7"/>
  <c r="D496" i="7"/>
  <c r="D529" i="7"/>
  <c r="D212" i="7"/>
  <c r="D369" i="7"/>
  <c r="D540" i="7"/>
  <c r="D469" i="7"/>
  <c r="D18" i="7"/>
  <c r="D132" i="7"/>
  <c r="D446" i="7"/>
  <c r="D488" i="7"/>
  <c r="D504" i="7"/>
  <c r="D556" i="7"/>
  <c r="D425" i="7"/>
  <c r="D74" i="7"/>
  <c r="D22" i="7"/>
  <c r="D37" i="7"/>
  <c r="D80" i="7"/>
  <c r="D411" i="7"/>
  <c r="D182" i="7"/>
  <c r="D475" i="7"/>
  <c r="D451" i="7"/>
  <c r="D290" i="7"/>
  <c r="D554" i="7"/>
  <c r="D476" i="7"/>
  <c r="D539" i="7"/>
  <c r="S349" i="7"/>
  <c r="AH349" i="7" s="1"/>
  <c r="T579" i="7"/>
  <c r="AI579" i="7" s="1"/>
  <c r="T42" i="7"/>
  <c r="AI42" i="7" s="1"/>
  <c r="S428" i="7"/>
  <c r="AH428" i="7" s="1"/>
  <c r="U491" i="7"/>
  <c r="U140" i="7"/>
  <c r="T331" i="7"/>
  <c r="AI331" i="7" s="1"/>
  <c r="U127" i="7"/>
  <c r="R58" i="7"/>
  <c r="S286" i="7"/>
  <c r="AH286" i="7" s="1"/>
  <c r="S585" i="7"/>
  <c r="AH585" i="7" s="1"/>
  <c r="T503" i="7"/>
  <c r="AI503" i="7" s="1"/>
  <c r="S175" i="7"/>
  <c r="AH175" i="7" s="1"/>
  <c r="S383" i="7"/>
  <c r="AH383" i="7" s="1"/>
  <c r="S420" i="7"/>
  <c r="AH420" i="7" s="1"/>
  <c r="R76" i="7"/>
  <c r="U463" i="7"/>
  <c r="T185" i="7"/>
  <c r="AI185" i="7" s="1"/>
  <c r="T379" i="7"/>
  <c r="AI379" i="7" s="1"/>
  <c r="S72" i="7"/>
  <c r="AH72" i="7" s="1"/>
  <c r="U197" i="7"/>
  <c r="T447" i="7"/>
  <c r="AI447" i="7" s="1"/>
  <c r="S212" i="7"/>
  <c r="AH212" i="7" s="1"/>
  <c r="S425" i="7"/>
  <c r="AH425" i="7" s="1"/>
  <c r="S106" i="7"/>
  <c r="AH106" i="7" s="1"/>
  <c r="T402" i="7"/>
  <c r="AI402" i="7" s="1"/>
  <c r="T571" i="7"/>
  <c r="AI571" i="7" s="1"/>
  <c r="T398" i="7"/>
  <c r="AI398" i="7" s="1"/>
  <c r="U345" i="7"/>
  <c r="T150" i="7"/>
  <c r="AI150" i="7" s="1"/>
  <c r="U64" i="7"/>
  <c r="S58" i="7"/>
  <c r="AH58" i="7" s="1"/>
  <c r="S143" i="7"/>
  <c r="AH143" i="7" s="1"/>
  <c r="S228" i="7"/>
  <c r="AH228" i="7" s="1"/>
  <c r="S559" i="7"/>
  <c r="AH559" i="7" s="1"/>
  <c r="S88" i="7"/>
  <c r="AH88" i="7" s="1"/>
  <c r="T474" i="7"/>
  <c r="AI474" i="7" s="1"/>
  <c r="U204" i="7"/>
  <c r="S577" i="7"/>
  <c r="AH577" i="7" s="1"/>
  <c r="T275" i="7"/>
  <c r="AI275" i="7" s="1"/>
  <c r="R197" i="7"/>
  <c r="T351" i="7"/>
  <c r="AI351" i="7" s="1"/>
  <c r="S65" i="7"/>
  <c r="AH65" i="7" s="1"/>
  <c r="S79" i="7"/>
  <c r="AH79" i="7" s="1"/>
  <c r="T545" i="7"/>
  <c r="AI545" i="7" s="1"/>
  <c r="T587" i="7"/>
  <c r="AI587" i="7" s="1"/>
  <c r="S475" i="7"/>
  <c r="AH475" i="7" s="1"/>
  <c r="S81" i="7"/>
  <c r="AH81" i="7" s="1"/>
  <c r="S183" i="7"/>
  <c r="AH183" i="7" s="1"/>
  <c r="S61" i="7"/>
  <c r="AH61" i="7" s="1"/>
  <c r="S406" i="7"/>
  <c r="AH406" i="7" s="1"/>
  <c r="S37" i="7"/>
  <c r="AH37" i="7" s="1"/>
  <c r="T521" i="7"/>
  <c r="AI521" i="7" s="1"/>
  <c r="S231" i="7"/>
  <c r="AH231" i="7" s="1"/>
  <c r="T276" i="7"/>
  <c r="AI276" i="7" s="1"/>
  <c r="S172" i="7"/>
  <c r="AH172" i="7" s="1"/>
  <c r="R505" i="7"/>
  <c r="S204" i="7"/>
  <c r="AH204" i="7" s="1"/>
  <c r="S138" i="7"/>
  <c r="AH138" i="7" s="1"/>
  <c r="R436" i="7"/>
  <c r="S221" i="7"/>
  <c r="AH221" i="7" s="1"/>
  <c r="T11" i="7"/>
  <c r="AI11" i="7" s="1"/>
  <c r="R479" i="7"/>
  <c r="S494" i="7"/>
  <c r="AH494" i="7" s="1"/>
  <c r="U401" i="7"/>
  <c r="T353" i="7"/>
  <c r="AI353" i="7" s="1"/>
  <c r="T418" i="7"/>
  <c r="AI418" i="7" s="1"/>
  <c r="S516" i="7"/>
  <c r="AH516" i="7" s="1"/>
  <c r="R457" i="7"/>
  <c r="S274" i="7"/>
  <c r="AH274" i="7" s="1"/>
  <c r="S330" i="7"/>
  <c r="AH330" i="7" s="1"/>
  <c r="S437" i="7"/>
  <c r="AH437" i="7" s="1"/>
  <c r="S590" i="7"/>
  <c r="AH590" i="7" s="1"/>
  <c r="S13" i="7"/>
  <c r="AH13" i="7" s="1"/>
  <c r="S365" i="7"/>
  <c r="AH365" i="7" s="1"/>
  <c r="S578" i="7"/>
  <c r="AH578" i="7" s="1"/>
  <c r="T569" i="7"/>
  <c r="AI569" i="7" s="1"/>
  <c r="T106" i="7"/>
  <c r="AI106" i="7" s="1"/>
  <c r="U519" i="7"/>
  <c r="T252" i="7"/>
  <c r="AI252" i="7" s="1"/>
  <c r="S386" i="7"/>
  <c r="AH386" i="7" s="1"/>
  <c r="U269" i="7"/>
  <c r="S499" i="7"/>
  <c r="AH499" i="7" s="1"/>
  <c r="S150" i="7"/>
  <c r="AH150" i="7" s="1"/>
  <c r="T303" i="7"/>
  <c r="AI303" i="7" s="1"/>
  <c r="S592" i="7"/>
  <c r="AH592" i="7" s="1"/>
  <c r="U139" i="7"/>
  <c r="T520" i="7"/>
  <c r="AI520" i="7" s="1"/>
  <c r="T222" i="7"/>
  <c r="AI222" i="7" s="1"/>
  <c r="U260" i="7"/>
  <c r="S474" i="7"/>
  <c r="AH474" i="7" s="1"/>
  <c r="T66" i="7"/>
  <c r="AI66" i="7" s="1"/>
  <c r="U365" i="7"/>
  <c r="R513" i="7"/>
  <c r="S351" i="7"/>
  <c r="AH351" i="7" s="1"/>
  <c r="R369" i="7"/>
  <c r="R475" i="7"/>
  <c r="T224" i="7"/>
  <c r="AI224" i="7" s="1"/>
  <c r="T270" i="7"/>
  <c r="AI270" i="7" s="1"/>
  <c r="S593" i="7"/>
  <c r="AH593" i="7" s="1"/>
  <c r="S522" i="7"/>
  <c r="AH522" i="7" s="1"/>
  <c r="T16" i="7"/>
  <c r="AI16" i="7" s="1"/>
  <c r="T84" i="7"/>
  <c r="AI84" i="7" s="1"/>
  <c r="T188" i="7"/>
  <c r="AI188" i="7" s="1"/>
  <c r="R188" i="7"/>
  <c r="S403" i="7"/>
  <c r="AH403" i="7" s="1"/>
  <c r="S127" i="7"/>
  <c r="AH127" i="7" s="1"/>
  <c r="S96" i="7"/>
  <c r="AH96" i="7" s="1"/>
  <c r="T486" i="7"/>
  <c r="AI486" i="7" s="1"/>
  <c r="T306" i="7"/>
  <c r="AI306" i="7" s="1"/>
  <c r="R306" i="7"/>
  <c r="U157" i="7"/>
  <c r="U591" i="7"/>
  <c r="S477" i="7"/>
  <c r="AH477" i="7" s="1"/>
  <c r="T336" i="7"/>
  <c r="AI336" i="7" s="1"/>
  <c r="T548" i="7"/>
  <c r="AI548" i="7" s="1"/>
  <c r="S280" i="7"/>
  <c r="AH280" i="7" s="1"/>
  <c r="T357" i="7"/>
  <c r="AI357" i="7" s="1"/>
  <c r="S388" i="7"/>
  <c r="AH388" i="7" s="1"/>
  <c r="S397" i="7"/>
  <c r="AH397" i="7" s="1"/>
  <c r="S11" i="7"/>
  <c r="AH11" i="7" s="1"/>
  <c r="S111" i="7"/>
  <c r="AH111" i="7" s="1"/>
  <c r="S73" i="7"/>
  <c r="AH73" i="7" s="1"/>
  <c r="T526" i="7"/>
  <c r="AI526" i="7" s="1"/>
  <c r="T281" i="7"/>
  <c r="AI281" i="7" s="1"/>
  <c r="T490" i="7"/>
  <c r="AI490" i="7" s="1"/>
  <c r="T589" i="7"/>
  <c r="AI589" i="7" s="1"/>
  <c r="U26" i="7"/>
  <c r="R65" i="7"/>
  <c r="U529" i="7"/>
  <c r="R446" i="7"/>
  <c r="S348" i="7"/>
  <c r="AH348" i="7" s="1"/>
  <c r="T349" i="7"/>
  <c r="AI349" i="7" s="1"/>
  <c r="S370" i="7"/>
  <c r="AH370" i="7" s="1"/>
  <c r="T107" i="7"/>
  <c r="AI107" i="7" s="1"/>
  <c r="T211" i="7"/>
  <c r="AI211" i="7" s="1"/>
  <c r="T189" i="7"/>
  <c r="AI189" i="7" s="1"/>
  <c r="T33" i="7"/>
  <c r="AI33" i="7" s="1"/>
  <c r="T231" i="7"/>
  <c r="AI231" i="7" s="1"/>
  <c r="S94" i="7"/>
  <c r="AH94" i="7" s="1"/>
  <c r="T461" i="7"/>
  <c r="AI461" i="7" s="1"/>
  <c r="T528" i="7"/>
  <c r="AI528" i="7" s="1"/>
  <c r="T590" i="7"/>
  <c r="AI590" i="7" s="1"/>
  <c r="T544" i="7"/>
  <c r="AI544" i="7" s="1"/>
  <c r="S380" i="7"/>
  <c r="AH380" i="7" s="1"/>
  <c r="S227" i="7"/>
  <c r="AH227" i="7" s="1"/>
  <c r="S306" i="7"/>
  <c r="AH306" i="7" s="1"/>
  <c r="T13" i="7"/>
  <c r="AI13" i="7" s="1"/>
  <c r="T591" i="7"/>
  <c r="AI591" i="7" s="1"/>
  <c r="S363" i="7"/>
  <c r="AH363" i="7" s="1"/>
  <c r="S439" i="7"/>
  <c r="AH439" i="7" s="1"/>
  <c r="U54" i="7"/>
  <c r="T365" i="7"/>
  <c r="AI365" i="7" s="1"/>
  <c r="R365" i="7"/>
  <c r="S238" i="7"/>
  <c r="AH238" i="7" s="1"/>
  <c r="S541" i="7"/>
  <c r="AH541" i="7" s="1"/>
  <c r="U501" i="7"/>
  <c r="U301" i="7"/>
  <c r="S385" i="7"/>
  <c r="AH385" i="7" s="1"/>
  <c r="T578" i="7"/>
  <c r="AI578" i="7" s="1"/>
  <c r="U100" i="7"/>
  <c r="T183" i="7"/>
  <c r="AI183" i="7" s="1"/>
  <c r="T529" i="7"/>
  <c r="AI529" i="7" s="1"/>
  <c r="R529" i="7"/>
  <c r="R425" i="7"/>
  <c r="R493" i="7"/>
  <c r="S415" i="7"/>
  <c r="AH415" i="7" s="1"/>
  <c r="S12" i="7"/>
  <c r="AH12" i="7" s="1"/>
  <c r="S218" i="7"/>
  <c r="AH218" i="7" s="1"/>
  <c r="T367" i="7"/>
  <c r="AI367" i="7" s="1"/>
  <c r="T105" i="7"/>
  <c r="AI105" i="7" s="1"/>
  <c r="T445" i="7"/>
  <c r="AI445" i="7" s="1"/>
  <c r="T314" i="7"/>
  <c r="AI314" i="7" s="1"/>
  <c r="S528" i="7"/>
  <c r="AH528" i="7" s="1"/>
  <c r="T95" i="7"/>
  <c r="AI95" i="7" s="1"/>
  <c r="T10" i="7"/>
  <c r="AI10" i="7" s="1"/>
  <c r="S188" i="7"/>
  <c r="AH188" i="7" s="1"/>
  <c r="S300" i="7"/>
  <c r="AH300" i="7" s="1"/>
  <c r="S192" i="7"/>
  <c r="AH192" i="7" s="1"/>
  <c r="S486" i="7"/>
  <c r="AH486" i="7" s="1"/>
  <c r="S75" i="7"/>
  <c r="AH75" i="7" s="1"/>
  <c r="S139" i="7"/>
  <c r="AH139" i="7" s="1"/>
  <c r="S548" i="7"/>
  <c r="AH548" i="7" s="1"/>
  <c r="S520" i="7"/>
  <c r="AH520" i="7" s="1"/>
  <c r="S46" i="7"/>
  <c r="AH46" i="7" s="1"/>
  <c r="R228" i="7"/>
  <c r="S233" i="7"/>
  <c r="AH233" i="7" s="1"/>
  <c r="S17" i="7"/>
  <c r="AH17" i="7" s="1"/>
  <c r="S260" i="7"/>
  <c r="AH260" i="7" s="1"/>
  <c r="S191" i="7"/>
  <c r="AH191" i="7" s="1"/>
  <c r="R388" i="7"/>
  <c r="S254" i="7"/>
  <c r="AH254" i="7" s="1"/>
  <c r="S66" i="7"/>
  <c r="AH66" i="7" s="1"/>
  <c r="R448" i="7"/>
  <c r="T448" i="7"/>
  <c r="AI448" i="7" s="1"/>
  <c r="S29" i="7"/>
  <c r="AH29" i="7" s="1"/>
  <c r="S462" i="7"/>
  <c r="AH462" i="7" s="1"/>
  <c r="U462" i="7"/>
  <c r="S431" i="7"/>
  <c r="AH431" i="7" s="1"/>
  <c r="U274" i="7"/>
  <c r="T564" i="7"/>
  <c r="AI564" i="7" s="1"/>
  <c r="S107" i="7"/>
  <c r="AH107" i="7" s="1"/>
  <c r="U253" i="7"/>
  <c r="S179" i="7"/>
  <c r="AH179" i="7" s="1"/>
  <c r="U320" i="7"/>
  <c r="T419" i="7"/>
  <c r="AI419" i="7" s="1"/>
  <c r="T282" i="7"/>
  <c r="AI282" i="7" s="1"/>
  <c r="S331" i="7"/>
  <c r="AH331" i="7" s="1"/>
  <c r="S293" i="7"/>
  <c r="AH293" i="7" s="1"/>
  <c r="U596" i="7"/>
  <c r="U368" i="7"/>
  <c r="U434" i="7"/>
  <c r="S71" i="7"/>
  <c r="AH71" i="7" s="1"/>
  <c r="S2" i="7"/>
  <c r="AH2" i="7" s="1"/>
  <c r="T416" i="7"/>
  <c r="AI416" i="7" s="1"/>
  <c r="R416" i="7"/>
  <c r="R150" i="7"/>
  <c r="U192" i="7"/>
  <c r="U58" i="7"/>
  <c r="T450" i="7"/>
  <c r="AI450" i="7" s="1"/>
  <c r="U332" i="7"/>
  <c r="U244" i="7"/>
  <c r="T453" i="7"/>
  <c r="AI453" i="7" s="1"/>
  <c r="T271" i="7"/>
  <c r="AI271" i="7" s="1"/>
  <c r="S146" i="7"/>
  <c r="AH146" i="7" s="1"/>
  <c r="R157" i="7"/>
  <c r="U124" i="7"/>
  <c r="S591" i="7"/>
  <c r="AH591" i="7" s="1"/>
  <c r="U363" i="7"/>
  <c r="S295" i="7"/>
  <c r="AH295" i="7" s="1"/>
  <c r="R585" i="7"/>
  <c r="T187" i="7"/>
  <c r="AI187" i="7" s="1"/>
  <c r="T472" i="7"/>
  <c r="AI472" i="7" s="1"/>
  <c r="S458" i="7"/>
  <c r="AH458" i="7" s="1"/>
  <c r="T215" i="7"/>
  <c r="AI215" i="7" s="1"/>
  <c r="U55" i="7"/>
  <c r="R396" i="7"/>
  <c r="R474" i="7"/>
  <c r="S503" i="7"/>
  <c r="AH503" i="7" s="1"/>
  <c r="U436" i="7"/>
  <c r="S392" i="7"/>
  <c r="AH392" i="7" s="1"/>
  <c r="R11" i="7"/>
  <c r="S506" i="7"/>
  <c r="AH506" i="7" s="1"/>
  <c r="S509" i="7"/>
  <c r="AH509" i="7" s="1"/>
  <c r="T509" i="7"/>
  <c r="AI509" i="7" s="1"/>
  <c r="R409" i="7"/>
  <c r="T409" i="7"/>
  <c r="AI409" i="7" s="1"/>
  <c r="U448" i="7"/>
  <c r="S213" i="7"/>
  <c r="AH213" i="7" s="1"/>
  <c r="S28" i="7"/>
  <c r="AH28" i="7" s="1"/>
  <c r="S404" i="7"/>
  <c r="AH404" i="7" s="1"/>
  <c r="S34" i="7"/>
  <c r="AH34" i="7" s="1"/>
  <c r="S468" i="7"/>
  <c r="AH468" i="7" s="1"/>
  <c r="S482" i="7"/>
  <c r="AH482" i="7" s="1"/>
  <c r="S332" i="7"/>
  <c r="AH332" i="7" s="1"/>
  <c r="S244" i="7"/>
  <c r="AH244" i="7" s="1"/>
  <c r="R44" i="7"/>
  <c r="S44" i="7"/>
  <c r="AH44" i="7" s="1"/>
  <c r="S551" i="7"/>
  <c r="AH551" i="7" s="1"/>
  <c r="U551" i="7"/>
  <c r="T194" i="7"/>
  <c r="AI194" i="7" s="1"/>
  <c r="S543" i="7"/>
  <c r="AH543" i="7" s="1"/>
  <c r="S328" i="7"/>
  <c r="AH328" i="7" s="1"/>
  <c r="S426" i="7"/>
  <c r="AH426" i="7" s="1"/>
  <c r="T234" i="7"/>
  <c r="AI234" i="7" s="1"/>
  <c r="S563" i="7"/>
  <c r="AH563" i="7" s="1"/>
  <c r="T28" i="7"/>
  <c r="AI28" i="7" s="1"/>
  <c r="T491" i="7"/>
  <c r="AI491" i="7" s="1"/>
  <c r="T430" i="7"/>
  <c r="AI430" i="7" s="1"/>
  <c r="T94" i="7"/>
  <c r="AI94" i="7" s="1"/>
  <c r="T273" i="7"/>
  <c r="AI273" i="7" s="1"/>
  <c r="T34" i="7"/>
  <c r="AI34" i="7" s="1"/>
  <c r="T232" i="7"/>
  <c r="AI232" i="7" s="1"/>
  <c r="T209" i="7"/>
  <c r="AI209" i="7" s="1"/>
  <c r="T434" i="7"/>
  <c r="AI434" i="7" s="1"/>
  <c r="R434" i="7"/>
  <c r="S70" i="7"/>
  <c r="AH70" i="7" s="1"/>
  <c r="S416" i="7"/>
  <c r="AH416" i="7" s="1"/>
  <c r="U123" i="7"/>
  <c r="S247" i="7"/>
  <c r="AH247" i="7" s="1"/>
  <c r="T148" i="7"/>
  <c r="AI148" i="7" s="1"/>
  <c r="T482" i="7"/>
  <c r="AI482" i="7" s="1"/>
  <c r="R482" i="7"/>
  <c r="S64" i="7"/>
  <c r="AH64" i="7" s="1"/>
  <c r="T244" i="7"/>
  <c r="AI244" i="7" s="1"/>
  <c r="U486" i="7"/>
  <c r="U306" i="7"/>
  <c r="U48" i="7"/>
  <c r="U286" i="7"/>
  <c r="U592" i="7"/>
  <c r="T363" i="7"/>
  <c r="AI363" i="7" s="1"/>
  <c r="U548" i="7"/>
  <c r="U228" i="7"/>
  <c r="U388" i="7"/>
  <c r="S110" i="7"/>
  <c r="AH110" i="7" s="1"/>
  <c r="T223" i="7"/>
  <c r="AI223" i="7" s="1"/>
  <c r="R540" i="7"/>
  <c r="S540" i="7"/>
  <c r="AH540" i="7" s="1"/>
  <c r="T350" i="7"/>
  <c r="AI350" i="7" s="1"/>
  <c r="U492" i="7"/>
  <c r="U97" i="7"/>
  <c r="U326" i="7"/>
  <c r="U375" i="7"/>
  <c r="U79" i="7"/>
  <c r="R61" i="7"/>
  <c r="R348" i="7"/>
  <c r="T531" i="7"/>
  <c r="AI531" i="7" s="1"/>
  <c r="S281" i="7"/>
  <c r="AH281" i="7" s="1"/>
  <c r="T420" i="7"/>
  <c r="AI420" i="7" s="1"/>
  <c r="T8" i="7"/>
  <c r="AI8" i="7" s="1"/>
  <c r="T401" i="7"/>
  <c r="AI401" i="7" s="1"/>
  <c r="S589" i="7"/>
  <c r="AH589" i="7" s="1"/>
  <c r="T197" i="7"/>
  <c r="AI197" i="7" s="1"/>
  <c r="U298" i="7"/>
  <c r="T259" i="7"/>
  <c r="AI259" i="7" s="1"/>
  <c r="U24" i="7"/>
  <c r="T298" i="7"/>
  <c r="AI298" i="7" s="1"/>
  <c r="R298" i="7"/>
  <c r="T24" i="7"/>
  <c r="AI24" i="7" s="1"/>
  <c r="U539" i="7"/>
  <c r="R407" i="7"/>
  <c r="R113" i="7"/>
  <c r="S367" i="7"/>
  <c r="AH367" i="7" s="1"/>
  <c r="T464" i="7"/>
  <c r="AI464" i="7" s="1"/>
  <c r="S239" i="7"/>
  <c r="AH239" i="7" s="1"/>
  <c r="T459" i="7"/>
  <c r="AI459" i="7" s="1"/>
  <c r="T335" i="7"/>
  <c r="AI335" i="7" s="1"/>
  <c r="T489" i="7"/>
  <c r="AI489" i="7" s="1"/>
  <c r="T378" i="7"/>
  <c r="AI378" i="7" s="1"/>
  <c r="T431" i="7"/>
  <c r="AI431" i="7" s="1"/>
  <c r="T543" i="7"/>
  <c r="AI543" i="7" s="1"/>
  <c r="T218" i="7"/>
  <c r="AI218" i="7" s="1"/>
  <c r="T426" i="7"/>
  <c r="AI426" i="7" s="1"/>
  <c r="S263" i="7"/>
  <c r="AH263" i="7" s="1"/>
  <c r="T532" i="7"/>
  <c r="AI532" i="7" s="1"/>
  <c r="T216" i="7"/>
  <c r="AI216" i="7" s="1"/>
  <c r="T186" i="7"/>
  <c r="AI186" i="7" s="1"/>
  <c r="T443" i="7"/>
  <c r="AI443" i="7" s="1"/>
  <c r="T117" i="7"/>
  <c r="AI117" i="7" s="1"/>
  <c r="T352" i="7"/>
  <c r="AI352" i="7" s="1"/>
  <c r="S302" i="7"/>
  <c r="AH302" i="7" s="1"/>
  <c r="R499" i="7"/>
  <c r="T346" i="7"/>
  <c r="AI346" i="7" s="1"/>
  <c r="U572" i="7"/>
  <c r="R572" i="7"/>
  <c r="S400" i="7"/>
  <c r="AH400" i="7" s="1"/>
  <c r="U241" i="7"/>
  <c r="R241" i="7"/>
  <c r="T241" i="7"/>
  <c r="AI241" i="7" s="1"/>
  <c r="U205" i="7"/>
  <c r="S205" i="7"/>
  <c r="AH205" i="7" s="1"/>
  <c r="T444" i="7"/>
  <c r="AI444" i="7" s="1"/>
  <c r="R444" i="7"/>
  <c r="U444" i="7"/>
  <c r="U340" i="7"/>
  <c r="R340" i="7"/>
  <c r="T340" i="7"/>
  <c r="AI340" i="7" s="1"/>
  <c r="T310" i="7"/>
  <c r="AI310" i="7" s="1"/>
  <c r="U207" i="7"/>
  <c r="S314" i="7"/>
  <c r="AH314" i="7" s="1"/>
  <c r="S473" i="7"/>
  <c r="AH473" i="7" s="1"/>
  <c r="U136" i="7"/>
  <c r="U104" i="7"/>
  <c r="T102" i="7"/>
  <c r="AI102" i="7" s="1"/>
  <c r="U145" i="7"/>
  <c r="T553" i="7"/>
  <c r="AI553" i="7" s="1"/>
  <c r="U273" i="7"/>
  <c r="S120" i="7"/>
  <c r="AH120" i="7" s="1"/>
  <c r="T596" i="7"/>
  <c r="AI596" i="7" s="1"/>
  <c r="S232" i="7"/>
  <c r="AH232" i="7" s="1"/>
  <c r="U219" i="7"/>
  <c r="S535" i="7"/>
  <c r="AH535" i="7" s="1"/>
  <c r="U2" i="7"/>
  <c r="R123" i="7"/>
  <c r="U429" i="7"/>
  <c r="S346" i="7"/>
  <c r="AH346" i="7" s="1"/>
  <c r="T414" i="7"/>
  <c r="AI414" i="7" s="1"/>
  <c r="R414" i="7"/>
  <c r="S60" i="7"/>
  <c r="AH60" i="7" s="1"/>
  <c r="S572" i="7"/>
  <c r="AH572" i="7" s="1"/>
  <c r="U576" i="7"/>
  <c r="U13" i="7"/>
  <c r="R13" i="7"/>
  <c r="S241" i="7"/>
  <c r="AH241" i="7" s="1"/>
  <c r="U268" i="7"/>
  <c r="R268" i="7"/>
  <c r="T268" i="7"/>
  <c r="AI268" i="7" s="1"/>
  <c r="U151" i="7"/>
  <c r="R151" i="7"/>
  <c r="T151" i="7"/>
  <c r="AI151" i="7" s="1"/>
  <c r="T205" i="7"/>
  <c r="AI205" i="7" s="1"/>
  <c r="S444" i="7"/>
  <c r="AH444" i="7" s="1"/>
  <c r="T251" i="7"/>
  <c r="AI251" i="7" s="1"/>
  <c r="S251" i="7"/>
  <c r="AH251" i="7" s="1"/>
  <c r="S340" i="7"/>
  <c r="AH340" i="7" s="1"/>
  <c r="T330" i="7"/>
  <c r="AI330" i="7" s="1"/>
  <c r="S569" i="7"/>
  <c r="AH569" i="7" s="1"/>
  <c r="S130" i="7"/>
  <c r="AH130" i="7" s="1"/>
  <c r="T525" i="7"/>
  <c r="AI525" i="7" s="1"/>
  <c r="T524" i="7"/>
  <c r="AI524" i="7" s="1"/>
  <c r="U339" i="7"/>
  <c r="T201" i="7"/>
  <c r="AI201" i="7" s="1"/>
  <c r="T519" i="7"/>
  <c r="AI519" i="7" s="1"/>
  <c r="T583" i="7"/>
  <c r="AI583" i="7" s="1"/>
  <c r="T595" i="7"/>
  <c r="AI595" i="7" s="1"/>
  <c r="T121" i="7"/>
  <c r="AI121" i="7" s="1"/>
  <c r="T45" i="7"/>
  <c r="AI45" i="7" s="1"/>
  <c r="T261" i="7"/>
  <c r="AI261" i="7" s="1"/>
  <c r="U386" i="7"/>
  <c r="T323" i="7"/>
  <c r="AI323" i="7" s="1"/>
  <c r="T404" i="7"/>
  <c r="AI404" i="7" s="1"/>
  <c r="U419" i="7"/>
  <c r="T104" i="7"/>
  <c r="AI104" i="7" s="1"/>
  <c r="S145" i="7"/>
  <c r="AH145" i="7" s="1"/>
  <c r="S273" i="7"/>
  <c r="AH273" i="7" s="1"/>
  <c r="T293" i="7"/>
  <c r="AI293" i="7" s="1"/>
  <c r="T381" i="7"/>
  <c r="AI381" i="7" s="1"/>
  <c r="S10" i="7"/>
  <c r="AH10" i="7" s="1"/>
  <c r="T399" i="7"/>
  <c r="AI399" i="7" s="1"/>
  <c r="T368" i="7"/>
  <c r="AI368" i="7" s="1"/>
  <c r="U62" i="7"/>
  <c r="S434" i="7"/>
  <c r="AH434" i="7" s="1"/>
  <c r="S398" i="7"/>
  <c r="AH398" i="7" s="1"/>
  <c r="U188" i="7"/>
  <c r="S557" i="7"/>
  <c r="AH557" i="7" s="1"/>
  <c r="T499" i="7"/>
  <c r="AI499" i="7" s="1"/>
  <c r="T309" i="7"/>
  <c r="AI309" i="7" s="1"/>
  <c r="T168" i="7"/>
  <c r="AI168" i="7" s="1"/>
  <c r="S168" i="7"/>
  <c r="AH168" i="7" s="1"/>
  <c r="S414" i="7"/>
  <c r="AH414" i="7" s="1"/>
  <c r="T380" i="7"/>
  <c r="AI380" i="7" s="1"/>
  <c r="R380" i="7"/>
  <c r="S158" i="7"/>
  <c r="AH158" i="7" s="1"/>
  <c r="R567" i="7"/>
  <c r="S567" i="7"/>
  <c r="AH567" i="7" s="1"/>
  <c r="U567" i="7"/>
  <c r="T299" i="7"/>
  <c r="AI299" i="7" s="1"/>
  <c r="S586" i="7"/>
  <c r="AH586" i="7" s="1"/>
  <c r="S399" i="7"/>
  <c r="AH399" i="7" s="1"/>
  <c r="S429" i="7"/>
  <c r="AH429" i="7" s="1"/>
  <c r="S148" i="7"/>
  <c r="AH148" i="7" s="1"/>
  <c r="S246" i="7"/>
  <c r="AH246" i="7" s="1"/>
  <c r="U246" i="7"/>
  <c r="T555" i="7"/>
  <c r="AI555" i="7" s="1"/>
  <c r="S555" i="7"/>
  <c r="AH555" i="7" s="1"/>
  <c r="R3" i="7"/>
  <c r="S3" i="7"/>
  <c r="AH3" i="7" s="1"/>
  <c r="T567" i="7"/>
  <c r="AI567" i="7" s="1"/>
  <c r="U478" i="7"/>
  <c r="S478" i="7"/>
  <c r="AH478" i="7" s="1"/>
  <c r="T138" i="7"/>
  <c r="AI138" i="7" s="1"/>
  <c r="T221" i="7"/>
  <c r="AI221" i="7" s="1"/>
  <c r="T110" i="7"/>
  <c r="AI110" i="7" s="1"/>
  <c r="T517" i="7"/>
  <c r="AI517" i="7" s="1"/>
  <c r="S147" i="7"/>
  <c r="AH147" i="7" s="1"/>
  <c r="S497" i="7"/>
  <c r="AH497" i="7" s="1"/>
  <c r="S225" i="7"/>
  <c r="AH225" i="7" s="1"/>
  <c r="R447" i="7"/>
  <c r="S447" i="7"/>
  <c r="AH447" i="7" s="1"/>
  <c r="S500" i="7"/>
  <c r="AH500" i="7" s="1"/>
  <c r="R364" i="7"/>
  <c r="T364" i="7"/>
  <c r="AI364" i="7" s="1"/>
  <c r="S74" i="7"/>
  <c r="AH74" i="7" s="1"/>
  <c r="S14" i="7"/>
  <c r="AH14" i="7" s="1"/>
  <c r="R421" i="7"/>
  <c r="U421" i="7"/>
  <c r="R288" i="7"/>
  <c r="U288" i="7"/>
  <c r="S49" i="7"/>
  <c r="AH49" i="7" s="1"/>
  <c r="U49" i="7"/>
  <c r="S510" i="7"/>
  <c r="AH510" i="7" s="1"/>
  <c r="U533" i="7"/>
  <c r="T574" i="7"/>
  <c r="AI574" i="7" s="1"/>
  <c r="T297" i="7"/>
  <c r="AI297" i="7" s="1"/>
  <c r="T322" i="7"/>
  <c r="AI322" i="7" s="1"/>
  <c r="T308" i="7"/>
  <c r="AI308" i="7" s="1"/>
  <c r="S305" i="7"/>
  <c r="AH305" i="7" s="1"/>
  <c r="S55" i="7"/>
  <c r="AH55" i="7" s="1"/>
  <c r="S316" i="7"/>
  <c r="AH316" i="7" s="1"/>
  <c r="S560" i="7"/>
  <c r="AH560" i="7" s="1"/>
  <c r="S366" i="7"/>
  <c r="AH366" i="7" s="1"/>
  <c r="S296" i="7"/>
  <c r="AH296" i="7" s="1"/>
  <c r="T466" i="7"/>
  <c r="AI466" i="7" s="1"/>
  <c r="R138" i="7"/>
  <c r="R221" i="7"/>
  <c r="T203" i="7"/>
  <c r="AI203" i="7" s="1"/>
  <c r="S54" i="7"/>
  <c r="AH54" i="7" s="1"/>
  <c r="U383" i="7"/>
  <c r="U14" i="7"/>
  <c r="T238" i="7"/>
  <c r="AI238" i="7" s="1"/>
  <c r="U479" i="7"/>
  <c r="S490" i="7"/>
  <c r="AH490" i="7" s="1"/>
  <c r="S517" i="7"/>
  <c r="AH517" i="7" s="1"/>
  <c r="S369" i="7"/>
  <c r="AH369" i="7" s="1"/>
  <c r="S556" i="7"/>
  <c r="AH556" i="7" s="1"/>
  <c r="U544" i="7"/>
  <c r="T58" i="7"/>
  <c r="AI58" i="7" s="1"/>
  <c r="U450" i="7"/>
  <c r="U143" i="7"/>
  <c r="S533" i="7"/>
  <c r="AH533" i="7" s="1"/>
  <c r="S574" i="7"/>
  <c r="AH574" i="7" s="1"/>
  <c r="U303" i="7"/>
  <c r="T255" i="7"/>
  <c r="AI255" i="7" s="1"/>
  <c r="S124" i="7"/>
  <c r="AH124" i="7" s="1"/>
  <c r="U400" i="7"/>
  <c r="T286" i="7"/>
  <c r="AI286" i="7" s="1"/>
  <c r="R286" i="7"/>
  <c r="S322" i="7"/>
  <c r="AH322" i="7" s="1"/>
  <c r="S515" i="7"/>
  <c r="AH515" i="7" s="1"/>
  <c r="R280" i="7"/>
  <c r="S222" i="7"/>
  <c r="AH222" i="7" s="1"/>
  <c r="T4" i="7"/>
  <c r="AI4" i="7" s="1"/>
  <c r="S308" i="7"/>
  <c r="AH308" i="7" s="1"/>
  <c r="T360" i="7"/>
  <c r="AI360" i="7" s="1"/>
  <c r="S215" i="7"/>
  <c r="AH215" i="7" s="1"/>
  <c r="R88" i="7"/>
  <c r="T91" i="7"/>
  <c r="AI91" i="7" s="1"/>
  <c r="S25" i="7"/>
  <c r="AH25" i="7" s="1"/>
  <c r="R260" i="7"/>
  <c r="U439" i="7"/>
  <c r="U110" i="7"/>
  <c r="T73" i="7"/>
  <c r="AI73" i="7" s="1"/>
  <c r="T530" i="7"/>
  <c r="AI530" i="7" s="1"/>
  <c r="T53" i="7"/>
  <c r="AI53" i="7" s="1"/>
  <c r="S109" i="7"/>
  <c r="AH109" i="7" s="1"/>
  <c r="R334" i="7"/>
  <c r="U334" i="7"/>
  <c r="S333" i="7"/>
  <c r="AH333" i="7" s="1"/>
  <c r="U333" i="7"/>
  <c r="S471" i="7"/>
  <c r="AH471" i="7" s="1"/>
  <c r="S100" i="7"/>
  <c r="AH100" i="7" s="1"/>
  <c r="S391" i="7"/>
  <c r="AH391" i="7" s="1"/>
  <c r="S325" i="7"/>
  <c r="AH325" i="7" s="1"/>
  <c r="S196" i="7"/>
  <c r="AH196" i="7" s="1"/>
  <c r="T449" i="7"/>
  <c r="AI449" i="7" s="1"/>
  <c r="S350" i="7"/>
  <c r="AH350" i="7" s="1"/>
  <c r="U177" i="7"/>
  <c r="T144" i="7"/>
  <c r="AI144" i="7" s="1"/>
  <c r="U513" i="7"/>
  <c r="S298" i="7"/>
  <c r="AH298" i="7" s="1"/>
  <c r="U423" i="7"/>
  <c r="U359" i="7"/>
  <c r="S24" i="7"/>
  <c r="AH24" i="7" s="1"/>
  <c r="T236" i="7"/>
  <c r="AI236" i="7" s="1"/>
  <c r="R212" i="7"/>
  <c r="S446" i="7"/>
  <c r="AH446" i="7" s="1"/>
  <c r="R80" i="7"/>
  <c r="U68" i="7"/>
  <c r="U566" i="7"/>
  <c r="U208" i="7"/>
  <c r="U510" i="7"/>
  <c r="U447" i="7"/>
  <c r="S97" i="7"/>
  <c r="AH97" i="7" s="1"/>
  <c r="T390" i="7"/>
  <c r="AI390" i="7" s="1"/>
  <c r="U190" i="7"/>
  <c r="T65" i="7"/>
  <c r="AI65" i="7" s="1"/>
  <c r="T359" i="7"/>
  <c r="AI359" i="7" s="1"/>
  <c r="R359" i="7"/>
  <c r="R406" i="7"/>
  <c r="S488" i="7"/>
  <c r="AH488" i="7" s="1"/>
  <c r="S27" i="7"/>
  <c r="AH27" i="7" s="1"/>
  <c r="S80" i="7"/>
  <c r="AH80" i="7" s="1"/>
  <c r="T147" i="7"/>
  <c r="AI147" i="7" s="1"/>
  <c r="T249" i="7"/>
  <c r="AI249" i="7" s="1"/>
  <c r="T463" i="7"/>
  <c r="AI463" i="7" s="1"/>
  <c r="U200" i="7"/>
  <c r="U258" i="7"/>
  <c r="U141" i="7"/>
  <c r="S177" i="7"/>
  <c r="AH177" i="7" s="1"/>
  <c r="R225" i="7"/>
  <c r="T100" i="7"/>
  <c r="AI100" i="7" s="1"/>
  <c r="T500" i="7"/>
  <c r="AI500" i="7" s="1"/>
  <c r="S31" i="7"/>
  <c r="AH31" i="7" s="1"/>
  <c r="R556" i="7"/>
  <c r="R37" i="7"/>
  <c r="R196" i="7"/>
  <c r="S411" i="7"/>
  <c r="AH411" i="7" s="1"/>
  <c r="S15" i="7"/>
  <c r="AH15" i="7" s="1"/>
  <c r="S19" i="7"/>
  <c r="AH19" i="7" s="1"/>
  <c r="S343" i="7"/>
  <c r="AH343" i="7" s="1"/>
  <c r="S38" i="7"/>
  <c r="AH38" i="7" s="1"/>
  <c r="T153" i="7"/>
  <c r="AI153" i="7" s="1"/>
  <c r="U122" i="7"/>
  <c r="T122" i="7"/>
  <c r="AI122" i="7" s="1"/>
  <c r="U202" i="7"/>
  <c r="T202" i="7"/>
  <c r="AI202" i="7" s="1"/>
  <c r="S85" i="7"/>
  <c r="AH85" i="7" s="1"/>
  <c r="T454" i="7"/>
  <c r="AI454" i="7" s="1"/>
  <c r="T546" i="7"/>
  <c r="AI546" i="7" s="1"/>
  <c r="S234" i="7"/>
  <c r="AH234" i="7" s="1"/>
  <c r="S108" i="7"/>
  <c r="AH108" i="7" s="1"/>
  <c r="S480" i="7"/>
  <c r="AH480" i="7" s="1"/>
  <c r="S584" i="7"/>
  <c r="AH584" i="7" s="1"/>
  <c r="S518" i="7"/>
  <c r="AH518" i="7" s="1"/>
  <c r="S153" i="7"/>
  <c r="AH153" i="7" s="1"/>
  <c r="U119" i="7"/>
  <c r="S119" i="7"/>
  <c r="AH119" i="7" s="1"/>
  <c r="U267" i="7"/>
  <c r="S267" i="7"/>
  <c r="AH267" i="7" s="1"/>
  <c r="U242" i="7"/>
  <c r="S242" i="7"/>
  <c r="AH242" i="7" s="1"/>
  <c r="U407" i="7"/>
  <c r="T166" i="7"/>
  <c r="AI166" i="7" s="1"/>
  <c r="R194" i="7"/>
  <c r="U431" i="7"/>
  <c r="R335" i="7"/>
  <c r="T274" i="7"/>
  <c r="AI274" i="7" s="1"/>
  <c r="U543" i="7"/>
  <c r="U579" i="7"/>
  <c r="U42" i="7"/>
  <c r="U426" i="7"/>
  <c r="U464" i="7"/>
  <c r="T85" i="7"/>
  <c r="AI85" i="7" s="1"/>
  <c r="S211" i="7"/>
  <c r="AH211" i="7" s="1"/>
  <c r="T114" i="7"/>
  <c r="AI114" i="7" s="1"/>
  <c r="S216" i="7"/>
  <c r="AH216" i="7" s="1"/>
  <c r="S7" i="7"/>
  <c r="AH7" i="7" s="1"/>
  <c r="T59" i="7"/>
  <c r="AI59" i="7" s="1"/>
  <c r="S573" i="7"/>
  <c r="AH573" i="7" s="1"/>
  <c r="T341" i="7"/>
  <c r="AI341" i="7" s="1"/>
  <c r="U106" i="7"/>
  <c r="T437" i="7"/>
  <c r="AI437" i="7" s="1"/>
  <c r="T339" i="7"/>
  <c r="AI339" i="7" s="1"/>
  <c r="U582" i="7"/>
  <c r="T313" i="7"/>
  <c r="AI313" i="7" s="1"/>
  <c r="U20" i="7"/>
  <c r="T20" i="7"/>
  <c r="AI20" i="7" s="1"/>
  <c r="T119" i="7"/>
  <c r="AI119" i="7" s="1"/>
  <c r="U549" i="7"/>
  <c r="S152" i="7"/>
  <c r="AH152" i="7" s="1"/>
  <c r="T267" i="7"/>
  <c r="AI267" i="7" s="1"/>
  <c r="S575" i="7"/>
  <c r="AH575" i="7" s="1"/>
  <c r="S440" i="7"/>
  <c r="AH440" i="7" s="1"/>
  <c r="T242" i="7"/>
  <c r="AI242" i="7" s="1"/>
  <c r="R459" i="7"/>
  <c r="R349" i="7"/>
  <c r="S114" i="7"/>
  <c r="AH114" i="7" s="1"/>
  <c r="S128" i="7"/>
  <c r="AH128" i="7" s="1"/>
  <c r="T19" i="7"/>
  <c r="AI19" i="7" s="1"/>
  <c r="T343" i="7"/>
  <c r="AI343" i="7" s="1"/>
  <c r="T38" i="7"/>
  <c r="AI38" i="7" s="1"/>
  <c r="S341" i="7"/>
  <c r="AH341" i="7" s="1"/>
  <c r="T563" i="7"/>
  <c r="AI563" i="7" s="1"/>
  <c r="S313" i="7"/>
  <c r="AH313" i="7" s="1"/>
  <c r="S514" i="7"/>
  <c r="AH514" i="7" s="1"/>
  <c r="U498" i="7"/>
  <c r="T498" i="7"/>
  <c r="AI498" i="7" s="1"/>
  <c r="T481" i="7"/>
  <c r="AI481" i="7" s="1"/>
  <c r="R481" i="7"/>
  <c r="T50" i="7"/>
  <c r="AI50" i="7" s="1"/>
  <c r="R50" i="7"/>
  <c r="T582" i="7"/>
  <c r="AI582" i="7" s="1"/>
  <c r="T253" i="7"/>
  <c r="AI253" i="7" s="1"/>
  <c r="T514" i="7"/>
  <c r="AI514" i="7" s="1"/>
  <c r="T207" i="7"/>
  <c r="AI207" i="7" s="1"/>
  <c r="U252" i="7"/>
  <c r="U402" i="7"/>
  <c r="T438" i="7"/>
  <c r="AI438" i="7" s="1"/>
  <c r="U430" i="7"/>
  <c r="T473" i="7"/>
  <c r="AI473" i="7" s="1"/>
  <c r="U595" i="7"/>
  <c r="T376" i="7"/>
  <c r="AI376" i="7" s="1"/>
  <c r="T287" i="7"/>
  <c r="AI287" i="7" s="1"/>
  <c r="U547" i="7"/>
  <c r="S95" i="7"/>
  <c r="AH95" i="7" s="1"/>
  <c r="U433" i="7"/>
  <c r="S596" i="7"/>
  <c r="AH596" i="7" s="1"/>
  <c r="T137" i="7"/>
  <c r="AI137" i="7" s="1"/>
  <c r="T71" i="7"/>
  <c r="AI71" i="7" s="1"/>
  <c r="U535" i="7"/>
  <c r="U398" i="7"/>
  <c r="R398" i="7"/>
  <c r="T70" i="7"/>
  <c r="AI70" i="7" s="1"/>
  <c r="U416" i="7"/>
  <c r="T345" i="7"/>
  <c r="AI345" i="7" s="1"/>
  <c r="T429" i="7"/>
  <c r="AI429" i="7" s="1"/>
  <c r="R429" i="7"/>
  <c r="R247" i="7"/>
  <c r="U309" i="7"/>
  <c r="U148" i="7"/>
  <c r="R148" i="7"/>
  <c r="S292" i="7"/>
  <c r="AH292" i="7" s="1"/>
  <c r="R172" i="7"/>
  <c r="U505" i="7"/>
  <c r="S453" i="7"/>
  <c r="AH453" i="7" s="1"/>
  <c r="U271" i="7"/>
  <c r="S171" i="7"/>
  <c r="AH171" i="7" s="1"/>
  <c r="T572" i="7"/>
  <c r="AI572" i="7" s="1"/>
  <c r="R146" i="7"/>
  <c r="U227" i="7"/>
  <c r="T48" i="7"/>
  <c r="AI48" i="7" s="1"/>
  <c r="S576" i="7"/>
  <c r="AH576" i="7" s="1"/>
  <c r="S303" i="7"/>
  <c r="AH303" i="7" s="1"/>
  <c r="S297" i="7"/>
  <c r="AH297" i="7" s="1"/>
  <c r="S255" i="7"/>
  <c r="AH255" i="7" s="1"/>
  <c r="S83" i="7"/>
  <c r="AH83" i="7" s="1"/>
  <c r="R555" i="7"/>
  <c r="S157" i="7"/>
  <c r="AH157" i="7" s="1"/>
  <c r="R477" i="7"/>
  <c r="S550" i="7"/>
  <c r="AH550" i="7" s="1"/>
  <c r="T387" i="7"/>
  <c r="AI387" i="7" s="1"/>
  <c r="T295" i="7"/>
  <c r="AI295" i="7" s="1"/>
  <c r="R322" i="7"/>
  <c r="R75" i="7"/>
  <c r="T139" i="7"/>
  <c r="AI139" i="7" s="1"/>
  <c r="T47" i="7"/>
  <c r="AI47" i="7" s="1"/>
  <c r="R515" i="7"/>
  <c r="U251" i="7"/>
  <c r="R458" i="7"/>
  <c r="S4" i="7"/>
  <c r="AH4" i="7" s="1"/>
  <c r="R233" i="7"/>
  <c r="S87" i="7"/>
  <c r="AH87" i="7" s="1"/>
  <c r="S382" i="7"/>
  <c r="AH382" i="7" s="1"/>
  <c r="U308" i="7"/>
  <c r="S538" i="7"/>
  <c r="AH538" i="7" s="1"/>
  <c r="R17" i="7"/>
  <c r="R560" i="7"/>
  <c r="R296" i="7"/>
  <c r="R397" i="7"/>
  <c r="S481" i="7"/>
  <c r="AH481" i="7" s="1"/>
  <c r="T439" i="7"/>
  <c r="AI439" i="7" s="1"/>
  <c r="T54" i="7"/>
  <c r="AI54" i="7" s="1"/>
  <c r="R66" i="7"/>
  <c r="S50" i="7"/>
  <c r="AH50" i="7" s="1"/>
  <c r="T383" i="7"/>
  <c r="AI383" i="7" s="1"/>
  <c r="T14" i="7"/>
  <c r="AI14" i="7" s="1"/>
  <c r="R238" i="7"/>
  <c r="T361" i="7"/>
  <c r="AI361" i="7" s="1"/>
  <c r="S449" i="7"/>
  <c r="AH449" i="7" s="1"/>
  <c r="T116" i="7"/>
  <c r="AI116" i="7" s="1"/>
  <c r="U438" i="7"/>
  <c r="U581" i="7"/>
  <c r="U293" i="7"/>
  <c r="U276" i="7"/>
  <c r="S368" i="7"/>
  <c r="AH368" i="7" s="1"/>
  <c r="T62" i="7"/>
  <c r="AI62" i="7" s="1"/>
  <c r="U557" i="7"/>
  <c r="U247" i="7"/>
  <c r="U346" i="7"/>
  <c r="R450" i="7"/>
  <c r="R533" i="7"/>
  <c r="U414" i="7"/>
  <c r="U380" i="7"/>
  <c r="U146" i="7"/>
  <c r="T227" i="7"/>
  <c r="AI227" i="7" s="1"/>
  <c r="U356" i="7"/>
  <c r="U555" i="7"/>
  <c r="U322" i="7"/>
  <c r="U515" i="7"/>
  <c r="U17" i="7"/>
  <c r="R77" i="7"/>
  <c r="S91" i="7"/>
  <c r="AH91" i="7" s="1"/>
  <c r="U296" i="7"/>
  <c r="S361" i="7"/>
  <c r="AH361" i="7" s="1"/>
  <c r="U41" i="7"/>
  <c r="T115" i="7"/>
  <c r="AI115" i="7" s="1"/>
  <c r="T320" i="7"/>
  <c r="AI320" i="7" s="1"/>
  <c r="T152" i="7"/>
  <c r="AI152" i="7" s="1"/>
  <c r="T575" i="7"/>
  <c r="AI575" i="7" s="1"/>
  <c r="T440" i="7"/>
  <c r="AI440" i="7" s="1"/>
  <c r="T586" i="7"/>
  <c r="AI586" i="7" s="1"/>
  <c r="U282" i="7"/>
  <c r="T199" i="7"/>
  <c r="AI199" i="7" s="1"/>
  <c r="T120" i="7"/>
  <c r="AI120" i="7" s="1"/>
  <c r="U176" i="7"/>
  <c r="U134" i="7"/>
  <c r="R535" i="7"/>
  <c r="T557" i="7"/>
  <c r="AI557" i="7" s="1"/>
  <c r="T300" i="7"/>
  <c r="AI300" i="7" s="1"/>
  <c r="S269" i="7"/>
  <c r="AH269" i="7" s="1"/>
  <c r="S123" i="7"/>
  <c r="AH123" i="7" s="1"/>
  <c r="T468" i="7"/>
  <c r="AI468" i="7" s="1"/>
  <c r="S309" i="7"/>
  <c r="AH309" i="7" s="1"/>
  <c r="R346" i="7"/>
  <c r="R192" i="7"/>
  <c r="T172" i="7"/>
  <c r="AI172" i="7" s="1"/>
  <c r="R303" i="7"/>
  <c r="T246" i="7"/>
  <c r="AI246" i="7" s="1"/>
  <c r="R246" i="7"/>
  <c r="T158" i="7"/>
  <c r="AI158" i="7" s="1"/>
  <c r="T356" i="7"/>
  <c r="AI356" i="7" s="1"/>
  <c r="T124" i="7"/>
  <c r="AI124" i="7" s="1"/>
  <c r="R124" i="7"/>
  <c r="R400" i="7"/>
  <c r="T477" i="7"/>
  <c r="AI477" i="7" s="1"/>
  <c r="S336" i="7"/>
  <c r="AH336" i="7" s="1"/>
  <c r="U550" i="7"/>
  <c r="T75" i="7"/>
  <c r="AI75" i="7" s="1"/>
  <c r="S187" i="7"/>
  <c r="AH187" i="7" s="1"/>
  <c r="S472" i="7"/>
  <c r="AH472" i="7" s="1"/>
  <c r="R251" i="7"/>
  <c r="S357" i="7"/>
  <c r="AH357" i="7" s="1"/>
  <c r="S56" i="7"/>
  <c r="AH56" i="7" s="1"/>
  <c r="U458" i="7"/>
  <c r="U233" i="7"/>
  <c r="R308" i="7"/>
  <c r="R55" i="7"/>
  <c r="S149" i="7"/>
  <c r="AH149" i="7" s="1"/>
  <c r="U560" i="7"/>
  <c r="R392" i="7"/>
  <c r="R254" i="7"/>
  <c r="T397" i="7"/>
  <c r="AI397" i="7" s="1"/>
  <c r="R439" i="7"/>
  <c r="R383" i="7"/>
  <c r="T577" i="7"/>
  <c r="AI577" i="7" s="1"/>
  <c r="U577" i="7"/>
  <c r="S52" i="7"/>
  <c r="AH52" i="7" s="1"/>
  <c r="S512" i="7"/>
  <c r="AH512" i="7" s="1"/>
  <c r="T248" i="7"/>
  <c r="AI248" i="7" s="1"/>
  <c r="S248" i="7"/>
  <c r="AH248" i="7" s="1"/>
  <c r="T527" i="7"/>
  <c r="AI527" i="7" s="1"/>
  <c r="R527" i="7"/>
  <c r="T160" i="7"/>
  <c r="AI160" i="7" s="1"/>
  <c r="S160" i="7"/>
  <c r="AH160" i="7" s="1"/>
  <c r="T18" i="7"/>
  <c r="AI18" i="7" s="1"/>
  <c r="S18" i="7"/>
  <c r="AH18" i="7" s="1"/>
  <c r="S198" i="7"/>
  <c r="AH198" i="7" s="1"/>
  <c r="T502" i="7"/>
  <c r="AI502" i="7" s="1"/>
  <c r="R502" i="7"/>
  <c r="R342" i="7"/>
  <c r="U342" i="7"/>
  <c r="S342" i="7"/>
  <c r="AH342" i="7" s="1"/>
  <c r="T494" i="7"/>
  <c r="AI494" i="7" s="1"/>
  <c r="T32" i="7"/>
  <c r="AI32" i="7" s="1"/>
  <c r="T417" i="7"/>
  <c r="AI417" i="7" s="1"/>
  <c r="U442" i="7"/>
  <c r="U118" i="7"/>
  <c r="R275" i="7"/>
  <c r="U51" i="7"/>
  <c r="S63" i="7"/>
  <c r="AH63" i="7" s="1"/>
  <c r="U159" i="7"/>
  <c r="U427" i="7"/>
  <c r="S527" i="7"/>
  <c r="AH527" i="7" s="1"/>
  <c r="T561" i="7"/>
  <c r="AI561" i="7" s="1"/>
  <c r="R561" i="7"/>
  <c r="U496" i="7"/>
  <c r="T496" i="7"/>
  <c r="AI496" i="7" s="1"/>
  <c r="R496" i="7"/>
  <c r="S441" i="7"/>
  <c r="AH441" i="7" s="1"/>
  <c r="S502" i="7"/>
  <c r="AH502" i="7" s="1"/>
  <c r="T342" i="7"/>
  <c r="AI342" i="7" s="1"/>
  <c r="U417" i="7"/>
  <c r="S301" i="7"/>
  <c r="AH301" i="7" s="1"/>
  <c r="U358" i="7"/>
  <c r="T358" i="7"/>
  <c r="AI358" i="7" s="1"/>
  <c r="S375" i="7"/>
  <c r="AH375" i="7" s="1"/>
  <c r="R545" i="7"/>
  <c r="S545" i="7"/>
  <c r="AH545" i="7" s="1"/>
  <c r="T132" i="7"/>
  <c r="AI132" i="7" s="1"/>
  <c r="R132" i="7"/>
  <c r="S69" i="7"/>
  <c r="AH69" i="7" s="1"/>
  <c r="S40" i="7"/>
  <c r="AH40" i="7" s="1"/>
  <c r="T485" i="7"/>
  <c r="AI485" i="7" s="1"/>
  <c r="T220" i="7"/>
  <c r="AI220" i="7" s="1"/>
  <c r="T161" i="7"/>
  <c r="AI161" i="7" s="1"/>
  <c r="R147" i="7"/>
  <c r="T76" i="7"/>
  <c r="AI76" i="7" s="1"/>
  <c r="S427" i="7"/>
  <c r="AH427" i="7" s="1"/>
  <c r="S405" i="7"/>
  <c r="AH405" i="7" s="1"/>
  <c r="U154" i="7"/>
  <c r="S154" i="7"/>
  <c r="AH154" i="7" s="1"/>
  <c r="U259" i="7"/>
  <c r="S259" i="7"/>
  <c r="AH259" i="7" s="1"/>
  <c r="U319" i="7"/>
  <c r="S319" i="7"/>
  <c r="AH319" i="7" s="1"/>
  <c r="S210" i="7"/>
  <c r="AH210" i="7" s="1"/>
  <c r="T177" i="7"/>
  <c r="AI177" i="7" s="1"/>
  <c r="R177" i="7"/>
  <c r="T225" i="7"/>
  <c r="AI225" i="7" s="1"/>
  <c r="T97" i="7"/>
  <c r="AI97" i="7" s="1"/>
  <c r="R97" i="7"/>
  <c r="R390" i="7"/>
  <c r="R31" i="7"/>
  <c r="T279" i="7"/>
  <c r="AI279" i="7" s="1"/>
  <c r="S354" i="7"/>
  <c r="AH354" i="7" s="1"/>
  <c r="T415" i="7"/>
  <c r="AI415" i="7" s="1"/>
  <c r="T476" i="7"/>
  <c r="AI476" i="7" s="1"/>
  <c r="U587" i="7"/>
  <c r="U236" i="7"/>
  <c r="T469" i="7"/>
  <c r="AI469" i="7" s="1"/>
  <c r="S279" i="7"/>
  <c r="AH279" i="7" s="1"/>
  <c r="T325" i="7"/>
  <c r="AI325" i="7" s="1"/>
  <c r="R415" i="7"/>
  <c r="T539" i="7"/>
  <c r="AI539" i="7" s="1"/>
  <c r="R539" i="7"/>
  <c r="U408" i="7"/>
  <c r="S537" i="7"/>
  <c r="AH537" i="7" s="1"/>
  <c r="S483" i="7"/>
  <c r="AH483" i="7" s="1"/>
  <c r="U144" i="7"/>
  <c r="S492" i="7"/>
  <c r="AH492" i="7" s="1"/>
  <c r="U578" i="7"/>
  <c r="R100" i="7"/>
  <c r="U183" i="7"/>
  <c r="U500" i="7"/>
  <c r="T326" i="7"/>
  <c r="AI326" i="7" s="1"/>
  <c r="T457" i="7"/>
  <c r="AI457" i="7" s="1"/>
  <c r="T355" i="7"/>
  <c r="AI355" i="7" s="1"/>
  <c r="R259" i="7"/>
  <c r="T375" i="7"/>
  <c r="AI375" i="7" s="1"/>
  <c r="R319" i="7"/>
  <c r="S364" i="7"/>
  <c r="AH364" i="7" s="1"/>
  <c r="S587" i="7"/>
  <c r="AH587" i="7" s="1"/>
  <c r="R236" i="7"/>
  <c r="T391" i="7"/>
  <c r="AI391" i="7" s="1"/>
  <c r="S469" i="7"/>
  <c r="AH469" i="7" s="1"/>
  <c r="R325" i="7"/>
  <c r="R198" i="7"/>
  <c r="T348" i="7"/>
  <c r="AI348" i="7" s="1"/>
  <c r="R441" i="7"/>
  <c r="S539" i="7"/>
  <c r="AH539" i="7" s="1"/>
  <c r="R166" i="7"/>
  <c r="S407" i="7"/>
  <c r="AH407" i="7" s="1"/>
  <c r="T113" i="7"/>
  <c r="AI113" i="7" s="1"/>
  <c r="U489" i="7"/>
  <c r="U378" i="7"/>
  <c r="S378" i="7"/>
  <c r="AH378" i="7" s="1"/>
  <c r="R489" i="7"/>
  <c r="R378" i="7"/>
  <c r="S166" i="7"/>
  <c r="AH166" i="7" s="1"/>
  <c r="T407" i="7"/>
  <c r="AI407" i="7" s="1"/>
  <c r="U113" i="7"/>
  <c r="U459" i="7"/>
  <c r="S194" i="7"/>
  <c r="AH194" i="7" s="1"/>
  <c r="R431" i="7"/>
  <c r="R274" i="7"/>
  <c r="T12" i="7"/>
  <c r="AI12" i="7" s="1"/>
  <c r="S579" i="7"/>
  <c r="AH579" i="7" s="1"/>
  <c r="U328" i="7"/>
  <c r="S42" i="7"/>
  <c r="AH42" i="7" s="1"/>
  <c r="U370" i="7"/>
  <c r="S464" i="7"/>
  <c r="AH464" i="7" s="1"/>
  <c r="U330" i="7"/>
  <c r="U263" i="7"/>
  <c r="T239" i="7"/>
  <c r="AI239" i="7" s="1"/>
  <c r="T377" i="7"/>
  <c r="AI377" i="7" s="1"/>
  <c r="S129" i="7"/>
  <c r="AH129" i="7" s="1"/>
  <c r="S122" i="7"/>
  <c r="AH122" i="7" s="1"/>
  <c r="S201" i="7"/>
  <c r="AH201" i="7" s="1"/>
  <c r="S202" i="7"/>
  <c r="AH202" i="7" s="1"/>
  <c r="S445" i="7"/>
  <c r="AH445" i="7" s="1"/>
  <c r="S549" i="7"/>
  <c r="AH549" i="7" s="1"/>
  <c r="S498" i="7"/>
  <c r="AH498" i="7" s="1"/>
  <c r="U571" i="7"/>
  <c r="S571" i="7"/>
  <c r="AH571" i="7" s="1"/>
  <c r="U349" i="7"/>
  <c r="U335" i="7"/>
  <c r="U564" i="7"/>
  <c r="U12" i="7"/>
  <c r="U218" i="7"/>
  <c r="T130" i="7"/>
  <c r="AI130" i="7" s="1"/>
  <c r="T214" i="7"/>
  <c r="AI214" i="7" s="1"/>
  <c r="T428" i="7"/>
  <c r="AI428" i="7" s="1"/>
  <c r="T311" i="7"/>
  <c r="AI311" i="7" s="1"/>
  <c r="T129" i="7"/>
  <c r="AI129" i="7" s="1"/>
  <c r="T264" i="7"/>
  <c r="AI264" i="7" s="1"/>
  <c r="S230" i="7"/>
  <c r="AH230" i="7" s="1"/>
  <c r="U117" i="7"/>
  <c r="S339" i="7"/>
  <c r="AH339" i="7" s="1"/>
  <c r="S582" i="7"/>
  <c r="AH582" i="7" s="1"/>
  <c r="S105" i="7"/>
  <c r="AH105" i="7" s="1"/>
  <c r="S253" i="7"/>
  <c r="AH253" i="7" s="1"/>
  <c r="U115" i="7"/>
  <c r="S519" i="7"/>
  <c r="AH519" i="7" s="1"/>
  <c r="S207" i="7"/>
  <c r="AH207" i="7" s="1"/>
  <c r="S252" i="7"/>
  <c r="AH252" i="7" s="1"/>
  <c r="S402" i="7"/>
  <c r="AH402" i="7" s="1"/>
  <c r="U224" i="7"/>
  <c r="U299" i="7"/>
  <c r="S491" i="7"/>
  <c r="AH491" i="7" s="1"/>
  <c r="S438" i="7"/>
  <c r="AH438" i="7" s="1"/>
  <c r="S430" i="7"/>
  <c r="AH430" i="7" s="1"/>
  <c r="U413" i="7"/>
  <c r="S413" i="7"/>
  <c r="AH413" i="7" s="1"/>
  <c r="U35" i="7"/>
  <c r="S35" i="7"/>
  <c r="AH35" i="7" s="1"/>
  <c r="S489" i="7"/>
  <c r="AH489" i="7" s="1"/>
  <c r="U194" i="7"/>
  <c r="T294" i="7"/>
  <c r="AI294" i="7" s="1"/>
  <c r="T128" i="7"/>
  <c r="AI128" i="7" s="1"/>
  <c r="T7" i="7"/>
  <c r="AI7" i="7" s="1"/>
  <c r="T86" i="7"/>
  <c r="AI86" i="7" s="1"/>
  <c r="T108" i="7"/>
  <c r="AI108" i="7" s="1"/>
  <c r="T112" i="7"/>
  <c r="AI112" i="7" s="1"/>
  <c r="T480" i="7"/>
  <c r="AI480" i="7" s="1"/>
  <c r="T173" i="7"/>
  <c r="AI173" i="7" s="1"/>
  <c r="T584" i="7"/>
  <c r="AI584" i="7" s="1"/>
  <c r="T243" i="7"/>
  <c r="AI243" i="7" s="1"/>
  <c r="T518" i="7"/>
  <c r="AI518" i="7" s="1"/>
  <c r="T580" i="7"/>
  <c r="AI580" i="7" s="1"/>
  <c r="T573" i="7"/>
  <c r="AI573" i="7" s="1"/>
  <c r="T230" i="7"/>
  <c r="AI230" i="7" s="1"/>
  <c r="S117" i="7"/>
  <c r="AH117" i="7" s="1"/>
  <c r="U563" i="7"/>
  <c r="U437" i="7"/>
  <c r="U28" i="7"/>
  <c r="S352" i="7"/>
  <c r="AH352" i="7" s="1"/>
  <c r="U313" i="7"/>
  <c r="S115" i="7"/>
  <c r="AH115" i="7" s="1"/>
  <c r="U179" i="7"/>
  <c r="U514" i="7"/>
  <c r="U231" i="7"/>
  <c r="S20" i="7"/>
  <c r="AH20" i="7" s="1"/>
  <c r="T549" i="7"/>
  <c r="AI549" i="7" s="1"/>
  <c r="S224" i="7"/>
  <c r="AH224" i="7" s="1"/>
  <c r="S299" i="7"/>
  <c r="AH299" i="7" s="1"/>
  <c r="S320" i="7"/>
  <c r="AH320" i="7" s="1"/>
  <c r="T413" i="7"/>
  <c r="AI413" i="7" s="1"/>
  <c r="S595" i="7"/>
  <c r="AH595" i="7" s="1"/>
  <c r="S136" i="7"/>
  <c r="AH136" i="7" s="1"/>
  <c r="S140" i="7"/>
  <c r="AH140" i="7" s="1"/>
  <c r="T35" i="7"/>
  <c r="AI35" i="7" s="1"/>
  <c r="U16" i="7"/>
  <c r="S16" i="7"/>
  <c r="AH16" i="7" s="1"/>
  <c r="U125" i="7"/>
  <c r="R125" i="7"/>
  <c r="T278" i="7"/>
  <c r="AI278" i="7" s="1"/>
  <c r="U278" i="7"/>
  <c r="R278" i="7"/>
  <c r="R54" i="7"/>
  <c r="T283" i="7"/>
  <c r="AI283" i="7" s="1"/>
  <c r="U283" i="7"/>
  <c r="R283" i="7"/>
  <c r="R110" i="7"/>
  <c r="T511" i="7"/>
  <c r="AI511" i="7" s="1"/>
  <c r="U511" i="7"/>
  <c r="R511" i="7"/>
  <c r="R14" i="7"/>
  <c r="T304" i="7"/>
  <c r="AI304" i="7" s="1"/>
  <c r="U304" i="7"/>
  <c r="R304" i="7"/>
  <c r="T237" i="7"/>
  <c r="AI237" i="7" s="1"/>
  <c r="U237" i="7"/>
  <c r="R237" i="7"/>
  <c r="S156" i="7"/>
  <c r="AH156" i="7" s="1"/>
  <c r="S195" i="7"/>
  <c r="AH195" i="7" s="1"/>
  <c r="U155" i="7"/>
  <c r="S155" i="7"/>
  <c r="AH155" i="7" s="1"/>
  <c r="U583" i="7"/>
  <c r="U270" i="7"/>
  <c r="U121" i="7"/>
  <c r="U261" i="7"/>
  <c r="S323" i="7"/>
  <c r="AH323" i="7" s="1"/>
  <c r="U376" i="7"/>
  <c r="S104" i="7"/>
  <c r="AH104" i="7" s="1"/>
  <c r="U461" i="7"/>
  <c r="S553" i="7"/>
  <c r="AH553" i="7" s="1"/>
  <c r="U287" i="7"/>
  <c r="S282" i="7"/>
  <c r="AH282" i="7" s="1"/>
  <c r="S581" i="7"/>
  <c r="AH581" i="7" s="1"/>
  <c r="S547" i="7"/>
  <c r="AH547" i="7" s="1"/>
  <c r="U199" i="7"/>
  <c r="S276" i="7"/>
  <c r="AH276" i="7" s="1"/>
  <c r="S433" i="7"/>
  <c r="AH433" i="7" s="1"/>
  <c r="S137" i="7"/>
  <c r="AH137" i="7" s="1"/>
  <c r="S176" i="7"/>
  <c r="AH176" i="7" s="1"/>
  <c r="S62" i="7"/>
  <c r="AH62" i="7" s="1"/>
  <c r="S219" i="7"/>
  <c r="AH219" i="7" s="1"/>
  <c r="S134" i="7"/>
  <c r="AH134" i="7" s="1"/>
  <c r="U209" i="7"/>
  <c r="R71" i="7"/>
  <c r="T2" i="7"/>
  <c r="AI2" i="7" s="1"/>
  <c r="R70" i="7"/>
  <c r="R300" i="7"/>
  <c r="S345" i="7"/>
  <c r="AH345" i="7" s="1"/>
  <c r="T123" i="7"/>
  <c r="AI123" i="7" s="1"/>
  <c r="R468" i="7"/>
  <c r="R403" i="7"/>
  <c r="T127" i="7"/>
  <c r="AI127" i="7" s="1"/>
  <c r="R292" i="7"/>
  <c r="T192" i="7"/>
  <c r="AI192" i="7" s="1"/>
  <c r="R143" i="7"/>
  <c r="T332" i="7"/>
  <c r="AI332" i="7" s="1"/>
  <c r="R168" i="7"/>
  <c r="R60" i="7"/>
  <c r="R96" i="7"/>
  <c r="R453" i="7"/>
  <c r="S271" i="7"/>
  <c r="AH271" i="7" s="1"/>
  <c r="R171" i="7"/>
  <c r="R574" i="7"/>
  <c r="S48" i="7"/>
  <c r="AH48" i="7" s="1"/>
  <c r="T576" i="7"/>
  <c r="AI576" i="7" s="1"/>
  <c r="R297" i="7"/>
  <c r="R255" i="7"/>
  <c r="S356" i="7"/>
  <c r="AH356" i="7" s="1"/>
  <c r="T157" i="7"/>
  <c r="AI157" i="7" s="1"/>
  <c r="T400" i="7"/>
  <c r="AI400" i="7" s="1"/>
  <c r="U336" i="7"/>
  <c r="R336" i="7"/>
  <c r="T550" i="7"/>
  <c r="AI550" i="7" s="1"/>
  <c r="R387" i="7"/>
  <c r="R295" i="7"/>
  <c r="T3" i="7"/>
  <c r="AI3" i="7" s="1"/>
  <c r="R568" i="7"/>
  <c r="R46" i="7"/>
  <c r="R56" i="7"/>
  <c r="R382" i="7"/>
  <c r="S360" i="7"/>
  <c r="AH360" i="7" s="1"/>
  <c r="R305" i="7"/>
  <c r="R538" i="7"/>
  <c r="R133" i="7"/>
  <c r="R316" i="7"/>
  <c r="R149" i="7"/>
  <c r="R366" i="7"/>
  <c r="R191" i="7"/>
  <c r="T126" i="7"/>
  <c r="AI126" i="7" s="1"/>
  <c r="U126" i="7"/>
  <c r="S125" i="7"/>
  <c r="AH125" i="7" s="1"/>
  <c r="T165" i="7"/>
  <c r="AI165" i="7" s="1"/>
  <c r="U165" i="7"/>
  <c r="S278" i="7"/>
  <c r="AH278" i="7" s="1"/>
  <c r="S283" i="7"/>
  <c r="AH283" i="7" s="1"/>
  <c r="S511" i="7"/>
  <c r="AH511" i="7" s="1"/>
  <c r="S304" i="7"/>
  <c r="AH304" i="7" s="1"/>
  <c r="S237" i="7"/>
  <c r="AH237" i="7" s="1"/>
  <c r="T156" i="7"/>
  <c r="AI156" i="7" s="1"/>
  <c r="T155" i="7"/>
  <c r="AI155" i="7" s="1"/>
  <c r="S583" i="7"/>
  <c r="AH583" i="7" s="1"/>
  <c r="U473" i="7"/>
  <c r="T136" i="7"/>
  <c r="AI136" i="7" s="1"/>
  <c r="T140" i="7"/>
  <c r="AI140" i="7" s="1"/>
  <c r="S270" i="7"/>
  <c r="AH270" i="7" s="1"/>
  <c r="S121" i="7"/>
  <c r="AH121" i="7" s="1"/>
  <c r="S45" i="7"/>
  <c r="AH45" i="7" s="1"/>
  <c r="S261" i="7"/>
  <c r="AH261" i="7" s="1"/>
  <c r="U152" i="7"/>
  <c r="T386" i="7"/>
  <c r="AI386" i="7" s="1"/>
  <c r="S376" i="7"/>
  <c r="AH376" i="7" s="1"/>
  <c r="U94" i="7"/>
  <c r="U575" i="7"/>
  <c r="U404" i="7"/>
  <c r="S102" i="7"/>
  <c r="AH102" i="7" s="1"/>
  <c r="S461" i="7"/>
  <c r="AH461" i="7" s="1"/>
  <c r="U440" i="7"/>
  <c r="T145" i="7"/>
  <c r="AI145" i="7" s="1"/>
  <c r="S287" i="7"/>
  <c r="AH287" i="7" s="1"/>
  <c r="U528" i="7"/>
  <c r="U586" i="7"/>
  <c r="U590" i="7"/>
  <c r="S199" i="7"/>
  <c r="AH199" i="7" s="1"/>
  <c r="U331" i="7"/>
  <c r="U34" i="7"/>
  <c r="S84" i="7"/>
  <c r="AH84" i="7" s="1"/>
  <c r="U120" i="7"/>
  <c r="S381" i="7"/>
  <c r="AH381" i="7" s="1"/>
  <c r="U399" i="7"/>
  <c r="U232" i="7"/>
  <c r="S209" i="7"/>
  <c r="AH209" i="7" s="1"/>
  <c r="U302" i="7"/>
  <c r="U71" i="7"/>
  <c r="U70" i="7"/>
  <c r="U300" i="7"/>
  <c r="U468" i="7"/>
  <c r="U403" i="7"/>
  <c r="U292" i="7"/>
  <c r="T64" i="7"/>
  <c r="AI64" i="7" s="1"/>
  <c r="U168" i="7"/>
  <c r="U60" i="7"/>
  <c r="U96" i="7"/>
  <c r="U453" i="7"/>
  <c r="U171" i="7"/>
  <c r="U574" i="7"/>
  <c r="U297" i="7"/>
  <c r="U255" i="7"/>
  <c r="U387" i="7"/>
  <c r="U295" i="7"/>
  <c r="U568" i="7"/>
  <c r="R187" i="7"/>
  <c r="R520" i="7"/>
  <c r="R205" i="7"/>
  <c r="U46" i="7"/>
  <c r="R472" i="7"/>
  <c r="R222" i="7"/>
  <c r="R357" i="7"/>
  <c r="U56" i="7"/>
  <c r="R4" i="7"/>
  <c r="R478" i="7"/>
  <c r="R87" i="7"/>
  <c r="U382" i="7"/>
  <c r="R215" i="7"/>
  <c r="U305" i="7"/>
  <c r="U538" i="7"/>
  <c r="U133" i="7"/>
  <c r="R91" i="7"/>
  <c r="U316" i="7"/>
  <c r="U149" i="7"/>
  <c r="U366" i="7"/>
  <c r="R503" i="7"/>
  <c r="U191" i="7"/>
  <c r="R126" i="7"/>
  <c r="U466" i="7"/>
  <c r="R466" i="7"/>
  <c r="R165" i="7"/>
  <c r="U487" i="7"/>
  <c r="R487" i="7"/>
  <c r="T534" i="7"/>
  <c r="AI534" i="7" s="1"/>
  <c r="T484" i="7"/>
  <c r="AI484" i="7" s="1"/>
  <c r="S284" i="7"/>
  <c r="AH284" i="7" s="1"/>
  <c r="T581" i="7"/>
  <c r="AI581" i="7" s="1"/>
  <c r="T547" i="7"/>
  <c r="AI547" i="7" s="1"/>
  <c r="T433" i="7"/>
  <c r="AI433" i="7" s="1"/>
  <c r="T176" i="7"/>
  <c r="AI176" i="7" s="1"/>
  <c r="T219" i="7"/>
  <c r="AI219" i="7" s="1"/>
  <c r="T134" i="7"/>
  <c r="AI134" i="7" s="1"/>
  <c r="R345" i="7"/>
  <c r="T269" i="7"/>
  <c r="AI269" i="7" s="1"/>
  <c r="R271" i="7"/>
  <c r="R48" i="7"/>
  <c r="R356" i="7"/>
  <c r="T83" i="7"/>
  <c r="AI83" i="7" s="1"/>
  <c r="R360" i="7"/>
  <c r="T175" i="7"/>
  <c r="AI175" i="7" s="1"/>
  <c r="U175" i="7"/>
  <c r="S487" i="7"/>
  <c r="AH487" i="7" s="1"/>
  <c r="T92" i="7"/>
  <c r="AI92" i="7" s="1"/>
  <c r="U92" i="7"/>
  <c r="R92" i="7"/>
  <c r="S99" i="7"/>
  <c r="AH99" i="7" s="1"/>
  <c r="T371" i="7"/>
  <c r="AI371" i="7" s="1"/>
  <c r="T284" i="7"/>
  <c r="AI284" i="7" s="1"/>
  <c r="U240" i="7"/>
  <c r="S240" i="7"/>
  <c r="AH240" i="7" s="1"/>
  <c r="U392" i="7"/>
  <c r="U254" i="7"/>
  <c r="U481" i="7"/>
  <c r="U66" i="7"/>
  <c r="U50" i="7"/>
  <c r="U238" i="7"/>
  <c r="T81" i="7"/>
  <c r="AI81" i="7" s="1"/>
  <c r="T506" i="7"/>
  <c r="AI506" i="7" s="1"/>
  <c r="T432" i="7"/>
  <c r="AI432" i="7" s="1"/>
  <c r="U485" i="7"/>
  <c r="U32" i="7"/>
  <c r="U220" i="7"/>
  <c r="R161" i="7"/>
  <c r="T442" i="7"/>
  <c r="AI442" i="7" s="1"/>
  <c r="S76" i="7"/>
  <c r="AH76" i="7" s="1"/>
  <c r="T421" i="7"/>
  <c r="AI421" i="7" s="1"/>
  <c r="T200" i="7"/>
  <c r="AI200" i="7" s="1"/>
  <c r="T334" i="7"/>
  <c r="AI334" i="7" s="1"/>
  <c r="T258" i="7"/>
  <c r="AI258" i="7" s="1"/>
  <c r="T288" i="7"/>
  <c r="AI288" i="7" s="1"/>
  <c r="U467" i="7"/>
  <c r="R483" i="7"/>
  <c r="R248" i="7"/>
  <c r="U225" i="7"/>
  <c r="S358" i="7"/>
  <c r="AH358" i="7" s="1"/>
  <c r="U527" i="7"/>
  <c r="U351" i="7"/>
  <c r="U390" i="7"/>
  <c r="R154" i="7"/>
  <c r="S355" i="7"/>
  <c r="AH355" i="7" s="1"/>
  <c r="R375" i="7"/>
  <c r="U561" i="7"/>
  <c r="U545" i="7"/>
  <c r="U364" i="7"/>
  <c r="R587" i="7"/>
  <c r="T488" i="7"/>
  <c r="AI488" i="7" s="1"/>
  <c r="R488" i="7"/>
  <c r="T74" i="7"/>
  <c r="AI74" i="7" s="1"/>
  <c r="R74" i="7"/>
  <c r="T210" i="7"/>
  <c r="AI210" i="7" s="1"/>
  <c r="R210" i="7"/>
  <c r="T169" i="7"/>
  <c r="AI169" i="7" s="1"/>
  <c r="R169" i="7"/>
  <c r="T479" i="7"/>
  <c r="AI479" i="7" s="1"/>
  <c r="U494" i="7"/>
  <c r="R111" i="7"/>
  <c r="T307" i="7"/>
  <c r="AI307" i="7" s="1"/>
  <c r="T52" i="7"/>
  <c r="AI52" i="7" s="1"/>
  <c r="T217" i="7"/>
  <c r="AI217" i="7" s="1"/>
  <c r="T512" i="7"/>
  <c r="AI512" i="7" s="1"/>
  <c r="T508" i="7"/>
  <c r="AI508" i="7" s="1"/>
  <c r="T272" i="7"/>
  <c r="AI272" i="7" s="1"/>
  <c r="T109" i="7"/>
  <c r="AI109" i="7" s="1"/>
  <c r="S485" i="7"/>
  <c r="AH485" i="7" s="1"/>
  <c r="S32" i="7"/>
  <c r="AH32" i="7" s="1"/>
  <c r="S220" i="7"/>
  <c r="AH220" i="7" s="1"/>
  <c r="U490" i="7"/>
  <c r="S161" i="7"/>
  <c r="AH161" i="7" s="1"/>
  <c r="R420" i="7"/>
  <c r="T41" i="7"/>
  <c r="AI41" i="7" s="1"/>
  <c r="S249" i="7"/>
  <c r="AH249" i="7" s="1"/>
  <c r="S185" i="7"/>
  <c r="AH185" i="7" s="1"/>
  <c r="S409" i="7"/>
  <c r="AH409" i="7" s="1"/>
  <c r="S8" i="7"/>
  <c r="AH8" i="7" s="1"/>
  <c r="S424" i="7"/>
  <c r="AH424" i="7" s="1"/>
  <c r="S353" i="7"/>
  <c r="AH353" i="7" s="1"/>
  <c r="U483" i="7"/>
  <c r="U248" i="7"/>
  <c r="R578" i="7"/>
  <c r="T510" i="7"/>
  <c r="AI510" i="7" s="1"/>
  <c r="T190" i="7"/>
  <c r="AI190" i="7" s="1"/>
  <c r="U457" i="7"/>
  <c r="T372" i="7"/>
  <c r="AI372" i="7" s="1"/>
  <c r="U160" i="7"/>
  <c r="T337" i="7"/>
  <c r="AI337" i="7" s="1"/>
  <c r="R337" i="7"/>
  <c r="T411" i="7"/>
  <c r="AI411" i="7" s="1"/>
  <c r="R411" i="7"/>
  <c r="T318" i="7"/>
  <c r="AI318" i="7" s="1"/>
  <c r="R318" i="7"/>
  <c r="T245" i="7"/>
  <c r="AI245" i="7" s="1"/>
  <c r="T99" i="7"/>
  <c r="AI99" i="7" s="1"/>
  <c r="T167" i="7"/>
  <c r="AI167" i="7" s="1"/>
  <c r="T195" i="7"/>
  <c r="AI195" i="7" s="1"/>
  <c r="T240" i="7"/>
  <c r="AI240" i="7" s="1"/>
  <c r="T118" i="7"/>
  <c r="AI118" i="7" s="1"/>
  <c r="R358" i="7"/>
  <c r="T492" i="7"/>
  <c r="AI492" i="7" s="1"/>
  <c r="T154" i="7"/>
  <c r="AI154" i="7" s="1"/>
  <c r="R326" i="7"/>
  <c r="S190" i="7"/>
  <c r="AH190" i="7" s="1"/>
  <c r="U355" i="7"/>
  <c r="S372" i="7"/>
  <c r="AH372" i="7" s="1"/>
  <c r="R469" i="7"/>
  <c r="R279" i="7"/>
  <c r="R18" i="7"/>
  <c r="S337" i="7"/>
  <c r="AH337" i="7" s="1"/>
  <c r="T504" i="7"/>
  <c r="AI504" i="7" s="1"/>
  <c r="R504" i="7"/>
  <c r="T22" i="7"/>
  <c r="AI22" i="7" s="1"/>
  <c r="R22" i="7"/>
  <c r="T344" i="7"/>
  <c r="AI344" i="7" s="1"/>
  <c r="R344" i="7"/>
  <c r="S318" i="7"/>
  <c r="AH318" i="7" s="1"/>
  <c r="S326" i="7"/>
  <c r="AH326" i="7" s="1"/>
  <c r="S236" i="7"/>
  <c r="AH236" i="7" s="1"/>
  <c r="U372" i="7"/>
  <c r="R160" i="7"/>
  <c r="T31" i="7"/>
  <c r="AI31" i="7" s="1"/>
  <c r="T212" i="7"/>
  <c r="AI212" i="7" s="1"/>
  <c r="T262" i="7"/>
  <c r="AI262" i="7" s="1"/>
  <c r="R262" i="7"/>
  <c r="T69" i="7"/>
  <c r="AI69" i="7" s="1"/>
  <c r="R69" i="7"/>
  <c r="S504" i="7"/>
  <c r="AH504" i="7" s="1"/>
  <c r="T354" i="7"/>
  <c r="AI354" i="7" s="1"/>
  <c r="R354" i="7"/>
  <c r="S22" i="7"/>
  <c r="AH22" i="7" s="1"/>
  <c r="T182" i="7"/>
  <c r="AI182" i="7" s="1"/>
  <c r="R182" i="7"/>
  <c r="S344" i="7"/>
  <c r="AH344" i="7" s="1"/>
  <c r="T213" i="7"/>
  <c r="AI213" i="7" s="1"/>
  <c r="T27" i="7"/>
  <c r="AI27" i="7" s="1"/>
  <c r="T338" i="7"/>
  <c r="AI338" i="7" s="1"/>
  <c r="T180" i="7"/>
  <c r="AI180" i="7" s="1"/>
  <c r="T324" i="7"/>
  <c r="AI324" i="7" s="1"/>
  <c r="T410" i="7"/>
  <c r="AI410" i="7" s="1"/>
  <c r="T90" i="7"/>
  <c r="AI90" i="7" s="1"/>
  <c r="T163" i="7"/>
  <c r="AI163" i="7" s="1"/>
  <c r="T435" i="7"/>
  <c r="AI435" i="7" s="1"/>
  <c r="T327" i="7"/>
  <c r="AI327" i="7" s="1"/>
  <c r="T452" i="7"/>
  <c r="AI452" i="7" s="1"/>
  <c r="T329" i="7"/>
  <c r="AI329" i="7" s="1"/>
  <c r="T57" i="7"/>
  <c r="AI57" i="7" s="1"/>
  <c r="T174" i="7"/>
  <c r="AI174" i="7" s="1"/>
  <c r="T570" i="7"/>
  <c r="AI570" i="7" s="1"/>
  <c r="T347" i="7"/>
  <c r="AI347" i="7" s="1"/>
  <c r="T289" i="7"/>
  <c r="AI289" i="7" s="1"/>
  <c r="T101" i="7"/>
  <c r="AI101" i="7" s="1"/>
  <c r="T266" i="7"/>
  <c r="AI266" i="7" s="1"/>
  <c r="T36" i="7"/>
  <c r="AI36" i="7" s="1"/>
  <c r="T523" i="7"/>
  <c r="AI523" i="7" s="1"/>
  <c r="T374" i="7"/>
  <c r="AI374" i="7" s="1"/>
  <c r="T394" i="7"/>
  <c r="AI394" i="7" s="1"/>
  <c r="T562" i="7"/>
  <c r="AI562" i="7" s="1"/>
  <c r="T317" i="7"/>
  <c r="AI317" i="7" s="1"/>
  <c r="T229" i="7"/>
  <c r="AI229" i="7" s="1"/>
  <c r="T235" i="7"/>
  <c r="AI235" i="7" s="1"/>
  <c r="T470" i="7"/>
  <c r="AI470" i="7" s="1"/>
  <c r="T131" i="7"/>
  <c r="AI131" i="7" s="1"/>
  <c r="T384" i="7"/>
  <c r="AI384" i="7" s="1"/>
  <c r="T181" i="7"/>
  <c r="AI181" i="7" s="1"/>
  <c r="T226" i="7"/>
  <c r="AI226" i="7" s="1"/>
  <c r="T321" i="7"/>
  <c r="AI321" i="7" s="1"/>
  <c r="T451" i="7"/>
  <c r="AI451" i="7" s="1"/>
  <c r="T460" i="7"/>
  <c r="AI460" i="7" s="1"/>
  <c r="T290" i="7"/>
  <c r="AI290" i="7" s="1"/>
  <c r="T39" i="7"/>
  <c r="AI39" i="7" s="1"/>
  <c r="T554" i="7"/>
  <c r="AI554" i="7" s="1"/>
  <c r="T79" i="7"/>
  <c r="AI79" i="7" s="1"/>
  <c r="T369" i="7"/>
  <c r="AI369" i="7" s="1"/>
  <c r="T61" i="7"/>
  <c r="AI61" i="7" s="1"/>
  <c r="T540" i="7"/>
  <c r="AI540" i="7" s="1"/>
  <c r="T406" i="7"/>
  <c r="AI406" i="7" s="1"/>
  <c r="T446" i="7"/>
  <c r="AI446" i="7" s="1"/>
  <c r="R213" i="7"/>
  <c r="T556" i="7"/>
  <c r="AI556" i="7" s="1"/>
  <c r="T198" i="7"/>
  <c r="AI198" i="7" s="1"/>
  <c r="T425" i="7"/>
  <c r="AI425" i="7" s="1"/>
  <c r="R27" i="7"/>
  <c r="T196" i="7"/>
  <c r="AI196" i="7" s="1"/>
  <c r="T80" i="7"/>
  <c r="AI80" i="7" s="1"/>
  <c r="R15" i="7"/>
  <c r="T475" i="7"/>
  <c r="AI475" i="7" s="1"/>
  <c r="T441" i="7"/>
  <c r="AI441" i="7" s="1"/>
  <c r="S338" i="7"/>
  <c r="AH338" i="7" s="1"/>
  <c r="S180" i="7"/>
  <c r="AH180" i="7" s="1"/>
  <c r="S324" i="7"/>
  <c r="AH324" i="7" s="1"/>
  <c r="S315" i="7"/>
  <c r="AH315" i="7" s="1"/>
  <c r="S410" i="7"/>
  <c r="AH410" i="7" s="1"/>
  <c r="S90" i="7"/>
  <c r="AH90" i="7" s="1"/>
  <c r="S163" i="7"/>
  <c r="AH163" i="7" s="1"/>
  <c r="S435" i="7"/>
  <c r="AH435" i="7" s="1"/>
  <c r="S327" i="7"/>
  <c r="AH327" i="7" s="1"/>
  <c r="S452" i="7"/>
  <c r="AH452" i="7" s="1"/>
  <c r="S184" i="7"/>
  <c r="AH184" i="7" s="1"/>
  <c r="S329" i="7"/>
  <c r="AH329" i="7" s="1"/>
  <c r="S57" i="7"/>
  <c r="AH57" i="7" s="1"/>
  <c r="S174" i="7"/>
  <c r="AH174" i="7" s="1"/>
  <c r="S570" i="7"/>
  <c r="AH570" i="7" s="1"/>
  <c r="S347" i="7"/>
  <c r="AH347" i="7" s="1"/>
  <c r="S289" i="7"/>
  <c r="AH289" i="7" s="1"/>
  <c r="S101" i="7"/>
  <c r="AH101" i="7" s="1"/>
  <c r="S266" i="7"/>
  <c r="AH266" i="7" s="1"/>
  <c r="S36" i="7"/>
  <c r="AH36" i="7" s="1"/>
  <c r="S523" i="7"/>
  <c r="AH523" i="7" s="1"/>
  <c r="S374" i="7"/>
  <c r="AH374" i="7" s="1"/>
  <c r="S89" i="7"/>
  <c r="AH89" i="7" s="1"/>
  <c r="S394" i="7"/>
  <c r="AH394" i="7" s="1"/>
  <c r="S562" i="7"/>
  <c r="AH562" i="7" s="1"/>
  <c r="S317" i="7"/>
  <c r="AH317" i="7" s="1"/>
  <c r="S229" i="7"/>
  <c r="AH229" i="7" s="1"/>
  <c r="S235" i="7"/>
  <c r="AH235" i="7" s="1"/>
  <c r="S395" i="7"/>
  <c r="AH395" i="7" s="1"/>
  <c r="S470" i="7"/>
  <c r="AH470" i="7" s="1"/>
  <c r="S131" i="7"/>
  <c r="AH131" i="7" s="1"/>
  <c r="S384" i="7"/>
  <c r="AH384" i="7" s="1"/>
  <c r="S181" i="7"/>
  <c r="AH181" i="7" s="1"/>
  <c r="S226" i="7"/>
  <c r="AH226" i="7" s="1"/>
  <c r="S321" i="7"/>
  <c r="AH321" i="7" s="1"/>
  <c r="S451" i="7"/>
  <c r="AH451" i="7" s="1"/>
  <c r="S460" i="7"/>
  <c r="AH460" i="7" s="1"/>
  <c r="S290" i="7"/>
  <c r="AH290" i="7" s="1"/>
  <c r="S39" i="7"/>
  <c r="AH39" i="7" s="1"/>
  <c r="S554" i="7"/>
  <c r="AH554" i="7" s="1"/>
  <c r="S291" i="7"/>
  <c r="AH291" i="7" s="1"/>
  <c r="S476" i="7"/>
  <c r="AH476" i="7" s="1"/>
  <c r="T40" i="7"/>
  <c r="AI40" i="7" s="1"/>
  <c r="U521" i="7"/>
  <c r="R521" i="7"/>
  <c r="U546" i="7"/>
  <c r="R546" i="7"/>
  <c r="U186" i="7"/>
  <c r="R186" i="7"/>
  <c r="U206" i="7"/>
  <c r="R206" i="7"/>
  <c r="U443" i="7"/>
  <c r="R443" i="7"/>
  <c r="U310" i="7"/>
  <c r="R310" i="7"/>
  <c r="U189" i="7"/>
  <c r="R189" i="7"/>
  <c r="R2" i="7"/>
  <c r="R557" i="7"/>
  <c r="R263" i="7"/>
  <c r="U465" i="7"/>
  <c r="R465" i="7"/>
  <c r="S186" i="7"/>
  <c r="AH186" i="7" s="1"/>
  <c r="U86" i="7"/>
  <c r="R86" i="7"/>
  <c r="S206" i="7"/>
  <c r="AH206" i="7" s="1"/>
  <c r="U112" i="7"/>
  <c r="R112" i="7"/>
  <c r="S443" i="7"/>
  <c r="AH443" i="7" s="1"/>
  <c r="U173" i="7"/>
  <c r="R173" i="7"/>
  <c r="S310" i="7"/>
  <c r="AH310" i="7" s="1"/>
  <c r="U243" i="7"/>
  <c r="R243" i="7"/>
  <c r="S189" i="7"/>
  <c r="AH189" i="7" s="1"/>
  <c r="U580" i="7"/>
  <c r="R580" i="7"/>
  <c r="U78" i="7"/>
  <c r="R78" i="7"/>
  <c r="U524" i="7"/>
  <c r="R524" i="7"/>
  <c r="R158" i="7"/>
  <c r="R83" i="7"/>
  <c r="R591" i="7"/>
  <c r="R550" i="7"/>
  <c r="R363" i="7"/>
  <c r="U552" i="7"/>
  <c r="R552" i="7"/>
  <c r="S552" i="7"/>
  <c r="AH552" i="7" s="1"/>
  <c r="T552" i="7"/>
  <c r="AI552" i="7" s="1"/>
  <c r="U532" i="7"/>
  <c r="R532" i="7"/>
  <c r="U377" i="7"/>
  <c r="R377" i="7"/>
  <c r="U129" i="7"/>
  <c r="R129" i="7"/>
  <c r="U264" i="7"/>
  <c r="R264" i="7"/>
  <c r="U230" i="7"/>
  <c r="R230" i="7"/>
  <c r="R269" i="7"/>
  <c r="R332" i="7"/>
  <c r="T193" i="7"/>
  <c r="AI193" i="7" s="1"/>
  <c r="U193" i="7"/>
  <c r="R193" i="7"/>
  <c r="S193" i="7"/>
  <c r="AH193" i="7" s="1"/>
  <c r="R372" i="7"/>
  <c r="S521" i="7"/>
  <c r="AH521" i="7" s="1"/>
  <c r="S532" i="7"/>
  <c r="AH532" i="7" s="1"/>
  <c r="U214" i="7"/>
  <c r="R214" i="7"/>
  <c r="U311" i="7"/>
  <c r="R311" i="7"/>
  <c r="S546" i="7"/>
  <c r="AH546" i="7" s="1"/>
  <c r="U294" i="7"/>
  <c r="R294" i="7"/>
  <c r="U525" i="7"/>
  <c r="R525" i="7"/>
  <c r="R564" i="7"/>
  <c r="R12" i="7"/>
  <c r="R543" i="7"/>
  <c r="R579" i="7"/>
  <c r="R328" i="7"/>
  <c r="R218" i="7"/>
  <c r="R367" i="7"/>
  <c r="R42" i="7"/>
  <c r="R370" i="7"/>
  <c r="R107" i="7"/>
  <c r="R426" i="7"/>
  <c r="R464" i="7"/>
  <c r="R330" i="7"/>
  <c r="U239" i="7"/>
  <c r="R239" i="7"/>
  <c r="S465" i="7"/>
  <c r="AH465" i="7" s="1"/>
  <c r="U130" i="7"/>
  <c r="R130" i="7"/>
  <c r="S214" i="7"/>
  <c r="AH214" i="7" s="1"/>
  <c r="U428" i="7"/>
  <c r="R428" i="7"/>
  <c r="S311" i="7"/>
  <c r="AH311" i="7" s="1"/>
  <c r="U454" i="7"/>
  <c r="R454" i="7"/>
  <c r="S294" i="7"/>
  <c r="AH294" i="7" s="1"/>
  <c r="U128" i="7"/>
  <c r="R128" i="7"/>
  <c r="S525" i="7"/>
  <c r="AH525" i="7" s="1"/>
  <c r="U7" i="7"/>
  <c r="R7" i="7"/>
  <c r="S86" i="7"/>
  <c r="AH86" i="7" s="1"/>
  <c r="U108" i="7"/>
  <c r="R108" i="7"/>
  <c r="S112" i="7"/>
  <c r="AH112" i="7" s="1"/>
  <c r="U480" i="7"/>
  <c r="R480" i="7"/>
  <c r="S173" i="7"/>
  <c r="AH173" i="7" s="1"/>
  <c r="U584" i="7"/>
  <c r="R584" i="7"/>
  <c r="S243" i="7"/>
  <c r="AH243" i="7" s="1"/>
  <c r="U518" i="7"/>
  <c r="R518" i="7"/>
  <c r="S580" i="7"/>
  <c r="AH580" i="7" s="1"/>
  <c r="U573" i="7"/>
  <c r="R573" i="7"/>
  <c r="S78" i="7"/>
  <c r="AH78" i="7" s="1"/>
  <c r="U341" i="7"/>
  <c r="R341" i="7"/>
  <c r="S524" i="7"/>
  <c r="AH524" i="7" s="1"/>
  <c r="R544" i="7"/>
  <c r="U98" i="7"/>
  <c r="R98" i="7"/>
  <c r="S98" i="7"/>
  <c r="AH98" i="7" s="1"/>
  <c r="T98" i="7"/>
  <c r="AI98" i="7" s="1"/>
  <c r="R64" i="7"/>
  <c r="R227" i="7"/>
  <c r="T263" i="7"/>
  <c r="AI263" i="7" s="1"/>
  <c r="U569" i="7"/>
  <c r="R569" i="7"/>
  <c r="U85" i="7"/>
  <c r="R85" i="7"/>
  <c r="U211" i="7"/>
  <c r="R211" i="7"/>
  <c r="U114" i="7"/>
  <c r="R114" i="7"/>
  <c r="U216" i="7"/>
  <c r="R216" i="7"/>
  <c r="U234" i="7"/>
  <c r="R234" i="7"/>
  <c r="U19" i="7"/>
  <c r="R19" i="7"/>
  <c r="U343" i="7"/>
  <c r="R343" i="7"/>
  <c r="U38" i="7"/>
  <c r="R38" i="7"/>
  <c r="U59" i="7"/>
  <c r="R59" i="7"/>
  <c r="U33" i="7"/>
  <c r="R33" i="7"/>
  <c r="U153" i="7"/>
  <c r="R153" i="7"/>
  <c r="R244" i="7"/>
  <c r="R486" i="7"/>
  <c r="U594" i="7"/>
  <c r="R594" i="7"/>
  <c r="S594" i="7"/>
  <c r="AH594" i="7" s="1"/>
  <c r="T594" i="7"/>
  <c r="AI594" i="7" s="1"/>
  <c r="U81" i="7"/>
  <c r="U373" i="7"/>
  <c r="R373" i="7"/>
  <c r="S373" i="7"/>
  <c r="AH373" i="7" s="1"/>
  <c r="U558" i="7"/>
  <c r="R558" i="7"/>
  <c r="S558" i="7"/>
  <c r="AH558" i="7" s="1"/>
  <c r="U170" i="7"/>
  <c r="R170" i="7"/>
  <c r="S170" i="7"/>
  <c r="AH170" i="7" s="1"/>
  <c r="U277" i="7"/>
  <c r="R277" i="7"/>
  <c r="S277" i="7"/>
  <c r="AH277" i="7" s="1"/>
  <c r="U162" i="7"/>
  <c r="R162" i="7"/>
  <c r="S162" i="7"/>
  <c r="AH162" i="7" s="1"/>
  <c r="U497" i="7"/>
  <c r="R106" i="7"/>
  <c r="R117" i="7"/>
  <c r="R563" i="7"/>
  <c r="R437" i="7"/>
  <c r="R28" i="7"/>
  <c r="R122" i="7"/>
  <c r="R339" i="7"/>
  <c r="R582" i="7"/>
  <c r="R352" i="7"/>
  <c r="R313" i="7"/>
  <c r="R201" i="7"/>
  <c r="R105" i="7"/>
  <c r="R253" i="7"/>
  <c r="R115" i="7"/>
  <c r="R179" i="7"/>
  <c r="R514" i="7"/>
  <c r="R231" i="7"/>
  <c r="R202" i="7"/>
  <c r="R519" i="7"/>
  <c r="R207" i="7"/>
  <c r="R252" i="7"/>
  <c r="R20" i="7"/>
  <c r="R119" i="7"/>
  <c r="R445" i="7"/>
  <c r="R549" i="7"/>
  <c r="R402" i="7"/>
  <c r="R224" i="7"/>
  <c r="R299" i="7"/>
  <c r="R314" i="7"/>
  <c r="R498" i="7"/>
  <c r="R491" i="7"/>
  <c r="R438" i="7"/>
  <c r="R430" i="7"/>
  <c r="R320" i="7"/>
  <c r="R413" i="7"/>
  <c r="R571" i="7"/>
  <c r="R583" i="7"/>
  <c r="R473" i="7"/>
  <c r="R595" i="7"/>
  <c r="R136" i="7"/>
  <c r="R140" i="7"/>
  <c r="R35" i="7"/>
  <c r="R270" i="7"/>
  <c r="R121" i="7"/>
  <c r="R593" i="7"/>
  <c r="R522" i="7"/>
  <c r="R16" i="7"/>
  <c r="R45" i="7"/>
  <c r="R261" i="7"/>
  <c r="R152" i="7"/>
  <c r="R267" i="7"/>
  <c r="R386" i="7"/>
  <c r="R323" i="7"/>
  <c r="R376" i="7"/>
  <c r="R94" i="7"/>
  <c r="R575" i="7"/>
  <c r="R404" i="7"/>
  <c r="R419" i="7"/>
  <c r="R104" i="7"/>
  <c r="R102" i="7"/>
  <c r="R461" i="7"/>
  <c r="R440" i="7"/>
  <c r="R242" i="7"/>
  <c r="R145" i="7"/>
  <c r="R553" i="7"/>
  <c r="R287" i="7"/>
  <c r="R528" i="7"/>
  <c r="R586" i="7"/>
  <c r="R590" i="7"/>
  <c r="R273" i="7"/>
  <c r="R282" i="7"/>
  <c r="R581" i="7"/>
  <c r="R547" i="7"/>
  <c r="R199" i="7"/>
  <c r="R95" i="7"/>
  <c r="R331" i="7"/>
  <c r="R34" i="7"/>
  <c r="R293" i="7"/>
  <c r="R276" i="7"/>
  <c r="R433" i="7"/>
  <c r="R84" i="7"/>
  <c r="R120" i="7"/>
  <c r="R596" i="7"/>
  <c r="R137" i="7"/>
  <c r="R176" i="7"/>
  <c r="R381" i="7"/>
  <c r="R10" i="7"/>
  <c r="R399" i="7"/>
  <c r="R232" i="7"/>
  <c r="R368" i="7"/>
  <c r="R62" i="7"/>
  <c r="R219" i="7"/>
  <c r="R134" i="7"/>
  <c r="R209" i="7"/>
  <c r="R302" i="7"/>
  <c r="T373" i="7"/>
  <c r="AI373" i="7" s="1"/>
  <c r="T558" i="7"/>
  <c r="AI558" i="7" s="1"/>
  <c r="T170" i="7"/>
  <c r="AI170" i="7" s="1"/>
  <c r="T277" i="7"/>
  <c r="AI277" i="7" s="1"/>
  <c r="U531" i="7"/>
  <c r="R531" i="7"/>
  <c r="S531" i="7"/>
  <c r="AH531" i="7" s="1"/>
  <c r="U9" i="7"/>
  <c r="R9" i="7"/>
  <c r="S9" i="7"/>
  <c r="AH9" i="7" s="1"/>
  <c r="T162" i="7"/>
  <c r="AI162" i="7" s="1"/>
  <c r="T542" i="7"/>
  <c r="AI542" i="7" s="1"/>
  <c r="R542" i="7"/>
  <c r="S542" i="7"/>
  <c r="AH542" i="7" s="1"/>
  <c r="U542" i="7"/>
  <c r="U29" i="7"/>
  <c r="U43" i="7"/>
  <c r="R43" i="7"/>
  <c r="U530" i="7"/>
  <c r="R530" i="7"/>
  <c r="U245" i="7"/>
  <c r="R245" i="7"/>
  <c r="U307" i="7"/>
  <c r="R307" i="7"/>
  <c r="U432" i="7"/>
  <c r="R432" i="7"/>
  <c r="U217" i="7"/>
  <c r="R217" i="7"/>
  <c r="U312" i="7"/>
  <c r="R312" i="7"/>
  <c r="U167" i="7"/>
  <c r="R167" i="7"/>
  <c r="U508" i="7"/>
  <c r="R508" i="7"/>
  <c r="U272" i="7"/>
  <c r="R272" i="7"/>
  <c r="T250" i="7"/>
  <c r="AI250" i="7" s="1"/>
  <c r="R250" i="7"/>
  <c r="S250" i="7"/>
  <c r="AH250" i="7" s="1"/>
  <c r="T142" i="7"/>
  <c r="AI142" i="7" s="1"/>
  <c r="R142" i="7"/>
  <c r="S142" i="7"/>
  <c r="AH142" i="7" s="1"/>
  <c r="T21" i="7"/>
  <c r="AI21" i="7" s="1"/>
  <c r="R21" i="7"/>
  <c r="S21" i="7"/>
  <c r="AH21" i="7" s="1"/>
  <c r="T536" i="7"/>
  <c r="AI536" i="7" s="1"/>
  <c r="R536" i="7"/>
  <c r="S536" i="7"/>
  <c r="AH536" i="7" s="1"/>
  <c r="U63" i="7"/>
  <c r="T588" i="7"/>
  <c r="AI588" i="7" s="1"/>
  <c r="R588" i="7"/>
  <c r="S588" i="7"/>
  <c r="AH588" i="7" s="1"/>
  <c r="T164" i="7"/>
  <c r="AI164" i="7" s="1"/>
  <c r="R164" i="7"/>
  <c r="S164" i="7"/>
  <c r="AH164" i="7" s="1"/>
  <c r="R24" i="7"/>
  <c r="R81" i="7"/>
  <c r="S43" i="7"/>
  <c r="AH43" i="7" s="1"/>
  <c r="U506" i="7"/>
  <c r="R506" i="7"/>
  <c r="S530" i="7"/>
  <c r="AH530" i="7" s="1"/>
  <c r="U361" i="7"/>
  <c r="R361" i="7"/>
  <c r="S245" i="7"/>
  <c r="AH245" i="7" s="1"/>
  <c r="U99" i="7"/>
  <c r="R99" i="7"/>
  <c r="S307" i="7"/>
  <c r="AH307" i="7" s="1"/>
  <c r="U52" i="7"/>
  <c r="R52" i="7"/>
  <c r="S432" i="7"/>
  <c r="AH432" i="7" s="1"/>
  <c r="U526" i="7"/>
  <c r="R526" i="7"/>
  <c r="S217" i="7"/>
  <c r="AH217" i="7" s="1"/>
  <c r="U512" i="7"/>
  <c r="R512" i="7"/>
  <c r="S312" i="7"/>
  <c r="AH312" i="7" s="1"/>
  <c r="U53" i="7"/>
  <c r="R53" i="7"/>
  <c r="S167" i="7"/>
  <c r="AH167" i="7" s="1"/>
  <c r="U195" i="7"/>
  <c r="R195" i="7"/>
  <c r="S508" i="7"/>
  <c r="AH508" i="7" s="1"/>
  <c r="U484" i="7"/>
  <c r="R484" i="7"/>
  <c r="S272" i="7"/>
  <c r="AH272" i="7" s="1"/>
  <c r="U109" i="7"/>
  <c r="R109" i="7"/>
  <c r="U250" i="7"/>
  <c r="U142" i="7"/>
  <c r="U21" i="7"/>
  <c r="U536" i="7"/>
  <c r="U541" i="7"/>
  <c r="U588" i="7"/>
  <c r="U405" i="7"/>
  <c r="U164" i="7"/>
  <c r="T362" i="7"/>
  <c r="AI362" i="7" s="1"/>
  <c r="U362" i="7"/>
  <c r="R362" i="7"/>
  <c r="S362" i="7"/>
  <c r="AH362" i="7" s="1"/>
  <c r="R79" i="7"/>
  <c r="U223" i="7"/>
  <c r="R223" i="7"/>
  <c r="U73" i="7"/>
  <c r="R73" i="7"/>
  <c r="U449" i="7"/>
  <c r="R449" i="7"/>
  <c r="U116" i="7"/>
  <c r="R116" i="7"/>
  <c r="U156" i="7"/>
  <c r="R156" i="7"/>
  <c r="U534" i="7"/>
  <c r="R534" i="7"/>
  <c r="U371" i="7"/>
  <c r="R371" i="7"/>
  <c r="U350" i="7"/>
  <c r="R350" i="7"/>
  <c r="U281" i="7"/>
  <c r="R281" i="7"/>
  <c r="U509" i="7"/>
  <c r="R509" i="7"/>
  <c r="U284" i="7"/>
  <c r="R284" i="7"/>
  <c r="T68" i="7"/>
  <c r="AI68" i="7" s="1"/>
  <c r="R68" i="7"/>
  <c r="S68" i="7"/>
  <c r="AH68" i="7" s="1"/>
  <c r="T566" i="7"/>
  <c r="AI566" i="7" s="1"/>
  <c r="R566" i="7"/>
  <c r="S566" i="7"/>
  <c r="AH566" i="7" s="1"/>
  <c r="T265" i="7"/>
  <c r="AI265" i="7" s="1"/>
  <c r="R265" i="7"/>
  <c r="S265" i="7"/>
  <c r="AH265" i="7" s="1"/>
  <c r="R417" i="7"/>
  <c r="R442" i="7"/>
  <c r="R41" i="7"/>
  <c r="R118" i="7"/>
  <c r="T178" i="7"/>
  <c r="AI178" i="7" s="1"/>
  <c r="R178" i="7"/>
  <c r="T257" i="7"/>
  <c r="AI257" i="7" s="1"/>
  <c r="R257" i="7"/>
  <c r="T93" i="7"/>
  <c r="AI93" i="7" s="1"/>
  <c r="R93" i="7"/>
  <c r="T30" i="7"/>
  <c r="AI30" i="7" s="1"/>
  <c r="R30" i="7"/>
  <c r="T51" i="7"/>
  <c r="AI51" i="7" s="1"/>
  <c r="R51" i="7"/>
  <c r="T103" i="7"/>
  <c r="AI103" i="7" s="1"/>
  <c r="R103" i="7"/>
  <c r="T393" i="7"/>
  <c r="AI393" i="7" s="1"/>
  <c r="R393" i="7"/>
  <c r="T208" i="7"/>
  <c r="AI208" i="7" s="1"/>
  <c r="R208" i="7"/>
  <c r="T501" i="7"/>
  <c r="AI501" i="7" s="1"/>
  <c r="R501" i="7"/>
  <c r="T408" i="7"/>
  <c r="AI408" i="7" s="1"/>
  <c r="R408" i="7"/>
  <c r="T5" i="7"/>
  <c r="AI5" i="7" s="1"/>
  <c r="U5" i="7"/>
  <c r="R5" i="7"/>
  <c r="T6" i="7"/>
  <c r="AI6" i="7" s="1"/>
  <c r="U6" i="7"/>
  <c r="R6" i="7"/>
  <c r="T23" i="7"/>
  <c r="AI23" i="7" s="1"/>
  <c r="U23" i="7"/>
  <c r="R23" i="7"/>
  <c r="T565" i="7"/>
  <c r="AI565" i="7" s="1"/>
  <c r="U565" i="7"/>
  <c r="R565" i="7"/>
  <c r="T507" i="7"/>
  <c r="AI507" i="7" s="1"/>
  <c r="U507" i="7"/>
  <c r="R507" i="7"/>
  <c r="T67" i="7"/>
  <c r="AI67" i="7" s="1"/>
  <c r="U67" i="7"/>
  <c r="R67" i="7"/>
  <c r="T422" i="7"/>
  <c r="AI422" i="7" s="1"/>
  <c r="U422" i="7"/>
  <c r="R422" i="7"/>
  <c r="T455" i="7"/>
  <c r="AI455" i="7" s="1"/>
  <c r="U455" i="7"/>
  <c r="R455" i="7"/>
  <c r="T82" i="7"/>
  <c r="AI82" i="7" s="1"/>
  <c r="U82" i="7"/>
  <c r="R82" i="7"/>
  <c r="R144" i="7"/>
  <c r="R492" i="7"/>
  <c r="R510" i="7"/>
  <c r="R183" i="7"/>
  <c r="R500" i="7"/>
  <c r="R190" i="7"/>
  <c r="R485" i="7"/>
  <c r="R32" i="7"/>
  <c r="R220" i="7"/>
  <c r="R490" i="7"/>
  <c r="R517" i="7"/>
  <c r="R155" i="7"/>
  <c r="R240" i="7"/>
  <c r="U161" i="7"/>
  <c r="S417" i="7"/>
  <c r="AH417" i="7" s="1"/>
  <c r="U420" i="7"/>
  <c r="S442" i="7"/>
  <c r="AH442" i="7" s="1"/>
  <c r="U147" i="7"/>
  <c r="S41" i="7"/>
  <c r="AH41" i="7" s="1"/>
  <c r="U76" i="7"/>
  <c r="S118" i="7"/>
  <c r="AH118" i="7" s="1"/>
  <c r="U249" i="7"/>
  <c r="S463" i="7"/>
  <c r="AH463" i="7" s="1"/>
  <c r="U275" i="7"/>
  <c r="S421" i="7"/>
  <c r="AH421" i="7" s="1"/>
  <c r="U185" i="7"/>
  <c r="S379" i="7"/>
  <c r="AH379" i="7" s="1"/>
  <c r="U72" i="7"/>
  <c r="S200" i="7"/>
  <c r="AH200" i="7" s="1"/>
  <c r="U409" i="7"/>
  <c r="S448" i="7"/>
  <c r="AH448" i="7" s="1"/>
  <c r="U44" i="7"/>
  <c r="S334" i="7"/>
  <c r="AH334" i="7" s="1"/>
  <c r="U8" i="7"/>
  <c r="S401" i="7"/>
  <c r="AH401" i="7" s="1"/>
  <c r="U589" i="7"/>
  <c r="S258" i="7"/>
  <c r="AH258" i="7" s="1"/>
  <c r="U424" i="7"/>
  <c r="S456" i="7"/>
  <c r="AH456" i="7" s="1"/>
  <c r="U135" i="7"/>
  <c r="S288" i="7"/>
  <c r="AH288" i="7" s="1"/>
  <c r="U353" i="7"/>
  <c r="S418" i="7"/>
  <c r="AH418" i="7" s="1"/>
  <c r="U516" i="7"/>
  <c r="S178" i="7"/>
  <c r="AH178" i="7" s="1"/>
  <c r="T141" i="7"/>
  <c r="AI141" i="7" s="1"/>
  <c r="R141" i="7"/>
  <c r="S257" i="7"/>
  <c r="AH257" i="7" s="1"/>
  <c r="T495" i="7"/>
  <c r="AI495" i="7" s="1"/>
  <c r="R495" i="7"/>
  <c r="S93" i="7"/>
  <c r="AH93" i="7" s="1"/>
  <c r="T462" i="7"/>
  <c r="AI462" i="7" s="1"/>
  <c r="R462" i="7"/>
  <c r="S30" i="7"/>
  <c r="AH30" i="7" s="1"/>
  <c r="T541" i="7"/>
  <c r="AI541" i="7" s="1"/>
  <c r="R541" i="7"/>
  <c r="S51" i="7"/>
  <c r="AH51" i="7" s="1"/>
  <c r="T63" i="7"/>
  <c r="AI63" i="7" s="1"/>
  <c r="R63" i="7"/>
  <c r="S103" i="7"/>
  <c r="AH103" i="7" s="1"/>
  <c r="T29" i="7"/>
  <c r="AI29" i="7" s="1"/>
  <c r="R29" i="7"/>
  <c r="S393" i="7"/>
  <c r="AH393" i="7" s="1"/>
  <c r="T405" i="7"/>
  <c r="AI405" i="7" s="1"/>
  <c r="R405" i="7"/>
  <c r="S208" i="7"/>
  <c r="AH208" i="7" s="1"/>
  <c r="T389" i="7"/>
  <c r="AI389" i="7" s="1"/>
  <c r="R389" i="7"/>
  <c r="S501" i="7"/>
  <c r="AH501" i="7" s="1"/>
  <c r="T497" i="7"/>
  <c r="AI497" i="7" s="1"/>
  <c r="R497" i="7"/>
  <c r="S408" i="7"/>
  <c r="AH408" i="7" s="1"/>
  <c r="S5" i="7"/>
  <c r="AH5" i="7" s="1"/>
  <c r="S6" i="7"/>
  <c r="AH6" i="7" s="1"/>
  <c r="S23" i="7"/>
  <c r="AH23" i="7" s="1"/>
  <c r="S565" i="7"/>
  <c r="AH565" i="7" s="1"/>
  <c r="S507" i="7"/>
  <c r="AH507" i="7" s="1"/>
  <c r="S67" i="7"/>
  <c r="AH67" i="7" s="1"/>
  <c r="S422" i="7"/>
  <c r="AH422" i="7" s="1"/>
  <c r="T471" i="7"/>
  <c r="AI471" i="7" s="1"/>
  <c r="U471" i="7"/>
  <c r="R471" i="7"/>
  <c r="S455" i="7"/>
  <c r="AH455" i="7" s="1"/>
  <c r="T537" i="7"/>
  <c r="AI537" i="7" s="1"/>
  <c r="U537" i="7"/>
  <c r="R537" i="7"/>
  <c r="S82" i="7"/>
  <c r="AH82" i="7" s="1"/>
  <c r="T551" i="7"/>
  <c r="AI551" i="7" s="1"/>
  <c r="R551" i="7"/>
  <c r="T26" i="7"/>
  <c r="AI26" i="7" s="1"/>
  <c r="R26" i="7"/>
  <c r="T333" i="7"/>
  <c r="AI333" i="7" s="1"/>
  <c r="R333" i="7"/>
  <c r="T285" i="7"/>
  <c r="AI285" i="7" s="1"/>
  <c r="R285" i="7"/>
  <c r="T159" i="7"/>
  <c r="AI159" i="7" s="1"/>
  <c r="R159" i="7"/>
  <c r="T427" i="7"/>
  <c r="AI427" i="7" s="1"/>
  <c r="R427" i="7"/>
  <c r="T467" i="7"/>
  <c r="AI467" i="7" s="1"/>
  <c r="R467" i="7"/>
  <c r="T49" i="7"/>
  <c r="AI49" i="7" s="1"/>
  <c r="R49" i="7"/>
  <c r="T301" i="7"/>
  <c r="AI301" i="7" s="1"/>
  <c r="R301" i="7"/>
  <c r="T385" i="7"/>
  <c r="AI385" i="7" s="1"/>
  <c r="U385" i="7"/>
  <c r="R385" i="7"/>
  <c r="T256" i="7"/>
  <c r="AI256" i="7" s="1"/>
  <c r="U256" i="7"/>
  <c r="R256" i="7"/>
  <c r="R338" i="7"/>
  <c r="R180" i="7"/>
  <c r="R324" i="7"/>
  <c r="R315" i="7"/>
  <c r="R410" i="7"/>
  <c r="R90" i="7"/>
  <c r="R163" i="7"/>
  <c r="R435" i="7"/>
  <c r="R327" i="7"/>
  <c r="R452" i="7"/>
  <c r="R184" i="7"/>
  <c r="R329" i="7"/>
  <c r="R57" i="7"/>
  <c r="R174" i="7"/>
  <c r="R570" i="7"/>
  <c r="R347" i="7"/>
  <c r="R289" i="7"/>
  <c r="R101" i="7"/>
  <c r="R266" i="7"/>
  <c r="R36" i="7"/>
  <c r="R523" i="7"/>
  <c r="R374" i="7"/>
  <c r="R89" i="7"/>
  <c r="R394" i="7"/>
  <c r="R562" i="7"/>
  <c r="R317" i="7"/>
  <c r="R229" i="7"/>
  <c r="R235" i="7"/>
  <c r="R395" i="7"/>
  <c r="R470" i="7"/>
  <c r="R131" i="7"/>
  <c r="R384" i="7"/>
  <c r="R181" i="7"/>
  <c r="R226" i="7"/>
  <c r="R321" i="7"/>
  <c r="R451" i="7"/>
  <c r="R460" i="7"/>
  <c r="R290" i="7"/>
  <c r="R39" i="7"/>
  <c r="R554" i="7"/>
  <c r="R291" i="7"/>
  <c r="R476" i="7"/>
  <c r="R40" i="7"/>
  <c r="U31" i="7"/>
  <c r="U212" i="7"/>
  <c r="U262" i="7"/>
  <c r="U369" i="7"/>
  <c r="U61" i="7"/>
  <c r="U540" i="7"/>
  <c r="U391" i="7"/>
  <c r="U469" i="7"/>
  <c r="U279" i="7"/>
  <c r="U18" i="7"/>
  <c r="U337" i="7"/>
  <c r="U132" i="7"/>
  <c r="U406" i="7"/>
  <c r="U446" i="7"/>
  <c r="U325" i="7"/>
  <c r="U488" i="7"/>
  <c r="U69" i="7"/>
  <c r="U504" i="7"/>
  <c r="U213" i="7"/>
  <c r="U556" i="7"/>
  <c r="U198" i="7"/>
  <c r="U425" i="7"/>
  <c r="U348" i="7"/>
  <c r="U74" i="7"/>
  <c r="U354" i="7"/>
  <c r="U22" i="7"/>
  <c r="U27" i="7"/>
  <c r="U37" i="7"/>
  <c r="U196" i="7"/>
  <c r="U80" i="7"/>
  <c r="U415" i="7"/>
  <c r="U411" i="7"/>
  <c r="U210" i="7"/>
  <c r="U182" i="7"/>
  <c r="U15" i="7"/>
  <c r="U475" i="7"/>
  <c r="U493" i="7"/>
  <c r="U441" i="7"/>
  <c r="U502" i="7"/>
  <c r="U344" i="7"/>
  <c r="U318" i="7"/>
  <c r="U169" i="7"/>
  <c r="U338" i="7"/>
  <c r="U180" i="7"/>
  <c r="U324" i="7"/>
  <c r="U315" i="7"/>
  <c r="U410" i="7"/>
  <c r="U90" i="7"/>
  <c r="U163" i="7"/>
  <c r="U435" i="7"/>
  <c r="U327" i="7"/>
  <c r="U452" i="7"/>
  <c r="U184" i="7"/>
  <c r="U329" i="7"/>
  <c r="U57" i="7"/>
  <c r="U174" i="7"/>
  <c r="U570" i="7"/>
  <c r="U347" i="7"/>
  <c r="U289" i="7"/>
  <c r="U101" i="7"/>
  <c r="U266" i="7"/>
  <c r="U36" i="7"/>
  <c r="U523" i="7"/>
  <c r="U374" i="7"/>
  <c r="U89" i="7"/>
  <c r="U394" i="7"/>
  <c r="U562" i="7"/>
  <c r="U317" i="7"/>
  <c r="U229" i="7"/>
  <c r="U235" i="7"/>
  <c r="U395" i="7"/>
  <c r="U470" i="7"/>
  <c r="U131" i="7"/>
  <c r="U384" i="7"/>
  <c r="U181" i="7"/>
  <c r="U226" i="7"/>
  <c r="U321" i="7"/>
  <c r="U451" i="7"/>
  <c r="U460" i="7"/>
  <c r="U290" i="7"/>
  <c r="U39" i="7"/>
  <c r="U554" i="7"/>
  <c r="U291" i="7"/>
  <c r="U476" i="7"/>
  <c r="U40" i="7"/>
  <c r="J21" i="20" l="1"/>
  <c r="X2" i="20"/>
  <c r="X18" i="20"/>
  <c r="W14" i="20"/>
  <c r="X6" i="20"/>
  <c r="W2" i="20"/>
  <c r="W18" i="20"/>
  <c r="X7" i="20"/>
  <c r="W3" i="20"/>
  <c r="W19" i="20"/>
  <c r="X4" i="20"/>
  <c r="H20" i="20"/>
  <c r="AX591" i="25" s="1"/>
  <c r="X20" i="20"/>
  <c r="W16" i="20"/>
  <c r="H13" i="20"/>
  <c r="X13" i="20"/>
  <c r="G9" i="20"/>
  <c r="W9" i="20"/>
  <c r="H8" i="20"/>
  <c r="X8" i="20"/>
  <c r="W4" i="20"/>
  <c r="G20" i="20"/>
  <c r="W20" i="20"/>
  <c r="X17" i="20"/>
  <c r="W13" i="20"/>
  <c r="W6" i="20"/>
  <c r="H11" i="20"/>
  <c r="AX294" i="25" s="1"/>
  <c r="AY294" i="25" s="1"/>
  <c r="X11" i="20"/>
  <c r="G7" i="20"/>
  <c r="W7" i="20"/>
  <c r="X14" i="20"/>
  <c r="W10" i="20"/>
  <c r="J3" i="20"/>
  <c r="X15" i="20"/>
  <c r="W11" i="20"/>
  <c r="X12" i="20"/>
  <c r="G8" i="20"/>
  <c r="W8" i="20"/>
  <c r="X5" i="20"/>
  <c r="X21" i="20"/>
  <c r="W17" i="20"/>
  <c r="X3" i="20"/>
  <c r="X19" i="20"/>
  <c r="W15" i="20"/>
  <c r="X16" i="20"/>
  <c r="W12" i="20"/>
  <c r="X9" i="20"/>
  <c r="W5" i="20"/>
  <c r="W21" i="20"/>
  <c r="AC301" i="25"/>
  <c r="R258" i="25"/>
  <c r="R438" i="25"/>
  <c r="R458" i="25"/>
  <c r="AC157" i="25"/>
  <c r="AH157" i="25" s="1"/>
  <c r="AC221" i="25"/>
  <c r="R514" i="25"/>
  <c r="R355" i="25"/>
  <c r="R368" i="25"/>
  <c r="Y551" i="25"/>
  <c r="AS141" i="25"/>
  <c r="R582" i="25"/>
  <c r="R393" i="25"/>
  <c r="AS184" i="25"/>
  <c r="R25" i="25"/>
  <c r="Z35" i="25"/>
  <c r="R424" i="25"/>
  <c r="R490" i="25"/>
  <c r="R304" i="25"/>
  <c r="Q160" i="25"/>
  <c r="R308" i="25"/>
  <c r="Q324" i="25"/>
  <c r="Q332" i="25"/>
  <c r="R397" i="25"/>
  <c r="Q320" i="25"/>
  <c r="Q240" i="25"/>
  <c r="Q195" i="25"/>
  <c r="Q174" i="25"/>
  <c r="Q469" i="25"/>
  <c r="Q5" i="25"/>
  <c r="Q29" i="25"/>
  <c r="Q562" i="25"/>
  <c r="Q289" i="25"/>
  <c r="Q327" i="25"/>
  <c r="Q262" i="25"/>
  <c r="Q100" i="25"/>
  <c r="Q225" i="25"/>
  <c r="Q283" i="25"/>
  <c r="Q88" i="25"/>
  <c r="Q539" i="25"/>
  <c r="Q506" i="25"/>
  <c r="Q479" i="25"/>
  <c r="Q229" i="25"/>
  <c r="Q493" i="25"/>
  <c r="Q198" i="25"/>
  <c r="Q79" i="25"/>
  <c r="Q591" i="25"/>
  <c r="Q227" i="25"/>
  <c r="Q230" i="25"/>
  <c r="R546" i="25"/>
  <c r="AC29" i="25"/>
  <c r="AH29" i="25" s="1"/>
  <c r="AC349" i="25"/>
  <c r="AH349" i="25" s="1"/>
  <c r="AC413" i="25"/>
  <c r="N34" i="25"/>
  <c r="N42" i="25"/>
  <c r="N50" i="25"/>
  <c r="N90" i="25"/>
  <c r="N98" i="25"/>
  <c r="N106" i="25"/>
  <c r="N130" i="25"/>
  <c r="M174" i="25"/>
  <c r="M198" i="25"/>
  <c r="M262" i="25"/>
  <c r="M270" i="25"/>
  <c r="M310" i="25"/>
  <c r="M326" i="25"/>
  <c r="M334" i="25"/>
  <c r="M350" i="25"/>
  <c r="M358" i="25"/>
  <c r="M374" i="25"/>
  <c r="M406" i="25"/>
  <c r="M414" i="25"/>
  <c r="M430" i="25"/>
  <c r="M470" i="25"/>
  <c r="M510" i="25"/>
  <c r="M526" i="25"/>
  <c r="M558" i="25"/>
  <c r="M590" i="25"/>
  <c r="U3" i="25"/>
  <c r="AC107" i="25"/>
  <c r="AH107" i="25" s="1"/>
  <c r="AC235" i="25"/>
  <c r="AH235" i="25" s="1"/>
  <c r="AC371" i="25"/>
  <c r="AH371" i="25" s="1"/>
  <c r="AC419" i="25"/>
  <c r="AH419" i="25" s="1"/>
  <c r="AC471" i="25"/>
  <c r="AC487" i="25"/>
  <c r="AH487" i="25" s="1"/>
  <c r="AC49" i="25"/>
  <c r="AC113" i="25"/>
  <c r="AH113" i="25" s="1"/>
  <c r="AC177" i="25"/>
  <c r="AC241" i="25"/>
  <c r="AH241" i="25" s="1"/>
  <c r="AC433" i="25"/>
  <c r="N19" i="25"/>
  <c r="N51" i="25"/>
  <c r="N99" i="25"/>
  <c r="M199" i="25"/>
  <c r="M223" i="25"/>
  <c r="M287" i="25"/>
  <c r="M327" i="25"/>
  <c r="M335" i="25"/>
  <c r="M415" i="25"/>
  <c r="M471" i="25"/>
  <c r="M519" i="25"/>
  <c r="AC5" i="25"/>
  <c r="AC69" i="25"/>
  <c r="AC133" i="25"/>
  <c r="AH133" i="25" s="1"/>
  <c r="AC213" i="25"/>
  <c r="AH213" i="25" s="1"/>
  <c r="AC405" i="25"/>
  <c r="AC485" i="25"/>
  <c r="M104" i="25"/>
  <c r="M120" i="25"/>
  <c r="N128" i="25"/>
  <c r="M144" i="25"/>
  <c r="N160" i="25"/>
  <c r="M196" i="25"/>
  <c r="N236" i="25"/>
  <c r="N244" i="25"/>
  <c r="N252" i="25"/>
  <c r="N292" i="25"/>
  <c r="M304" i="25"/>
  <c r="M320" i="25"/>
  <c r="M336" i="25"/>
  <c r="N344" i="25"/>
  <c r="M376" i="25"/>
  <c r="M408" i="25"/>
  <c r="N416" i="25"/>
  <c r="N500" i="25"/>
  <c r="N584" i="25"/>
  <c r="AC527" i="25"/>
  <c r="N97" i="25"/>
  <c r="M193" i="25"/>
  <c r="N209" i="25"/>
  <c r="N225" i="25"/>
  <c r="M253" i="25"/>
  <c r="M269" i="25"/>
  <c r="N289" i="25"/>
  <c r="N297" i="25"/>
  <c r="N313" i="25"/>
  <c r="N321" i="25"/>
  <c r="N385" i="25"/>
  <c r="M429" i="25"/>
  <c r="M469" i="25"/>
  <c r="M493" i="25"/>
  <c r="N509" i="25"/>
  <c r="N541" i="25"/>
  <c r="N573" i="25"/>
  <c r="N424" i="25"/>
  <c r="P2" i="25"/>
  <c r="P6" i="25"/>
  <c r="G42" i="25"/>
  <c r="O98" i="25"/>
  <c r="O106" i="25"/>
  <c r="P118" i="25"/>
  <c r="Q130" i="25"/>
  <c r="G162" i="25"/>
  <c r="R186" i="25"/>
  <c r="P202" i="25"/>
  <c r="O250" i="25"/>
  <c r="P290" i="25"/>
  <c r="R302" i="25"/>
  <c r="O322" i="25"/>
  <c r="Q334" i="25"/>
  <c r="R338" i="25"/>
  <c r="O350" i="25"/>
  <c r="R358" i="25"/>
  <c r="R370" i="25"/>
  <c r="R382" i="25"/>
  <c r="R406" i="25"/>
  <c r="G414" i="25"/>
  <c r="O414" i="25"/>
  <c r="P426" i="25"/>
  <c r="R446" i="25"/>
  <c r="Q490" i="25"/>
  <c r="O506" i="25"/>
  <c r="G526" i="25"/>
  <c r="O526" i="25"/>
  <c r="P546" i="25"/>
  <c r="O562" i="25"/>
  <c r="R590" i="25"/>
  <c r="Q19" i="25"/>
  <c r="P51" i="25"/>
  <c r="Q71" i="25"/>
  <c r="Q147" i="25"/>
  <c r="R199" i="25"/>
  <c r="R203" i="25"/>
  <c r="Q223" i="25"/>
  <c r="P267" i="25"/>
  <c r="P287" i="25"/>
  <c r="R319" i="25"/>
  <c r="R339" i="25"/>
  <c r="R351" i="25"/>
  <c r="R375" i="25"/>
  <c r="P379" i="25"/>
  <c r="R391" i="25"/>
  <c r="O415" i="25"/>
  <c r="R443" i="25"/>
  <c r="P451" i="25"/>
  <c r="R507" i="25"/>
  <c r="G519" i="25"/>
  <c r="O519" i="25"/>
  <c r="R583" i="25"/>
  <c r="P40" i="25"/>
  <c r="P48" i="25"/>
  <c r="R104" i="25"/>
  <c r="P108" i="25"/>
  <c r="P120" i="25"/>
  <c r="Q196" i="25"/>
  <c r="O208" i="25"/>
  <c r="P240" i="25"/>
  <c r="R260" i="25"/>
  <c r="O356" i="25"/>
  <c r="R376" i="25"/>
  <c r="O408" i="25"/>
  <c r="R432" i="25"/>
  <c r="O456" i="25"/>
  <c r="R468" i="25"/>
  <c r="R508" i="25"/>
  <c r="P528" i="25"/>
  <c r="Q564" i="25"/>
  <c r="O596" i="25"/>
  <c r="P29" i="25"/>
  <c r="O61" i="25"/>
  <c r="O209" i="25"/>
  <c r="O269" i="25"/>
  <c r="P313" i="25"/>
  <c r="Q389" i="25"/>
  <c r="R409" i="25"/>
  <c r="P417" i="25"/>
  <c r="Q449" i="25"/>
  <c r="O509" i="25"/>
  <c r="Q521" i="25"/>
  <c r="O545" i="25"/>
  <c r="O573" i="25"/>
  <c r="O585" i="25"/>
  <c r="AM89" i="25"/>
  <c r="AS89" i="25"/>
  <c r="AS257" i="25"/>
  <c r="AM257" i="25"/>
  <c r="AS353" i="25"/>
  <c r="AM353" i="25"/>
  <c r="AS309" i="25"/>
  <c r="AM309" i="25"/>
  <c r="Q97" i="25"/>
  <c r="Q277" i="25"/>
  <c r="Q252" i="25"/>
  <c r="Q118" i="25"/>
  <c r="Q109" i="25"/>
  <c r="Q326" i="25"/>
  <c r="Q546" i="25"/>
  <c r="Q415" i="25"/>
  <c r="Q348" i="25"/>
  <c r="Q545" i="25"/>
  <c r="Q457" i="25"/>
  <c r="Q471" i="25"/>
  <c r="Q408" i="25"/>
  <c r="Q208" i="25"/>
  <c r="Q509" i="25"/>
  <c r="Q350" i="25"/>
  <c r="Q250" i="25"/>
  <c r="Q99" i="25"/>
  <c r="Q110" i="25"/>
  <c r="Q570" i="25"/>
  <c r="Q500" i="25"/>
  <c r="Q144" i="25"/>
  <c r="Q205" i="25"/>
  <c r="Q363" i="25"/>
  <c r="Q158" i="25"/>
  <c r="Q292" i="25"/>
  <c r="M6" i="25"/>
  <c r="N38" i="25"/>
  <c r="N62" i="25"/>
  <c r="N110" i="25"/>
  <c r="N158" i="25"/>
  <c r="M186" i="25"/>
  <c r="M202" i="25"/>
  <c r="M250" i="25"/>
  <c r="M274" i="25"/>
  <c r="M290" i="25"/>
  <c r="M322" i="25"/>
  <c r="M338" i="25"/>
  <c r="M370" i="25"/>
  <c r="M402" i="25"/>
  <c r="M426" i="25"/>
  <c r="M490" i="25"/>
  <c r="M506" i="25"/>
  <c r="M546" i="25"/>
  <c r="M562" i="25"/>
  <c r="M570" i="25"/>
  <c r="M594" i="25"/>
  <c r="T3" i="25"/>
  <c r="N71" i="25"/>
  <c r="N79" i="25"/>
  <c r="N95" i="25"/>
  <c r="M147" i="25"/>
  <c r="M195" i="25"/>
  <c r="M203" i="25"/>
  <c r="M211" i="25"/>
  <c r="M227" i="25"/>
  <c r="M267" i="25"/>
  <c r="M283" i="25"/>
  <c r="M339" i="25"/>
  <c r="M363" i="25"/>
  <c r="M379" i="25"/>
  <c r="M411" i="25"/>
  <c r="M451" i="25"/>
  <c r="M539" i="25"/>
  <c r="M40" i="25"/>
  <c r="N48" i="25"/>
  <c r="M100" i="25"/>
  <c r="M192" i="25"/>
  <c r="M208" i="25"/>
  <c r="N216" i="25"/>
  <c r="M224" i="25"/>
  <c r="M232" i="25"/>
  <c r="M308" i="25"/>
  <c r="M324" i="25"/>
  <c r="M332" i="25"/>
  <c r="M348" i="25"/>
  <c r="M356" i="25"/>
  <c r="N404" i="25"/>
  <c r="N456" i="25"/>
  <c r="N528" i="25"/>
  <c r="M556" i="25"/>
  <c r="M564" i="25"/>
  <c r="M572" i="25"/>
  <c r="M596" i="25"/>
  <c r="N5" i="25"/>
  <c r="N29" i="25"/>
  <c r="N61" i="25"/>
  <c r="N109" i="25"/>
  <c r="N117" i="25"/>
  <c r="N157" i="25"/>
  <c r="M285" i="25"/>
  <c r="N325" i="25"/>
  <c r="N389" i="25"/>
  <c r="M417" i="25"/>
  <c r="M449" i="25"/>
  <c r="M457" i="25"/>
  <c r="M481" i="25"/>
  <c r="M489" i="25"/>
  <c r="N521" i="25"/>
  <c r="N529" i="25"/>
  <c r="N569" i="25"/>
  <c r="N585" i="25"/>
  <c r="O34" i="25"/>
  <c r="O6" i="25"/>
  <c r="P34" i="25"/>
  <c r="Q42" i="25"/>
  <c r="O50" i="25"/>
  <c r="P90" i="25"/>
  <c r="P98" i="25"/>
  <c r="P130" i="25"/>
  <c r="Q162" i="25"/>
  <c r="P174" i="25"/>
  <c r="O186" i="25"/>
  <c r="P198" i="25"/>
  <c r="O202" i="25"/>
  <c r="R238" i="25"/>
  <c r="O274" i="25"/>
  <c r="R310" i="25"/>
  <c r="R314" i="25"/>
  <c r="P334" i="25"/>
  <c r="G338" i="25"/>
  <c r="O338" i="25"/>
  <c r="O358" i="25"/>
  <c r="P374" i="25"/>
  <c r="O402" i="25"/>
  <c r="R414" i="25"/>
  <c r="Q426" i="25"/>
  <c r="R462" i="25"/>
  <c r="Q470" i="25"/>
  <c r="R486" i="25"/>
  <c r="P490" i="25"/>
  <c r="R526" i="25"/>
  <c r="P570" i="25"/>
  <c r="O590" i="25"/>
  <c r="G19" i="25"/>
  <c r="AR19" i="25" s="1"/>
  <c r="G51" i="25"/>
  <c r="O51" i="25"/>
  <c r="R71" i="25"/>
  <c r="G147" i="25"/>
  <c r="P195" i="25"/>
  <c r="O203" i="25"/>
  <c r="P211" i="25"/>
  <c r="G223" i="25"/>
  <c r="AR223" i="25" s="1"/>
  <c r="O227" i="25"/>
  <c r="O283" i="25"/>
  <c r="R299" i="25"/>
  <c r="R311" i="25"/>
  <c r="P335" i="25"/>
  <c r="O339" i="25"/>
  <c r="P363" i="25"/>
  <c r="O411" i="25"/>
  <c r="P519" i="25"/>
  <c r="R535" i="25"/>
  <c r="O539" i="25"/>
  <c r="P100" i="25"/>
  <c r="Q104" i="25"/>
  <c r="Q120" i="25"/>
  <c r="R128" i="25"/>
  <c r="P144" i="25"/>
  <c r="O168" i="25"/>
  <c r="G196" i="25"/>
  <c r="O216" i="25"/>
  <c r="R224" i="25"/>
  <c r="P244" i="25"/>
  <c r="R284" i="25"/>
  <c r="P376" i="25"/>
  <c r="O376" i="25"/>
  <c r="R436" i="25"/>
  <c r="R456" i="25"/>
  <c r="R476" i="25"/>
  <c r="R552" i="25"/>
  <c r="R572" i="25"/>
  <c r="R61" i="25"/>
  <c r="P109" i="25"/>
  <c r="P117" i="25"/>
  <c r="P209" i="25"/>
  <c r="P253" i="25"/>
  <c r="O297" i="25"/>
  <c r="P449" i="25"/>
  <c r="P481" i="25"/>
  <c r="P489" i="25"/>
  <c r="R517" i="25"/>
  <c r="R565" i="25"/>
  <c r="AA3" i="25"/>
  <c r="AS72" i="25"/>
  <c r="R286" i="25"/>
  <c r="R386" i="25"/>
  <c r="Q313" i="25"/>
  <c r="Q322" i="25"/>
  <c r="Q168" i="25"/>
  <c r="Q192" i="25"/>
  <c r="Q416" i="25"/>
  <c r="Q404" i="25"/>
  <c r="Q140" i="25"/>
  <c r="Q430" i="25"/>
  <c r="Q290" i="25"/>
  <c r="Q90" i="25"/>
  <c r="Q411" i="25"/>
  <c r="Q529" i="25"/>
  <c r="Q556" i="25"/>
  <c r="Q594" i="25"/>
  <c r="Q35" i="25"/>
  <c r="Q106" i="25"/>
  <c r="Q584" i="25"/>
  <c r="Q321" i="25"/>
  <c r="Q558" i="25"/>
  <c r="Q429" i="25"/>
  <c r="Q541" i="25"/>
  <c r="Q50" i="25"/>
  <c r="Q489" i="25"/>
  <c r="Q62" i="25"/>
  <c r="Q95" i="25"/>
  <c r="Q270" i="25"/>
  <c r="Q336" i="25"/>
  <c r="Q285" i="25"/>
  <c r="N6" i="25"/>
  <c r="M42" i="25"/>
  <c r="M90" i="25"/>
  <c r="M98" i="25"/>
  <c r="M106" i="25"/>
  <c r="M130" i="25"/>
  <c r="N186" i="25"/>
  <c r="N250" i="25"/>
  <c r="N322" i="25"/>
  <c r="N338" i="25"/>
  <c r="N370" i="25"/>
  <c r="N426" i="25"/>
  <c r="N490" i="25"/>
  <c r="N506" i="25"/>
  <c r="N562" i="25"/>
  <c r="N594" i="25"/>
  <c r="V3" i="25"/>
  <c r="M99" i="25"/>
  <c r="N147" i="25"/>
  <c r="N195" i="25"/>
  <c r="N203" i="25"/>
  <c r="N211" i="25"/>
  <c r="N451" i="25"/>
  <c r="AC53" i="25"/>
  <c r="AH53" i="25" s="1"/>
  <c r="AC117" i="25"/>
  <c r="AC261" i="25"/>
  <c r="AH261" i="25" s="1"/>
  <c r="N144" i="25"/>
  <c r="M160" i="25"/>
  <c r="M168" i="25"/>
  <c r="N224" i="25"/>
  <c r="M236" i="25"/>
  <c r="M244" i="25"/>
  <c r="N308" i="25"/>
  <c r="N324" i="25"/>
  <c r="N332" i="25"/>
  <c r="N356" i="25"/>
  <c r="N376" i="25"/>
  <c r="N408" i="25"/>
  <c r="M416" i="25"/>
  <c r="M424" i="25"/>
  <c r="M456" i="25"/>
  <c r="N572" i="25"/>
  <c r="M61" i="25"/>
  <c r="M117" i="25"/>
  <c r="M209" i="25"/>
  <c r="M225" i="25"/>
  <c r="M277" i="25"/>
  <c r="M289" i="25"/>
  <c r="N449" i="25"/>
  <c r="N481" i="25"/>
  <c r="N489" i="25"/>
  <c r="M509" i="25"/>
  <c r="M541" i="25"/>
  <c r="M573" i="25"/>
  <c r="R354" i="25"/>
  <c r="G426" i="25"/>
  <c r="P470" i="25"/>
  <c r="R291" i="25"/>
  <c r="R399" i="25"/>
  <c r="R527" i="25"/>
  <c r="R595" i="25"/>
  <c r="G104" i="25"/>
  <c r="R520" i="25"/>
  <c r="R532" i="25"/>
  <c r="R548" i="25"/>
  <c r="R105" i="25"/>
  <c r="R365" i="25"/>
  <c r="R513" i="25"/>
  <c r="R553" i="25"/>
  <c r="R577" i="25"/>
  <c r="R589" i="25"/>
  <c r="AX387" i="25"/>
  <c r="AX300" i="25"/>
  <c r="AX295" i="25"/>
  <c r="AX307" i="25"/>
  <c r="AX301" i="25"/>
  <c r="AY301" i="25" s="1"/>
  <c r="AX218" i="25"/>
  <c r="AX217" i="25"/>
  <c r="AX214" i="25"/>
  <c r="AX215" i="25"/>
  <c r="AX190" i="25"/>
  <c r="AY190" i="25" s="1"/>
  <c r="AX196" i="25"/>
  <c r="AY196" i="25" s="1"/>
  <c r="AX194" i="25"/>
  <c r="AX193" i="25"/>
  <c r="AX210" i="25"/>
  <c r="AX207" i="25"/>
  <c r="AX206" i="25"/>
  <c r="AX201" i="25"/>
  <c r="AY201" i="25" s="1"/>
  <c r="AX224" i="25"/>
  <c r="AX219" i="25"/>
  <c r="AX221" i="25"/>
  <c r="AX212" i="25"/>
  <c r="AX205" i="25"/>
  <c r="AX198" i="25"/>
  <c r="AY198" i="25" s="1"/>
  <c r="AX374" i="25"/>
  <c r="AX385" i="25"/>
  <c r="AX389" i="25"/>
  <c r="AY389" i="25" s="1"/>
  <c r="AX200" i="25"/>
  <c r="AY200" i="25" s="1"/>
  <c r="AX195" i="25"/>
  <c r="AY195" i="25" s="1"/>
  <c r="AX592" i="25"/>
  <c r="AX381" i="25"/>
  <c r="AX376" i="25"/>
  <c r="AX222" i="25"/>
  <c r="AX590" i="25"/>
  <c r="AX359" i="25"/>
  <c r="AX358" i="25"/>
  <c r="AX371" i="25"/>
  <c r="AX587" i="25"/>
  <c r="AY587" i="25" s="1"/>
  <c r="AX375" i="25"/>
  <c r="AX361" i="25"/>
  <c r="AY361" i="25" s="1"/>
  <c r="AX309" i="25"/>
  <c r="AY309" i="25" s="1"/>
  <c r="AX202" i="25"/>
  <c r="AY202" i="25" s="1"/>
  <c r="AX216" i="25"/>
  <c r="AX204" i="25"/>
  <c r="AY204" i="25" s="1"/>
  <c r="AX369" i="25"/>
  <c r="AX298" i="25"/>
  <c r="AX213" i="25"/>
  <c r="AX391" i="25"/>
  <c r="AX197" i="25"/>
  <c r="AY197" i="25" s="1"/>
  <c r="AX220" i="25"/>
  <c r="AX191" i="25"/>
  <c r="AX209" i="25"/>
  <c r="AX203" i="25"/>
  <c r="AY203" i="25" s="1"/>
  <c r="AX596" i="25"/>
  <c r="AY596" i="25" s="1"/>
  <c r="AX382" i="25"/>
  <c r="AX373" i="25"/>
  <c r="AX384" i="25"/>
  <c r="AX390" i="25"/>
  <c r="AX357" i="25"/>
  <c r="AY357" i="25" s="1"/>
  <c r="AX372" i="25"/>
  <c r="AX363" i="25"/>
  <c r="AY363" i="25" s="1"/>
  <c r="AX364" i="25"/>
  <c r="AY364" i="25" s="1"/>
  <c r="AX365" i="25"/>
  <c r="AY365" i="25" s="1"/>
  <c r="AX379" i="25"/>
  <c r="AX378" i="25"/>
  <c r="AX370" i="25"/>
  <c r="AX377" i="25"/>
  <c r="AX386" i="25"/>
  <c r="AX383" i="25"/>
  <c r="AX362" i="25"/>
  <c r="AY362" i="25" s="1"/>
  <c r="AX367" i="25"/>
  <c r="AY367" i="25" s="1"/>
  <c r="AX223" i="25"/>
  <c r="AX208" i="25"/>
  <c r="AX366" i="25"/>
  <c r="AY366" i="25" s="1"/>
  <c r="AX360" i="25"/>
  <c r="AX368" i="25"/>
  <c r="AX199" i="25"/>
  <c r="AY199" i="25" s="1"/>
  <c r="AX211" i="25"/>
  <c r="AX388" i="25"/>
  <c r="AY388" i="25" s="1"/>
  <c r="AX380" i="25"/>
  <c r="AX192" i="25"/>
  <c r="AC395" i="25"/>
  <c r="AH395" i="25" s="1"/>
  <c r="AC491" i="25"/>
  <c r="AC557" i="25"/>
  <c r="AC307" i="25"/>
  <c r="AC385" i="25"/>
  <c r="AC456" i="25"/>
  <c r="AH456" i="25" s="1"/>
  <c r="AC347" i="25"/>
  <c r="AH347" i="25" s="1"/>
  <c r="AC369" i="25"/>
  <c r="AH369" i="25" s="1"/>
  <c r="AC477" i="25"/>
  <c r="AH477" i="25" s="1"/>
  <c r="AC11" i="25"/>
  <c r="AH11" i="25" s="1"/>
  <c r="AC443" i="25"/>
  <c r="AC109" i="25"/>
  <c r="AC173" i="25"/>
  <c r="AC237" i="25"/>
  <c r="AC493" i="25"/>
  <c r="AC269" i="25"/>
  <c r="AC97" i="25"/>
  <c r="AC93" i="25"/>
  <c r="AC285" i="25"/>
  <c r="AC541" i="25"/>
  <c r="AC23" i="25"/>
  <c r="AH23" i="25" s="1"/>
  <c r="AC31" i="25"/>
  <c r="AC47" i="25"/>
  <c r="AH47" i="25" s="1"/>
  <c r="AC63" i="25"/>
  <c r="AH63" i="25" s="1"/>
  <c r="AC83" i="25"/>
  <c r="AC87" i="25"/>
  <c r="AH87" i="25" s="1"/>
  <c r="AC111" i="25"/>
  <c r="AH111" i="25" s="1"/>
  <c r="AC127" i="25"/>
  <c r="AH127" i="25" s="1"/>
  <c r="AC147" i="25"/>
  <c r="AH147" i="25" s="1"/>
  <c r="AC151" i="25"/>
  <c r="AH151" i="25" s="1"/>
  <c r="AC171" i="25"/>
  <c r="AH171" i="25" s="1"/>
  <c r="AC175" i="25"/>
  <c r="AH175" i="25" s="1"/>
  <c r="AC191" i="25"/>
  <c r="AH191" i="25" s="1"/>
  <c r="AC211" i="25"/>
  <c r="AH211" i="25" s="1"/>
  <c r="AC215" i="25"/>
  <c r="AH215" i="25" s="1"/>
  <c r="AC239" i="25"/>
  <c r="AH239" i="25" s="1"/>
  <c r="AC255" i="25"/>
  <c r="AH255" i="25" s="1"/>
  <c r="AC279" i="25"/>
  <c r="AH279" i="25" s="1"/>
  <c r="AC303" i="25"/>
  <c r="AC323" i="25"/>
  <c r="AC351" i="25"/>
  <c r="AH351" i="25" s="1"/>
  <c r="AC259" i="25"/>
  <c r="AH259" i="25" s="1"/>
  <c r="AC427" i="25"/>
  <c r="AH427" i="25" s="1"/>
  <c r="AC257" i="25"/>
  <c r="AC449" i="25"/>
  <c r="AC506" i="25"/>
  <c r="AC510" i="25"/>
  <c r="AC514" i="25"/>
  <c r="AC522" i="25"/>
  <c r="AH522" i="25" s="1"/>
  <c r="AC526" i="25"/>
  <c r="AH526" i="25" s="1"/>
  <c r="AC530" i="25"/>
  <c r="AC538" i="25"/>
  <c r="AH538" i="25" s="1"/>
  <c r="AC542" i="25"/>
  <c r="AC546" i="25"/>
  <c r="AC550" i="25"/>
  <c r="AH550" i="25" s="1"/>
  <c r="AC554" i="25"/>
  <c r="AC558" i="25"/>
  <c r="AC562" i="25"/>
  <c r="AC264" i="25"/>
  <c r="AH264" i="25" s="1"/>
  <c r="AC328" i="25"/>
  <c r="AC229" i="25"/>
  <c r="AC293" i="25"/>
  <c r="AC507" i="25"/>
  <c r="AC511" i="25"/>
  <c r="AC26" i="25"/>
  <c r="AH26" i="25" s="1"/>
  <c r="AC66" i="25"/>
  <c r="AC90" i="25"/>
  <c r="AH90" i="25" s="1"/>
  <c r="AC114" i="25"/>
  <c r="AH114" i="25" s="1"/>
  <c r="AC154" i="25"/>
  <c r="AH154" i="25" s="1"/>
  <c r="AC178" i="25"/>
  <c r="AH178" i="25" s="1"/>
  <c r="AC290" i="25"/>
  <c r="AC298" i="25"/>
  <c r="AC322" i="25"/>
  <c r="AH322" i="25" s="1"/>
  <c r="AC330" i="25"/>
  <c r="AH330" i="25" s="1"/>
  <c r="AC354" i="25"/>
  <c r="AH354" i="25" s="1"/>
  <c r="AC362" i="25"/>
  <c r="AC386" i="25"/>
  <c r="AC394" i="25"/>
  <c r="AC414" i="25"/>
  <c r="AH414" i="25" s="1"/>
  <c r="AC446" i="25"/>
  <c r="AC478" i="25"/>
  <c r="AH478" i="25" s="1"/>
  <c r="AC30" i="25"/>
  <c r="AH30" i="25" s="1"/>
  <c r="AC58" i="25"/>
  <c r="AH58" i="25" s="1"/>
  <c r="AC70" i="25"/>
  <c r="AC158" i="25"/>
  <c r="AC226" i="25"/>
  <c r="AC234" i="25"/>
  <c r="AH234" i="25" s="1"/>
  <c r="AC258" i="25"/>
  <c r="AC266" i="25"/>
  <c r="AC494" i="25"/>
  <c r="AH494" i="25" s="1"/>
  <c r="AI589" i="25"/>
  <c r="AC391" i="25"/>
  <c r="AH391" i="25" s="1"/>
  <c r="AC399" i="25"/>
  <c r="AC439" i="25"/>
  <c r="AC467" i="25"/>
  <c r="AC479" i="25"/>
  <c r="AC495" i="25"/>
  <c r="AH495" i="25" s="1"/>
  <c r="AC499" i="25"/>
  <c r="AH499" i="25" s="1"/>
  <c r="AC305" i="25"/>
  <c r="AH305" i="25" s="1"/>
  <c r="AC497" i="25"/>
  <c r="AC570" i="25"/>
  <c r="AC574" i="25"/>
  <c r="AC578" i="25"/>
  <c r="AC582" i="25"/>
  <c r="AC590" i="25"/>
  <c r="AC594" i="25"/>
  <c r="AC268" i="25"/>
  <c r="AH268" i="25" s="1"/>
  <c r="AC272" i="25"/>
  <c r="AC276" i="25"/>
  <c r="AC280" i="25"/>
  <c r="AC332" i="25"/>
  <c r="AH332" i="25" s="1"/>
  <c r="AC336" i="25"/>
  <c r="AH336" i="25" s="1"/>
  <c r="AC340" i="25"/>
  <c r="AH340" i="25" s="1"/>
  <c r="AC344" i="25"/>
  <c r="AH344" i="25" s="1"/>
  <c r="AC396" i="25"/>
  <c r="AH396" i="25" s="1"/>
  <c r="AC400" i="25"/>
  <c r="AH400" i="25" s="1"/>
  <c r="AC404" i="25"/>
  <c r="AC408" i="25"/>
  <c r="AC460" i="25"/>
  <c r="AC464" i="25"/>
  <c r="AC468" i="25"/>
  <c r="AC472" i="25"/>
  <c r="AH472" i="25" s="1"/>
  <c r="AC476" i="25"/>
  <c r="AC480" i="25"/>
  <c r="AC484" i="25"/>
  <c r="AC488" i="25"/>
  <c r="AC492" i="25"/>
  <c r="AH492" i="25" s="1"/>
  <c r="AC496" i="25"/>
  <c r="AC500" i="25"/>
  <c r="AC277" i="25"/>
  <c r="AC341" i="25"/>
  <c r="AH341" i="25" s="1"/>
  <c r="AC549" i="25"/>
  <c r="AC535" i="25"/>
  <c r="AH535" i="25" s="1"/>
  <c r="AC543" i="25"/>
  <c r="AC551" i="25"/>
  <c r="AH551" i="25" s="1"/>
  <c r="AC555" i="25"/>
  <c r="AC571" i="25"/>
  <c r="AC508" i="25"/>
  <c r="AC532" i="25"/>
  <c r="AC560" i="25"/>
  <c r="AH560" i="25" s="1"/>
  <c r="AC588" i="25"/>
  <c r="AC18" i="25"/>
  <c r="AC50" i="25"/>
  <c r="AC78" i="25"/>
  <c r="AC202" i="25"/>
  <c r="AH202" i="25" s="1"/>
  <c r="AC230" i="25"/>
  <c r="AC246" i="25"/>
  <c r="AH246" i="25" s="1"/>
  <c r="AC254" i="25"/>
  <c r="AH254" i="25" s="1"/>
  <c r="AC278" i="25"/>
  <c r="AC286" i="25"/>
  <c r="AC498" i="25"/>
  <c r="AC516" i="25"/>
  <c r="AH516" i="25" s="1"/>
  <c r="AC556" i="25"/>
  <c r="AC592" i="25"/>
  <c r="AH592" i="25" s="1"/>
  <c r="AC110" i="25"/>
  <c r="AC122" i="25"/>
  <c r="AH122" i="25" s="1"/>
  <c r="AC134" i="25"/>
  <c r="AC142" i="25"/>
  <c r="AC174" i="25"/>
  <c r="AC186" i="25"/>
  <c r="AH186" i="25" s="1"/>
  <c r="AC310" i="25"/>
  <c r="AH310" i="25" s="1"/>
  <c r="AC318" i="25"/>
  <c r="AC342" i="25"/>
  <c r="AC350" i="25"/>
  <c r="AH350" i="25" s="1"/>
  <c r="AC374" i="25"/>
  <c r="AC382" i="25"/>
  <c r="AH382" i="25" s="1"/>
  <c r="AC406" i="25"/>
  <c r="AC418" i="25"/>
  <c r="AH418" i="25" s="1"/>
  <c r="AC426" i="25"/>
  <c r="AC450" i="25"/>
  <c r="AH450" i="25" s="1"/>
  <c r="AC458" i="25"/>
  <c r="AH458" i="25" s="1"/>
  <c r="AC486" i="25"/>
  <c r="AC2" i="25"/>
  <c r="AC531" i="25"/>
  <c r="AC585" i="25"/>
  <c r="AH585" i="25" s="1"/>
  <c r="AC105" i="25"/>
  <c r="AH105" i="25" s="1"/>
  <c r="AC457" i="25"/>
  <c r="AH457" i="25" s="1"/>
  <c r="AH328" i="25"/>
  <c r="AC331" i="25"/>
  <c r="AH331" i="25" s="1"/>
  <c r="AC253" i="25"/>
  <c r="AH253" i="25" s="1"/>
  <c r="AC317" i="25"/>
  <c r="AH317" i="25" s="1"/>
  <c r="AC273" i="25"/>
  <c r="AC337" i="25"/>
  <c r="AH337" i="25" s="1"/>
  <c r="AC465" i="25"/>
  <c r="AH465" i="25" s="1"/>
  <c r="AC77" i="25"/>
  <c r="AC141" i="25"/>
  <c r="AH141" i="25" s="1"/>
  <c r="AC205" i="25"/>
  <c r="AC333" i="25"/>
  <c r="AH333" i="25" s="1"/>
  <c r="AH258" i="25"/>
  <c r="AC325" i="25"/>
  <c r="AC591" i="25"/>
  <c r="AC13" i="25"/>
  <c r="AC397" i="25"/>
  <c r="AH397" i="25" s="1"/>
  <c r="AC461" i="25"/>
  <c r="AC525" i="25"/>
  <c r="AC589" i="25"/>
  <c r="AH589" i="25" s="1"/>
  <c r="AC7" i="25"/>
  <c r="AH7" i="25" s="1"/>
  <c r="AC43" i="25"/>
  <c r="AH43" i="25" s="1"/>
  <c r="AC55" i="25"/>
  <c r="AH55" i="25" s="1"/>
  <c r="AC59" i="25"/>
  <c r="AC91" i="25"/>
  <c r="AH91" i="25" s="1"/>
  <c r="AC99" i="25"/>
  <c r="AC103" i="25"/>
  <c r="AH103" i="25" s="1"/>
  <c r="AC119" i="25"/>
  <c r="AH119" i="25" s="1"/>
  <c r="AC123" i="25"/>
  <c r="AC155" i="25"/>
  <c r="AH155" i="25" s="1"/>
  <c r="AC163" i="25"/>
  <c r="AC167" i="25"/>
  <c r="AC183" i="25"/>
  <c r="AH183" i="25" s="1"/>
  <c r="AC187" i="25"/>
  <c r="AH187" i="25" s="1"/>
  <c r="AC219" i="25"/>
  <c r="AH219" i="25" s="1"/>
  <c r="AC227" i="25"/>
  <c r="AC231" i="25"/>
  <c r="AC247" i="25"/>
  <c r="AH247" i="25" s="1"/>
  <c r="AC251" i="25"/>
  <c r="AH251" i="25" s="1"/>
  <c r="AC275" i="25"/>
  <c r="AC295" i="25"/>
  <c r="AC299" i="25"/>
  <c r="AC319" i="25"/>
  <c r="AC343" i="25"/>
  <c r="AC367" i="25"/>
  <c r="AH367" i="25" s="1"/>
  <c r="AC387" i="25"/>
  <c r="AC411" i="25"/>
  <c r="AC415" i="25"/>
  <c r="AC435" i="25"/>
  <c r="AH435" i="25" s="1"/>
  <c r="AC455" i="25"/>
  <c r="AC459" i="25"/>
  <c r="AC463" i="25"/>
  <c r="AH463" i="25" s="1"/>
  <c r="AC33" i="25"/>
  <c r="AH33" i="25" s="1"/>
  <c r="AC161" i="25"/>
  <c r="AC225" i="25"/>
  <c r="AC289" i="25"/>
  <c r="AC353" i="25"/>
  <c r="AH353" i="25" s="1"/>
  <c r="AC417" i="25"/>
  <c r="AH417" i="25" s="1"/>
  <c r="AC481" i="25"/>
  <c r="AH481" i="25" s="1"/>
  <c r="AH323" i="25"/>
  <c r="AH467" i="25"/>
  <c r="AC284" i="25"/>
  <c r="AH284" i="25" s="1"/>
  <c r="AC288" i="25"/>
  <c r="AC292" i="25"/>
  <c r="AC296" i="25"/>
  <c r="AH296" i="25" s="1"/>
  <c r="AC348" i="25"/>
  <c r="AH348" i="25" s="1"/>
  <c r="AC352" i="25"/>
  <c r="AC356" i="25"/>
  <c r="AC360" i="25"/>
  <c r="AH360" i="25" s="1"/>
  <c r="AC412" i="25"/>
  <c r="AH412" i="25" s="1"/>
  <c r="AC416" i="25"/>
  <c r="AC420" i="25"/>
  <c r="AH420" i="25" s="1"/>
  <c r="AC424" i="25"/>
  <c r="AC197" i="25"/>
  <c r="AH197" i="25" s="1"/>
  <c r="AC389" i="25"/>
  <c r="AC469" i="25"/>
  <c r="AC533" i="25"/>
  <c r="AC559" i="25"/>
  <c r="AH559" i="25" s="1"/>
  <c r="AC575" i="25"/>
  <c r="AH257" i="25"/>
  <c r="AH433" i="25"/>
  <c r="AC528" i="25"/>
  <c r="AH528" i="25" s="1"/>
  <c r="AC552" i="25"/>
  <c r="AH552" i="25" s="1"/>
  <c r="AC580" i="25"/>
  <c r="AC10" i="25"/>
  <c r="AC34" i="25"/>
  <c r="AC42" i="25"/>
  <c r="AC106" i="25"/>
  <c r="AC118" i="25"/>
  <c r="AC138" i="25"/>
  <c r="AH138" i="25" s="1"/>
  <c r="AC162" i="25"/>
  <c r="AH162" i="25" s="1"/>
  <c r="AC166" i="25"/>
  <c r="AH166" i="25" s="1"/>
  <c r="AC182" i="25"/>
  <c r="AH182" i="25" s="1"/>
  <c r="AC190" i="25"/>
  <c r="AH42" i="25"/>
  <c r="AC483" i="25"/>
  <c r="AH483" i="25" s="1"/>
  <c r="AH59" i="25"/>
  <c r="AC547" i="25"/>
  <c r="AC553" i="25"/>
  <c r="AH553" i="25" s="1"/>
  <c r="AC41" i="25"/>
  <c r="AC201" i="25"/>
  <c r="AH201" i="25" s="1"/>
  <c r="AC45" i="25"/>
  <c r="AC365" i="25"/>
  <c r="AC429" i="25"/>
  <c r="AC15" i="25"/>
  <c r="AH15" i="25" s="1"/>
  <c r="AC27" i="25"/>
  <c r="AH27" i="25" s="1"/>
  <c r="AC35" i="25"/>
  <c r="AC51" i="25"/>
  <c r="AH51" i="25" s="1"/>
  <c r="AC67" i="25"/>
  <c r="AH67" i="25" s="1"/>
  <c r="AC115" i="25"/>
  <c r="AC131" i="25"/>
  <c r="AH131" i="25" s="1"/>
  <c r="AC179" i="25"/>
  <c r="AH179" i="25" s="1"/>
  <c r="AC195" i="25"/>
  <c r="AC243" i="25"/>
  <c r="AH243" i="25" s="1"/>
  <c r="AC283" i="25"/>
  <c r="AC287" i="25"/>
  <c r="AH287" i="25" s="1"/>
  <c r="AC327" i="25"/>
  <c r="AH327" i="25" s="1"/>
  <c r="AC335" i="25"/>
  <c r="AH335" i="25" s="1"/>
  <c r="AC355" i="25"/>
  <c r="AH355" i="25" s="1"/>
  <c r="AC375" i="25"/>
  <c r="AH375" i="25" s="1"/>
  <c r="AC379" i="25"/>
  <c r="AH379" i="25" s="1"/>
  <c r="AC403" i="25"/>
  <c r="AH403" i="25" s="1"/>
  <c r="AC423" i="25"/>
  <c r="AH423" i="25" s="1"/>
  <c r="AC447" i="25"/>
  <c r="AH447" i="25" s="1"/>
  <c r="AC475" i="25"/>
  <c r="AC65" i="25"/>
  <c r="AH65" i="25" s="1"/>
  <c r="AC129" i="25"/>
  <c r="AH129" i="25" s="1"/>
  <c r="AC193" i="25"/>
  <c r="AH193" i="25" s="1"/>
  <c r="AC321" i="25"/>
  <c r="AH321" i="25" s="1"/>
  <c r="AH167" i="25"/>
  <c r="AC566" i="25"/>
  <c r="AH566" i="25" s="1"/>
  <c r="AC586" i="25"/>
  <c r="AC252" i="25"/>
  <c r="AC256" i="25"/>
  <c r="AH256" i="25" s="1"/>
  <c r="AC260" i="25"/>
  <c r="AH260" i="25" s="1"/>
  <c r="AC316" i="25"/>
  <c r="AH316" i="25" s="1"/>
  <c r="AC320" i="25"/>
  <c r="AH320" i="25" s="1"/>
  <c r="AC324" i="25"/>
  <c r="AC380" i="25"/>
  <c r="AH380" i="25" s="1"/>
  <c r="AC384" i="25"/>
  <c r="AH384" i="25" s="1"/>
  <c r="AC388" i="25"/>
  <c r="AH388" i="25" s="1"/>
  <c r="AC392" i="25"/>
  <c r="AH392" i="25" s="1"/>
  <c r="AC444" i="25"/>
  <c r="AC448" i="25"/>
  <c r="AC452" i="25"/>
  <c r="AC21" i="25"/>
  <c r="AH21" i="25" s="1"/>
  <c r="AC85" i="25"/>
  <c r="AC149" i="25"/>
  <c r="AH149" i="25" s="1"/>
  <c r="AC357" i="25"/>
  <c r="AH357" i="25" s="1"/>
  <c r="AC421" i="25"/>
  <c r="AH421" i="25" s="1"/>
  <c r="AC501" i="25"/>
  <c r="AC581" i="25"/>
  <c r="AH352" i="25"/>
  <c r="AC503" i="25"/>
  <c r="AH503" i="25" s="1"/>
  <c r="AC515" i="25"/>
  <c r="AH515" i="25" s="1"/>
  <c r="AC519" i="25"/>
  <c r="AH519" i="25" s="1"/>
  <c r="AC523" i="25"/>
  <c r="AH523" i="25" s="1"/>
  <c r="AC539" i="25"/>
  <c r="AC567" i="25"/>
  <c r="AC583" i="25"/>
  <c r="AH583" i="25" s="1"/>
  <c r="AC587" i="25"/>
  <c r="AH587" i="25" s="1"/>
  <c r="AC595" i="25"/>
  <c r="AC512" i="25"/>
  <c r="AC540" i="25"/>
  <c r="AC564" i="25"/>
  <c r="AC596" i="25"/>
  <c r="AC82" i="25"/>
  <c r="AC146" i="25"/>
  <c r="AH146" i="25" s="1"/>
  <c r="AC438" i="25"/>
  <c r="AH438" i="25" s="1"/>
  <c r="AC470" i="25"/>
  <c r="AC524" i="25"/>
  <c r="AC568" i="25"/>
  <c r="AH568" i="25" s="1"/>
  <c r="AC22" i="25"/>
  <c r="AH22" i="25" s="1"/>
  <c r="AB43" i="25"/>
  <c r="AG43" i="25" s="1"/>
  <c r="AC61" i="25"/>
  <c r="AH61" i="25" s="1"/>
  <c r="AC125" i="25"/>
  <c r="AC189" i="25"/>
  <c r="AH189" i="25" s="1"/>
  <c r="AC381" i="25"/>
  <c r="AH381" i="25" s="1"/>
  <c r="AC445" i="25"/>
  <c r="AH445" i="25" s="1"/>
  <c r="AC509" i="25"/>
  <c r="AC573" i="25"/>
  <c r="AH78" i="25"/>
  <c r="AH142" i="25"/>
  <c r="AC19" i="25"/>
  <c r="AC39" i="25"/>
  <c r="AH39" i="25" s="1"/>
  <c r="AC71" i="25"/>
  <c r="AH71" i="25" s="1"/>
  <c r="AC75" i="25"/>
  <c r="AH75" i="25" s="1"/>
  <c r="AC79" i="25"/>
  <c r="AC95" i="25"/>
  <c r="AC135" i="25"/>
  <c r="AC139" i="25"/>
  <c r="AH139" i="25" s="1"/>
  <c r="AC143" i="25"/>
  <c r="AH143" i="25" s="1"/>
  <c r="AC159" i="25"/>
  <c r="AH159" i="25" s="1"/>
  <c r="AC199" i="25"/>
  <c r="AH199" i="25" s="1"/>
  <c r="AC203" i="25"/>
  <c r="AH203" i="25" s="1"/>
  <c r="AC207" i="25"/>
  <c r="AH207" i="25" s="1"/>
  <c r="AC223" i="25"/>
  <c r="AH223" i="25" s="1"/>
  <c r="AC263" i="25"/>
  <c r="AC267" i="25"/>
  <c r="AC271" i="25"/>
  <c r="AH271" i="25" s="1"/>
  <c r="AC291" i="25"/>
  <c r="AH291" i="25" s="1"/>
  <c r="AC311" i="25"/>
  <c r="AH311" i="25" s="1"/>
  <c r="AC315" i="25"/>
  <c r="AH315" i="25" s="1"/>
  <c r="AC339" i="25"/>
  <c r="AH339" i="25" s="1"/>
  <c r="AC359" i="25"/>
  <c r="AH359" i="25" s="1"/>
  <c r="AC363" i="25"/>
  <c r="AC383" i="25"/>
  <c r="AH383" i="25" s="1"/>
  <c r="AC407" i="25"/>
  <c r="AH407" i="25" s="1"/>
  <c r="AC431" i="25"/>
  <c r="AC451" i="25"/>
  <c r="AH451" i="25" s="1"/>
  <c r="AC17" i="25"/>
  <c r="AH17" i="25" s="1"/>
  <c r="AC81" i="25"/>
  <c r="AC145" i="25"/>
  <c r="AH145" i="25" s="1"/>
  <c r="AC209" i="25"/>
  <c r="AH209" i="25" s="1"/>
  <c r="AC401" i="25"/>
  <c r="AH401" i="25" s="1"/>
  <c r="AC502" i="25"/>
  <c r="AC518" i="25"/>
  <c r="AC534" i="25"/>
  <c r="AH534" i="25" s="1"/>
  <c r="AC4" i="25"/>
  <c r="AH4" i="25" s="1"/>
  <c r="AC8" i="25"/>
  <c r="AH8" i="25" s="1"/>
  <c r="AC12" i="25"/>
  <c r="AC16" i="25"/>
  <c r="AC20" i="25"/>
  <c r="AC24" i="25"/>
  <c r="AH24" i="25" s="1"/>
  <c r="AC28" i="25"/>
  <c r="AC32" i="25"/>
  <c r="AH32" i="25" s="1"/>
  <c r="AC36" i="25"/>
  <c r="AC40" i="25"/>
  <c r="AH40" i="25" s="1"/>
  <c r="AC44" i="25"/>
  <c r="AH44" i="25" s="1"/>
  <c r="AC48" i="25"/>
  <c r="AH48" i="25" s="1"/>
  <c r="AC52" i="25"/>
  <c r="AH52" i="25" s="1"/>
  <c r="AC56" i="25"/>
  <c r="AH56" i="25" s="1"/>
  <c r="AC60" i="25"/>
  <c r="AH60" i="25" s="1"/>
  <c r="AC64" i="25"/>
  <c r="AH64" i="25" s="1"/>
  <c r="AC68" i="25"/>
  <c r="AH68" i="25" s="1"/>
  <c r="AC72" i="25"/>
  <c r="AH72" i="25" s="1"/>
  <c r="AC76" i="25"/>
  <c r="AC80" i="25"/>
  <c r="AC84" i="25"/>
  <c r="AH84" i="25" s="1"/>
  <c r="AC88" i="25"/>
  <c r="AC92" i="25"/>
  <c r="AH92" i="25" s="1"/>
  <c r="AC96" i="25"/>
  <c r="AH96" i="25" s="1"/>
  <c r="AC100" i="25"/>
  <c r="AC104" i="25"/>
  <c r="AH104" i="25" s="1"/>
  <c r="AC108" i="25"/>
  <c r="AC112" i="25"/>
  <c r="AH112" i="25" s="1"/>
  <c r="AC116" i="25"/>
  <c r="AH116" i="25" s="1"/>
  <c r="AC120" i="25"/>
  <c r="AH120" i="25" s="1"/>
  <c r="AC124" i="25"/>
  <c r="AC128" i="25"/>
  <c r="AH128" i="25" s="1"/>
  <c r="AC132" i="25"/>
  <c r="AH132" i="25" s="1"/>
  <c r="AC136" i="25"/>
  <c r="AH136" i="25" s="1"/>
  <c r="AC140" i="25"/>
  <c r="AC144" i="25"/>
  <c r="AH144" i="25" s="1"/>
  <c r="AC148" i="25"/>
  <c r="AC152" i="25"/>
  <c r="AC156" i="25"/>
  <c r="AH156" i="25" s="1"/>
  <c r="AC160" i="25"/>
  <c r="AC164" i="25"/>
  <c r="AH164" i="25" s="1"/>
  <c r="AC168" i="25"/>
  <c r="AC172" i="25"/>
  <c r="AH172" i="25" s="1"/>
  <c r="AC176" i="25"/>
  <c r="AH176" i="25" s="1"/>
  <c r="AC180" i="25"/>
  <c r="AH180" i="25" s="1"/>
  <c r="AC184" i="25"/>
  <c r="AH184" i="25" s="1"/>
  <c r="AC188" i="25"/>
  <c r="AC192" i="25"/>
  <c r="AC196" i="25"/>
  <c r="AH196" i="25" s="1"/>
  <c r="AC200" i="25"/>
  <c r="AH200" i="25" s="1"/>
  <c r="AC204" i="25"/>
  <c r="AH204" i="25" s="1"/>
  <c r="AC208" i="25"/>
  <c r="AH208" i="25" s="1"/>
  <c r="AC212" i="25"/>
  <c r="AC216" i="25"/>
  <c r="AH216" i="25" s="1"/>
  <c r="AC220" i="25"/>
  <c r="AC224" i="25"/>
  <c r="AH224" i="25" s="1"/>
  <c r="AC228" i="25"/>
  <c r="AH228" i="25" s="1"/>
  <c r="AC232" i="25"/>
  <c r="AH232" i="25" s="1"/>
  <c r="AC236" i="25"/>
  <c r="AC240" i="25"/>
  <c r="AC244" i="25"/>
  <c r="AC248" i="25"/>
  <c r="AC300" i="25"/>
  <c r="AC304" i="25"/>
  <c r="AC308" i="25"/>
  <c r="AC312" i="25"/>
  <c r="AH312" i="25" s="1"/>
  <c r="AC364" i="25"/>
  <c r="AC368" i="25"/>
  <c r="AH368" i="25" s="1"/>
  <c r="AC372" i="25"/>
  <c r="AC376" i="25"/>
  <c r="AH376" i="25" s="1"/>
  <c r="AC428" i="25"/>
  <c r="AH428" i="25" s="1"/>
  <c r="AC432" i="25"/>
  <c r="AC436" i="25"/>
  <c r="AH436" i="25" s="1"/>
  <c r="AC440" i="25"/>
  <c r="AC37" i="25"/>
  <c r="AH37" i="25" s="1"/>
  <c r="AC101" i="25"/>
  <c r="AC181" i="25"/>
  <c r="AC245" i="25"/>
  <c r="AH245" i="25" s="1"/>
  <c r="AC309" i="25"/>
  <c r="AC373" i="25"/>
  <c r="AC453" i="25"/>
  <c r="AC517" i="25"/>
  <c r="AH517" i="25" s="1"/>
  <c r="AH272" i="25"/>
  <c r="AH496" i="25"/>
  <c r="AC563" i="25"/>
  <c r="AC579" i="25"/>
  <c r="AC214" i="25"/>
  <c r="AH214" i="25" s="1"/>
  <c r="AC294" i="25"/>
  <c r="AC358" i="25"/>
  <c r="AC513" i="25"/>
  <c r="AH513" i="25" s="1"/>
  <c r="AC529" i="25"/>
  <c r="AH529" i="25" s="1"/>
  <c r="AC569" i="25"/>
  <c r="AH569" i="25" s="1"/>
  <c r="AC593" i="25"/>
  <c r="AH593" i="25" s="1"/>
  <c r="AC57" i="25"/>
  <c r="AH57" i="25" s="1"/>
  <c r="AC121" i="25"/>
  <c r="AC165" i="25"/>
  <c r="AH165" i="25" s="1"/>
  <c r="AC169" i="25"/>
  <c r="AH169" i="25" s="1"/>
  <c r="AC217" i="25"/>
  <c r="AC425" i="25"/>
  <c r="AH425" i="25" s="1"/>
  <c r="AC473" i="25"/>
  <c r="O40" i="25"/>
  <c r="AJ40" i="25"/>
  <c r="H40" i="25"/>
  <c r="AJ321" i="25"/>
  <c r="AJ470" i="25"/>
  <c r="AJ374" i="25"/>
  <c r="AJ174" i="25"/>
  <c r="AJ90" i="25"/>
  <c r="AJ344" i="25"/>
  <c r="P411" i="25"/>
  <c r="AJ411" i="25"/>
  <c r="AJ556" i="25"/>
  <c r="O469" i="25"/>
  <c r="AJ469" i="25"/>
  <c r="O529" i="25"/>
  <c r="AJ529" i="25"/>
  <c r="AJ236" i="25"/>
  <c r="AJ326" i="25"/>
  <c r="AJ97" i="25"/>
  <c r="AJ358" i="25"/>
  <c r="AJ385" i="25"/>
  <c r="P5" i="25"/>
  <c r="AJ5" i="25"/>
  <c r="AJ389" i="25"/>
  <c r="O29" i="25"/>
  <c r="AJ29" i="25"/>
  <c r="P541" i="25"/>
  <c r="AJ541" i="25"/>
  <c r="O424" i="25"/>
  <c r="AJ424" i="25"/>
  <c r="P147" i="25"/>
  <c r="AJ147" i="25"/>
  <c r="H147" i="25"/>
  <c r="AT147" i="25" s="1"/>
  <c r="AJ490" i="25"/>
  <c r="AJ509" i="25"/>
  <c r="AJ350" i="25"/>
  <c r="AJ449" i="25"/>
  <c r="AH449" i="25" s="1"/>
  <c r="AJ223" i="25"/>
  <c r="H223" i="25"/>
  <c r="O304" i="25"/>
  <c r="AJ304" i="25"/>
  <c r="AJ283" i="25"/>
  <c r="AJ88" i="25"/>
  <c r="P585" i="25"/>
  <c r="AJ585" i="25"/>
  <c r="H585" i="25"/>
  <c r="P336" i="25"/>
  <c r="AJ336" i="25"/>
  <c r="AJ356" i="25"/>
  <c r="AJ48" i="25"/>
  <c r="H48" i="25"/>
  <c r="AJ414" i="25"/>
  <c r="H414" i="25"/>
  <c r="AJ429" i="25"/>
  <c r="AJ489" i="25"/>
  <c r="AJ290" i="25"/>
  <c r="AJ562" i="25"/>
  <c r="AH562" i="25" s="1"/>
  <c r="O289" i="25"/>
  <c r="AJ289" i="25"/>
  <c r="O327" i="25"/>
  <c r="AJ327" i="25"/>
  <c r="AJ338" i="25"/>
  <c r="H338" i="25"/>
  <c r="AJ415" i="25"/>
  <c r="AH415" i="25" s="1"/>
  <c r="O348" i="25"/>
  <c r="AJ348" i="25"/>
  <c r="O325" i="25"/>
  <c r="AJ325" i="25"/>
  <c r="H325" i="25"/>
  <c r="AJ262" i="25"/>
  <c r="R160" i="25"/>
  <c r="AJ160" i="25"/>
  <c r="P545" i="25"/>
  <c r="AJ545" i="25"/>
  <c r="AJ457" i="25"/>
  <c r="O100" i="25"/>
  <c r="AJ100" i="25"/>
  <c r="O225" i="25"/>
  <c r="AJ225" i="25"/>
  <c r="O471" i="25"/>
  <c r="AJ471" i="25"/>
  <c r="AH471" i="25" s="1"/>
  <c r="AJ408" i="25"/>
  <c r="P208" i="25"/>
  <c r="AJ208" i="25"/>
  <c r="AJ51" i="25"/>
  <c r="H51" i="25"/>
  <c r="AJ250" i="25"/>
  <c r="AJ334" i="25"/>
  <c r="H334" i="25"/>
  <c r="AJ118" i="25"/>
  <c r="AJ240" i="25"/>
  <c r="O109" i="25"/>
  <c r="AJ109" i="25"/>
  <c r="AH109" i="25" s="1"/>
  <c r="AJ195" i="25"/>
  <c r="AJ526" i="25"/>
  <c r="H526" i="25"/>
  <c r="O99" i="25"/>
  <c r="AJ99" i="25"/>
  <c r="AJ506" i="25"/>
  <c r="AJ479" i="25"/>
  <c r="AH479" i="25" s="1"/>
  <c r="AJ110" i="25"/>
  <c r="P203" i="25"/>
  <c r="AJ203" i="25"/>
  <c r="H203" i="25"/>
  <c r="AJ308" i="25"/>
  <c r="AJ322" i="25"/>
  <c r="AJ157" i="25"/>
  <c r="P297" i="25"/>
  <c r="AJ297" i="25"/>
  <c r="AJ572" i="25"/>
  <c r="AJ168" i="25"/>
  <c r="O192" i="25"/>
  <c r="AJ192" i="25"/>
  <c r="AJ416" i="25"/>
  <c r="AJ71" i="25"/>
  <c r="H71" i="25"/>
  <c r="R232" i="25"/>
  <c r="AJ232" i="25"/>
  <c r="H232" i="25"/>
  <c r="AJ34" i="25"/>
  <c r="AJ590" i="25"/>
  <c r="AH590" i="25" s="1"/>
  <c r="AJ404" i="25"/>
  <c r="O140" i="25"/>
  <c r="AJ140" i="25"/>
  <c r="AJ430" i="25"/>
  <c r="O252" i="25"/>
  <c r="AJ252" i="25"/>
  <c r="AJ253" i="25"/>
  <c r="H253" i="25"/>
  <c r="AJ106" i="25"/>
  <c r="AJ573" i="25"/>
  <c r="AJ584" i="25"/>
  <c r="O108" i="25"/>
  <c r="AJ108" i="25"/>
  <c r="O128" i="25"/>
  <c r="AJ128" i="25"/>
  <c r="H128" i="25"/>
  <c r="AJ130" i="25"/>
  <c r="H130" i="25"/>
  <c r="AJ426" i="25"/>
  <c r="H426" i="25"/>
  <c r="AJ335" i="25"/>
  <c r="H335" i="25"/>
  <c r="P539" i="25"/>
  <c r="AJ539" i="25"/>
  <c r="AJ451" i="25"/>
  <c r="N229" i="25"/>
  <c r="AJ229" i="25"/>
  <c r="O570" i="25"/>
  <c r="AJ570" i="25"/>
  <c r="AJ324" i="25"/>
  <c r="N493" i="25"/>
  <c r="AJ493" i="25"/>
  <c r="AJ196" i="25"/>
  <c r="H196" i="25"/>
  <c r="AT196" i="25" s="1"/>
  <c r="AJ198" i="25"/>
  <c r="AJ406" i="25"/>
  <c r="AJ61" i="25"/>
  <c r="H61" i="25"/>
  <c r="O372" i="25"/>
  <c r="AJ372" i="25"/>
  <c r="O79" i="25"/>
  <c r="AJ79" i="25"/>
  <c r="AJ500" i="25"/>
  <c r="AJ510" i="25"/>
  <c r="AJ144" i="25"/>
  <c r="AJ193" i="25"/>
  <c r="H193" i="25"/>
  <c r="R6" i="25"/>
  <c r="AJ6" i="25"/>
  <c r="H6" i="25"/>
  <c r="P49" i="25"/>
  <c r="AJ49" i="25"/>
  <c r="AH49" i="25" s="1"/>
  <c r="AJ285" i="25"/>
  <c r="P456" i="25"/>
  <c r="AJ456" i="25"/>
  <c r="H456" i="25"/>
  <c r="AJ379" i="25"/>
  <c r="O417" i="25"/>
  <c r="AJ417" i="25"/>
  <c r="AJ162" i="25"/>
  <c r="H162" i="25"/>
  <c r="R98" i="25"/>
  <c r="AJ98" i="25"/>
  <c r="H98" i="25"/>
  <c r="N277" i="25"/>
  <c r="AJ277" i="25"/>
  <c r="O558" i="25"/>
  <c r="AJ558" i="25"/>
  <c r="O594" i="25"/>
  <c r="AJ594" i="25"/>
  <c r="AJ50" i="25"/>
  <c r="Q481" i="25"/>
  <c r="AJ481" i="25"/>
  <c r="H481" i="25"/>
  <c r="AJ205" i="25"/>
  <c r="O363" i="25"/>
  <c r="AJ363" i="25"/>
  <c r="P591" i="25"/>
  <c r="AJ591" i="25"/>
  <c r="P158" i="25"/>
  <c r="AJ158" i="25"/>
  <c r="AJ227" i="25"/>
  <c r="G244" i="25"/>
  <c r="AR244" i="25" s="1"/>
  <c r="AJ244" i="25"/>
  <c r="H244" i="25"/>
  <c r="P332" i="25"/>
  <c r="AJ332" i="25"/>
  <c r="O292" i="25"/>
  <c r="AJ292" i="25"/>
  <c r="AJ269" i="25"/>
  <c r="H269" i="25"/>
  <c r="AJ2" i="25"/>
  <c r="O62" i="25"/>
  <c r="AJ62" i="25"/>
  <c r="AJ596" i="25"/>
  <c r="AJ95" i="25"/>
  <c r="AJ528" i="25"/>
  <c r="H528" i="25"/>
  <c r="AJ104" i="25"/>
  <c r="H104" i="25"/>
  <c r="AJ267" i="25"/>
  <c r="P270" i="25"/>
  <c r="AJ270" i="25"/>
  <c r="AJ413" i="25"/>
  <c r="AJ224" i="25"/>
  <c r="H224" i="25"/>
  <c r="AJ519" i="25"/>
  <c r="H519" i="25"/>
  <c r="AJ339" i="25"/>
  <c r="H339" i="25"/>
  <c r="O230" i="25"/>
  <c r="AJ230" i="25"/>
  <c r="AH230" i="25" s="1"/>
  <c r="AJ310" i="25"/>
  <c r="H310" i="25"/>
  <c r="P186" i="25"/>
  <c r="AJ186" i="25"/>
  <c r="H186" i="25"/>
  <c r="AJ546" i="25"/>
  <c r="P521" i="25"/>
  <c r="AJ521" i="25"/>
  <c r="H521" i="25"/>
  <c r="AJ370" i="25"/>
  <c r="H370" i="25"/>
  <c r="R564" i="25"/>
  <c r="AJ564" i="25"/>
  <c r="AJ209" i="25"/>
  <c r="H209" i="25"/>
  <c r="AJ120" i="25"/>
  <c r="H120" i="25"/>
  <c r="AJ199" i="25"/>
  <c r="H199" i="25"/>
  <c r="AJ287" i="25"/>
  <c r="H287" i="25"/>
  <c r="H376" i="25"/>
  <c r="AJ376" i="25"/>
  <c r="P35" i="25"/>
  <c r="AJ35" i="25"/>
  <c r="AJ320" i="25"/>
  <c r="P402" i="25"/>
  <c r="AJ402" i="25"/>
  <c r="AJ202" i="25"/>
  <c r="H202" i="25"/>
  <c r="AJ313" i="25"/>
  <c r="AJ117" i="25"/>
  <c r="H117" i="25"/>
  <c r="O38" i="25"/>
  <c r="AJ38" i="25"/>
  <c r="AJ19" i="25"/>
  <c r="H19" i="25"/>
  <c r="P216" i="25"/>
  <c r="AJ216" i="25"/>
  <c r="AJ211" i="25"/>
  <c r="H211" i="25"/>
  <c r="AJ569" i="25"/>
  <c r="R42" i="25"/>
  <c r="AJ42" i="25"/>
  <c r="H42" i="25"/>
  <c r="AJ274" i="25"/>
  <c r="AC565" i="25"/>
  <c r="AV472" i="25"/>
  <c r="AW472" i="25" s="1"/>
  <c r="S472" i="25" a="1"/>
  <c r="S472" i="25" s="1"/>
  <c r="AB472" i="25" s="1"/>
  <c r="AG472" i="25" s="1"/>
  <c r="AB585" i="25"/>
  <c r="AG585" i="25" s="1"/>
  <c r="AV356" i="25"/>
  <c r="AW356" i="25" s="1"/>
  <c r="S356" i="25" a="1"/>
  <c r="S356" i="25" s="1"/>
  <c r="AB356" i="25" s="1"/>
  <c r="AV271" i="25"/>
  <c r="AW271" i="25" s="1"/>
  <c r="S271" i="25" a="1"/>
  <c r="S271" i="25" s="1"/>
  <c r="AB271" i="25" s="1"/>
  <c r="AG271" i="25" s="1"/>
  <c r="AV482" i="25"/>
  <c r="AW482" i="25" s="1"/>
  <c r="S482" i="25" a="1"/>
  <c r="S482" i="25" s="1"/>
  <c r="AB482" i="25" s="1"/>
  <c r="AG482" i="25" s="1"/>
  <c r="AV345" i="25"/>
  <c r="AW345" i="25" s="1"/>
  <c r="S345" i="25" a="1"/>
  <c r="S345" i="25" s="1"/>
  <c r="AB345" i="25" s="1"/>
  <c r="AG345" i="25" s="1"/>
  <c r="AV368" i="25"/>
  <c r="AW368" i="25" s="1"/>
  <c r="S368" i="25" a="1"/>
  <c r="S368" i="25" s="1"/>
  <c r="AB368" i="25" s="1"/>
  <c r="AG368" i="25" s="1"/>
  <c r="AB199" i="25"/>
  <c r="AG199" i="25" s="1"/>
  <c r="AV419" i="25"/>
  <c r="AW419" i="25" s="1"/>
  <c r="S419" i="25" a="1"/>
  <c r="S419" i="25" s="1"/>
  <c r="AB419" i="25" s="1"/>
  <c r="AG419" i="25" s="1"/>
  <c r="AB35" i="25"/>
  <c r="AG35" i="25" s="1"/>
  <c r="AB402" i="25"/>
  <c r="AG402" i="25" s="1"/>
  <c r="AV313" i="25"/>
  <c r="AW313" i="25" s="1"/>
  <c r="S313" i="25" a="1"/>
  <c r="S313" i="25" s="1"/>
  <c r="AB313" i="25" s="1"/>
  <c r="AG313" i="25" s="1"/>
  <c r="AV33" i="25"/>
  <c r="AW33" i="25" s="1"/>
  <c r="S33" i="25" a="1"/>
  <c r="S33" i="25" s="1"/>
  <c r="AB33" i="25" s="1"/>
  <c r="AG33" i="25" s="1"/>
  <c r="AB19" i="25"/>
  <c r="AG19" i="25" s="1"/>
  <c r="AV211" i="25"/>
  <c r="AW211" i="25" s="1"/>
  <c r="S211" i="25" a="1"/>
  <c r="S211" i="25" s="1"/>
  <c r="AB211" i="25" s="1"/>
  <c r="AG211" i="25" s="1"/>
  <c r="AV42" i="25"/>
  <c r="AW42" i="25" s="1"/>
  <c r="S42" i="25" a="1"/>
  <c r="S42" i="25" s="1"/>
  <c r="AB42" i="25" s="1"/>
  <c r="AG42" i="25" s="1"/>
  <c r="AV40" i="25"/>
  <c r="AW40" i="25" s="1"/>
  <c r="S40" i="25" a="1"/>
  <c r="S40" i="25" s="1"/>
  <c r="AB40" i="25" s="1"/>
  <c r="AV229" i="25"/>
  <c r="AW229" i="25" s="1"/>
  <c r="S229" i="25" a="1"/>
  <c r="S229" i="25" s="1"/>
  <c r="AB229" i="25" s="1"/>
  <c r="AG229" i="25" s="1"/>
  <c r="AV184" i="25"/>
  <c r="AW184" i="25" s="1"/>
  <c r="S184" i="25" a="1"/>
  <c r="S184" i="25" s="1"/>
  <c r="AB184" i="25" s="1"/>
  <c r="AG184" i="25" s="1"/>
  <c r="AV493" i="25"/>
  <c r="AW493" i="25" s="1"/>
  <c r="S493" i="25" a="1"/>
  <c r="S493" i="25" s="1"/>
  <c r="AB493" i="25" s="1"/>
  <c r="AG493" i="25" s="1"/>
  <c r="AB198" i="25"/>
  <c r="AG198" i="25" s="1"/>
  <c r="AV61" i="25"/>
  <c r="AW61" i="25" s="1"/>
  <c r="S61" i="25" a="1"/>
  <c r="S61" i="25" s="1"/>
  <c r="AB61" i="25" s="1"/>
  <c r="AG61" i="25" s="1"/>
  <c r="AV79" i="25"/>
  <c r="AW79" i="25" s="1"/>
  <c r="S79" i="25" a="1"/>
  <c r="S79" i="25" s="1"/>
  <c r="AB79" i="25" s="1"/>
  <c r="AG79" i="25" s="1"/>
  <c r="AV183" i="25"/>
  <c r="AW183" i="25" s="1"/>
  <c r="S183" i="25" a="1"/>
  <c r="S183" i="25" s="1"/>
  <c r="AB183" i="25" s="1"/>
  <c r="AG183" i="25" s="1"/>
  <c r="AV362" i="25"/>
  <c r="AW362" i="25" s="1"/>
  <c r="S362" i="25" a="1"/>
  <c r="S362" i="25" s="1"/>
  <c r="AB362" i="25" s="1"/>
  <c r="AB301" i="25"/>
  <c r="AV159" i="25"/>
  <c r="AW159" i="25" s="1"/>
  <c r="S159" i="25" a="1"/>
  <c r="S159" i="25" s="1"/>
  <c r="AB159" i="25" s="1"/>
  <c r="AG159" i="25" s="1"/>
  <c r="AB551" i="25"/>
  <c r="AG551" i="25" s="1"/>
  <c r="AV44" i="25"/>
  <c r="AW44" i="25" s="1"/>
  <c r="S44" i="25" a="1"/>
  <c r="S44" i="25" s="1"/>
  <c r="AB44" i="25" s="1"/>
  <c r="AG44" i="25" s="1"/>
  <c r="AB420" i="25"/>
  <c r="AG420" i="25" s="1"/>
  <c r="AV508" i="25"/>
  <c r="AW508" i="25" s="1"/>
  <c r="S508" i="25" a="1"/>
  <c r="S508" i="25" s="1"/>
  <c r="AB508" i="25" s="1"/>
  <c r="AV432" i="25"/>
  <c r="AW432" i="25" s="1"/>
  <c r="S432" i="25" a="1"/>
  <c r="S432" i="25" s="1"/>
  <c r="AB432" i="25" s="1"/>
  <c r="AB365" i="25"/>
  <c r="AB221" i="25"/>
  <c r="AG221" i="25" s="1"/>
  <c r="AB560" i="25"/>
  <c r="AG560" i="25" s="1"/>
  <c r="AV382" i="25"/>
  <c r="AW382" i="25" s="1"/>
  <c r="S382" i="25" a="1"/>
  <c r="S382" i="25" s="1"/>
  <c r="AB382" i="25" s="1"/>
  <c r="AG382" i="25" s="1"/>
  <c r="AV378" i="25"/>
  <c r="AW378" i="25" s="1"/>
  <c r="S378" i="25" a="1"/>
  <c r="S378" i="25" s="1"/>
  <c r="AB378" i="25" s="1"/>
  <c r="AG378" i="25" s="1"/>
  <c r="AV227" i="25"/>
  <c r="AW227" i="25" s="1"/>
  <c r="S227" i="25" a="1"/>
  <c r="S227" i="25" s="1"/>
  <c r="AB227" i="25" s="1"/>
  <c r="AG227" i="25" s="1"/>
  <c r="AV2" i="25"/>
  <c r="AW2" i="25" s="1"/>
  <c r="S2" i="25" a="1"/>
  <c r="S2" i="25" s="1"/>
  <c r="AB2" i="25" s="1"/>
  <c r="AG2" i="25" s="1"/>
  <c r="AV16" i="25"/>
  <c r="AW16" i="25" s="1"/>
  <c r="S16" i="25" a="1"/>
  <c r="S16" i="25" s="1"/>
  <c r="AB16" i="25" s="1"/>
  <c r="AV264" i="25"/>
  <c r="AW264" i="25" s="1"/>
  <c r="S264" i="25" a="1"/>
  <c r="S264" i="25" s="1"/>
  <c r="AB264" i="25" s="1"/>
  <c r="AG264" i="25" s="1"/>
  <c r="AV370" i="25"/>
  <c r="AW370" i="25" s="1"/>
  <c r="S370" i="25" a="1"/>
  <c r="S370" i="25" s="1"/>
  <c r="AB370" i="25" s="1"/>
  <c r="AG370" i="25" s="1"/>
  <c r="AV435" i="25"/>
  <c r="AW435" i="25" s="1"/>
  <c r="S435" i="25" a="1"/>
  <c r="S435" i="25" s="1"/>
  <c r="AB435" i="25" s="1"/>
  <c r="AG435" i="25" s="1"/>
  <c r="AV364" i="25"/>
  <c r="AW364" i="25" s="1"/>
  <c r="S364" i="25" a="1"/>
  <c r="S364" i="25" s="1"/>
  <c r="AB364" i="25" s="1"/>
  <c r="AV164" i="25"/>
  <c r="AW164" i="25" s="1"/>
  <c r="S164" i="25" a="1"/>
  <c r="S164" i="25" s="1"/>
  <c r="AB164" i="25" s="1"/>
  <c r="AG164" i="25" s="1"/>
  <c r="AB258" i="25"/>
  <c r="AG258" i="25" s="1"/>
  <c r="AV526" i="25"/>
  <c r="AW526" i="25" s="1"/>
  <c r="S526" i="25" a="1"/>
  <c r="S526" i="25" s="1"/>
  <c r="AB526" i="25" s="1"/>
  <c r="AG526" i="25" s="1"/>
  <c r="AV388" i="25"/>
  <c r="AW388" i="25" s="1"/>
  <c r="S388" i="25" a="1"/>
  <c r="S388" i="25" s="1"/>
  <c r="AB388" i="25" s="1"/>
  <c r="AG388" i="25" s="1"/>
  <c r="AB567" i="25"/>
  <c r="AV322" i="25"/>
  <c r="AW322" i="25" s="1"/>
  <c r="S322" i="25" a="1"/>
  <c r="S322" i="25" s="1"/>
  <c r="AB322" i="25" s="1"/>
  <c r="AV13" i="25"/>
  <c r="AW13" i="25" s="1"/>
  <c r="S13" i="25" a="1"/>
  <c r="S13" i="25" s="1"/>
  <c r="AB13" i="25" s="1"/>
  <c r="AV380" i="25"/>
  <c r="AW380" i="25" s="1"/>
  <c r="S380" i="25" a="1"/>
  <c r="S380" i="25" s="1"/>
  <c r="AB380" i="25" s="1"/>
  <c r="AG380" i="25" s="1"/>
  <c r="AV192" i="25"/>
  <c r="AW192" i="25" s="1"/>
  <c r="S192" i="25" a="1"/>
  <c r="S192" i="25" s="1"/>
  <c r="AB192" i="25" s="1"/>
  <c r="AG192" i="25" s="1"/>
  <c r="AV416" i="25"/>
  <c r="AW416" i="25" s="1"/>
  <c r="S416" i="25" a="1"/>
  <c r="S416" i="25" s="1"/>
  <c r="AB416" i="25" s="1"/>
  <c r="AG416" i="25" s="1"/>
  <c r="AV232" i="25"/>
  <c r="AW232" i="25" s="1"/>
  <c r="S232" i="25" a="1"/>
  <c r="S232" i="25" s="1"/>
  <c r="AB232" i="25" s="1"/>
  <c r="AG232" i="25" s="1"/>
  <c r="AB547" i="25"/>
  <c r="AV404" i="25"/>
  <c r="AW404" i="25" s="1"/>
  <c r="S404" i="25" a="1"/>
  <c r="S404" i="25" s="1"/>
  <c r="AB404" i="25" s="1"/>
  <c r="AG404" i="25" s="1"/>
  <c r="AV140" i="25"/>
  <c r="AW140" i="25" s="1"/>
  <c r="S140" i="25" a="1"/>
  <c r="S140" i="25" s="1"/>
  <c r="AB140" i="25" s="1"/>
  <c r="AG140" i="25" s="1"/>
  <c r="AV352" i="25"/>
  <c r="AW352" i="25" s="1"/>
  <c r="S352" i="25" a="1"/>
  <c r="S352" i="25" s="1"/>
  <c r="AB352" i="25" s="1"/>
  <c r="AG352" i="25" s="1"/>
  <c r="AB573" i="25"/>
  <c r="AG573" i="25" s="1"/>
  <c r="AV108" i="25"/>
  <c r="AW108" i="25" s="1"/>
  <c r="S108" i="25" a="1"/>
  <c r="S108" i="25" s="1"/>
  <c r="AB108" i="25" s="1"/>
  <c r="AG108" i="25" s="1"/>
  <c r="AV428" i="25"/>
  <c r="AW428" i="25" s="1"/>
  <c r="S428" i="25" a="1"/>
  <c r="S428" i="25" s="1"/>
  <c r="AB428" i="25" s="1"/>
  <c r="AG428" i="25" s="1"/>
  <c r="AV367" i="25"/>
  <c r="AW367" i="25" s="1"/>
  <c r="S367" i="25" a="1"/>
  <c r="S367" i="25" s="1"/>
  <c r="AB367" i="25" s="1"/>
  <c r="AG367" i="25" s="1"/>
  <c r="AV476" i="25"/>
  <c r="AW476" i="25" s="1"/>
  <c r="S476" i="25" a="1"/>
  <c r="S476" i="25" s="1"/>
  <c r="AB476" i="25" s="1"/>
  <c r="AV317" i="25"/>
  <c r="AW317" i="25" s="1"/>
  <c r="S317" i="25" a="1"/>
  <c r="S317" i="25" s="1"/>
  <c r="AB317" i="25" s="1"/>
  <c r="AG317" i="25" s="1"/>
  <c r="AV452" i="25"/>
  <c r="AW452" i="25" s="1"/>
  <c r="S452" i="25" a="1"/>
  <c r="S452" i="25" s="1"/>
  <c r="AB452" i="25" s="1"/>
  <c r="AV475" i="25"/>
  <c r="AW475" i="25" s="1"/>
  <c r="S475" i="25" a="1"/>
  <c r="S475" i="25" s="1"/>
  <c r="AB475" i="25" s="1"/>
  <c r="AV556" i="25"/>
  <c r="AW556" i="25" s="1"/>
  <c r="S556" i="25" a="1"/>
  <c r="S556" i="25" s="1"/>
  <c r="AB556" i="25" s="1"/>
  <c r="AG556" i="25" s="1"/>
  <c r="AV369" i="25"/>
  <c r="AW369" i="25" s="1"/>
  <c r="S369" i="25" a="1"/>
  <c r="S369" i="25" s="1"/>
  <c r="AB369" i="25" s="1"/>
  <c r="AG369" i="25" s="1"/>
  <c r="AV561" i="25"/>
  <c r="AW561" i="25" s="1"/>
  <c r="S561" i="25" a="1"/>
  <c r="S561" i="25" s="1"/>
  <c r="AB561" i="25" s="1"/>
  <c r="AG561" i="25" s="1"/>
  <c r="AV97" i="25"/>
  <c r="AW97" i="25" s="1"/>
  <c r="S97" i="25" a="1"/>
  <c r="S97" i="25" s="1"/>
  <c r="AB97" i="25" s="1"/>
  <c r="AG97" i="25" s="1"/>
  <c r="AV256" i="25"/>
  <c r="AW256" i="25" s="1"/>
  <c r="S256" i="25" a="1"/>
  <c r="S256" i="25" s="1"/>
  <c r="AB256" i="25" s="1"/>
  <c r="AG256" i="25" s="1"/>
  <c r="AV497" i="25"/>
  <c r="AW497" i="25" s="1"/>
  <c r="S497" i="25" a="1"/>
  <c r="S497" i="25" s="1"/>
  <c r="AB497" i="25" s="1"/>
  <c r="AV63" i="25"/>
  <c r="AW63" i="25" s="1"/>
  <c r="S63" i="25" a="1"/>
  <c r="S63" i="25" s="1"/>
  <c r="AB63" i="25" s="1"/>
  <c r="AG63" i="25" s="1"/>
  <c r="AV141" i="25"/>
  <c r="AW141" i="25" s="1"/>
  <c r="S141" i="25" a="1"/>
  <c r="S141" i="25" s="1"/>
  <c r="AB141" i="25" s="1"/>
  <c r="AG141" i="25" s="1"/>
  <c r="AV448" i="25"/>
  <c r="AW448" i="25" s="1"/>
  <c r="S448" i="25" a="1"/>
  <c r="S448" i="25" s="1"/>
  <c r="AB448" i="25" s="1"/>
  <c r="AV417" i="25"/>
  <c r="AW417" i="25" s="1"/>
  <c r="S417" i="25" a="1"/>
  <c r="S417" i="25" s="1"/>
  <c r="AB417" i="25" s="1"/>
  <c r="AG417" i="25" s="1"/>
  <c r="AV552" i="25"/>
  <c r="AW552" i="25" s="1"/>
  <c r="S552" i="25" a="1"/>
  <c r="S552" i="25" s="1"/>
  <c r="AB552" i="25" s="1"/>
  <c r="AG552" i="25" s="1"/>
  <c r="AV277" i="25"/>
  <c r="AW277" i="25" s="1"/>
  <c r="S277" i="25" a="1"/>
  <c r="S277" i="25" s="1"/>
  <c r="AB277" i="25" s="1"/>
  <c r="AG277" i="25" s="1"/>
  <c r="AV594" i="25"/>
  <c r="AW594" i="25" s="1"/>
  <c r="S594" i="25" a="1"/>
  <c r="S594" i="25" s="1"/>
  <c r="AB594" i="25" s="1"/>
  <c r="AG594" i="25" s="1"/>
  <c r="AV66" i="25"/>
  <c r="AW66" i="25" s="1"/>
  <c r="S66" i="25" a="1"/>
  <c r="S66" i="25" s="1"/>
  <c r="AB66" i="25" s="1"/>
  <c r="AV165" i="25"/>
  <c r="AW165" i="25" s="1"/>
  <c r="S165" i="25" a="1"/>
  <c r="S165" i="25" s="1"/>
  <c r="AB165" i="25" s="1"/>
  <c r="AG165" i="25" s="1"/>
  <c r="AV149" i="25"/>
  <c r="AW149" i="25" s="1"/>
  <c r="S149" i="25" a="1"/>
  <c r="S149" i="25" s="1"/>
  <c r="AB149" i="25" s="1"/>
  <c r="AG149" i="25" s="1"/>
  <c r="AV87" i="25"/>
  <c r="AW87" i="25" s="1"/>
  <c r="S87" i="25" a="1"/>
  <c r="S87" i="25" s="1"/>
  <c r="AB87" i="25" s="1"/>
  <c r="AG87" i="25" s="1"/>
  <c r="AV489" i="25"/>
  <c r="AW489" i="25" s="1"/>
  <c r="S489" i="25" a="1"/>
  <c r="S489" i="25" s="1"/>
  <c r="AB489" i="25" s="1"/>
  <c r="AG489" i="25" s="1"/>
  <c r="AV278" i="25"/>
  <c r="AW278" i="25" s="1"/>
  <c r="S278" i="25" a="1"/>
  <c r="S278" i="25" s="1"/>
  <c r="AB278" i="25" s="1"/>
  <c r="AV366" i="25"/>
  <c r="AW366" i="25" s="1"/>
  <c r="S366" i="25" a="1"/>
  <c r="S366" i="25" s="1"/>
  <c r="AB366" i="25" s="1"/>
  <c r="AG366" i="25" s="1"/>
  <c r="AV407" i="25"/>
  <c r="AW407" i="25" s="1"/>
  <c r="S407" i="25" a="1"/>
  <c r="S407" i="25" s="1"/>
  <c r="AB407" i="25" s="1"/>
  <c r="AG407" i="25" s="1"/>
  <c r="AV158" i="25"/>
  <c r="AW158" i="25" s="1"/>
  <c r="S158" i="25" a="1"/>
  <c r="S158" i="25" s="1"/>
  <c r="AB158" i="25" s="1"/>
  <c r="AG158" i="25" s="1"/>
  <c r="AB269" i="25"/>
  <c r="AG269" i="25" s="1"/>
  <c r="AV528" i="25"/>
  <c r="AW528" i="25" s="1"/>
  <c r="S528" i="25" a="1"/>
  <c r="S528" i="25" s="1"/>
  <c r="AB528" i="25" s="1"/>
  <c r="AG528" i="25" s="1"/>
  <c r="AB519" i="25"/>
  <c r="AG519" i="25" s="1"/>
  <c r="AV206" i="25"/>
  <c r="AW206" i="25" s="1"/>
  <c r="S206" i="25" a="1"/>
  <c r="S206" i="25" s="1"/>
  <c r="AB206" i="25" s="1"/>
  <c r="AG206" i="25" s="1"/>
  <c r="AV564" i="25"/>
  <c r="AW564" i="25" s="1"/>
  <c r="S564" i="25" a="1"/>
  <c r="S564" i="25" s="1"/>
  <c r="AB564" i="25" s="1"/>
  <c r="AV329" i="25"/>
  <c r="AW329" i="25" s="1"/>
  <c r="S329" i="25" a="1"/>
  <c r="S329" i="25" s="1"/>
  <c r="AB329" i="25" s="1"/>
  <c r="AG329" i="25" s="1"/>
  <c r="AV504" i="25"/>
  <c r="AW504" i="25" s="1"/>
  <c r="S504" i="25" a="1"/>
  <c r="S504" i="25" s="1"/>
  <c r="AB504" i="25" s="1"/>
  <c r="AV390" i="25"/>
  <c r="AW390" i="25" s="1"/>
  <c r="S390" i="25" a="1"/>
  <c r="S390" i="25" s="1"/>
  <c r="AB390" i="25" s="1"/>
  <c r="AG390" i="25" s="1"/>
  <c r="AV265" i="25"/>
  <c r="AW265" i="25" s="1"/>
  <c r="S265" i="25" a="1"/>
  <c r="S265" i="25" s="1"/>
  <c r="AB265" i="25" s="1"/>
  <c r="AG265" i="25" s="1"/>
  <c r="AV334" i="25"/>
  <c r="AW334" i="25" s="1"/>
  <c r="S334" i="25" a="1"/>
  <c r="S334" i="25" s="1"/>
  <c r="AB334" i="25" s="1"/>
  <c r="AG334" i="25" s="1"/>
  <c r="AV53" i="25"/>
  <c r="AW53" i="25" s="1"/>
  <c r="S53" i="25" a="1"/>
  <c r="S53" i="25" s="1"/>
  <c r="AB53" i="25" s="1"/>
  <c r="AG53" i="25" s="1"/>
  <c r="AB11" i="25"/>
  <c r="AG11" i="25" s="1"/>
  <c r="AV458" i="25"/>
  <c r="AW458" i="25" s="1"/>
  <c r="S458" i="25" a="1"/>
  <c r="S458" i="25" s="1"/>
  <c r="AB458" i="25" s="1"/>
  <c r="AG458" i="25" s="1"/>
  <c r="AV568" i="25"/>
  <c r="AW568" i="25" s="1"/>
  <c r="S568" i="25" a="1"/>
  <c r="S568" i="25" s="1"/>
  <c r="AB568" i="25" s="1"/>
  <c r="AG568" i="25" s="1"/>
  <c r="AB555" i="25"/>
  <c r="AV171" i="25"/>
  <c r="AW171" i="25" s="1"/>
  <c r="S171" i="25" a="1"/>
  <c r="S171" i="25" s="1"/>
  <c r="AB171" i="25" s="1"/>
  <c r="AG171" i="25" s="1"/>
  <c r="AV58" i="25"/>
  <c r="AW58" i="25" s="1"/>
  <c r="S58" i="25" a="1"/>
  <c r="S58" i="25" s="1"/>
  <c r="AB58" i="25" s="1"/>
  <c r="AG58" i="25" s="1"/>
  <c r="AV499" i="25"/>
  <c r="AW499" i="25" s="1"/>
  <c r="S499" i="25" a="1"/>
  <c r="S499" i="25" s="1"/>
  <c r="AB499" i="25" s="1"/>
  <c r="AG499" i="25" s="1"/>
  <c r="AV219" i="25"/>
  <c r="AW219" i="25" s="1"/>
  <c r="S219" i="25" a="1"/>
  <c r="S219" i="25" s="1"/>
  <c r="AB219" i="25" s="1"/>
  <c r="AG219" i="25" s="1"/>
  <c r="AV331" i="25"/>
  <c r="AW331" i="25" s="1"/>
  <c r="S331" i="25" a="1"/>
  <c r="S331" i="25" s="1"/>
  <c r="AB331" i="25" s="1"/>
  <c r="AG331" i="25" s="1"/>
  <c r="AV102" i="25"/>
  <c r="AW102" i="25" s="1"/>
  <c r="S102" i="25" a="1"/>
  <c r="S102" i="25" s="1"/>
  <c r="AB102" i="25" s="1"/>
  <c r="AG102" i="25" s="1"/>
  <c r="AV121" i="25"/>
  <c r="AW121" i="25" s="1"/>
  <c r="S121" i="25" a="1"/>
  <c r="S121" i="25" s="1"/>
  <c r="AB121" i="25" s="1"/>
  <c r="AV299" i="25"/>
  <c r="AW299" i="25" s="1"/>
  <c r="S299" i="25" a="1"/>
  <c r="S299" i="25" s="1"/>
  <c r="AB299" i="25" s="1"/>
  <c r="AV105" i="25"/>
  <c r="AW105" i="25" s="1"/>
  <c r="S105" i="25" a="1"/>
  <c r="S105" i="25" s="1"/>
  <c r="AB105" i="25" s="1"/>
  <c r="AG105" i="25" s="1"/>
  <c r="AV78" i="25"/>
  <c r="AW78" i="25" s="1"/>
  <c r="S78" i="25" a="1"/>
  <c r="S78" i="25" s="1"/>
  <c r="AB78" i="25" s="1"/>
  <c r="AG78" i="25" s="1"/>
  <c r="AV112" i="25"/>
  <c r="AW112" i="25" s="1"/>
  <c r="S112" i="25" a="1"/>
  <c r="S112" i="25" s="1"/>
  <c r="AB112" i="25" s="1"/>
  <c r="AG112" i="25" s="1"/>
  <c r="AV311" i="25"/>
  <c r="AW311" i="25" s="1"/>
  <c r="S311" i="25" a="1"/>
  <c r="S311" i="25" s="1"/>
  <c r="AB311" i="25" s="1"/>
  <c r="AG311" i="25" s="1"/>
  <c r="AV107" i="25"/>
  <c r="AW107" i="25" s="1"/>
  <c r="S107" i="25" a="1"/>
  <c r="S107" i="25" s="1"/>
  <c r="AB107" i="25" s="1"/>
  <c r="AG107" i="25" s="1"/>
  <c r="AV342" i="25"/>
  <c r="AW342" i="25" s="1"/>
  <c r="S342" i="25" a="1"/>
  <c r="S342" i="25" s="1"/>
  <c r="AB342" i="25" s="1"/>
  <c r="AV395" i="25"/>
  <c r="AW395" i="25" s="1"/>
  <c r="S395" i="25" a="1"/>
  <c r="S395" i="25" s="1"/>
  <c r="AB395" i="25" s="1"/>
  <c r="AG395" i="25" s="1"/>
  <c r="AV57" i="25"/>
  <c r="AW57" i="25" s="1"/>
  <c r="S57" i="25" a="1"/>
  <c r="S57" i="25" s="1"/>
  <c r="AB57" i="25" s="1"/>
  <c r="AG57" i="25" s="1"/>
  <c r="AV502" i="25"/>
  <c r="AW502" i="25" s="1"/>
  <c r="S502" i="25" a="1"/>
  <c r="S502" i="25" s="1"/>
  <c r="AB502" i="25" s="1"/>
  <c r="AV348" i="25"/>
  <c r="AW348" i="25" s="1"/>
  <c r="S348" i="25" a="1"/>
  <c r="S348" i="25" s="1"/>
  <c r="AB348" i="25" s="1"/>
  <c r="AG348" i="25" s="1"/>
  <c r="AV391" i="25"/>
  <c r="AW391" i="25" s="1"/>
  <c r="S391" i="25" a="1"/>
  <c r="S391" i="25" s="1"/>
  <c r="AB391" i="25" s="1"/>
  <c r="AG391" i="25" s="1"/>
  <c r="AV545" i="25"/>
  <c r="AW545" i="25" s="1"/>
  <c r="S545" i="25" a="1"/>
  <c r="S545" i="25" s="1"/>
  <c r="AB545" i="25" s="1"/>
  <c r="AG545" i="25" s="1"/>
  <c r="AV351" i="25"/>
  <c r="AW351" i="25" s="1"/>
  <c r="S351" i="25" a="1"/>
  <c r="S351" i="25" s="1"/>
  <c r="AB351" i="25" s="1"/>
  <c r="AG351" i="25" s="1"/>
  <c r="AV483" i="25"/>
  <c r="AW483" i="25" s="1"/>
  <c r="S483" i="25" a="1"/>
  <c r="S483" i="25" s="1"/>
  <c r="AB483" i="25" s="1"/>
  <c r="AG483" i="25" s="1"/>
  <c r="AV408" i="25"/>
  <c r="AW408" i="25" s="1"/>
  <c r="S408" i="25" a="1"/>
  <c r="S408" i="25" s="1"/>
  <c r="AB408" i="25" s="1"/>
  <c r="AV103" i="25"/>
  <c r="AW103" i="25" s="1"/>
  <c r="S103" i="25" a="1"/>
  <c r="S103" i="25" s="1"/>
  <c r="AB103" i="25" s="1"/>
  <c r="AG103" i="25" s="1"/>
  <c r="AV257" i="25"/>
  <c r="AW257" i="25" s="1"/>
  <c r="S257" i="25" a="1"/>
  <c r="S257" i="25" s="1"/>
  <c r="AB257" i="25" s="1"/>
  <c r="AG257" i="25" s="1"/>
  <c r="AV8" i="25"/>
  <c r="AW8" i="25" s="1"/>
  <c r="S8" i="25" a="1"/>
  <c r="S8" i="25" s="1"/>
  <c r="AB8" i="25" s="1"/>
  <c r="AG8" i="25" s="1"/>
  <c r="AV147" i="25"/>
  <c r="AW147" i="25" s="1"/>
  <c r="S147" i="25" a="1"/>
  <c r="S147" i="25" s="1"/>
  <c r="AB147" i="25" s="1"/>
  <c r="AG147" i="25" s="1"/>
  <c r="AV509" i="25"/>
  <c r="AW509" i="25" s="1"/>
  <c r="S509" i="25" a="1"/>
  <c r="S509" i="25" s="1"/>
  <c r="AB509" i="25" s="1"/>
  <c r="AG509" i="25" s="1"/>
  <c r="AV534" i="25"/>
  <c r="AW534" i="25" s="1"/>
  <c r="S534" i="25" a="1"/>
  <c r="S534" i="25" s="1"/>
  <c r="AB534" i="25" s="1"/>
  <c r="AG534" i="25" s="1"/>
  <c r="AV223" i="25"/>
  <c r="AW223" i="25" s="1"/>
  <c r="S223" i="25" a="1"/>
  <c r="S223" i="25" s="1"/>
  <c r="AB223" i="25" s="1"/>
  <c r="AG223" i="25" s="1"/>
  <c r="AV191" i="25"/>
  <c r="AW191" i="25" s="1"/>
  <c r="S191" i="25" a="1"/>
  <c r="S191" i="25" s="1"/>
  <c r="AB191" i="25" s="1"/>
  <c r="AG191" i="25" s="1"/>
  <c r="AV251" i="25"/>
  <c r="AW251" i="25" s="1"/>
  <c r="S251" i="25" a="1"/>
  <c r="S251" i="25" s="1"/>
  <c r="AB251" i="25" s="1"/>
  <c r="AG251" i="25" s="1"/>
  <c r="AV576" i="25"/>
  <c r="AW576" i="25" s="1"/>
  <c r="S576" i="25" a="1"/>
  <c r="S576" i="25" s="1"/>
  <c r="AB576" i="25" s="1"/>
  <c r="AV62" i="25"/>
  <c r="AW62" i="25" s="1"/>
  <c r="S62" i="25" a="1"/>
  <c r="S62" i="25" s="1"/>
  <c r="AB62" i="25" s="1"/>
  <c r="AG62" i="25" s="1"/>
  <c r="AB595" i="25"/>
  <c r="AV310" i="25"/>
  <c r="AW310" i="25" s="1"/>
  <c r="S310" i="25" a="1"/>
  <c r="S310" i="25" s="1"/>
  <c r="AB310" i="25" s="1"/>
  <c r="AG310" i="25" s="1"/>
  <c r="AB539" i="25"/>
  <c r="AG539" i="25" s="1"/>
  <c r="AV80" i="25"/>
  <c r="AW80" i="25" s="1"/>
  <c r="S80" i="25" a="1"/>
  <c r="S80" i="25" s="1"/>
  <c r="AB80" i="25" s="1"/>
  <c r="AV513" i="25"/>
  <c r="AW513" i="25" s="1"/>
  <c r="S513" i="25" a="1"/>
  <c r="S513" i="25" s="1"/>
  <c r="AB513" i="25" s="1"/>
  <c r="AG513" i="25" s="1"/>
  <c r="AV536" i="25"/>
  <c r="AW536" i="25" s="1"/>
  <c r="S536" i="25" a="1"/>
  <c r="S536" i="25" s="1"/>
  <c r="AB536" i="25" s="1"/>
  <c r="AV109" i="25"/>
  <c r="AW109" i="25" s="1"/>
  <c r="S109" i="25" a="1"/>
  <c r="S109" i="25" s="1"/>
  <c r="AB109" i="25" s="1"/>
  <c r="AG109" i="25" s="1"/>
  <c r="AV110" i="25"/>
  <c r="AW110" i="25" s="1"/>
  <c r="S110" i="25" a="1"/>
  <c r="S110" i="25" s="1"/>
  <c r="AB110" i="25" s="1"/>
  <c r="AV478" i="25"/>
  <c r="AW478" i="25" s="1"/>
  <c r="S478" i="25" a="1"/>
  <c r="S478" i="25" s="1"/>
  <c r="AB478" i="25" s="1"/>
  <c r="AG478" i="25" s="1"/>
  <c r="S23" i="25" a="1"/>
  <c r="S23" i="25" s="1"/>
  <c r="AB23" i="25" s="1"/>
  <c r="AG23" i="25" s="1"/>
  <c r="S17" i="25" a="1"/>
  <c r="S17" i="25" s="1"/>
  <c r="AB17" i="25" s="1"/>
  <c r="AG17" i="25" s="1"/>
  <c r="AM418" i="25"/>
  <c r="AS418" i="25"/>
  <c r="AM87" i="25"/>
  <c r="AO87" i="25" s="1"/>
  <c r="AS87" i="25"/>
  <c r="AM268" i="25"/>
  <c r="AS268" i="25"/>
  <c r="AM264" i="25"/>
  <c r="AS264" i="25"/>
  <c r="AM534" i="25"/>
  <c r="AO534" i="25" s="1"/>
  <c r="AS534" i="25"/>
  <c r="AM494" i="25"/>
  <c r="AS494" i="25"/>
  <c r="AM187" i="25"/>
  <c r="AS187" i="25"/>
  <c r="AM482" i="25"/>
  <c r="AO482" i="25" s="1"/>
  <c r="AS482" i="25"/>
  <c r="AM312" i="25"/>
  <c r="AO312" i="25" s="1"/>
  <c r="AS312" i="25"/>
  <c r="AM138" i="25"/>
  <c r="AS138" i="25"/>
  <c r="AM215" i="25"/>
  <c r="AS215" i="25"/>
  <c r="AM3" i="25"/>
  <c r="AS3" i="25"/>
  <c r="AH45" i="25"/>
  <c r="AH77" i="25"/>
  <c r="AH93" i="25"/>
  <c r="AH125" i="25"/>
  <c r="AH221" i="25"/>
  <c r="AH309" i="25"/>
  <c r="AH325" i="25"/>
  <c r="AH389" i="25"/>
  <c r="AC520" i="25"/>
  <c r="AH520" i="25" s="1"/>
  <c r="AC548" i="25"/>
  <c r="AH548" i="25" s="1"/>
  <c r="AC572" i="25"/>
  <c r="AH572" i="25" s="1"/>
  <c r="AC74" i="25"/>
  <c r="AH74" i="25" s="1"/>
  <c r="AC94" i="25"/>
  <c r="AH94" i="25" s="1"/>
  <c r="AC130" i="25"/>
  <c r="AH130" i="25" s="1"/>
  <c r="AC210" i="25"/>
  <c r="AH210" i="25" s="1"/>
  <c r="AC218" i="25"/>
  <c r="AH218" i="25" s="1"/>
  <c r="AC238" i="25"/>
  <c r="AC262" i="25"/>
  <c r="AH262" i="25" s="1"/>
  <c r="AC270" i="25"/>
  <c r="AH270" i="25" s="1"/>
  <c r="AC422" i="25"/>
  <c r="AH422" i="25" s="1"/>
  <c r="AC482" i="25"/>
  <c r="AH482" i="25" s="1"/>
  <c r="AC536" i="25"/>
  <c r="AC576" i="25"/>
  <c r="AC54" i="25"/>
  <c r="AC86" i="25"/>
  <c r="AH86" i="25" s="1"/>
  <c r="AC98" i="25"/>
  <c r="AH98" i="25" s="1"/>
  <c r="AC102" i="25"/>
  <c r="AH102" i="25" s="1"/>
  <c r="AC126" i="25"/>
  <c r="AH126" i="25" s="1"/>
  <c r="AC150" i="25"/>
  <c r="AH150" i="25" s="1"/>
  <c r="AC170" i="25"/>
  <c r="AH170" i="25" s="1"/>
  <c r="AC302" i="25"/>
  <c r="AC326" i="25"/>
  <c r="AH326" i="25" s="1"/>
  <c r="AC334" i="25"/>
  <c r="AH334" i="25" s="1"/>
  <c r="AC366" i="25"/>
  <c r="AH366" i="25" s="1"/>
  <c r="AC390" i="25"/>
  <c r="AH390" i="25" s="1"/>
  <c r="AC398" i="25"/>
  <c r="AC434" i="25"/>
  <c r="AH434" i="25" s="1"/>
  <c r="AC442" i="25"/>
  <c r="AC466" i="25"/>
  <c r="AH466" i="25" s="1"/>
  <c r="AC521" i="25"/>
  <c r="AH521" i="25" s="1"/>
  <c r="AC545" i="25"/>
  <c r="AH545" i="25" s="1"/>
  <c r="AC9" i="25"/>
  <c r="AH9" i="25" s="1"/>
  <c r="AC73" i="25"/>
  <c r="AC137" i="25"/>
  <c r="AH137" i="25" s="1"/>
  <c r="AC185" i="25"/>
  <c r="AH185" i="25" s="1"/>
  <c r="AC233" i="25"/>
  <c r="AH233" i="25" s="1"/>
  <c r="AC249" i="25"/>
  <c r="AH249" i="25" s="1"/>
  <c r="AC265" i="25"/>
  <c r="AH265" i="25" s="1"/>
  <c r="AC281" i="25"/>
  <c r="AH281" i="25" s="1"/>
  <c r="AJ342" i="25"/>
  <c r="O384" i="25"/>
  <c r="AJ384" i="25"/>
  <c r="AJ394" i="25"/>
  <c r="AJ347" i="25"/>
  <c r="AJ435" i="25"/>
  <c r="AJ80" i="25"/>
  <c r="H425" i="25"/>
  <c r="AJ425" i="25"/>
  <c r="AJ446" i="25"/>
  <c r="AJ540" i="25"/>
  <c r="AJ496" i="25"/>
  <c r="H496" i="25"/>
  <c r="AT496" i="25" s="1"/>
  <c r="AJ319" i="25"/>
  <c r="AJ390" i="25"/>
  <c r="AJ527" i="25"/>
  <c r="AJ82" i="25"/>
  <c r="AJ422" i="25"/>
  <c r="H422" i="25"/>
  <c r="AT422" i="25" s="1"/>
  <c r="AJ164" i="25"/>
  <c r="H164" i="25"/>
  <c r="AJ566" i="25"/>
  <c r="H566" i="25"/>
  <c r="AT566" i="25" s="1"/>
  <c r="AJ68" i="25"/>
  <c r="H68" i="25"/>
  <c r="AJ536" i="25"/>
  <c r="AJ551" i="25"/>
  <c r="AJ135" i="25"/>
  <c r="AJ76" i="25"/>
  <c r="AJ155" i="25"/>
  <c r="H155" i="25"/>
  <c r="AT155" i="25" s="1"/>
  <c r="AJ272" i="25"/>
  <c r="H272" i="25"/>
  <c r="AJ167" i="25"/>
  <c r="H167" i="25"/>
  <c r="AT167" i="25" s="1"/>
  <c r="AJ432" i="25"/>
  <c r="AJ245" i="25"/>
  <c r="H245" i="25"/>
  <c r="AJ237" i="25"/>
  <c r="AJ365" i="25"/>
  <c r="AJ340" i="25"/>
  <c r="H340" i="25"/>
  <c r="AT340" i="25" s="1"/>
  <c r="AJ295" i="25"/>
  <c r="O400" i="25"/>
  <c r="AJ400" i="25"/>
  <c r="AJ255" i="25"/>
  <c r="AJ574" i="25"/>
  <c r="AJ533" i="25"/>
  <c r="AJ346" i="25"/>
  <c r="AJ468" i="25"/>
  <c r="AJ398" i="25"/>
  <c r="AJ219" i="25"/>
  <c r="H219" i="25"/>
  <c r="AJ433" i="25"/>
  <c r="H433" i="25"/>
  <c r="P581" i="25"/>
  <c r="AJ581" i="25"/>
  <c r="AJ145" i="25"/>
  <c r="H145" i="25"/>
  <c r="AJ386" i="25"/>
  <c r="AJ136" i="25"/>
  <c r="H136" i="25"/>
  <c r="AJ438" i="25"/>
  <c r="AJ207" i="25"/>
  <c r="AJ582" i="25"/>
  <c r="AH582" i="25" s="1"/>
  <c r="AJ524" i="25"/>
  <c r="AJ243" i="25"/>
  <c r="H243" i="25"/>
  <c r="AT243" i="25" s="1"/>
  <c r="AJ112" i="25"/>
  <c r="H112" i="25"/>
  <c r="AJ525" i="25"/>
  <c r="AJ311" i="25"/>
  <c r="AJ263" i="25"/>
  <c r="AJ12" i="25"/>
  <c r="AH12" i="25" s="1"/>
  <c r="AC561" i="25"/>
  <c r="AH561" i="25" s="1"/>
  <c r="AV151" i="25"/>
  <c r="AW151" i="25" s="1"/>
  <c r="S151" i="25" a="1"/>
  <c r="S151" i="25" s="1"/>
  <c r="AB151" i="25" s="1"/>
  <c r="AG151" i="25" s="1"/>
  <c r="AV592" i="25"/>
  <c r="AW592" i="25" s="1"/>
  <c r="S592" i="25" a="1"/>
  <c r="S592" i="25" s="1"/>
  <c r="AB592" i="25" s="1"/>
  <c r="AG592" i="25" s="1"/>
  <c r="AV246" i="25"/>
  <c r="AW246" i="25" s="1"/>
  <c r="S246" i="25" a="1"/>
  <c r="S246" i="25" s="1"/>
  <c r="AB246" i="25" s="1"/>
  <c r="AG246" i="25" s="1"/>
  <c r="AV96" i="25"/>
  <c r="AW96" i="25" s="1"/>
  <c r="S96" i="25" a="1"/>
  <c r="S96" i="25" s="1"/>
  <c r="AB96" i="25" s="1"/>
  <c r="AG96" i="25" s="1"/>
  <c r="AV127" i="25"/>
  <c r="AW127" i="25" s="1"/>
  <c r="S127" i="25" a="1"/>
  <c r="S127" i="25" s="1"/>
  <c r="AB127" i="25" s="1"/>
  <c r="AG127" i="25" s="1"/>
  <c r="AV188" i="25"/>
  <c r="AW188" i="25" s="1"/>
  <c r="S188" i="25" a="1"/>
  <c r="S188" i="25" s="1"/>
  <c r="AB188" i="25" s="1"/>
  <c r="AV381" i="25"/>
  <c r="AW381" i="25" s="1"/>
  <c r="S381" i="25" a="1"/>
  <c r="S381" i="25" s="1"/>
  <c r="AB381" i="25" s="1"/>
  <c r="AG381" i="25" s="1"/>
  <c r="AV273" i="25"/>
  <c r="AW273" i="25" s="1"/>
  <c r="S273" i="25" a="1"/>
  <c r="S273" i="25" s="1"/>
  <c r="AB273" i="25" s="1"/>
  <c r="AV376" i="25"/>
  <c r="AW376" i="25" s="1"/>
  <c r="S376" i="25" a="1"/>
  <c r="S376" i="25" s="1"/>
  <c r="AB376" i="25" s="1"/>
  <c r="AG376" i="25" s="1"/>
  <c r="AV473" i="25"/>
  <c r="AW473" i="25" s="1"/>
  <c r="S473" i="25" a="1"/>
  <c r="S473" i="25" s="1"/>
  <c r="AB473" i="25" s="1"/>
  <c r="AV20" i="25"/>
  <c r="AW20" i="25" s="1"/>
  <c r="S20" i="25" a="1"/>
  <c r="S20" i="25" s="1"/>
  <c r="AB20" i="25" s="1"/>
  <c r="AV122" i="25"/>
  <c r="AW122" i="25" s="1"/>
  <c r="S122" i="25" a="1"/>
  <c r="S122" i="25" s="1"/>
  <c r="AB122" i="25" s="1"/>
  <c r="AG122" i="25" s="1"/>
  <c r="AV59" i="25"/>
  <c r="AW59" i="25" s="1"/>
  <c r="S59" i="25" a="1"/>
  <c r="S59" i="25" s="1"/>
  <c r="AB59" i="25" s="1"/>
  <c r="AG59" i="25" s="1"/>
  <c r="AV234" i="25"/>
  <c r="AW234" i="25" s="1"/>
  <c r="S234" i="25" a="1"/>
  <c r="S234" i="25" s="1"/>
  <c r="AB234" i="25" s="1"/>
  <c r="AG234" i="25" s="1"/>
  <c r="AV85" i="25"/>
  <c r="AW85" i="25" s="1"/>
  <c r="S85" i="25" a="1"/>
  <c r="S85" i="25" s="1"/>
  <c r="AB85" i="25" s="1"/>
  <c r="AV579" i="25"/>
  <c r="AW579" i="25" s="1"/>
  <c r="S579" i="25" a="1"/>
  <c r="S579" i="25" s="1"/>
  <c r="AB579" i="25" s="1"/>
  <c r="AB39" i="25"/>
  <c r="AG39" i="25" s="1"/>
  <c r="AV89" i="25"/>
  <c r="AW89" i="25" s="1"/>
  <c r="S89" i="25" a="1"/>
  <c r="S89" i="25" s="1"/>
  <c r="AB89" i="25" s="1"/>
  <c r="AG89" i="25" s="1"/>
  <c r="AV163" i="25"/>
  <c r="AW163" i="25" s="1"/>
  <c r="S163" i="25" a="1"/>
  <c r="S163" i="25" s="1"/>
  <c r="AB163" i="25" s="1"/>
  <c r="AB210" i="25"/>
  <c r="AG210" i="25" s="1"/>
  <c r="AV69" i="25"/>
  <c r="AW69" i="25" s="1"/>
  <c r="S69" i="25" a="1"/>
  <c r="S69" i="25" s="1"/>
  <c r="AB69" i="25" s="1"/>
  <c r="AB31" i="25"/>
  <c r="AV423" i="25"/>
  <c r="AW423" i="25" s="1"/>
  <c r="S423" i="25" a="1"/>
  <c r="S423" i="25" s="1"/>
  <c r="AB423" i="25" s="1"/>
  <c r="AG423" i="25" s="1"/>
  <c r="AV510" i="25"/>
  <c r="AW510" i="25" s="1"/>
  <c r="S510" i="25" a="1"/>
  <c r="S510" i="25" s="1"/>
  <c r="AB510" i="25" s="1"/>
  <c r="AG510" i="25" s="1"/>
  <c r="AV193" i="25"/>
  <c r="AW193" i="25" s="1"/>
  <c r="S193" i="25" a="1"/>
  <c r="S193" i="25" s="1"/>
  <c r="AB193" i="25" s="1"/>
  <c r="AG193" i="25" s="1"/>
  <c r="AV49" i="25"/>
  <c r="AW49" i="25" s="1"/>
  <c r="S49" i="25" a="1"/>
  <c r="S49" i="25" s="1"/>
  <c r="AB49" i="25" s="1"/>
  <c r="AG49" i="25" s="1"/>
  <c r="AV285" i="25"/>
  <c r="AW285" i="25" s="1"/>
  <c r="S285" i="25" a="1"/>
  <c r="S285" i="25" s="1"/>
  <c r="AB285" i="25" s="1"/>
  <c r="AG285" i="25" s="1"/>
  <c r="AV516" i="25"/>
  <c r="AW516" i="25" s="1"/>
  <c r="S516" i="25" a="1"/>
  <c r="S516" i="25" s="1"/>
  <c r="AB516" i="25" s="1"/>
  <c r="AG516" i="25" s="1"/>
  <c r="AV72" i="25"/>
  <c r="AW72" i="25" s="1"/>
  <c r="S72" i="25" a="1"/>
  <c r="S72" i="25" s="1"/>
  <c r="AB72" i="25" s="1"/>
  <c r="AG72" i="25" s="1"/>
  <c r="AV155" i="25"/>
  <c r="AW155" i="25" s="1"/>
  <c r="S155" i="25" a="1"/>
  <c r="S155" i="25" s="1"/>
  <c r="AB155" i="25" s="1"/>
  <c r="AG155" i="25" s="1"/>
  <c r="AV167" i="25"/>
  <c r="AW167" i="25" s="1"/>
  <c r="S167" i="25" a="1"/>
  <c r="S167" i="25" s="1"/>
  <c r="AB167" i="25" s="1"/>
  <c r="AG167" i="25" s="1"/>
  <c r="AV307" i="25"/>
  <c r="AW307" i="25" s="1"/>
  <c r="S307" i="25" a="1"/>
  <c r="S307" i="25" s="1"/>
  <c r="AB307" i="25" s="1"/>
  <c r="AB577" i="25"/>
  <c r="AG577" i="25" s="1"/>
  <c r="AV439" i="25"/>
  <c r="AW439" i="25" s="1"/>
  <c r="S439" i="25" a="1"/>
  <c r="S439" i="25" s="1"/>
  <c r="AB439" i="25" s="1"/>
  <c r="AV138" i="25"/>
  <c r="AW138" i="25" s="1"/>
  <c r="S138" i="25" a="1"/>
  <c r="S138" i="25" s="1"/>
  <c r="AB138" i="25" s="1"/>
  <c r="AG138" i="25" s="1"/>
  <c r="AV91" i="25"/>
  <c r="AW91" i="25" s="1"/>
  <c r="S91" i="25" a="1"/>
  <c r="S91" i="25" s="1"/>
  <c r="AB91" i="25" s="1"/>
  <c r="AG91" i="25" s="1"/>
  <c r="AV340" i="25"/>
  <c r="AW340" i="25" s="1"/>
  <c r="S340" i="25" a="1"/>
  <c r="S340" i="25" s="1"/>
  <c r="AB340" i="25" s="1"/>
  <c r="AG340" i="25" s="1"/>
  <c r="AV515" i="25"/>
  <c r="AW515" i="25" s="1"/>
  <c r="S515" i="25" a="1"/>
  <c r="S515" i="25" s="1"/>
  <c r="AB515" i="25" s="1"/>
  <c r="AG515" i="25" s="1"/>
  <c r="AV244" i="25"/>
  <c r="AW244" i="25" s="1"/>
  <c r="S244" i="25" a="1"/>
  <c r="S244" i="25" s="1"/>
  <c r="AB244" i="25" s="1"/>
  <c r="AV596" i="25"/>
  <c r="AW596" i="25" s="1"/>
  <c r="S596" i="25" a="1"/>
  <c r="S596" i="25" s="1"/>
  <c r="AB596" i="25" s="1"/>
  <c r="AG596" i="25" s="1"/>
  <c r="AV413" i="25"/>
  <c r="AW413" i="25" s="1"/>
  <c r="S413" i="25" a="1"/>
  <c r="S413" i="25" s="1"/>
  <c r="AB413" i="25" s="1"/>
  <c r="AG413" i="25" s="1"/>
  <c r="AV443" i="25"/>
  <c r="AW443" i="25" s="1"/>
  <c r="S443" i="25" a="1"/>
  <c r="S443" i="25" s="1"/>
  <c r="AB443" i="25" s="1"/>
  <c r="AB194" i="25"/>
  <c r="AG194" i="25" s="1"/>
  <c r="AV441" i="25"/>
  <c r="AW441" i="25" s="1"/>
  <c r="S441" i="25" a="1"/>
  <c r="S441" i="25" s="1"/>
  <c r="AB441" i="25" s="1"/>
  <c r="AV65" i="25"/>
  <c r="AW65" i="25" s="1"/>
  <c r="S65" i="25" a="1"/>
  <c r="S65" i="25" s="1"/>
  <c r="AB65" i="25" s="1"/>
  <c r="AG65" i="25" s="1"/>
  <c r="AV566" i="25"/>
  <c r="AW566" i="25" s="1"/>
  <c r="S566" i="25" a="1"/>
  <c r="S566" i="25" s="1"/>
  <c r="AB566" i="25" s="1"/>
  <c r="AG566" i="25" s="1"/>
  <c r="AV118" i="25"/>
  <c r="AW118" i="25" s="1"/>
  <c r="S118" i="25" a="1"/>
  <c r="S118" i="25" s="1"/>
  <c r="AB118" i="25" s="1"/>
  <c r="AG118" i="25" s="1"/>
  <c r="AV361" i="25"/>
  <c r="AW361" i="25" s="1"/>
  <c r="S361" i="25" a="1"/>
  <c r="S361" i="25" s="1"/>
  <c r="AB361" i="25" s="1"/>
  <c r="AG361" i="25" s="1"/>
  <c r="AV503" i="25"/>
  <c r="AW503" i="25" s="1"/>
  <c r="S503" i="25" a="1"/>
  <c r="S503" i="25" s="1"/>
  <c r="AB503" i="25" s="1"/>
  <c r="AG503" i="25" s="1"/>
  <c r="AV520" i="25"/>
  <c r="AW520" i="25" s="1"/>
  <c r="S520" i="25" a="1"/>
  <c r="S520" i="25" s="1"/>
  <c r="AB520" i="25" s="1"/>
  <c r="AG520" i="25" s="1"/>
  <c r="AV387" i="25"/>
  <c r="AW387" i="25" s="1"/>
  <c r="S387" i="25" a="1"/>
  <c r="S387" i="25" s="1"/>
  <c r="AB387" i="25" s="1"/>
  <c r="AV297" i="25"/>
  <c r="AW297" i="25" s="1"/>
  <c r="S297" i="25" a="1"/>
  <c r="S297" i="25" s="1"/>
  <c r="AB297" i="25" s="1"/>
  <c r="AG297" i="25" s="1"/>
  <c r="AV505" i="25"/>
  <c r="AW505" i="25" s="1"/>
  <c r="S505" i="25" a="1"/>
  <c r="S505" i="25" s="1"/>
  <c r="AB505" i="25" s="1"/>
  <c r="AG505" i="25" s="1"/>
  <c r="AV403" i="25"/>
  <c r="AW403" i="25" s="1"/>
  <c r="S403" i="25" a="1"/>
  <c r="S403" i="25" s="1"/>
  <c r="AB403" i="25" s="1"/>
  <c r="AG403" i="25" s="1"/>
  <c r="AV70" i="25"/>
  <c r="AW70" i="25" s="1"/>
  <c r="S70" i="25" a="1"/>
  <c r="S70" i="25" s="1"/>
  <c r="AB70" i="25" s="1"/>
  <c r="AV176" i="25"/>
  <c r="AW176" i="25" s="1"/>
  <c r="S176" i="25" a="1"/>
  <c r="S176" i="25" s="1"/>
  <c r="AB176" i="25" s="1"/>
  <c r="AG176" i="25" s="1"/>
  <c r="AV590" i="25"/>
  <c r="AW590" i="25" s="1"/>
  <c r="S590" i="25" a="1"/>
  <c r="S590" i="25" s="1"/>
  <c r="AB590" i="25" s="1"/>
  <c r="AG590" i="25" s="1"/>
  <c r="AV323" i="25"/>
  <c r="AW323" i="25" s="1"/>
  <c r="S323" i="25" a="1"/>
  <c r="S323" i="25" s="1"/>
  <c r="AB323" i="25" s="1"/>
  <c r="AG323" i="25" s="1"/>
  <c r="AV583" i="25"/>
  <c r="AW583" i="25" s="1"/>
  <c r="S583" i="25" a="1"/>
  <c r="S583" i="25" s="1"/>
  <c r="AB583" i="25" s="1"/>
  <c r="AG583" i="25" s="1"/>
  <c r="AV252" i="25"/>
  <c r="AW252" i="25" s="1"/>
  <c r="S252" i="25" a="1"/>
  <c r="S252" i="25" s="1"/>
  <c r="AB252" i="25" s="1"/>
  <c r="AG252" i="25" s="1"/>
  <c r="AV28" i="25"/>
  <c r="AW28" i="25" s="1"/>
  <c r="S28" i="25" a="1"/>
  <c r="S28" i="25" s="1"/>
  <c r="AB28" i="25" s="1"/>
  <c r="AV518" i="25"/>
  <c r="AW518" i="25" s="1"/>
  <c r="S518" i="25" a="1"/>
  <c r="S518" i="25" s="1"/>
  <c r="AB518" i="25" s="1"/>
  <c r="AV7" i="25"/>
  <c r="AW7" i="25" s="1"/>
  <c r="S7" i="25" a="1"/>
  <c r="S7" i="25" s="1"/>
  <c r="AB7" i="25" s="1"/>
  <c r="AG7" i="25" s="1"/>
  <c r="AV130" i="25"/>
  <c r="AW130" i="25" s="1"/>
  <c r="S130" i="25" a="1"/>
  <c r="S130" i="25" s="1"/>
  <c r="AB130" i="25" s="1"/>
  <c r="AG130" i="25" s="1"/>
  <c r="AV543" i="25"/>
  <c r="AW543" i="25" s="1"/>
  <c r="S543" i="25" a="1"/>
  <c r="S543" i="25" s="1"/>
  <c r="AB543" i="25" s="1"/>
  <c r="AV290" i="25"/>
  <c r="AW290" i="25" s="1"/>
  <c r="S290" i="25" a="1"/>
  <c r="S290" i="25" s="1"/>
  <c r="AB290" i="25" s="1"/>
  <c r="AG290" i="25" s="1"/>
  <c r="AV374" i="25"/>
  <c r="AW374" i="25" s="1"/>
  <c r="S374" i="25" a="1"/>
  <c r="S374" i="25" s="1"/>
  <c r="AB374" i="25" s="1"/>
  <c r="AG374" i="25" s="1"/>
  <c r="AV90" i="25"/>
  <c r="AW90" i="25" s="1"/>
  <c r="S90" i="25" a="1"/>
  <c r="S90" i="25" s="1"/>
  <c r="AB90" i="25" s="1"/>
  <c r="AG90" i="25" s="1"/>
  <c r="AV411" i="25"/>
  <c r="AW411" i="25" s="1"/>
  <c r="S411" i="25" a="1"/>
  <c r="S411" i="25" s="1"/>
  <c r="AB411" i="25" s="1"/>
  <c r="AG411" i="25" s="1"/>
  <c r="AV488" i="25"/>
  <c r="AW488" i="25" s="1"/>
  <c r="S488" i="25" a="1"/>
  <c r="S488" i="25" s="1"/>
  <c r="AB488" i="25" s="1"/>
  <c r="AV529" i="25"/>
  <c r="AW529" i="25" s="1"/>
  <c r="S529" i="25" a="1"/>
  <c r="S529" i="25" s="1"/>
  <c r="AB529" i="25" s="1"/>
  <c r="AG529" i="25" s="1"/>
  <c r="AV355" i="25"/>
  <c r="AW355" i="25" s="1"/>
  <c r="S355" i="25" a="1"/>
  <c r="S355" i="25" s="1"/>
  <c r="AB355" i="25" s="1"/>
  <c r="AG355" i="25" s="1"/>
  <c r="AV578" i="25"/>
  <c r="AW578" i="25" s="1"/>
  <c r="S578" i="25" a="1"/>
  <c r="S578" i="25" s="1"/>
  <c r="AB578" i="25" s="1"/>
  <c r="AV385" i="25"/>
  <c r="AW385" i="25" s="1"/>
  <c r="S385" i="25" a="1"/>
  <c r="S385" i="25" s="1"/>
  <c r="AB385" i="25" s="1"/>
  <c r="AG385" i="25" s="1"/>
  <c r="AV389" i="25"/>
  <c r="AW389" i="25" s="1"/>
  <c r="S389" i="25" a="1"/>
  <c r="S389" i="25" s="1"/>
  <c r="AB389" i="25" s="1"/>
  <c r="AG389" i="25" s="1"/>
  <c r="AV541" i="25"/>
  <c r="AW541" i="25" s="1"/>
  <c r="S541" i="25" a="1"/>
  <c r="S541" i="25" s="1"/>
  <c r="AB541" i="25" s="1"/>
  <c r="AG541" i="25" s="1"/>
  <c r="AV418" i="25"/>
  <c r="AW418" i="25" s="1"/>
  <c r="S418" i="25" a="1"/>
  <c r="S418" i="25" s="1"/>
  <c r="AB418" i="25" s="1"/>
  <c r="AG418" i="25" s="1"/>
  <c r="AV379" i="25"/>
  <c r="AW379" i="25" s="1"/>
  <c r="S379" i="25" a="1"/>
  <c r="S379" i="25" s="1"/>
  <c r="AB379" i="25" s="1"/>
  <c r="AV517" i="25"/>
  <c r="AW517" i="25" s="1"/>
  <c r="S517" i="25" a="1"/>
  <c r="S517" i="25" s="1"/>
  <c r="AB517" i="25" s="1"/>
  <c r="AG517" i="25" s="1"/>
  <c r="AB98" i="25"/>
  <c r="AV170" i="25"/>
  <c r="AW170" i="25" s="1"/>
  <c r="S170" i="25" a="1"/>
  <c r="S170" i="25" s="1"/>
  <c r="AB170" i="25" s="1"/>
  <c r="AG170" i="25" s="1"/>
  <c r="AV111" i="25"/>
  <c r="AW111" i="25" s="1"/>
  <c r="S111" i="25" a="1"/>
  <c r="S111" i="25" s="1"/>
  <c r="AB111" i="25" s="1"/>
  <c r="AG111" i="25" s="1"/>
  <c r="AV481" i="25"/>
  <c r="AW481" i="25" s="1"/>
  <c r="S481" i="25" a="1"/>
  <c r="S481" i="25" s="1"/>
  <c r="AB481" i="25" s="1"/>
  <c r="AG481" i="25" s="1"/>
  <c r="AV175" i="25"/>
  <c r="AW175" i="25" s="1"/>
  <c r="S175" i="25" a="1"/>
  <c r="S175" i="25" s="1"/>
  <c r="AB175" i="25" s="1"/>
  <c r="AG175" i="25" s="1"/>
  <c r="AV77" i="25"/>
  <c r="AW77" i="25" s="1"/>
  <c r="S77" i="25" a="1"/>
  <c r="S77" i="25" s="1"/>
  <c r="AB77" i="25" s="1"/>
  <c r="AG77" i="25" s="1"/>
  <c r="AV228" i="25"/>
  <c r="AW228" i="25" s="1"/>
  <c r="S228" i="25" a="1"/>
  <c r="S228" i="25" s="1"/>
  <c r="AB228" i="25" s="1"/>
  <c r="AG228" i="25" s="1"/>
  <c r="AV73" i="25"/>
  <c r="AW73" i="25" s="1"/>
  <c r="S73" i="25" a="1"/>
  <c r="S73" i="25" s="1"/>
  <c r="AB73" i="25" s="1"/>
  <c r="AV92" i="25"/>
  <c r="AW92" i="25" s="1"/>
  <c r="S92" i="25" a="1"/>
  <c r="S92" i="25" s="1"/>
  <c r="AB92" i="25" s="1"/>
  <c r="AG92" i="25" s="1"/>
  <c r="AV133" i="25"/>
  <c r="AW133" i="25" s="1"/>
  <c r="S133" i="25" a="1"/>
  <c r="S133" i="25" s="1"/>
  <c r="AB133" i="25" s="1"/>
  <c r="AG133" i="25" s="1"/>
  <c r="AV444" i="25"/>
  <c r="AW444" i="25" s="1"/>
  <c r="S444" i="25" a="1"/>
  <c r="S444" i="25" s="1"/>
  <c r="AB444" i="25" s="1"/>
  <c r="AV486" i="25"/>
  <c r="AW486" i="25" s="1"/>
  <c r="S486" i="25" a="1"/>
  <c r="S486" i="25" s="1"/>
  <c r="AB486" i="25" s="1"/>
  <c r="AV302" i="25"/>
  <c r="AW302" i="25" s="1"/>
  <c r="S302" i="25" a="1"/>
  <c r="S302" i="25" s="1"/>
  <c r="AB302" i="25" s="1"/>
  <c r="AV94" i="25"/>
  <c r="AW94" i="25" s="1"/>
  <c r="S94" i="25" a="1"/>
  <c r="S94" i="25" s="1"/>
  <c r="AB94" i="25" s="1"/>
  <c r="AG94" i="25" s="1"/>
  <c r="AV201" i="25"/>
  <c r="AW201" i="25" s="1"/>
  <c r="S201" i="25" a="1"/>
  <c r="S201" i="25" s="1"/>
  <c r="AB201" i="25" s="1"/>
  <c r="AG201" i="25" s="1"/>
  <c r="AV546" i="25"/>
  <c r="AW546" i="25" s="1"/>
  <c r="S546" i="25" a="1"/>
  <c r="S546" i="25" s="1"/>
  <c r="AB546" i="25" s="1"/>
  <c r="AG546" i="25" s="1"/>
  <c r="AV554" i="25"/>
  <c r="AW554" i="25" s="1"/>
  <c r="S554" i="25" a="1"/>
  <c r="S554" i="25" s="1"/>
  <c r="AB554" i="25" s="1"/>
  <c r="AV315" i="25"/>
  <c r="AW315" i="25" s="1"/>
  <c r="S315" i="25" a="1"/>
  <c r="S315" i="25" s="1"/>
  <c r="AB315" i="25" s="1"/>
  <c r="AG315" i="25" s="1"/>
  <c r="AV540" i="25"/>
  <c r="AW540" i="25" s="1"/>
  <c r="S540" i="25" a="1"/>
  <c r="S540" i="25" s="1"/>
  <c r="AB540" i="25" s="1"/>
  <c r="AV527" i="25"/>
  <c r="AW527" i="25" s="1"/>
  <c r="S527" i="25" a="1"/>
  <c r="S527" i="25" s="1"/>
  <c r="AB527" i="25" s="1"/>
  <c r="AG527" i="25" s="1"/>
  <c r="AV68" i="25"/>
  <c r="AW68" i="25" s="1"/>
  <c r="S68" i="25" a="1"/>
  <c r="S68" i="25" s="1"/>
  <c r="AB68" i="25" s="1"/>
  <c r="AG68" i="25" s="1"/>
  <c r="AV421" i="25"/>
  <c r="AW421" i="25" s="1"/>
  <c r="S421" i="25" a="1"/>
  <c r="S421" i="25" s="1"/>
  <c r="AB421" i="25" s="1"/>
  <c r="AG421" i="25" s="1"/>
  <c r="AV52" i="25"/>
  <c r="AW52" i="25" s="1"/>
  <c r="S52" i="25" a="1"/>
  <c r="S52" i="25" s="1"/>
  <c r="AB52" i="25" s="1"/>
  <c r="AG52" i="25" s="1"/>
  <c r="AV436" i="25"/>
  <c r="AW436" i="25" s="1"/>
  <c r="S436" i="25" a="1"/>
  <c r="S436" i="25" s="1"/>
  <c r="AB436" i="25" s="1"/>
  <c r="AG436" i="25" s="1"/>
  <c r="AV113" i="25"/>
  <c r="AW113" i="25" s="1"/>
  <c r="S113" i="25" a="1"/>
  <c r="S113" i="25" s="1"/>
  <c r="AB113" i="25" s="1"/>
  <c r="AG113" i="25" s="1"/>
  <c r="AV295" i="25"/>
  <c r="AW295" i="25" s="1"/>
  <c r="S295" i="25" a="1"/>
  <c r="S295" i="25" s="1"/>
  <c r="AB295" i="25" s="1"/>
  <c r="AG295" i="25" s="1"/>
  <c r="AV255" i="25"/>
  <c r="AW255" i="25" s="1"/>
  <c r="S255" i="25" a="1"/>
  <c r="S255" i="25" s="1"/>
  <c r="AB255" i="25" s="1"/>
  <c r="AG255" i="25" s="1"/>
  <c r="AV453" i="25"/>
  <c r="AW453" i="25" s="1"/>
  <c r="S453" i="25" a="1"/>
  <c r="S453" i="25" s="1"/>
  <c r="AB453" i="25" s="1"/>
  <c r="AV346" i="25"/>
  <c r="AW346" i="25" s="1"/>
  <c r="S346" i="25" a="1"/>
  <c r="S346" i="25" s="1"/>
  <c r="AB346" i="25" s="1"/>
  <c r="AG346" i="25" s="1"/>
  <c r="AV300" i="25"/>
  <c r="AW300" i="25" s="1"/>
  <c r="S300" i="25" a="1"/>
  <c r="S300" i="25" s="1"/>
  <c r="AB300" i="25" s="1"/>
  <c r="AV399" i="25"/>
  <c r="AW399" i="25" s="1"/>
  <c r="S399" i="25" a="1"/>
  <c r="S399" i="25" s="1"/>
  <c r="AB399" i="25" s="1"/>
  <c r="AV581" i="25"/>
  <c r="AW581" i="25" s="1"/>
  <c r="S581" i="25" a="1"/>
  <c r="S581" i="25" s="1"/>
  <c r="AB581" i="25" s="1"/>
  <c r="AG581" i="25" s="1"/>
  <c r="AV575" i="25"/>
  <c r="AW575" i="25" s="1"/>
  <c r="S575" i="25" a="1"/>
  <c r="S575" i="25" s="1"/>
  <c r="AB575" i="25" s="1"/>
  <c r="AV136" i="25"/>
  <c r="AW136" i="25" s="1"/>
  <c r="S136" i="25" a="1"/>
  <c r="S136" i="25" s="1"/>
  <c r="AB136" i="25" s="1"/>
  <c r="AG136" i="25" s="1"/>
  <c r="AV445" i="25"/>
  <c r="AW445" i="25" s="1"/>
  <c r="S445" i="25" a="1"/>
  <c r="S445" i="25" s="1"/>
  <c r="AB445" i="25" s="1"/>
  <c r="AG445" i="25" s="1"/>
  <c r="AV582" i="25"/>
  <c r="AW582" i="25" s="1"/>
  <c r="S582" i="25" a="1"/>
  <c r="S582" i="25" s="1"/>
  <c r="AB582" i="25" s="1"/>
  <c r="AG582" i="25" s="1"/>
  <c r="AV580" i="25"/>
  <c r="AW580" i="25" s="1"/>
  <c r="S580" i="25" a="1"/>
  <c r="S580" i="25" s="1"/>
  <c r="AB580" i="25" s="1"/>
  <c r="AV86" i="25"/>
  <c r="AW86" i="25" s="1"/>
  <c r="S86" i="25" a="1"/>
  <c r="S86" i="25" s="1"/>
  <c r="AB86" i="25" s="1"/>
  <c r="AG86" i="25" s="1"/>
  <c r="AV214" i="25"/>
  <c r="AW214" i="25" s="1"/>
  <c r="S214" i="25" a="1"/>
  <c r="S214" i="25" s="1"/>
  <c r="AB214" i="25" s="1"/>
  <c r="AG214" i="25" s="1"/>
  <c r="AV218" i="25"/>
  <c r="AW218" i="25" s="1"/>
  <c r="S218" i="25" a="1"/>
  <c r="S218" i="25" s="1"/>
  <c r="AB218" i="25" s="1"/>
  <c r="AG218" i="25" s="1"/>
  <c r="AV291" i="25"/>
  <c r="AW291" i="25" s="1"/>
  <c r="S291" i="25" a="1"/>
  <c r="S291" i="25" s="1"/>
  <c r="AB291" i="25" s="1"/>
  <c r="AG291" i="25" s="1"/>
  <c r="AV562" i="25"/>
  <c r="AW562" i="25" s="1"/>
  <c r="S562" i="25" a="1"/>
  <c r="S562" i="25" s="1"/>
  <c r="AB562" i="25" s="1"/>
  <c r="AG562" i="25" s="1"/>
  <c r="AV327" i="25"/>
  <c r="AW327" i="25" s="1"/>
  <c r="S327" i="25" a="1"/>
  <c r="S327" i="25" s="1"/>
  <c r="AB327" i="25" s="1"/>
  <c r="AG327" i="25" s="1"/>
  <c r="AV15" i="25"/>
  <c r="AW15" i="25" s="1"/>
  <c r="S15" i="25" a="1"/>
  <c r="S15" i="25" s="1"/>
  <c r="AB15" i="25" s="1"/>
  <c r="AG15" i="25" s="1"/>
  <c r="AV213" i="25"/>
  <c r="AW213" i="25" s="1"/>
  <c r="S213" i="25" a="1"/>
  <c r="S213" i="25" s="1"/>
  <c r="AB213" i="25" s="1"/>
  <c r="AG213" i="25" s="1"/>
  <c r="AV262" i="25"/>
  <c r="AW262" i="25" s="1"/>
  <c r="S262" i="25" a="1"/>
  <c r="S262" i="25" s="1"/>
  <c r="AB262" i="25" s="1"/>
  <c r="AG262" i="25" s="1"/>
  <c r="AV375" i="25"/>
  <c r="AW375" i="25" s="1"/>
  <c r="S375" i="25" a="1"/>
  <c r="S375" i="25" s="1"/>
  <c r="AB375" i="25" s="1"/>
  <c r="AG375" i="25" s="1"/>
  <c r="AV100" i="25"/>
  <c r="AW100" i="25" s="1"/>
  <c r="S100" i="25" a="1"/>
  <c r="S100" i="25" s="1"/>
  <c r="AB100" i="25" s="1"/>
  <c r="AG100" i="25" s="1"/>
  <c r="AV537" i="25"/>
  <c r="AW537" i="25" s="1"/>
  <c r="S537" i="25" a="1"/>
  <c r="S537" i="25" s="1"/>
  <c r="AB537" i="25" s="1"/>
  <c r="AV501" i="25"/>
  <c r="AW501" i="25" s="1"/>
  <c r="S501" i="25" a="1"/>
  <c r="S501" i="25" s="1"/>
  <c r="AB501" i="25" s="1"/>
  <c r="AV51" i="25"/>
  <c r="AW51" i="25" s="1"/>
  <c r="S51" i="25" a="1"/>
  <c r="S51" i="25" s="1"/>
  <c r="AB51" i="25" s="1"/>
  <c r="AG51" i="25" s="1"/>
  <c r="AV178" i="25"/>
  <c r="AW178" i="25" s="1"/>
  <c r="S178" i="25" a="1"/>
  <c r="S178" i="25" s="1"/>
  <c r="AB178" i="25" s="1"/>
  <c r="AG178" i="25" s="1"/>
  <c r="AV409" i="25"/>
  <c r="AW409" i="25" s="1"/>
  <c r="S409" i="25" a="1"/>
  <c r="S409" i="25" s="1"/>
  <c r="AB409" i="25" s="1"/>
  <c r="AV161" i="25"/>
  <c r="AW161" i="25" s="1"/>
  <c r="S161" i="25" a="1"/>
  <c r="S161" i="25" s="1"/>
  <c r="AB161" i="25" s="1"/>
  <c r="AV281" i="25"/>
  <c r="AW281" i="25" s="1"/>
  <c r="S281" i="25" a="1"/>
  <c r="S281" i="25" s="1"/>
  <c r="AB281" i="25" s="1"/>
  <c r="AG281" i="25" s="1"/>
  <c r="AV156" i="25"/>
  <c r="AW156" i="25" s="1"/>
  <c r="S156" i="25" a="1"/>
  <c r="S156" i="25" s="1"/>
  <c r="AB156" i="25" s="1"/>
  <c r="AG156" i="25" s="1"/>
  <c r="AV304" i="25"/>
  <c r="AW304" i="25" s="1"/>
  <c r="S304" i="25" a="1"/>
  <c r="S304" i="25" s="1"/>
  <c r="AB304" i="25" s="1"/>
  <c r="AG304" i="25" s="1"/>
  <c r="AV396" i="25"/>
  <c r="AW396" i="25" s="1"/>
  <c r="S396" i="25" a="1"/>
  <c r="S396" i="25" s="1"/>
  <c r="AB396" i="25" s="1"/>
  <c r="AG396" i="25" s="1"/>
  <c r="AV205" i="25"/>
  <c r="AW205" i="25" s="1"/>
  <c r="S205" i="25" a="1"/>
  <c r="S205" i="25" s="1"/>
  <c r="AB205" i="25" s="1"/>
  <c r="AG205" i="25" s="1"/>
  <c r="AV332" i="25"/>
  <c r="AW332" i="25" s="1"/>
  <c r="S332" i="25" a="1"/>
  <c r="S332" i="25" s="1"/>
  <c r="AB332" i="25" s="1"/>
  <c r="AG332" i="25" s="1"/>
  <c r="AV276" i="25"/>
  <c r="AW276" i="25" s="1"/>
  <c r="S276" i="25" a="1"/>
  <c r="S276" i="25" s="1"/>
  <c r="AB276" i="25" s="1"/>
  <c r="AV224" i="25"/>
  <c r="AW224" i="25" s="1"/>
  <c r="S224" i="25" a="1"/>
  <c r="S224" i="25" s="1"/>
  <c r="AB224" i="25" s="1"/>
  <c r="AG224" i="25" s="1"/>
  <c r="AV129" i="25"/>
  <c r="AW129" i="25" s="1"/>
  <c r="S129" i="25" a="1"/>
  <c r="S129" i="25" s="1"/>
  <c r="AB129" i="25" s="1"/>
  <c r="AG129" i="25" s="1"/>
  <c r="AV235" i="25"/>
  <c r="AW235" i="25" s="1"/>
  <c r="S235" i="25" a="1"/>
  <c r="S235" i="25" s="1"/>
  <c r="AB235" i="25" s="1"/>
  <c r="AG235" i="25" s="1"/>
  <c r="AV446" i="25"/>
  <c r="AW446" i="25" s="1"/>
  <c r="S446" i="25" a="1"/>
  <c r="S446" i="25" s="1"/>
  <c r="AB446" i="25" s="1"/>
  <c r="AG446" i="25" s="1"/>
  <c r="AV82" i="25"/>
  <c r="AW82" i="25" s="1"/>
  <c r="S82" i="25" a="1"/>
  <c r="S82" i="25" s="1"/>
  <c r="AB82" i="25" s="1"/>
  <c r="AG82" i="25" s="1"/>
  <c r="AV250" i="25"/>
  <c r="AW250" i="25" s="1"/>
  <c r="S250" i="25" a="1"/>
  <c r="S250" i="25" s="1"/>
  <c r="AB250" i="25" s="1"/>
  <c r="AG250" i="25" s="1"/>
  <c r="AV512" i="25"/>
  <c r="AW512" i="25" s="1"/>
  <c r="S512" i="25" a="1"/>
  <c r="S512" i="25" s="1"/>
  <c r="AB512" i="25" s="1"/>
  <c r="AV203" i="25"/>
  <c r="AW203" i="25" s="1"/>
  <c r="S203" i="25" a="1"/>
  <c r="S203" i="25" s="1"/>
  <c r="AB203" i="25" s="1"/>
  <c r="AG203" i="25" s="1"/>
  <c r="AV222" i="25"/>
  <c r="AW222" i="25" s="1"/>
  <c r="S222" i="25" a="1"/>
  <c r="S222" i="25" s="1"/>
  <c r="AB222" i="25" s="1"/>
  <c r="AG222" i="25" s="1"/>
  <c r="S22" i="25" a="1"/>
  <c r="S22" i="25" s="1"/>
  <c r="AB22" i="25" s="1"/>
  <c r="AG22" i="25" s="1"/>
  <c r="S37" i="25" a="1"/>
  <c r="S37" i="25" s="1"/>
  <c r="AB37" i="25" s="1"/>
  <c r="AG37" i="25" s="1"/>
  <c r="AS377" i="25"/>
  <c r="AM377" i="25"/>
  <c r="AM483" i="25"/>
  <c r="AS483" i="25"/>
  <c r="AM316" i="25"/>
  <c r="AS316" i="25"/>
  <c r="AM75" i="25"/>
  <c r="AS75" i="25"/>
  <c r="AC194" i="25"/>
  <c r="AH194" i="25" s="1"/>
  <c r="AC222" i="25"/>
  <c r="AH222" i="25" s="1"/>
  <c r="AC306" i="25"/>
  <c r="AH306" i="25" s="1"/>
  <c r="AC314" i="25"/>
  <c r="AH314" i="25" s="1"/>
  <c r="AC338" i="25"/>
  <c r="AH338" i="25" s="1"/>
  <c r="AC346" i="25"/>
  <c r="AH346" i="25" s="1"/>
  <c r="AC370" i="25"/>
  <c r="AH370" i="25" s="1"/>
  <c r="AC378" i="25"/>
  <c r="AH378" i="25" s="1"/>
  <c r="AC402" i="25"/>
  <c r="AH402" i="25" s="1"/>
  <c r="AC410" i="25"/>
  <c r="AC430" i="25"/>
  <c r="AH430" i="25" s="1"/>
  <c r="AC454" i="25"/>
  <c r="AH454" i="25" s="1"/>
  <c r="AC462" i="25"/>
  <c r="AC490" i="25"/>
  <c r="AH490" i="25" s="1"/>
  <c r="AC504" i="25"/>
  <c r="AC544" i="25"/>
  <c r="AC584" i="25"/>
  <c r="AH584" i="25" s="1"/>
  <c r="AC6" i="25"/>
  <c r="AH6" i="25" s="1"/>
  <c r="AC14" i="25"/>
  <c r="AC38" i="25"/>
  <c r="AH38" i="25" s="1"/>
  <c r="AC46" i="25"/>
  <c r="AH46" i="25" s="1"/>
  <c r="AC62" i="25"/>
  <c r="AC198" i="25"/>
  <c r="AH198" i="25" s="1"/>
  <c r="AC206" i="25"/>
  <c r="AH206" i="25" s="1"/>
  <c r="AC242" i="25"/>
  <c r="AH242" i="25" s="1"/>
  <c r="AC250" i="25"/>
  <c r="AC274" i="25"/>
  <c r="AH274" i="25" s="1"/>
  <c r="AC282" i="25"/>
  <c r="AC474" i="25"/>
  <c r="AH474" i="25" s="1"/>
  <c r="AC505" i="25"/>
  <c r="AH505" i="25" s="1"/>
  <c r="AC537" i="25"/>
  <c r="AC489" i="25"/>
  <c r="AH489" i="25" s="1"/>
  <c r="AC577" i="25"/>
  <c r="AH577" i="25" s="1"/>
  <c r="AC25" i="25"/>
  <c r="AH25" i="25" s="1"/>
  <c r="AC89" i="25"/>
  <c r="AH89" i="25" s="1"/>
  <c r="AC153" i="25"/>
  <c r="AH153" i="25" s="1"/>
  <c r="AC297" i="25"/>
  <c r="AC313" i="25"/>
  <c r="AH313" i="25" s="1"/>
  <c r="AC329" i="25"/>
  <c r="AH329" i="25" s="1"/>
  <c r="AC345" i="25"/>
  <c r="AH345" i="25" s="1"/>
  <c r="AC361" i="25"/>
  <c r="AH361" i="25" s="1"/>
  <c r="AC377" i="25"/>
  <c r="AH377" i="25" s="1"/>
  <c r="AC393" i="25"/>
  <c r="AC409" i="25"/>
  <c r="AC437" i="25"/>
  <c r="AH437" i="25" s="1"/>
  <c r="AC441" i="25"/>
  <c r="AJ39" i="25"/>
  <c r="H39" i="25"/>
  <c r="AJ226" i="25"/>
  <c r="AJ317" i="25"/>
  <c r="H317" i="25"/>
  <c r="AJ101" i="25"/>
  <c r="O452" i="25"/>
  <c r="AJ452" i="25"/>
  <c r="O180" i="25"/>
  <c r="AJ180" i="25"/>
  <c r="AJ475" i="25"/>
  <c r="AJ74" i="25"/>
  <c r="H74" i="25"/>
  <c r="AJ488" i="25"/>
  <c r="H369" i="25"/>
  <c r="AJ369" i="25"/>
  <c r="H359" i="25"/>
  <c r="AJ359" i="25"/>
  <c r="AJ298" i="25"/>
  <c r="AH298" i="25" s="1"/>
  <c r="AJ578" i="25"/>
  <c r="AJ177" i="25"/>
  <c r="AJ507" i="25"/>
  <c r="AJ497" i="25"/>
  <c r="AH497" i="25" s="1"/>
  <c r="AJ405" i="25"/>
  <c r="AH405" i="25" s="1"/>
  <c r="AJ63" i="25"/>
  <c r="H63" i="25"/>
  <c r="AJ462" i="25"/>
  <c r="AJ409" i="25"/>
  <c r="AJ161" i="25"/>
  <c r="AJ284" i="25"/>
  <c r="O281" i="25"/>
  <c r="AJ281" i="25"/>
  <c r="AJ156" i="25"/>
  <c r="H156" i="25"/>
  <c r="AJ73" i="25"/>
  <c r="AJ511" i="25"/>
  <c r="AH511" i="25" s="1"/>
  <c r="AJ278" i="25"/>
  <c r="AJ251" i="25"/>
  <c r="H251" i="25"/>
  <c r="AJ592" i="25"/>
  <c r="H592" i="25"/>
  <c r="AT592" i="25" s="1"/>
  <c r="AJ124" i="25"/>
  <c r="AJ246" i="25"/>
  <c r="H246" i="25"/>
  <c r="AT246" i="25" s="1"/>
  <c r="AJ271" i="25"/>
  <c r="H271" i="25"/>
  <c r="AJ143" i="25"/>
  <c r="H143" i="25"/>
  <c r="AT143" i="25" s="1"/>
  <c r="AJ345" i="25"/>
  <c r="AJ378" i="25"/>
  <c r="AJ476" i="25"/>
  <c r="O181" i="25"/>
  <c r="AJ181" i="25"/>
  <c r="AJ523" i="25"/>
  <c r="H523" i="25"/>
  <c r="AJ57" i="25"/>
  <c r="H57" i="25"/>
  <c r="AJ410" i="25"/>
  <c r="AJ502" i="25"/>
  <c r="AJ27" i="25"/>
  <c r="H27" i="25"/>
  <c r="AJ213" i="25"/>
  <c r="H213" i="25"/>
  <c r="AJ337" i="25"/>
  <c r="AJ587" i="25"/>
  <c r="H587" i="25"/>
  <c r="AJ375" i="25"/>
  <c r="AJ154" i="25"/>
  <c r="H154" i="25"/>
  <c r="AJ197" i="25"/>
  <c r="AJ537" i="25"/>
  <c r="AJ565" i="25"/>
  <c r="AJ501" i="25"/>
  <c r="AJ393" i="25"/>
  <c r="AJ142" i="25"/>
  <c r="H142" i="25"/>
  <c r="AJ288" i="25"/>
  <c r="AH288" i="25" s="1"/>
  <c r="H421" i="25"/>
  <c r="AJ421" i="25"/>
  <c r="AJ442" i="25"/>
  <c r="AJ220" i="25"/>
  <c r="AJ484" i="25"/>
  <c r="AH484" i="25" s="1"/>
  <c r="P512" i="25"/>
  <c r="AJ512" i="25"/>
  <c r="AJ52" i="25"/>
  <c r="H361" i="25"/>
  <c r="AJ361" i="25"/>
  <c r="P81" i="25"/>
  <c r="AJ81" i="25"/>
  <c r="AJ14" i="25"/>
  <c r="AJ54" i="25"/>
  <c r="AJ204" i="25"/>
  <c r="AJ567" i="25"/>
  <c r="AJ387" i="25"/>
  <c r="AJ13" i="25"/>
  <c r="AH13" i="25" s="1"/>
  <c r="AJ306" i="25"/>
  <c r="AJ380" i="25"/>
  <c r="AJ450" i="25"/>
  <c r="AJ123" i="25"/>
  <c r="AJ70" i="25"/>
  <c r="AH70" i="25" s="1"/>
  <c r="AJ134" i="25"/>
  <c r="AJ176" i="25"/>
  <c r="H176" i="25"/>
  <c r="AJ547" i="25"/>
  <c r="P461" i="25"/>
  <c r="AJ461" i="25"/>
  <c r="AH461" i="25" s="1"/>
  <c r="AJ261" i="25"/>
  <c r="H261" i="25"/>
  <c r="AJ583" i="25"/>
  <c r="P549" i="25"/>
  <c r="AJ549" i="25"/>
  <c r="AH549" i="25" s="1"/>
  <c r="AJ231" i="25"/>
  <c r="AJ28" i="25"/>
  <c r="AJ341" i="25"/>
  <c r="H341" i="25"/>
  <c r="AJ518" i="25"/>
  <c r="AJ480" i="25"/>
  <c r="AH480" i="25" s="1"/>
  <c r="AJ7" i="25"/>
  <c r="H7" i="25"/>
  <c r="AJ428" i="25"/>
  <c r="H428" i="25"/>
  <c r="AJ239" i="25"/>
  <c r="H239" i="25"/>
  <c r="AJ543" i="25"/>
  <c r="AJ459" i="25"/>
  <c r="H407" i="25"/>
  <c r="AJ407" i="25"/>
  <c r="AJ554" i="25"/>
  <c r="AH554" i="25" s="1"/>
  <c r="AJ131" i="25"/>
  <c r="H131" i="25"/>
  <c r="AJ266" i="25"/>
  <c r="AJ163" i="25"/>
  <c r="AJ318" i="25"/>
  <c r="AJ210" i="25"/>
  <c r="AJ354" i="25"/>
  <c r="AJ69" i="25"/>
  <c r="AJ279" i="25"/>
  <c r="H279" i="25"/>
  <c r="AT279" i="25" s="1"/>
  <c r="AJ31" i="25"/>
  <c r="AJ24" i="25"/>
  <c r="H24" i="25"/>
  <c r="AJ190" i="25"/>
  <c r="AJ183" i="25"/>
  <c r="H183" i="25"/>
  <c r="AJ492" i="25"/>
  <c r="H492" i="25"/>
  <c r="AT492" i="25" s="1"/>
  <c r="AJ362" i="25"/>
  <c r="AH362" i="25" s="1"/>
  <c r="AJ67" i="25"/>
  <c r="H67" i="25"/>
  <c r="AJ301" i="25"/>
  <c r="AH301" i="25" s="1"/>
  <c r="AJ427" i="25"/>
  <c r="H427" i="25"/>
  <c r="AJ333" i="25"/>
  <c r="H333" i="25"/>
  <c r="AT333" i="25" s="1"/>
  <c r="AJ448" i="25"/>
  <c r="AJ41" i="25"/>
  <c r="AJ485" i="25"/>
  <c r="AJ552" i="25"/>
  <c r="AJ531" i="25"/>
  <c r="AJ170" i="25"/>
  <c r="H170" i="25"/>
  <c r="AJ373" i="25"/>
  <c r="AJ238" i="25"/>
  <c r="AJ66" i="25"/>
  <c r="AJ444" i="25"/>
  <c r="AJ241" i="25"/>
  <c r="H241" i="25"/>
  <c r="AJ550" i="25"/>
  <c r="AJ83" i="25"/>
  <c r="AJ576" i="25"/>
  <c r="AJ486" i="25"/>
  <c r="AH486" i="25" s="1"/>
  <c r="AJ60" i="25"/>
  <c r="H60" i="25"/>
  <c r="AJ64" i="25"/>
  <c r="H64" i="25"/>
  <c r="AJ544" i="25"/>
  <c r="AJ247" i="25"/>
  <c r="H247" i="25"/>
  <c r="AJ557" i="25"/>
  <c r="AJ302" i="25"/>
  <c r="AJ10" i="25"/>
  <c r="AJ276" i="25"/>
  <c r="AH276" i="25" s="1"/>
  <c r="AJ282" i="25"/>
  <c r="AJ242" i="25"/>
  <c r="H242" i="25"/>
  <c r="AJ94" i="25"/>
  <c r="H94" i="25"/>
  <c r="AJ16" i="25"/>
  <c r="AJ595" i="25"/>
  <c r="AJ491" i="25"/>
  <c r="AJ119" i="25"/>
  <c r="AJ179" i="25"/>
  <c r="H179" i="25"/>
  <c r="AJ563" i="25"/>
  <c r="AJ189" i="25"/>
  <c r="AJ443" i="25"/>
  <c r="AJ129" i="25"/>
  <c r="AJ532" i="25"/>
  <c r="AJ330" i="25"/>
  <c r="AJ328" i="25"/>
  <c r="AJ194" i="25"/>
  <c r="H194" i="25"/>
  <c r="AT194" i="25" s="1"/>
  <c r="AJ188" i="25"/>
  <c r="AJ368" i="25"/>
  <c r="AJ293" i="25"/>
  <c r="AJ273" i="25"/>
  <c r="AJ440" i="25"/>
  <c r="AJ152" i="25"/>
  <c r="AJ473" i="25"/>
  <c r="AG473" i="25" s="1"/>
  <c r="AJ498" i="25"/>
  <c r="AJ20" i="25"/>
  <c r="AJ115" i="25"/>
  <c r="AJ122" i="25"/>
  <c r="H122" i="25"/>
  <c r="AT122" i="25" s="1"/>
  <c r="AJ153" i="25"/>
  <c r="H153" i="25"/>
  <c r="AJ343" i="25"/>
  <c r="AJ234" i="25"/>
  <c r="AJ114" i="25"/>
  <c r="H114" i="25"/>
  <c r="AJ85" i="25"/>
  <c r="AJ464" i="25"/>
  <c r="AH464" i="25" s="1"/>
  <c r="AJ579" i="25"/>
  <c r="AJ349" i="25"/>
  <c r="AV187" i="25"/>
  <c r="AW187" i="25" s="1"/>
  <c r="S187" i="25" a="1"/>
  <c r="S187" i="25" s="1"/>
  <c r="AB187" i="25" s="1"/>
  <c r="AG187" i="25" s="1"/>
  <c r="AV336" i="25"/>
  <c r="AW336" i="25" s="1"/>
  <c r="S336" i="25" a="1"/>
  <c r="S336" i="25" s="1"/>
  <c r="AB336" i="25" s="1"/>
  <c r="AG336" i="25" s="1"/>
  <c r="AV48" i="25"/>
  <c r="AW48" i="25" s="1"/>
  <c r="S48" i="25" a="1"/>
  <c r="S48" i="25" s="1"/>
  <c r="AB48" i="25" s="1"/>
  <c r="AG48" i="25" s="1"/>
  <c r="AV414" i="25"/>
  <c r="AW414" i="25" s="1"/>
  <c r="S414" i="25" a="1"/>
  <c r="S414" i="25" s="1"/>
  <c r="AB414" i="25" s="1"/>
  <c r="AG414" i="25" s="1"/>
  <c r="AV309" i="25"/>
  <c r="AW309" i="25" s="1"/>
  <c r="S309" i="25" a="1"/>
  <c r="S309" i="25" s="1"/>
  <c r="AB309" i="25" s="1"/>
  <c r="AG309" i="25" s="1"/>
  <c r="AB535" i="25"/>
  <c r="AG535" i="25" s="1"/>
  <c r="AV120" i="25"/>
  <c r="AW120" i="25" s="1"/>
  <c r="S120" i="25" a="1"/>
  <c r="S120" i="25" s="1"/>
  <c r="AB120" i="25" s="1"/>
  <c r="AG120" i="25" s="1"/>
  <c r="AB287" i="25"/>
  <c r="AG287" i="25" s="1"/>
  <c r="AV152" i="25"/>
  <c r="AW152" i="25" s="1"/>
  <c r="S152" i="25" a="1"/>
  <c r="S152" i="25" s="1"/>
  <c r="AB152" i="25" s="1"/>
  <c r="AG152" i="25" s="1"/>
  <c r="AV320" i="25"/>
  <c r="AW320" i="25" s="1"/>
  <c r="S320" i="25" a="1"/>
  <c r="S320" i="25" s="1"/>
  <c r="AB320" i="25" s="1"/>
  <c r="AG320" i="25" s="1"/>
  <c r="AV202" i="25"/>
  <c r="AW202" i="25" s="1"/>
  <c r="S202" i="25" a="1"/>
  <c r="S202" i="25" s="1"/>
  <c r="AB202" i="25" s="1"/>
  <c r="AV117" i="25"/>
  <c r="AW117" i="25" s="1"/>
  <c r="S117" i="25" a="1"/>
  <c r="S117" i="25" s="1"/>
  <c r="AB117" i="25" s="1"/>
  <c r="AG117" i="25" s="1"/>
  <c r="AB38" i="25"/>
  <c r="AV216" i="25"/>
  <c r="AW216" i="25" s="1"/>
  <c r="S216" i="25" a="1"/>
  <c r="S216" i="25" s="1"/>
  <c r="AB216" i="25" s="1"/>
  <c r="AG216" i="25" s="1"/>
  <c r="AV569" i="25"/>
  <c r="AW569" i="25" s="1"/>
  <c r="S569" i="25" a="1"/>
  <c r="S569" i="25" s="1"/>
  <c r="AB569" i="25" s="1"/>
  <c r="AG569" i="25" s="1"/>
  <c r="AB274" i="25"/>
  <c r="AG274" i="25" s="1"/>
  <c r="AV321" i="25"/>
  <c r="AW321" i="25" s="1"/>
  <c r="S321" i="25" a="1"/>
  <c r="S321" i="25" s="1"/>
  <c r="AB321" i="25" s="1"/>
  <c r="AG321" i="25" s="1"/>
  <c r="AV266" i="25"/>
  <c r="AW266" i="25" s="1"/>
  <c r="S266" i="25" a="1"/>
  <c r="S266" i="25" s="1"/>
  <c r="AB266" i="25" s="1"/>
  <c r="AV324" i="25"/>
  <c r="AW324" i="25" s="1"/>
  <c r="S324" i="25" a="1"/>
  <c r="S324" i="25" s="1"/>
  <c r="AB324" i="25" s="1"/>
  <c r="AG324" i="25" s="1"/>
  <c r="AV196" i="25"/>
  <c r="AW196" i="25" s="1"/>
  <c r="S196" i="25" a="1"/>
  <c r="S196" i="25" s="1"/>
  <c r="AB196" i="25" s="1"/>
  <c r="AG196" i="25" s="1"/>
  <c r="AB406" i="25"/>
  <c r="AG406" i="25" s="1"/>
  <c r="AV372" i="25"/>
  <c r="AW372" i="25" s="1"/>
  <c r="S372" i="25" a="1"/>
  <c r="S372" i="25" s="1"/>
  <c r="AB372" i="25" s="1"/>
  <c r="AV190" i="25"/>
  <c r="AW190" i="25" s="1"/>
  <c r="S190" i="25" a="1"/>
  <c r="S190" i="25" s="1"/>
  <c r="AB190" i="25" s="1"/>
  <c r="AG190" i="25" s="1"/>
  <c r="AV492" i="25"/>
  <c r="AW492" i="25" s="1"/>
  <c r="S492" i="25" a="1"/>
  <c r="S492" i="25" s="1"/>
  <c r="AB492" i="25" s="1"/>
  <c r="AG492" i="25" s="1"/>
  <c r="AB67" i="25"/>
  <c r="AG67" i="25" s="1"/>
  <c r="AV467" i="25"/>
  <c r="AW467" i="25" s="1"/>
  <c r="S467" i="25" a="1"/>
  <c r="S467" i="25" s="1"/>
  <c r="AB467" i="25" s="1"/>
  <c r="AG467" i="25" s="1"/>
  <c r="AB333" i="25"/>
  <c r="AG333" i="25" s="1"/>
  <c r="AV135" i="25"/>
  <c r="AW135" i="25" s="1"/>
  <c r="S135" i="25" a="1"/>
  <c r="S135" i="25" s="1"/>
  <c r="AB135" i="25" s="1"/>
  <c r="AG135" i="25" s="1"/>
  <c r="AV275" i="25"/>
  <c r="AW275" i="25" s="1"/>
  <c r="S275" i="25" a="1"/>
  <c r="S275" i="25" s="1"/>
  <c r="AB275" i="25" s="1"/>
  <c r="AV312" i="25"/>
  <c r="AW312" i="25" s="1"/>
  <c r="S312" i="25" a="1"/>
  <c r="S312" i="25" s="1"/>
  <c r="AB312" i="25" s="1"/>
  <c r="AG312" i="25" s="1"/>
  <c r="AV245" i="25"/>
  <c r="AW245" i="25" s="1"/>
  <c r="S245" i="25" a="1"/>
  <c r="S245" i="25" s="1"/>
  <c r="AB245" i="25" s="1"/>
  <c r="AG245" i="25" s="1"/>
  <c r="AB237" i="25"/>
  <c r="AB397" i="25"/>
  <c r="AG397" i="25" s="1"/>
  <c r="AV296" i="25"/>
  <c r="AW296" i="25" s="1"/>
  <c r="S296" i="25" a="1"/>
  <c r="S296" i="25" s="1"/>
  <c r="AB296" i="25" s="1"/>
  <c r="AG296" i="25" s="1"/>
  <c r="AB55" i="25"/>
  <c r="AG55" i="25" s="1"/>
  <c r="AV56" i="25"/>
  <c r="AW56" i="25" s="1"/>
  <c r="S56" i="25" a="1"/>
  <c r="S56" i="25" s="1"/>
  <c r="AB56" i="25" s="1"/>
  <c r="AG56" i="25" s="1"/>
  <c r="AV241" i="25"/>
  <c r="AW241" i="25" s="1"/>
  <c r="S241" i="25" a="1"/>
  <c r="S241" i="25" s="1"/>
  <c r="AB241" i="25" s="1"/>
  <c r="AG241" i="25" s="1"/>
  <c r="AV292" i="25"/>
  <c r="AW292" i="25" s="1"/>
  <c r="S292" i="25" a="1"/>
  <c r="S292" i="25" s="1"/>
  <c r="AB292" i="25" s="1"/>
  <c r="AG292" i="25" s="1"/>
  <c r="AV282" i="25"/>
  <c r="AW282" i="25" s="1"/>
  <c r="S282" i="25" a="1"/>
  <c r="S282" i="25" s="1"/>
  <c r="AB282" i="25" s="1"/>
  <c r="AG282" i="25" s="1"/>
  <c r="AV119" i="25"/>
  <c r="AW119" i="25" s="1"/>
  <c r="S119" i="25" a="1"/>
  <c r="S119" i="25" s="1"/>
  <c r="AB119" i="25" s="1"/>
  <c r="AG119" i="25" s="1"/>
  <c r="AV186" i="25"/>
  <c r="AW186" i="25" s="1"/>
  <c r="S186" i="25" a="1"/>
  <c r="S186" i="25" s="1"/>
  <c r="AB186" i="25" s="1"/>
  <c r="AG186" i="25" s="1"/>
  <c r="AV451" i="25"/>
  <c r="AW451" i="25" s="1"/>
  <c r="S451" i="25" a="1"/>
  <c r="S451" i="25" s="1"/>
  <c r="AB451" i="25" s="1"/>
  <c r="AG451" i="25" s="1"/>
  <c r="AV425" i="25"/>
  <c r="AW425" i="25" s="1"/>
  <c r="S425" i="25" a="1"/>
  <c r="S425" i="25" s="1"/>
  <c r="AB425" i="25" s="1"/>
  <c r="AG425" i="25" s="1"/>
  <c r="AB447" i="25"/>
  <c r="AG447" i="25" s="1"/>
  <c r="AV542" i="25"/>
  <c r="AW542" i="25" s="1"/>
  <c r="S542" i="25" a="1"/>
  <c r="S542" i="25" s="1"/>
  <c r="AB542" i="25" s="1"/>
  <c r="AB220" i="25"/>
  <c r="AG220" i="25" s="1"/>
  <c r="AV479" i="25"/>
  <c r="AW479" i="25" s="1"/>
  <c r="S479" i="25" a="1"/>
  <c r="S479" i="25" s="1"/>
  <c r="AB479" i="25" s="1"/>
  <c r="AG479" i="25" s="1"/>
  <c r="AB47" i="25"/>
  <c r="AG47" i="25" s="1"/>
  <c r="AV477" i="25"/>
  <c r="AW477" i="25" s="1"/>
  <c r="S477" i="25" a="1"/>
  <c r="S477" i="25" s="1"/>
  <c r="AB477" i="25" s="1"/>
  <c r="AG477" i="25" s="1"/>
  <c r="AB306" i="25"/>
  <c r="AG306" i="25" s="1"/>
  <c r="AV168" i="25"/>
  <c r="AW168" i="25" s="1"/>
  <c r="S168" i="25" a="1"/>
  <c r="S168" i="25" s="1"/>
  <c r="AB168" i="25" s="1"/>
  <c r="AB150" i="25"/>
  <c r="AG150" i="25" s="1"/>
  <c r="AB71" i="25"/>
  <c r="AG71" i="25" s="1"/>
  <c r="AV84" i="25"/>
  <c r="AW84" i="25" s="1"/>
  <c r="S84" i="25" a="1"/>
  <c r="S84" i="25" s="1"/>
  <c r="AB84" i="25" s="1"/>
  <c r="AG84" i="25" s="1"/>
  <c r="AB553" i="25"/>
  <c r="AG553" i="25" s="1"/>
  <c r="AV261" i="25"/>
  <c r="AW261" i="25" s="1"/>
  <c r="S261" i="25" a="1"/>
  <c r="S261" i="25" s="1"/>
  <c r="AB261" i="25" s="1"/>
  <c r="AG261" i="25" s="1"/>
  <c r="AV430" i="25"/>
  <c r="AW430" i="25" s="1"/>
  <c r="S430" i="25" a="1"/>
  <c r="S430" i="25" s="1"/>
  <c r="AB430" i="25" s="1"/>
  <c r="AG430" i="25" s="1"/>
  <c r="AV231" i="25"/>
  <c r="AW231" i="25" s="1"/>
  <c r="S231" i="25" a="1"/>
  <c r="S231" i="25" s="1"/>
  <c r="AB231" i="25" s="1"/>
  <c r="AV106" i="25"/>
  <c r="AW106" i="25" s="1"/>
  <c r="S106" i="25" a="1"/>
  <c r="S106" i="25" s="1"/>
  <c r="AB106" i="25" s="1"/>
  <c r="AG106" i="25" s="1"/>
  <c r="AV584" i="25"/>
  <c r="AW584" i="25" s="1"/>
  <c r="S584" i="25" a="1"/>
  <c r="S584" i="25" s="1"/>
  <c r="AB584" i="25" s="1"/>
  <c r="AG584" i="25" s="1"/>
  <c r="AV128" i="25"/>
  <c r="AW128" i="25" s="1"/>
  <c r="S128" i="25" a="1"/>
  <c r="S128" i="25" s="1"/>
  <c r="AB128" i="25" s="1"/>
  <c r="AG128" i="25" s="1"/>
  <c r="AV239" i="25"/>
  <c r="AW239" i="25" s="1"/>
  <c r="S239" i="25" a="1"/>
  <c r="S239" i="25" s="1"/>
  <c r="AB239" i="25" s="1"/>
  <c r="AG239" i="25" s="1"/>
  <c r="AV335" i="25"/>
  <c r="AW335" i="25" s="1"/>
  <c r="S335" i="25" a="1"/>
  <c r="S335" i="25" s="1"/>
  <c r="AB335" i="25" s="1"/>
  <c r="AG335" i="25" s="1"/>
  <c r="AB226" i="25"/>
  <c r="AG226" i="25" s="1"/>
  <c r="AV101" i="25"/>
  <c r="AW101" i="25" s="1"/>
  <c r="S101" i="25" a="1"/>
  <c r="S101" i="25" s="1"/>
  <c r="AB101" i="25" s="1"/>
  <c r="AV180" i="25"/>
  <c r="AW180" i="25" s="1"/>
  <c r="S180" i="25" a="1"/>
  <c r="S180" i="25" s="1"/>
  <c r="AB180" i="25" s="1"/>
  <c r="AG180" i="25" s="1"/>
  <c r="AV132" i="25"/>
  <c r="AW132" i="25" s="1"/>
  <c r="S132" i="25" a="1"/>
  <c r="S132" i="25" s="1"/>
  <c r="AB132" i="25" s="1"/>
  <c r="AG132" i="25" s="1"/>
  <c r="AV236" i="25"/>
  <c r="AW236" i="25" s="1"/>
  <c r="S236" i="25" a="1"/>
  <c r="S236" i="25" s="1"/>
  <c r="AB236" i="25" s="1"/>
  <c r="AG236" i="25" s="1"/>
  <c r="AV326" i="25"/>
  <c r="AW326" i="25" s="1"/>
  <c r="S326" i="25" a="1"/>
  <c r="S326" i="25" s="1"/>
  <c r="AB326" i="25" s="1"/>
  <c r="AG326" i="25" s="1"/>
  <c r="AB358" i="25"/>
  <c r="AG358" i="25" s="1"/>
  <c r="AB507" i="25"/>
  <c r="AG507" i="25" s="1"/>
  <c r="AV405" i="25"/>
  <c r="AW405" i="25" s="1"/>
  <c r="S405" i="25" a="1"/>
  <c r="S405" i="25" s="1"/>
  <c r="AB405" i="25" s="1"/>
  <c r="AV462" i="25"/>
  <c r="AW462" i="25" s="1"/>
  <c r="S462" i="25" a="1"/>
  <c r="S462" i="25" s="1"/>
  <c r="AB462" i="25" s="1"/>
  <c r="AV456" i="25"/>
  <c r="AW456" i="25" s="1"/>
  <c r="S456" i="25" a="1"/>
  <c r="S456" i="25" s="1"/>
  <c r="AB456" i="25" s="1"/>
  <c r="AG456" i="25" s="1"/>
  <c r="AV463" i="25"/>
  <c r="AW463" i="25" s="1"/>
  <c r="S463" i="25" a="1"/>
  <c r="S463" i="25" s="1"/>
  <c r="AB463" i="25" s="1"/>
  <c r="AG463" i="25" s="1"/>
  <c r="AV485" i="25"/>
  <c r="AW485" i="25" s="1"/>
  <c r="S485" i="25" a="1"/>
  <c r="S485" i="25" s="1"/>
  <c r="AB485" i="25" s="1"/>
  <c r="AG485" i="25" s="1"/>
  <c r="AV9" i="25"/>
  <c r="AW9" i="25" s="1"/>
  <c r="S9" i="25" a="1"/>
  <c r="S9" i="25" s="1"/>
  <c r="AB9" i="25" s="1"/>
  <c r="AG9" i="25" s="1"/>
  <c r="AV558" i="25"/>
  <c r="AW558" i="25" s="1"/>
  <c r="S558" i="25" a="1"/>
  <c r="S558" i="25" s="1"/>
  <c r="AB558" i="25" s="1"/>
  <c r="AG558" i="25" s="1"/>
  <c r="AV238" i="25"/>
  <c r="AW238" i="25" s="1"/>
  <c r="S238" i="25" a="1"/>
  <c r="S238" i="25" s="1"/>
  <c r="AB238" i="25" s="1"/>
  <c r="AG238" i="25" s="1"/>
  <c r="AV254" i="25"/>
  <c r="AW254" i="25" s="1"/>
  <c r="S254" i="25" a="1"/>
  <c r="S254" i="25" s="1"/>
  <c r="AB254" i="25" s="1"/>
  <c r="AG254" i="25" s="1"/>
  <c r="AV126" i="25"/>
  <c r="AW126" i="25" s="1"/>
  <c r="S126" i="25" a="1"/>
  <c r="S126" i="25" s="1"/>
  <c r="AB126" i="25" s="1"/>
  <c r="AG126" i="25" s="1"/>
  <c r="AV538" i="25"/>
  <c r="AW538" i="25" s="1"/>
  <c r="S538" i="25" a="1"/>
  <c r="S538" i="25" s="1"/>
  <c r="AB538" i="25" s="1"/>
  <c r="AG538" i="25" s="1"/>
  <c r="AV357" i="25"/>
  <c r="AW357" i="25" s="1"/>
  <c r="S357" i="25" a="1"/>
  <c r="S357" i="25" s="1"/>
  <c r="AB357" i="25" s="1"/>
  <c r="AG357" i="25" s="1"/>
  <c r="AV494" i="25"/>
  <c r="AW494" i="25" s="1"/>
  <c r="S494" i="25" a="1"/>
  <c r="S494" i="25" s="1"/>
  <c r="AB494" i="25" s="1"/>
  <c r="AG494" i="25" s="1"/>
  <c r="AV125" i="25"/>
  <c r="AW125" i="25" s="1"/>
  <c r="S125" i="25" a="1"/>
  <c r="S125" i="25" s="1"/>
  <c r="AB125" i="25" s="1"/>
  <c r="AG125" i="25" s="1"/>
  <c r="AV360" i="25"/>
  <c r="AW360" i="25" s="1"/>
  <c r="S360" i="25" a="1"/>
  <c r="S360" i="25" s="1"/>
  <c r="AB360" i="25" s="1"/>
  <c r="AG360" i="25" s="1"/>
  <c r="AV268" i="25"/>
  <c r="AW268" i="25" s="1"/>
  <c r="S268" i="25" a="1"/>
  <c r="S268" i="25" s="1"/>
  <c r="AB268" i="25" s="1"/>
  <c r="AG268" i="25" s="1"/>
  <c r="AV60" i="25"/>
  <c r="AW60" i="25" s="1"/>
  <c r="S60" i="25" a="1"/>
  <c r="S60" i="25" s="1"/>
  <c r="AB60" i="25" s="1"/>
  <c r="AG60" i="25" s="1"/>
  <c r="AV10" i="25"/>
  <c r="AW10" i="25" s="1"/>
  <c r="S10" i="25" a="1"/>
  <c r="S10" i="25" s="1"/>
  <c r="AB10" i="25" s="1"/>
  <c r="AV270" i="25"/>
  <c r="AW270" i="25" s="1"/>
  <c r="S270" i="25" a="1"/>
  <c r="S270" i="25" s="1"/>
  <c r="AB270" i="25" s="1"/>
  <c r="AG270" i="25" s="1"/>
  <c r="AB563" i="25"/>
  <c r="AG563" i="25" s="1"/>
  <c r="AV532" i="25"/>
  <c r="AW532" i="25" s="1"/>
  <c r="S532" i="25" a="1"/>
  <c r="S532" i="25" s="1"/>
  <c r="AB532" i="25" s="1"/>
  <c r="AG532" i="25" s="1"/>
  <c r="AV384" i="25"/>
  <c r="AW384" i="25" s="1"/>
  <c r="S384" i="25" a="1"/>
  <c r="S384" i="25" s="1"/>
  <c r="AB384" i="25" s="1"/>
  <c r="AG384" i="25" s="1"/>
  <c r="AB182" i="25"/>
  <c r="AG182" i="25" s="1"/>
  <c r="AV496" i="25"/>
  <c r="AW496" i="25" s="1"/>
  <c r="S496" i="25" a="1"/>
  <c r="S496" i="25" s="1"/>
  <c r="AB496" i="25" s="1"/>
  <c r="AG496" i="25" s="1"/>
  <c r="AB455" i="25"/>
  <c r="AV21" i="25"/>
  <c r="AW21" i="25" s="1"/>
  <c r="S21" i="25" a="1"/>
  <c r="S21" i="25" s="1"/>
  <c r="AB21" i="25" s="1"/>
  <c r="AG21" i="25" s="1"/>
  <c r="AV240" i="25"/>
  <c r="AW240" i="25" s="1"/>
  <c r="S240" i="25" a="1"/>
  <c r="S240" i="25" s="1"/>
  <c r="AB240" i="25" s="1"/>
  <c r="AG240" i="25" s="1"/>
  <c r="AV506" i="25"/>
  <c r="AW506" i="25" s="1"/>
  <c r="S506" i="25" a="1"/>
  <c r="S506" i="25" s="1"/>
  <c r="AB506" i="25" s="1"/>
  <c r="AG506" i="25" s="1"/>
  <c r="AV25" i="25"/>
  <c r="AW25" i="25" s="1"/>
  <c r="S25" i="25" a="1"/>
  <c r="S25" i="25" s="1"/>
  <c r="AB25" i="25" s="1"/>
  <c r="AG25" i="25" s="1"/>
  <c r="AV46" i="25"/>
  <c r="AW46" i="25" s="1"/>
  <c r="S46" i="25" a="1"/>
  <c r="S46" i="25" s="1"/>
  <c r="AB46" i="25" s="1"/>
  <c r="AG46" i="25" s="1"/>
  <c r="AV286" i="25"/>
  <c r="AW286" i="25" s="1"/>
  <c r="S286" i="25" a="1"/>
  <c r="S286" i="25" s="1"/>
  <c r="AB286" i="25" s="1"/>
  <c r="AV303" i="25"/>
  <c r="AW303" i="25" s="1"/>
  <c r="S303" i="25" a="1"/>
  <c r="S303" i="25" s="1"/>
  <c r="AB303" i="25" s="1"/>
  <c r="AV172" i="25"/>
  <c r="AW172" i="25" s="1"/>
  <c r="S172" i="25" a="1"/>
  <c r="S172" i="25" s="1"/>
  <c r="AB172" i="25" s="1"/>
  <c r="AG172" i="25" s="1"/>
  <c r="AV148" i="25"/>
  <c r="AW148" i="25" s="1"/>
  <c r="S148" i="25" a="1"/>
  <c r="S148" i="25" s="1"/>
  <c r="AB148" i="25" s="1"/>
  <c r="AV398" i="25"/>
  <c r="AW398" i="25" s="1"/>
  <c r="S398" i="25" a="1"/>
  <c r="S398" i="25" s="1"/>
  <c r="AB398" i="25" s="1"/>
  <c r="AG398" i="25" s="1"/>
  <c r="AV137" i="25"/>
  <c r="AW137" i="25" s="1"/>
  <c r="S137" i="25" a="1"/>
  <c r="S137" i="25" s="1"/>
  <c r="AB137" i="25" s="1"/>
  <c r="AG137" i="25" s="1"/>
  <c r="AV586" i="25"/>
  <c r="AW586" i="25" s="1"/>
  <c r="S586" i="25" a="1"/>
  <c r="S586" i="25" s="1"/>
  <c r="AB586" i="25" s="1"/>
  <c r="AB386" i="25"/>
  <c r="AB571" i="25"/>
  <c r="AV207" i="25"/>
  <c r="AW207" i="25" s="1"/>
  <c r="S207" i="25" a="1"/>
  <c r="S207" i="25" s="1"/>
  <c r="AB207" i="25" s="1"/>
  <c r="AG207" i="25" s="1"/>
  <c r="AV437" i="25"/>
  <c r="AW437" i="25" s="1"/>
  <c r="S437" i="25" a="1"/>
  <c r="S437" i="25" s="1"/>
  <c r="AB437" i="25" s="1"/>
  <c r="AG437" i="25" s="1"/>
  <c r="AV243" i="25"/>
  <c r="AW243" i="25" s="1"/>
  <c r="S243" i="25" a="1"/>
  <c r="S243" i="25" s="1"/>
  <c r="AB243" i="25" s="1"/>
  <c r="AG243" i="25" s="1"/>
  <c r="AB525" i="25"/>
  <c r="AG525" i="25" s="1"/>
  <c r="AV465" i="25"/>
  <c r="AW465" i="25" s="1"/>
  <c r="S465" i="25" a="1"/>
  <c r="S465" i="25" s="1"/>
  <c r="AB465" i="25" s="1"/>
  <c r="AG465" i="25" s="1"/>
  <c r="AV12" i="25"/>
  <c r="AW12" i="25" s="1"/>
  <c r="S12" i="25" a="1"/>
  <c r="S12" i="25" s="1"/>
  <c r="AB12" i="25" s="1"/>
  <c r="AG12" i="25" s="1"/>
  <c r="AV460" i="25"/>
  <c r="AW460" i="25" s="1"/>
  <c r="S460" i="25" a="1"/>
  <c r="S460" i="25" s="1"/>
  <c r="AB460" i="25" s="1"/>
  <c r="AB523" i="25"/>
  <c r="AG523" i="25" s="1"/>
  <c r="AV410" i="25"/>
  <c r="AW410" i="25" s="1"/>
  <c r="S410" i="25" a="1"/>
  <c r="S410" i="25" s="1"/>
  <c r="AB410" i="25" s="1"/>
  <c r="AG410" i="25" s="1"/>
  <c r="AV415" i="25"/>
  <c r="AW415" i="25" s="1"/>
  <c r="S415" i="25" a="1"/>
  <c r="S415" i="25" s="1"/>
  <c r="AB415" i="25" s="1"/>
  <c r="AG415" i="25" s="1"/>
  <c r="AV325" i="25"/>
  <c r="AW325" i="25" s="1"/>
  <c r="S325" i="25" a="1"/>
  <c r="S325" i="25" s="1"/>
  <c r="AB325" i="25" s="1"/>
  <c r="AG325" i="25" s="1"/>
  <c r="AV160" i="25"/>
  <c r="AW160" i="25" s="1"/>
  <c r="S160" i="25" a="1"/>
  <c r="S160" i="25" s="1"/>
  <c r="AB160" i="25" s="1"/>
  <c r="AG160" i="25" s="1"/>
  <c r="AV457" i="25"/>
  <c r="AW457" i="25" s="1"/>
  <c r="S457" i="25" a="1"/>
  <c r="S457" i="25" s="1"/>
  <c r="AB457" i="25" s="1"/>
  <c r="AG457" i="25" s="1"/>
  <c r="AV197" i="25"/>
  <c r="AW197" i="25" s="1"/>
  <c r="S197" i="25" a="1"/>
  <c r="S197" i="25" s="1"/>
  <c r="AB197" i="25" s="1"/>
  <c r="AG197" i="25" s="1"/>
  <c r="AV471" i="25"/>
  <c r="AW471" i="25" s="1"/>
  <c r="S471" i="25" a="1"/>
  <c r="S471" i="25" s="1"/>
  <c r="AB471" i="25" s="1"/>
  <c r="AG471" i="25" s="1"/>
  <c r="AV208" i="25"/>
  <c r="AW208" i="25" s="1"/>
  <c r="S208" i="25" a="1"/>
  <c r="S208" i="25" s="1"/>
  <c r="AB208" i="25" s="1"/>
  <c r="AG208" i="25" s="1"/>
  <c r="AV30" i="25"/>
  <c r="AW30" i="25" s="1"/>
  <c r="S30" i="25" a="1"/>
  <c r="S30" i="25" s="1"/>
  <c r="AB30" i="25" s="1"/>
  <c r="AG30" i="25" s="1"/>
  <c r="AV353" i="25"/>
  <c r="AW353" i="25" s="1"/>
  <c r="S353" i="25" a="1"/>
  <c r="S353" i="25" s="1"/>
  <c r="AB353" i="25" s="1"/>
  <c r="AG353" i="25" s="1"/>
  <c r="AV185" i="25"/>
  <c r="AW185" i="25" s="1"/>
  <c r="S185" i="25" a="1"/>
  <c r="S185" i="25" s="1"/>
  <c r="AB185" i="25" s="1"/>
  <c r="AG185" i="25" s="1"/>
  <c r="AV490" i="25"/>
  <c r="AW490" i="25" s="1"/>
  <c r="S490" i="25" a="1"/>
  <c r="S490" i="25" s="1"/>
  <c r="AB490" i="25" s="1"/>
  <c r="AG490" i="25" s="1"/>
  <c r="AV350" i="25"/>
  <c r="AW350" i="25" s="1"/>
  <c r="S350" i="25" a="1"/>
  <c r="S350" i="25" s="1"/>
  <c r="AB350" i="25" s="1"/>
  <c r="AG350" i="25" s="1"/>
  <c r="AV116" i="25"/>
  <c r="AW116" i="25" s="1"/>
  <c r="S116" i="25" a="1"/>
  <c r="S116" i="25" s="1"/>
  <c r="AB116" i="25" s="1"/>
  <c r="AG116" i="25" s="1"/>
  <c r="AV283" i="25"/>
  <c r="AW283" i="25" s="1"/>
  <c r="S283" i="25" a="1"/>
  <c r="S283" i="25" s="1"/>
  <c r="AB283" i="25" s="1"/>
  <c r="AV88" i="25"/>
  <c r="AW88" i="25" s="1"/>
  <c r="S88" i="25" a="1"/>
  <c r="S88" i="25" s="1"/>
  <c r="AB88" i="25" s="1"/>
  <c r="AG88" i="25" s="1"/>
  <c r="AV363" i="25"/>
  <c r="AW363" i="25" s="1"/>
  <c r="S363" i="25" a="1"/>
  <c r="S363" i="25" s="1"/>
  <c r="AB363" i="25" s="1"/>
  <c r="AG363" i="25" s="1"/>
  <c r="AB544" i="25"/>
  <c r="AV242" i="25"/>
  <c r="AW242" i="25" s="1"/>
  <c r="S242" i="25" a="1"/>
  <c r="S242" i="25" s="1"/>
  <c r="AB242" i="25" s="1"/>
  <c r="AG242" i="25" s="1"/>
  <c r="AV179" i="25"/>
  <c r="AW179" i="25" s="1"/>
  <c r="S179" i="25" a="1"/>
  <c r="S179" i="25" s="1"/>
  <c r="AB179" i="25" s="1"/>
  <c r="AG179" i="25" s="1"/>
  <c r="AB521" i="25"/>
  <c r="AG521" i="25" s="1"/>
  <c r="AV347" i="25"/>
  <c r="AW347" i="25" s="1"/>
  <c r="S347" i="25" a="1"/>
  <c r="S347" i="25" s="1"/>
  <c r="AB347" i="25" s="1"/>
  <c r="AG347" i="25" s="1"/>
  <c r="AV212" i="25"/>
  <c r="AW212" i="25" s="1"/>
  <c r="S212" i="25" a="1"/>
  <c r="S212" i="25" s="1"/>
  <c r="AB212" i="25" s="1"/>
  <c r="AV200" i="25"/>
  <c r="AW200" i="25" s="1"/>
  <c r="S200" i="25" a="1"/>
  <c r="S200" i="25" s="1"/>
  <c r="AB200" i="25" s="1"/>
  <c r="AG200" i="25" s="1"/>
  <c r="AV99" i="25"/>
  <c r="AW99" i="25" s="1"/>
  <c r="S99" i="25" a="1"/>
  <c r="S99" i="25" s="1"/>
  <c r="AB99" i="25" s="1"/>
  <c r="AG99" i="25" s="1"/>
  <c r="AV204" i="25"/>
  <c r="AW204" i="25" s="1"/>
  <c r="S204" i="25" a="1"/>
  <c r="S204" i="25" s="1"/>
  <c r="AB204" i="25" s="1"/>
  <c r="AG204" i="25" s="1"/>
  <c r="S32" i="25" a="1"/>
  <c r="S32" i="25" s="1"/>
  <c r="AB32" i="25" s="1"/>
  <c r="AG32" i="25" s="1"/>
  <c r="AM159" i="25"/>
  <c r="AS159" i="25"/>
  <c r="AM111" i="25"/>
  <c r="AS111" i="25"/>
  <c r="AM559" i="25"/>
  <c r="AS559" i="25"/>
  <c r="AM201" i="25"/>
  <c r="AS201" i="25"/>
  <c r="AS132" i="25"/>
  <c r="AM132" i="25"/>
  <c r="AS4" i="25"/>
  <c r="AM4" i="25"/>
  <c r="AM127" i="25"/>
  <c r="AS127" i="25"/>
  <c r="AM352" i="25"/>
  <c r="AO352" i="25" s="1"/>
  <c r="AS352" i="25"/>
  <c r="AM315" i="25"/>
  <c r="AS315" i="25"/>
  <c r="AM182" i="25"/>
  <c r="AS182" i="25"/>
  <c r="AM46" i="25"/>
  <c r="AS46" i="25"/>
  <c r="AM568" i="25"/>
  <c r="AO568" i="25" s="1"/>
  <c r="AS568" i="25"/>
  <c r="AM499" i="25"/>
  <c r="AS499" i="25"/>
  <c r="P460" i="25"/>
  <c r="AJ460" i="25"/>
  <c r="P235" i="25"/>
  <c r="AJ235" i="25"/>
  <c r="H235" i="25"/>
  <c r="O36" i="25"/>
  <c r="AJ36" i="25"/>
  <c r="AJ329" i="25"/>
  <c r="AJ441" i="25"/>
  <c r="AJ22" i="25"/>
  <c r="H22" i="25"/>
  <c r="AT22" i="25" s="1"/>
  <c r="AJ504" i="25"/>
  <c r="AJ18" i="25"/>
  <c r="AJ212" i="25"/>
  <c r="P364" i="25"/>
  <c r="AJ364" i="25"/>
  <c r="AJ259" i="25"/>
  <c r="AJ447" i="25"/>
  <c r="H447" i="25"/>
  <c r="AJ248" i="25"/>
  <c r="Q455" i="25"/>
  <c r="AJ455" i="25"/>
  <c r="AJ23" i="25"/>
  <c r="H23" i="25"/>
  <c r="AT23" i="25" s="1"/>
  <c r="AJ265" i="25"/>
  <c r="H265" i="25"/>
  <c r="P588" i="25"/>
  <c r="AJ588" i="25"/>
  <c r="AH588" i="25" s="1"/>
  <c r="AJ542" i="25"/>
  <c r="AJ21" i="25"/>
  <c r="H21" i="25"/>
  <c r="P516" i="25"/>
  <c r="AJ516" i="25"/>
  <c r="H516" i="25"/>
  <c r="P275" i="25"/>
  <c r="AJ275" i="25"/>
  <c r="AH275" i="25" s="1"/>
  <c r="H420" i="25"/>
  <c r="AJ420" i="25"/>
  <c r="AJ32" i="25"/>
  <c r="H32" i="25"/>
  <c r="AT32" i="25" s="1"/>
  <c r="Q508" i="25"/>
  <c r="AJ508" i="25"/>
  <c r="AJ217" i="25"/>
  <c r="O307" i="25"/>
  <c r="AJ307" i="25"/>
  <c r="AH307" i="25" s="1"/>
  <c r="AJ530" i="25"/>
  <c r="H383" i="25"/>
  <c r="AT383" i="25" s="1"/>
  <c r="AJ383" i="25"/>
  <c r="AJ439" i="25"/>
  <c r="AJ280" i="25"/>
  <c r="AJ286" i="25"/>
  <c r="P555" i="25"/>
  <c r="AJ555" i="25"/>
  <c r="AH555" i="25" s="1"/>
  <c r="AJ303" i="25"/>
  <c r="AJ453" i="25"/>
  <c r="AJ58" i="25"/>
  <c r="AJ148" i="25"/>
  <c r="O300" i="25"/>
  <c r="AJ300" i="25"/>
  <c r="AJ434" i="25"/>
  <c r="H434" i="25"/>
  <c r="AJ399" i="25"/>
  <c r="AJ331" i="25"/>
  <c r="AJ586" i="25"/>
  <c r="O575" i="25"/>
  <c r="AJ575" i="25"/>
  <c r="AJ121" i="25"/>
  <c r="AJ571" i="25"/>
  <c r="AH571" i="25" s="1"/>
  <c r="AJ299" i="25"/>
  <c r="AJ514" i="25"/>
  <c r="AH514" i="25" s="1"/>
  <c r="AJ437" i="25"/>
  <c r="O580" i="25"/>
  <c r="AJ580" i="25"/>
  <c r="P173" i="25"/>
  <c r="AJ173" i="25"/>
  <c r="AJ86" i="25"/>
  <c r="H86" i="25"/>
  <c r="AJ294" i="25"/>
  <c r="AJ214" i="25"/>
  <c r="H214" i="25"/>
  <c r="AJ218" i="25"/>
  <c r="H218" i="25"/>
  <c r="AJ431" i="25"/>
  <c r="AV139" i="25"/>
  <c r="AW139" i="25" s="1"/>
  <c r="S139" i="25" a="1"/>
  <c r="S139" i="25" s="1"/>
  <c r="AB139" i="25" s="1"/>
  <c r="AG139" i="25" s="1"/>
  <c r="AV124" i="25"/>
  <c r="AW124" i="25" s="1"/>
  <c r="S124" i="25" a="1"/>
  <c r="S124" i="25" s="1"/>
  <c r="AB124" i="25" s="1"/>
  <c r="AG124" i="25" s="1"/>
  <c r="AB146" i="25"/>
  <c r="AG146" i="25" s="1"/>
  <c r="AV143" i="25"/>
  <c r="AW143" i="25" s="1"/>
  <c r="S143" i="25" a="1"/>
  <c r="S143" i="25" s="1"/>
  <c r="AB143" i="25" s="1"/>
  <c r="AG143" i="25" s="1"/>
  <c r="AV429" i="25"/>
  <c r="AW429" i="25" s="1"/>
  <c r="S429" i="25" a="1"/>
  <c r="S429" i="25" s="1"/>
  <c r="AB429" i="25" s="1"/>
  <c r="AV209" i="25"/>
  <c r="AW209" i="25" s="1"/>
  <c r="S209" i="25" a="1"/>
  <c r="S209" i="25" s="1"/>
  <c r="AB209" i="25" s="1"/>
  <c r="AG209" i="25" s="1"/>
  <c r="AV293" i="25"/>
  <c r="AW293" i="25" s="1"/>
  <c r="S293" i="25" a="1"/>
  <c r="S293" i="25" s="1"/>
  <c r="AB293" i="25" s="1"/>
  <c r="AV440" i="25"/>
  <c r="AW440" i="25" s="1"/>
  <c r="S440" i="25" a="1"/>
  <c r="S440" i="25" s="1"/>
  <c r="AB440" i="25" s="1"/>
  <c r="AG440" i="25" s="1"/>
  <c r="AV522" i="25"/>
  <c r="AW522" i="25" s="1"/>
  <c r="S522" i="25" a="1"/>
  <c r="S522" i="25" s="1"/>
  <c r="AB522" i="25" s="1"/>
  <c r="AG522" i="25" s="1"/>
  <c r="AV498" i="25"/>
  <c r="AW498" i="25" s="1"/>
  <c r="S498" i="25" a="1"/>
  <c r="S498" i="25" s="1"/>
  <c r="AB498" i="25" s="1"/>
  <c r="AG498" i="25" s="1"/>
  <c r="AV115" i="25"/>
  <c r="AW115" i="25" s="1"/>
  <c r="S115" i="25" a="1"/>
  <c r="S115" i="25" s="1"/>
  <c r="AB115" i="25" s="1"/>
  <c r="AG115" i="25" s="1"/>
  <c r="AV153" i="25"/>
  <c r="AW153" i="25" s="1"/>
  <c r="S153" i="25" a="1"/>
  <c r="S153" i="25" s="1"/>
  <c r="AB153" i="25" s="1"/>
  <c r="AG153" i="25" s="1"/>
  <c r="AV343" i="25"/>
  <c r="AW343" i="25" s="1"/>
  <c r="S343" i="25" a="1"/>
  <c r="S343" i="25" s="1"/>
  <c r="AB343" i="25" s="1"/>
  <c r="AB114" i="25"/>
  <c r="AG114" i="25" s="1"/>
  <c r="AV464" i="25"/>
  <c r="AW464" i="25" s="1"/>
  <c r="S464" i="25" a="1"/>
  <c r="S464" i="25" s="1"/>
  <c r="AB464" i="25" s="1"/>
  <c r="AV349" i="25"/>
  <c r="AW349" i="25" s="1"/>
  <c r="S349" i="25" a="1"/>
  <c r="S349" i="25" s="1"/>
  <c r="AB349" i="25" s="1"/>
  <c r="AG349" i="25" s="1"/>
  <c r="AV131" i="25"/>
  <c r="AW131" i="25" s="1"/>
  <c r="S131" i="25" a="1"/>
  <c r="S131" i="25" s="1"/>
  <c r="AB131" i="25" s="1"/>
  <c r="AG131" i="25" s="1"/>
  <c r="AV570" i="25"/>
  <c r="AW570" i="25" s="1"/>
  <c r="S570" i="25" a="1"/>
  <c r="S570" i="25" s="1"/>
  <c r="AB570" i="25" s="1"/>
  <c r="AG570" i="25" s="1"/>
  <c r="AV318" i="25"/>
  <c r="AW318" i="25" s="1"/>
  <c r="S318" i="25" a="1"/>
  <c r="S318" i="25" s="1"/>
  <c r="AB318" i="25" s="1"/>
  <c r="AG318" i="25" s="1"/>
  <c r="AV354" i="25"/>
  <c r="AW354" i="25" s="1"/>
  <c r="S354" i="25" a="1"/>
  <c r="S354" i="25" s="1"/>
  <c r="AB354" i="25" s="1"/>
  <c r="AG354" i="25" s="1"/>
  <c r="AV279" i="25"/>
  <c r="AW279" i="25" s="1"/>
  <c r="S279" i="25" a="1"/>
  <c r="S279" i="25" s="1"/>
  <c r="AB279" i="25" s="1"/>
  <c r="AG279" i="25" s="1"/>
  <c r="AV24" i="25"/>
  <c r="AW24" i="25" s="1"/>
  <c r="S24" i="25" a="1"/>
  <c r="S24" i="25" s="1"/>
  <c r="AB24" i="25" s="1"/>
  <c r="AG24" i="25" s="1"/>
  <c r="AV500" i="25"/>
  <c r="AW500" i="25" s="1"/>
  <c r="S500" i="25" a="1"/>
  <c r="S500" i="25" s="1"/>
  <c r="AB500" i="25" s="1"/>
  <c r="AG500" i="25" s="1"/>
  <c r="AV144" i="25"/>
  <c r="AW144" i="25" s="1"/>
  <c r="S144" i="25" a="1"/>
  <c r="S144" i="25" s="1"/>
  <c r="AB144" i="25" s="1"/>
  <c r="AG144" i="25" s="1"/>
  <c r="AV6" i="25"/>
  <c r="AW6" i="25" s="1"/>
  <c r="S6" i="25" a="1"/>
  <c r="S6" i="25" s="1"/>
  <c r="AB6" i="25" s="1"/>
  <c r="AG6" i="25" s="1"/>
  <c r="AV427" i="25"/>
  <c r="AW427" i="25" s="1"/>
  <c r="S427" i="25" a="1"/>
  <c r="S427" i="25" s="1"/>
  <c r="AB427" i="25" s="1"/>
  <c r="AG427" i="25" s="1"/>
  <c r="AV26" i="25"/>
  <c r="AW26" i="25" s="1"/>
  <c r="S26" i="25" a="1"/>
  <c r="S26" i="25" s="1"/>
  <c r="AB26" i="25" s="1"/>
  <c r="AG26" i="25" s="1"/>
  <c r="AV589" i="25"/>
  <c r="AW589" i="25" s="1"/>
  <c r="S589" i="25" a="1"/>
  <c r="S589" i="25" s="1"/>
  <c r="AB589" i="25" s="1"/>
  <c r="AG589" i="25" s="1"/>
  <c r="AV76" i="25"/>
  <c r="AW76" i="25" s="1"/>
  <c r="S76" i="25" a="1"/>
  <c r="S76" i="25" s="1"/>
  <c r="AB76" i="25" s="1"/>
  <c r="AG76" i="25" s="1"/>
  <c r="AV272" i="25"/>
  <c r="AW272" i="25" s="1"/>
  <c r="S272" i="25" a="1"/>
  <c r="S272" i="25" s="1"/>
  <c r="AB272" i="25" s="1"/>
  <c r="AG272" i="25" s="1"/>
  <c r="AV217" i="25"/>
  <c r="AW217" i="25" s="1"/>
  <c r="S217" i="25" a="1"/>
  <c r="S217" i="25" s="1"/>
  <c r="AB217" i="25" s="1"/>
  <c r="AV530" i="25"/>
  <c r="AW530" i="25" s="1"/>
  <c r="S530" i="25" a="1"/>
  <c r="S530" i="25" s="1"/>
  <c r="AB530" i="25" s="1"/>
  <c r="AG530" i="25" s="1"/>
  <c r="AV383" i="25"/>
  <c r="AW383" i="25" s="1"/>
  <c r="S383" i="25" a="1"/>
  <c r="S383" i="25" s="1"/>
  <c r="AB383" i="25" s="1"/>
  <c r="AG383" i="25" s="1"/>
  <c r="AV412" i="25"/>
  <c r="AW412" i="25" s="1"/>
  <c r="S412" i="25" a="1"/>
  <c r="S412" i="25" s="1"/>
  <c r="AB412" i="25" s="1"/>
  <c r="AG412" i="25" s="1"/>
  <c r="AV474" i="25"/>
  <c r="AW474" i="25" s="1"/>
  <c r="S474" i="25" a="1"/>
  <c r="S474" i="25" s="1"/>
  <c r="AB474" i="25" s="1"/>
  <c r="AG474" i="25" s="1"/>
  <c r="AV215" i="25"/>
  <c r="AW215" i="25" s="1"/>
  <c r="S215" i="25" a="1"/>
  <c r="S215" i="25" s="1"/>
  <c r="AB215" i="25" s="1"/>
  <c r="AG215" i="25" s="1"/>
  <c r="AB280" i="25"/>
  <c r="AG280" i="25" s="1"/>
  <c r="AV83" i="25"/>
  <c r="AW83" i="25" s="1"/>
  <c r="S83" i="25" a="1"/>
  <c r="S83" i="25" s="1"/>
  <c r="AB83" i="25" s="1"/>
  <c r="AV247" i="25"/>
  <c r="AW247" i="25" s="1"/>
  <c r="S247" i="25" a="1"/>
  <c r="S247" i="25" s="1"/>
  <c r="AB247" i="25" s="1"/>
  <c r="AG247" i="25" s="1"/>
  <c r="AV104" i="25"/>
  <c r="AW104" i="25" s="1"/>
  <c r="S104" i="25" a="1"/>
  <c r="S104" i="25" s="1"/>
  <c r="AB104" i="25" s="1"/>
  <c r="AG104" i="25" s="1"/>
  <c r="AV339" i="25"/>
  <c r="AW339" i="25" s="1"/>
  <c r="S339" i="25" a="1"/>
  <c r="S339" i="25" s="1"/>
  <c r="AB339" i="25" s="1"/>
  <c r="AG339" i="25" s="1"/>
  <c r="AV377" i="25"/>
  <c r="AW377" i="25" s="1"/>
  <c r="S377" i="25" a="1"/>
  <c r="S377" i="25" s="1"/>
  <c r="AB377" i="25" s="1"/>
  <c r="AG377" i="25" s="1"/>
  <c r="AV36" i="25"/>
  <c r="AW36" i="25" s="1"/>
  <c r="S36" i="25" a="1"/>
  <c r="S36" i="25" s="1"/>
  <c r="AB36" i="25" s="1"/>
  <c r="AV18" i="25"/>
  <c r="AW18" i="25" s="1"/>
  <c r="S18" i="25" a="1"/>
  <c r="S18" i="25" s="1"/>
  <c r="AB18" i="25" s="1"/>
  <c r="AV248" i="25"/>
  <c r="AW248" i="25" s="1"/>
  <c r="S248" i="25" a="1"/>
  <c r="S248" i="25" s="1"/>
  <c r="AB248" i="25" s="1"/>
  <c r="AG248" i="25" s="1"/>
  <c r="AV142" i="25"/>
  <c r="AW142" i="25" s="1"/>
  <c r="S142" i="25" a="1"/>
  <c r="S142" i="25" s="1"/>
  <c r="AB142" i="25" s="1"/>
  <c r="AG142" i="25" s="1"/>
  <c r="AV195" i="25"/>
  <c r="AW195" i="25" s="1"/>
  <c r="S195" i="25" a="1"/>
  <c r="S195" i="25" s="1"/>
  <c r="AB195" i="25" s="1"/>
  <c r="AG195" i="25" s="1"/>
  <c r="AV54" i="25"/>
  <c r="AW54" i="25" s="1"/>
  <c r="S54" i="25" a="1"/>
  <c r="S54" i="25" s="1"/>
  <c r="AB54" i="25" s="1"/>
  <c r="AV308" i="25"/>
  <c r="AW308" i="25" s="1"/>
  <c r="S308" i="25" a="1"/>
  <c r="S308" i="25" s="1"/>
  <c r="AB308" i="25" s="1"/>
  <c r="AG308" i="25" s="1"/>
  <c r="AV75" i="25"/>
  <c r="AW75" i="25" s="1"/>
  <c r="S75" i="25" a="1"/>
  <c r="S75" i="25" s="1"/>
  <c r="AB75" i="25" s="1"/>
  <c r="AG75" i="25" s="1"/>
  <c r="AV157" i="25"/>
  <c r="AW157" i="25" s="1"/>
  <c r="S157" i="25" a="1"/>
  <c r="S157" i="25" s="1"/>
  <c r="AB157" i="25" s="1"/>
  <c r="AG157" i="25" s="1"/>
  <c r="AB572" i="25"/>
  <c r="AG572" i="25" s="1"/>
  <c r="AV450" i="25"/>
  <c r="AW450" i="25" s="1"/>
  <c r="S450" i="25" a="1"/>
  <c r="S450" i="25" s="1"/>
  <c r="AB450" i="25" s="1"/>
  <c r="AG450" i="25" s="1"/>
  <c r="AV123" i="25"/>
  <c r="AW123" i="25" s="1"/>
  <c r="S123" i="25" a="1"/>
  <c r="S123" i="25" s="1"/>
  <c r="AB123" i="25" s="1"/>
  <c r="AG123" i="25" s="1"/>
  <c r="AV134" i="25"/>
  <c r="AW134" i="25" s="1"/>
  <c r="S134" i="25" a="1"/>
  <c r="S134" i="25" s="1"/>
  <c r="AB134" i="25" s="1"/>
  <c r="AG134" i="25" s="1"/>
  <c r="AV34" i="25"/>
  <c r="AW34" i="25" s="1"/>
  <c r="S34" i="25" a="1"/>
  <c r="S34" i="25" s="1"/>
  <c r="AB34" i="25" s="1"/>
  <c r="AG34" i="25" s="1"/>
  <c r="AV461" i="25"/>
  <c r="AW461" i="25" s="1"/>
  <c r="S461" i="25" a="1"/>
  <c r="S461" i="25" s="1"/>
  <c r="AB461" i="25" s="1"/>
  <c r="AG461" i="25" s="1"/>
  <c r="AV593" i="25"/>
  <c r="AW593" i="25" s="1"/>
  <c r="S593" i="25" a="1"/>
  <c r="S593" i="25" s="1"/>
  <c r="AB593" i="25" s="1"/>
  <c r="AG593" i="25" s="1"/>
  <c r="AV314" i="25"/>
  <c r="AW314" i="25" s="1"/>
  <c r="S314" i="25" a="1"/>
  <c r="S314" i="25" s="1"/>
  <c r="AB314" i="25" s="1"/>
  <c r="AG314" i="25" s="1"/>
  <c r="AV253" i="25"/>
  <c r="AW253" i="25" s="1"/>
  <c r="S253" i="25" a="1"/>
  <c r="S253" i="25" s="1"/>
  <c r="AB253" i="25" s="1"/>
  <c r="AG253" i="25" s="1"/>
  <c r="AV341" i="25"/>
  <c r="AW341" i="25" s="1"/>
  <c r="S341" i="25" a="1"/>
  <c r="S341" i="25" s="1"/>
  <c r="AB341" i="25" s="1"/>
  <c r="AG341" i="25" s="1"/>
  <c r="AV480" i="25"/>
  <c r="AW480" i="25" s="1"/>
  <c r="S480" i="25" a="1"/>
  <c r="S480" i="25" s="1"/>
  <c r="AB480" i="25" s="1"/>
  <c r="AV454" i="25"/>
  <c r="AW454" i="25" s="1"/>
  <c r="S454" i="25" a="1"/>
  <c r="S454" i="25" s="1"/>
  <c r="AB454" i="25" s="1"/>
  <c r="AG454" i="25" s="1"/>
  <c r="AV426" i="25"/>
  <c r="AW426" i="25" s="1"/>
  <c r="S426" i="25" a="1"/>
  <c r="S426" i="25" s="1"/>
  <c r="AB426" i="25" s="1"/>
  <c r="AV459" i="25"/>
  <c r="AW459" i="25" s="1"/>
  <c r="S459" i="25" a="1"/>
  <c r="S459" i="25" s="1"/>
  <c r="AB459" i="25" s="1"/>
  <c r="AG459" i="25" s="1"/>
  <c r="AV470" i="25"/>
  <c r="AW470" i="25" s="1"/>
  <c r="S470" i="25" a="1"/>
  <c r="S470" i="25" s="1"/>
  <c r="AB470" i="25" s="1"/>
  <c r="AV174" i="25"/>
  <c r="AW174" i="25" s="1"/>
  <c r="S174" i="25" a="1"/>
  <c r="S174" i="25" s="1"/>
  <c r="AB174" i="25" s="1"/>
  <c r="AG174" i="25" s="1"/>
  <c r="AV344" i="25"/>
  <c r="AW344" i="25" s="1"/>
  <c r="S344" i="25" a="1"/>
  <c r="S344" i="25" s="1"/>
  <c r="AB344" i="25" s="1"/>
  <c r="AG344" i="25" s="1"/>
  <c r="AV74" i="25"/>
  <c r="AW74" i="25" s="1"/>
  <c r="S74" i="25" a="1"/>
  <c r="S74" i="25" s="1"/>
  <c r="AB74" i="25" s="1"/>
  <c r="AG74" i="25" s="1"/>
  <c r="AV469" i="25"/>
  <c r="AW469" i="25" s="1"/>
  <c r="S469" i="25" a="1"/>
  <c r="S469" i="25" s="1"/>
  <c r="AB469" i="25" s="1"/>
  <c r="AG469" i="25" s="1"/>
  <c r="AV359" i="25"/>
  <c r="AW359" i="25" s="1"/>
  <c r="S359" i="25" a="1"/>
  <c r="S359" i="25" s="1"/>
  <c r="AB359" i="25" s="1"/>
  <c r="AG359" i="25" s="1"/>
  <c r="AV298" i="25"/>
  <c r="AW298" i="25" s="1"/>
  <c r="S298" i="25" a="1"/>
  <c r="S298" i="25" s="1"/>
  <c r="AB298" i="25" s="1"/>
  <c r="AG298" i="25" s="1"/>
  <c r="AV177" i="25"/>
  <c r="AW177" i="25" s="1"/>
  <c r="S177" i="25" a="1"/>
  <c r="S177" i="25" s="1"/>
  <c r="AB177" i="25" s="1"/>
  <c r="AG177" i="25" s="1"/>
  <c r="AV5" i="25"/>
  <c r="AW5" i="25" s="1"/>
  <c r="S5" i="25" a="1"/>
  <c r="S5" i="25" s="1"/>
  <c r="AB5" i="25" s="1"/>
  <c r="AV29" i="25"/>
  <c r="AW29" i="25" s="1"/>
  <c r="S29" i="25" a="1"/>
  <c r="S29" i="25" s="1"/>
  <c r="AB29" i="25" s="1"/>
  <c r="AG29" i="25" s="1"/>
  <c r="AV495" i="25"/>
  <c r="AW495" i="25" s="1"/>
  <c r="S495" i="25" a="1"/>
  <c r="S495" i="25" s="1"/>
  <c r="AB495" i="25" s="1"/>
  <c r="AG495" i="25" s="1"/>
  <c r="AV401" i="25"/>
  <c r="AW401" i="25" s="1"/>
  <c r="S401" i="25" a="1"/>
  <c r="S401" i="25" s="1"/>
  <c r="AB401" i="25" s="1"/>
  <c r="AG401" i="25" s="1"/>
  <c r="AV41" i="25"/>
  <c r="AW41" i="25" s="1"/>
  <c r="S41" i="25" a="1"/>
  <c r="S41" i="25" s="1"/>
  <c r="AB41" i="25" s="1"/>
  <c r="AG41" i="25" s="1"/>
  <c r="AV162" i="25"/>
  <c r="AW162" i="25" s="1"/>
  <c r="S162" i="25" a="1"/>
  <c r="S162" i="25" s="1"/>
  <c r="AB162" i="25" s="1"/>
  <c r="AG162" i="25" s="1"/>
  <c r="AB531" i="25"/>
  <c r="AG531" i="25" s="1"/>
  <c r="AV373" i="25"/>
  <c r="AW373" i="25" s="1"/>
  <c r="S373" i="25" a="1"/>
  <c r="S373" i="25" s="1"/>
  <c r="AB373" i="25" s="1"/>
  <c r="AG373" i="25" s="1"/>
  <c r="AV50" i="25"/>
  <c r="AW50" i="25" s="1"/>
  <c r="S50" i="25" a="1"/>
  <c r="S50" i="25" s="1"/>
  <c r="AB50" i="25" s="1"/>
  <c r="AG50" i="25" s="1"/>
  <c r="AV392" i="25"/>
  <c r="AW392" i="25" s="1"/>
  <c r="S392" i="25" a="1"/>
  <c r="S392" i="25" s="1"/>
  <c r="AB392" i="25" s="1"/>
  <c r="AG392" i="25" s="1"/>
  <c r="AV260" i="25"/>
  <c r="AW260" i="25" s="1"/>
  <c r="S260" i="25" a="1"/>
  <c r="S260" i="25" s="1"/>
  <c r="AB260" i="25" s="1"/>
  <c r="AG260" i="25" s="1"/>
  <c r="AV559" i="25"/>
  <c r="AW559" i="25" s="1"/>
  <c r="S559" i="25" a="1"/>
  <c r="S559" i="25" s="1"/>
  <c r="AB559" i="25" s="1"/>
  <c r="AG559" i="25" s="1"/>
  <c r="AV166" i="25"/>
  <c r="AW166" i="25" s="1"/>
  <c r="S166" i="25" a="1"/>
  <c r="S166" i="25" s="1"/>
  <c r="AB166" i="25" s="1"/>
  <c r="AG166" i="25" s="1"/>
  <c r="AV511" i="25"/>
  <c r="AW511" i="25" s="1"/>
  <c r="S511" i="25" a="1"/>
  <c r="S511" i="25" s="1"/>
  <c r="AB511" i="25" s="1"/>
  <c r="AV466" i="25"/>
  <c r="AW466" i="25" s="1"/>
  <c r="S466" i="25" a="1"/>
  <c r="S466" i="25" s="1"/>
  <c r="AB466" i="25" s="1"/>
  <c r="AG466" i="25" s="1"/>
  <c r="AV4" i="25"/>
  <c r="AW4" i="25" s="1"/>
  <c r="S4" i="25" a="1"/>
  <c r="S4" i="25" s="1"/>
  <c r="AB4" i="25" s="1"/>
  <c r="AG4" i="25" s="1"/>
  <c r="AV550" i="25"/>
  <c r="AW550" i="25" s="1"/>
  <c r="S550" i="25" a="1"/>
  <c r="S550" i="25" s="1"/>
  <c r="AB550" i="25" s="1"/>
  <c r="AG550" i="25" s="1"/>
  <c r="AV64" i="25"/>
  <c r="AW64" i="25" s="1"/>
  <c r="S64" i="25" a="1"/>
  <c r="S64" i="25" s="1"/>
  <c r="AB64" i="25" s="1"/>
  <c r="AG64" i="25" s="1"/>
  <c r="AV95" i="25"/>
  <c r="AW95" i="25" s="1"/>
  <c r="S95" i="25" a="1"/>
  <c r="S95" i="25" s="1"/>
  <c r="AB95" i="25" s="1"/>
  <c r="AG95" i="25" s="1"/>
  <c r="AV491" i="25"/>
  <c r="AW491" i="25" s="1"/>
  <c r="S491" i="25" a="1"/>
  <c r="S491" i="25" s="1"/>
  <c r="AB491" i="25" s="1"/>
  <c r="AG491" i="25" s="1"/>
  <c r="AV189" i="25"/>
  <c r="AW189" i="25" s="1"/>
  <c r="S189" i="25" a="1"/>
  <c r="S189" i="25" s="1"/>
  <c r="AB189" i="25" s="1"/>
  <c r="AG189" i="25" s="1"/>
  <c r="AV330" i="25"/>
  <c r="AW330" i="25" s="1"/>
  <c r="S330" i="25" a="1"/>
  <c r="S330" i="25" s="1"/>
  <c r="AB330" i="25" s="1"/>
  <c r="AG330" i="25" s="1"/>
  <c r="AV394" i="25"/>
  <c r="AW394" i="25" s="1"/>
  <c r="S394" i="25" a="1"/>
  <c r="S394" i="25" s="1"/>
  <c r="AB394" i="25" s="1"/>
  <c r="AG394" i="25" s="1"/>
  <c r="AV319" i="25"/>
  <c r="AW319" i="25" s="1"/>
  <c r="S319" i="25" a="1"/>
  <c r="S319" i="25" s="1"/>
  <c r="AB319" i="25" s="1"/>
  <c r="AV422" i="25"/>
  <c r="AW422" i="25" s="1"/>
  <c r="S422" i="25" a="1"/>
  <c r="S422" i="25" s="1"/>
  <c r="AB422" i="25" s="1"/>
  <c r="AG422" i="25" s="1"/>
  <c r="AV288" i="25"/>
  <c r="AW288" i="25" s="1"/>
  <c r="S288" i="25" a="1"/>
  <c r="S288" i="25" s="1"/>
  <c r="AB288" i="25" s="1"/>
  <c r="AG288" i="25" s="1"/>
  <c r="AV484" i="25"/>
  <c r="AW484" i="25" s="1"/>
  <c r="S484" i="25" a="1"/>
  <c r="S484" i="25" s="1"/>
  <c r="AB484" i="25" s="1"/>
  <c r="AG484" i="25" s="1"/>
  <c r="AV14" i="25"/>
  <c r="AW14" i="25" s="1"/>
  <c r="S14" i="25" a="1"/>
  <c r="S14" i="25" s="1"/>
  <c r="AB14" i="25" s="1"/>
  <c r="AV305" i="25"/>
  <c r="AW305" i="25" s="1"/>
  <c r="S305" i="25" a="1"/>
  <c r="S305" i="25" s="1"/>
  <c r="AB305" i="25" s="1"/>
  <c r="AG305" i="25" s="1"/>
  <c r="AV548" i="25"/>
  <c r="AW548" i="25" s="1"/>
  <c r="S548" i="25" a="1"/>
  <c r="S548" i="25" s="1"/>
  <c r="AB548" i="25" s="1"/>
  <c r="AG548" i="25" s="1"/>
  <c r="AV400" i="25"/>
  <c r="AW400" i="25" s="1"/>
  <c r="S400" i="25" a="1"/>
  <c r="S400" i="25" s="1"/>
  <c r="AB400" i="25" s="1"/>
  <c r="AG400" i="25" s="1"/>
  <c r="AV574" i="25"/>
  <c r="AW574" i="25" s="1"/>
  <c r="S574" i="25" a="1"/>
  <c r="S574" i="25" s="1"/>
  <c r="AB574" i="25" s="1"/>
  <c r="AG574" i="25" s="1"/>
  <c r="AV533" i="25"/>
  <c r="AW533" i="25" s="1"/>
  <c r="S533" i="25" a="1"/>
  <c r="S533" i="25" s="1"/>
  <c r="AB533" i="25" s="1"/>
  <c r="AG533" i="25" s="1"/>
  <c r="AV468" i="25"/>
  <c r="AW468" i="25" s="1"/>
  <c r="S468" i="25" a="1"/>
  <c r="S468" i="25" s="1"/>
  <c r="AB468" i="25" s="1"/>
  <c r="AV434" i="25"/>
  <c r="AW434" i="25" s="1"/>
  <c r="S434" i="25" a="1"/>
  <c r="S434" i="25" s="1"/>
  <c r="AB434" i="25" s="1"/>
  <c r="AG434" i="25" s="1"/>
  <c r="AV433" i="25"/>
  <c r="AW433" i="25" s="1"/>
  <c r="S433" i="25" a="1"/>
  <c r="S433" i="25" s="1"/>
  <c r="AB433" i="25" s="1"/>
  <c r="AG433" i="25" s="1"/>
  <c r="AV145" i="25"/>
  <c r="AW145" i="25" s="1"/>
  <c r="S145" i="25" a="1"/>
  <c r="S145" i="25" s="1"/>
  <c r="AB145" i="25" s="1"/>
  <c r="AG145" i="25" s="1"/>
  <c r="AV45" i="25"/>
  <c r="AW45" i="25" s="1"/>
  <c r="S45" i="25" a="1"/>
  <c r="S45" i="25" s="1"/>
  <c r="AB45" i="25" s="1"/>
  <c r="AG45" i="25" s="1"/>
  <c r="AV438" i="25"/>
  <c r="AW438" i="25" s="1"/>
  <c r="S438" i="25" a="1"/>
  <c r="S438" i="25" s="1"/>
  <c r="AB438" i="25" s="1"/>
  <c r="AG438" i="25" s="1"/>
  <c r="AV514" i="25"/>
  <c r="AW514" i="25" s="1"/>
  <c r="S514" i="25" a="1"/>
  <c r="S514" i="25" s="1"/>
  <c r="AB514" i="25" s="1"/>
  <c r="AV524" i="25"/>
  <c r="AW524" i="25" s="1"/>
  <c r="S524" i="25" a="1"/>
  <c r="S524" i="25" s="1"/>
  <c r="AB524" i="25" s="1"/>
  <c r="AG524" i="25" s="1"/>
  <c r="AV173" i="25"/>
  <c r="AW173" i="25" s="1"/>
  <c r="S173" i="25" a="1"/>
  <c r="S173" i="25" s="1"/>
  <c r="AB173" i="25" s="1"/>
  <c r="AG173" i="25" s="1"/>
  <c r="AV294" i="25"/>
  <c r="AW294" i="25" s="1"/>
  <c r="S294" i="25" a="1"/>
  <c r="S294" i="25" s="1"/>
  <c r="AB294" i="25" s="1"/>
  <c r="AG294" i="25" s="1"/>
  <c r="AV263" i="25"/>
  <c r="AW263" i="25" s="1"/>
  <c r="S263" i="25" a="1"/>
  <c r="S263" i="25" s="1"/>
  <c r="AB263" i="25" s="1"/>
  <c r="AG263" i="25" s="1"/>
  <c r="AV431" i="25"/>
  <c r="AW431" i="25" s="1"/>
  <c r="S431" i="25" a="1"/>
  <c r="S431" i="25" s="1"/>
  <c r="AB431" i="25" s="1"/>
  <c r="AG431" i="25" s="1"/>
  <c r="AV181" i="25"/>
  <c r="AW181" i="25" s="1"/>
  <c r="S181" i="25" a="1"/>
  <c r="S181" i="25" s="1"/>
  <c r="AB181" i="25" s="1"/>
  <c r="AG181" i="25" s="1"/>
  <c r="AV289" i="25"/>
  <c r="AW289" i="25" s="1"/>
  <c r="S289" i="25" a="1"/>
  <c r="S289" i="25" s="1"/>
  <c r="AB289" i="25" s="1"/>
  <c r="AG289" i="25" s="1"/>
  <c r="AV338" i="25"/>
  <c r="AW338" i="25" s="1"/>
  <c r="S338" i="25" a="1"/>
  <c r="S338" i="25" s="1"/>
  <c r="AB338" i="25" s="1"/>
  <c r="AG338" i="25" s="1"/>
  <c r="AB27" i="25"/>
  <c r="AG27" i="25" s="1"/>
  <c r="AV337" i="25"/>
  <c r="AW337" i="25" s="1"/>
  <c r="S337" i="25" a="1"/>
  <c r="S337" i="25" s="1"/>
  <c r="AB337" i="25" s="1"/>
  <c r="AG337" i="25" s="1"/>
  <c r="AV587" i="25"/>
  <c r="AW587" i="25" s="1"/>
  <c r="S587" i="25" a="1"/>
  <c r="S587" i="25" s="1"/>
  <c r="AB587" i="25" s="1"/>
  <c r="AG587" i="25" s="1"/>
  <c r="AV154" i="25"/>
  <c r="AW154" i="25" s="1"/>
  <c r="S154" i="25" a="1"/>
  <c r="S154" i="25" s="1"/>
  <c r="AB154" i="25" s="1"/>
  <c r="AG154" i="25" s="1"/>
  <c r="AV225" i="25"/>
  <c r="AW225" i="25" s="1"/>
  <c r="S225" i="25" a="1"/>
  <c r="S225" i="25" s="1"/>
  <c r="AB225" i="25" s="1"/>
  <c r="AG225" i="25" s="1"/>
  <c r="AV565" i="25"/>
  <c r="AW565" i="25" s="1"/>
  <c r="S565" i="25" a="1"/>
  <c r="S565" i="25" s="1"/>
  <c r="AB565" i="25" s="1"/>
  <c r="AV393" i="25"/>
  <c r="AW393" i="25" s="1"/>
  <c r="S393" i="25" a="1"/>
  <c r="S393" i="25" s="1"/>
  <c r="AB393" i="25" s="1"/>
  <c r="AG393" i="25" s="1"/>
  <c r="AV93" i="25"/>
  <c r="AW93" i="25" s="1"/>
  <c r="S93" i="25" a="1"/>
  <c r="S93" i="25" s="1"/>
  <c r="AB93" i="25" s="1"/>
  <c r="AG93" i="25" s="1"/>
  <c r="AV424" i="25"/>
  <c r="AW424" i="25" s="1"/>
  <c r="S424" i="25" a="1"/>
  <c r="S424" i="25" s="1"/>
  <c r="AB424" i="25" s="1"/>
  <c r="AG424" i="25" s="1"/>
  <c r="AV249" i="25"/>
  <c r="AW249" i="25" s="1"/>
  <c r="S249" i="25" a="1"/>
  <c r="S249" i="25" s="1"/>
  <c r="AB249" i="25" s="1"/>
  <c r="AG249" i="25" s="1"/>
  <c r="AV284" i="25"/>
  <c r="AW284" i="25" s="1"/>
  <c r="S284" i="25" a="1"/>
  <c r="S284" i="25" s="1"/>
  <c r="AB284" i="25" s="1"/>
  <c r="AG284" i="25" s="1"/>
  <c r="AV371" i="25"/>
  <c r="AW371" i="25" s="1"/>
  <c r="S371" i="25" a="1"/>
  <c r="S371" i="25" s="1"/>
  <c r="AB371" i="25" s="1"/>
  <c r="AG371" i="25" s="1"/>
  <c r="AV449" i="25"/>
  <c r="AW449" i="25" s="1"/>
  <c r="S449" i="25" a="1"/>
  <c r="S449" i="25" s="1"/>
  <c r="AB449" i="25" s="1"/>
  <c r="AG449" i="25" s="1"/>
  <c r="AV487" i="25"/>
  <c r="AW487" i="25" s="1"/>
  <c r="S487" i="25" a="1"/>
  <c r="S487" i="25" s="1"/>
  <c r="AB487" i="25" s="1"/>
  <c r="AG487" i="25" s="1"/>
  <c r="AV233" i="25"/>
  <c r="AW233" i="25" s="1"/>
  <c r="S233" i="25" a="1"/>
  <c r="S233" i="25" s="1"/>
  <c r="AB233" i="25" s="1"/>
  <c r="AG233" i="25" s="1"/>
  <c r="AV591" i="25"/>
  <c r="AW591" i="25" s="1"/>
  <c r="S591" i="25" a="1"/>
  <c r="S591" i="25" s="1"/>
  <c r="AB591" i="25" s="1"/>
  <c r="AG591" i="25" s="1"/>
  <c r="AB557" i="25"/>
  <c r="AV267" i="25"/>
  <c r="AW267" i="25" s="1"/>
  <c r="S267" i="25" a="1"/>
  <c r="S267" i="25" s="1"/>
  <c r="AB267" i="25" s="1"/>
  <c r="AG267" i="25" s="1"/>
  <c r="AV230" i="25"/>
  <c r="AW230" i="25" s="1"/>
  <c r="S230" i="25" a="1"/>
  <c r="S230" i="25" s="1"/>
  <c r="AB230" i="25" s="1"/>
  <c r="AG230" i="25" s="1"/>
  <c r="AV328" i="25"/>
  <c r="AW328" i="25" s="1"/>
  <c r="S328" i="25" a="1"/>
  <c r="S328" i="25" s="1"/>
  <c r="AB328" i="25" s="1"/>
  <c r="AG328" i="25" s="1"/>
  <c r="AV169" i="25"/>
  <c r="AW169" i="25" s="1"/>
  <c r="S169" i="25" a="1"/>
  <c r="S169" i="25" s="1"/>
  <c r="AB169" i="25" s="1"/>
  <c r="AG169" i="25" s="1"/>
  <c r="AV259" i="25"/>
  <c r="AW259" i="25" s="1"/>
  <c r="S259" i="25" a="1"/>
  <c r="S259" i="25" s="1"/>
  <c r="AB259" i="25" s="1"/>
  <c r="AG259" i="25" s="1"/>
  <c r="AV588" i="25"/>
  <c r="AW588" i="25" s="1"/>
  <c r="S588" i="25" a="1"/>
  <c r="S588" i="25" s="1"/>
  <c r="AB588" i="25" s="1"/>
  <c r="AV442" i="25"/>
  <c r="AW442" i="25" s="1"/>
  <c r="S442" i="25" a="1"/>
  <c r="S442" i="25" s="1"/>
  <c r="AB442" i="25" s="1"/>
  <c r="AG442" i="25" s="1"/>
  <c r="AV81" i="25"/>
  <c r="AW81" i="25" s="1"/>
  <c r="S81" i="25" a="1"/>
  <c r="S81" i="25" s="1"/>
  <c r="AB81" i="25" s="1"/>
  <c r="AG81" i="25" s="1"/>
  <c r="AV316" i="25"/>
  <c r="AW316" i="25" s="1"/>
  <c r="S316" i="25" a="1"/>
  <c r="S316" i="25" s="1"/>
  <c r="AB316" i="25" s="1"/>
  <c r="AG316" i="25" s="1"/>
  <c r="AM360" i="25"/>
  <c r="AS360" i="25"/>
  <c r="AM419" i="25"/>
  <c r="AS419" i="25"/>
  <c r="AS200" i="25"/>
  <c r="AM200" i="25"/>
  <c r="AM478" i="25"/>
  <c r="AS478" i="25"/>
  <c r="AM47" i="25"/>
  <c r="AS47" i="25"/>
  <c r="X3" i="25"/>
  <c r="AC3" i="25" s="1"/>
  <c r="AH3" i="25" s="1"/>
  <c r="AV3" i="25"/>
  <c r="AW3" i="25" s="1"/>
  <c r="AA585" i="25"/>
  <c r="AV585" i="25"/>
  <c r="AW585" i="25" s="1"/>
  <c r="Y199" i="25"/>
  <c r="AD199" i="25" s="1"/>
  <c r="AI199" i="25" s="1"/>
  <c r="AV199" i="25"/>
  <c r="AW199" i="25" s="1"/>
  <c r="AA35" i="25"/>
  <c r="AV35" i="25"/>
  <c r="AW35" i="25" s="1"/>
  <c r="Y402" i="25"/>
  <c r="AD402" i="25" s="1"/>
  <c r="AI402" i="25" s="1"/>
  <c r="AV402" i="25"/>
  <c r="AW402" i="25" s="1"/>
  <c r="AA19" i="25"/>
  <c r="AV19" i="25"/>
  <c r="AW19" i="25" s="1"/>
  <c r="Y198" i="25"/>
  <c r="AD198" i="25" s="1"/>
  <c r="AI198" i="25" s="1"/>
  <c r="AV198" i="25"/>
  <c r="AW198" i="25" s="1"/>
  <c r="Z301" i="25"/>
  <c r="AV301" i="25"/>
  <c r="AW301" i="25" s="1"/>
  <c r="AA551" i="25"/>
  <c r="AD551" i="25" s="1"/>
  <c r="AI551" i="25" s="1"/>
  <c r="AV551" i="25"/>
  <c r="AW551" i="25" s="1"/>
  <c r="AA420" i="25"/>
  <c r="AV420" i="25"/>
  <c r="AW420" i="25" s="1"/>
  <c r="Z43" i="25"/>
  <c r="AD43" i="25" s="1"/>
  <c r="AI43" i="25" s="1"/>
  <c r="AV43" i="25"/>
  <c r="AW43" i="25" s="1"/>
  <c r="Z365" i="25"/>
  <c r="AV365" i="25"/>
  <c r="AW365" i="25" s="1"/>
  <c r="AA221" i="25"/>
  <c r="AD221" i="25" s="1"/>
  <c r="AI221" i="25" s="1"/>
  <c r="AV221" i="25"/>
  <c r="AW221" i="25" s="1"/>
  <c r="Y560" i="25"/>
  <c r="AD560" i="25" s="1"/>
  <c r="AI560" i="25" s="1"/>
  <c r="AV560" i="25"/>
  <c r="AW560" i="25" s="1"/>
  <c r="Y258" i="25"/>
  <c r="AD258" i="25" s="1"/>
  <c r="AI258" i="25" s="1"/>
  <c r="AV258" i="25"/>
  <c r="AW258" i="25" s="1"/>
  <c r="AA567" i="25"/>
  <c r="AV567" i="25"/>
  <c r="AW567" i="25" s="1"/>
  <c r="AA547" i="25"/>
  <c r="AD547" i="25" s="1"/>
  <c r="AI547" i="25" s="1"/>
  <c r="AV547" i="25"/>
  <c r="AW547" i="25" s="1"/>
  <c r="U549" i="25"/>
  <c r="AB549" i="25" s="1"/>
  <c r="AG549" i="25" s="1"/>
  <c r="AV549" i="25"/>
  <c r="AW549" i="25" s="1"/>
  <c r="Z573" i="25"/>
  <c r="AD573" i="25" s="1"/>
  <c r="AI573" i="25" s="1"/>
  <c r="AV573" i="25"/>
  <c r="AW573" i="25" s="1"/>
  <c r="Z269" i="25"/>
  <c r="AV269" i="25"/>
  <c r="AW269" i="25" s="1"/>
  <c r="AA519" i="25"/>
  <c r="AD519" i="25" s="1"/>
  <c r="AI519" i="25" s="1"/>
  <c r="AV519" i="25"/>
  <c r="AW519" i="25" s="1"/>
  <c r="Z11" i="25"/>
  <c r="AV11" i="25"/>
  <c r="AW11" i="25" s="1"/>
  <c r="AA555" i="25"/>
  <c r="AD555" i="25" s="1"/>
  <c r="AI555" i="25" s="1"/>
  <c r="AV555" i="25"/>
  <c r="AW555" i="25" s="1"/>
  <c r="Z595" i="25"/>
  <c r="AV595" i="25"/>
  <c r="AW595" i="25" s="1"/>
  <c r="AA539" i="25"/>
  <c r="AD539" i="25" s="1"/>
  <c r="AI539" i="25" s="1"/>
  <c r="AV539" i="25"/>
  <c r="AW539" i="25" s="1"/>
  <c r="Z39" i="25"/>
  <c r="AV39" i="25"/>
  <c r="AW39" i="25" s="1"/>
  <c r="Y210" i="25"/>
  <c r="AD210" i="25" s="1"/>
  <c r="AI210" i="25" s="1"/>
  <c r="AV210" i="25"/>
  <c r="AW210" i="25" s="1"/>
  <c r="Y31" i="25"/>
  <c r="AD31" i="25" s="1"/>
  <c r="AV31" i="25"/>
  <c r="AW31" i="25" s="1"/>
  <c r="Z577" i="25"/>
  <c r="AD577" i="25" s="1"/>
  <c r="AI577" i="25" s="1"/>
  <c r="AV577" i="25"/>
  <c r="AW577" i="25" s="1"/>
  <c r="Y194" i="25"/>
  <c r="AD194" i="25" s="1"/>
  <c r="AI194" i="25" s="1"/>
  <c r="AV194" i="25"/>
  <c r="AW194" i="25" s="1"/>
  <c r="Y98" i="25"/>
  <c r="AD98" i="25" s="1"/>
  <c r="AI98" i="25" s="1"/>
  <c r="AV98" i="25"/>
  <c r="AW98" i="25" s="1"/>
  <c r="AA535" i="25"/>
  <c r="AV535" i="25"/>
  <c r="AW535" i="25" s="1"/>
  <c r="Y287" i="25"/>
  <c r="AV287" i="25"/>
  <c r="AW287" i="25" s="1"/>
  <c r="Y38" i="25"/>
  <c r="AD38" i="25" s="1"/>
  <c r="AV38" i="25"/>
  <c r="AW38" i="25" s="1"/>
  <c r="Y274" i="25"/>
  <c r="AD274" i="25" s="1"/>
  <c r="AI274" i="25" s="1"/>
  <c r="AV274" i="25"/>
  <c r="AW274" i="25" s="1"/>
  <c r="Y406" i="25"/>
  <c r="AD406" i="25" s="1"/>
  <c r="AV406" i="25"/>
  <c r="AW406" i="25" s="1"/>
  <c r="AA67" i="25"/>
  <c r="AD67" i="25" s="1"/>
  <c r="AI67" i="25" s="1"/>
  <c r="AV67" i="25"/>
  <c r="AW67" i="25" s="1"/>
  <c r="Z333" i="25"/>
  <c r="AV333" i="25"/>
  <c r="AW333" i="25" s="1"/>
  <c r="Z237" i="25"/>
  <c r="AD237" i="25" s="1"/>
  <c r="AI237" i="25" s="1"/>
  <c r="AV237" i="25"/>
  <c r="AW237" i="25" s="1"/>
  <c r="Z397" i="25"/>
  <c r="AV397" i="25"/>
  <c r="AW397" i="25" s="1"/>
  <c r="Y55" i="25"/>
  <c r="AV55" i="25"/>
  <c r="AW55" i="25" s="1"/>
  <c r="AA447" i="25"/>
  <c r="AV447" i="25"/>
  <c r="AW447" i="25" s="1"/>
  <c r="AA220" i="25"/>
  <c r="AV220" i="25"/>
  <c r="AW220" i="25" s="1"/>
  <c r="Y47" i="25"/>
  <c r="AD47" i="25" s="1"/>
  <c r="AI47" i="25" s="1"/>
  <c r="AV47" i="25"/>
  <c r="AW47" i="25" s="1"/>
  <c r="Y306" i="25"/>
  <c r="AD306" i="25" s="1"/>
  <c r="AI306" i="25" s="1"/>
  <c r="AV306" i="25"/>
  <c r="AW306" i="25" s="1"/>
  <c r="Y150" i="25"/>
  <c r="AD150" i="25" s="1"/>
  <c r="AI150" i="25" s="1"/>
  <c r="AV150" i="25"/>
  <c r="AW150" i="25" s="1"/>
  <c r="Z71" i="25"/>
  <c r="AV71" i="25"/>
  <c r="AW71" i="25" s="1"/>
  <c r="Y553" i="25"/>
  <c r="AD553" i="25" s="1"/>
  <c r="AI553" i="25" s="1"/>
  <c r="AV553" i="25"/>
  <c r="AW553" i="25" s="1"/>
  <c r="Y226" i="25"/>
  <c r="AD226" i="25" s="1"/>
  <c r="AI226" i="25" s="1"/>
  <c r="AV226" i="25"/>
  <c r="AW226" i="25" s="1"/>
  <c r="Y358" i="25"/>
  <c r="AD358" i="25" s="1"/>
  <c r="AI358" i="25" s="1"/>
  <c r="AV358" i="25"/>
  <c r="AW358" i="25" s="1"/>
  <c r="AA507" i="25"/>
  <c r="AD507" i="25" s="1"/>
  <c r="AI507" i="25" s="1"/>
  <c r="AV507" i="25"/>
  <c r="AW507" i="25" s="1"/>
  <c r="Z563" i="25"/>
  <c r="AD563" i="25" s="1"/>
  <c r="AI563" i="25" s="1"/>
  <c r="AV563" i="25"/>
  <c r="AW563" i="25" s="1"/>
  <c r="Y182" i="25"/>
  <c r="AD182" i="25" s="1"/>
  <c r="AI182" i="25" s="1"/>
  <c r="AV182" i="25"/>
  <c r="AW182" i="25" s="1"/>
  <c r="Y455" i="25"/>
  <c r="AV455" i="25"/>
  <c r="AW455" i="25" s="1"/>
  <c r="Y386" i="25"/>
  <c r="AD386" i="25" s="1"/>
  <c r="AI386" i="25" s="1"/>
  <c r="AV386" i="25"/>
  <c r="AW386" i="25" s="1"/>
  <c r="AA571" i="25"/>
  <c r="AD571" i="25" s="1"/>
  <c r="AV571" i="25"/>
  <c r="AW571" i="25" s="1"/>
  <c r="Z525" i="25"/>
  <c r="AD525" i="25" s="1"/>
  <c r="AI525" i="25" s="1"/>
  <c r="AV525" i="25"/>
  <c r="AW525" i="25" s="1"/>
  <c r="AA523" i="25"/>
  <c r="AV523" i="25"/>
  <c r="AW523" i="25" s="1"/>
  <c r="Y544" i="25"/>
  <c r="AD544" i="25" s="1"/>
  <c r="AI544" i="25" s="1"/>
  <c r="AV544" i="25"/>
  <c r="AW544" i="25" s="1"/>
  <c r="Y521" i="25"/>
  <c r="AV521" i="25"/>
  <c r="AW521" i="25" s="1"/>
  <c r="Y146" i="25"/>
  <c r="AD146" i="25" s="1"/>
  <c r="AI146" i="25" s="1"/>
  <c r="AV146" i="25"/>
  <c r="AW146" i="25" s="1"/>
  <c r="Y114" i="25"/>
  <c r="AD114" i="25" s="1"/>
  <c r="AI114" i="25" s="1"/>
  <c r="AV114" i="25"/>
  <c r="AW114" i="25" s="1"/>
  <c r="Z280" i="25"/>
  <c r="AD280" i="25" s="1"/>
  <c r="AV280" i="25"/>
  <c r="AW280" i="25" s="1"/>
  <c r="Y572" i="25"/>
  <c r="AD572" i="25" s="1"/>
  <c r="AI572" i="25" s="1"/>
  <c r="AV572" i="25"/>
  <c r="AW572" i="25" s="1"/>
  <c r="AA531" i="25"/>
  <c r="AV531" i="25"/>
  <c r="AW531" i="25" s="1"/>
  <c r="Z27" i="25"/>
  <c r="AD27" i="25" s="1"/>
  <c r="AI27" i="25" s="1"/>
  <c r="AV27" i="25"/>
  <c r="AW27" i="25" s="1"/>
  <c r="Z557" i="25"/>
  <c r="AD557" i="25" s="1"/>
  <c r="AI557" i="25" s="1"/>
  <c r="AV557" i="25"/>
  <c r="AW557" i="25" s="1"/>
  <c r="P329" i="25"/>
  <c r="O329" i="25"/>
  <c r="P441" i="25"/>
  <c r="P504" i="25"/>
  <c r="O504" i="25"/>
  <c r="O212" i="25"/>
  <c r="O259" i="25"/>
  <c r="AD259" i="25" s="1"/>
  <c r="R259" i="25"/>
  <c r="O447" i="25"/>
  <c r="G447" i="25"/>
  <c r="O248" i="25"/>
  <c r="Q265" i="25"/>
  <c r="P21" i="25"/>
  <c r="P420" i="25"/>
  <c r="Q420" i="25"/>
  <c r="P217" i="25"/>
  <c r="O383" i="25"/>
  <c r="R383" i="25"/>
  <c r="O280" i="25"/>
  <c r="P280" i="25"/>
  <c r="P121" i="25"/>
  <c r="O121" i="25"/>
  <c r="P571" i="25"/>
  <c r="P321" i="25"/>
  <c r="P344" i="25"/>
  <c r="O236" i="25"/>
  <c r="O385" i="25"/>
  <c r="AD385" i="25" s="1"/>
  <c r="R449" i="25"/>
  <c r="O449" i="25"/>
  <c r="O223" i="25"/>
  <c r="R223" i="25"/>
  <c r="O88" i="25"/>
  <c r="P88" i="25"/>
  <c r="O48" i="25"/>
  <c r="G48" i="25"/>
  <c r="AR48" i="25" s="1"/>
  <c r="P429" i="25"/>
  <c r="O457" i="25"/>
  <c r="P457" i="25"/>
  <c r="P479" i="25"/>
  <c r="O479" i="25"/>
  <c r="P308" i="25"/>
  <c r="Q308" i="25"/>
  <c r="O157" i="25"/>
  <c r="P157" i="25"/>
  <c r="Q572" i="25"/>
  <c r="O416" i="25"/>
  <c r="O404" i="25"/>
  <c r="R253" i="25"/>
  <c r="G253" i="25"/>
  <c r="AR253" i="25" s="1"/>
  <c r="R573" i="25"/>
  <c r="Q335" i="25"/>
  <c r="G335" i="25"/>
  <c r="AR335" i="25" s="1"/>
  <c r="Z55" i="25"/>
  <c r="AA521" i="25"/>
  <c r="Q40" i="25"/>
  <c r="G40" i="25"/>
  <c r="AR40" i="25" s="1"/>
  <c r="Q424" i="25"/>
  <c r="P424" i="25"/>
  <c r="Q304" i="25"/>
  <c r="Q585" i="25"/>
  <c r="G585" i="25"/>
  <c r="AR585" i="25" s="1"/>
  <c r="Q325" i="25"/>
  <c r="R325" i="25"/>
  <c r="O160" i="25"/>
  <c r="P160" i="25"/>
  <c r="Q232" i="25"/>
  <c r="P232" i="25"/>
  <c r="Q128" i="25"/>
  <c r="G128" i="25"/>
  <c r="AR128" i="25" s="1"/>
  <c r="O455" i="25"/>
  <c r="R455" i="25"/>
  <c r="O516" i="25"/>
  <c r="G516" i="25"/>
  <c r="AR516" i="25" s="1"/>
  <c r="O32" i="25"/>
  <c r="R32" i="25"/>
  <c r="O508" i="25"/>
  <c r="P508" i="25"/>
  <c r="Q453" i="25"/>
  <c r="R453" i="25"/>
  <c r="Q148" i="25"/>
  <c r="R148" i="25"/>
  <c r="P556" i="25"/>
  <c r="Q253" i="25"/>
  <c r="P325" i="25"/>
  <c r="R329" i="25"/>
  <c r="R389" i="25"/>
  <c r="O389" i="25"/>
  <c r="P453" i="25"/>
  <c r="Q573" i="25"/>
  <c r="Y19" i="25"/>
  <c r="AD444" i="25"/>
  <c r="AI444" i="25" s="1"/>
  <c r="Z585" i="25"/>
  <c r="Y35" i="25"/>
  <c r="AD35" i="25" s="1"/>
  <c r="AI35" i="25" s="1"/>
  <c r="Z19" i="25"/>
  <c r="AD537" i="25"/>
  <c r="AI537" i="25" s="1"/>
  <c r="AD460" i="25"/>
  <c r="AI460" i="25" s="1"/>
  <c r="AD517" i="25"/>
  <c r="AI517" i="25" s="1"/>
  <c r="AD464" i="25"/>
  <c r="AI464" i="25" s="1"/>
  <c r="AD468" i="25"/>
  <c r="AD472" i="25"/>
  <c r="AI472" i="25" s="1"/>
  <c r="AD529" i="25"/>
  <c r="O451" i="25"/>
  <c r="R451" i="25"/>
  <c r="P324" i="25"/>
  <c r="O324" i="25"/>
  <c r="R324" i="25"/>
  <c r="O196" i="25"/>
  <c r="R196" i="25"/>
  <c r="O406" i="25"/>
  <c r="N285" i="25"/>
  <c r="O162" i="25"/>
  <c r="P162" i="25"/>
  <c r="O205" i="25"/>
  <c r="AD205" i="25" s="1"/>
  <c r="N205" i="25"/>
  <c r="G269" i="25"/>
  <c r="AR269" i="25" s="1"/>
  <c r="N269" i="25"/>
  <c r="AH269" i="25" s="1"/>
  <c r="N2" i="25"/>
  <c r="O413" i="25"/>
  <c r="N413" i="25"/>
  <c r="Q339" i="25"/>
  <c r="G339" i="25"/>
  <c r="AR339" i="25" s="1"/>
  <c r="Q310" i="25"/>
  <c r="P310" i="25"/>
  <c r="O370" i="25"/>
  <c r="P370" i="25"/>
  <c r="Q209" i="25"/>
  <c r="G209" i="25"/>
  <c r="AT209" i="25" s="1"/>
  <c r="O120" i="25"/>
  <c r="G120" i="25"/>
  <c r="AT120" i="25" s="1"/>
  <c r="Q199" i="25"/>
  <c r="G199" i="25"/>
  <c r="AR199" i="25" s="1"/>
  <c r="Q287" i="25"/>
  <c r="G287" i="25"/>
  <c r="AT287" i="25" s="1"/>
  <c r="Q202" i="25"/>
  <c r="G202" i="25"/>
  <c r="AT202" i="25" s="1"/>
  <c r="Q117" i="25"/>
  <c r="R117" i="25"/>
  <c r="O19" i="25"/>
  <c r="R19" i="25"/>
  <c r="O211" i="25"/>
  <c r="R211" i="25"/>
  <c r="AD533" i="25"/>
  <c r="AI533" i="25" s="1"/>
  <c r="AD515" i="25"/>
  <c r="AI515" i="25" s="1"/>
  <c r="AD476" i="25"/>
  <c r="AD424" i="25"/>
  <c r="AA287" i="25"/>
  <c r="Y447" i="25"/>
  <c r="Z220" i="25"/>
  <c r="Y420" i="25"/>
  <c r="AA569" i="25"/>
  <c r="Z569" i="25"/>
  <c r="Y2" i="25"/>
  <c r="AD2" i="25" s="1"/>
  <c r="AI2" i="25" s="1"/>
  <c r="V459" i="7"/>
  <c r="AD561" i="25"/>
  <c r="AI561" i="25" s="1"/>
  <c r="Z447" i="25"/>
  <c r="Z420" i="25"/>
  <c r="W376" i="7"/>
  <c r="Y569" i="25"/>
  <c r="Y71" i="25"/>
  <c r="AA71" i="25"/>
  <c r="W96" i="7"/>
  <c r="W243" i="7"/>
  <c r="AB546" i="7"/>
  <c r="V188" i="7"/>
  <c r="V273" i="7"/>
  <c r="V127" i="7"/>
  <c r="Z3" i="25"/>
  <c r="AB579" i="7"/>
  <c r="AT46" i="25"/>
  <c r="AR46" i="25"/>
  <c r="AT74" i="25"/>
  <c r="AR74" i="25"/>
  <c r="AR86" i="25"/>
  <c r="AR122" i="25"/>
  <c r="AR130" i="25"/>
  <c r="AT162" i="25"/>
  <c r="AR162" i="25"/>
  <c r="AR186" i="25"/>
  <c r="AR194" i="25"/>
  <c r="AR370" i="25"/>
  <c r="AR434" i="25"/>
  <c r="AR7" i="25"/>
  <c r="AT19" i="25"/>
  <c r="AT27" i="25"/>
  <c r="AR27" i="25"/>
  <c r="AT39" i="25"/>
  <c r="AR39" i="25"/>
  <c r="AR159" i="25"/>
  <c r="AT211" i="25"/>
  <c r="AR211" i="25"/>
  <c r="AR219" i="25"/>
  <c r="AT239" i="25"/>
  <c r="AR239" i="25"/>
  <c r="AR247" i="25"/>
  <c r="AR279" i="25"/>
  <c r="AR407" i="25"/>
  <c r="AT419" i="25"/>
  <c r="AR419" i="25"/>
  <c r="AT523" i="25"/>
  <c r="AR523" i="25"/>
  <c r="AT559" i="25"/>
  <c r="AR559" i="25"/>
  <c r="AT24" i="25"/>
  <c r="AR24" i="25"/>
  <c r="AR60" i="25"/>
  <c r="AT68" i="25"/>
  <c r="AR68" i="25"/>
  <c r="AR92" i="25"/>
  <c r="AT132" i="25"/>
  <c r="AR132" i="25"/>
  <c r="AT156" i="25"/>
  <c r="AR156" i="25"/>
  <c r="AR228" i="25"/>
  <c r="AT268" i="25"/>
  <c r="AR268" i="25"/>
  <c r="AR272" i="25"/>
  <c r="AR340" i="25"/>
  <c r="AT360" i="25"/>
  <c r="AR360" i="25"/>
  <c r="AT516" i="25"/>
  <c r="AT568" i="25"/>
  <c r="AR568" i="25"/>
  <c r="AR592" i="25"/>
  <c r="AR89" i="25"/>
  <c r="AT145" i="25"/>
  <c r="AR145" i="25"/>
  <c r="AT241" i="25"/>
  <c r="AR241" i="25"/>
  <c r="AT253" i="25"/>
  <c r="AR261" i="25"/>
  <c r="AT325" i="25"/>
  <c r="AR325" i="25"/>
  <c r="AT377" i="25"/>
  <c r="AR377" i="25"/>
  <c r="AR521" i="25"/>
  <c r="AR22" i="25"/>
  <c r="AT94" i="25"/>
  <c r="AR94" i="25"/>
  <c r="AT138" i="25"/>
  <c r="AR138" i="25"/>
  <c r="AT170" i="25"/>
  <c r="AR170" i="25"/>
  <c r="AT334" i="25"/>
  <c r="AR334" i="25"/>
  <c r="AT414" i="25"/>
  <c r="AR414" i="25"/>
  <c r="AR422" i="25"/>
  <c r="AT482" i="25"/>
  <c r="AR482" i="25"/>
  <c r="AT526" i="25"/>
  <c r="AR526" i="25"/>
  <c r="AT47" i="25"/>
  <c r="AR47" i="25"/>
  <c r="AT67" i="25"/>
  <c r="AR67" i="25"/>
  <c r="AT75" i="25"/>
  <c r="AR75" i="25"/>
  <c r="AR87" i="25"/>
  <c r="AT127" i="25"/>
  <c r="AR127" i="25"/>
  <c r="AR147" i="25"/>
  <c r="AR167" i="25"/>
  <c r="AR179" i="25"/>
  <c r="AT187" i="25"/>
  <c r="AR187" i="25"/>
  <c r="AT199" i="25"/>
  <c r="AR359" i="25"/>
  <c r="AR383" i="25"/>
  <c r="AT427" i="25"/>
  <c r="AR427" i="25"/>
  <c r="AT499" i="25"/>
  <c r="AR499" i="25"/>
  <c r="AR32" i="25"/>
  <c r="AT64" i="25"/>
  <c r="AR64" i="25"/>
  <c r="AT72" i="25"/>
  <c r="AR72" i="25"/>
  <c r="AR96" i="25"/>
  <c r="AT172" i="25"/>
  <c r="AR172" i="25"/>
  <c r="AT176" i="25"/>
  <c r="AR176" i="25"/>
  <c r="AT244" i="25"/>
  <c r="AT264" i="25"/>
  <c r="AR264" i="25"/>
  <c r="AT53" i="25"/>
  <c r="AR53" i="25"/>
  <c r="AT65" i="25"/>
  <c r="AR65" i="25"/>
  <c r="AT201" i="25"/>
  <c r="AR201" i="25"/>
  <c r="AT309" i="25"/>
  <c r="AR309" i="25"/>
  <c r="AT369" i="25"/>
  <c r="AR369" i="25"/>
  <c r="AT6" i="25"/>
  <c r="AR6" i="25"/>
  <c r="AT42" i="25"/>
  <c r="AR42" i="25"/>
  <c r="AR114" i="25"/>
  <c r="AT182" i="25"/>
  <c r="AR182" i="25"/>
  <c r="AT214" i="25"/>
  <c r="AR214" i="25"/>
  <c r="AR246" i="25"/>
  <c r="AT310" i="25"/>
  <c r="AR310" i="25"/>
  <c r="AR566" i="25"/>
  <c r="AR3" i="25"/>
  <c r="AR23" i="25"/>
  <c r="AT111" i="25"/>
  <c r="AR111" i="25"/>
  <c r="AR155" i="25"/>
  <c r="AT215" i="25"/>
  <c r="AR215" i="25"/>
  <c r="AT223" i="25"/>
  <c r="AT235" i="25"/>
  <c r="AR235" i="25"/>
  <c r="AR243" i="25"/>
  <c r="AT251" i="25"/>
  <c r="AR251" i="25"/>
  <c r="AT315" i="25"/>
  <c r="AR315" i="25"/>
  <c r="AT447" i="25"/>
  <c r="AR447" i="25"/>
  <c r="AT483" i="25"/>
  <c r="AR483" i="25"/>
  <c r="AT519" i="25"/>
  <c r="AR519" i="25"/>
  <c r="AT40" i="25"/>
  <c r="AT104" i="25"/>
  <c r="AR104" i="25"/>
  <c r="AT136" i="25"/>
  <c r="AR136" i="25"/>
  <c r="AT184" i="25"/>
  <c r="AR184" i="25"/>
  <c r="AR196" i="25"/>
  <c r="AT232" i="25"/>
  <c r="AR232" i="25"/>
  <c r="AT316" i="25"/>
  <c r="AR316" i="25"/>
  <c r="AR352" i="25"/>
  <c r="AT420" i="25"/>
  <c r="AR420" i="25"/>
  <c r="AT428" i="25"/>
  <c r="AR428" i="25"/>
  <c r="AT117" i="25"/>
  <c r="AR117" i="25"/>
  <c r="AT141" i="25"/>
  <c r="AR141" i="25"/>
  <c r="AT245" i="25"/>
  <c r="AR245" i="25"/>
  <c r="AT477" i="25"/>
  <c r="AR477" i="25"/>
  <c r="AT98" i="25"/>
  <c r="AR98" i="25"/>
  <c r="AT142" i="25"/>
  <c r="AR142" i="25"/>
  <c r="AT154" i="25"/>
  <c r="AR154" i="25"/>
  <c r="AT218" i="25"/>
  <c r="AR218" i="25"/>
  <c r="AT242" i="25"/>
  <c r="AR242" i="25"/>
  <c r="AT338" i="25"/>
  <c r="AR338" i="25"/>
  <c r="AT418" i="25"/>
  <c r="AR418" i="25"/>
  <c r="AT426" i="25"/>
  <c r="AR426" i="25"/>
  <c r="AT478" i="25"/>
  <c r="AR478" i="25"/>
  <c r="AT494" i="25"/>
  <c r="AR494" i="25"/>
  <c r="AT534" i="25"/>
  <c r="AR534" i="25"/>
  <c r="AT51" i="25"/>
  <c r="AR51" i="25"/>
  <c r="AT63" i="25"/>
  <c r="AR63" i="25"/>
  <c r="AT71" i="25"/>
  <c r="AR71" i="25"/>
  <c r="AT131" i="25"/>
  <c r="AR131" i="25"/>
  <c r="AR143" i="25"/>
  <c r="AT183" i="25"/>
  <c r="AR183" i="25"/>
  <c r="AT203" i="25"/>
  <c r="AR203" i="25"/>
  <c r="AT271" i="25"/>
  <c r="AR271" i="25"/>
  <c r="AT335" i="25"/>
  <c r="AT587" i="25"/>
  <c r="AR587" i="25"/>
  <c r="AT4" i="25"/>
  <c r="AR4" i="25"/>
  <c r="AT48" i="25"/>
  <c r="AT112" i="25"/>
  <c r="AR112" i="25"/>
  <c r="AT164" i="25"/>
  <c r="AR164" i="25"/>
  <c r="AT200" i="25"/>
  <c r="AR200" i="25"/>
  <c r="AT312" i="25"/>
  <c r="AR312" i="25"/>
  <c r="AT376" i="25"/>
  <c r="AR376" i="25"/>
  <c r="AR492" i="25"/>
  <c r="AR496" i="25"/>
  <c r="AT21" i="25"/>
  <c r="AR21" i="25"/>
  <c r="AT57" i="25"/>
  <c r="AR57" i="25"/>
  <c r="AT153" i="25"/>
  <c r="AR153" i="25"/>
  <c r="AT257" i="25"/>
  <c r="AR257" i="25"/>
  <c r="AT265" i="25"/>
  <c r="AR265" i="25"/>
  <c r="AR333" i="25"/>
  <c r="AT353" i="25"/>
  <c r="AR353" i="25"/>
  <c r="AT585" i="25"/>
  <c r="AL46" i="25"/>
  <c r="AN46" i="25" s="1"/>
  <c r="AL156" i="25"/>
  <c r="AN156" i="25" s="1"/>
  <c r="AD501" i="25"/>
  <c r="AD549" i="25"/>
  <c r="AI549" i="25" s="1"/>
  <c r="AD94" i="25"/>
  <c r="AI94" i="25" s="1"/>
  <c r="AD158" i="25"/>
  <c r="AI158" i="25" s="1"/>
  <c r="AD222" i="25"/>
  <c r="AI222" i="25" s="1"/>
  <c r="AD286" i="25"/>
  <c r="AD414" i="25"/>
  <c r="AI414" i="25" s="1"/>
  <c r="AD504" i="25"/>
  <c r="AD536" i="25"/>
  <c r="AI536" i="25" s="1"/>
  <c r="AD33" i="25"/>
  <c r="AI33" i="25" s="1"/>
  <c r="AD81" i="25"/>
  <c r="AI81" i="25" s="1"/>
  <c r="AD145" i="25"/>
  <c r="AI145" i="25" s="1"/>
  <c r="AD301" i="25"/>
  <c r="AD317" i="25"/>
  <c r="AI317" i="25" s="1"/>
  <c r="AD580" i="25"/>
  <c r="AD439" i="25"/>
  <c r="AI439" i="25" s="1"/>
  <c r="AD469" i="25"/>
  <c r="AD295" i="25"/>
  <c r="AI295" i="25" s="1"/>
  <c r="AD594" i="25"/>
  <c r="AD471" i="25"/>
  <c r="AD430" i="25"/>
  <c r="AI430" i="25" s="1"/>
  <c r="AE92" i="25"/>
  <c r="AK92" i="25" s="1"/>
  <c r="AE316" i="25"/>
  <c r="AK316" i="25" s="1"/>
  <c r="AE440" i="25"/>
  <c r="AK440" i="25" s="1"/>
  <c r="AD509" i="25"/>
  <c r="AI509" i="25" s="1"/>
  <c r="AD593" i="25"/>
  <c r="AI593" i="25" s="1"/>
  <c r="AD46" i="25"/>
  <c r="AI46" i="25" s="1"/>
  <c r="AD110" i="25"/>
  <c r="AI110" i="25" s="1"/>
  <c r="AD174" i="25"/>
  <c r="AI174" i="25" s="1"/>
  <c r="AD238" i="25"/>
  <c r="AI238" i="25" s="1"/>
  <c r="AD302" i="25"/>
  <c r="AI302" i="25" s="1"/>
  <c r="AD366" i="25"/>
  <c r="AI366" i="25" s="1"/>
  <c r="AD9" i="25"/>
  <c r="AI9" i="25" s="1"/>
  <c r="AD185" i="25"/>
  <c r="AI185" i="25" s="1"/>
  <c r="AD215" i="25"/>
  <c r="AI215" i="25" s="1"/>
  <c r="AD44" i="25"/>
  <c r="AI44" i="25" s="1"/>
  <c r="AD474" i="25"/>
  <c r="AI474" i="25" s="1"/>
  <c r="AD107" i="25"/>
  <c r="AI107" i="25" s="1"/>
  <c r="AD155" i="25"/>
  <c r="AI155" i="25" s="1"/>
  <c r="AD159" i="25"/>
  <c r="AI159" i="25" s="1"/>
  <c r="AD163" i="25"/>
  <c r="AI163" i="25" s="1"/>
  <c r="AD207" i="25"/>
  <c r="AI207" i="25" s="1"/>
  <c r="AD299" i="25"/>
  <c r="AI299" i="25" s="1"/>
  <c r="AD303" i="25"/>
  <c r="AI303" i="25" s="1"/>
  <c r="AD307" i="25"/>
  <c r="AD351" i="25"/>
  <c r="AI351" i="25" s="1"/>
  <c r="AD443" i="25"/>
  <c r="AI443" i="25" s="1"/>
  <c r="AD491" i="25"/>
  <c r="AI491" i="25" s="1"/>
  <c r="AD495" i="25"/>
  <c r="AI495" i="25" s="1"/>
  <c r="AD510" i="25"/>
  <c r="AI510" i="25" s="1"/>
  <c r="AD550" i="25"/>
  <c r="AI550" i="25" s="1"/>
  <c r="AD554" i="25"/>
  <c r="AI554" i="25" s="1"/>
  <c r="AD574" i="25"/>
  <c r="AI574" i="25" s="1"/>
  <c r="AD4" i="25"/>
  <c r="AI4" i="25" s="1"/>
  <c r="AD24" i="25"/>
  <c r="AI24" i="25" s="1"/>
  <c r="AD64" i="25"/>
  <c r="AI64" i="25" s="1"/>
  <c r="AD88" i="25"/>
  <c r="AD128" i="25"/>
  <c r="AD132" i="25"/>
  <c r="AI132" i="25" s="1"/>
  <c r="AD200" i="25"/>
  <c r="AI200" i="25" s="1"/>
  <c r="AD260" i="25"/>
  <c r="AI260" i="25" s="1"/>
  <c r="AD264" i="25"/>
  <c r="AI264" i="25" s="1"/>
  <c r="AD336" i="25"/>
  <c r="AI336" i="25" s="1"/>
  <c r="AD340" i="25"/>
  <c r="AI340" i="25" s="1"/>
  <c r="AD352" i="25"/>
  <c r="AI352" i="25" s="1"/>
  <c r="AD356" i="25"/>
  <c r="AI356" i="25" s="1"/>
  <c r="AD480" i="25"/>
  <c r="AI480" i="25" s="1"/>
  <c r="AD484" i="25"/>
  <c r="AD101" i="25"/>
  <c r="AI101" i="25" s="1"/>
  <c r="AD197" i="25"/>
  <c r="AI197" i="25" s="1"/>
  <c r="AD217" i="25"/>
  <c r="AI217" i="25" s="1"/>
  <c r="AD289" i="25"/>
  <c r="AD106" i="25"/>
  <c r="AI106" i="25" s="1"/>
  <c r="AD234" i="25"/>
  <c r="AD426" i="25"/>
  <c r="AI426" i="25" s="1"/>
  <c r="AD596" i="25"/>
  <c r="AI596" i="25" s="1"/>
  <c r="AD87" i="25"/>
  <c r="AI87" i="25" s="1"/>
  <c r="AD204" i="25"/>
  <c r="AI204" i="25" s="1"/>
  <c r="AD188" i="25"/>
  <c r="AI188" i="25" s="1"/>
  <c r="AD364" i="25"/>
  <c r="AI364" i="25" s="1"/>
  <c r="AD227" i="25"/>
  <c r="AI227" i="25" s="1"/>
  <c r="AD275" i="25"/>
  <c r="AD403" i="25"/>
  <c r="AI403" i="25" s="1"/>
  <c r="AD499" i="25"/>
  <c r="AI499" i="25" s="1"/>
  <c r="AD284" i="25"/>
  <c r="AI284" i="25" s="1"/>
  <c r="AD562" i="25"/>
  <c r="AI562" i="25" s="1"/>
  <c r="AD248" i="25"/>
  <c r="AD579" i="25"/>
  <c r="AI579" i="25" s="1"/>
  <c r="AD65" i="25"/>
  <c r="AI65" i="25" s="1"/>
  <c r="AD77" i="25"/>
  <c r="AI77" i="25" s="1"/>
  <c r="AD133" i="25"/>
  <c r="AI133" i="25" s="1"/>
  <c r="AD153" i="25"/>
  <c r="AI153" i="25" s="1"/>
  <c r="AD165" i="25"/>
  <c r="AI165" i="25" s="1"/>
  <c r="AD293" i="25"/>
  <c r="AI293" i="25" s="1"/>
  <c r="AD325" i="25"/>
  <c r="AD373" i="25"/>
  <c r="AI373" i="25" s="1"/>
  <c r="AD42" i="25"/>
  <c r="AI42" i="25" s="1"/>
  <c r="AD170" i="25"/>
  <c r="AI170" i="25" s="1"/>
  <c r="AD298" i="25"/>
  <c r="AI298" i="25" s="1"/>
  <c r="AD362" i="25"/>
  <c r="AI362" i="25" s="1"/>
  <c r="AD532" i="25"/>
  <c r="AI532" i="25" s="1"/>
  <c r="AD76" i="25"/>
  <c r="AI76" i="25" s="1"/>
  <c r="AD413" i="25"/>
  <c r="AD441" i="25"/>
  <c r="AI441" i="25" s="1"/>
  <c r="AD461" i="25"/>
  <c r="AI461" i="25" s="1"/>
  <c r="AD489" i="25"/>
  <c r="AI489" i="25" s="1"/>
  <c r="AD492" i="25"/>
  <c r="AI492" i="25" s="1"/>
  <c r="AD62" i="25"/>
  <c r="AD126" i="25"/>
  <c r="AI126" i="25" s="1"/>
  <c r="AD190" i="25"/>
  <c r="AD254" i="25"/>
  <c r="AI254" i="25" s="1"/>
  <c r="AD318" i="25"/>
  <c r="AI318" i="25" s="1"/>
  <c r="AD446" i="25"/>
  <c r="AI446" i="25" s="1"/>
  <c r="AD520" i="25"/>
  <c r="AI520" i="25" s="1"/>
  <c r="AD108" i="25"/>
  <c r="AD236" i="25"/>
  <c r="AD103" i="25"/>
  <c r="AI103" i="25" s="1"/>
  <c r="AD387" i="25"/>
  <c r="AI387" i="25" s="1"/>
  <c r="AD21" i="25"/>
  <c r="AI21" i="25" s="1"/>
  <c r="AD69" i="25"/>
  <c r="AI69" i="25" s="1"/>
  <c r="AD97" i="25"/>
  <c r="AI97" i="25" s="1"/>
  <c r="AD109" i="25"/>
  <c r="AD141" i="25"/>
  <c r="AI141" i="25" s="1"/>
  <c r="AD169" i="25"/>
  <c r="AI169" i="25" s="1"/>
  <c r="AD241" i="25"/>
  <c r="AI241" i="25" s="1"/>
  <c r="AD30" i="25"/>
  <c r="AI30" i="25" s="1"/>
  <c r="AD350" i="25"/>
  <c r="AI350" i="25" s="1"/>
  <c r="AD568" i="25"/>
  <c r="AI568" i="25" s="1"/>
  <c r="AD25" i="25"/>
  <c r="AI25" i="25" s="1"/>
  <c r="AD29" i="25"/>
  <c r="AD41" i="25"/>
  <c r="AI41" i="25" s="1"/>
  <c r="AD49" i="25"/>
  <c r="AI49" i="25" s="1"/>
  <c r="AD105" i="25"/>
  <c r="AI105" i="25" s="1"/>
  <c r="AD177" i="25"/>
  <c r="AD229" i="25"/>
  <c r="AD245" i="25"/>
  <c r="AD261" i="25"/>
  <c r="AD277" i="25"/>
  <c r="AD297" i="25"/>
  <c r="AI297" i="25" s="1"/>
  <c r="AD329" i="25"/>
  <c r="AD377" i="25"/>
  <c r="AI377" i="25" s="1"/>
  <c r="AD393" i="25"/>
  <c r="AD409" i="25"/>
  <c r="AI409" i="25" s="1"/>
  <c r="AD26" i="25"/>
  <c r="AI26" i="25" s="1"/>
  <c r="AD90" i="25"/>
  <c r="AI90" i="25" s="1"/>
  <c r="AD154" i="25"/>
  <c r="AI154" i="25" s="1"/>
  <c r="AD218" i="25"/>
  <c r="AI218" i="25" s="1"/>
  <c r="AD282" i="25"/>
  <c r="AI282" i="25" s="1"/>
  <c r="AD346" i="25"/>
  <c r="AD410" i="25"/>
  <c r="AI410" i="25" s="1"/>
  <c r="AD516" i="25"/>
  <c r="AD172" i="25"/>
  <c r="AI172" i="25" s="1"/>
  <c r="AD300" i="25"/>
  <c r="AD28" i="25"/>
  <c r="AD156" i="25"/>
  <c r="AI156" i="25" s="1"/>
  <c r="AD183" i="25"/>
  <c r="AI183" i="25" s="1"/>
  <c r="AD311" i="25"/>
  <c r="AD421" i="25"/>
  <c r="AI421" i="25" s="1"/>
  <c r="AD60" i="25"/>
  <c r="AI60" i="25" s="1"/>
  <c r="AD417" i="25"/>
  <c r="AD316" i="25"/>
  <c r="AI316" i="25" s="1"/>
  <c r="AD486" i="25"/>
  <c r="AI486" i="25" s="1"/>
  <c r="AD211" i="25"/>
  <c r="AD347" i="25"/>
  <c r="AI347" i="25" s="1"/>
  <c r="AD68" i="25"/>
  <c r="AI68" i="25" s="1"/>
  <c r="AD152" i="25"/>
  <c r="AI152" i="25" s="1"/>
  <c r="AD192" i="25"/>
  <c r="AD196" i="25"/>
  <c r="AD256" i="25"/>
  <c r="AI256" i="25" s="1"/>
  <c r="AD344" i="25"/>
  <c r="AI344" i="25" s="1"/>
  <c r="AD416" i="25"/>
  <c r="AD581" i="25"/>
  <c r="AI581" i="25" s="1"/>
  <c r="AD382" i="25"/>
  <c r="AI382" i="25" s="1"/>
  <c r="AD552" i="25"/>
  <c r="AD584" i="25"/>
  <c r="AI584" i="25" s="1"/>
  <c r="AD13" i="25"/>
  <c r="AI13" i="25" s="1"/>
  <c r="AD17" i="25"/>
  <c r="AI17" i="25" s="1"/>
  <c r="AD37" i="25"/>
  <c r="AI37" i="25" s="1"/>
  <c r="AD45" i="25"/>
  <c r="AI45" i="25" s="1"/>
  <c r="AD57" i="25"/>
  <c r="AI57" i="25" s="1"/>
  <c r="AD89" i="25"/>
  <c r="AI89" i="25" s="1"/>
  <c r="AD93" i="25"/>
  <c r="AI93" i="25" s="1"/>
  <c r="AD121" i="25"/>
  <c r="AD125" i="25"/>
  <c r="AI125" i="25" s="1"/>
  <c r="AD129" i="25"/>
  <c r="AI129" i="25" s="1"/>
  <c r="AD157" i="25"/>
  <c r="AD161" i="25"/>
  <c r="AI161" i="25" s="1"/>
  <c r="AD173" i="25"/>
  <c r="AI173" i="25" s="1"/>
  <c r="AD437" i="25"/>
  <c r="AI437" i="25" s="1"/>
  <c r="AD445" i="25"/>
  <c r="AI445" i="25" s="1"/>
  <c r="AD449" i="25"/>
  <c r="AD465" i="25"/>
  <c r="AI465" i="25" s="1"/>
  <c r="AD12" i="25"/>
  <c r="AI12" i="25" s="1"/>
  <c r="AD167" i="25"/>
  <c r="AI167" i="25" s="1"/>
  <c r="AD423" i="25"/>
  <c r="AI423" i="25" s="1"/>
  <c r="AD478" i="25"/>
  <c r="AI478" i="25" s="1"/>
  <c r="AD490" i="25"/>
  <c r="AI490" i="25" s="1"/>
  <c r="AD343" i="25"/>
  <c r="AD75" i="25"/>
  <c r="AI75" i="25" s="1"/>
  <c r="AD79" i="25"/>
  <c r="AD83" i="25"/>
  <c r="AI83" i="25" s="1"/>
  <c r="AD111" i="25"/>
  <c r="AI111" i="25" s="1"/>
  <c r="AD115" i="25"/>
  <c r="AI115" i="25" s="1"/>
  <c r="AD171" i="25"/>
  <c r="AI171" i="25" s="1"/>
  <c r="AD175" i="25"/>
  <c r="AI175" i="25" s="1"/>
  <c r="AD179" i="25"/>
  <c r="AI179" i="25" s="1"/>
  <c r="AD219" i="25"/>
  <c r="AI219" i="25" s="1"/>
  <c r="AD223" i="25"/>
  <c r="AD267" i="25"/>
  <c r="AI267" i="25" s="1"/>
  <c r="AD271" i="25"/>
  <c r="AI271" i="25" s="1"/>
  <c r="AD291" i="25"/>
  <c r="AI291" i="25" s="1"/>
  <c r="AD315" i="25"/>
  <c r="AI315" i="25" s="1"/>
  <c r="AD319" i="25"/>
  <c r="AI319" i="25" s="1"/>
  <c r="AD323" i="25"/>
  <c r="AI323" i="25" s="1"/>
  <c r="AD395" i="25"/>
  <c r="AI395" i="25" s="1"/>
  <c r="AD399" i="25"/>
  <c r="AI399" i="25" s="1"/>
  <c r="AD435" i="25"/>
  <c r="AI435" i="25" s="1"/>
  <c r="AD475" i="25"/>
  <c r="AI475" i="25" s="1"/>
  <c r="AD479" i="25"/>
  <c r="AD483" i="25"/>
  <c r="AI483" i="25" s="1"/>
  <c r="AD534" i="25"/>
  <c r="AI534" i="25" s="1"/>
  <c r="AD538" i="25"/>
  <c r="AI538" i="25" s="1"/>
  <c r="AD558" i="25"/>
  <c r="AD582" i="25"/>
  <c r="AI582" i="25" s="1"/>
  <c r="AD8" i="25"/>
  <c r="AI8" i="25" s="1"/>
  <c r="AD48" i="25"/>
  <c r="AD52" i="25"/>
  <c r="AI52" i="25" s="1"/>
  <c r="AD72" i="25"/>
  <c r="AI72" i="25" s="1"/>
  <c r="AD112" i="25"/>
  <c r="AI112" i="25" s="1"/>
  <c r="AD116" i="25"/>
  <c r="AI116" i="25" s="1"/>
  <c r="AD136" i="25"/>
  <c r="AI136" i="25" s="1"/>
  <c r="AD176" i="25"/>
  <c r="AI176" i="25" s="1"/>
  <c r="AD180" i="25"/>
  <c r="AD184" i="25"/>
  <c r="AI184" i="25" s="1"/>
  <c r="AD232" i="25"/>
  <c r="AI232" i="25" s="1"/>
  <c r="AD240" i="25"/>
  <c r="AI240" i="25" s="1"/>
  <c r="AD244" i="25"/>
  <c r="AI244" i="25" s="1"/>
  <c r="AD312" i="25"/>
  <c r="AI312" i="25" s="1"/>
  <c r="AD320" i="25"/>
  <c r="AI320" i="25" s="1"/>
  <c r="AD328" i="25"/>
  <c r="AI328" i="25" s="1"/>
  <c r="AD400" i="25"/>
  <c r="AD404" i="25"/>
  <c r="AD408" i="25"/>
  <c r="AI408" i="25" s="1"/>
  <c r="AD39" i="25"/>
  <c r="AI39" i="25" s="1"/>
  <c r="AD583" i="25"/>
  <c r="AI583" i="25" s="1"/>
  <c r="AD322" i="25"/>
  <c r="AI322" i="25" s="1"/>
  <c r="AD450" i="25"/>
  <c r="AI450" i="25" s="1"/>
  <c r="AD34" i="25"/>
  <c r="AI34" i="25" s="1"/>
  <c r="AD543" i="25"/>
  <c r="AD374" i="25"/>
  <c r="AI374" i="25" s="1"/>
  <c r="AD166" i="25"/>
  <c r="AI166" i="25" s="1"/>
  <c r="AD230" i="25"/>
  <c r="AD513" i="25"/>
  <c r="AI513" i="25" s="1"/>
  <c r="AD118" i="25"/>
  <c r="AI118" i="25" s="1"/>
  <c r="AD498" i="25"/>
  <c r="AI498" i="25" s="1"/>
  <c r="AD102" i="25"/>
  <c r="AI102" i="25" s="1"/>
  <c r="AD263" i="25"/>
  <c r="AI263" i="25" s="1"/>
  <c r="AD15" i="25"/>
  <c r="AI15" i="25" s="1"/>
  <c r="AD466" i="25"/>
  <c r="AI466" i="25" s="1"/>
  <c r="AD310" i="25"/>
  <c r="AI310" i="25" s="1"/>
  <c r="AD540" i="25"/>
  <c r="AI540" i="25" s="1"/>
  <c r="AD588" i="25"/>
  <c r="AI588" i="25" s="1"/>
  <c r="AD488" i="25"/>
  <c r="AI488" i="25" s="1"/>
  <c r="AD11" i="25"/>
  <c r="AI11" i="25" s="1"/>
  <c r="AD51" i="25"/>
  <c r="AI51" i="25" s="1"/>
  <c r="AD7" i="25"/>
  <c r="AI7" i="25" s="1"/>
  <c r="AD503" i="25"/>
  <c r="AI503" i="25" s="1"/>
  <c r="AD535" i="25"/>
  <c r="AI535" i="25" s="1"/>
  <c r="AD290" i="25"/>
  <c r="AI290" i="25" s="1"/>
  <c r="AD556" i="25"/>
  <c r="AI556" i="25" s="1"/>
  <c r="AD63" i="25"/>
  <c r="AI63" i="25" s="1"/>
  <c r="AD50" i="25"/>
  <c r="AI50" i="25" s="1"/>
  <c r="AD591" i="25"/>
  <c r="AI591" i="25" s="1"/>
  <c r="AD370" i="25"/>
  <c r="AD527" i="25"/>
  <c r="AD512" i="25"/>
  <c r="AI512" i="25" s="1"/>
  <c r="AD508" i="25"/>
  <c r="AD575" i="25"/>
  <c r="AD86" i="25"/>
  <c r="AI86" i="25" s="1"/>
  <c r="AD342" i="25"/>
  <c r="AI342" i="25" s="1"/>
  <c r="AD391" i="25"/>
  <c r="AI391" i="25" s="1"/>
  <c r="AD178" i="25"/>
  <c r="AI178" i="25" s="1"/>
  <c r="AD576" i="25"/>
  <c r="AI576" i="25" s="1"/>
  <c r="AD390" i="25"/>
  <c r="AI390" i="25" s="1"/>
  <c r="AD225" i="25"/>
  <c r="AD257" i="25"/>
  <c r="AI257" i="25" s="1"/>
  <c r="AD273" i="25"/>
  <c r="AD281" i="25"/>
  <c r="AD305" i="25"/>
  <c r="AI305" i="25" s="1"/>
  <c r="AD309" i="25"/>
  <c r="AI309" i="25" s="1"/>
  <c r="AD341" i="25"/>
  <c r="AI341" i="25" s="1"/>
  <c r="AD357" i="25"/>
  <c r="AI357" i="25" s="1"/>
  <c r="AD389" i="25"/>
  <c r="AD401" i="25"/>
  <c r="AI401" i="25" s="1"/>
  <c r="AD405" i="25"/>
  <c r="AD58" i="25"/>
  <c r="AI58" i="25" s="1"/>
  <c r="AD122" i="25"/>
  <c r="AI122" i="25" s="1"/>
  <c r="AD186" i="25"/>
  <c r="AI186" i="25" s="1"/>
  <c r="AD250" i="25"/>
  <c r="AI250" i="25" s="1"/>
  <c r="AD314" i="25"/>
  <c r="AI314" i="25" s="1"/>
  <c r="AD378" i="25"/>
  <c r="AI378" i="25" s="1"/>
  <c r="AD442" i="25"/>
  <c r="AI442" i="25" s="1"/>
  <c r="AD548" i="25"/>
  <c r="AI548" i="25" s="1"/>
  <c r="AD523" i="25"/>
  <c r="AI523" i="25" s="1"/>
  <c r="AD587" i="25"/>
  <c r="AI587" i="25" s="1"/>
  <c r="AD92" i="25"/>
  <c r="AI92" i="25" s="1"/>
  <c r="AD119" i="25"/>
  <c r="AI119" i="25" s="1"/>
  <c r="AD247" i="25"/>
  <c r="AI247" i="25" s="1"/>
  <c r="AD375" i="25"/>
  <c r="AI375" i="25" s="1"/>
  <c r="AD482" i="25"/>
  <c r="AI482" i="25" s="1"/>
  <c r="AD429" i="25"/>
  <c r="AI429" i="25" s="1"/>
  <c r="AD433" i="25"/>
  <c r="AD457" i="25"/>
  <c r="AD473" i="25"/>
  <c r="AI473" i="25" s="1"/>
  <c r="AD477" i="25"/>
  <c r="AI477" i="25" s="1"/>
  <c r="AD481" i="25"/>
  <c r="AD485" i="25"/>
  <c r="AI485" i="25" s="1"/>
  <c r="AD231" i="25"/>
  <c r="AI231" i="25" s="1"/>
  <c r="AD359" i="25"/>
  <c r="AI359" i="25" s="1"/>
  <c r="AD487" i="25"/>
  <c r="AI487" i="25" s="1"/>
  <c r="AD407" i="25"/>
  <c r="AI407" i="25" s="1"/>
  <c r="AD514" i="25"/>
  <c r="AI514" i="25" s="1"/>
  <c r="AD91" i="25"/>
  <c r="AI91" i="25" s="1"/>
  <c r="AD95" i="25"/>
  <c r="AI95" i="25" s="1"/>
  <c r="AD99" i="25"/>
  <c r="AD123" i="25"/>
  <c r="AI123" i="25" s="1"/>
  <c r="AD127" i="25"/>
  <c r="AI127" i="25" s="1"/>
  <c r="AD131" i="25"/>
  <c r="AI131" i="25" s="1"/>
  <c r="AD203" i="25"/>
  <c r="AI203" i="25" s="1"/>
  <c r="AD251" i="25"/>
  <c r="AI251" i="25" s="1"/>
  <c r="AD255" i="25"/>
  <c r="AD331" i="25"/>
  <c r="AD335" i="25"/>
  <c r="AI335" i="25" s="1"/>
  <c r="AD355" i="25"/>
  <c r="AI355" i="25" s="1"/>
  <c r="AD379" i="25"/>
  <c r="AI379" i="25" s="1"/>
  <c r="AD383" i="25"/>
  <c r="AD411" i="25"/>
  <c r="AI411" i="25" s="1"/>
  <c r="AD415" i="25"/>
  <c r="AI415" i="25" s="1"/>
  <c r="AD451" i="25"/>
  <c r="AD463" i="25"/>
  <c r="AI463" i="25" s="1"/>
  <c r="AD348" i="25"/>
  <c r="AD502" i="25"/>
  <c r="AD506" i="25"/>
  <c r="AI506" i="25" s="1"/>
  <c r="AD526" i="25"/>
  <c r="AI526" i="25" s="1"/>
  <c r="AD570" i="25"/>
  <c r="AD590" i="25"/>
  <c r="AI590" i="25" s="1"/>
  <c r="AD16" i="25"/>
  <c r="AI16" i="25" s="1"/>
  <c r="AD20" i="25"/>
  <c r="AI20" i="25" s="1"/>
  <c r="AD40" i="25"/>
  <c r="AD80" i="25"/>
  <c r="AD84" i="25"/>
  <c r="AI84" i="25" s="1"/>
  <c r="AD104" i="25"/>
  <c r="AI104" i="25" s="1"/>
  <c r="AD144" i="25"/>
  <c r="AI144" i="25" s="1"/>
  <c r="AD148" i="25"/>
  <c r="AD168" i="25"/>
  <c r="AI168" i="25" s="1"/>
  <c r="AD208" i="25"/>
  <c r="AI208" i="25" s="1"/>
  <c r="AD212" i="25"/>
  <c r="AD216" i="25"/>
  <c r="AD272" i="25"/>
  <c r="AI272" i="25" s="1"/>
  <c r="AD276" i="25"/>
  <c r="AI276" i="25" s="1"/>
  <c r="AD288" i="25"/>
  <c r="AI288" i="25" s="1"/>
  <c r="AD292" i="25"/>
  <c r="AD360" i="25"/>
  <c r="AI360" i="25" s="1"/>
  <c r="AD368" i="25"/>
  <c r="AI368" i="25" s="1"/>
  <c r="AD372" i="25"/>
  <c r="AD432" i="25"/>
  <c r="AD436" i="25"/>
  <c r="AI436" i="25" s="1"/>
  <c r="AD440" i="25"/>
  <c r="AI440" i="25" s="1"/>
  <c r="AD496" i="25"/>
  <c r="AI496" i="25" s="1"/>
  <c r="AD500" i="25"/>
  <c r="AD70" i="25"/>
  <c r="AI70" i="25" s="1"/>
  <c r="AD454" i="25"/>
  <c r="AI454" i="25" s="1"/>
  <c r="AD418" i="25"/>
  <c r="AI418" i="25" s="1"/>
  <c r="AD66" i="25"/>
  <c r="AD246" i="25"/>
  <c r="AI246" i="25" s="1"/>
  <c r="AD294" i="25"/>
  <c r="AI294" i="25" s="1"/>
  <c r="AD327" i="25"/>
  <c r="AD262" i="25"/>
  <c r="AI262" i="25" s="1"/>
  <c r="AD511" i="25"/>
  <c r="AD82" i="25"/>
  <c r="AI82" i="25" s="1"/>
  <c r="AD54" i="25"/>
  <c r="AI54" i="25" s="1"/>
  <c r="AD541" i="25"/>
  <c r="AI541" i="25" s="1"/>
  <c r="AD14" i="25"/>
  <c r="AD78" i="25"/>
  <c r="AI78" i="25" s="1"/>
  <c r="AD142" i="25"/>
  <c r="AI142" i="25" s="1"/>
  <c r="AD206" i="25"/>
  <c r="AI206" i="25" s="1"/>
  <c r="AD270" i="25"/>
  <c r="AI270" i="25" s="1"/>
  <c r="AD334" i="25"/>
  <c r="AI334" i="25" s="1"/>
  <c r="AD398" i="25"/>
  <c r="AI398" i="25" s="1"/>
  <c r="AD462" i="25"/>
  <c r="AI462" i="25" s="1"/>
  <c r="AD595" i="25"/>
  <c r="AI595" i="25" s="1"/>
  <c r="AD5" i="25"/>
  <c r="AI5" i="25" s="1"/>
  <c r="AD53" i="25"/>
  <c r="AI53" i="25" s="1"/>
  <c r="AD61" i="25"/>
  <c r="AI61" i="25" s="1"/>
  <c r="AD73" i="25"/>
  <c r="AD85" i="25"/>
  <c r="AD113" i="25"/>
  <c r="AI113" i="25" s="1"/>
  <c r="AD117" i="25"/>
  <c r="AI117" i="25" s="1"/>
  <c r="AD137" i="25"/>
  <c r="AI137" i="25" s="1"/>
  <c r="AD149" i="25"/>
  <c r="AI149" i="25" s="1"/>
  <c r="AD181" i="25"/>
  <c r="AD189" i="25"/>
  <c r="AI189" i="25" s="1"/>
  <c r="AD201" i="25"/>
  <c r="AI201" i="25" s="1"/>
  <c r="AD209" i="25"/>
  <c r="AI209" i="25" s="1"/>
  <c r="AD233" i="25"/>
  <c r="AI233" i="25" s="1"/>
  <c r="AD249" i="25"/>
  <c r="AI249" i="25" s="1"/>
  <c r="AD253" i="25"/>
  <c r="AI253" i="25" s="1"/>
  <c r="AD265" i="25"/>
  <c r="AI265" i="25" s="1"/>
  <c r="AD269" i="25"/>
  <c r="AI269" i="25" s="1"/>
  <c r="AD285" i="25"/>
  <c r="AI285" i="25" s="1"/>
  <c r="AD313" i="25"/>
  <c r="AI313" i="25" s="1"/>
  <c r="AD321" i="25"/>
  <c r="AI321" i="25" s="1"/>
  <c r="AD333" i="25"/>
  <c r="AI333" i="25" s="1"/>
  <c r="AD349" i="25"/>
  <c r="AI349" i="25" s="1"/>
  <c r="AD353" i="25"/>
  <c r="AI353" i="25" s="1"/>
  <c r="AD365" i="25"/>
  <c r="AD369" i="25"/>
  <c r="AI369" i="25" s="1"/>
  <c r="AD381" i="25"/>
  <c r="AI381" i="25" s="1"/>
  <c r="AD397" i="25"/>
  <c r="AI397" i="25" s="1"/>
  <c r="AD10" i="25"/>
  <c r="AI10" i="25" s="1"/>
  <c r="AD74" i="25"/>
  <c r="AI74" i="25" s="1"/>
  <c r="AD138" i="25"/>
  <c r="AI138" i="25" s="1"/>
  <c r="AD202" i="25"/>
  <c r="AI202" i="25" s="1"/>
  <c r="AD266" i="25"/>
  <c r="AI266" i="25" s="1"/>
  <c r="AD330" i="25"/>
  <c r="AI330" i="25" s="1"/>
  <c r="AD394" i="25"/>
  <c r="AI394" i="25" s="1"/>
  <c r="AD458" i="25"/>
  <c r="AI458" i="25" s="1"/>
  <c r="AD564" i="25"/>
  <c r="AD151" i="25"/>
  <c r="AI151" i="25" s="1"/>
  <c r="AD279" i="25"/>
  <c r="AI279" i="25" s="1"/>
  <c r="AD135" i="25"/>
  <c r="AI135" i="25" s="1"/>
  <c r="AD140" i="25"/>
  <c r="AD268" i="25"/>
  <c r="AI268" i="25" s="1"/>
  <c r="AD396" i="25"/>
  <c r="AI396" i="25" s="1"/>
  <c r="AD546" i="25"/>
  <c r="AI546" i="25" s="1"/>
  <c r="AD425" i="25"/>
  <c r="AD453" i="25"/>
  <c r="AI453" i="25" s="1"/>
  <c r="AD493" i="25"/>
  <c r="AI493" i="25" s="1"/>
  <c r="AD497" i="25"/>
  <c r="AI497" i="25" s="1"/>
  <c r="AD124" i="25"/>
  <c r="AI124" i="25" s="1"/>
  <c r="AD252" i="25"/>
  <c r="AD380" i="25"/>
  <c r="AD530" i="25"/>
  <c r="AI530" i="25" s="1"/>
  <c r="AD494" i="25"/>
  <c r="AI494" i="25" s="1"/>
  <c r="AD578" i="25"/>
  <c r="AI578" i="25" s="1"/>
  <c r="AD139" i="25"/>
  <c r="AI139" i="25" s="1"/>
  <c r="AD143" i="25"/>
  <c r="AI143" i="25" s="1"/>
  <c r="AD147" i="25"/>
  <c r="AI147" i="25" s="1"/>
  <c r="AD187" i="25"/>
  <c r="AI187" i="25" s="1"/>
  <c r="AD191" i="25"/>
  <c r="AI191" i="25" s="1"/>
  <c r="AD195" i="25"/>
  <c r="AI195" i="25" s="1"/>
  <c r="AD235" i="25"/>
  <c r="AI235" i="25" s="1"/>
  <c r="AD239" i="25"/>
  <c r="AI239" i="25" s="1"/>
  <c r="AD243" i="25"/>
  <c r="AI243" i="25" s="1"/>
  <c r="AD283" i="25"/>
  <c r="AI283" i="25" s="1"/>
  <c r="AD339" i="25"/>
  <c r="AI339" i="25" s="1"/>
  <c r="AD363" i="25"/>
  <c r="AD367" i="25"/>
  <c r="AI367" i="25" s="1"/>
  <c r="AD371" i="25"/>
  <c r="AI371" i="25" s="1"/>
  <c r="AD419" i="25"/>
  <c r="AI419" i="25" s="1"/>
  <c r="AD427" i="25"/>
  <c r="AI427" i="25" s="1"/>
  <c r="AD431" i="25"/>
  <c r="AI431" i="25" s="1"/>
  <c r="AD459" i="25"/>
  <c r="AI459" i="25" s="1"/>
  <c r="AD467" i="25"/>
  <c r="AI467" i="25" s="1"/>
  <c r="AD412" i="25"/>
  <c r="AI412" i="25" s="1"/>
  <c r="AD518" i="25"/>
  <c r="AI518" i="25" s="1"/>
  <c r="AD522" i="25"/>
  <c r="AI522" i="25" s="1"/>
  <c r="AD542" i="25"/>
  <c r="AI542" i="25" s="1"/>
  <c r="AD566" i="25"/>
  <c r="AI566" i="25" s="1"/>
  <c r="AD586" i="25"/>
  <c r="AI586" i="25" s="1"/>
  <c r="AD32" i="25"/>
  <c r="AD36" i="25"/>
  <c r="AD56" i="25"/>
  <c r="AI56" i="25" s="1"/>
  <c r="AD96" i="25"/>
  <c r="AI96" i="25" s="1"/>
  <c r="AD100" i="25"/>
  <c r="AD120" i="25"/>
  <c r="AD160" i="25"/>
  <c r="AD164" i="25"/>
  <c r="AI164" i="25" s="1"/>
  <c r="AD224" i="25"/>
  <c r="AI224" i="25" s="1"/>
  <c r="AD228" i="25"/>
  <c r="AI228" i="25" s="1"/>
  <c r="AD296" i="25"/>
  <c r="AI296" i="25" s="1"/>
  <c r="AD304" i="25"/>
  <c r="AD308" i="25"/>
  <c r="AI308" i="25" s="1"/>
  <c r="AD376" i="25"/>
  <c r="AI376" i="25" s="1"/>
  <c r="AD384" i="25"/>
  <c r="AD388" i="25"/>
  <c r="AI388" i="25" s="1"/>
  <c r="AD392" i="25"/>
  <c r="AI392" i="25" s="1"/>
  <c r="AD448" i="25"/>
  <c r="AI448" i="25" s="1"/>
  <c r="AD452" i="25"/>
  <c r="AD456" i="25"/>
  <c r="AI456" i="25" s="1"/>
  <c r="AD59" i="25"/>
  <c r="AI59" i="25" s="1"/>
  <c r="AD567" i="25"/>
  <c r="AI567" i="25" s="1"/>
  <c r="AD505" i="25"/>
  <c r="AI505" i="25" s="1"/>
  <c r="AD134" i="25"/>
  <c r="AD130" i="25"/>
  <c r="AI130" i="25" s="1"/>
  <c r="AD470" i="25"/>
  <c r="AI470" i="25" s="1"/>
  <c r="AD326" i="25"/>
  <c r="AI326" i="25" s="1"/>
  <c r="AD162" i="25"/>
  <c r="AD559" i="25"/>
  <c r="AI559" i="25" s="1"/>
  <c r="AD18" i="25"/>
  <c r="AI18" i="25" s="1"/>
  <c r="AD23" i="25"/>
  <c r="AI23" i="25" s="1"/>
  <c r="AD354" i="25"/>
  <c r="AI354" i="25" s="1"/>
  <c r="AD434" i="25"/>
  <c r="AI434" i="25" s="1"/>
  <c r="AD438" i="25"/>
  <c r="AI438" i="25" s="1"/>
  <c r="AD214" i="25"/>
  <c r="AI214" i="25" s="1"/>
  <c r="AD338" i="25"/>
  <c r="AI338" i="25" s="1"/>
  <c r="AD545" i="25"/>
  <c r="AI545" i="25" s="1"/>
  <c r="AD278" i="25"/>
  <c r="AI278" i="25" s="1"/>
  <c r="AD242" i="25"/>
  <c r="AI242" i="25" s="1"/>
  <c r="AD22" i="25"/>
  <c r="AI22" i="25" s="1"/>
  <c r="AD422" i="25"/>
  <c r="AI422" i="25" s="1"/>
  <c r="AD592" i="25"/>
  <c r="AI592" i="25" s="1"/>
  <c r="AD6" i="25"/>
  <c r="AI6" i="25" s="1"/>
  <c r="Q317" i="25"/>
  <c r="G317" i="25"/>
  <c r="Q369" i="25"/>
  <c r="O177" i="25"/>
  <c r="R497" i="25"/>
  <c r="P405" i="25"/>
  <c r="P409" i="25"/>
  <c r="P161" i="25"/>
  <c r="O73" i="25"/>
  <c r="AI73" i="25" s="1"/>
  <c r="P592" i="25"/>
  <c r="O345" i="25"/>
  <c r="R345" i="25"/>
  <c r="R57" i="25"/>
  <c r="Q57" i="25"/>
  <c r="O213" i="25"/>
  <c r="G213" i="25"/>
  <c r="O337" i="25"/>
  <c r="P337" i="25"/>
  <c r="R337" i="25"/>
  <c r="P537" i="25"/>
  <c r="O565" i="25"/>
  <c r="P501" i="25"/>
  <c r="O501" i="25"/>
  <c r="Q393" i="25"/>
  <c r="P393" i="25"/>
  <c r="Q421" i="25"/>
  <c r="R421" i="25"/>
  <c r="G421" i="25"/>
  <c r="O484" i="25"/>
  <c r="O361" i="25"/>
  <c r="G361" i="25"/>
  <c r="P13" i="25"/>
  <c r="Q380" i="25"/>
  <c r="R380" i="25"/>
  <c r="P261" i="25"/>
  <c r="O261" i="25"/>
  <c r="R261" i="25"/>
  <c r="G341" i="25"/>
  <c r="Q480" i="25"/>
  <c r="R480" i="25"/>
  <c r="O428" i="25"/>
  <c r="R428" i="25"/>
  <c r="Q428" i="25"/>
  <c r="P425" i="25"/>
  <c r="O425" i="25"/>
  <c r="G425" i="25"/>
  <c r="Q540" i="25"/>
  <c r="R540" i="25"/>
  <c r="R496" i="25"/>
  <c r="Q432" i="25"/>
  <c r="O245" i="25"/>
  <c r="R245" i="25"/>
  <c r="P237" i="25"/>
  <c r="O365" i="25"/>
  <c r="P365" i="25"/>
  <c r="Q365" i="25"/>
  <c r="Q340" i="25"/>
  <c r="R340" i="25"/>
  <c r="P468" i="25"/>
  <c r="O433" i="25"/>
  <c r="P433" i="25"/>
  <c r="G433" i="25"/>
  <c r="P145" i="25"/>
  <c r="O524" i="25"/>
  <c r="R524" i="25"/>
  <c r="P524" i="25"/>
  <c r="P525" i="25"/>
  <c r="O229" i="25"/>
  <c r="P493" i="25"/>
  <c r="Q61" i="25"/>
  <c r="G61" i="25"/>
  <c r="Q372" i="25"/>
  <c r="R372" i="25"/>
  <c r="P500" i="25"/>
  <c r="O500" i="25"/>
  <c r="O193" i="25"/>
  <c r="G193" i="25"/>
  <c r="Q193" i="25"/>
  <c r="G456" i="25"/>
  <c r="R417" i="25"/>
  <c r="O277" i="25"/>
  <c r="O481" i="25"/>
  <c r="G481" i="25"/>
  <c r="Q244" i="25"/>
  <c r="R244" i="25"/>
  <c r="O332" i="25"/>
  <c r="R332" i="25"/>
  <c r="R269" i="25"/>
  <c r="P269" i="25"/>
  <c r="P596" i="25"/>
  <c r="O528" i="25"/>
  <c r="G528" i="25"/>
  <c r="Q413" i="25"/>
  <c r="P413" i="25"/>
  <c r="R413" i="25"/>
  <c r="Q224" i="25"/>
  <c r="G224" i="25"/>
  <c r="R521" i="25"/>
  <c r="O564" i="25"/>
  <c r="P564" i="25"/>
  <c r="W127" i="7"/>
  <c r="V376" i="7"/>
  <c r="W273" i="7"/>
  <c r="AB234" i="7"/>
  <c r="AK234" i="7" s="1"/>
  <c r="W188" i="7"/>
  <c r="V243" i="7"/>
  <c r="W20" i="7"/>
  <c r="AB467" i="7"/>
  <c r="K469" i="7"/>
  <c r="AS469" i="7" s="1"/>
  <c r="AY469" i="7" s="1"/>
  <c r="F469" i="25"/>
  <c r="K373" i="7"/>
  <c r="AS373" i="7" s="1"/>
  <c r="AY373" i="7" s="1"/>
  <c r="F373" i="25"/>
  <c r="K77" i="7"/>
  <c r="F77" i="25"/>
  <c r="K515" i="7"/>
  <c r="F515" i="25"/>
  <c r="K60" i="7"/>
  <c r="AS60" i="7" s="1"/>
  <c r="AY60" i="7" s="1"/>
  <c r="F60" i="25"/>
  <c r="AF60" i="25" s="1"/>
  <c r="K2" i="7"/>
  <c r="AS2" i="7" s="1"/>
  <c r="AY2" i="7" s="1"/>
  <c r="F2" i="25"/>
  <c r="K413" i="7"/>
  <c r="AS413" i="7" s="1"/>
  <c r="AY413" i="7" s="1"/>
  <c r="F413" i="25"/>
  <c r="AF413" i="25" s="1"/>
  <c r="K97" i="7"/>
  <c r="AJ97" i="7" s="1"/>
  <c r="F97" i="25"/>
  <c r="K139" i="7"/>
  <c r="F139" i="25"/>
  <c r="K143" i="7"/>
  <c r="AS143" i="7" s="1"/>
  <c r="AY143" i="7" s="1"/>
  <c r="F143" i="25"/>
  <c r="AF143" i="25" s="1"/>
  <c r="K293" i="7"/>
  <c r="AS293" i="7" s="1"/>
  <c r="AY293" i="7" s="1"/>
  <c r="F293" i="25"/>
  <c r="K498" i="7"/>
  <c r="AS498" i="7" s="1"/>
  <c r="AY498" i="7" s="1"/>
  <c r="F498" i="25"/>
  <c r="K578" i="7"/>
  <c r="AS578" i="7" s="1"/>
  <c r="AY578" i="7" s="1"/>
  <c r="F578" i="25"/>
  <c r="K387" i="7"/>
  <c r="AS387" i="7" s="1"/>
  <c r="F387" i="25"/>
  <c r="K150" i="7"/>
  <c r="F150" i="25"/>
  <c r="K593" i="7"/>
  <c r="F593" i="25"/>
  <c r="K573" i="7"/>
  <c r="AS573" i="7" s="1"/>
  <c r="AY573" i="7" s="1"/>
  <c r="F573" i="25"/>
  <c r="AF573" i="25" s="1"/>
  <c r="K367" i="7"/>
  <c r="F367" i="25"/>
  <c r="K230" i="7"/>
  <c r="AJ230" i="7" s="1"/>
  <c r="F230" i="25"/>
  <c r="K186" i="7"/>
  <c r="AS186" i="7" s="1"/>
  <c r="AY186" i="7" s="1"/>
  <c r="F186" i="25"/>
  <c r="AF186" i="25" s="1"/>
  <c r="K532" i="7"/>
  <c r="AS532" i="7" s="1"/>
  <c r="AY532" i="7" s="1"/>
  <c r="F532" i="25"/>
  <c r="K554" i="7"/>
  <c r="AS554" i="7" s="1"/>
  <c r="AY554" i="7" s="1"/>
  <c r="F554" i="25"/>
  <c r="K347" i="7"/>
  <c r="AJ347" i="7" s="1"/>
  <c r="F347" i="25"/>
  <c r="K435" i="7"/>
  <c r="AS435" i="7" s="1"/>
  <c r="AY435" i="7" s="1"/>
  <c r="F435" i="25"/>
  <c r="K22" i="7"/>
  <c r="AJ22" i="7" s="1"/>
  <c r="F22" i="25"/>
  <c r="AF22" i="25" s="1"/>
  <c r="K212" i="7"/>
  <c r="AS212" i="7" s="1"/>
  <c r="AY212" i="7" s="1"/>
  <c r="F212" i="25"/>
  <c r="K447" i="7"/>
  <c r="AS447" i="7" s="1"/>
  <c r="AY447" i="7" s="1"/>
  <c r="F447" i="25"/>
  <c r="AF447" i="25" s="1"/>
  <c r="K23" i="7"/>
  <c r="AS23" i="7" s="1"/>
  <c r="F23" i="25"/>
  <c r="AF23" i="25" s="1"/>
  <c r="K265" i="7"/>
  <c r="AS265" i="7" s="1"/>
  <c r="AY265" i="7" s="1"/>
  <c r="F265" i="25"/>
  <c r="AF265" i="25" s="1"/>
  <c r="K21" i="7"/>
  <c r="AS21" i="7" s="1"/>
  <c r="AY21" i="7" s="1"/>
  <c r="F21" i="25"/>
  <c r="AF21" i="25" s="1"/>
  <c r="K200" i="7"/>
  <c r="F200" i="25"/>
  <c r="AF200" i="25" s="1"/>
  <c r="K240" i="7"/>
  <c r="AS240" i="7" s="1"/>
  <c r="AY240" i="7" s="1"/>
  <c r="F240" i="25"/>
  <c r="K361" i="7"/>
  <c r="AS361" i="7" s="1"/>
  <c r="AY361" i="7" s="1"/>
  <c r="F361" i="25"/>
  <c r="AF361" i="25" s="1"/>
  <c r="K54" i="7"/>
  <c r="AS54" i="7" s="1"/>
  <c r="AY54" i="7" s="1"/>
  <c r="F54" i="25"/>
  <c r="K436" i="7"/>
  <c r="F436" i="25"/>
  <c r="K478" i="7"/>
  <c r="F478" i="25"/>
  <c r="AF478" i="25" s="1"/>
  <c r="K156" i="7"/>
  <c r="AS156" i="7" s="1"/>
  <c r="F156" i="25"/>
  <c r="AF156" i="25" s="1"/>
  <c r="K125" i="7"/>
  <c r="F125" i="25"/>
  <c r="K133" i="7"/>
  <c r="F133" i="25"/>
  <c r="K117" i="7"/>
  <c r="AJ117" i="7" s="1"/>
  <c r="F117" i="25"/>
  <c r="AF117" i="25" s="1"/>
  <c r="K216" i="7"/>
  <c r="AS216" i="7" s="1"/>
  <c r="AY216" i="7" s="1"/>
  <c r="F216" i="25"/>
  <c r="K569" i="7"/>
  <c r="AJ569" i="7" s="1"/>
  <c r="F569" i="25"/>
  <c r="K274" i="7"/>
  <c r="AS274" i="7" s="1"/>
  <c r="AY274" i="7" s="1"/>
  <c r="F274" i="25"/>
  <c r="K266" i="7"/>
  <c r="AS266" i="7" s="1"/>
  <c r="AY266" i="7" s="1"/>
  <c r="F266" i="25"/>
  <c r="K324" i="7"/>
  <c r="AJ324" i="7" s="1"/>
  <c r="F324" i="25"/>
  <c r="AF324" i="25" s="1"/>
  <c r="K198" i="7"/>
  <c r="AS198" i="7" s="1"/>
  <c r="AY198" i="7" s="1"/>
  <c r="F198" i="25"/>
  <c r="K79" i="7"/>
  <c r="AJ79" i="7" s="1"/>
  <c r="F79" i="25"/>
  <c r="V492" i="7"/>
  <c r="D492" i="25"/>
  <c r="K301" i="7"/>
  <c r="AS301" i="7" s="1"/>
  <c r="AY301" i="7" s="1"/>
  <c r="F301" i="25"/>
  <c r="K333" i="7"/>
  <c r="AJ333" i="7" s="1"/>
  <c r="F333" i="25"/>
  <c r="AF333" i="25" s="1"/>
  <c r="K44" i="7"/>
  <c r="F44" i="25"/>
  <c r="K32" i="7"/>
  <c r="AS32" i="7" s="1"/>
  <c r="AY32" i="7" s="1"/>
  <c r="F32" i="25"/>
  <c r="AF32" i="25" s="1"/>
  <c r="K432" i="7"/>
  <c r="AS432" i="7" s="1"/>
  <c r="F432" i="25"/>
  <c r="K237" i="7"/>
  <c r="AS237" i="7" s="1"/>
  <c r="F237" i="25"/>
  <c r="K221" i="7"/>
  <c r="F221" i="25"/>
  <c r="K55" i="7"/>
  <c r="F55" i="25"/>
  <c r="K524" i="7"/>
  <c r="AS524" i="7" s="1"/>
  <c r="AY524" i="7" s="1"/>
  <c r="F524" i="25"/>
  <c r="W555" i="7"/>
  <c r="D555" i="25"/>
  <c r="W499" i="7"/>
  <c r="D499" i="25"/>
  <c r="W331" i="7"/>
  <c r="D331" i="25"/>
  <c r="W121" i="7"/>
  <c r="D121" i="25"/>
  <c r="V568" i="7"/>
  <c r="D568" i="25"/>
  <c r="V533" i="7"/>
  <c r="D533" i="25"/>
  <c r="V434" i="7"/>
  <c r="D434" i="25"/>
  <c r="W571" i="7"/>
  <c r="D571" i="25"/>
  <c r="W562" i="7"/>
  <c r="D562" i="25"/>
  <c r="W338" i="7"/>
  <c r="D338" i="25"/>
  <c r="V213" i="7"/>
  <c r="D213" i="25"/>
  <c r="W587" i="7"/>
  <c r="D587" i="25"/>
  <c r="V100" i="7"/>
  <c r="D100" i="25"/>
  <c r="V537" i="7"/>
  <c r="D537" i="25"/>
  <c r="V51" i="7"/>
  <c r="D51" i="25"/>
  <c r="W178" i="7"/>
  <c r="D178" i="25"/>
  <c r="V249" i="7"/>
  <c r="D249" i="25"/>
  <c r="V350" i="7"/>
  <c r="D350" i="25"/>
  <c r="V466" i="7"/>
  <c r="D466" i="25"/>
  <c r="W231" i="7"/>
  <c r="D231" i="25"/>
  <c r="K132" i="7"/>
  <c r="F132" i="25"/>
  <c r="AF132" i="25" s="1"/>
  <c r="AB62" i="7"/>
  <c r="AK62" i="7" s="1"/>
  <c r="R62" i="25"/>
  <c r="V438" i="7"/>
  <c r="D438" i="25"/>
  <c r="AB591" i="7"/>
  <c r="AK591" i="7" s="1"/>
  <c r="R591" i="25"/>
  <c r="W75" i="7"/>
  <c r="D75" i="25"/>
  <c r="V297" i="7"/>
  <c r="D297" i="25"/>
  <c r="V505" i="7"/>
  <c r="D505" i="25"/>
  <c r="W123" i="7"/>
  <c r="D123" i="25"/>
  <c r="V461" i="7"/>
  <c r="D461" i="25"/>
  <c r="W253" i="7"/>
  <c r="D253" i="25"/>
  <c r="V90" i="7"/>
  <c r="D90" i="25"/>
  <c r="W74" i="7"/>
  <c r="D74" i="25"/>
  <c r="W469" i="7"/>
  <c r="D469" i="25"/>
  <c r="V355" i="7"/>
  <c r="D355" i="25"/>
  <c r="W385" i="7"/>
  <c r="D385" i="25"/>
  <c r="W389" i="7"/>
  <c r="D389" i="25"/>
  <c r="W541" i="7"/>
  <c r="D541" i="25"/>
  <c r="W401" i="7"/>
  <c r="D401" i="25"/>
  <c r="V517" i="7"/>
  <c r="D517" i="25"/>
  <c r="V531" i="7"/>
  <c r="D531" i="25"/>
  <c r="V111" i="7"/>
  <c r="D111" i="25"/>
  <c r="W260" i="7"/>
  <c r="D260" i="25"/>
  <c r="W228" i="7"/>
  <c r="D228" i="25"/>
  <c r="V214" i="7"/>
  <c r="D214" i="25"/>
  <c r="W218" i="7"/>
  <c r="D218" i="25"/>
  <c r="W173" i="7"/>
  <c r="D173" i="25"/>
  <c r="V143" i="7"/>
  <c r="D143" i="25"/>
  <c r="V429" i="7"/>
  <c r="D429" i="25"/>
  <c r="W209" i="7"/>
  <c r="D209" i="25"/>
  <c r="W440" i="7"/>
  <c r="D440" i="25"/>
  <c r="V522" i="7"/>
  <c r="D522" i="25"/>
  <c r="W498" i="7"/>
  <c r="D498" i="25"/>
  <c r="V115" i="7"/>
  <c r="D115" i="25"/>
  <c r="AB343" i="7"/>
  <c r="AK343" i="7" s="1"/>
  <c r="R343" i="25"/>
  <c r="AB321" i="7"/>
  <c r="AK321" i="7" s="1"/>
  <c r="R321" i="25"/>
  <c r="AB190" i="7"/>
  <c r="AK190" i="7" s="1"/>
  <c r="R190" i="25"/>
  <c r="R10" i="25"/>
  <c r="R14" i="25"/>
  <c r="R30" i="25"/>
  <c r="R54" i="25"/>
  <c r="R66" i="25"/>
  <c r="R102" i="25"/>
  <c r="R230" i="25"/>
  <c r="R374" i="25"/>
  <c r="R454" i="25"/>
  <c r="R466" i="25"/>
  <c r="R502" i="25"/>
  <c r="R518" i="25"/>
  <c r="R43" i="25"/>
  <c r="R91" i="25"/>
  <c r="R115" i="25"/>
  <c r="R331" i="25"/>
  <c r="R371" i="25"/>
  <c r="R387" i="25"/>
  <c r="R403" i="25"/>
  <c r="R475" i="25"/>
  <c r="R491" i="25"/>
  <c r="R547" i="25"/>
  <c r="R571" i="25"/>
  <c r="R44" i="25"/>
  <c r="R56" i="25"/>
  <c r="R76" i="25"/>
  <c r="R116" i="25"/>
  <c r="R180" i="25"/>
  <c r="R212" i="25"/>
  <c r="R252" i="25"/>
  <c r="R280" i="25"/>
  <c r="R296" i="25"/>
  <c r="R320" i="25"/>
  <c r="R344" i="25"/>
  <c r="R392" i="25"/>
  <c r="R400" i="25"/>
  <c r="R412" i="25"/>
  <c r="R440" i="25"/>
  <c r="R452" i="25"/>
  <c r="R464" i="25"/>
  <c r="R488" i="25"/>
  <c r="R580" i="25"/>
  <c r="R596" i="25"/>
  <c r="R77" i="25"/>
  <c r="R285" i="25"/>
  <c r="R525" i="25"/>
  <c r="K470" i="7"/>
  <c r="AS470" i="7" s="1"/>
  <c r="AY470" i="7" s="1"/>
  <c r="F470" i="25"/>
  <c r="AF470" i="25" s="1"/>
  <c r="K5" i="7"/>
  <c r="AJ5" i="7" s="1"/>
  <c r="F5" i="25"/>
  <c r="K481" i="7"/>
  <c r="AJ481" i="7" s="1"/>
  <c r="F481" i="25"/>
  <c r="AF481" i="25" s="1"/>
  <c r="K228" i="7"/>
  <c r="F228" i="25"/>
  <c r="AF228" i="25" s="1"/>
  <c r="K576" i="7"/>
  <c r="AS576" i="7" s="1"/>
  <c r="AY576" i="7" s="1"/>
  <c r="F576" i="25"/>
  <c r="K544" i="7"/>
  <c r="AS544" i="7" s="1"/>
  <c r="AY544" i="7" s="1"/>
  <c r="F544" i="25"/>
  <c r="K528" i="7"/>
  <c r="AS528" i="7" s="1"/>
  <c r="AY528" i="7" s="1"/>
  <c r="F528" i="25"/>
  <c r="AF528" i="25" s="1"/>
  <c r="K519" i="7"/>
  <c r="AS519" i="7" s="1"/>
  <c r="F519" i="25"/>
  <c r="AF519" i="25" s="1"/>
  <c r="K475" i="7"/>
  <c r="AS475" i="7" s="1"/>
  <c r="AY475" i="7" s="1"/>
  <c r="F475" i="25"/>
  <c r="K111" i="7"/>
  <c r="F111" i="25"/>
  <c r="AF111" i="25" s="1"/>
  <c r="K146" i="7"/>
  <c r="F146" i="25"/>
  <c r="K209" i="7"/>
  <c r="AJ209" i="7" s="1"/>
  <c r="F209" i="25"/>
  <c r="AF209" i="25" s="1"/>
  <c r="K522" i="7"/>
  <c r="F522" i="25"/>
  <c r="K411" i="7"/>
  <c r="AS411" i="7" s="1"/>
  <c r="F411" i="25"/>
  <c r="K277" i="7"/>
  <c r="AJ277" i="7" s="1"/>
  <c r="F277" i="25"/>
  <c r="K297" i="7"/>
  <c r="AS297" i="7" s="1"/>
  <c r="AY297" i="7" s="1"/>
  <c r="F297" i="25"/>
  <c r="K71" i="7"/>
  <c r="AS71" i="7" s="1"/>
  <c r="AY71" i="7" s="1"/>
  <c r="F71" i="25"/>
  <c r="AF71" i="25" s="1"/>
  <c r="K461" i="7"/>
  <c r="AJ461" i="7" s="1"/>
  <c r="F461" i="25"/>
  <c r="K314" i="7"/>
  <c r="F314" i="25"/>
  <c r="K108" i="7"/>
  <c r="AS108" i="7" s="1"/>
  <c r="AY108" i="7" s="1"/>
  <c r="F108" i="25"/>
  <c r="K299" i="7"/>
  <c r="AJ299" i="7" s="1"/>
  <c r="F299" i="25"/>
  <c r="K339" i="7"/>
  <c r="AS339" i="7" s="1"/>
  <c r="AY339" i="7" s="1"/>
  <c r="F339" i="25"/>
  <c r="AF339" i="25" s="1"/>
  <c r="K189" i="7"/>
  <c r="AS189" i="7" s="1"/>
  <c r="AY189" i="7" s="1"/>
  <c r="F189" i="25"/>
  <c r="K330" i="7"/>
  <c r="AS330" i="7" s="1"/>
  <c r="F330" i="25"/>
  <c r="K328" i="7"/>
  <c r="AJ328" i="7" s="1"/>
  <c r="F328" i="25"/>
  <c r="K384" i="7"/>
  <c r="AS384" i="7" s="1"/>
  <c r="AY384" i="7" s="1"/>
  <c r="F384" i="25"/>
  <c r="K182" i="7"/>
  <c r="F182" i="25"/>
  <c r="AF182" i="25" s="1"/>
  <c r="K504" i="7"/>
  <c r="AJ504" i="7" s="1"/>
  <c r="F504" i="25"/>
  <c r="K364" i="7"/>
  <c r="AS364" i="7" s="1"/>
  <c r="AY364" i="7" s="1"/>
  <c r="F364" i="25"/>
  <c r="K390" i="7"/>
  <c r="AS390" i="7" s="1"/>
  <c r="AY390" i="7" s="1"/>
  <c r="F390" i="25"/>
  <c r="K455" i="7"/>
  <c r="AJ455" i="7" s="1"/>
  <c r="F455" i="25"/>
  <c r="K588" i="7"/>
  <c r="AS588" i="7" s="1"/>
  <c r="AY588" i="7" s="1"/>
  <c r="F588" i="25"/>
  <c r="K250" i="7"/>
  <c r="AS250" i="7" s="1"/>
  <c r="AY250" i="7" s="1"/>
  <c r="F250" i="25"/>
  <c r="K118" i="7"/>
  <c r="AS118" i="7" s="1"/>
  <c r="AY118" i="7" s="1"/>
  <c r="F118" i="25"/>
  <c r="K195" i="7"/>
  <c r="AS195" i="7" s="1"/>
  <c r="AY195" i="7" s="1"/>
  <c r="F195" i="25"/>
  <c r="K52" i="7"/>
  <c r="AS52" i="7" s="1"/>
  <c r="AY52" i="7" s="1"/>
  <c r="F52" i="25"/>
  <c r="K14" i="7"/>
  <c r="AS14" i="7" s="1"/>
  <c r="AY14" i="7" s="1"/>
  <c r="F14" i="25"/>
  <c r="K503" i="7"/>
  <c r="F503" i="25"/>
  <c r="K316" i="7"/>
  <c r="F316" i="25"/>
  <c r="AF316" i="25" s="1"/>
  <c r="K222" i="7"/>
  <c r="F222" i="25"/>
  <c r="K278" i="7"/>
  <c r="AS278" i="7" s="1"/>
  <c r="AY278" i="7" s="1"/>
  <c r="F278" i="25"/>
  <c r="K407" i="7"/>
  <c r="AS407" i="7" s="1"/>
  <c r="AY407" i="7" s="1"/>
  <c r="F407" i="25"/>
  <c r="AF407" i="25" s="1"/>
  <c r="K313" i="7"/>
  <c r="AS313" i="7" s="1"/>
  <c r="AY313" i="7" s="1"/>
  <c r="F313" i="25"/>
  <c r="K38" i="7"/>
  <c r="AS38" i="7" s="1"/>
  <c r="F38" i="25"/>
  <c r="K211" i="7"/>
  <c r="AS211" i="7" s="1"/>
  <c r="AY211" i="7" s="1"/>
  <c r="F211" i="25"/>
  <c r="AF211" i="25" s="1"/>
  <c r="K40" i="7"/>
  <c r="AS40" i="7" s="1"/>
  <c r="AY40" i="7" s="1"/>
  <c r="F40" i="25"/>
  <c r="AF40" i="25" s="1"/>
  <c r="K229" i="7"/>
  <c r="AJ229" i="7" s="1"/>
  <c r="F229" i="25"/>
  <c r="K493" i="7"/>
  <c r="AS493" i="7" s="1"/>
  <c r="AY493" i="7" s="1"/>
  <c r="F493" i="25"/>
  <c r="K406" i="7"/>
  <c r="AS406" i="7" s="1"/>
  <c r="AY406" i="7" s="1"/>
  <c r="F406" i="25"/>
  <c r="AF406" i="25" s="1"/>
  <c r="K372" i="7"/>
  <c r="AS372" i="7" s="1"/>
  <c r="AY372" i="7" s="1"/>
  <c r="F372" i="25"/>
  <c r="AF372" i="25" s="1"/>
  <c r="K183" i="7"/>
  <c r="AS183" i="7" s="1"/>
  <c r="AY183" i="7" s="1"/>
  <c r="F183" i="25"/>
  <c r="AF183" i="25" s="1"/>
  <c r="K67" i="7"/>
  <c r="AS67" i="7" s="1"/>
  <c r="AY67" i="7" s="1"/>
  <c r="F67" i="25"/>
  <c r="AF67" i="25" s="1"/>
  <c r="K159" i="7"/>
  <c r="F159" i="25"/>
  <c r="AF159" i="25" s="1"/>
  <c r="W135" i="7"/>
  <c r="D135" i="25"/>
  <c r="K420" i="7"/>
  <c r="AJ420" i="7" s="1"/>
  <c r="F420" i="25"/>
  <c r="AF420" i="25" s="1"/>
  <c r="K508" i="7"/>
  <c r="AS508" i="7" s="1"/>
  <c r="AY508" i="7" s="1"/>
  <c r="F508" i="25"/>
  <c r="W245" i="7"/>
  <c r="D245" i="25"/>
  <c r="K365" i="7"/>
  <c r="AS365" i="7" s="1"/>
  <c r="AY365" i="7" s="1"/>
  <c r="F365" i="25"/>
  <c r="K296" i="7"/>
  <c r="F296" i="25"/>
  <c r="K382" i="7"/>
  <c r="F382" i="25"/>
  <c r="K378" i="7"/>
  <c r="AS378" i="7" s="1"/>
  <c r="F378" i="25"/>
  <c r="W3" i="7"/>
  <c r="D3" i="25"/>
  <c r="V58" i="7"/>
  <c r="D58" i="25"/>
  <c r="V102" i="7"/>
  <c r="D102" i="25"/>
  <c r="W360" i="7"/>
  <c r="D360" i="25"/>
  <c r="K12" i="7"/>
  <c r="AJ12" i="7" s="1"/>
  <c r="F12" i="25"/>
  <c r="V574" i="7"/>
  <c r="D574" i="25"/>
  <c r="V433" i="7"/>
  <c r="D433" i="25"/>
  <c r="W45" i="7"/>
  <c r="D45" i="25"/>
  <c r="V181" i="7"/>
  <c r="D181" i="25"/>
  <c r="V327" i="7"/>
  <c r="D327" i="25"/>
  <c r="V15" i="7"/>
  <c r="D15" i="25"/>
  <c r="V337" i="7"/>
  <c r="D337" i="25"/>
  <c r="V375" i="7"/>
  <c r="D375" i="25"/>
  <c r="W225" i="7"/>
  <c r="D225" i="25"/>
  <c r="W501" i="7"/>
  <c r="D501" i="25"/>
  <c r="V393" i="7"/>
  <c r="D393" i="25"/>
  <c r="V424" i="7"/>
  <c r="D424" i="25"/>
  <c r="V409" i="7"/>
  <c r="D409" i="25"/>
  <c r="W284" i="7"/>
  <c r="D284" i="25"/>
  <c r="W494" i="7"/>
  <c r="D494" i="25"/>
  <c r="W88" i="7"/>
  <c r="D88" i="25"/>
  <c r="K358" i="7"/>
  <c r="AS358" i="7" s="1"/>
  <c r="AY358" i="7" s="1"/>
  <c r="F358" i="25"/>
  <c r="AF358" i="25" s="1"/>
  <c r="AB543" i="7"/>
  <c r="AK543" i="7" s="1"/>
  <c r="R543" i="25"/>
  <c r="AB522" i="7"/>
  <c r="AK522" i="7" s="1"/>
  <c r="R522" i="25"/>
  <c r="V387" i="7"/>
  <c r="D387" i="25"/>
  <c r="V572" i="7"/>
  <c r="D572" i="25"/>
  <c r="W403" i="7"/>
  <c r="D403" i="25"/>
  <c r="V134" i="7"/>
  <c r="D134" i="25"/>
  <c r="V34" i="7"/>
  <c r="D34" i="25"/>
  <c r="W323" i="7"/>
  <c r="D323" i="25"/>
  <c r="V314" i="7"/>
  <c r="D314" i="25"/>
  <c r="W252" i="7"/>
  <c r="D252" i="25"/>
  <c r="V470" i="7"/>
  <c r="D470" i="25"/>
  <c r="W174" i="7"/>
  <c r="D174" i="25"/>
  <c r="V411" i="7"/>
  <c r="D411" i="25"/>
  <c r="V529" i="7"/>
  <c r="D529" i="25"/>
  <c r="V298" i="7"/>
  <c r="D298" i="25"/>
  <c r="V177" i="7"/>
  <c r="D177" i="25"/>
  <c r="V29" i="7"/>
  <c r="D29" i="25"/>
  <c r="W418" i="7"/>
  <c r="D418" i="25"/>
  <c r="V379" i="7"/>
  <c r="D379" i="25"/>
  <c r="W162" i="7"/>
  <c r="D162" i="25"/>
  <c r="W170" i="7"/>
  <c r="D170" i="25"/>
  <c r="V50" i="7"/>
  <c r="D50" i="25"/>
  <c r="W175" i="7"/>
  <c r="D175" i="25"/>
  <c r="V77" i="7"/>
  <c r="D77" i="25"/>
  <c r="V489" i="7"/>
  <c r="D489" i="25"/>
  <c r="W294" i="7"/>
  <c r="D294" i="25"/>
  <c r="V263" i="7"/>
  <c r="D263" i="25"/>
  <c r="AB106" i="7"/>
  <c r="AK106" i="7" s="1"/>
  <c r="R106" i="25"/>
  <c r="AB207" i="7"/>
  <c r="AX207" i="7" s="1"/>
  <c r="R207" i="25"/>
  <c r="R82" i="25"/>
  <c r="R178" i="25"/>
  <c r="R210" i="25"/>
  <c r="R262" i="25"/>
  <c r="R274" i="25"/>
  <c r="R294" i="25"/>
  <c r="R326" i="25"/>
  <c r="R342" i="25"/>
  <c r="R530" i="25"/>
  <c r="R550" i="25"/>
  <c r="R562" i="25"/>
  <c r="R59" i="25"/>
  <c r="R99" i="25"/>
  <c r="R123" i="25"/>
  <c r="R171" i="25"/>
  <c r="R195" i="25"/>
  <c r="R267" i="25"/>
  <c r="R283" i="25"/>
  <c r="R307" i="25"/>
  <c r="R347" i="25"/>
  <c r="R435" i="25"/>
  <c r="R531" i="25"/>
  <c r="R555" i="25"/>
  <c r="R36" i="25"/>
  <c r="R80" i="25"/>
  <c r="R84" i="25"/>
  <c r="R108" i="25"/>
  <c r="R168" i="25"/>
  <c r="R192" i="25"/>
  <c r="R208" i="25"/>
  <c r="R248" i="25"/>
  <c r="R276" i="25"/>
  <c r="R292" i="25"/>
  <c r="R336" i="25"/>
  <c r="R388" i="25"/>
  <c r="R408" i="25"/>
  <c r="R448" i="25"/>
  <c r="R484" i="25"/>
  <c r="R504" i="25"/>
  <c r="R536" i="25"/>
  <c r="R576" i="25"/>
  <c r="R5" i="25"/>
  <c r="R13" i="25"/>
  <c r="R189" i="25"/>
  <c r="R205" i="25"/>
  <c r="R301" i="25"/>
  <c r="R381" i="25"/>
  <c r="K41" i="7"/>
  <c r="AS41" i="7" s="1"/>
  <c r="AY41" i="7" s="1"/>
  <c r="F41" i="25"/>
  <c r="K175" i="7"/>
  <c r="F175" i="25"/>
  <c r="K550" i="7"/>
  <c r="AS550" i="7" s="1"/>
  <c r="AY550" i="7" s="1"/>
  <c r="F550" i="25"/>
  <c r="K596" i="7"/>
  <c r="AJ596" i="7" s="1"/>
  <c r="F596" i="25"/>
  <c r="K267" i="7"/>
  <c r="AS267" i="7" s="1"/>
  <c r="AY267" i="7" s="1"/>
  <c r="F267" i="25"/>
  <c r="K141" i="7"/>
  <c r="F141" i="25"/>
  <c r="AF141" i="25" s="1"/>
  <c r="K124" i="7"/>
  <c r="AS124" i="7" s="1"/>
  <c r="AY124" i="7" s="1"/>
  <c r="F124" i="25"/>
  <c r="K429" i="7"/>
  <c r="AS429" i="7" s="1"/>
  <c r="AY429" i="7" s="1"/>
  <c r="F429" i="25"/>
  <c r="K440" i="7"/>
  <c r="AJ440" i="7" s="1"/>
  <c r="F440" i="25"/>
  <c r="K115" i="7"/>
  <c r="AS115" i="7" s="1"/>
  <c r="AY115" i="7" s="1"/>
  <c r="F115" i="25"/>
  <c r="K418" i="7"/>
  <c r="F418" i="25"/>
  <c r="AF418" i="25" s="1"/>
  <c r="K520" i="7"/>
  <c r="F520" i="25"/>
  <c r="K168" i="7"/>
  <c r="AJ168" i="7" s="1"/>
  <c r="F168" i="25"/>
  <c r="K34" i="7"/>
  <c r="F34" i="25"/>
  <c r="K352" i="7"/>
  <c r="F352" i="25"/>
  <c r="AF352" i="25" s="1"/>
  <c r="K428" i="7"/>
  <c r="F428" i="25"/>
  <c r="AF428" i="25" s="1"/>
  <c r="K311" i="7"/>
  <c r="AJ311" i="7" s="1"/>
  <c r="F311" i="25"/>
  <c r="K443" i="7"/>
  <c r="AJ443" i="7" s="1"/>
  <c r="F443" i="25"/>
  <c r="K546" i="7"/>
  <c r="AJ546" i="7" s="1"/>
  <c r="F546" i="25"/>
  <c r="K194" i="7"/>
  <c r="F194" i="25"/>
  <c r="AF194" i="25" s="1"/>
  <c r="K394" i="7"/>
  <c r="AJ394" i="7" s="1"/>
  <c r="F394" i="25"/>
  <c r="K169" i="7"/>
  <c r="F169" i="25"/>
  <c r="K18" i="7"/>
  <c r="AS18" i="7" s="1"/>
  <c r="AY18" i="7" s="1"/>
  <c r="F18" i="25"/>
  <c r="K259" i="7"/>
  <c r="AS259" i="7" s="1"/>
  <c r="AY259" i="7" s="1"/>
  <c r="F259" i="25"/>
  <c r="K248" i="7"/>
  <c r="AS248" i="7" s="1"/>
  <c r="AY248" i="7" s="1"/>
  <c r="F248" i="25"/>
  <c r="K542" i="7"/>
  <c r="F542" i="25"/>
  <c r="K258" i="7"/>
  <c r="F258" i="25"/>
  <c r="K109" i="7"/>
  <c r="AS109" i="7" s="1"/>
  <c r="AY109" i="7" s="1"/>
  <c r="F109" i="25"/>
  <c r="K512" i="7"/>
  <c r="AJ512" i="7" s="1"/>
  <c r="F512" i="25"/>
  <c r="K81" i="7"/>
  <c r="AS81" i="7" s="1"/>
  <c r="AY81" i="7" s="1"/>
  <c r="F81" i="25"/>
  <c r="K203" i="7"/>
  <c r="AS203" i="7" s="1"/>
  <c r="AY203" i="7" s="1"/>
  <c r="F203" i="25"/>
  <c r="AF203" i="25" s="1"/>
  <c r="K305" i="7"/>
  <c r="F305" i="25"/>
  <c r="K281" i="7"/>
  <c r="AS281" i="7" s="1"/>
  <c r="AY281" i="7" s="1"/>
  <c r="F281" i="25"/>
  <c r="K223" i="7"/>
  <c r="AS223" i="7" s="1"/>
  <c r="AY223" i="7" s="1"/>
  <c r="F223" i="25"/>
  <c r="AF223" i="25" s="1"/>
  <c r="K580" i="7"/>
  <c r="AS580" i="7" s="1"/>
  <c r="AY580" i="7" s="1"/>
  <c r="F580" i="25"/>
  <c r="K33" i="7"/>
  <c r="F33" i="25"/>
  <c r="K19" i="7"/>
  <c r="AS19" i="7" s="1"/>
  <c r="AY19" i="7" s="1"/>
  <c r="F19" i="25"/>
  <c r="AF19" i="25" s="1"/>
  <c r="K42" i="7"/>
  <c r="AS42" i="7" s="1"/>
  <c r="AY42" i="7" s="1"/>
  <c r="F42" i="25"/>
  <c r="AF42" i="25" s="1"/>
  <c r="K321" i="7"/>
  <c r="AJ321" i="7" s="1"/>
  <c r="F321" i="25"/>
  <c r="K184" i="7"/>
  <c r="F184" i="25"/>
  <c r="AF184" i="25" s="1"/>
  <c r="V196" i="7"/>
  <c r="D196" i="25"/>
  <c r="K61" i="7"/>
  <c r="AJ61" i="7" s="1"/>
  <c r="F61" i="25"/>
  <c r="AF61" i="25" s="1"/>
  <c r="K190" i="7"/>
  <c r="AJ190" i="7" s="1"/>
  <c r="F190" i="25"/>
  <c r="K362" i="7"/>
  <c r="F362" i="25"/>
  <c r="K467" i="7"/>
  <c r="F467" i="25"/>
  <c r="K551" i="7"/>
  <c r="F551" i="25"/>
  <c r="K275" i="7"/>
  <c r="AS275" i="7" s="1"/>
  <c r="AY275" i="7" s="1"/>
  <c r="F275" i="25"/>
  <c r="K312" i="7"/>
  <c r="F312" i="25"/>
  <c r="AF312" i="25" s="1"/>
  <c r="K43" i="7"/>
  <c r="F43" i="25"/>
  <c r="K397" i="7"/>
  <c r="F397" i="25"/>
  <c r="K560" i="7"/>
  <c r="F560" i="25"/>
  <c r="K56" i="7"/>
  <c r="F56" i="25"/>
  <c r="K431" i="7"/>
  <c r="AJ431" i="7" s="1"/>
  <c r="F431" i="25"/>
  <c r="W171" i="7"/>
  <c r="D171" i="25"/>
  <c r="V219" i="7"/>
  <c r="D219" i="25"/>
  <c r="K437" i="7"/>
  <c r="AJ437" i="7" s="1"/>
  <c r="F437" i="25"/>
  <c r="V400" i="7"/>
  <c r="D400" i="25"/>
  <c r="W468" i="7"/>
  <c r="D468" i="25"/>
  <c r="W145" i="7"/>
  <c r="D145" i="25"/>
  <c r="W291" i="7"/>
  <c r="D291" i="25"/>
  <c r="W289" i="7"/>
  <c r="D289" i="25"/>
  <c r="W27" i="7"/>
  <c r="D27" i="25"/>
  <c r="V262" i="7"/>
  <c r="D262" i="25"/>
  <c r="W154" i="7"/>
  <c r="D154" i="25"/>
  <c r="V565" i="7"/>
  <c r="D565" i="25"/>
  <c r="V93" i="7"/>
  <c r="D93" i="25"/>
  <c r="W161" i="7"/>
  <c r="D161" i="25"/>
  <c r="W116" i="7"/>
  <c r="D116" i="25"/>
  <c r="V283" i="7"/>
  <c r="D283" i="25"/>
  <c r="K101" i="7"/>
  <c r="AJ101" i="7" s="1"/>
  <c r="F101" i="25"/>
  <c r="K9" i="7"/>
  <c r="F9" i="25"/>
  <c r="V445" i="7"/>
  <c r="D445" i="25"/>
  <c r="AB293" i="7"/>
  <c r="AK293" i="7" s="1"/>
  <c r="R293" i="25"/>
  <c r="V520" i="7"/>
  <c r="D520" i="25"/>
  <c r="W157" i="7"/>
  <c r="D157" i="25"/>
  <c r="V450" i="7"/>
  <c r="D450" i="25"/>
  <c r="V70" i="7"/>
  <c r="D70" i="25"/>
  <c r="W176" i="7"/>
  <c r="D176" i="25"/>
  <c r="W593" i="7"/>
  <c r="D593" i="25"/>
  <c r="W290" i="7"/>
  <c r="D290" i="25"/>
  <c r="V344" i="7"/>
  <c r="D344" i="25"/>
  <c r="V359" i="7"/>
  <c r="D359" i="25"/>
  <c r="V578" i="7"/>
  <c r="D578" i="25"/>
  <c r="V41" i="7"/>
  <c r="D41" i="25"/>
  <c r="V373" i="7"/>
  <c r="D373" i="25"/>
  <c r="V481" i="7"/>
  <c r="D481" i="25"/>
  <c r="V559" i="7"/>
  <c r="D559" i="25"/>
  <c r="V86" i="7"/>
  <c r="D86" i="25"/>
  <c r="V431" i="7"/>
  <c r="D431" i="25"/>
  <c r="V293" i="7"/>
  <c r="D293" i="25"/>
  <c r="K174" i="7"/>
  <c r="AJ174" i="7" s="1"/>
  <c r="F174" i="25"/>
  <c r="K359" i="7"/>
  <c r="F359" i="25"/>
  <c r="AF359" i="25" s="1"/>
  <c r="K29" i="7"/>
  <c r="AJ29" i="7" s="1"/>
  <c r="F29" i="25"/>
  <c r="K162" i="7"/>
  <c r="AJ162" i="7" s="1"/>
  <c r="F162" i="25"/>
  <c r="AF162" i="25" s="1"/>
  <c r="K238" i="7"/>
  <c r="AJ238" i="7" s="1"/>
  <c r="F238" i="25"/>
  <c r="K254" i="7"/>
  <c r="F254" i="25"/>
  <c r="K126" i="7"/>
  <c r="F126" i="25"/>
  <c r="K538" i="7"/>
  <c r="F538" i="25"/>
  <c r="K357" i="7"/>
  <c r="F357" i="25"/>
  <c r="K268" i="7"/>
  <c r="F268" i="25"/>
  <c r="AF268" i="25" s="1"/>
  <c r="K591" i="7"/>
  <c r="AS591" i="7" s="1"/>
  <c r="AY591" i="7" s="1"/>
  <c r="F591" i="25"/>
  <c r="K227" i="7"/>
  <c r="AS227" i="7" s="1"/>
  <c r="F227" i="25"/>
  <c r="K332" i="7"/>
  <c r="AS332" i="7" s="1"/>
  <c r="AY332" i="7" s="1"/>
  <c r="F332" i="25"/>
  <c r="AF332" i="25" s="1"/>
  <c r="K247" i="7"/>
  <c r="AS247" i="7" s="1"/>
  <c r="F247" i="25"/>
  <c r="AF247" i="25" s="1"/>
  <c r="K302" i="7"/>
  <c r="AJ302" i="7" s="1"/>
  <c r="F302" i="25"/>
  <c r="K276" i="7"/>
  <c r="F276" i="25"/>
  <c r="K242" i="7"/>
  <c r="AS242" i="7" s="1"/>
  <c r="AY242" i="7" s="1"/>
  <c r="F242" i="25"/>
  <c r="AF242" i="25" s="1"/>
  <c r="K16" i="7"/>
  <c r="AS16" i="7" s="1"/>
  <c r="AY16" i="7" s="1"/>
  <c r="F16" i="25"/>
  <c r="K491" i="7"/>
  <c r="AS491" i="7" s="1"/>
  <c r="AY491" i="7" s="1"/>
  <c r="F491" i="25"/>
  <c r="K179" i="7"/>
  <c r="F179" i="25"/>
  <c r="AF179" i="25" s="1"/>
  <c r="K476" i="7"/>
  <c r="AS476" i="7" s="1"/>
  <c r="AY476" i="7" s="1"/>
  <c r="F476" i="25"/>
  <c r="AF476" i="25" s="1"/>
  <c r="K556" i="7"/>
  <c r="F556" i="25"/>
  <c r="K256" i="7"/>
  <c r="F256" i="25"/>
  <c r="K448" i="7"/>
  <c r="AS448" i="7" s="1"/>
  <c r="AY448" i="7" s="1"/>
  <c r="F448" i="25"/>
  <c r="K472" i="7"/>
  <c r="F472" i="25"/>
  <c r="K585" i="7"/>
  <c r="F585" i="25"/>
  <c r="AF585" i="25" s="1"/>
  <c r="K356" i="7"/>
  <c r="AS356" i="7" s="1"/>
  <c r="AY356" i="7" s="1"/>
  <c r="F356" i="25"/>
  <c r="K271" i="7"/>
  <c r="AS271" i="7" s="1"/>
  <c r="F271" i="25"/>
  <c r="AF271" i="25" s="1"/>
  <c r="K482" i="7"/>
  <c r="F482" i="25"/>
  <c r="AF482" i="25" s="1"/>
  <c r="K345" i="7"/>
  <c r="AJ345" i="7" s="1"/>
  <c r="F345" i="25"/>
  <c r="AF345" i="25" s="1"/>
  <c r="K368" i="7"/>
  <c r="AJ368" i="7" s="1"/>
  <c r="F368" i="25"/>
  <c r="K199" i="7"/>
  <c r="AS199" i="7" s="1"/>
  <c r="F199" i="25"/>
  <c r="AF199" i="25" s="1"/>
  <c r="K419" i="7"/>
  <c r="F419" i="25"/>
  <c r="AF419" i="25" s="1"/>
  <c r="K35" i="7"/>
  <c r="F35" i="25"/>
  <c r="K402" i="7"/>
  <c r="AS402" i="7" s="1"/>
  <c r="AY402" i="7" s="1"/>
  <c r="F402" i="25"/>
  <c r="K290" i="7"/>
  <c r="F290" i="25"/>
  <c r="K488" i="7"/>
  <c r="AJ488" i="7" s="1"/>
  <c r="F488" i="25"/>
  <c r="K385" i="7"/>
  <c r="AS385" i="7" s="1"/>
  <c r="AY385" i="7" s="1"/>
  <c r="F385" i="25"/>
  <c r="K379" i="7"/>
  <c r="AS379" i="7" s="1"/>
  <c r="F379" i="25"/>
  <c r="K558" i="7"/>
  <c r="F558" i="25"/>
  <c r="K47" i="7"/>
  <c r="F47" i="25"/>
  <c r="AF47" i="25" s="1"/>
  <c r="K477" i="7"/>
  <c r="F477" i="25"/>
  <c r="AF477" i="25" s="1"/>
  <c r="K572" i="7"/>
  <c r="AS572" i="7" s="1"/>
  <c r="F572" i="25"/>
  <c r="AF572" i="25" s="1"/>
  <c r="K450" i="7"/>
  <c r="AS450" i="7" s="1"/>
  <c r="AY450" i="7" s="1"/>
  <c r="F450" i="25"/>
  <c r="K123" i="7"/>
  <c r="AS123" i="7" s="1"/>
  <c r="AY123" i="7" s="1"/>
  <c r="F123" i="25"/>
  <c r="K134" i="7"/>
  <c r="AS134" i="7" s="1"/>
  <c r="AY134" i="7" s="1"/>
  <c r="F134" i="25"/>
  <c r="K547" i="7"/>
  <c r="AJ547" i="7" s="1"/>
  <c r="F547" i="25"/>
  <c r="K404" i="7"/>
  <c r="F404" i="25"/>
  <c r="K140" i="7"/>
  <c r="AS140" i="7" s="1"/>
  <c r="F140" i="25"/>
  <c r="K549" i="7"/>
  <c r="AS549" i="7" s="1"/>
  <c r="AY549" i="7" s="1"/>
  <c r="F549" i="25"/>
  <c r="K28" i="7"/>
  <c r="AS28" i="7" s="1"/>
  <c r="AY28" i="7" s="1"/>
  <c r="F28" i="25"/>
  <c r="K518" i="7"/>
  <c r="F518" i="25"/>
  <c r="K7" i="7"/>
  <c r="AS7" i="7" s="1"/>
  <c r="AY7" i="7" s="1"/>
  <c r="F7" i="25"/>
  <c r="AF7" i="25" s="1"/>
  <c r="K130" i="7"/>
  <c r="F130" i="25"/>
  <c r="AF130" i="25" s="1"/>
  <c r="K543" i="7"/>
  <c r="AJ543" i="7" s="1"/>
  <c r="F543" i="25"/>
  <c r="K105" i="7"/>
  <c r="F105" i="25"/>
  <c r="K107" i="7"/>
  <c r="F107" i="25"/>
  <c r="W339" i="7"/>
  <c r="D339" i="25"/>
  <c r="V230" i="7"/>
  <c r="D230" i="25"/>
  <c r="W189" i="7"/>
  <c r="D189" i="25"/>
  <c r="W443" i="7"/>
  <c r="D443" i="25"/>
  <c r="V186" i="7"/>
  <c r="D186" i="25"/>
  <c r="W546" i="7"/>
  <c r="D546" i="25"/>
  <c r="V532" i="7"/>
  <c r="D532" i="25"/>
  <c r="V330" i="7"/>
  <c r="D330" i="25"/>
  <c r="W328" i="7"/>
  <c r="D328" i="25"/>
  <c r="W194" i="7"/>
  <c r="D194" i="25"/>
  <c r="V554" i="7"/>
  <c r="D554" i="25"/>
  <c r="V384" i="7"/>
  <c r="D384" i="25"/>
  <c r="V394" i="7"/>
  <c r="D394" i="25"/>
  <c r="V347" i="7"/>
  <c r="D347" i="25"/>
  <c r="W435" i="7"/>
  <c r="D435" i="25"/>
  <c r="V169" i="7"/>
  <c r="D169" i="25"/>
  <c r="W182" i="7"/>
  <c r="D182" i="25"/>
  <c r="W22" i="7"/>
  <c r="D22" i="25"/>
  <c r="W504" i="7"/>
  <c r="D504" i="25"/>
  <c r="V18" i="7"/>
  <c r="D18" i="25"/>
  <c r="W212" i="7"/>
  <c r="D212" i="25"/>
  <c r="V364" i="7"/>
  <c r="D364" i="25"/>
  <c r="V259" i="7"/>
  <c r="D259" i="25"/>
  <c r="V390" i="7"/>
  <c r="D390" i="25"/>
  <c r="W447" i="7"/>
  <c r="D447" i="25"/>
  <c r="W248" i="7"/>
  <c r="D248" i="25"/>
  <c r="W455" i="7"/>
  <c r="D455" i="25"/>
  <c r="V23" i="7"/>
  <c r="D23" i="25"/>
  <c r="W265" i="7"/>
  <c r="D265" i="25"/>
  <c r="V588" i="7"/>
  <c r="D588" i="25"/>
  <c r="V542" i="7"/>
  <c r="D542" i="25"/>
  <c r="W21" i="7"/>
  <c r="D21" i="25"/>
  <c r="V250" i="7"/>
  <c r="D250" i="25"/>
  <c r="W258" i="7"/>
  <c r="D258" i="25"/>
  <c r="W200" i="7"/>
  <c r="D200" i="25"/>
  <c r="W118" i="7"/>
  <c r="D118" i="25"/>
  <c r="V240" i="7"/>
  <c r="D240" i="25"/>
  <c r="W109" i="7"/>
  <c r="D109" i="25"/>
  <c r="W195" i="7"/>
  <c r="D195" i="25"/>
  <c r="W512" i="7"/>
  <c r="D512" i="25"/>
  <c r="W52" i="7"/>
  <c r="D52" i="25"/>
  <c r="V361" i="7"/>
  <c r="D361" i="25"/>
  <c r="W81" i="7"/>
  <c r="D81" i="25"/>
  <c r="W14" i="7"/>
  <c r="D14" i="25"/>
  <c r="V54" i="7"/>
  <c r="D54" i="25"/>
  <c r="V203" i="7"/>
  <c r="D203" i="25"/>
  <c r="V436" i="7"/>
  <c r="D436" i="25"/>
  <c r="V503" i="7"/>
  <c r="D503" i="25"/>
  <c r="W316" i="7"/>
  <c r="D316" i="25"/>
  <c r="W305" i="7"/>
  <c r="D305" i="25"/>
  <c r="W478" i="7"/>
  <c r="D478" i="25"/>
  <c r="W222" i="7"/>
  <c r="D222" i="25"/>
  <c r="W281" i="7"/>
  <c r="D281" i="25"/>
  <c r="V156" i="7"/>
  <c r="D156" i="25"/>
  <c r="W223" i="7"/>
  <c r="D223" i="25"/>
  <c r="W278" i="7"/>
  <c r="D278" i="25"/>
  <c r="W125" i="7"/>
  <c r="D125" i="25"/>
  <c r="W133" i="7"/>
  <c r="D133" i="25"/>
  <c r="V407" i="7"/>
  <c r="D407" i="25"/>
  <c r="K86" i="7"/>
  <c r="AS86" i="7" s="1"/>
  <c r="AY86" i="7" s="1"/>
  <c r="F86" i="25"/>
  <c r="AF86" i="25" s="1"/>
  <c r="V313" i="7"/>
  <c r="D313" i="25"/>
  <c r="W117" i="7"/>
  <c r="D117" i="25"/>
  <c r="V33" i="7"/>
  <c r="D33" i="25"/>
  <c r="W38" i="7"/>
  <c r="D38" i="25"/>
  <c r="W19" i="7"/>
  <c r="D19" i="25"/>
  <c r="V216" i="7"/>
  <c r="D216" i="25"/>
  <c r="V211" i="7"/>
  <c r="D211" i="25"/>
  <c r="W569" i="7"/>
  <c r="D569" i="25"/>
  <c r="W42" i="7"/>
  <c r="D42" i="25"/>
  <c r="V274" i="7"/>
  <c r="D274" i="25"/>
  <c r="V40" i="7"/>
  <c r="D40" i="25"/>
  <c r="V321" i="7"/>
  <c r="D321" i="25"/>
  <c r="V229" i="7"/>
  <c r="D229" i="25"/>
  <c r="W266" i="7"/>
  <c r="D266" i="25"/>
  <c r="V184" i="7"/>
  <c r="D184" i="25"/>
  <c r="V324" i="7"/>
  <c r="D324" i="25"/>
  <c r="W493" i="7"/>
  <c r="D493" i="25"/>
  <c r="K196" i="7"/>
  <c r="AJ196" i="7" s="1"/>
  <c r="F196" i="25"/>
  <c r="AF196" i="25" s="1"/>
  <c r="W198" i="7"/>
  <c r="D198" i="25"/>
  <c r="W406" i="7"/>
  <c r="D406" i="25"/>
  <c r="W61" i="7"/>
  <c r="D61" i="25"/>
  <c r="W372" i="7"/>
  <c r="D372" i="25"/>
  <c r="W79" i="7"/>
  <c r="D79" i="25"/>
  <c r="W190" i="7"/>
  <c r="D190" i="25"/>
  <c r="V183" i="7"/>
  <c r="D183" i="25"/>
  <c r="K492" i="7"/>
  <c r="AS492" i="7" s="1"/>
  <c r="AY492" i="7" s="1"/>
  <c r="F492" i="25"/>
  <c r="AF492" i="25" s="1"/>
  <c r="V362" i="7"/>
  <c r="D362" i="25"/>
  <c r="W67" i="7"/>
  <c r="D67" i="25"/>
  <c r="V301" i="7"/>
  <c r="D301" i="25"/>
  <c r="W467" i="7"/>
  <c r="D467" i="25"/>
  <c r="V159" i="7"/>
  <c r="D159" i="25"/>
  <c r="W333" i="7"/>
  <c r="D333" i="25"/>
  <c r="W551" i="7"/>
  <c r="D551" i="25"/>
  <c r="K135" i="7"/>
  <c r="AJ135" i="7" s="1"/>
  <c r="F135" i="25"/>
  <c r="V44" i="7"/>
  <c r="D44" i="25"/>
  <c r="V275" i="7"/>
  <c r="D275" i="25"/>
  <c r="W420" i="7"/>
  <c r="D420" i="25"/>
  <c r="V32" i="7"/>
  <c r="D32" i="25"/>
  <c r="V508" i="7"/>
  <c r="D508" i="25"/>
  <c r="V312" i="7"/>
  <c r="D312" i="25"/>
  <c r="W432" i="7"/>
  <c r="D432" i="25"/>
  <c r="K245" i="7"/>
  <c r="AS245" i="7" s="1"/>
  <c r="AY245" i="7" s="1"/>
  <c r="F245" i="25"/>
  <c r="AF245" i="25" s="1"/>
  <c r="V43" i="7"/>
  <c r="D43" i="25"/>
  <c r="W237" i="7"/>
  <c r="D237" i="25"/>
  <c r="W365" i="7"/>
  <c r="D365" i="25"/>
  <c r="V397" i="7"/>
  <c r="D397" i="25"/>
  <c r="W221" i="7"/>
  <c r="D221" i="25"/>
  <c r="W296" i="7"/>
  <c r="D296" i="25"/>
  <c r="V560" i="7"/>
  <c r="D560" i="25"/>
  <c r="V55" i="7"/>
  <c r="D55" i="25"/>
  <c r="V382" i="7"/>
  <c r="D382" i="25"/>
  <c r="W56" i="7"/>
  <c r="D56" i="25"/>
  <c r="W378" i="7"/>
  <c r="D378" i="25"/>
  <c r="K173" i="7"/>
  <c r="AS173" i="7" s="1"/>
  <c r="F173" i="25"/>
  <c r="K548" i="7"/>
  <c r="F548" i="25"/>
  <c r="K286" i="7"/>
  <c r="AS286" i="7" s="1"/>
  <c r="AY286" i="7" s="1"/>
  <c r="F286" i="25"/>
  <c r="K303" i="7"/>
  <c r="AS303" i="7" s="1"/>
  <c r="AY303" i="7" s="1"/>
  <c r="F303" i="25"/>
  <c r="K172" i="7"/>
  <c r="F172" i="25"/>
  <c r="AF172" i="25" s="1"/>
  <c r="K148" i="7"/>
  <c r="F148" i="25"/>
  <c r="K398" i="7"/>
  <c r="AS398" i="7" s="1"/>
  <c r="AY398" i="7" s="1"/>
  <c r="F398" i="25"/>
  <c r="K137" i="7"/>
  <c r="F137" i="25"/>
  <c r="K586" i="7"/>
  <c r="AS586" i="7" s="1"/>
  <c r="AY586" i="7" s="1"/>
  <c r="F586" i="25"/>
  <c r="K386" i="7"/>
  <c r="AS386" i="7" s="1"/>
  <c r="AY386" i="7" s="1"/>
  <c r="F386" i="25"/>
  <c r="K191" i="7"/>
  <c r="F191" i="25"/>
  <c r="K251" i="7"/>
  <c r="AS251" i="7" s="1"/>
  <c r="AY251" i="7" s="1"/>
  <c r="F251" i="25"/>
  <c r="AF251" i="25" s="1"/>
  <c r="K243" i="7"/>
  <c r="AS243" i="7" s="1"/>
  <c r="AY243" i="7" s="1"/>
  <c r="F243" i="25"/>
  <c r="AF243" i="25" s="1"/>
  <c r="K46" i="7"/>
  <c r="F46" i="25"/>
  <c r="AF46" i="25" s="1"/>
  <c r="K295" i="7"/>
  <c r="AJ295" i="7" s="1"/>
  <c r="F295" i="25"/>
  <c r="K255" i="7"/>
  <c r="AS255" i="7" s="1"/>
  <c r="AY255" i="7" s="1"/>
  <c r="F255" i="25"/>
  <c r="K453" i="7"/>
  <c r="AS453" i="7" s="1"/>
  <c r="F453" i="25"/>
  <c r="K346" i="7"/>
  <c r="AS346" i="7" s="1"/>
  <c r="AY346" i="7" s="1"/>
  <c r="F346" i="25"/>
  <c r="K300" i="7"/>
  <c r="AJ300" i="7" s="1"/>
  <c r="F300" i="25"/>
  <c r="K399" i="7"/>
  <c r="AS399" i="7" s="1"/>
  <c r="AY399" i="7" s="1"/>
  <c r="F399" i="25"/>
  <c r="K581" i="7"/>
  <c r="AS581" i="7" s="1"/>
  <c r="F581" i="25"/>
  <c r="K575" i="7"/>
  <c r="AS575" i="7" s="1"/>
  <c r="AY575" i="7" s="1"/>
  <c r="F575" i="25"/>
  <c r="K136" i="7"/>
  <c r="AJ136" i="7" s="1"/>
  <c r="F136" i="25"/>
  <c r="AF136" i="25" s="1"/>
  <c r="K342" i="7"/>
  <c r="F342" i="25"/>
  <c r="K460" i="7"/>
  <c r="AS460" i="7" s="1"/>
  <c r="AY460" i="7" s="1"/>
  <c r="F460" i="25"/>
  <c r="K395" i="7"/>
  <c r="F395" i="25"/>
  <c r="K523" i="7"/>
  <c r="AJ523" i="7" s="1"/>
  <c r="F523" i="25"/>
  <c r="AF523" i="25" s="1"/>
  <c r="K57" i="7"/>
  <c r="AJ57" i="7" s="1"/>
  <c r="F57" i="25"/>
  <c r="AF57" i="25" s="1"/>
  <c r="K410" i="7"/>
  <c r="AJ410" i="7" s="1"/>
  <c r="F410" i="25"/>
  <c r="K502" i="7"/>
  <c r="AS502" i="7" s="1"/>
  <c r="AY502" i="7" s="1"/>
  <c r="F502" i="25"/>
  <c r="K415" i="7"/>
  <c r="AS415" i="7" s="1"/>
  <c r="AY415" i="7" s="1"/>
  <c r="F415" i="25"/>
  <c r="K348" i="7"/>
  <c r="AS348" i="7" s="1"/>
  <c r="AY348" i="7" s="1"/>
  <c r="F348" i="25"/>
  <c r="K325" i="7"/>
  <c r="AJ325" i="7" s="1"/>
  <c r="F325" i="25"/>
  <c r="AF325" i="25" s="1"/>
  <c r="K391" i="7"/>
  <c r="F391" i="25"/>
  <c r="K160" i="7"/>
  <c r="AS160" i="7" s="1"/>
  <c r="AY160" i="7" s="1"/>
  <c r="F160" i="25"/>
  <c r="AF160" i="25" s="1"/>
  <c r="K545" i="7"/>
  <c r="AS545" i="7" s="1"/>
  <c r="AY545" i="7" s="1"/>
  <c r="F545" i="25"/>
  <c r="K457" i="7"/>
  <c r="AS457" i="7" s="1"/>
  <c r="AY457" i="7" s="1"/>
  <c r="F457" i="25"/>
  <c r="K351" i="7"/>
  <c r="AS351" i="7" s="1"/>
  <c r="AY351" i="7" s="1"/>
  <c r="F351" i="25"/>
  <c r="K197" i="7"/>
  <c r="AJ197" i="7" s="1"/>
  <c r="F197" i="25"/>
  <c r="K483" i="7"/>
  <c r="F483" i="25"/>
  <c r="AF483" i="25" s="1"/>
  <c r="K471" i="7"/>
  <c r="AS471" i="7" s="1"/>
  <c r="AY471" i="7" s="1"/>
  <c r="F471" i="25"/>
  <c r="K408" i="7"/>
  <c r="AS408" i="7" s="1"/>
  <c r="AY408" i="7" s="1"/>
  <c r="F408" i="25"/>
  <c r="K208" i="7"/>
  <c r="AS208" i="7" s="1"/>
  <c r="AY208" i="7" s="1"/>
  <c r="F208" i="25"/>
  <c r="K103" i="7"/>
  <c r="F103" i="25"/>
  <c r="K30" i="7"/>
  <c r="F30" i="25"/>
  <c r="K257" i="7"/>
  <c r="F257" i="25"/>
  <c r="AF257" i="25" s="1"/>
  <c r="K353" i="7"/>
  <c r="F353" i="25"/>
  <c r="AF353" i="25" s="1"/>
  <c r="K8" i="7"/>
  <c r="F8" i="25"/>
  <c r="K185" i="7"/>
  <c r="F185" i="25"/>
  <c r="K147" i="7"/>
  <c r="AS147" i="7" s="1"/>
  <c r="AY147" i="7" s="1"/>
  <c r="F147" i="25"/>
  <c r="AF147" i="25" s="1"/>
  <c r="K490" i="7"/>
  <c r="AJ490" i="7" s="1"/>
  <c r="F490" i="25"/>
  <c r="K509" i="7"/>
  <c r="F509" i="25"/>
  <c r="K534" i="7"/>
  <c r="F534" i="25"/>
  <c r="AF534" i="25" s="1"/>
  <c r="K73" i="7"/>
  <c r="AS73" i="7" s="1"/>
  <c r="AY73" i="7" s="1"/>
  <c r="F73" i="25"/>
  <c r="K304" i="7"/>
  <c r="AJ304" i="7" s="1"/>
  <c r="F304" i="25"/>
  <c r="AF304" i="25" s="1"/>
  <c r="K487" i="7"/>
  <c r="F487" i="25"/>
  <c r="K396" i="7"/>
  <c r="AJ396" i="7" s="1"/>
  <c r="F396" i="25"/>
  <c r="K4" i="7"/>
  <c r="AJ4" i="7" s="1"/>
  <c r="F4" i="25"/>
  <c r="AF4" i="25" s="1"/>
  <c r="K236" i="7"/>
  <c r="AS236" i="7" s="1"/>
  <c r="AY236" i="7" s="1"/>
  <c r="F236" i="25"/>
  <c r="K180" i="7"/>
  <c r="AS180" i="7" s="1"/>
  <c r="AY180" i="7" s="1"/>
  <c r="F180" i="25"/>
  <c r="K456" i="7"/>
  <c r="AJ456" i="7" s="1"/>
  <c r="F456" i="25"/>
  <c r="AF456" i="25" s="1"/>
  <c r="K507" i="7"/>
  <c r="AS507" i="7" s="1"/>
  <c r="AY507" i="7" s="1"/>
  <c r="F507" i="25"/>
  <c r="AB78" i="7"/>
  <c r="AK78" i="7" s="1"/>
  <c r="R78" i="25"/>
  <c r="AB158" i="7"/>
  <c r="AK158" i="7" s="1"/>
  <c r="R158" i="25"/>
  <c r="AB119" i="7"/>
  <c r="AK119" i="7" s="1"/>
  <c r="R119" i="25"/>
  <c r="AB273" i="7"/>
  <c r="AK273" i="7" s="1"/>
  <c r="R273" i="25"/>
  <c r="AB473" i="7"/>
  <c r="AK473" i="7" s="1"/>
  <c r="R473" i="25"/>
  <c r="AB567" i="7"/>
  <c r="R567" i="25"/>
  <c r="AB140" i="7"/>
  <c r="AK140" i="7" s="1"/>
  <c r="R140" i="25"/>
  <c r="AB430" i="7"/>
  <c r="AK430" i="7" s="1"/>
  <c r="R430" i="25"/>
  <c r="AB549" i="7"/>
  <c r="AK549" i="7" s="1"/>
  <c r="R549" i="25"/>
  <c r="AB231" i="7"/>
  <c r="AK231" i="7" s="1"/>
  <c r="R231" i="25"/>
  <c r="AB101" i="7"/>
  <c r="AK101" i="7" s="1"/>
  <c r="R101" i="25"/>
  <c r="AB37" i="7"/>
  <c r="AK37" i="7" s="1"/>
  <c r="R37" i="25"/>
  <c r="AB556" i="7"/>
  <c r="AK556" i="7" s="1"/>
  <c r="R556" i="25"/>
  <c r="AB236" i="7"/>
  <c r="AK236" i="7" s="1"/>
  <c r="R236" i="25"/>
  <c r="AB561" i="7"/>
  <c r="AK561" i="7" s="1"/>
  <c r="R561" i="25"/>
  <c r="AB97" i="7"/>
  <c r="AK97" i="7" s="1"/>
  <c r="R97" i="25"/>
  <c r="AB405" i="7"/>
  <c r="AK405" i="7" s="1"/>
  <c r="R405" i="25"/>
  <c r="AB463" i="7"/>
  <c r="AK463" i="7" s="1"/>
  <c r="R463" i="25"/>
  <c r="AB485" i="7"/>
  <c r="AK485" i="7" s="1"/>
  <c r="R485" i="25"/>
  <c r="AB9" i="7"/>
  <c r="R9" i="25"/>
  <c r="AB277" i="7"/>
  <c r="AK277" i="7" s="1"/>
  <c r="R277" i="25"/>
  <c r="AB558" i="7"/>
  <c r="AK558" i="7" s="1"/>
  <c r="R558" i="25"/>
  <c r="AB254" i="7"/>
  <c r="AK254" i="7" s="1"/>
  <c r="R254" i="25"/>
  <c r="AB165" i="7"/>
  <c r="AK165" i="7" s="1"/>
  <c r="R165" i="25"/>
  <c r="AB126" i="7"/>
  <c r="AK126" i="7" s="1"/>
  <c r="R126" i="25"/>
  <c r="AB149" i="7"/>
  <c r="AK149" i="7" s="1"/>
  <c r="R149" i="25"/>
  <c r="AB538" i="7"/>
  <c r="R538" i="25"/>
  <c r="AB357" i="7"/>
  <c r="R357" i="25"/>
  <c r="AB465" i="7"/>
  <c r="AK465" i="7" s="1"/>
  <c r="R465" i="25"/>
  <c r="AB506" i="7"/>
  <c r="R506" i="25"/>
  <c r="AB110" i="7"/>
  <c r="AK110" i="7" s="1"/>
  <c r="R110" i="25"/>
  <c r="AB17" i="7"/>
  <c r="AK17" i="7" s="1"/>
  <c r="R17" i="25"/>
  <c r="AB570" i="7"/>
  <c r="AK570" i="7" s="1"/>
  <c r="R570" i="25"/>
  <c r="AB551" i="7"/>
  <c r="AK551" i="7" s="1"/>
  <c r="R551" i="25"/>
  <c r="AB295" i="7"/>
  <c r="AK295" i="7" s="1"/>
  <c r="R295" i="25"/>
  <c r="AB255" i="7"/>
  <c r="R255" i="25"/>
  <c r="AB574" i="7"/>
  <c r="AK574" i="7" s="1"/>
  <c r="R574" i="25"/>
  <c r="AB533" i="7"/>
  <c r="R533" i="25"/>
  <c r="AB346" i="7"/>
  <c r="AK346" i="7" s="1"/>
  <c r="R346" i="25"/>
  <c r="AB300" i="7"/>
  <c r="AK300" i="7" s="1"/>
  <c r="R300" i="25"/>
  <c r="AB581" i="7"/>
  <c r="AK581" i="7" s="1"/>
  <c r="R581" i="25"/>
  <c r="AB575" i="7"/>
  <c r="AK575" i="7" s="1"/>
  <c r="R575" i="25"/>
  <c r="W514" i="7"/>
  <c r="D514" i="25"/>
  <c r="V582" i="7"/>
  <c r="D582" i="25"/>
  <c r="W524" i="7"/>
  <c r="D524" i="25"/>
  <c r="W580" i="7"/>
  <c r="D580" i="25"/>
  <c r="AB181" i="7"/>
  <c r="AK181" i="7" s="1"/>
  <c r="R181" i="25"/>
  <c r="AB289" i="7"/>
  <c r="AK289" i="7" s="1"/>
  <c r="R289" i="25"/>
  <c r="AB327" i="7"/>
  <c r="AK327" i="7" s="1"/>
  <c r="R327" i="25"/>
  <c r="AB15" i="7"/>
  <c r="AK15" i="7" s="1"/>
  <c r="R15" i="25"/>
  <c r="AB225" i="7"/>
  <c r="AK225" i="7" s="1"/>
  <c r="R225" i="25"/>
  <c r="AB537" i="7"/>
  <c r="AK537" i="7" s="1"/>
  <c r="R537" i="25"/>
  <c r="AB501" i="7"/>
  <c r="AK501" i="7" s="1"/>
  <c r="R501" i="25"/>
  <c r="AB249" i="7"/>
  <c r="AK249" i="7" s="1"/>
  <c r="R249" i="25"/>
  <c r="AB161" i="7"/>
  <c r="AK161" i="7" s="1"/>
  <c r="R161" i="25"/>
  <c r="AB281" i="7"/>
  <c r="R281" i="25"/>
  <c r="AB191" i="7"/>
  <c r="AK191" i="7" s="1"/>
  <c r="R191" i="25"/>
  <c r="AB396" i="7"/>
  <c r="R396" i="25"/>
  <c r="AB233" i="7"/>
  <c r="R233" i="25"/>
  <c r="V444" i="7"/>
  <c r="D444" i="25"/>
  <c r="W268" i="7"/>
  <c r="D268" i="25"/>
  <c r="W550" i="7"/>
  <c r="D550" i="25"/>
  <c r="V576" i="7"/>
  <c r="D576" i="25"/>
  <c r="W244" i="7"/>
  <c r="D244" i="25"/>
  <c r="W64" i="7"/>
  <c r="D64" i="25"/>
  <c r="W269" i="7"/>
  <c r="D269" i="25"/>
  <c r="W302" i="7"/>
  <c r="D302" i="25"/>
  <c r="V276" i="7"/>
  <c r="D276" i="25"/>
  <c r="W528" i="7"/>
  <c r="D528" i="25"/>
  <c r="W267" i="7"/>
  <c r="D267" i="25"/>
  <c r="V595" i="7"/>
  <c r="D595" i="25"/>
  <c r="W224" i="7"/>
  <c r="D224" i="25"/>
  <c r="AB364" i="7"/>
  <c r="AK364" i="7" s="1"/>
  <c r="R364" i="25"/>
  <c r="AB542" i="7"/>
  <c r="AK542" i="7" s="1"/>
  <c r="R542" i="25"/>
  <c r="AB442" i="7"/>
  <c r="AK442" i="7" s="1"/>
  <c r="R442" i="25"/>
  <c r="AB81" i="7"/>
  <c r="R81" i="25"/>
  <c r="AB31" i="7"/>
  <c r="AK31" i="7" s="1"/>
  <c r="R31" i="25"/>
  <c r="AB423" i="7"/>
  <c r="AK423" i="7" s="1"/>
  <c r="R423" i="25"/>
  <c r="AB378" i="7"/>
  <c r="AK378" i="7" s="1"/>
  <c r="R378" i="25"/>
  <c r="W241" i="7"/>
  <c r="D241" i="25"/>
  <c r="W158" i="7"/>
  <c r="D158" i="25"/>
  <c r="V60" i="7"/>
  <c r="D60" i="25"/>
  <c r="W247" i="7"/>
  <c r="D247" i="25"/>
  <c r="V62" i="7"/>
  <c r="D62" i="25"/>
  <c r="W95" i="7"/>
  <c r="D95" i="25"/>
  <c r="W94" i="7"/>
  <c r="D94" i="25"/>
  <c r="W413" i="7"/>
  <c r="D413" i="25"/>
  <c r="V179" i="7"/>
  <c r="D179" i="25"/>
  <c r="AB554" i="7"/>
  <c r="AK554" i="7" s="1"/>
  <c r="R554" i="25"/>
  <c r="AB394" i="7"/>
  <c r="AK394" i="7" s="1"/>
  <c r="R394" i="25"/>
  <c r="AB441" i="7"/>
  <c r="AK441" i="7" s="1"/>
  <c r="R441" i="25"/>
  <c r="AB250" i="7"/>
  <c r="AK250" i="7" s="1"/>
  <c r="R250" i="25"/>
  <c r="AB69" i="7"/>
  <c r="AK69" i="7" s="1"/>
  <c r="R69" i="25"/>
  <c r="AB49" i="7"/>
  <c r="AK49" i="7" s="1"/>
  <c r="R49" i="25"/>
  <c r="AB439" i="7"/>
  <c r="AK439" i="7" s="1"/>
  <c r="R439" i="25"/>
  <c r="AB474" i="7"/>
  <c r="R474" i="25"/>
  <c r="AB55" i="7"/>
  <c r="AK55" i="7" s="1"/>
  <c r="R55" i="25"/>
  <c r="W151" i="7"/>
  <c r="D151" i="25"/>
  <c r="V139" i="7"/>
  <c r="D139" i="25"/>
  <c r="V592" i="7"/>
  <c r="D592" i="25"/>
  <c r="V124" i="7"/>
  <c r="D124" i="25"/>
  <c r="W246" i="7"/>
  <c r="D246" i="25"/>
  <c r="W146" i="7"/>
  <c r="D146" i="25"/>
  <c r="AB305" i="7"/>
  <c r="AK305" i="7" s="1"/>
  <c r="R305" i="25"/>
  <c r="V28" i="7"/>
  <c r="D28" i="25"/>
  <c r="W341" i="7"/>
  <c r="D341" i="25"/>
  <c r="V518" i="7"/>
  <c r="D518" i="25"/>
  <c r="W480" i="7"/>
  <c r="D480" i="25"/>
  <c r="W7" i="7"/>
  <c r="D7" i="25"/>
  <c r="W454" i="7"/>
  <c r="D454" i="25"/>
  <c r="W130" i="7"/>
  <c r="D130" i="25"/>
  <c r="V426" i="7"/>
  <c r="D426" i="25"/>
  <c r="W543" i="7"/>
  <c r="D543" i="25"/>
  <c r="AB206" i="7"/>
  <c r="AK206" i="7" s="1"/>
  <c r="R206" i="25"/>
  <c r="W414" i="7"/>
  <c r="D414" i="25"/>
  <c r="V309" i="7"/>
  <c r="D309" i="25"/>
  <c r="V535" i="7"/>
  <c r="D535" i="25"/>
  <c r="W120" i="7"/>
  <c r="D120" i="25"/>
  <c r="W287" i="7"/>
  <c r="D287" i="25"/>
  <c r="W152" i="7"/>
  <c r="D152" i="25"/>
  <c r="V320" i="7"/>
  <c r="D320" i="25"/>
  <c r="W202" i="7"/>
  <c r="D202" i="25"/>
  <c r="AB569" i="7"/>
  <c r="AK569" i="7" s="1"/>
  <c r="R569" i="25"/>
  <c r="R2" i="25"/>
  <c r="R38" i="25"/>
  <c r="R50" i="25"/>
  <c r="R70" i="25"/>
  <c r="R134" i="25"/>
  <c r="R146" i="25"/>
  <c r="R166" i="25"/>
  <c r="R198" i="25"/>
  <c r="R226" i="25"/>
  <c r="R278" i="25"/>
  <c r="R306" i="25"/>
  <c r="R390" i="25"/>
  <c r="R402" i="25"/>
  <c r="R450" i="25"/>
  <c r="R594" i="25"/>
  <c r="R11" i="25"/>
  <c r="R35" i="25"/>
  <c r="R83" i="25"/>
  <c r="R107" i="25"/>
  <c r="R139" i="25"/>
  <c r="R227" i="25"/>
  <c r="R379" i="25"/>
  <c r="R395" i="25"/>
  <c r="R411" i="25"/>
  <c r="R459" i="25"/>
  <c r="R8" i="25"/>
  <c r="R12" i="25"/>
  <c r="R28" i="25"/>
  <c r="R88" i="25"/>
  <c r="R100" i="25"/>
  <c r="R152" i="25"/>
  <c r="R220" i="25"/>
  <c r="R240" i="25"/>
  <c r="R256" i="25"/>
  <c r="R288" i="25"/>
  <c r="R356" i="25"/>
  <c r="R384" i="25"/>
  <c r="R416" i="25"/>
  <c r="R472" i="25"/>
  <c r="R29" i="25"/>
  <c r="R109" i="25"/>
  <c r="R157" i="25"/>
  <c r="R221" i="25"/>
  <c r="R429" i="25"/>
  <c r="R445" i="25"/>
  <c r="R493" i="25"/>
  <c r="R509" i="25"/>
  <c r="K344" i="7"/>
  <c r="AS344" i="7" s="1"/>
  <c r="AY344" i="7" s="1"/>
  <c r="F344" i="25"/>
  <c r="K298" i="7"/>
  <c r="AS298" i="7" s="1"/>
  <c r="AY298" i="7" s="1"/>
  <c r="F298" i="25"/>
  <c r="K495" i="7"/>
  <c r="F495" i="25"/>
  <c r="K531" i="7"/>
  <c r="AS531" i="7" s="1"/>
  <c r="AY531" i="7" s="1"/>
  <c r="F531" i="25"/>
  <c r="K50" i="7"/>
  <c r="AS50" i="7" s="1"/>
  <c r="AY50" i="7" s="1"/>
  <c r="F50" i="25"/>
  <c r="K392" i="7"/>
  <c r="F392" i="25"/>
  <c r="K260" i="7"/>
  <c r="F260" i="25"/>
  <c r="K559" i="7"/>
  <c r="F559" i="25"/>
  <c r="AF559" i="25" s="1"/>
  <c r="K444" i="7"/>
  <c r="AJ444" i="7" s="1"/>
  <c r="F444" i="25"/>
  <c r="K241" i="7"/>
  <c r="AS241" i="7" s="1"/>
  <c r="AY241" i="7" s="1"/>
  <c r="F241" i="25"/>
  <c r="AF241" i="25" s="1"/>
  <c r="K83" i="7"/>
  <c r="AS83" i="7" s="1"/>
  <c r="AY83" i="7" s="1"/>
  <c r="F83" i="25"/>
  <c r="K486" i="7"/>
  <c r="AS486" i="7" s="1"/>
  <c r="F486" i="25"/>
  <c r="K64" i="7"/>
  <c r="AJ64" i="7" s="1"/>
  <c r="F64" i="25"/>
  <c r="AF64" i="25" s="1"/>
  <c r="K269" i="7"/>
  <c r="AS269" i="7" s="1"/>
  <c r="AY269" i="7" s="1"/>
  <c r="F269" i="25"/>
  <c r="AF269" i="25" s="1"/>
  <c r="K62" i="7"/>
  <c r="AS62" i="7" s="1"/>
  <c r="AY62" i="7" s="1"/>
  <c r="F62" i="25"/>
  <c r="K95" i="7"/>
  <c r="AS95" i="7" s="1"/>
  <c r="AY95" i="7" s="1"/>
  <c r="F95" i="25"/>
  <c r="K104" i="7"/>
  <c r="AJ104" i="7" s="1"/>
  <c r="F104" i="25"/>
  <c r="AF104" i="25" s="1"/>
  <c r="K270" i="7"/>
  <c r="AS270" i="7" s="1"/>
  <c r="F270" i="25"/>
  <c r="K224" i="7"/>
  <c r="AS224" i="7" s="1"/>
  <c r="AY224" i="7" s="1"/>
  <c r="F224" i="25"/>
  <c r="AF224" i="25" s="1"/>
  <c r="K317" i="7"/>
  <c r="AS317" i="7" s="1"/>
  <c r="AY317" i="7" s="1"/>
  <c r="F317" i="25"/>
  <c r="AF317" i="25" s="1"/>
  <c r="K369" i="7"/>
  <c r="AJ369" i="7" s="1"/>
  <c r="F369" i="25"/>
  <c r="AF369" i="25" s="1"/>
  <c r="K497" i="7"/>
  <c r="AS497" i="7" s="1"/>
  <c r="AY497" i="7" s="1"/>
  <c r="F497" i="25"/>
  <c r="K417" i="7"/>
  <c r="AS417" i="7" s="1"/>
  <c r="AY417" i="7" s="1"/>
  <c r="F417" i="25"/>
  <c r="AF417" i="25" s="1"/>
  <c r="K151" i="7"/>
  <c r="F151" i="25"/>
  <c r="K592" i="7"/>
  <c r="AJ592" i="7" s="1"/>
  <c r="F592" i="25"/>
  <c r="AF592" i="25" s="1"/>
  <c r="K246" i="7"/>
  <c r="AS246" i="7" s="1"/>
  <c r="AY246" i="7" s="1"/>
  <c r="F246" i="25"/>
  <c r="AF246" i="25" s="1"/>
  <c r="K96" i="7"/>
  <c r="F96" i="25"/>
  <c r="AF96" i="25" s="1"/>
  <c r="K127" i="7"/>
  <c r="F127" i="25"/>
  <c r="AF127" i="25" s="1"/>
  <c r="K188" i="7"/>
  <c r="AJ188" i="7" s="1"/>
  <c r="F188" i="25"/>
  <c r="K381" i="7"/>
  <c r="F381" i="25"/>
  <c r="K273" i="7"/>
  <c r="AS273" i="7" s="1"/>
  <c r="AY273" i="7" s="1"/>
  <c r="F273" i="25"/>
  <c r="K376" i="7"/>
  <c r="AS376" i="7" s="1"/>
  <c r="AY376" i="7" s="1"/>
  <c r="F376" i="25"/>
  <c r="AF376" i="25" s="1"/>
  <c r="K473" i="7"/>
  <c r="AJ473" i="7" s="1"/>
  <c r="F473" i="25"/>
  <c r="K20" i="7"/>
  <c r="AS20" i="7" s="1"/>
  <c r="AY20" i="7" s="1"/>
  <c r="F20" i="25"/>
  <c r="K374" i="7"/>
  <c r="AS374" i="7" s="1"/>
  <c r="F374" i="25"/>
  <c r="K529" i="7"/>
  <c r="AS529" i="7" s="1"/>
  <c r="AY529" i="7" s="1"/>
  <c r="F529" i="25"/>
  <c r="K389" i="7"/>
  <c r="AJ389" i="7" s="1"/>
  <c r="F389" i="25"/>
  <c r="AF389" i="25" s="1"/>
  <c r="K517" i="7"/>
  <c r="F517" i="25"/>
  <c r="K594" i="7"/>
  <c r="AS594" i="7" s="1"/>
  <c r="AY594" i="7" s="1"/>
  <c r="F594" i="25"/>
  <c r="K75" i="7"/>
  <c r="F75" i="25"/>
  <c r="AF75" i="25" s="1"/>
  <c r="K157" i="7"/>
  <c r="AJ157" i="7" s="1"/>
  <c r="F157" i="25"/>
  <c r="K380" i="7"/>
  <c r="AS380" i="7" s="1"/>
  <c r="F380" i="25"/>
  <c r="K192" i="7"/>
  <c r="AS192" i="7" s="1"/>
  <c r="AY192" i="7" s="1"/>
  <c r="F192" i="25"/>
  <c r="K416" i="7"/>
  <c r="AS416" i="7" s="1"/>
  <c r="F416" i="25"/>
  <c r="K232" i="7"/>
  <c r="AJ232" i="7" s="1"/>
  <c r="F232" i="25"/>
  <c r="AF232" i="25" s="1"/>
  <c r="K590" i="7"/>
  <c r="AS590" i="7" s="1"/>
  <c r="AY590" i="7" s="1"/>
  <c r="F590" i="25"/>
  <c r="AF590" i="25" s="1"/>
  <c r="K323" i="7"/>
  <c r="F323" i="25"/>
  <c r="K583" i="7"/>
  <c r="AS583" i="7" s="1"/>
  <c r="AY583" i="7" s="1"/>
  <c r="F583" i="25"/>
  <c r="K252" i="7"/>
  <c r="AJ252" i="7" s="1"/>
  <c r="F252" i="25"/>
  <c r="K106" i="7"/>
  <c r="AS106" i="7" s="1"/>
  <c r="AY106" i="7" s="1"/>
  <c r="F106" i="25"/>
  <c r="K584" i="7"/>
  <c r="AJ584" i="7" s="1"/>
  <c r="F584" i="25"/>
  <c r="K128" i="7"/>
  <c r="AS128" i="7" s="1"/>
  <c r="AY128" i="7" s="1"/>
  <c r="F128" i="25"/>
  <c r="AF128" i="25" s="1"/>
  <c r="K239" i="7"/>
  <c r="AJ239" i="7" s="1"/>
  <c r="F239" i="25"/>
  <c r="AF239" i="25" s="1"/>
  <c r="K335" i="7"/>
  <c r="AS335" i="7" s="1"/>
  <c r="AY335" i="7" s="1"/>
  <c r="F335" i="25"/>
  <c r="AF335" i="25" s="1"/>
  <c r="K166" i="7"/>
  <c r="F166" i="25"/>
  <c r="K78" i="7"/>
  <c r="F78" i="25"/>
  <c r="K201" i="7"/>
  <c r="F201" i="25"/>
  <c r="AF201" i="25" s="1"/>
  <c r="K563" i="7"/>
  <c r="AS563" i="7" s="1"/>
  <c r="AY563" i="7" s="1"/>
  <c r="F563" i="25"/>
  <c r="K264" i="7"/>
  <c r="F264" i="25"/>
  <c r="AF264" i="25" s="1"/>
  <c r="K310" i="7"/>
  <c r="AS310" i="7" s="1"/>
  <c r="F310" i="25"/>
  <c r="AF310" i="25" s="1"/>
  <c r="K206" i="7"/>
  <c r="F206" i="25"/>
  <c r="K129" i="7"/>
  <c r="AS129" i="7" s="1"/>
  <c r="AY129" i="7" s="1"/>
  <c r="F129" i="25"/>
  <c r="K377" i="7"/>
  <c r="F377" i="25"/>
  <c r="AF377" i="25" s="1"/>
  <c r="K521" i="7"/>
  <c r="AS521" i="7" s="1"/>
  <c r="AY521" i="7" s="1"/>
  <c r="F521" i="25"/>
  <c r="AF521" i="25" s="1"/>
  <c r="K370" i="7"/>
  <c r="AJ370" i="7" s="1"/>
  <c r="F370" i="25"/>
  <c r="AF370" i="25" s="1"/>
  <c r="K564" i="7"/>
  <c r="AS564" i="7" s="1"/>
  <c r="AY564" i="7" s="1"/>
  <c r="F564" i="25"/>
  <c r="AF564" i="25" s="1"/>
  <c r="K539" i="7"/>
  <c r="AJ539" i="7" s="1"/>
  <c r="F539" i="25"/>
  <c r="K451" i="7"/>
  <c r="AS451" i="7" s="1"/>
  <c r="AY451" i="7" s="1"/>
  <c r="F451" i="25"/>
  <c r="AF451" i="25" s="1"/>
  <c r="K235" i="7"/>
  <c r="AJ235" i="7" s="1"/>
  <c r="F235" i="25"/>
  <c r="AF235" i="25" s="1"/>
  <c r="K36" i="7"/>
  <c r="AS36" i="7" s="1"/>
  <c r="AY36" i="7" s="1"/>
  <c r="F36" i="25"/>
  <c r="K329" i="7"/>
  <c r="AJ329" i="7" s="1"/>
  <c r="F329" i="25"/>
  <c r="K315" i="7"/>
  <c r="F315" i="25"/>
  <c r="AF315" i="25" s="1"/>
  <c r="K441" i="7"/>
  <c r="AS441" i="7" s="1"/>
  <c r="AY441" i="7" s="1"/>
  <c r="F441" i="25"/>
  <c r="K80" i="7"/>
  <c r="AS80" i="7" s="1"/>
  <c r="AY80" i="7" s="1"/>
  <c r="F80" i="25"/>
  <c r="K425" i="7"/>
  <c r="AJ425" i="7" s="1"/>
  <c r="F425" i="25"/>
  <c r="AF425" i="25" s="1"/>
  <c r="K446" i="7"/>
  <c r="AS446" i="7" s="1"/>
  <c r="AY446" i="7" s="1"/>
  <c r="F446" i="25"/>
  <c r="K540" i="7"/>
  <c r="AS540" i="7" s="1"/>
  <c r="F540" i="25"/>
  <c r="K496" i="7"/>
  <c r="AS496" i="7" s="1"/>
  <c r="AY496" i="7" s="1"/>
  <c r="F496" i="25"/>
  <c r="AF496" i="25" s="1"/>
  <c r="K319" i="7"/>
  <c r="AJ319" i="7" s="1"/>
  <c r="F319" i="25"/>
  <c r="K65" i="7"/>
  <c r="F65" i="25"/>
  <c r="AF65" i="25" s="1"/>
  <c r="K513" i="7"/>
  <c r="F513" i="25"/>
  <c r="K527" i="7"/>
  <c r="AS527" i="7" s="1"/>
  <c r="AY527" i="7" s="1"/>
  <c r="F527" i="25"/>
  <c r="K82" i="7"/>
  <c r="AS82" i="7" s="1"/>
  <c r="AY82" i="7" s="1"/>
  <c r="F82" i="25"/>
  <c r="K422" i="7"/>
  <c r="AS422" i="7" s="1"/>
  <c r="AY422" i="7" s="1"/>
  <c r="F422" i="25"/>
  <c r="AF422" i="25" s="1"/>
  <c r="K164" i="7"/>
  <c r="AJ164" i="7" s="1"/>
  <c r="F164" i="25"/>
  <c r="AF164" i="25" s="1"/>
  <c r="K566" i="7"/>
  <c r="AS566" i="7" s="1"/>
  <c r="AY566" i="7" s="1"/>
  <c r="F566" i="25"/>
  <c r="AF566" i="25" s="1"/>
  <c r="K68" i="7"/>
  <c r="AS68" i="7" s="1"/>
  <c r="AY68" i="7" s="1"/>
  <c r="F68" i="25"/>
  <c r="AF68" i="25" s="1"/>
  <c r="K536" i="7"/>
  <c r="AS536" i="7" s="1"/>
  <c r="AY536" i="7" s="1"/>
  <c r="F536" i="25"/>
  <c r="K142" i="7"/>
  <c r="AJ142" i="7" s="1"/>
  <c r="F142" i="25"/>
  <c r="AF142" i="25" s="1"/>
  <c r="K288" i="7"/>
  <c r="AS288" i="7" s="1"/>
  <c r="AY288" i="7" s="1"/>
  <c r="F288" i="25"/>
  <c r="K334" i="7"/>
  <c r="AS334" i="7" s="1"/>
  <c r="AY334" i="7" s="1"/>
  <c r="F334" i="25"/>
  <c r="AF334" i="25" s="1"/>
  <c r="K421" i="7"/>
  <c r="AS421" i="7" s="1"/>
  <c r="AY421" i="7" s="1"/>
  <c r="F421" i="25"/>
  <c r="AF421" i="25" s="1"/>
  <c r="K442" i="7"/>
  <c r="AJ442" i="7" s="1"/>
  <c r="F442" i="25"/>
  <c r="K220" i="7"/>
  <c r="AS220" i="7" s="1"/>
  <c r="AY220" i="7" s="1"/>
  <c r="F220" i="25"/>
  <c r="K484" i="7"/>
  <c r="AS484" i="7" s="1"/>
  <c r="AY484" i="7" s="1"/>
  <c r="F484" i="25"/>
  <c r="K53" i="7"/>
  <c r="F53" i="25"/>
  <c r="AF53" i="25" s="1"/>
  <c r="K526" i="7"/>
  <c r="AJ526" i="7" s="1"/>
  <c r="F526" i="25"/>
  <c r="AF526" i="25" s="1"/>
  <c r="K99" i="7"/>
  <c r="AS99" i="7" s="1"/>
  <c r="AY99" i="7" s="1"/>
  <c r="F99" i="25"/>
  <c r="K506" i="7"/>
  <c r="AJ506" i="7" s="1"/>
  <c r="F506" i="25"/>
  <c r="K479" i="7"/>
  <c r="AJ479" i="7" s="1"/>
  <c r="F479" i="25"/>
  <c r="K110" i="7"/>
  <c r="AJ110" i="7" s="1"/>
  <c r="F110" i="25"/>
  <c r="K11" i="7"/>
  <c r="F11" i="25"/>
  <c r="K388" i="7"/>
  <c r="F388" i="25"/>
  <c r="K204" i="7"/>
  <c r="AS204" i="7" s="1"/>
  <c r="AY204" i="7" s="1"/>
  <c r="F204" i="25"/>
  <c r="K25" i="7"/>
  <c r="F25" i="25"/>
  <c r="K17" i="7"/>
  <c r="F17" i="25"/>
  <c r="K308" i="7"/>
  <c r="AS308" i="7" s="1"/>
  <c r="AY308" i="7" s="1"/>
  <c r="F308" i="25"/>
  <c r="AF308" i="25" s="1"/>
  <c r="K458" i="7"/>
  <c r="F458" i="25"/>
  <c r="K113" i="7"/>
  <c r="F113" i="25"/>
  <c r="K371" i="7"/>
  <c r="F371" i="25"/>
  <c r="K449" i="7"/>
  <c r="AJ449" i="7" s="1"/>
  <c r="F449" i="25"/>
  <c r="AF449" i="25" s="1"/>
  <c r="K511" i="7"/>
  <c r="AS511" i="7" s="1"/>
  <c r="AY511" i="7" s="1"/>
  <c r="F511" i="25"/>
  <c r="K92" i="7"/>
  <c r="F92" i="25"/>
  <c r="AF92" i="25" s="1"/>
  <c r="K366" i="7"/>
  <c r="F366" i="25"/>
  <c r="K233" i="7"/>
  <c r="F233" i="25"/>
  <c r="K445" i="7"/>
  <c r="F445" i="25"/>
  <c r="K214" i="7"/>
  <c r="AJ214" i="7" s="1"/>
  <c r="F214" i="25"/>
  <c r="AF214" i="25" s="1"/>
  <c r="K122" i="7"/>
  <c r="AJ122" i="7" s="1"/>
  <c r="F122" i="25"/>
  <c r="AF122" i="25" s="1"/>
  <c r="K153" i="7"/>
  <c r="AJ153" i="7" s="1"/>
  <c r="F153" i="25"/>
  <c r="AF153" i="25" s="1"/>
  <c r="K59" i="7"/>
  <c r="F59" i="25"/>
  <c r="K343" i="7"/>
  <c r="AS343" i="7" s="1"/>
  <c r="AY343" i="7" s="1"/>
  <c r="F343" i="25"/>
  <c r="K234" i="7"/>
  <c r="AS234" i="7" s="1"/>
  <c r="AY234" i="7" s="1"/>
  <c r="F234" i="25"/>
  <c r="K114" i="7"/>
  <c r="AJ114" i="7" s="1"/>
  <c r="F114" i="25"/>
  <c r="AF114" i="25" s="1"/>
  <c r="K85" i="7"/>
  <c r="AS85" i="7" s="1"/>
  <c r="AY85" i="7" s="1"/>
  <c r="F85" i="25"/>
  <c r="K464" i="7"/>
  <c r="AS464" i="7" s="1"/>
  <c r="AY464" i="7" s="1"/>
  <c r="F464" i="25"/>
  <c r="K579" i="7"/>
  <c r="AS579" i="7" s="1"/>
  <c r="AY579" i="7" s="1"/>
  <c r="F579" i="25"/>
  <c r="K349" i="7"/>
  <c r="AJ349" i="7" s="1"/>
  <c r="F349" i="25"/>
  <c r="K39" i="7"/>
  <c r="AS39" i="7" s="1"/>
  <c r="AY39" i="7" s="1"/>
  <c r="F39" i="25"/>
  <c r="AF39" i="25" s="1"/>
  <c r="K131" i="7"/>
  <c r="AS131" i="7" s="1"/>
  <c r="AY131" i="7" s="1"/>
  <c r="F131" i="25"/>
  <c r="AF131" i="25" s="1"/>
  <c r="K89" i="7"/>
  <c r="F89" i="25"/>
  <c r="AF89" i="25" s="1"/>
  <c r="K570" i="7"/>
  <c r="AJ570" i="7" s="1"/>
  <c r="F570" i="25"/>
  <c r="K163" i="7"/>
  <c r="AS163" i="7" s="1"/>
  <c r="AY163" i="7" s="1"/>
  <c r="F163" i="25"/>
  <c r="K318" i="7"/>
  <c r="AJ318" i="7" s="1"/>
  <c r="F318" i="25"/>
  <c r="K210" i="7"/>
  <c r="AJ210" i="7" s="1"/>
  <c r="F210" i="25"/>
  <c r="K354" i="7"/>
  <c r="AJ354" i="7" s="1"/>
  <c r="F354" i="25"/>
  <c r="K69" i="7"/>
  <c r="AS69" i="7" s="1"/>
  <c r="AY69" i="7" s="1"/>
  <c r="F69" i="25"/>
  <c r="K279" i="7"/>
  <c r="AJ279" i="7" s="1"/>
  <c r="F279" i="25"/>
  <c r="AF279" i="25" s="1"/>
  <c r="K31" i="7"/>
  <c r="AS31" i="7" s="1"/>
  <c r="AY31" i="7" s="1"/>
  <c r="F31" i="25"/>
  <c r="K24" i="7"/>
  <c r="AJ24" i="7" s="1"/>
  <c r="F24" i="25"/>
  <c r="AF24" i="25" s="1"/>
  <c r="K423" i="7"/>
  <c r="F423" i="25"/>
  <c r="K500" i="7"/>
  <c r="AS500" i="7" s="1"/>
  <c r="AY500" i="7" s="1"/>
  <c r="F500" i="25"/>
  <c r="K510" i="7"/>
  <c r="AJ510" i="7" s="1"/>
  <c r="F510" i="25"/>
  <c r="K144" i="7"/>
  <c r="AS144" i="7" s="1"/>
  <c r="AY144" i="7" s="1"/>
  <c r="F144" i="25"/>
  <c r="K193" i="7"/>
  <c r="AS193" i="7" s="1"/>
  <c r="AY193" i="7" s="1"/>
  <c r="F193" i="25"/>
  <c r="AF193" i="25" s="1"/>
  <c r="K6" i="7"/>
  <c r="AS6" i="7" s="1"/>
  <c r="AY6" i="7" s="1"/>
  <c r="F6" i="25"/>
  <c r="AF6" i="25" s="1"/>
  <c r="K49" i="7"/>
  <c r="AJ49" i="7" s="1"/>
  <c r="F49" i="25"/>
  <c r="K427" i="7"/>
  <c r="AS427" i="7" s="1"/>
  <c r="AY427" i="7" s="1"/>
  <c r="F427" i="25"/>
  <c r="AF427" i="25" s="1"/>
  <c r="K285" i="7"/>
  <c r="AS285" i="7" s="1"/>
  <c r="AY285" i="7" s="1"/>
  <c r="F285" i="25"/>
  <c r="K26" i="7"/>
  <c r="F26" i="25"/>
  <c r="K516" i="7"/>
  <c r="AS516" i="7" s="1"/>
  <c r="AY516" i="7" s="1"/>
  <c r="F516" i="25"/>
  <c r="AF516" i="25" s="1"/>
  <c r="K589" i="7"/>
  <c r="F589" i="25"/>
  <c r="K72" i="7"/>
  <c r="F72" i="25"/>
  <c r="AF72" i="25" s="1"/>
  <c r="K76" i="7"/>
  <c r="AS76" i="7" s="1"/>
  <c r="AY76" i="7" s="1"/>
  <c r="F76" i="25"/>
  <c r="K155" i="7"/>
  <c r="AJ155" i="7" s="1"/>
  <c r="F155" i="25"/>
  <c r="AF155" i="25" s="1"/>
  <c r="K272" i="7"/>
  <c r="AJ272" i="7" s="1"/>
  <c r="F272" i="25"/>
  <c r="AF272" i="25" s="1"/>
  <c r="K167" i="7"/>
  <c r="AJ167" i="7" s="1"/>
  <c r="F167" i="25"/>
  <c r="AF167" i="25" s="1"/>
  <c r="K217" i="7"/>
  <c r="AJ217" i="7" s="1"/>
  <c r="F217" i="25"/>
  <c r="K307" i="7"/>
  <c r="AS307" i="7" s="1"/>
  <c r="AY307" i="7" s="1"/>
  <c r="F307" i="25"/>
  <c r="K530" i="7"/>
  <c r="AJ530" i="7" s="1"/>
  <c r="F530" i="25"/>
  <c r="K577" i="7"/>
  <c r="F577" i="25"/>
  <c r="K383" i="7"/>
  <c r="AS383" i="7" s="1"/>
  <c r="AY383" i="7" s="1"/>
  <c r="F383" i="25"/>
  <c r="AF383" i="25" s="1"/>
  <c r="K439" i="7"/>
  <c r="AS439" i="7" s="1"/>
  <c r="AY439" i="7" s="1"/>
  <c r="F439" i="25"/>
  <c r="K412" i="7"/>
  <c r="F412" i="25"/>
  <c r="K138" i="7"/>
  <c r="F138" i="25"/>
  <c r="AF138" i="25" s="1"/>
  <c r="K474" i="7"/>
  <c r="F474" i="25"/>
  <c r="K91" i="7"/>
  <c r="F91" i="25"/>
  <c r="K215" i="7"/>
  <c r="F215" i="25"/>
  <c r="AF215" i="25" s="1"/>
  <c r="K340" i="7"/>
  <c r="AJ340" i="7" s="1"/>
  <c r="F340" i="25"/>
  <c r="AF340" i="25" s="1"/>
  <c r="K280" i="7"/>
  <c r="AS280" i="7" s="1"/>
  <c r="AY280" i="7" s="1"/>
  <c r="F280" i="25"/>
  <c r="K438" i="7"/>
  <c r="AS438" i="7" s="1"/>
  <c r="AY438" i="7" s="1"/>
  <c r="F438" i="25"/>
  <c r="K294" i="7"/>
  <c r="AS294" i="7" s="1"/>
  <c r="AY294" i="7" s="1"/>
  <c r="F294" i="25"/>
  <c r="W548" i="7"/>
  <c r="D548" i="25"/>
  <c r="W286" i="7"/>
  <c r="D286" i="25"/>
  <c r="V303" i="7"/>
  <c r="D303" i="25"/>
  <c r="V172" i="7"/>
  <c r="D172" i="25"/>
  <c r="V148" i="7"/>
  <c r="D148" i="25"/>
  <c r="V398" i="7"/>
  <c r="D398" i="25"/>
  <c r="W137" i="7"/>
  <c r="D137" i="25"/>
  <c r="W586" i="7"/>
  <c r="D586" i="25"/>
  <c r="W386" i="7"/>
  <c r="D386" i="25"/>
  <c r="V191" i="7"/>
  <c r="D191" i="25"/>
  <c r="W251" i="7"/>
  <c r="D251" i="25"/>
  <c r="K525" i="7"/>
  <c r="AJ525" i="7" s="1"/>
  <c r="F525" i="25"/>
  <c r="V46" i="7"/>
  <c r="D46" i="25"/>
  <c r="W295" i="7"/>
  <c r="D295" i="25"/>
  <c r="V255" i="7"/>
  <c r="D255" i="25"/>
  <c r="V453" i="7"/>
  <c r="D453" i="25"/>
  <c r="W346" i="7"/>
  <c r="D346" i="25"/>
  <c r="W300" i="7"/>
  <c r="D300" i="25"/>
  <c r="W399" i="7"/>
  <c r="D399" i="25"/>
  <c r="V581" i="7"/>
  <c r="D581" i="25"/>
  <c r="V575" i="7"/>
  <c r="D575" i="25"/>
  <c r="V136" i="7"/>
  <c r="D136" i="25"/>
  <c r="W342" i="7"/>
  <c r="D342" i="25"/>
  <c r="W460" i="7"/>
  <c r="D460" i="25"/>
  <c r="W395" i="7"/>
  <c r="D395" i="25"/>
  <c r="V523" i="7"/>
  <c r="D523" i="25"/>
  <c r="V57" i="7"/>
  <c r="D57" i="25"/>
  <c r="V410" i="7"/>
  <c r="D410" i="25"/>
  <c r="W502" i="7"/>
  <c r="D502" i="25"/>
  <c r="W415" i="7"/>
  <c r="D415" i="25"/>
  <c r="W348" i="7"/>
  <c r="D348" i="25"/>
  <c r="V325" i="7"/>
  <c r="D325" i="25"/>
  <c r="V391" i="7"/>
  <c r="D391" i="25"/>
  <c r="V160" i="7"/>
  <c r="D160" i="25"/>
  <c r="V545" i="7"/>
  <c r="D545" i="25"/>
  <c r="W457" i="7"/>
  <c r="D457" i="25"/>
  <c r="V351" i="7"/>
  <c r="D351" i="25"/>
  <c r="W197" i="7"/>
  <c r="D197" i="25"/>
  <c r="V483" i="7"/>
  <c r="D483" i="25"/>
  <c r="W471" i="7"/>
  <c r="D471" i="25"/>
  <c r="W408" i="7"/>
  <c r="D408" i="25"/>
  <c r="W208" i="7"/>
  <c r="D208" i="25"/>
  <c r="W103" i="7"/>
  <c r="D103" i="25"/>
  <c r="V30" i="7"/>
  <c r="D30" i="25"/>
  <c r="W257" i="7"/>
  <c r="D257" i="25"/>
  <c r="V353" i="7"/>
  <c r="D353" i="25"/>
  <c r="W8" i="7"/>
  <c r="D8" i="25"/>
  <c r="V185" i="7"/>
  <c r="D185" i="25"/>
  <c r="W147" i="7"/>
  <c r="D147" i="25"/>
  <c r="V490" i="7"/>
  <c r="D490" i="25"/>
  <c r="W509" i="7"/>
  <c r="D509" i="25"/>
  <c r="V534" i="7"/>
  <c r="D534" i="25"/>
  <c r="W73" i="7"/>
  <c r="D73" i="25"/>
  <c r="V304" i="7"/>
  <c r="D304" i="25"/>
  <c r="V487" i="7"/>
  <c r="D487" i="25"/>
  <c r="V396" i="7"/>
  <c r="D396" i="25"/>
  <c r="V4" i="7"/>
  <c r="D4" i="25"/>
  <c r="K405" i="7"/>
  <c r="AJ405" i="7" s="1"/>
  <c r="F405" i="25"/>
  <c r="K326" i="7"/>
  <c r="AS326" i="7" s="1"/>
  <c r="F326" i="25"/>
  <c r="K489" i="7"/>
  <c r="AJ489" i="7" s="1"/>
  <c r="F489" i="25"/>
  <c r="V306" i="7"/>
  <c r="D306" i="25"/>
  <c r="K463" i="7"/>
  <c r="F463" i="25"/>
  <c r="AB95" i="7"/>
  <c r="AK95" i="7" s="1"/>
  <c r="R95" i="25"/>
  <c r="AB270" i="7"/>
  <c r="AK270" i="7" s="1"/>
  <c r="R270" i="25"/>
  <c r="W299" i="7"/>
  <c r="D299" i="25"/>
  <c r="V207" i="7"/>
  <c r="D207" i="25"/>
  <c r="W567" i="7"/>
  <c r="D567" i="25"/>
  <c r="W47" i="7"/>
  <c r="D47" i="25"/>
  <c r="W477" i="7"/>
  <c r="D477" i="25"/>
  <c r="V13" i="7"/>
  <c r="D13" i="25"/>
  <c r="K306" i="7"/>
  <c r="AS306" i="7" s="1"/>
  <c r="AY306" i="7" s="1"/>
  <c r="F306" i="25"/>
  <c r="W380" i="7"/>
  <c r="D380" i="25"/>
  <c r="W168" i="7"/>
  <c r="D168" i="25"/>
  <c r="V192" i="7"/>
  <c r="D192" i="25"/>
  <c r="W150" i="7"/>
  <c r="D150" i="25"/>
  <c r="W416" i="7"/>
  <c r="D416" i="25"/>
  <c r="V71" i="7"/>
  <c r="D71" i="25"/>
  <c r="W232" i="7"/>
  <c r="D232" i="25"/>
  <c r="K84" i="7"/>
  <c r="F84" i="25"/>
  <c r="V547" i="7"/>
  <c r="D547" i="25"/>
  <c r="V553" i="7"/>
  <c r="D553" i="25"/>
  <c r="W404" i="7"/>
  <c r="D404" i="25"/>
  <c r="V261" i="7"/>
  <c r="D261" i="25"/>
  <c r="V140" i="7"/>
  <c r="D140" i="25"/>
  <c r="V430" i="7"/>
  <c r="D430" i="25"/>
  <c r="V549" i="7"/>
  <c r="D549" i="25"/>
  <c r="K231" i="7"/>
  <c r="AJ231" i="7" s="1"/>
  <c r="F231" i="25"/>
  <c r="W476" i="7"/>
  <c r="D476" i="25"/>
  <c r="W101" i="7"/>
  <c r="D101" i="25"/>
  <c r="V452" i="7"/>
  <c r="D452" i="25"/>
  <c r="W180" i="7"/>
  <c r="D180" i="25"/>
  <c r="W475" i="7"/>
  <c r="D475" i="25"/>
  <c r="V37" i="7"/>
  <c r="D37" i="25"/>
  <c r="W556" i="7"/>
  <c r="D556" i="25"/>
  <c r="V132" i="7"/>
  <c r="D132" i="25"/>
  <c r="W369" i="7"/>
  <c r="D369" i="25"/>
  <c r="V236" i="7"/>
  <c r="D236" i="25"/>
  <c r="W561" i="7"/>
  <c r="D561" i="25"/>
  <c r="W326" i="7"/>
  <c r="D326" i="25"/>
  <c r="V97" i="7"/>
  <c r="D97" i="25"/>
  <c r="W358" i="7"/>
  <c r="D358" i="25"/>
  <c r="W256" i="7"/>
  <c r="D256" i="25"/>
  <c r="V507" i="7"/>
  <c r="D507" i="25"/>
  <c r="V497" i="7"/>
  <c r="D497" i="25"/>
  <c r="V405" i="7"/>
  <c r="D405" i="25"/>
  <c r="W63" i="7"/>
  <c r="D63" i="25"/>
  <c r="W462" i="7"/>
  <c r="D462" i="25"/>
  <c r="W141" i="7"/>
  <c r="D141" i="25"/>
  <c r="V456" i="7"/>
  <c r="D456" i="25"/>
  <c r="W448" i="7"/>
  <c r="D448" i="25"/>
  <c r="W463" i="7"/>
  <c r="D463" i="25"/>
  <c r="W417" i="7"/>
  <c r="D417" i="25"/>
  <c r="V485" i="7"/>
  <c r="D485" i="25"/>
  <c r="V552" i="7"/>
  <c r="D552" i="25"/>
  <c r="W9" i="7"/>
  <c r="D9" i="25"/>
  <c r="W277" i="7"/>
  <c r="D277" i="25"/>
  <c r="W558" i="7"/>
  <c r="D558" i="25"/>
  <c r="V594" i="7"/>
  <c r="D594" i="25"/>
  <c r="V238" i="7"/>
  <c r="D238" i="25"/>
  <c r="V66" i="7"/>
  <c r="D66" i="25"/>
  <c r="W254" i="7"/>
  <c r="D254" i="25"/>
  <c r="V165" i="7"/>
  <c r="D165" i="25"/>
  <c r="W126" i="7"/>
  <c r="D126" i="25"/>
  <c r="V149" i="7"/>
  <c r="D149" i="25"/>
  <c r="W538" i="7"/>
  <c r="D538" i="25"/>
  <c r="W87" i="7"/>
  <c r="D87" i="25"/>
  <c r="V357" i="7"/>
  <c r="D357" i="25"/>
  <c r="W112" i="7"/>
  <c r="D112" i="25"/>
  <c r="V311" i="7"/>
  <c r="D311" i="25"/>
  <c r="V465" i="7"/>
  <c r="D465" i="25"/>
  <c r="W107" i="7"/>
  <c r="D107" i="25"/>
  <c r="W12" i="7"/>
  <c r="D12" i="25"/>
  <c r="AB330" i="7"/>
  <c r="AK330" i="7" s="1"/>
  <c r="R330" i="25"/>
  <c r="AB266" i="7"/>
  <c r="AK266" i="7" s="1"/>
  <c r="R266" i="25"/>
  <c r="AB135" i="7"/>
  <c r="AK135" i="7" s="1"/>
  <c r="R135" i="25"/>
  <c r="W535" i="7"/>
  <c r="V473" i="7"/>
  <c r="W473" i="7"/>
  <c r="V381" i="7"/>
  <c r="V96" i="7"/>
  <c r="W381" i="7"/>
  <c r="V20" i="7"/>
  <c r="W459" i="7"/>
  <c r="W411" i="7"/>
  <c r="K74" i="7"/>
  <c r="AS74" i="7" s="1"/>
  <c r="AY74" i="7" s="1"/>
  <c r="F74" i="25"/>
  <c r="AF74" i="25" s="1"/>
  <c r="K177" i="7"/>
  <c r="AS177" i="7" s="1"/>
  <c r="AY177" i="7" s="1"/>
  <c r="F177" i="25"/>
  <c r="K401" i="7"/>
  <c r="F401" i="25"/>
  <c r="K170" i="7"/>
  <c r="AS170" i="7" s="1"/>
  <c r="AY170" i="7" s="1"/>
  <c r="F170" i="25"/>
  <c r="AF170" i="25" s="1"/>
  <c r="K66" i="7"/>
  <c r="AS66" i="7" s="1"/>
  <c r="AY66" i="7" s="1"/>
  <c r="F66" i="25"/>
  <c r="K165" i="7"/>
  <c r="F165" i="25"/>
  <c r="K149" i="7"/>
  <c r="F149" i="25"/>
  <c r="K87" i="7"/>
  <c r="F87" i="25"/>
  <c r="AF87" i="25" s="1"/>
  <c r="K205" i="7"/>
  <c r="AS205" i="7" s="1"/>
  <c r="AY205" i="7" s="1"/>
  <c r="F205" i="25"/>
  <c r="K363" i="7"/>
  <c r="AS363" i="7" s="1"/>
  <c r="AY363" i="7" s="1"/>
  <c r="F363" i="25"/>
  <c r="K158" i="7"/>
  <c r="AS158" i="7" s="1"/>
  <c r="AY158" i="7" s="1"/>
  <c r="F158" i="25"/>
  <c r="K244" i="7"/>
  <c r="AS244" i="7" s="1"/>
  <c r="AY244" i="7" s="1"/>
  <c r="F244" i="25"/>
  <c r="AF244" i="25" s="1"/>
  <c r="K292" i="7"/>
  <c r="AS292" i="7" s="1"/>
  <c r="AY292" i="7" s="1"/>
  <c r="F292" i="25"/>
  <c r="K557" i="7"/>
  <c r="AS557" i="7" s="1"/>
  <c r="AY557" i="7" s="1"/>
  <c r="F557" i="25"/>
  <c r="K10" i="7"/>
  <c r="AS10" i="7" s="1"/>
  <c r="AY10" i="7" s="1"/>
  <c r="F10" i="25"/>
  <c r="K282" i="7"/>
  <c r="AS282" i="7" s="1"/>
  <c r="F282" i="25"/>
  <c r="K94" i="7"/>
  <c r="AS94" i="7" s="1"/>
  <c r="AY94" i="7" s="1"/>
  <c r="F94" i="25"/>
  <c r="AF94" i="25" s="1"/>
  <c r="K595" i="7"/>
  <c r="AS595" i="7" s="1"/>
  <c r="AY595" i="7" s="1"/>
  <c r="F595" i="25"/>
  <c r="K119" i="7"/>
  <c r="AS119" i="7" s="1"/>
  <c r="AY119" i="7" s="1"/>
  <c r="F119" i="25"/>
  <c r="K452" i="7"/>
  <c r="AS452" i="7" s="1"/>
  <c r="AY452" i="7" s="1"/>
  <c r="F452" i="25"/>
  <c r="K561" i="7"/>
  <c r="F561" i="25"/>
  <c r="K63" i="7"/>
  <c r="AS63" i="7" s="1"/>
  <c r="AY63" i="7" s="1"/>
  <c r="F63" i="25"/>
  <c r="AF63" i="25" s="1"/>
  <c r="K552" i="7"/>
  <c r="F552" i="25"/>
  <c r="K187" i="7"/>
  <c r="F187" i="25"/>
  <c r="AF187" i="25" s="1"/>
  <c r="K336" i="7"/>
  <c r="AS336" i="7" s="1"/>
  <c r="AY336" i="7" s="1"/>
  <c r="F336" i="25"/>
  <c r="K48" i="7"/>
  <c r="AS48" i="7" s="1"/>
  <c r="AY48" i="7" s="1"/>
  <c r="F48" i="25"/>
  <c r="AF48" i="25" s="1"/>
  <c r="K414" i="7"/>
  <c r="AS414" i="7" s="1"/>
  <c r="AY414" i="7" s="1"/>
  <c r="F414" i="25"/>
  <c r="AF414" i="25" s="1"/>
  <c r="K309" i="7"/>
  <c r="F309" i="25"/>
  <c r="AF309" i="25" s="1"/>
  <c r="K535" i="7"/>
  <c r="F535" i="25"/>
  <c r="K120" i="7"/>
  <c r="AS120" i="7" s="1"/>
  <c r="AY120" i="7" s="1"/>
  <c r="F120" i="25"/>
  <c r="AF120" i="25" s="1"/>
  <c r="K287" i="7"/>
  <c r="AS287" i="7" s="1"/>
  <c r="AY287" i="7" s="1"/>
  <c r="F287" i="25"/>
  <c r="AF287" i="25" s="1"/>
  <c r="K152" i="7"/>
  <c r="AS152" i="7" s="1"/>
  <c r="AY152" i="7" s="1"/>
  <c r="F152" i="25"/>
  <c r="K320" i="7"/>
  <c r="AS320" i="7" s="1"/>
  <c r="AY320" i="7" s="1"/>
  <c r="F320" i="25"/>
  <c r="K202" i="7"/>
  <c r="AS202" i="7" s="1"/>
  <c r="AY202" i="7" s="1"/>
  <c r="F202" i="25"/>
  <c r="AF202" i="25" s="1"/>
  <c r="K90" i="7"/>
  <c r="AS90" i="7" s="1"/>
  <c r="AY90" i="7" s="1"/>
  <c r="F90" i="25"/>
  <c r="K355" i="7"/>
  <c r="F355" i="25"/>
  <c r="K541" i="7"/>
  <c r="F541" i="25"/>
  <c r="K98" i="7"/>
  <c r="AS98" i="7" s="1"/>
  <c r="AY98" i="7" s="1"/>
  <c r="F98" i="25"/>
  <c r="AF98" i="25" s="1"/>
  <c r="K567" i="7"/>
  <c r="AS567" i="7" s="1"/>
  <c r="AY567" i="7" s="1"/>
  <c r="F567" i="25"/>
  <c r="K322" i="7"/>
  <c r="AS322" i="7" s="1"/>
  <c r="AY322" i="7" s="1"/>
  <c r="F322" i="25"/>
  <c r="K13" i="7"/>
  <c r="F13" i="25"/>
  <c r="K505" i="7"/>
  <c r="F505" i="25"/>
  <c r="K403" i="7"/>
  <c r="F403" i="25"/>
  <c r="K70" i="7"/>
  <c r="AS70" i="7" s="1"/>
  <c r="AY70" i="7" s="1"/>
  <c r="F70" i="25"/>
  <c r="K176" i="7"/>
  <c r="F176" i="25"/>
  <c r="AF176" i="25" s="1"/>
  <c r="K553" i="7"/>
  <c r="F553" i="25"/>
  <c r="K261" i="7"/>
  <c r="AS261" i="7" s="1"/>
  <c r="AY261" i="7" s="1"/>
  <c r="F261" i="25"/>
  <c r="AF261" i="25" s="1"/>
  <c r="K430" i="7"/>
  <c r="AS430" i="7" s="1"/>
  <c r="AY430" i="7" s="1"/>
  <c r="F430" i="25"/>
  <c r="K253" i="7"/>
  <c r="AS253" i="7" s="1"/>
  <c r="AY253" i="7" s="1"/>
  <c r="F253" i="25"/>
  <c r="AF253" i="25" s="1"/>
  <c r="K341" i="7"/>
  <c r="AS341" i="7" s="1"/>
  <c r="AY341" i="7" s="1"/>
  <c r="F341" i="25"/>
  <c r="AF341" i="25" s="1"/>
  <c r="K480" i="7"/>
  <c r="AS480" i="7" s="1"/>
  <c r="AY480" i="7" s="1"/>
  <c r="F480" i="25"/>
  <c r="AF480" i="25" s="1"/>
  <c r="K454" i="7"/>
  <c r="F454" i="25"/>
  <c r="K426" i="7"/>
  <c r="F426" i="25"/>
  <c r="AF426" i="25" s="1"/>
  <c r="K459" i="7"/>
  <c r="AS459" i="7" s="1"/>
  <c r="AY459" i="7" s="1"/>
  <c r="F459" i="25"/>
  <c r="W166" i="7"/>
  <c r="D166" i="25"/>
  <c r="K112" i="7"/>
  <c r="AS112" i="7" s="1"/>
  <c r="AY112" i="7" s="1"/>
  <c r="F112" i="25"/>
  <c r="AF112" i="25" s="1"/>
  <c r="W201" i="7"/>
  <c r="D201" i="25"/>
  <c r="W264" i="7"/>
  <c r="D264" i="25"/>
  <c r="W310" i="7"/>
  <c r="D310" i="25"/>
  <c r="V206" i="7"/>
  <c r="D206" i="25"/>
  <c r="V129" i="7"/>
  <c r="D129" i="25"/>
  <c r="V377" i="7"/>
  <c r="D377" i="25"/>
  <c r="V521" i="7"/>
  <c r="D521" i="25"/>
  <c r="W370" i="7"/>
  <c r="D370" i="25"/>
  <c r="V564" i="7"/>
  <c r="D564" i="25"/>
  <c r="V539" i="7"/>
  <c r="D539" i="25"/>
  <c r="V451" i="7"/>
  <c r="D451" i="25"/>
  <c r="W329" i="7"/>
  <c r="D329" i="25"/>
  <c r="V315" i="7"/>
  <c r="D315" i="25"/>
  <c r="V441" i="7"/>
  <c r="D441" i="25"/>
  <c r="W80" i="7"/>
  <c r="D80" i="25"/>
  <c r="V425" i="7"/>
  <c r="D425" i="25"/>
  <c r="W446" i="7"/>
  <c r="D446" i="25"/>
  <c r="W540" i="7"/>
  <c r="D540" i="25"/>
  <c r="W319" i="7"/>
  <c r="D319" i="25"/>
  <c r="V65" i="7"/>
  <c r="D65" i="25"/>
  <c r="W513" i="7"/>
  <c r="D513" i="25"/>
  <c r="V527" i="7"/>
  <c r="D527" i="25"/>
  <c r="V82" i="7"/>
  <c r="D82" i="25"/>
  <c r="W422" i="7"/>
  <c r="D422" i="25"/>
  <c r="W164" i="7"/>
  <c r="D164" i="25"/>
  <c r="W68" i="7"/>
  <c r="D68" i="25"/>
  <c r="W536" i="7"/>
  <c r="D536" i="25"/>
  <c r="W142" i="7"/>
  <c r="D142" i="25"/>
  <c r="V288" i="7"/>
  <c r="D288" i="25"/>
  <c r="W334" i="7"/>
  <c r="D334" i="25"/>
  <c r="W442" i="7"/>
  <c r="D442" i="25"/>
  <c r="V220" i="7"/>
  <c r="D220" i="25"/>
  <c r="V484" i="7"/>
  <c r="D484" i="25"/>
  <c r="W53" i="7"/>
  <c r="D53" i="25"/>
  <c r="W526" i="7"/>
  <c r="D526" i="25"/>
  <c r="W99" i="7"/>
  <c r="D99" i="25"/>
  <c r="V506" i="7"/>
  <c r="D506" i="25"/>
  <c r="W479" i="7"/>
  <c r="D479" i="25"/>
  <c r="W110" i="7"/>
  <c r="D110" i="25"/>
  <c r="W11" i="7"/>
  <c r="D11" i="25"/>
  <c r="V388" i="7"/>
  <c r="D388" i="25"/>
  <c r="V204" i="7"/>
  <c r="D204" i="25"/>
  <c r="V25" i="7"/>
  <c r="D25" i="25"/>
  <c r="W17" i="7"/>
  <c r="D17" i="25"/>
  <c r="V308" i="7"/>
  <c r="D308" i="25"/>
  <c r="W458" i="7"/>
  <c r="D458" i="25"/>
  <c r="W113" i="7"/>
  <c r="D113" i="25"/>
  <c r="W371" i="7"/>
  <c r="D371" i="25"/>
  <c r="W449" i="7"/>
  <c r="D449" i="25"/>
  <c r="V92" i="7"/>
  <c r="D92" i="25"/>
  <c r="W366" i="7"/>
  <c r="D366" i="25"/>
  <c r="K582" i="7"/>
  <c r="AS582" i="7" s="1"/>
  <c r="AY582" i="7" s="1"/>
  <c r="F582" i="25"/>
  <c r="K218" i="7"/>
  <c r="F218" i="25"/>
  <c r="AF218" i="25" s="1"/>
  <c r="W122" i="7"/>
  <c r="D122" i="25"/>
  <c r="W153" i="7"/>
  <c r="D153" i="25"/>
  <c r="W59" i="7"/>
  <c r="D59" i="25"/>
  <c r="W234" i="7"/>
  <c r="D234" i="25"/>
  <c r="V85" i="7"/>
  <c r="D85" i="25"/>
  <c r="V464" i="7"/>
  <c r="D464" i="25"/>
  <c r="V579" i="7"/>
  <c r="D579" i="25"/>
  <c r="V39" i="7"/>
  <c r="D39" i="25"/>
  <c r="V570" i="7"/>
  <c r="D570" i="25"/>
  <c r="W163" i="7"/>
  <c r="D163" i="25"/>
  <c r="W318" i="7"/>
  <c r="D318" i="25"/>
  <c r="W354" i="7"/>
  <c r="D354" i="25"/>
  <c r="V69" i="7"/>
  <c r="D69" i="25"/>
  <c r="W279" i="7"/>
  <c r="D279" i="25"/>
  <c r="W24" i="7"/>
  <c r="D24" i="25"/>
  <c r="V423" i="7"/>
  <c r="D423" i="25"/>
  <c r="V510" i="7"/>
  <c r="D510" i="25"/>
  <c r="V144" i="7"/>
  <c r="D144" i="25"/>
  <c r="V193" i="7"/>
  <c r="D193" i="25"/>
  <c r="W6" i="7"/>
  <c r="D6" i="25"/>
  <c r="V427" i="7"/>
  <c r="D427" i="25"/>
  <c r="V285" i="7"/>
  <c r="D285" i="25"/>
  <c r="V26" i="7"/>
  <c r="D26" i="25"/>
  <c r="W516" i="7"/>
  <c r="D516" i="25"/>
  <c r="W589" i="7"/>
  <c r="D589" i="25"/>
  <c r="W72" i="7"/>
  <c r="D72" i="25"/>
  <c r="V76" i="7"/>
  <c r="D76" i="25"/>
  <c r="W155" i="7"/>
  <c r="D155" i="25"/>
  <c r="V167" i="7"/>
  <c r="D167" i="25"/>
  <c r="W217" i="7"/>
  <c r="D217" i="25"/>
  <c r="W307" i="7"/>
  <c r="D307" i="25"/>
  <c r="W530" i="7"/>
  <c r="D530" i="25"/>
  <c r="V577" i="7"/>
  <c r="D577" i="25"/>
  <c r="V383" i="7"/>
  <c r="D383" i="25"/>
  <c r="V439" i="7"/>
  <c r="D439" i="25"/>
  <c r="W412" i="7"/>
  <c r="D412" i="25"/>
  <c r="V138" i="7"/>
  <c r="D138" i="25"/>
  <c r="V474" i="7"/>
  <c r="D474" i="25"/>
  <c r="W215" i="7"/>
  <c r="D215" i="25"/>
  <c r="K514" i="7"/>
  <c r="AS514" i="7" s="1"/>
  <c r="F514" i="25"/>
  <c r="K263" i="7"/>
  <c r="AS263" i="7" s="1"/>
  <c r="F263" i="25"/>
  <c r="K3" i="7"/>
  <c r="F3" i="25"/>
  <c r="AF3" i="25" s="1"/>
  <c r="K555" i="7"/>
  <c r="AS555" i="7" s="1"/>
  <c r="AY555" i="7" s="1"/>
  <c r="F555" i="25"/>
  <c r="K171" i="7"/>
  <c r="F171" i="25"/>
  <c r="K58" i="7"/>
  <c r="AS58" i="7" s="1"/>
  <c r="AY58" i="7" s="1"/>
  <c r="F58" i="25"/>
  <c r="K499" i="7"/>
  <c r="F499" i="25"/>
  <c r="AF499" i="25" s="1"/>
  <c r="K219" i="7"/>
  <c r="AS219" i="7" s="1"/>
  <c r="AY219" i="7" s="1"/>
  <c r="F219" i="25"/>
  <c r="AF219" i="25" s="1"/>
  <c r="K331" i="7"/>
  <c r="F331" i="25"/>
  <c r="K102" i="7"/>
  <c r="F102" i="25"/>
  <c r="K121" i="7"/>
  <c r="AS121" i="7" s="1"/>
  <c r="AY121" i="7" s="1"/>
  <c r="F121" i="25"/>
  <c r="K360" i="7"/>
  <c r="F360" i="25"/>
  <c r="AF360" i="25" s="1"/>
  <c r="K207" i="7"/>
  <c r="AS207" i="7" s="1"/>
  <c r="AY207" i="7" s="1"/>
  <c r="F207" i="25"/>
  <c r="K465" i="7"/>
  <c r="F465" i="25"/>
  <c r="K568" i="7"/>
  <c r="F568" i="25"/>
  <c r="AF568" i="25" s="1"/>
  <c r="K400" i="7"/>
  <c r="AS400" i="7" s="1"/>
  <c r="AY400" i="7" s="1"/>
  <c r="F400" i="25"/>
  <c r="K574" i="7"/>
  <c r="F574" i="25"/>
  <c r="K533" i="7"/>
  <c r="AS533" i="7" s="1"/>
  <c r="AY533" i="7" s="1"/>
  <c r="F533" i="25"/>
  <c r="K468" i="7"/>
  <c r="F468" i="25"/>
  <c r="K434" i="7"/>
  <c r="AS434" i="7" s="1"/>
  <c r="AY434" i="7" s="1"/>
  <c r="F434" i="25"/>
  <c r="AF434" i="25" s="1"/>
  <c r="K433" i="7"/>
  <c r="AJ433" i="7" s="1"/>
  <c r="F433" i="25"/>
  <c r="AF433" i="25" s="1"/>
  <c r="K145" i="7"/>
  <c r="AS145" i="7" s="1"/>
  <c r="AY145" i="7" s="1"/>
  <c r="F145" i="25"/>
  <c r="AF145" i="25" s="1"/>
  <c r="K45" i="7"/>
  <c r="F45" i="25"/>
  <c r="K571" i="7"/>
  <c r="AS571" i="7" s="1"/>
  <c r="AY571" i="7" s="1"/>
  <c r="F571" i="25"/>
  <c r="K291" i="7"/>
  <c r="F291" i="25"/>
  <c r="K181" i="7"/>
  <c r="AS181" i="7" s="1"/>
  <c r="AY181" i="7" s="1"/>
  <c r="F181" i="25"/>
  <c r="K562" i="7"/>
  <c r="AJ562" i="7" s="1"/>
  <c r="F562" i="25"/>
  <c r="K289" i="7"/>
  <c r="AS289" i="7" s="1"/>
  <c r="AY289" i="7" s="1"/>
  <c r="F289" i="25"/>
  <c r="K327" i="7"/>
  <c r="AS327" i="7" s="1"/>
  <c r="AY327" i="7" s="1"/>
  <c r="F327" i="25"/>
  <c r="K338" i="7"/>
  <c r="AS338" i="7" s="1"/>
  <c r="AY338" i="7" s="1"/>
  <c r="F338" i="25"/>
  <c r="AF338" i="25" s="1"/>
  <c r="K15" i="7"/>
  <c r="F15" i="25"/>
  <c r="K27" i="7"/>
  <c r="AS27" i="7" s="1"/>
  <c r="AY27" i="7" s="1"/>
  <c r="F27" i="25"/>
  <c r="AF27" i="25" s="1"/>
  <c r="K213" i="7"/>
  <c r="AS213" i="7" s="1"/>
  <c r="AY213" i="7" s="1"/>
  <c r="F213" i="25"/>
  <c r="AF213" i="25" s="1"/>
  <c r="K337" i="7"/>
  <c r="AS337" i="7" s="1"/>
  <c r="AY337" i="7" s="1"/>
  <c r="F337" i="25"/>
  <c r="K262" i="7"/>
  <c r="AS262" i="7" s="1"/>
  <c r="AY262" i="7" s="1"/>
  <c r="F262" i="25"/>
  <c r="K587" i="7"/>
  <c r="AS587" i="7" s="1"/>
  <c r="AY587" i="7" s="1"/>
  <c r="F587" i="25"/>
  <c r="AF587" i="25" s="1"/>
  <c r="K375" i="7"/>
  <c r="AS375" i="7" s="1"/>
  <c r="AY375" i="7" s="1"/>
  <c r="F375" i="25"/>
  <c r="K154" i="7"/>
  <c r="AS154" i="7" s="1"/>
  <c r="AY154" i="7" s="1"/>
  <c r="F154" i="25"/>
  <c r="AF154" i="25" s="1"/>
  <c r="K100" i="7"/>
  <c r="AS100" i="7" s="1"/>
  <c r="AY100" i="7" s="1"/>
  <c r="F100" i="25"/>
  <c r="K225" i="7"/>
  <c r="AS225" i="7" s="1"/>
  <c r="AY225" i="7" s="1"/>
  <c r="F225" i="25"/>
  <c r="K537" i="7"/>
  <c r="AS537" i="7" s="1"/>
  <c r="AY537" i="7" s="1"/>
  <c r="F537" i="25"/>
  <c r="K565" i="7"/>
  <c r="AS565" i="7" s="1"/>
  <c r="F565" i="25"/>
  <c r="AF565" i="25" s="1"/>
  <c r="K501" i="7"/>
  <c r="AS501" i="7" s="1"/>
  <c r="AY501" i="7" s="1"/>
  <c r="F501" i="25"/>
  <c r="K393" i="7"/>
  <c r="AS393" i="7" s="1"/>
  <c r="AY393" i="7" s="1"/>
  <c r="F393" i="25"/>
  <c r="AF393" i="25" s="1"/>
  <c r="K51" i="7"/>
  <c r="AS51" i="7" s="1"/>
  <c r="AY51" i="7" s="1"/>
  <c r="F51" i="25"/>
  <c r="AF51" i="25" s="1"/>
  <c r="K93" i="7"/>
  <c r="F93" i="25"/>
  <c r="K178" i="7"/>
  <c r="F178" i="25"/>
  <c r="K424" i="7"/>
  <c r="AS424" i="7" s="1"/>
  <c r="AY424" i="7" s="1"/>
  <c r="F424" i="25"/>
  <c r="AF424" i="25" s="1"/>
  <c r="K409" i="7"/>
  <c r="AS409" i="7" s="1"/>
  <c r="AY409" i="7" s="1"/>
  <c r="F409" i="25"/>
  <c r="K249" i="7"/>
  <c r="F249" i="25"/>
  <c r="K161" i="7"/>
  <c r="AS161" i="7" s="1"/>
  <c r="AY161" i="7" s="1"/>
  <c r="F161" i="25"/>
  <c r="K284" i="7"/>
  <c r="AS284" i="7" s="1"/>
  <c r="AY284" i="7" s="1"/>
  <c r="F284" i="25"/>
  <c r="K350" i="7"/>
  <c r="F350" i="25"/>
  <c r="K116" i="7"/>
  <c r="F116" i="25"/>
  <c r="K494" i="7"/>
  <c r="F494" i="25"/>
  <c r="AF494" i="25" s="1"/>
  <c r="K283" i="7"/>
  <c r="AS283" i="7" s="1"/>
  <c r="AY283" i="7" s="1"/>
  <c r="F283" i="25"/>
  <c r="K466" i="7"/>
  <c r="F466" i="25"/>
  <c r="K88" i="7"/>
  <c r="AS88" i="7" s="1"/>
  <c r="AY88" i="7" s="1"/>
  <c r="F88" i="25"/>
  <c r="V84" i="7"/>
  <c r="D84" i="25"/>
  <c r="K485" i="7"/>
  <c r="AS485" i="7" s="1"/>
  <c r="AY485" i="7" s="1"/>
  <c r="F485" i="25"/>
  <c r="K462" i="7"/>
  <c r="AS462" i="7" s="1"/>
  <c r="AY462" i="7" s="1"/>
  <c r="F462" i="25"/>
  <c r="K37" i="7"/>
  <c r="F37" i="25"/>
  <c r="K226" i="7"/>
  <c r="AJ226" i="7" s="1"/>
  <c r="F226" i="25"/>
  <c r="AB367" i="7"/>
  <c r="AK367" i="7" s="1"/>
  <c r="R367" i="25"/>
  <c r="AB437" i="7"/>
  <c r="AK437" i="7" s="1"/>
  <c r="R437" i="25"/>
  <c r="AB282" i="7"/>
  <c r="AK282" i="7" s="1"/>
  <c r="R282" i="25"/>
  <c r="AB151" i="7"/>
  <c r="AK151" i="7" s="1"/>
  <c r="R151" i="25"/>
  <c r="AB297" i="7"/>
  <c r="AK297" i="7" s="1"/>
  <c r="R297" i="25"/>
  <c r="AB505" i="7"/>
  <c r="AK505" i="7" s="1"/>
  <c r="R505" i="25"/>
  <c r="AB34" i="7"/>
  <c r="AK34" i="7" s="1"/>
  <c r="R34" i="25"/>
  <c r="AB593" i="7"/>
  <c r="AK593" i="7" s="1"/>
  <c r="R593" i="25"/>
  <c r="AB174" i="7"/>
  <c r="AK174" i="7" s="1"/>
  <c r="R174" i="25"/>
  <c r="AB90" i="7"/>
  <c r="AK90" i="7" s="1"/>
  <c r="R90" i="25"/>
  <c r="AB469" i="7"/>
  <c r="AK469" i="7" s="1"/>
  <c r="R469" i="25"/>
  <c r="AB529" i="7"/>
  <c r="AK529" i="7" s="1"/>
  <c r="R529" i="25"/>
  <c r="AB298" i="7"/>
  <c r="AK298" i="7" s="1"/>
  <c r="R298" i="25"/>
  <c r="AB177" i="7"/>
  <c r="AK177" i="7" s="1"/>
  <c r="R177" i="25"/>
  <c r="AB385" i="7"/>
  <c r="AK385" i="7" s="1"/>
  <c r="R385" i="25"/>
  <c r="AB495" i="7"/>
  <c r="AK495" i="7" s="1"/>
  <c r="R495" i="25"/>
  <c r="AB401" i="7"/>
  <c r="AK401" i="7" s="1"/>
  <c r="R401" i="25"/>
  <c r="AB41" i="7"/>
  <c r="AK41" i="7" s="1"/>
  <c r="R41" i="25"/>
  <c r="AB373" i="7"/>
  <c r="AK373" i="7" s="1"/>
  <c r="R373" i="25"/>
  <c r="AB175" i="7"/>
  <c r="AK175" i="7" s="1"/>
  <c r="R175" i="25"/>
  <c r="AB489" i="7"/>
  <c r="AK489" i="7" s="1"/>
  <c r="R489" i="25"/>
  <c r="AB263" i="7"/>
  <c r="AK263" i="7" s="1"/>
  <c r="R263" i="25"/>
  <c r="AB431" i="7"/>
  <c r="AK431" i="7" s="1"/>
  <c r="R431" i="25"/>
  <c r="AB85" i="7"/>
  <c r="AK85" i="7" s="1"/>
  <c r="AB479" i="7"/>
  <c r="AK479" i="7" s="1"/>
  <c r="R479" i="25"/>
  <c r="AB204" i="7"/>
  <c r="AK204" i="7" s="1"/>
  <c r="R204" i="25"/>
  <c r="AB79" i="7"/>
  <c r="AK79" i="7" s="1"/>
  <c r="R79" i="25"/>
  <c r="AB26" i="7"/>
  <c r="AK26" i="7" s="1"/>
  <c r="R26" i="25"/>
  <c r="AB217" i="7"/>
  <c r="AK217" i="7" s="1"/>
  <c r="R217" i="25"/>
  <c r="AB303" i="7"/>
  <c r="AK303" i="7" s="1"/>
  <c r="R303" i="25"/>
  <c r="AB58" i="7"/>
  <c r="AK58" i="7" s="1"/>
  <c r="R58" i="25"/>
  <c r="AB398" i="7"/>
  <c r="AK398" i="7" s="1"/>
  <c r="R398" i="25"/>
  <c r="AB137" i="7"/>
  <c r="AK137" i="7" s="1"/>
  <c r="R137" i="25"/>
  <c r="AB586" i="7"/>
  <c r="AK586" i="7" s="1"/>
  <c r="R586" i="25"/>
  <c r="AB121" i="7"/>
  <c r="AK121" i="7" s="1"/>
  <c r="R121" i="25"/>
  <c r="W105" i="7"/>
  <c r="D105" i="25"/>
  <c r="W437" i="7"/>
  <c r="D437" i="25"/>
  <c r="V78" i="7"/>
  <c r="D78" i="25"/>
  <c r="AB460" i="7"/>
  <c r="AK460" i="7" s="1"/>
  <c r="R460" i="25"/>
  <c r="AB410" i="7"/>
  <c r="AK410" i="7" s="1"/>
  <c r="R410" i="25"/>
  <c r="AB415" i="7"/>
  <c r="AK415" i="7" s="1"/>
  <c r="R415" i="25"/>
  <c r="AB545" i="7"/>
  <c r="AK545" i="7" s="1"/>
  <c r="R545" i="25"/>
  <c r="AB457" i="7"/>
  <c r="AK457" i="7" s="1"/>
  <c r="R457" i="25"/>
  <c r="AB197" i="7"/>
  <c r="AK197" i="7" s="1"/>
  <c r="R197" i="25"/>
  <c r="AB471" i="7"/>
  <c r="AK471" i="7" s="1"/>
  <c r="R471" i="25"/>
  <c r="AB103" i="7"/>
  <c r="AK103" i="7" s="1"/>
  <c r="R103" i="25"/>
  <c r="AB185" i="7"/>
  <c r="AK185" i="7" s="1"/>
  <c r="R185" i="25"/>
  <c r="AB350" i="7"/>
  <c r="AK350" i="7" s="1"/>
  <c r="R350" i="25"/>
  <c r="AB73" i="7"/>
  <c r="AK73" i="7" s="1"/>
  <c r="R73" i="25"/>
  <c r="AB511" i="7"/>
  <c r="AK511" i="7" s="1"/>
  <c r="R511" i="25"/>
  <c r="AB487" i="7"/>
  <c r="AK487" i="7" s="1"/>
  <c r="R487" i="25"/>
  <c r="AB366" i="7"/>
  <c r="AK366" i="7" s="1"/>
  <c r="R366" i="25"/>
  <c r="AB133" i="7"/>
  <c r="AK133" i="7" s="1"/>
  <c r="R133" i="25"/>
  <c r="W515" i="7"/>
  <c r="D515" i="25"/>
  <c r="V363" i="7"/>
  <c r="D363" i="25"/>
  <c r="V83" i="7"/>
  <c r="D83" i="25"/>
  <c r="W227" i="7"/>
  <c r="D227" i="25"/>
  <c r="W332" i="7"/>
  <c r="D332" i="25"/>
  <c r="V544" i="7"/>
  <c r="D544" i="25"/>
  <c r="W2" i="7"/>
  <c r="D2" i="25"/>
  <c r="V10" i="7"/>
  <c r="D10" i="25"/>
  <c r="W282" i="7"/>
  <c r="D282" i="25"/>
  <c r="W104" i="7"/>
  <c r="D104" i="25"/>
  <c r="W16" i="7"/>
  <c r="D16" i="25"/>
  <c r="W491" i="7"/>
  <c r="D491" i="25"/>
  <c r="W519" i="7"/>
  <c r="D519" i="25"/>
  <c r="AB169" i="7"/>
  <c r="AK169" i="7" s="1"/>
  <c r="R169" i="25"/>
  <c r="AB18" i="7"/>
  <c r="AK18" i="7" s="1"/>
  <c r="R18" i="25"/>
  <c r="AB588" i="7"/>
  <c r="AK588" i="7" s="1"/>
  <c r="R588" i="25"/>
  <c r="AB113" i="7"/>
  <c r="AK113" i="7" s="1"/>
  <c r="R113" i="25"/>
  <c r="AB229" i="7"/>
  <c r="AK229" i="7" s="1"/>
  <c r="R229" i="25"/>
  <c r="AB318" i="7"/>
  <c r="AK318" i="7" s="1"/>
  <c r="R318" i="25"/>
  <c r="AB510" i="7"/>
  <c r="R510" i="25"/>
  <c r="AB362" i="7"/>
  <c r="AK362" i="7" s="1"/>
  <c r="R362" i="25"/>
  <c r="V205" i="7"/>
  <c r="D205" i="25"/>
  <c r="W591" i="7"/>
  <c r="D591" i="25"/>
  <c r="W486" i="7"/>
  <c r="D486" i="25"/>
  <c r="W292" i="7"/>
  <c r="D292" i="25"/>
  <c r="W557" i="7"/>
  <c r="D557" i="25"/>
  <c r="W596" i="7"/>
  <c r="D596" i="25"/>
  <c r="V242" i="7"/>
  <c r="D242" i="25"/>
  <c r="W270" i="7"/>
  <c r="D270" i="25"/>
  <c r="V119" i="7"/>
  <c r="D119" i="25"/>
  <c r="V472" i="7"/>
  <c r="D472" i="25"/>
  <c r="V187" i="7"/>
  <c r="D187" i="25"/>
  <c r="W585" i="7"/>
  <c r="D585" i="25"/>
  <c r="W336" i="7"/>
  <c r="D336" i="25"/>
  <c r="V356" i="7"/>
  <c r="D356" i="25"/>
  <c r="W48" i="7"/>
  <c r="D48" i="25"/>
  <c r="AB503" i="7"/>
  <c r="AK503" i="7" s="1"/>
  <c r="R503" i="25"/>
  <c r="AB222" i="7"/>
  <c r="AK222" i="7" s="1"/>
  <c r="R222" i="25"/>
  <c r="V352" i="7"/>
  <c r="D352" i="25"/>
  <c r="W106" i="7"/>
  <c r="D106" i="25"/>
  <c r="V573" i="7"/>
  <c r="D573" i="25"/>
  <c r="W584" i="7"/>
  <c r="D584" i="25"/>
  <c r="V108" i="7"/>
  <c r="D108" i="25"/>
  <c r="W128" i="7"/>
  <c r="D128" i="25"/>
  <c r="W428" i="7"/>
  <c r="D428" i="25"/>
  <c r="V239" i="7"/>
  <c r="D239" i="25"/>
  <c r="W367" i="7"/>
  <c r="D367" i="25"/>
  <c r="AB129" i="7"/>
  <c r="AK129" i="7" s="1"/>
  <c r="R129" i="25"/>
  <c r="V271" i="7"/>
  <c r="D271" i="25"/>
  <c r="V482" i="7"/>
  <c r="D482" i="25"/>
  <c r="V345" i="7"/>
  <c r="D345" i="25"/>
  <c r="W368" i="7"/>
  <c r="D368" i="25"/>
  <c r="V199" i="7"/>
  <c r="D199" i="25"/>
  <c r="V419" i="7"/>
  <c r="D419" i="25"/>
  <c r="V35" i="7"/>
  <c r="D35" i="25"/>
  <c r="W402" i="7"/>
  <c r="D402" i="25"/>
  <c r="AB313" i="7"/>
  <c r="AK313" i="7" s="1"/>
  <c r="R313" i="25"/>
  <c r="AB33" i="7"/>
  <c r="AK33" i="7" s="1"/>
  <c r="R33" i="25"/>
  <c r="W335" i="7"/>
  <c r="D335" i="25"/>
  <c r="R118" i="25"/>
  <c r="R150" i="25"/>
  <c r="R290" i="25"/>
  <c r="R322" i="25"/>
  <c r="R498" i="25"/>
  <c r="R578" i="25"/>
  <c r="R163" i="25"/>
  <c r="R275" i="25"/>
  <c r="R323" i="25"/>
  <c r="R363" i="25"/>
  <c r="R515" i="25"/>
  <c r="R539" i="25"/>
  <c r="R563" i="25"/>
  <c r="R16" i="25"/>
  <c r="R20" i="25"/>
  <c r="R52" i="25"/>
  <c r="R124" i="25"/>
  <c r="R144" i="25"/>
  <c r="R188" i="25"/>
  <c r="R216" i="25"/>
  <c r="R328" i="25"/>
  <c r="R348" i="25"/>
  <c r="R404" i="25"/>
  <c r="R444" i="25"/>
  <c r="R500" i="25"/>
  <c r="R512" i="25"/>
  <c r="R544" i="25"/>
  <c r="R560" i="25"/>
  <c r="R584" i="25"/>
  <c r="R45" i="25"/>
  <c r="R93" i="25"/>
  <c r="R125" i="25"/>
  <c r="R173" i="25"/>
  <c r="R237" i="25"/>
  <c r="R461" i="25"/>
  <c r="R541" i="25"/>
  <c r="Y3" i="25"/>
  <c r="AE280" i="25"/>
  <c r="AK280" i="25" s="1"/>
  <c r="AE300" i="25"/>
  <c r="AK300" i="25" s="1"/>
  <c r="AE348" i="25"/>
  <c r="AK348" i="25" s="1"/>
  <c r="AE12" i="25"/>
  <c r="AK12" i="25" s="1"/>
  <c r="AE172" i="25"/>
  <c r="AK172" i="25" s="1"/>
  <c r="AE204" i="25"/>
  <c r="AK204" i="25" s="1"/>
  <c r="AE220" i="25"/>
  <c r="AK220" i="25" s="1"/>
  <c r="AE236" i="25"/>
  <c r="AK236" i="25" s="1"/>
  <c r="AE376" i="25"/>
  <c r="AK376" i="25" s="1"/>
  <c r="AE444" i="25"/>
  <c r="AK444" i="25" s="1"/>
  <c r="AE476" i="25"/>
  <c r="AK476" i="25" s="1"/>
  <c r="AO65" i="25"/>
  <c r="AO377" i="25"/>
  <c r="AE332" i="25"/>
  <c r="AK332" i="25" s="1"/>
  <c r="AE480" i="25"/>
  <c r="AK480" i="25" s="1"/>
  <c r="AE219" i="25"/>
  <c r="AK219" i="25" s="1"/>
  <c r="AE276" i="25"/>
  <c r="AK276" i="25" s="1"/>
  <c r="AE340" i="25"/>
  <c r="AK340" i="25" s="1"/>
  <c r="AE404" i="25"/>
  <c r="AK404" i="25" s="1"/>
  <c r="AE468" i="25"/>
  <c r="AK468" i="25" s="1"/>
  <c r="AE16" i="25"/>
  <c r="AK16" i="25" s="1"/>
  <c r="AE299" i="25"/>
  <c r="AK299" i="25" s="1"/>
  <c r="AE228" i="25"/>
  <c r="AK228" i="25" s="1"/>
  <c r="AE292" i="25"/>
  <c r="AK292" i="25" s="1"/>
  <c r="AE420" i="25"/>
  <c r="AK420" i="25" s="1"/>
  <c r="AE372" i="25"/>
  <c r="AK372" i="25" s="1"/>
  <c r="AE11" i="25"/>
  <c r="AK11" i="25" s="1"/>
  <c r="AE48" i="25"/>
  <c r="AK48" i="25" s="1"/>
  <c r="AE304" i="25"/>
  <c r="AK304" i="25" s="1"/>
  <c r="AE432" i="25"/>
  <c r="AK432" i="25" s="1"/>
  <c r="AE263" i="25"/>
  <c r="AK263" i="25" s="1"/>
  <c r="AE311" i="25"/>
  <c r="AK311" i="25" s="1"/>
  <c r="AE403" i="25"/>
  <c r="AK403" i="25" s="1"/>
  <c r="AE447" i="25"/>
  <c r="AK447" i="25" s="1"/>
  <c r="AE463" i="25"/>
  <c r="AK463" i="25" s="1"/>
  <c r="AE187" i="25"/>
  <c r="AK187" i="25" s="1"/>
  <c r="AE195" i="25"/>
  <c r="AK195" i="25" s="1"/>
  <c r="AE64" i="25"/>
  <c r="AK64" i="25" s="1"/>
  <c r="AE31" i="25"/>
  <c r="AK31" i="25" s="1"/>
  <c r="AE39" i="25"/>
  <c r="AK39" i="25" s="1"/>
  <c r="AE55" i="25"/>
  <c r="AK55" i="25" s="1"/>
  <c r="AE71" i="25"/>
  <c r="AK71" i="25" s="1"/>
  <c r="AE79" i="25"/>
  <c r="AK79" i="25" s="1"/>
  <c r="AE111" i="25"/>
  <c r="AK111" i="25" s="1"/>
  <c r="AE119" i="25"/>
  <c r="AK119" i="25" s="1"/>
  <c r="AE143" i="25"/>
  <c r="AK143" i="25" s="1"/>
  <c r="AE151" i="25"/>
  <c r="AK151" i="25" s="1"/>
  <c r="AE159" i="25"/>
  <c r="AK159" i="25" s="1"/>
  <c r="AE175" i="25"/>
  <c r="AK175" i="25" s="1"/>
  <c r="AE199" i="25"/>
  <c r="AK199" i="25" s="1"/>
  <c r="AE247" i="25"/>
  <c r="AK247" i="25" s="1"/>
  <c r="AE255" i="25"/>
  <c r="AK255" i="25" s="1"/>
  <c r="AE295" i="25"/>
  <c r="AK295" i="25" s="1"/>
  <c r="AE339" i="25"/>
  <c r="AK339" i="25" s="1"/>
  <c r="AE419" i="25"/>
  <c r="AK419" i="25" s="1"/>
  <c r="AE455" i="25"/>
  <c r="AK455" i="25" s="1"/>
  <c r="AE59" i="25"/>
  <c r="AK59" i="25" s="1"/>
  <c r="AE227" i="25"/>
  <c r="AK227" i="25" s="1"/>
  <c r="AE251" i="25"/>
  <c r="AK251" i="25" s="1"/>
  <c r="AE347" i="25"/>
  <c r="AK347" i="25" s="1"/>
  <c r="AE484" i="25"/>
  <c r="AK484" i="25" s="1"/>
  <c r="AO72" i="25"/>
  <c r="AO92" i="25"/>
  <c r="AO96" i="25"/>
  <c r="AE448" i="25"/>
  <c r="AK448" i="25" s="1"/>
  <c r="AE80" i="25"/>
  <c r="AK80" i="25" s="1"/>
  <c r="AE47" i="25"/>
  <c r="AK47" i="25" s="1"/>
  <c r="AE127" i="25"/>
  <c r="AK127" i="25" s="1"/>
  <c r="AE283" i="25"/>
  <c r="AK283" i="25" s="1"/>
  <c r="AE399" i="25"/>
  <c r="AK399" i="25" s="1"/>
  <c r="AE467" i="25"/>
  <c r="AK467" i="25" s="1"/>
  <c r="AE483" i="25"/>
  <c r="AK483" i="25" s="1"/>
  <c r="AE49" i="25"/>
  <c r="AK49" i="25" s="1"/>
  <c r="AE113" i="25"/>
  <c r="AK113" i="25" s="1"/>
  <c r="AE161" i="25"/>
  <c r="AK161" i="25" s="1"/>
  <c r="AE464" i="25"/>
  <c r="AK464" i="25" s="1"/>
  <c r="AE443" i="25"/>
  <c r="AK443" i="25" s="1"/>
  <c r="AE411" i="25"/>
  <c r="AK411" i="25" s="1"/>
  <c r="AE400" i="25"/>
  <c r="AK400" i="25" s="1"/>
  <c r="AE327" i="25"/>
  <c r="AK327" i="25" s="1"/>
  <c r="AE324" i="25"/>
  <c r="AK324" i="25" s="1"/>
  <c r="AE452" i="25"/>
  <c r="AK452" i="25" s="1"/>
  <c r="AE20" i="25"/>
  <c r="AK20" i="25" s="1"/>
  <c r="AE364" i="25"/>
  <c r="AK364" i="25" s="1"/>
  <c r="AE428" i="25"/>
  <c r="AK428" i="25" s="1"/>
  <c r="AE474" i="25"/>
  <c r="AK474" i="25" s="1"/>
  <c r="AE560" i="25"/>
  <c r="AK560" i="25" s="1"/>
  <c r="AE552" i="25"/>
  <c r="AK552" i="25" s="1"/>
  <c r="AE19" i="25"/>
  <c r="AK19" i="25" s="1"/>
  <c r="AE125" i="25"/>
  <c r="AK125" i="25" s="1"/>
  <c r="AE201" i="25"/>
  <c r="AK201" i="25" s="1"/>
  <c r="AE329" i="25"/>
  <c r="AK329" i="25" s="1"/>
  <c r="AE409" i="25"/>
  <c r="AK409" i="25" s="1"/>
  <c r="AE537" i="25"/>
  <c r="AK537" i="25" s="1"/>
  <c r="AE585" i="25"/>
  <c r="AK585" i="25" s="1"/>
  <c r="AE9" i="25"/>
  <c r="AK9" i="25" s="1"/>
  <c r="AE73" i="25"/>
  <c r="AK73" i="25" s="1"/>
  <c r="AE514" i="25"/>
  <c r="AK514" i="25" s="1"/>
  <c r="AE165" i="25"/>
  <c r="AK165" i="25" s="1"/>
  <c r="AE507" i="25"/>
  <c r="AK507" i="25" s="1"/>
  <c r="AE539" i="25"/>
  <c r="AK539" i="25" s="1"/>
  <c r="AE571" i="25"/>
  <c r="AK571" i="25" s="1"/>
  <c r="AE268" i="25"/>
  <c r="AK268" i="25" s="1"/>
  <c r="AE18" i="25"/>
  <c r="AK18" i="25" s="1"/>
  <c r="AE50" i="25"/>
  <c r="AK50" i="25" s="1"/>
  <c r="AE74" i="25"/>
  <c r="AK74" i="25" s="1"/>
  <c r="AE246" i="25"/>
  <c r="AK246" i="25" s="1"/>
  <c r="AE306" i="25"/>
  <c r="AK306" i="25" s="1"/>
  <c r="AE354" i="25"/>
  <c r="AK354" i="25" s="1"/>
  <c r="AE370" i="25"/>
  <c r="AK370" i="25" s="1"/>
  <c r="AE386" i="25"/>
  <c r="AK386" i="25" s="1"/>
  <c r="AE402" i="25"/>
  <c r="AK402" i="25" s="1"/>
  <c r="AE462" i="25"/>
  <c r="AK462" i="25" s="1"/>
  <c r="AE516" i="25"/>
  <c r="AK516" i="25" s="1"/>
  <c r="AE58" i="25"/>
  <c r="AK58" i="25" s="1"/>
  <c r="AE134" i="25"/>
  <c r="AK134" i="25" s="1"/>
  <c r="AE3" i="25"/>
  <c r="AK3" i="25" s="1"/>
  <c r="AE205" i="25"/>
  <c r="AK205" i="25" s="1"/>
  <c r="AE221" i="25"/>
  <c r="AK221" i="25" s="1"/>
  <c r="AE253" i="25"/>
  <c r="AK253" i="25" s="1"/>
  <c r="AE381" i="25"/>
  <c r="AK381" i="25" s="1"/>
  <c r="AE413" i="25"/>
  <c r="AK413" i="25" s="1"/>
  <c r="AE493" i="25"/>
  <c r="AK493" i="25" s="1"/>
  <c r="AE525" i="25"/>
  <c r="AK525" i="25" s="1"/>
  <c r="AE557" i="25"/>
  <c r="AK557" i="25" s="1"/>
  <c r="AE52" i="25"/>
  <c r="AK52" i="25" s="1"/>
  <c r="AE550" i="25"/>
  <c r="AK550" i="25" s="1"/>
  <c r="AE582" i="25"/>
  <c r="AK582" i="25" s="1"/>
  <c r="AE235" i="25"/>
  <c r="AK235" i="25" s="1"/>
  <c r="AE527" i="25"/>
  <c r="AK527" i="25" s="1"/>
  <c r="AE192" i="25"/>
  <c r="AK192" i="25" s="1"/>
  <c r="AE256" i="25"/>
  <c r="AK256" i="25" s="1"/>
  <c r="AE328" i="25"/>
  <c r="AK328" i="25" s="1"/>
  <c r="AE548" i="25"/>
  <c r="AK548" i="25" s="1"/>
  <c r="AE34" i="25"/>
  <c r="AK34" i="25" s="1"/>
  <c r="AE114" i="25"/>
  <c r="AK114" i="25" s="1"/>
  <c r="AE238" i="25"/>
  <c r="AK238" i="25" s="1"/>
  <c r="AE482" i="25"/>
  <c r="AK482" i="25" s="1"/>
  <c r="AE203" i="25"/>
  <c r="AK203" i="25" s="1"/>
  <c r="AE379" i="25"/>
  <c r="AK379" i="25" s="1"/>
  <c r="AE186" i="25"/>
  <c r="AK186" i="25" s="1"/>
  <c r="AE206" i="25"/>
  <c r="AK206" i="25" s="1"/>
  <c r="AE214" i="25"/>
  <c r="AK214" i="25" s="1"/>
  <c r="AE426" i="25"/>
  <c r="AK426" i="25" s="1"/>
  <c r="AE442" i="25"/>
  <c r="AK442" i="25" s="1"/>
  <c r="AE8" i="25"/>
  <c r="AK8" i="25" s="1"/>
  <c r="AE51" i="25"/>
  <c r="AK51" i="25" s="1"/>
  <c r="AE136" i="25"/>
  <c r="AK136" i="25" s="1"/>
  <c r="AE157" i="25"/>
  <c r="AK157" i="25" s="1"/>
  <c r="AE177" i="25"/>
  <c r="AK177" i="25" s="1"/>
  <c r="AE273" i="25"/>
  <c r="AK273" i="25" s="1"/>
  <c r="AE305" i="25"/>
  <c r="AK305" i="25" s="1"/>
  <c r="AE321" i="25"/>
  <c r="AK321" i="25" s="1"/>
  <c r="AE481" i="25"/>
  <c r="AK481" i="25" s="1"/>
  <c r="AE513" i="25"/>
  <c r="AK513" i="25" s="1"/>
  <c r="AE545" i="25"/>
  <c r="AK545" i="25" s="1"/>
  <c r="AE561" i="25"/>
  <c r="AK561" i="25" s="1"/>
  <c r="AE577" i="25"/>
  <c r="AK577" i="25" s="1"/>
  <c r="AE593" i="25"/>
  <c r="AK593" i="25" s="1"/>
  <c r="AE57" i="25"/>
  <c r="AK57" i="25" s="1"/>
  <c r="AE554" i="25"/>
  <c r="AK554" i="25" s="1"/>
  <c r="AE87" i="25"/>
  <c r="AK87" i="25" s="1"/>
  <c r="AE103" i="25"/>
  <c r="AK103" i="25" s="1"/>
  <c r="AE27" i="25"/>
  <c r="AK27" i="25" s="1"/>
  <c r="AE75" i="25"/>
  <c r="AK75" i="25" s="1"/>
  <c r="AE259" i="25"/>
  <c r="AK259" i="25" s="1"/>
  <c r="AE451" i="25"/>
  <c r="AK451" i="25" s="1"/>
  <c r="AE531" i="25"/>
  <c r="AK531" i="25" s="1"/>
  <c r="AE547" i="25"/>
  <c r="AK547" i="25" s="1"/>
  <c r="AE563" i="25"/>
  <c r="AK563" i="25" s="1"/>
  <c r="AE595" i="25"/>
  <c r="AK595" i="25" s="1"/>
  <c r="AE129" i="25"/>
  <c r="AK129" i="25" s="1"/>
  <c r="AE180" i="25"/>
  <c r="AK180" i="25" s="1"/>
  <c r="AE196" i="25"/>
  <c r="AK196" i="25" s="1"/>
  <c r="AE244" i="25"/>
  <c r="AK244" i="25" s="1"/>
  <c r="AE260" i="25"/>
  <c r="AK260" i="25" s="1"/>
  <c r="AE10" i="25"/>
  <c r="AK10" i="25" s="1"/>
  <c r="AE42" i="25"/>
  <c r="AK42" i="25" s="1"/>
  <c r="AE138" i="25"/>
  <c r="AK138" i="25" s="1"/>
  <c r="AE166" i="25"/>
  <c r="AK166" i="25" s="1"/>
  <c r="AE194" i="25"/>
  <c r="AK194" i="25" s="1"/>
  <c r="AE210" i="25"/>
  <c r="AK210" i="25" s="1"/>
  <c r="AE422" i="25"/>
  <c r="AK422" i="25" s="1"/>
  <c r="AE504" i="25"/>
  <c r="AK504" i="25" s="1"/>
  <c r="AE544" i="25"/>
  <c r="AK544" i="25" s="1"/>
  <c r="AE70" i="25"/>
  <c r="AK70" i="25" s="1"/>
  <c r="AE102" i="25"/>
  <c r="AK102" i="25" s="1"/>
  <c r="AE170" i="25"/>
  <c r="AK170" i="25" s="1"/>
  <c r="AE226" i="25"/>
  <c r="AK226" i="25" s="1"/>
  <c r="AE258" i="25"/>
  <c r="AK258" i="25" s="1"/>
  <c r="AE274" i="25"/>
  <c r="AK274" i="25" s="1"/>
  <c r="AE294" i="25"/>
  <c r="AK294" i="25" s="1"/>
  <c r="AE342" i="25"/>
  <c r="AK342" i="25" s="1"/>
  <c r="AE358" i="25"/>
  <c r="AK358" i="25" s="1"/>
  <c r="AE390" i="25"/>
  <c r="AK390" i="25" s="1"/>
  <c r="AE406" i="25"/>
  <c r="AK406" i="25" s="1"/>
  <c r="AE43" i="25"/>
  <c r="AK43" i="25" s="1"/>
  <c r="AE63" i="25"/>
  <c r="AK63" i="25" s="1"/>
  <c r="AE139" i="25"/>
  <c r="AK139" i="25" s="1"/>
  <c r="AE223" i="25"/>
  <c r="AK223" i="25" s="1"/>
  <c r="AE271" i="25"/>
  <c r="AK271" i="25" s="1"/>
  <c r="AE291" i="25"/>
  <c r="AK291" i="25" s="1"/>
  <c r="AE375" i="25"/>
  <c r="AK375" i="25" s="1"/>
  <c r="AE407" i="25"/>
  <c r="AK407" i="25" s="1"/>
  <c r="AE281" i="25"/>
  <c r="AK281" i="25" s="1"/>
  <c r="AE313" i="25"/>
  <c r="AK313" i="25" s="1"/>
  <c r="AE425" i="25"/>
  <c r="AK425" i="25" s="1"/>
  <c r="AE457" i="25"/>
  <c r="AK457" i="25" s="1"/>
  <c r="AE521" i="25"/>
  <c r="AK521" i="25" s="1"/>
  <c r="AE553" i="25"/>
  <c r="AK553" i="25" s="1"/>
  <c r="AE169" i="25"/>
  <c r="AK169" i="25" s="1"/>
  <c r="AE594" i="25"/>
  <c r="AK594" i="25" s="1"/>
  <c r="AE523" i="25"/>
  <c r="AK523" i="25" s="1"/>
  <c r="AE555" i="25"/>
  <c r="AK555" i="25" s="1"/>
  <c r="AE146" i="25"/>
  <c r="AK146" i="25" s="1"/>
  <c r="AE262" i="25"/>
  <c r="AK262" i="25" s="1"/>
  <c r="AE278" i="25"/>
  <c r="AK278" i="25" s="1"/>
  <c r="AE478" i="25"/>
  <c r="AK478" i="25" s="1"/>
  <c r="AE198" i="25"/>
  <c r="AK198" i="25" s="1"/>
  <c r="AE334" i="25"/>
  <c r="AK334" i="25" s="1"/>
  <c r="AE67" i="25"/>
  <c r="AK67" i="25" s="1"/>
  <c r="AE109" i="25"/>
  <c r="AK109" i="25" s="1"/>
  <c r="AE189" i="25"/>
  <c r="AK189" i="25" s="1"/>
  <c r="AE237" i="25"/>
  <c r="AK237" i="25" s="1"/>
  <c r="AE269" i="25"/>
  <c r="AK269" i="25" s="1"/>
  <c r="AE301" i="25"/>
  <c r="AK301" i="25" s="1"/>
  <c r="AE333" i="25"/>
  <c r="AK333" i="25" s="1"/>
  <c r="AE365" i="25"/>
  <c r="AK365" i="25" s="1"/>
  <c r="AE397" i="25"/>
  <c r="AK397" i="25" s="1"/>
  <c r="AE445" i="25"/>
  <c r="AK445" i="25" s="1"/>
  <c r="AE509" i="25"/>
  <c r="AK509" i="25" s="1"/>
  <c r="AE573" i="25"/>
  <c r="AK573" i="25" s="1"/>
  <c r="AE69" i="25"/>
  <c r="AK69" i="25" s="1"/>
  <c r="AE117" i="25"/>
  <c r="AK117" i="25" s="1"/>
  <c r="AE575" i="25"/>
  <c r="AK575" i="25" s="1"/>
  <c r="AE222" i="25"/>
  <c r="AK222" i="25" s="1"/>
  <c r="AE254" i="25"/>
  <c r="AK254" i="25" s="1"/>
  <c r="AE346" i="25"/>
  <c r="AK346" i="25" s="1"/>
  <c r="AE362" i="25"/>
  <c r="AK362" i="25" s="1"/>
  <c r="AE394" i="25"/>
  <c r="AK394" i="25" s="1"/>
  <c r="AE592" i="25"/>
  <c r="AK592" i="25" s="1"/>
  <c r="AE98" i="25"/>
  <c r="AK98" i="25" s="1"/>
  <c r="AE126" i="25"/>
  <c r="AK126" i="25" s="1"/>
  <c r="AE13" i="25"/>
  <c r="AK13" i="25" s="1"/>
  <c r="AE35" i="25"/>
  <c r="AK35" i="25" s="1"/>
  <c r="AE56" i="25"/>
  <c r="AK56" i="25" s="1"/>
  <c r="AE77" i="25"/>
  <c r="AK77" i="25" s="1"/>
  <c r="AE213" i="25"/>
  <c r="AK213" i="25" s="1"/>
  <c r="AE261" i="25"/>
  <c r="AK261" i="25" s="1"/>
  <c r="AE309" i="25"/>
  <c r="AK309" i="25" s="1"/>
  <c r="AE357" i="25"/>
  <c r="AK357" i="25" s="1"/>
  <c r="AE421" i="25"/>
  <c r="AK421" i="25" s="1"/>
  <c r="AE453" i="25"/>
  <c r="AK453" i="25" s="1"/>
  <c r="AE501" i="25"/>
  <c r="AK501" i="25" s="1"/>
  <c r="AE533" i="25"/>
  <c r="AK533" i="25" s="1"/>
  <c r="AE549" i="25"/>
  <c r="AK549" i="25" s="1"/>
  <c r="AE565" i="25"/>
  <c r="AK565" i="25" s="1"/>
  <c r="AE36" i="25"/>
  <c r="AK36" i="25" s="1"/>
  <c r="AE68" i="25"/>
  <c r="AK68" i="25" s="1"/>
  <c r="AE100" i="25"/>
  <c r="AK100" i="25" s="1"/>
  <c r="AE526" i="25"/>
  <c r="AK526" i="25" s="1"/>
  <c r="AE542" i="25"/>
  <c r="AK542" i="25" s="1"/>
  <c r="AE590" i="25"/>
  <c r="AK590" i="25" s="1"/>
  <c r="AE37" i="25"/>
  <c r="AK37" i="25" s="1"/>
  <c r="AE85" i="25"/>
  <c r="AK85" i="25" s="1"/>
  <c r="AE371" i="25"/>
  <c r="AK371" i="25" s="1"/>
  <c r="AE519" i="25"/>
  <c r="AK519" i="25" s="1"/>
  <c r="AE535" i="25"/>
  <c r="AK535" i="25" s="1"/>
  <c r="AE551" i="25"/>
  <c r="AK551" i="25" s="1"/>
  <c r="AE567" i="25"/>
  <c r="AK567" i="25" s="1"/>
  <c r="AE580" i="25"/>
  <c r="AK580" i="25" s="1"/>
  <c r="AE540" i="25"/>
  <c r="AK540" i="25" s="1"/>
  <c r="AE78" i="25"/>
  <c r="AK78" i="25" s="1"/>
  <c r="AE182" i="25"/>
  <c r="AK182" i="25" s="1"/>
  <c r="AE438" i="25"/>
  <c r="AK438" i="25" s="1"/>
  <c r="AE446" i="25"/>
  <c r="AK446" i="25" s="1"/>
  <c r="AE584" i="25"/>
  <c r="AK584" i="25" s="1"/>
  <c r="AE556" i="25"/>
  <c r="AK556" i="25" s="1"/>
  <c r="AE38" i="25"/>
  <c r="AK38" i="25" s="1"/>
  <c r="AE62" i="25"/>
  <c r="AK62" i="25" s="1"/>
  <c r="AE150" i="25"/>
  <c r="AK150" i="25" s="1"/>
  <c r="AE234" i="25"/>
  <c r="AK234" i="25" s="1"/>
  <c r="AE242" i="25"/>
  <c r="AK242" i="25" s="1"/>
  <c r="AE250" i="25"/>
  <c r="AK250" i="25" s="1"/>
  <c r="AE282" i="25"/>
  <c r="AK282" i="25" s="1"/>
  <c r="AE302" i="25"/>
  <c r="AK302" i="25" s="1"/>
  <c r="AE318" i="25"/>
  <c r="AK318" i="25" s="1"/>
  <c r="AE382" i="25"/>
  <c r="AK382" i="25" s="1"/>
  <c r="AE572" i="25"/>
  <c r="AK572" i="25" s="1"/>
  <c r="AE434" i="25"/>
  <c r="AK434" i="25" s="1"/>
  <c r="AE486" i="25"/>
  <c r="AK486" i="25" s="1"/>
  <c r="V590" i="7"/>
  <c r="W590" i="7"/>
  <c r="V488" i="7"/>
  <c r="W488" i="7"/>
  <c r="V541" i="7"/>
  <c r="W559" i="7"/>
  <c r="V173" i="7"/>
  <c r="W314" i="7"/>
  <c r="V583" i="7"/>
  <c r="W583" i="7"/>
  <c r="V374" i="7"/>
  <c r="W374" i="7"/>
  <c r="V98" i="7"/>
  <c r="W98" i="7"/>
  <c r="W5" i="7"/>
  <c r="V5" i="7"/>
  <c r="V495" i="7"/>
  <c r="W495" i="7"/>
  <c r="V392" i="7"/>
  <c r="W392" i="7"/>
  <c r="W426" i="7"/>
  <c r="V6" i="7"/>
  <c r="V120" i="7"/>
  <c r="W320" i="7"/>
  <c r="H10" i="20"/>
  <c r="AX285" i="25" s="1"/>
  <c r="W276" i="7"/>
  <c r="W576" i="7"/>
  <c r="J2" i="20"/>
  <c r="O2" i="20"/>
  <c r="J6" i="20"/>
  <c r="O6" i="20"/>
  <c r="J10" i="20"/>
  <c r="O10" i="20"/>
  <c r="J14" i="20"/>
  <c r="O14" i="20"/>
  <c r="J18" i="20"/>
  <c r="O18" i="20"/>
  <c r="V158" i="7"/>
  <c r="V241" i="7"/>
  <c r="V414" i="7"/>
  <c r="V202" i="7"/>
  <c r="V413" i="7"/>
  <c r="W62" i="7"/>
  <c r="V254" i="7"/>
  <c r="W552" i="7"/>
  <c r="V287" i="7"/>
  <c r="V152" i="7"/>
  <c r="W139" i="7"/>
  <c r="V146" i="7"/>
  <c r="W592" i="7"/>
  <c r="W179" i="7"/>
  <c r="W518" i="7"/>
  <c r="W309" i="7"/>
  <c r="V269" i="7"/>
  <c r="V151" i="7"/>
  <c r="V480" i="7"/>
  <c r="W595" i="7"/>
  <c r="V246" i="7"/>
  <c r="V267" i="7"/>
  <c r="V528" i="7"/>
  <c r="V112" i="7"/>
  <c r="V268" i="7"/>
  <c r="W124" i="7"/>
  <c r="W28" i="7"/>
  <c r="V454" i="7"/>
  <c r="W293" i="7"/>
  <c r="W575" i="7"/>
  <c r="W456" i="7"/>
  <c r="W522" i="7"/>
  <c r="W30" i="7"/>
  <c r="V380" i="7"/>
  <c r="W97" i="7"/>
  <c r="V141" i="7"/>
  <c r="W115" i="7"/>
  <c r="V103" i="7"/>
  <c r="W429" i="7"/>
  <c r="W143" i="7"/>
  <c r="W149" i="7"/>
  <c r="V87" i="7"/>
  <c r="W311" i="7"/>
  <c r="V295" i="7"/>
  <c r="V95" i="7"/>
  <c r="V514" i="7"/>
  <c r="V224" i="7"/>
  <c r="V302" i="7"/>
  <c r="V94" i="7"/>
  <c r="V130" i="7"/>
  <c r="V543" i="7"/>
  <c r="V341" i="7"/>
  <c r="V247" i="7"/>
  <c r="W444" i="7"/>
  <c r="W363" i="7"/>
  <c r="V48" i="7"/>
  <c r="W345" i="7"/>
  <c r="V428" i="7"/>
  <c r="V335" i="7"/>
  <c r="W35" i="7"/>
  <c r="W185" i="7"/>
  <c r="V336" i="7"/>
  <c r="W573" i="7"/>
  <c r="V591" i="7"/>
  <c r="W205" i="7"/>
  <c r="V515" i="7"/>
  <c r="V16" i="7"/>
  <c r="W352" i="7"/>
  <c r="V270" i="7"/>
  <c r="W199" i="7"/>
  <c r="W83" i="7"/>
  <c r="W187" i="7"/>
  <c r="V557" i="7"/>
  <c r="W271" i="7"/>
  <c r="W10" i="7"/>
  <c r="W108" i="7"/>
  <c r="W111" i="7"/>
  <c r="V469" i="7"/>
  <c r="V218" i="7"/>
  <c r="W41" i="7"/>
  <c r="V252" i="7"/>
  <c r="W461" i="7"/>
  <c r="W572" i="7"/>
  <c r="W263" i="7"/>
  <c r="V467" i="7"/>
  <c r="W236" i="7"/>
  <c r="W192" i="7"/>
  <c r="V9" i="7"/>
  <c r="W37" i="7"/>
  <c r="V417" i="7"/>
  <c r="W238" i="7"/>
  <c r="V358" i="7"/>
  <c r="W497" i="7"/>
  <c r="W132" i="7"/>
  <c r="V561" i="7"/>
  <c r="V404" i="7"/>
  <c r="V12" i="7"/>
  <c r="W594" i="7"/>
  <c r="V256" i="7"/>
  <c r="W165" i="7"/>
  <c r="W66" i="7"/>
  <c r="V209" i="7"/>
  <c r="W57" i="7"/>
  <c r="V498" i="7"/>
  <c r="V63" i="7"/>
  <c r="V326" i="7"/>
  <c r="W351" i="7"/>
  <c r="V369" i="7"/>
  <c r="V147" i="7"/>
  <c r="V277" i="7"/>
  <c r="V463" i="7"/>
  <c r="V538" i="7"/>
  <c r="W453" i="7"/>
  <c r="V440" i="7"/>
  <c r="V462" i="7"/>
  <c r="W261" i="7"/>
  <c r="V475" i="7"/>
  <c r="W4" i="7"/>
  <c r="V251" i="7"/>
  <c r="V471" i="7"/>
  <c r="V408" i="7"/>
  <c r="W191" i="7"/>
  <c r="AX541" i="7"/>
  <c r="AX51" i="7"/>
  <c r="W325" i="7"/>
  <c r="V208" i="7"/>
  <c r="V448" i="7"/>
  <c r="V386" i="7"/>
  <c r="V399" i="7"/>
  <c r="V558" i="7"/>
  <c r="V477" i="7"/>
  <c r="W303" i="7"/>
  <c r="W172" i="7"/>
  <c r="W465" i="7"/>
  <c r="V556" i="7"/>
  <c r="W136" i="7"/>
  <c r="AX133" i="7"/>
  <c r="AX111" i="7"/>
  <c r="AX20" i="7"/>
  <c r="AK544" i="7"/>
  <c r="AK207" i="7"/>
  <c r="AK205" i="7"/>
  <c r="AK94" i="7"/>
  <c r="AK188" i="7"/>
  <c r="AK477" i="7"/>
  <c r="AK168" i="7"/>
  <c r="AK84" i="7"/>
  <c r="AK553" i="7"/>
  <c r="AK261" i="7"/>
  <c r="AK226" i="7"/>
  <c r="AK180" i="7"/>
  <c r="AX180" i="7"/>
  <c r="AK141" i="7"/>
  <c r="AK448" i="7"/>
  <c r="AX448" i="7"/>
  <c r="AK417" i="7"/>
  <c r="AK552" i="7"/>
  <c r="AK594" i="7"/>
  <c r="AK66" i="7"/>
  <c r="AK357" i="7"/>
  <c r="AK112" i="7"/>
  <c r="AK311" i="7"/>
  <c r="AK12" i="7"/>
  <c r="AK114" i="7"/>
  <c r="AK443" i="7"/>
  <c r="AK436" i="7"/>
  <c r="AK25" i="7"/>
  <c r="AK131" i="7"/>
  <c r="AK354" i="7"/>
  <c r="AK589" i="7"/>
  <c r="AK272" i="7"/>
  <c r="AK46" i="7"/>
  <c r="AX46" i="7"/>
  <c r="AK533" i="7"/>
  <c r="AK434" i="7"/>
  <c r="AK433" i="7"/>
  <c r="AK145" i="7"/>
  <c r="AK45" i="7"/>
  <c r="AK291" i="7"/>
  <c r="AX181" i="7"/>
  <c r="AK338" i="7"/>
  <c r="AK27" i="7"/>
  <c r="AK213" i="7"/>
  <c r="AK262" i="7"/>
  <c r="AK587" i="7"/>
  <c r="AK375" i="7"/>
  <c r="AK154" i="7"/>
  <c r="AK100" i="7"/>
  <c r="AK393" i="7"/>
  <c r="AK93" i="7"/>
  <c r="AK178" i="7"/>
  <c r="AK424" i="7"/>
  <c r="AK409" i="7"/>
  <c r="AK284" i="7"/>
  <c r="AK281" i="7"/>
  <c r="AK449" i="7"/>
  <c r="AK223" i="7"/>
  <c r="AK304" i="7"/>
  <c r="AK283" i="7"/>
  <c r="AK125" i="7"/>
  <c r="AK396" i="7"/>
  <c r="AK88" i="7"/>
  <c r="AK233" i="7"/>
  <c r="AK251" i="7"/>
  <c r="AK201" i="7"/>
  <c r="AK230" i="7"/>
  <c r="AK425" i="7"/>
  <c r="AK446" i="7"/>
  <c r="AK390" i="7"/>
  <c r="AK527" i="7"/>
  <c r="AK265" i="7"/>
  <c r="AK258" i="7"/>
  <c r="AK81" i="7"/>
  <c r="AK40" i="7"/>
  <c r="AK163" i="7"/>
  <c r="AK144" i="7"/>
  <c r="AK427" i="7"/>
  <c r="AK508" i="7"/>
  <c r="AK307" i="7"/>
  <c r="AK215" i="7"/>
  <c r="AK56" i="7"/>
  <c r="AK189" i="7"/>
  <c r="AK384" i="7"/>
  <c r="AK347" i="7"/>
  <c r="AK435" i="7"/>
  <c r="AK496" i="7"/>
  <c r="AK65" i="7"/>
  <c r="AK248" i="7"/>
  <c r="AK68" i="7"/>
  <c r="AK526" i="7"/>
  <c r="AK458" i="7"/>
  <c r="AK61" i="7"/>
  <c r="AK6" i="7"/>
  <c r="AK32" i="7"/>
  <c r="AK138" i="7"/>
  <c r="AK474" i="7"/>
  <c r="AK118" i="7"/>
  <c r="AK109" i="7"/>
  <c r="AK512" i="7"/>
  <c r="AK361" i="7"/>
  <c r="AK203" i="7"/>
  <c r="AK382" i="7"/>
  <c r="AK377" i="7"/>
  <c r="AK370" i="7"/>
  <c r="AK216" i="7"/>
  <c r="AK515" i="7"/>
  <c r="AK267" i="7"/>
  <c r="AK128" i="7"/>
  <c r="AK322" i="7"/>
  <c r="AK150" i="7"/>
  <c r="AX150" i="7"/>
  <c r="AK404" i="7"/>
  <c r="AK476" i="7"/>
  <c r="AK452" i="7"/>
  <c r="AK475" i="7"/>
  <c r="AK369" i="7"/>
  <c r="AK358" i="7"/>
  <c r="AK462" i="7"/>
  <c r="AK456" i="7"/>
  <c r="AK9" i="7"/>
  <c r="AK238" i="7"/>
  <c r="AX238" i="7"/>
  <c r="AK538" i="7"/>
  <c r="AK87" i="7"/>
  <c r="AK525" i="7"/>
  <c r="AK107" i="7"/>
  <c r="AK117" i="7"/>
  <c r="AK406" i="7"/>
  <c r="AK464" i="7"/>
  <c r="AK484" i="7"/>
  <c r="AK506" i="7"/>
  <c r="AK11" i="7"/>
  <c r="AK500" i="7"/>
  <c r="AK72" i="7"/>
  <c r="AK245" i="7"/>
  <c r="AK400" i="7"/>
  <c r="AK255" i="7"/>
  <c r="AK399" i="7"/>
  <c r="AK136" i="7"/>
  <c r="V237" i="7"/>
  <c r="V580" i="7"/>
  <c r="V524" i="7"/>
  <c r="V221" i="7"/>
  <c r="AK241" i="7"/>
  <c r="AX241" i="7"/>
  <c r="AK269" i="7"/>
  <c r="AK115" i="7"/>
  <c r="AK341" i="7"/>
  <c r="AK480" i="7"/>
  <c r="AK454" i="7"/>
  <c r="AK426" i="7"/>
  <c r="AK459" i="7"/>
  <c r="AK336" i="7"/>
  <c r="AK414" i="7"/>
  <c r="AK535" i="7"/>
  <c r="AK287" i="7"/>
  <c r="AK320" i="7"/>
  <c r="AK582" i="7"/>
  <c r="AK580" i="7"/>
  <c r="AK16" i="7"/>
  <c r="AK124" i="7"/>
  <c r="AK143" i="7"/>
  <c r="AK209" i="7"/>
  <c r="AK440" i="7"/>
  <c r="AK498" i="7"/>
  <c r="AK153" i="7"/>
  <c r="AK67" i="7"/>
  <c r="AK546" i="7"/>
  <c r="AK579" i="7"/>
  <c r="AK560" i="7"/>
  <c r="AK365" i="7"/>
  <c r="AK194" i="7"/>
  <c r="AK122" i="7"/>
  <c r="AK196" i="7"/>
  <c r="AK372" i="7"/>
  <c r="AK492" i="7"/>
  <c r="AX492" i="7"/>
  <c r="AX135" i="7"/>
  <c r="AK596" i="7"/>
  <c r="AK335" i="7"/>
  <c r="AK345" i="7"/>
  <c r="AK10" i="7"/>
  <c r="AK96" i="7"/>
  <c r="AK13" i="7"/>
  <c r="AK192" i="7"/>
  <c r="AK71" i="7"/>
  <c r="AK497" i="7"/>
  <c r="AK550" i="7"/>
  <c r="AK2" i="7"/>
  <c r="AK413" i="7"/>
  <c r="AK356" i="7"/>
  <c r="AK368" i="7"/>
  <c r="AK402" i="7"/>
  <c r="AK243" i="7"/>
  <c r="AK557" i="7"/>
  <c r="AK127" i="7"/>
  <c r="AK75" i="7"/>
  <c r="AK403" i="7"/>
  <c r="AK70" i="7"/>
  <c r="AK176" i="7"/>
  <c r="AK590" i="7"/>
  <c r="AK323" i="7"/>
  <c r="AK583" i="7"/>
  <c r="AK290" i="7"/>
  <c r="AK488" i="7"/>
  <c r="AK578" i="7"/>
  <c r="AK5" i="7"/>
  <c r="AK29" i="7"/>
  <c r="AX29" i="7"/>
  <c r="AK418" i="7"/>
  <c r="AK517" i="7"/>
  <c r="AK162" i="7"/>
  <c r="AK531" i="7"/>
  <c r="AK170" i="7"/>
  <c r="AK481" i="7"/>
  <c r="AK260" i="7"/>
  <c r="AK77" i="7"/>
  <c r="AK559" i="7"/>
  <c r="AK86" i="7"/>
  <c r="AK294" i="7"/>
  <c r="AK214" i="7"/>
  <c r="AX214" i="7"/>
  <c r="AK218" i="7"/>
  <c r="AK467" i="7"/>
  <c r="AK532" i="7"/>
  <c r="AK274" i="7"/>
  <c r="AK54" i="7"/>
  <c r="AK308" i="7"/>
  <c r="AK39" i="7"/>
  <c r="AK89" i="7"/>
  <c r="AK184" i="7"/>
  <c r="AK183" i="7"/>
  <c r="AX26" i="7"/>
  <c r="AK516" i="7"/>
  <c r="AK44" i="7"/>
  <c r="AK76" i="7"/>
  <c r="AK286" i="7"/>
  <c r="AK555" i="7"/>
  <c r="AK172" i="7"/>
  <c r="AK148" i="7"/>
  <c r="AK499" i="7"/>
  <c r="AK219" i="7"/>
  <c r="AK331" i="7"/>
  <c r="AK102" i="7"/>
  <c r="AK386" i="7"/>
  <c r="AK571" i="7"/>
  <c r="AK342" i="7"/>
  <c r="AK395" i="7"/>
  <c r="AK57" i="7"/>
  <c r="AX57" i="7"/>
  <c r="AK348" i="7"/>
  <c r="AK325" i="7"/>
  <c r="AK160" i="7"/>
  <c r="AK351" i="7"/>
  <c r="AK483" i="7"/>
  <c r="AK408" i="7"/>
  <c r="AK208" i="7"/>
  <c r="AK353" i="7"/>
  <c r="AK8" i="7"/>
  <c r="AX8" i="7"/>
  <c r="AK147" i="7"/>
  <c r="AK490" i="7"/>
  <c r="AK509" i="7"/>
  <c r="AK534" i="7"/>
  <c r="AK116" i="7"/>
  <c r="AK278" i="7"/>
  <c r="AK466" i="7"/>
  <c r="AK360" i="7"/>
  <c r="AK4" i="7"/>
  <c r="AK407" i="7"/>
  <c r="AK339" i="7"/>
  <c r="AK22" i="7"/>
  <c r="AK504" i="7"/>
  <c r="AK212" i="7"/>
  <c r="AK259" i="7"/>
  <c r="AK447" i="7"/>
  <c r="AK164" i="7"/>
  <c r="AK21" i="7"/>
  <c r="AK288" i="7"/>
  <c r="AK220" i="7"/>
  <c r="AK24" i="7"/>
  <c r="AK510" i="7"/>
  <c r="AK159" i="7"/>
  <c r="AK155" i="7"/>
  <c r="AK280" i="7"/>
  <c r="AK563" i="7"/>
  <c r="AK539" i="7"/>
  <c r="AK451" i="7"/>
  <c r="AK235" i="7"/>
  <c r="AK36" i="7"/>
  <c r="AK329" i="7"/>
  <c r="AX329" i="7"/>
  <c r="AK315" i="7"/>
  <c r="AK80" i="7"/>
  <c r="AK319" i="7"/>
  <c r="AK513" i="7"/>
  <c r="AK82" i="7"/>
  <c r="AX82" i="7"/>
  <c r="AK422" i="7"/>
  <c r="AK566" i="7"/>
  <c r="AK536" i="7"/>
  <c r="AK334" i="7"/>
  <c r="AK99" i="7"/>
  <c r="AK198" i="7"/>
  <c r="AK279" i="7"/>
  <c r="AK193" i="7"/>
  <c r="AK301" i="7"/>
  <c r="AK167" i="7"/>
  <c r="AK530" i="7"/>
  <c r="AK383" i="7"/>
  <c r="AK412" i="7"/>
  <c r="AK296" i="7"/>
  <c r="AK91" i="7"/>
  <c r="AK200" i="7"/>
  <c r="AK240" i="7"/>
  <c r="AK195" i="7"/>
  <c r="AK52" i="7"/>
  <c r="AK14" i="7"/>
  <c r="AX14" i="7"/>
  <c r="AK564" i="7"/>
  <c r="AK19" i="7"/>
  <c r="AK211" i="7"/>
  <c r="AK42" i="7"/>
  <c r="AK299" i="7"/>
  <c r="AK105" i="7"/>
  <c r="AK292" i="7"/>
  <c r="AK592" i="7"/>
  <c r="AK567" i="7"/>
  <c r="AK60" i="7"/>
  <c r="AK528" i="7"/>
  <c r="AK352" i="7"/>
  <c r="AK108" i="7"/>
  <c r="AK428" i="7"/>
  <c r="AK438" i="7"/>
  <c r="AK472" i="7"/>
  <c r="AK482" i="7"/>
  <c r="AK419" i="7"/>
  <c r="AK363" i="7"/>
  <c r="AK244" i="7"/>
  <c r="AK595" i="7"/>
  <c r="AK246" i="7"/>
  <c r="AK381" i="7"/>
  <c r="AK376" i="7"/>
  <c r="AK157" i="7"/>
  <c r="AK450" i="7"/>
  <c r="AX450" i="7"/>
  <c r="AK134" i="7"/>
  <c r="AK461" i="7"/>
  <c r="AK314" i="7"/>
  <c r="AK253" i="7"/>
  <c r="AK470" i="7"/>
  <c r="AK74" i="7"/>
  <c r="AK359" i="7"/>
  <c r="AK389" i="7"/>
  <c r="AK50" i="7"/>
  <c r="V244" i="7"/>
  <c r="V64" i="7"/>
  <c r="V550" i="7"/>
  <c r="W60" i="7"/>
  <c r="W582" i="7"/>
  <c r="W78" i="7"/>
  <c r="AK444" i="7"/>
  <c r="AK83" i="7"/>
  <c r="AK64" i="7"/>
  <c r="AK104" i="7"/>
  <c r="AK224" i="7"/>
  <c r="AK28" i="7"/>
  <c r="AK518" i="7"/>
  <c r="AK7" i="7"/>
  <c r="AK130" i="7"/>
  <c r="AK187" i="7"/>
  <c r="AK309" i="7"/>
  <c r="AK120" i="7"/>
  <c r="AK152" i="7"/>
  <c r="AK202" i="7"/>
  <c r="AK524" i="7"/>
  <c r="AK332" i="7"/>
  <c r="AK302" i="7"/>
  <c r="AK242" i="7"/>
  <c r="AK491" i="7"/>
  <c r="AX491" i="7"/>
  <c r="AK139" i="7"/>
  <c r="AX139" i="7"/>
  <c r="AK146" i="7"/>
  <c r="AK429" i="7"/>
  <c r="AK179" i="7"/>
  <c r="AK324" i="7"/>
  <c r="AK349" i="7"/>
  <c r="AK43" i="7"/>
  <c r="AX43" i="7"/>
  <c r="AK186" i="7"/>
  <c r="AK328" i="7"/>
  <c r="G4" i="20"/>
  <c r="G13" i="20"/>
  <c r="H15" i="20"/>
  <c r="H12" i="20"/>
  <c r="AX356" i="25" s="1"/>
  <c r="AY356" i="25" s="1"/>
  <c r="H21" i="20"/>
  <c r="H14" i="20"/>
  <c r="G14" i="20"/>
  <c r="G15" i="20"/>
  <c r="H9" i="20"/>
  <c r="G21" i="20"/>
  <c r="G10" i="20"/>
  <c r="G11" i="20"/>
  <c r="H5" i="20"/>
  <c r="G17" i="20"/>
  <c r="H3" i="20"/>
  <c r="H19" i="20"/>
  <c r="AX584" i="25" s="1"/>
  <c r="AY584" i="25" s="1"/>
  <c r="H16" i="20"/>
  <c r="G12" i="20"/>
  <c r="G5" i="20"/>
  <c r="H2" i="20"/>
  <c r="H18" i="20"/>
  <c r="H6" i="20"/>
  <c r="G2" i="20"/>
  <c r="G18" i="20"/>
  <c r="H7" i="20"/>
  <c r="G3" i="20"/>
  <c r="G19" i="20"/>
  <c r="H4" i="20"/>
  <c r="G16" i="20"/>
  <c r="G6" i="20"/>
  <c r="H17" i="20"/>
  <c r="W29" i="7"/>
  <c r="V486" i="7"/>
  <c r="W545" i="7"/>
  <c r="W160" i="7"/>
  <c r="V415" i="7"/>
  <c r="V389" i="7"/>
  <c r="W505" i="7"/>
  <c r="W58" i="7"/>
  <c r="W472" i="7"/>
  <c r="W387" i="7"/>
  <c r="W356" i="7"/>
  <c r="W297" i="7"/>
  <c r="W70" i="7"/>
  <c r="W71" i="7"/>
  <c r="V586" i="7"/>
  <c r="V342" i="7"/>
  <c r="V385" i="7"/>
  <c r="V150" i="7"/>
  <c r="V416" i="7"/>
  <c r="W34" i="7"/>
  <c r="V282" i="7"/>
  <c r="V168" i="7"/>
  <c r="W90" i="7"/>
  <c r="V157" i="7"/>
  <c r="W485" i="7"/>
  <c r="V106" i="7"/>
  <c r="W507" i="7"/>
  <c r="V284" i="7"/>
  <c r="V292" i="7"/>
  <c r="W13" i="7"/>
  <c r="W517" i="7"/>
  <c r="W445" i="7"/>
  <c r="V299" i="7"/>
  <c r="W531" i="7"/>
  <c r="W578" i="7"/>
  <c r="W177" i="7"/>
  <c r="V2" i="7"/>
  <c r="W77" i="7"/>
  <c r="V368" i="7"/>
  <c r="V74" i="7"/>
  <c r="V104" i="7"/>
  <c r="W242" i="7"/>
  <c r="W520" i="7"/>
  <c r="V162" i="7"/>
  <c r="W214" i="7"/>
  <c r="V402" i="7"/>
  <c r="W379" i="7"/>
  <c r="W298" i="7"/>
  <c r="V227" i="7"/>
  <c r="V332" i="7"/>
  <c r="V418" i="7"/>
  <c r="V401" i="7"/>
  <c r="V596" i="7"/>
  <c r="V584" i="7"/>
  <c r="V437" i="7"/>
  <c r="W239" i="7"/>
  <c r="W50" i="7"/>
  <c r="V491" i="7"/>
  <c r="V403" i="7"/>
  <c r="W438" i="7"/>
  <c r="W419" i="7"/>
  <c r="W482" i="7"/>
  <c r="W355" i="7"/>
  <c r="W544" i="7"/>
  <c r="V348" i="7"/>
  <c r="W391" i="7"/>
  <c r="V73" i="7"/>
  <c r="V457" i="7"/>
  <c r="W483" i="7"/>
  <c r="W450" i="7"/>
  <c r="W148" i="7"/>
  <c r="W255" i="7"/>
  <c r="V593" i="7"/>
  <c r="V367" i="7"/>
  <c r="W470" i="7"/>
  <c r="V509" i="7"/>
  <c r="V323" i="7"/>
  <c r="W119" i="7"/>
  <c r="V519" i="7"/>
  <c r="V128" i="7"/>
  <c r="V8" i="7"/>
  <c r="V27" i="7"/>
  <c r="W490" i="7"/>
  <c r="V585" i="7"/>
  <c r="V105" i="7"/>
  <c r="W86" i="7"/>
  <c r="W431" i="7"/>
  <c r="V126" i="7"/>
  <c r="W207" i="7"/>
  <c r="V153" i="7"/>
  <c r="W84" i="7"/>
  <c r="V354" i="7"/>
  <c r="W134" i="7"/>
  <c r="W46" i="7"/>
  <c r="V406" i="7"/>
  <c r="V79" i="7"/>
  <c r="W301" i="7"/>
  <c r="W436" i="7"/>
  <c r="W229" i="7"/>
  <c r="V420" i="7"/>
  <c r="V333" i="7"/>
  <c r="W390" i="7"/>
  <c r="W183" i="7"/>
  <c r="W560" i="7"/>
  <c r="W275" i="7"/>
  <c r="V378" i="7"/>
  <c r="V493" i="7"/>
  <c r="V372" i="7"/>
  <c r="W397" i="7"/>
  <c r="V67" i="7"/>
  <c r="V248" i="7"/>
  <c r="V266" i="7"/>
  <c r="W23" i="7"/>
  <c r="W32" i="7"/>
  <c r="V56" i="7"/>
  <c r="W184" i="7"/>
  <c r="W216" i="7"/>
  <c r="W384" i="7"/>
  <c r="W156" i="7"/>
  <c r="V81" i="7"/>
  <c r="V443" i="7"/>
  <c r="V235" i="7"/>
  <c r="W235" i="7"/>
  <c r="W65" i="7"/>
  <c r="V166" i="7"/>
  <c r="W451" i="7"/>
  <c r="V422" i="7"/>
  <c r="W563" i="7"/>
  <c r="V563" i="7"/>
  <c r="V36" i="7"/>
  <c r="W36" i="7"/>
  <c r="W539" i="7"/>
  <c r="V319" i="7"/>
  <c r="V122" i="7"/>
  <c r="V329" i="7"/>
  <c r="W441" i="7"/>
  <c r="V449" i="7"/>
  <c r="W39" i="7"/>
  <c r="V163" i="7"/>
  <c r="W288" i="7"/>
  <c r="V412" i="7"/>
  <c r="V496" i="7"/>
  <c r="W496" i="7"/>
  <c r="V566" i="7"/>
  <c r="W566" i="7"/>
  <c r="V421" i="7"/>
  <c r="W421" i="7"/>
  <c r="W511" i="7"/>
  <c r="V511" i="7"/>
  <c r="V233" i="7"/>
  <c r="W233" i="7"/>
  <c r="V343" i="7"/>
  <c r="W343" i="7"/>
  <c r="V114" i="7"/>
  <c r="W114" i="7"/>
  <c r="W349" i="7"/>
  <c r="V349" i="7"/>
  <c r="V131" i="7"/>
  <c r="W131" i="7"/>
  <c r="V89" i="7"/>
  <c r="W89" i="7"/>
  <c r="V210" i="7"/>
  <c r="W210" i="7"/>
  <c r="V31" i="7"/>
  <c r="W31" i="7"/>
  <c r="V500" i="7"/>
  <c r="W500" i="7"/>
  <c r="W49" i="7"/>
  <c r="V49" i="7"/>
  <c r="V272" i="7"/>
  <c r="W272" i="7"/>
  <c r="V91" i="7"/>
  <c r="W91" i="7"/>
  <c r="W340" i="7"/>
  <c r="V340" i="7"/>
  <c r="V280" i="7"/>
  <c r="W280" i="7"/>
  <c r="AN480" i="7"/>
  <c r="AN454" i="7"/>
  <c r="AN426" i="7"/>
  <c r="AN459" i="7"/>
  <c r="AN200" i="7"/>
  <c r="AN382" i="7"/>
  <c r="AN321" i="7"/>
  <c r="AN195" i="7"/>
  <c r="AN352" i="7"/>
  <c r="AN343" i="7"/>
  <c r="AN114" i="7"/>
  <c r="AN464" i="7"/>
  <c r="AN349" i="7"/>
  <c r="AN372" i="7"/>
  <c r="AN203" i="7"/>
  <c r="AN127" i="7"/>
  <c r="AN381" i="7"/>
  <c r="AN376" i="7"/>
  <c r="AN20" i="7"/>
  <c r="AN59" i="7"/>
  <c r="AN7" i="7"/>
  <c r="AN130" i="7"/>
  <c r="AN543" i="7"/>
  <c r="AN240" i="7"/>
  <c r="AN222" i="7"/>
  <c r="AN173" i="7"/>
  <c r="AN109" i="7"/>
  <c r="AN271" i="7"/>
  <c r="AN345" i="7"/>
  <c r="AN199" i="7"/>
  <c r="AN35" i="7"/>
  <c r="AN313" i="7"/>
  <c r="AN443" i="7"/>
  <c r="AN546" i="7"/>
  <c r="AN330" i="7"/>
  <c r="AN194" i="7"/>
  <c r="AN488" i="7"/>
  <c r="AN359" i="7"/>
  <c r="AN177" i="7"/>
  <c r="AN389" i="7"/>
  <c r="AN517" i="7"/>
  <c r="AN531" i="7"/>
  <c r="AN149" i="7"/>
  <c r="AN252" i="7"/>
  <c r="AN253" i="7"/>
  <c r="W549" i="7"/>
  <c r="V101" i="7"/>
  <c r="AN406" i="7"/>
  <c r="AN43" i="7"/>
  <c r="AN106" i="7"/>
  <c r="AN19" i="7"/>
  <c r="AN211" i="7"/>
  <c r="AN42" i="7"/>
  <c r="AN166" i="7"/>
  <c r="AN53" i="7"/>
  <c r="AN479" i="7"/>
  <c r="AN54" i="7"/>
  <c r="AN388" i="7"/>
  <c r="AN204" i="7"/>
  <c r="AN316" i="7"/>
  <c r="AN308" i="7"/>
  <c r="AN39" i="7"/>
  <c r="AN89" i="7"/>
  <c r="AN184" i="7"/>
  <c r="AN79" i="7"/>
  <c r="AN183" i="7"/>
  <c r="AN26" i="7"/>
  <c r="AN516" i="7"/>
  <c r="AN44" i="7"/>
  <c r="AN76" i="7"/>
  <c r="AN217" i="7"/>
  <c r="AN577" i="7"/>
  <c r="AN467" i="7"/>
  <c r="AN560" i="7"/>
  <c r="AN67" i="7"/>
  <c r="AN503" i="7"/>
  <c r="AN573" i="7"/>
  <c r="AN234" i="7"/>
  <c r="AN85" i="7"/>
  <c r="AN579" i="7"/>
  <c r="AN118" i="7"/>
  <c r="AN96" i="7"/>
  <c r="AN188" i="7"/>
  <c r="AN273" i="7"/>
  <c r="AN473" i="7"/>
  <c r="AN122" i="7"/>
  <c r="AN190" i="7"/>
  <c r="AN14" i="7"/>
  <c r="AN341" i="7"/>
  <c r="AN492" i="7"/>
  <c r="AN365" i="7"/>
  <c r="AN482" i="7"/>
  <c r="AN368" i="7"/>
  <c r="AN419" i="7"/>
  <c r="AN402" i="7"/>
  <c r="AN33" i="7"/>
  <c r="AN186" i="7"/>
  <c r="AN532" i="7"/>
  <c r="AN328" i="7"/>
  <c r="AN174" i="7"/>
  <c r="AN469" i="7"/>
  <c r="AN355" i="7"/>
  <c r="AN5" i="7"/>
  <c r="AN29" i="7"/>
  <c r="AN98" i="7"/>
  <c r="AN481" i="7"/>
  <c r="AN549" i="7"/>
  <c r="AN231" i="7"/>
  <c r="AN38" i="7"/>
  <c r="AN216" i="7"/>
  <c r="AN569" i="7"/>
  <c r="AN274" i="7"/>
  <c r="AN484" i="7"/>
  <c r="AN506" i="7"/>
  <c r="AN110" i="7"/>
  <c r="AN11" i="7"/>
  <c r="AN436" i="7"/>
  <c r="AN25" i="7"/>
  <c r="AN17" i="7"/>
  <c r="AN478" i="7"/>
  <c r="AN131" i="7"/>
  <c r="AN570" i="7"/>
  <c r="AN354" i="7"/>
  <c r="AN500" i="7"/>
  <c r="AN285" i="7"/>
  <c r="AN551" i="7"/>
  <c r="AN589" i="7"/>
  <c r="AN72" i="7"/>
  <c r="AN272" i="7"/>
  <c r="AN245" i="7"/>
  <c r="AN266" i="7"/>
  <c r="AN512" i="7"/>
  <c r="AN143" i="7"/>
  <c r="AN209" i="7"/>
  <c r="AN440" i="7"/>
  <c r="AN498" i="7"/>
  <c r="AN153" i="7"/>
  <c r="AN108" i="7"/>
  <c r="AN428" i="7"/>
  <c r="AN367" i="7"/>
  <c r="AN46" i="7"/>
  <c r="AN568" i="7"/>
  <c r="AN295" i="7"/>
  <c r="AN400" i="7"/>
  <c r="AN255" i="7"/>
  <c r="AN574" i="7"/>
  <c r="AN453" i="7"/>
  <c r="AN533" i="7"/>
  <c r="AN346" i="7"/>
  <c r="AN468" i="7"/>
  <c r="AN300" i="7"/>
  <c r="AN434" i="7"/>
  <c r="AN399" i="7"/>
  <c r="AN433" i="7"/>
  <c r="AN581" i="7"/>
  <c r="AN145" i="7"/>
  <c r="AN575" i="7"/>
  <c r="AN45" i="7"/>
  <c r="AN136" i="7"/>
  <c r="AN514" i="7"/>
  <c r="AN582" i="7"/>
  <c r="AN524" i="7"/>
  <c r="AN580" i="7"/>
  <c r="AN291" i="7"/>
  <c r="AN181" i="7"/>
  <c r="AN562" i="7"/>
  <c r="AN289" i="7"/>
  <c r="AN327" i="7"/>
  <c r="AN338" i="7"/>
  <c r="AN15" i="7"/>
  <c r="AN27" i="7"/>
  <c r="AN213" i="7"/>
  <c r="AN337" i="7"/>
  <c r="AN262" i="7"/>
  <c r="AN587" i="7"/>
  <c r="AN375" i="7"/>
  <c r="AN154" i="7"/>
  <c r="AN100" i="7"/>
  <c r="AN225" i="7"/>
  <c r="AN537" i="7"/>
  <c r="AN565" i="7"/>
  <c r="AN501" i="7"/>
  <c r="AN393" i="7"/>
  <c r="AN51" i="7"/>
  <c r="AN93" i="7"/>
  <c r="AN178" i="7"/>
  <c r="AN424" i="7"/>
  <c r="AN409" i="7"/>
  <c r="AN249" i="7"/>
  <c r="AN161" i="7"/>
  <c r="AN284" i="7"/>
  <c r="AN281" i="7"/>
  <c r="AN371" i="7"/>
  <c r="AN156" i="7"/>
  <c r="AN449" i="7"/>
  <c r="AN223" i="7"/>
  <c r="AN304" i="7"/>
  <c r="AN283" i="7"/>
  <c r="AN92" i="7"/>
  <c r="AN125" i="7"/>
  <c r="AN191" i="7"/>
  <c r="AN396" i="7"/>
  <c r="AN88" i="7"/>
  <c r="AN233" i="7"/>
  <c r="AN251" i="7"/>
  <c r="AN444" i="7"/>
  <c r="AN268" i="7"/>
  <c r="AN550" i="7"/>
  <c r="AN576" i="7"/>
  <c r="AN244" i="7"/>
  <c r="AN64" i="7"/>
  <c r="AN269" i="7"/>
  <c r="AN302" i="7"/>
  <c r="AN276" i="7"/>
  <c r="AN528" i="7"/>
  <c r="AN267" i="7"/>
  <c r="AN595" i="7"/>
  <c r="AN224" i="7"/>
  <c r="AN201" i="7"/>
  <c r="AN230" i="7"/>
  <c r="AN310" i="7"/>
  <c r="AN182" i="7"/>
  <c r="AN425" i="7"/>
  <c r="AN446" i="7"/>
  <c r="AN540" i="7"/>
  <c r="AN364" i="7"/>
  <c r="AN390" i="7"/>
  <c r="AN527" i="7"/>
  <c r="AN265" i="7"/>
  <c r="AN542" i="7"/>
  <c r="AN142" i="7"/>
  <c r="AN258" i="7"/>
  <c r="AN442" i="7"/>
  <c r="AN81" i="7"/>
  <c r="AN40" i="7"/>
  <c r="AN163" i="7"/>
  <c r="AN493" i="7"/>
  <c r="AN31" i="7"/>
  <c r="AN423" i="7"/>
  <c r="AN144" i="7"/>
  <c r="AN427" i="7"/>
  <c r="AN275" i="7"/>
  <c r="AN508" i="7"/>
  <c r="AN307" i="7"/>
  <c r="AN215" i="7"/>
  <c r="AN56" i="7"/>
  <c r="AN378" i="7"/>
  <c r="AN333" i="7"/>
  <c r="AN221" i="7"/>
  <c r="AN518" i="7"/>
  <c r="AN241" i="7"/>
  <c r="AN158" i="7"/>
  <c r="AN60" i="7"/>
  <c r="AN247" i="7"/>
  <c r="AN62" i="7"/>
  <c r="AN95" i="7"/>
  <c r="AN94" i="7"/>
  <c r="AN413" i="7"/>
  <c r="AN179" i="7"/>
  <c r="AN189" i="7"/>
  <c r="AN554" i="7"/>
  <c r="AN384" i="7"/>
  <c r="AN394" i="7"/>
  <c r="AN347" i="7"/>
  <c r="AN435" i="7"/>
  <c r="AN441" i="7"/>
  <c r="AN496" i="7"/>
  <c r="AN65" i="7"/>
  <c r="AN248" i="7"/>
  <c r="AN455" i="7"/>
  <c r="AN23" i="7"/>
  <c r="AN68" i="7"/>
  <c r="AN250" i="7"/>
  <c r="AN526" i="7"/>
  <c r="AN458" i="7"/>
  <c r="AN69" i="7"/>
  <c r="AN61" i="7"/>
  <c r="AN6" i="7"/>
  <c r="AN429" i="7"/>
  <c r="AN293" i="7"/>
  <c r="AN522" i="7"/>
  <c r="AN115" i="7"/>
  <c r="AN584" i="7"/>
  <c r="AN128" i="7"/>
  <c r="AN239" i="7"/>
  <c r="AN335" i="7"/>
  <c r="AN548" i="7"/>
  <c r="AN3" i="7"/>
  <c r="AN286" i="7"/>
  <c r="AN555" i="7"/>
  <c r="AN303" i="7"/>
  <c r="AN171" i="7"/>
  <c r="AN172" i="7"/>
  <c r="AN58" i="7"/>
  <c r="AN148" i="7"/>
  <c r="AN499" i="7"/>
  <c r="AN398" i="7"/>
  <c r="AN219" i="7"/>
  <c r="AN137" i="7"/>
  <c r="AN331" i="7"/>
  <c r="AN586" i="7"/>
  <c r="AN102" i="7"/>
  <c r="AN386" i="7"/>
  <c r="AN121" i="7"/>
  <c r="AN571" i="7"/>
  <c r="AN105" i="7"/>
  <c r="AN437" i="7"/>
  <c r="AN78" i="7"/>
  <c r="AN342" i="7"/>
  <c r="AN460" i="7"/>
  <c r="AN395" i="7"/>
  <c r="AN523" i="7"/>
  <c r="AN57" i="7"/>
  <c r="AN410" i="7"/>
  <c r="AN502" i="7"/>
  <c r="AN415" i="7"/>
  <c r="AN348" i="7"/>
  <c r="AN325" i="7"/>
  <c r="AN391" i="7"/>
  <c r="AN160" i="7"/>
  <c r="AN545" i="7"/>
  <c r="AN457" i="7"/>
  <c r="AN351" i="7"/>
  <c r="AN197" i="7"/>
  <c r="AN483" i="7"/>
  <c r="AN471" i="7"/>
  <c r="AN408" i="7"/>
  <c r="AN208" i="7"/>
  <c r="AN103" i="7"/>
  <c r="AN30" i="7"/>
  <c r="AN257" i="7"/>
  <c r="AN353" i="7"/>
  <c r="AN8" i="7"/>
  <c r="AN185" i="7"/>
  <c r="AN147" i="7"/>
  <c r="AN490" i="7"/>
  <c r="AN509" i="7"/>
  <c r="AN350" i="7"/>
  <c r="AN534" i="7"/>
  <c r="AN116" i="7"/>
  <c r="AN73" i="7"/>
  <c r="AN494" i="7"/>
  <c r="AN511" i="7"/>
  <c r="AN278" i="7"/>
  <c r="AN487" i="7"/>
  <c r="AN466" i="7"/>
  <c r="AN366" i="7"/>
  <c r="AN133" i="7"/>
  <c r="AN360" i="7"/>
  <c r="AN4" i="7"/>
  <c r="AN407" i="7"/>
  <c r="AN515" i="7"/>
  <c r="AN363" i="7"/>
  <c r="AN83" i="7"/>
  <c r="AN227" i="7"/>
  <c r="AN332" i="7"/>
  <c r="AN544" i="7"/>
  <c r="AN2" i="7"/>
  <c r="AN10" i="7"/>
  <c r="AN282" i="7"/>
  <c r="AN104" i="7"/>
  <c r="AN16" i="7"/>
  <c r="AN491" i="7"/>
  <c r="AN519" i="7"/>
  <c r="AN339" i="7"/>
  <c r="AN264" i="7"/>
  <c r="AN169" i="7"/>
  <c r="AN22" i="7"/>
  <c r="AN504" i="7"/>
  <c r="AN18" i="7"/>
  <c r="AN212" i="7"/>
  <c r="AN259" i="7"/>
  <c r="AN447" i="7"/>
  <c r="AN164" i="7"/>
  <c r="AN588" i="7"/>
  <c r="AN21" i="7"/>
  <c r="AN288" i="7"/>
  <c r="AN421" i="7"/>
  <c r="AN220" i="7"/>
  <c r="AN113" i="7"/>
  <c r="AN229" i="7"/>
  <c r="AN318" i="7"/>
  <c r="AN210" i="7"/>
  <c r="AN24" i="7"/>
  <c r="AN510" i="7"/>
  <c r="AN362" i="7"/>
  <c r="AN159" i="7"/>
  <c r="AN155" i="7"/>
  <c r="AN312" i="7"/>
  <c r="AN397" i="7"/>
  <c r="AN340" i="7"/>
  <c r="AN280" i="7"/>
  <c r="AN324" i="7"/>
  <c r="AN52" i="7"/>
  <c r="AN28" i="7"/>
  <c r="AN205" i="7"/>
  <c r="AN591" i="7"/>
  <c r="AN486" i="7"/>
  <c r="AN292" i="7"/>
  <c r="AN557" i="7"/>
  <c r="AN596" i="7"/>
  <c r="AN242" i="7"/>
  <c r="AN270" i="7"/>
  <c r="AN119" i="7"/>
  <c r="AN563" i="7"/>
  <c r="AN539" i="7"/>
  <c r="AN451" i="7"/>
  <c r="AN235" i="7"/>
  <c r="AN36" i="7"/>
  <c r="AN329" i="7"/>
  <c r="AN315" i="7"/>
  <c r="AN80" i="7"/>
  <c r="AN319" i="7"/>
  <c r="AN513" i="7"/>
  <c r="AN82" i="7"/>
  <c r="AN422" i="7"/>
  <c r="AN566" i="7"/>
  <c r="AN536" i="7"/>
  <c r="AN334" i="7"/>
  <c r="AN99" i="7"/>
  <c r="AN198" i="7"/>
  <c r="AN279" i="7"/>
  <c r="AN193" i="7"/>
  <c r="AN301" i="7"/>
  <c r="AN420" i="7"/>
  <c r="AN167" i="7"/>
  <c r="AN530" i="7"/>
  <c r="AN383" i="7"/>
  <c r="AN412" i="7"/>
  <c r="AN296" i="7"/>
  <c r="AN91" i="7"/>
  <c r="AN196" i="7"/>
  <c r="AN361" i="7"/>
  <c r="AN414" i="7"/>
  <c r="AN535" i="7"/>
  <c r="AN287" i="7"/>
  <c r="AN320" i="7"/>
  <c r="AN117" i="7"/>
  <c r="AN206" i="7"/>
  <c r="AN377" i="7"/>
  <c r="AN370" i="7"/>
  <c r="AN472" i="7"/>
  <c r="AN187" i="7"/>
  <c r="AN585" i="7"/>
  <c r="AN336" i="7"/>
  <c r="AN356" i="7"/>
  <c r="AN49" i="7"/>
  <c r="AN32" i="7"/>
  <c r="AN432" i="7"/>
  <c r="AN237" i="7"/>
  <c r="AN439" i="7"/>
  <c r="AN138" i="7"/>
  <c r="AN474" i="7"/>
  <c r="AN55" i="7"/>
  <c r="AN135" i="7"/>
  <c r="AN305" i="7"/>
  <c r="AN309" i="7"/>
  <c r="AN120" i="7"/>
  <c r="AN152" i="7"/>
  <c r="AN202" i="7"/>
  <c r="AN243" i="7"/>
  <c r="AN129" i="7"/>
  <c r="AN521" i="7"/>
  <c r="AN564" i="7"/>
  <c r="AN151" i="7"/>
  <c r="AN139" i="7"/>
  <c r="AN592" i="7"/>
  <c r="AN124" i="7"/>
  <c r="AN246" i="7"/>
  <c r="AN146" i="7"/>
  <c r="AN520" i="7"/>
  <c r="AN75" i="7"/>
  <c r="AN387" i="7"/>
  <c r="AN157" i="7"/>
  <c r="AN297" i="7"/>
  <c r="AN572" i="7"/>
  <c r="AN505" i="7"/>
  <c r="AN450" i="7"/>
  <c r="AN403" i="7"/>
  <c r="AN123" i="7"/>
  <c r="AN70" i="7"/>
  <c r="AN134" i="7"/>
  <c r="AN176" i="7"/>
  <c r="AN34" i="7"/>
  <c r="AN590" i="7"/>
  <c r="AN461" i="7"/>
  <c r="AN323" i="7"/>
  <c r="AN593" i="7"/>
  <c r="AN583" i="7"/>
  <c r="AN314" i="7"/>
  <c r="AN470" i="7"/>
  <c r="AN344" i="7"/>
  <c r="AN74" i="7"/>
  <c r="AN578" i="7"/>
  <c r="AN162" i="7"/>
  <c r="AN111" i="7"/>
  <c r="AN438" i="7"/>
  <c r="AN445" i="7"/>
  <c r="AN374" i="7"/>
  <c r="AN385" i="7"/>
  <c r="AN495" i="7"/>
  <c r="AN379" i="7"/>
  <c r="AN170" i="7"/>
  <c r="AN392" i="7"/>
  <c r="AN77" i="7"/>
  <c r="AN228" i="7"/>
  <c r="AN317" i="7"/>
  <c r="AN180" i="7"/>
  <c r="AN369" i="7"/>
  <c r="AN97" i="7"/>
  <c r="AN497" i="7"/>
  <c r="AN462" i="7"/>
  <c r="AN463" i="7"/>
  <c r="AN9" i="7"/>
  <c r="AN238" i="7"/>
  <c r="AN126" i="7"/>
  <c r="AN538" i="7"/>
  <c r="AN86" i="7"/>
  <c r="AN294" i="7"/>
  <c r="AN214" i="7"/>
  <c r="AN263" i="7"/>
  <c r="AN218" i="7"/>
  <c r="AN101" i="7"/>
  <c r="AN37" i="7"/>
  <c r="AN236" i="7"/>
  <c r="AN256" i="7"/>
  <c r="AN63" i="7"/>
  <c r="AN448" i="7"/>
  <c r="AN552" i="7"/>
  <c r="AN594" i="7"/>
  <c r="AN165" i="7"/>
  <c r="AN48" i="7"/>
  <c r="AN567" i="7"/>
  <c r="AN47" i="7"/>
  <c r="AN322" i="7"/>
  <c r="AN477" i="7"/>
  <c r="AN13" i="7"/>
  <c r="AN306" i="7"/>
  <c r="AN380" i="7"/>
  <c r="AN168" i="7"/>
  <c r="AN192" i="7"/>
  <c r="AN150" i="7"/>
  <c r="AN416" i="7"/>
  <c r="AN71" i="7"/>
  <c r="AN232" i="7"/>
  <c r="AN84" i="7"/>
  <c r="AN547" i="7"/>
  <c r="AN553" i="7"/>
  <c r="AN404" i="7"/>
  <c r="AN261" i="7"/>
  <c r="AN140" i="7"/>
  <c r="AN430" i="7"/>
  <c r="AN290" i="7"/>
  <c r="AN90" i="7"/>
  <c r="AN411" i="7"/>
  <c r="AN529" i="7"/>
  <c r="AN401" i="7"/>
  <c r="AN373" i="7"/>
  <c r="AN299" i="7"/>
  <c r="AN298" i="7"/>
  <c r="AN541" i="7"/>
  <c r="AN418" i="7"/>
  <c r="AN41" i="7"/>
  <c r="AN50" i="7"/>
  <c r="AN175" i="7"/>
  <c r="AN87" i="7"/>
  <c r="AN489" i="7"/>
  <c r="AN226" i="7"/>
  <c r="AN452" i="7"/>
  <c r="AN556" i="7"/>
  <c r="AN561" i="7"/>
  <c r="AN358" i="7"/>
  <c r="AN405" i="7"/>
  <c r="AN456" i="7"/>
  <c r="AN485" i="7"/>
  <c r="AN558" i="7"/>
  <c r="AN254" i="7"/>
  <c r="AN260" i="7"/>
  <c r="AN207" i="7"/>
  <c r="AN112" i="7"/>
  <c r="AN525" i="7"/>
  <c r="AN311" i="7"/>
  <c r="AN465" i="7"/>
  <c r="AN107" i="7"/>
  <c r="AN12" i="7"/>
  <c r="AN476" i="7"/>
  <c r="AN475" i="7"/>
  <c r="AN132" i="7"/>
  <c r="AN326" i="7"/>
  <c r="AN507" i="7"/>
  <c r="AN141" i="7"/>
  <c r="AN417" i="7"/>
  <c r="AN277" i="7"/>
  <c r="AN66" i="7"/>
  <c r="AN357" i="7"/>
  <c r="AN559" i="7"/>
  <c r="AN431" i="7"/>
  <c r="V512" i="7"/>
  <c r="V223" i="7"/>
  <c r="V305" i="7"/>
  <c r="V189" i="7"/>
  <c r="W18" i="7"/>
  <c r="V278" i="7"/>
  <c r="V447" i="7"/>
  <c r="V281" i="7"/>
  <c r="W211" i="7"/>
  <c r="V182" i="7"/>
  <c r="V109" i="7"/>
  <c r="V52" i="7"/>
  <c r="V19" i="7"/>
  <c r="V258" i="7"/>
  <c r="V212" i="7"/>
  <c r="W203" i="7"/>
  <c r="V551" i="7"/>
  <c r="W43" i="7"/>
  <c r="W250" i="7"/>
  <c r="W313" i="7"/>
  <c r="V38" i="7"/>
  <c r="W186" i="7"/>
  <c r="V200" i="7"/>
  <c r="W230" i="7"/>
  <c r="V195" i="7"/>
  <c r="AL423" i="7"/>
  <c r="AM423" i="7" s="1"/>
  <c r="AL167" i="7"/>
  <c r="AM167" i="7" s="1"/>
  <c r="AL444" i="7"/>
  <c r="AM444" i="7" s="1"/>
  <c r="AL83" i="7"/>
  <c r="AM83" i="7" s="1"/>
  <c r="AL64" i="7"/>
  <c r="AM64" i="7" s="1"/>
  <c r="AL62" i="7"/>
  <c r="AM62" i="7" s="1"/>
  <c r="AL104" i="7"/>
  <c r="AM104" i="7" s="1"/>
  <c r="AL224" i="7"/>
  <c r="AM224" i="7" s="1"/>
  <c r="AL264" i="7"/>
  <c r="AM264" i="7" s="1"/>
  <c r="AL377" i="7"/>
  <c r="AM377" i="7" s="1"/>
  <c r="AL194" i="7"/>
  <c r="AM194" i="7" s="1"/>
  <c r="AL190" i="7"/>
  <c r="AM190" i="7" s="1"/>
  <c r="AL312" i="7"/>
  <c r="AM312" i="7" s="1"/>
  <c r="AL187" i="7"/>
  <c r="AM187" i="7" s="1"/>
  <c r="AL48" i="7"/>
  <c r="AM48" i="7" s="1"/>
  <c r="AL309" i="7"/>
  <c r="AM309" i="7" s="1"/>
  <c r="AL120" i="7"/>
  <c r="AM120" i="7" s="1"/>
  <c r="AL152" i="7"/>
  <c r="AM152" i="7" s="1"/>
  <c r="AL202" i="7"/>
  <c r="AM202" i="7" s="1"/>
  <c r="AL38" i="7"/>
  <c r="AM38" i="7" s="1"/>
  <c r="AL569" i="7"/>
  <c r="AM569" i="7" s="1"/>
  <c r="AL549" i="7"/>
  <c r="AM549" i="7" s="1"/>
  <c r="AL231" i="7"/>
  <c r="AM231" i="7" s="1"/>
  <c r="AL352" i="7"/>
  <c r="AM352" i="7" s="1"/>
  <c r="AL106" i="7"/>
  <c r="AM106" i="7" s="1"/>
  <c r="AL573" i="7"/>
  <c r="AM573" i="7" s="1"/>
  <c r="AL584" i="7"/>
  <c r="AM584" i="7" s="1"/>
  <c r="AL108" i="7"/>
  <c r="AM108" i="7" s="1"/>
  <c r="AL128" i="7"/>
  <c r="AM128" i="7" s="1"/>
  <c r="AL428" i="7"/>
  <c r="AM428" i="7" s="1"/>
  <c r="AL239" i="7"/>
  <c r="AM239" i="7" s="1"/>
  <c r="AL367" i="7"/>
  <c r="AM367" i="7" s="1"/>
  <c r="AL89" i="7"/>
  <c r="AM89" i="7" s="1"/>
  <c r="AL49" i="7"/>
  <c r="AM49" i="7" s="1"/>
  <c r="AL439" i="7"/>
  <c r="AM439" i="7" s="1"/>
  <c r="AL363" i="7"/>
  <c r="AM363" i="7" s="1"/>
  <c r="AL244" i="7"/>
  <c r="AM244" i="7" s="1"/>
  <c r="AL557" i="7"/>
  <c r="AM557" i="7" s="1"/>
  <c r="AL282" i="7"/>
  <c r="AM282" i="7" s="1"/>
  <c r="AL595" i="7"/>
  <c r="AM595" i="7" s="1"/>
  <c r="AL339" i="7"/>
  <c r="AM339" i="7" s="1"/>
  <c r="AL186" i="7"/>
  <c r="AM186" i="7" s="1"/>
  <c r="AL328" i="7"/>
  <c r="AM328" i="7" s="1"/>
  <c r="AL39" i="7"/>
  <c r="AM39" i="7" s="1"/>
  <c r="AL193" i="7"/>
  <c r="AM193" i="7" s="1"/>
  <c r="AL577" i="7"/>
  <c r="AM577" i="7" s="1"/>
  <c r="AL515" i="7"/>
  <c r="AM515" i="7" s="1"/>
  <c r="AL576" i="7"/>
  <c r="AM576" i="7" s="1"/>
  <c r="AL544" i="7"/>
  <c r="AM544" i="7" s="1"/>
  <c r="AL596" i="7"/>
  <c r="AM596" i="7" s="1"/>
  <c r="AL267" i="7"/>
  <c r="AM267" i="7" s="1"/>
  <c r="AL519" i="7"/>
  <c r="AM519" i="7" s="1"/>
  <c r="AL310" i="7"/>
  <c r="AM310" i="7" s="1"/>
  <c r="AL521" i="7"/>
  <c r="AM521" i="7" s="1"/>
  <c r="AL215" i="7"/>
  <c r="AM215" i="7" s="1"/>
  <c r="AL280" i="7"/>
  <c r="AM280" i="7" s="1"/>
  <c r="AL317" i="7"/>
  <c r="AM317" i="7" s="1"/>
  <c r="AL180" i="7"/>
  <c r="AM180" i="7" s="1"/>
  <c r="AL369" i="7"/>
  <c r="AM369" i="7" s="1"/>
  <c r="AL97" i="7"/>
  <c r="AM97" i="7" s="1"/>
  <c r="AL497" i="7"/>
  <c r="AM497" i="7" s="1"/>
  <c r="AL462" i="7"/>
  <c r="AM462" i="7" s="1"/>
  <c r="AL463" i="7"/>
  <c r="AM463" i="7" s="1"/>
  <c r="AL9" i="7"/>
  <c r="AM9" i="7" s="1"/>
  <c r="AL238" i="7"/>
  <c r="AM238" i="7" s="1"/>
  <c r="AL126" i="7"/>
  <c r="AM126" i="7" s="1"/>
  <c r="AL538" i="7"/>
  <c r="AM538" i="7" s="1"/>
  <c r="AL321" i="7"/>
  <c r="AM321" i="7" s="1"/>
  <c r="AL163" i="7"/>
  <c r="AM163" i="7" s="1"/>
  <c r="AL285" i="7"/>
  <c r="AM285" i="7" s="1"/>
  <c r="AL138" i="7"/>
  <c r="AM138" i="7" s="1"/>
  <c r="AL241" i="7"/>
  <c r="AM241" i="7" s="1"/>
  <c r="AL486" i="7"/>
  <c r="AM486" i="7" s="1"/>
  <c r="AL269" i="7"/>
  <c r="AM269" i="7" s="1"/>
  <c r="AL95" i="7"/>
  <c r="AM95" i="7" s="1"/>
  <c r="AL270" i="7"/>
  <c r="AM270" i="7" s="1"/>
  <c r="AL201" i="7"/>
  <c r="AM201" i="7" s="1"/>
  <c r="AL206" i="7"/>
  <c r="AM206" i="7" s="1"/>
  <c r="AL370" i="7"/>
  <c r="AM370" i="7" s="1"/>
  <c r="V22" i="7"/>
  <c r="V265" i="7"/>
  <c r="V133" i="7"/>
  <c r="W503" i="7"/>
  <c r="V569" i="7"/>
  <c r="V435" i="7"/>
  <c r="W169" i="7"/>
  <c r="W588" i="7"/>
  <c r="W274" i="7"/>
  <c r="W330" i="7"/>
  <c r="W347" i="7"/>
  <c r="V546" i="7"/>
  <c r="V125" i="7"/>
  <c r="W44" i="7"/>
  <c r="AS534" i="7"/>
  <c r="AY534" i="7" s="1"/>
  <c r="AL492" i="7"/>
  <c r="AM492" i="7" s="1"/>
  <c r="AL245" i="7"/>
  <c r="AM245" i="7" s="1"/>
  <c r="AL151" i="7"/>
  <c r="AM151" i="7" s="1"/>
  <c r="AL246" i="7"/>
  <c r="AM246" i="7" s="1"/>
  <c r="AL127" i="7"/>
  <c r="AM127" i="7" s="1"/>
  <c r="AL381" i="7"/>
  <c r="AM381" i="7" s="1"/>
  <c r="AL376" i="7"/>
  <c r="AM376" i="7" s="1"/>
  <c r="AL20" i="7"/>
  <c r="AM20" i="7" s="1"/>
  <c r="AL59" i="7"/>
  <c r="AM59" i="7" s="1"/>
  <c r="AL85" i="7"/>
  <c r="AM85" i="7" s="1"/>
  <c r="AL44" i="7"/>
  <c r="AM44" i="7" s="1"/>
  <c r="AL508" i="7"/>
  <c r="AM508" i="7" s="1"/>
  <c r="AL530" i="7"/>
  <c r="AM530" i="7" s="1"/>
  <c r="AL412" i="7"/>
  <c r="AM412" i="7" s="1"/>
  <c r="AL109" i="7"/>
  <c r="AM109" i="7" s="1"/>
  <c r="AL361" i="7"/>
  <c r="AM361" i="7" s="1"/>
  <c r="AL305" i="7"/>
  <c r="AM305" i="7" s="1"/>
  <c r="AL67" i="7"/>
  <c r="AM67" i="7" s="1"/>
  <c r="AL237" i="7"/>
  <c r="AM237" i="7" s="1"/>
  <c r="AL585" i="7"/>
  <c r="AM585" i="7" s="1"/>
  <c r="AL271" i="7"/>
  <c r="AM271" i="7" s="1"/>
  <c r="AL345" i="7"/>
  <c r="AM345" i="7" s="1"/>
  <c r="AL199" i="7"/>
  <c r="AM199" i="7" s="1"/>
  <c r="AL35" i="7"/>
  <c r="AM35" i="7" s="1"/>
  <c r="AL313" i="7"/>
  <c r="AM313" i="7" s="1"/>
  <c r="AL19" i="7"/>
  <c r="AM19" i="7" s="1"/>
  <c r="AL42" i="7"/>
  <c r="AM42" i="7" s="1"/>
  <c r="AL210" i="7"/>
  <c r="AM210" i="7" s="1"/>
  <c r="AL516" i="7"/>
  <c r="AM516" i="7" s="1"/>
  <c r="AL91" i="7"/>
  <c r="AM91" i="7" s="1"/>
  <c r="AL591" i="7"/>
  <c r="AM591" i="7" s="1"/>
  <c r="AL332" i="7"/>
  <c r="AM332" i="7" s="1"/>
  <c r="AL302" i="7"/>
  <c r="AM302" i="7" s="1"/>
  <c r="AL242" i="7"/>
  <c r="AM242" i="7" s="1"/>
  <c r="AL491" i="7"/>
  <c r="AM491" i="7" s="1"/>
  <c r="AL230" i="7"/>
  <c r="AM230" i="7" s="1"/>
  <c r="AL546" i="7"/>
  <c r="AM546" i="7" s="1"/>
  <c r="AL335" i="7"/>
  <c r="AM335" i="7" s="1"/>
  <c r="AL548" i="7"/>
  <c r="AM548" i="7" s="1"/>
  <c r="AL3" i="7"/>
  <c r="AM3" i="7" s="1"/>
  <c r="AL286" i="7"/>
  <c r="AM286" i="7" s="1"/>
  <c r="AL555" i="7"/>
  <c r="AM555" i="7" s="1"/>
  <c r="AL303" i="7"/>
  <c r="AM303" i="7" s="1"/>
  <c r="AL171" i="7"/>
  <c r="AM171" i="7" s="1"/>
  <c r="AL172" i="7"/>
  <c r="AM172" i="7" s="1"/>
  <c r="AL58" i="7"/>
  <c r="AM58" i="7" s="1"/>
  <c r="AL148" i="7"/>
  <c r="AM148" i="7" s="1"/>
  <c r="AL499" i="7"/>
  <c r="AM499" i="7" s="1"/>
  <c r="AL398" i="7"/>
  <c r="AM398" i="7" s="1"/>
  <c r="AL219" i="7"/>
  <c r="AM219" i="7" s="1"/>
  <c r="AL137" i="7"/>
  <c r="AM137" i="7" s="1"/>
  <c r="AL331" i="7"/>
  <c r="AM331" i="7" s="1"/>
  <c r="AL586" i="7"/>
  <c r="AM586" i="7" s="1"/>
  <c r="AL102" i="7"/>
  <c r="AM102" i="7" s="1"/>
  <c r="AL386" i="7"/>
  <c r="AM386" i="7" s="1"/>
  <c r="AL121" i="7"/>
  <c r="AM121" i="7" s="1"/>
  <c r="AL571" i="7"/>
  <c r="AM571" i="7" s="1"/>
  <c r="AL514" i="7"/>
  <c r="AM514" i="7" s="1"/>
  <c r="AL582" i="7"/>
  <c r="AM582" i="7" s="1"/>
  <c r="AL524" i="7"/>
  <c r="AM524" i="7" s="1"/>
  <c r="AL580" i="7"/>
  <c r="AM580" i="7" s="1"/>
  <c r="AL173" i="7"/>
  <c r="AM173" i="7" s="1"/>
  <c r="AL86" i="7"/>
  <c r="AM86" i="7" s="1"/>
  <c r="AL294" i="7"/>
  <c r="AM294" i="7" s="1"/>
  <c r="AL214" i="7"/>
  <c r="AM214" i="7" s="1"/>
  <c r="AL263" i="7"/>
  <c r="AM263" i="7" s="1"/>
  <c r="AL218" i="7"/>
  <c r="AM218" i="7" s="1"/>
  <c r="AL342" i="7"/>
  <c r="AM342" i="7" s="1"/>
  <c r="AL460" i="7"/>
  <c r="AM460" i="7" s="1"/>
  <c r="AL395" i="7"/>
  <c r="AM395" i="7" s="1"/>
  <c r="AL523" i="7"/>
  <c r="AM523" i="7" s="1"/>
  <c r="AL57" i="7"/>
  <c r="AM57" i="7" s="1"/>
  <c r="AL410" i="7"/>
  <c r="AM410" i="7" s="1"/>
  <c r="AL502" i="7"/>
  <c r="AM502" i="7" s="1"/>
  <c r="AL415" i="7"/>
  <c r="AM415" i="7" s="1"/>
  <c r="AL348" i="7"/>
  <c r="AM348" i="7" s="1"/>
  <c r="AL325" i="7"/>
  <c r="AM325" i="7" s="1"/>
  <c r="AL391" i="7"/>
  <c r="AM391" i="7" s="1"/>
  <c r="AL160" i="7"/>
  <c r="AM160" i="7" s="1"/>
  <c r="AL545" i="7"/>
  <c r="AM545" i="7" s="1"/>
  <c r="AL457" i="7"/>
  <c r="AM457" i="7" s="1"/>
  <c r="AL351" i="7"/>
  <c r="AM351" i="7" s="1"/>
  <c r="AL197" i="7"/>
  <c r="AM197" i="7" s="1"/>
  <c r="AL483" i="7"/>
  <c r="AM483" i="7" s="1"/>
  <c r="AL471" i="7"/>
  <c r="AM471" i="7" s="1"/>
  <c r="AL408" i="7"/>
  <c r="AM408" i="7" s="1"/>
  <c r="AL208" i="7"/>
  <c r="AM208" i="7" s="1"/>
  <c r="AL103" i="7"/>
  <c r="AM103" i="7" s="1"/>
  <c r="AL30" i="7"/>
  <c r="AM30" i="7" s="1"/>
  <c r="AL257" i="7"/>
  <c r="AM257" i="7" s="1"/>
  <c r="AL353" i="7"/>
  <c r="AM353" i="7" s="1"/>
  <c r="AL8" i="7"/>
  <c r="AM8" i="7" s="1"/>
  <c r="AL185" i="7"/>
  <c r="AM185" i="7" s="1"/>
  <c r="AL147" i="7"/>
  <c r="AM147" i="7" s="1"/>
  <c r="AL490" i="7"/>
  <c r="AM490" i="7" s="1"/>
  <c r="AL509" i="7"/>
  <c r="AM509" i="7" s="1"/>
  <c r="AL350" i="7"/>
  <c r="AM350" i="7" s="1"/>
  <c r="AL534" i="7"/>
  <c r="AM534" i="7" s="1"/>
  <c r="AL116" i="7"/>
  <c r="AM116" i="7" s="1"/>
  <c r="AL73" i="7"/>
  <c r="AM73" i="7" s="1"/>
  <c r="AL494" i="7"/>
  <c r="AM494" i="7" s="1"/>
  <c r="AL511" i="7"/>
  <c r="AM511" i="7" s="1"/>
  <c r="AL278" i="7"/>
  <c r="AM278" i="7" s="1"/>
  <c r="AL487" i="7"/>
  <c r="AM487" i="7" s="1"/>
  <c r="AL466" i="7"/>
  <c r="AM466" i="7" s="1"/>
  <c r="AL366" i="7"/>
  <c r="AM366" i="7" s="1"/>
  <c r="AL133" i="7"/>
  <c r="AM133" i="7" s="1"/>
  <c r="AL360" i="7"/>
  <c r="AM360" i="7" s="1"/>
  <c r="AL4" i="7"/>
  <c r="AM4" i="7" s="1"/>
  <c r="AL407" i="7"/>
  <c r="AM407" i="7" s="1"/>
  <c r="AL554" i="7"/>
  <c r="AM554" i="7" s="1"/>
  <c r="AL384" i="7"/>
  <c r="AM384" i="7" s="1"/>
  <c r="AL394" i="7"/>
  <c r="AM394" i="7" s="1"/>
  <c r="AL347" i="7"/>
  <c r="AM347" i="7" s="1"/>
  <c r="AL435" i="7"/>
  <c r="AM435" i="7" s="1"/>
  <c r="AL169" i="7"/>
  <c r="AM169" i="7" s="1"/>
  <c r="AL182" i="7"/>
  <c r="AM182" i="7" s="1"/>
  <c r="AL22" i="7"/>
  <c r="AM22" i="7" s="1"/>
  <c r="AL504" i="7"/>
  <c r="AM504" i="7" s="1"/>
  <c r="AL18" i="7"/>
  <c r="AM18" i="7" s="1"/>
  <c r="AL212" i="7"/>
  <c r="AM212" i="7" s="1"/>
  <c r="AL364" i="7"/>
  <c r="AM364" i="7" s="1"/>
  <c r="AL259" i="7"/>
  <c r="AM259" i="7" s="1"/>
  <c r="AL390" i="7"/>
  <c r="AM390" i="7" s="1"/>
  <c r="AL447" i="7"/>
  <c r="AM447" i="7" s="1"/>
  <c r="AL248" i="7"/>
  <c r="AM248" i="7" s="1"/>
  <c r="AL455" i="7"/>
  <c r="AM455" i="7" s="1"/>
  <c r="AL23" i="7"/>
  <c r="AM23" i="7" s="1"/>
  <c r="AL265" i="7"/>
  <c r="AM265" i="7" s="1"/>
  <c r="AL588" i="7"/>
  <c r="AM588" i="7" s="1"/>
  <c r="AL542" i="7"/>
  <c r="AM542" i="7" s="1"/>
  <c r="AL21" i="7"/>
  <c r="AM21" i="7" s="1"/>
  <c r="AL250" i="7"/>
  <c r="AM250" i="7" s="1"/>
  <c r="AL258" i="7"/>
  <c r="AM258" i="7" s="1"/>
  <c r="AL421" i="7"/>
  <c r="AM421" i="7" s="1"/>
  <c r="AL220" i="7"/>
  <c r="AM220" i="7" s="1"/>
  <c r="AL53" i="7"/>
  <c r="AM53" i="7" s="1"/>
  <c r="AL99" i="7"/>
  <c r="AM99" i="7" s="1"/>
  <c r="AL81" i="7"/>
  <c r="AM81" i="7" s="1"/>
  <c r="AL110" i="7"/>
  <c r="AM110" i="7" s="1"/>
  <c r="AL11" i="7"/>
  <c r="AM11" i="7" s="1"/>
  <c r="AL436" i="7"/>
  <c r="AM436" i="7" s="1"/>
  <c r="AL25" i="7"/>
  <c r="AM25" i="7" s="1"/>
  <c r="AL17" i="7"/>
  <c r="AM17" i="7" s="1"/>
  <c r="AL478" i="7"/>
  <c r="AM478" i="7" s="1"/>
  <c r="AL113" i="7"/>
  <c r="AM113" i="7" s="1"/>
  <c r="AL131" i="7"/>
  <c r="AM131" i="7" s="1"/>
  <c r="AL570" i="7"/>
  <c r="AM570" i="7" s="1"/>
  <c r="AL318" i="7"/>
  <c r="AM318" i="7" s="1"/>
  <c r="AL354" i="7"/>
  <c r="AM354" i="7" s="1"/>
  <c r="AL279" i="7"/>
  <c r="AM279" i="7" s="1"/>
  <c r="AL24" i="7"/>
  <c r="AM24" i="7" s="1"/>
  <c r="AL500" i="7"/>
  <c r="AM500" i="7" s="1"/>
  <c r="AL144" i="7"/>
  <c r="AM144" i="7" s="1"/>
  <c r="AL6" i="7"/>
  <c r="AM6" i="7" s="1"/>
  <c r="AL427" i="7"/>
  <c r="AM427" i="7" s="1"/>
  <c r="AL26" i="7"/>
  <c r="AM26" i="7" s="1"/>
  <c r="AL589" i="7"/>
  <c r="AM589" i="7" s="1"/>
  <c r="AL272" i="7"/>
  <c r="AM272" i="7" s="1"/>
  <c r="AL43" i="7"/>
  <c r="AM43" i="7" s="1"/>
  <c r="AL221" i="7"/>
  <c r="AM221" i="7" s="1"/>
  <c r="AL378" i="7"/>
  <c r="AM378" i="7" s="1"/>
  <c r="AL101" i="7"/>
  <c r="AM101" i="7" s="1"/>
  <c r="AL37" i="7"/>
  <c r="AM37" i="7" s="1"/>
  <c r="AL236" i="7"/>
  <c r="AM236" i="7" s="1"/>
  <c r="AL256" i="7"/>
  <c r="AM256" i="7" s="1"/>
  <c r="AL63" i="7"/>
  <c r="AM63" i="7" s="1"/>
  <c r="AL448" i="7"/>
  <c r="AM448" i="7" s="1"/>
  <c r="AL552" i="7"/>
  <c r="AM552" i="7" s="1"/>
  <c r="AL594" i="7"/>
  <c r="AM594" i="7" s="1"/>
  <c r="AL165" i="7"/>
  <c r="AM165" i="7" s="1"/>
  <c r="AL266" i="7"/>
  <c r="AM266" i="7" s="1"/>
  <c r="AL467" i="7"/>
  <c r="AM467" i="7" s="1"/>
  <c r="AL397" i="7"/>
  <c r="AM397" i="7" s="1"/>
  <c r="AL139" i="7"/>
  <c r="AM139" i="7" s="1"/>
  <c r="AL146" i="7"/>
  <c r="AM146" i="7" s="1"/>
  <c r="AL429" i="7"/>
  <c r="AM429" i="7" s="1"/>
  <c r="AL293" i="7"/>
  <c r="AM293" i="7" s="1"/>
  <c r="AL522" i="7"/>
  <c r="AM522" i="7" s="1"/>
  <c r="AL115" i="7"/>
  <c r="AM115" i="7" s="1"/>
  <c r="AL343" i="7"/>
  <c r="AM343" i="7" s="1"/>
  <c r="AL464" i="7"/>
  <c r="AM464" i="7" s="1"/>
  <c r="AL200" i="7"/>
  <c r="AM200" i="7" s="1"/>
  <c r="AL195" i="7"/>
  <c r="AM195" i="7" s="1"/>
  <c r="AL14" i="7"/>
  <c r="AM14" i="7" s="1"/>
  <c r="AL222" i="7"/>
  <c r="AM222" i="7" s="1"/>
  <c r="AL438" i="7"/>
  <c r="AM438" i="7" s="1"/>
  <c r="AL324" i="7"/>
  <c r="AM324" i="7" s="1"/>
  <c r="AL333" i="7"/>
  <c r="AM333" i="7" s="1"/>
  <c r="AL296" i="7"/>
  <c r="AM296" i="7" s="1"/>
  <c r="AL336" i="7"/>
  <c r="AM336" i="7" s="1"/>
  <c r="AL414" i="7"/>
  <c r="AM414" i="7" s="1"/>
  <c r="AL535" i="7"/>
  <c r="AM535" i="7" s="1"/>
  <c r="AL287" i="7"/>
  <c r="AM287" i="7" s="1"/>
  <c r="AL320" i="7"/>
  <c r="AM320" i="7" s="1"/>
  <c r="AL117" i="7"/>
  <c r="AM117" i="7" s="1"/>
  <c r="AL216" i="7"/>
  <c r="AM216" i="7" s="1"/>
  <c r="AL274" i="7"/>
  <c r="AM274" i="7" s="1"/>
  <c r="AL252" i="7"/>
  <c r="AM252" i="7" s="1"/>
  <c r="AL253" i="7"/>
  <c r="AM253" i="7" s="1"/>
  <c r="AL28" i="7"/>
  <c r="AM28" i="7" s="1"/>
  <c r="AL341" i="7"/>
  <c r="AM341" i="7" s="1"/>
  <c r="AL518" i="7"/>
  <c r="AM518" i="7" s="1"/>
  <c r="AL480" i="7"/>
  <c r="AM480" i="7" s="1"/>
  <c r="AL7" i="7"/>
  <c r="AM7" i="7" s="1"/>
  <c r="AL454" i="7"/>
  <c r="AM454" i="7" s="1"/>
  <c r="AL130" i="7"/>
  <c r="AM130" i="7" s="1"/>
  <c r="AL426" i="7"/>
  <c r="AM426" i="7" s="1"/>
  <c r="AL543" i="7"/>
  <c r="AM543" i="7" s="1"/>
  <c r="AL31" i="7"/>
  <c r="AM31" i="7" s="1"/>
  <c r="AL155" i="7"/>
  <c r="AM155" i="7" s="1"/>
  <c r="AL205" i="7"/>
  <c r="AM205" i="7" s="1"/>
  <c r="AL158" i="7"/>
  <c r="AM158" i="7" s="1"/>
  <c r="AL292" i="7"/>
  <c r="AM292" i="7" s="1"/>
  <c r="AL10" i="7"/>
  <c r="AM10" i="7" s="1"/>
  <c r="AL94" i="7"/>
  <c r="AM94" i="7" s="1"/>
  <c r="AL119" i="7"/>
  <c r="AM119" i="7" s="1"/>
  <c r="AL189" i="7"/>
  <c r="AM189" i="7" s="1"/>
  <c r="AL532" i="7"/>
  <c r="AM532" i="7" s="1"/>
  <c r="AL459" i="7"/>
  <c r="AM459" i="7" s="1"/>
  <c r="AL196" i="7"/>
  <c r="AM196" i="7" s="1"/>
  <c r="AL135" i="7"/>
  <c r="AM135" i="7" s="1"/>
  <c r="AL55" i="7"/>
  <c r="AM55" i="7" s="1"/>
  <c r="AL592" i="7"/>
  <c r="AM592" i="7" s="1"/>
  <c r="AL96" i="7"/>
  <c r="AM96" i="7" s="1"/>
  <c r="AL188" i="7"/>
  <c r="AM188" i="7" s="1"/>
  <c r="AL273" i="7"/>
  <c r="AM273" i="7" s="1"/>
  <c r="AL473" i="7"/>
  <c r="AM473" i="7" s="1"/>
  <c r="AL122" i="7"/>
  <c r="AM122" i="7" s="1"/>
  <c r="AL234" i="7"/>
  <c r="AM234" i="7" s="1"/>
  <c r="AL579" i="7"/>
  <c r="AM579" i="7" s="1"/>
  <c r="AL420" i="7"/>
  <c r="AM420" i="7" s="1"/>
  <c r="AL217" i="7"/>
  <c r="AM217" i="7" s="1"/>
  <c r="AL383" i="7"/>
  <c r="AM383" i="7" s="1"/>
  <c r="AL118" i="7"/>
  <c r="AM118" i="7" s="1"/>
  <c r="AL512" i="7"/>
  <c r="AM512" i="7" s="1"/>
  <c r="AL203" i="7"/>
  <c r="AM203" i="7" s="1"/>
  <c r="AL382" i="7"/>
  <c r="AM382" i="7" s="1"/>
  <c r="AL69" i="7"/>
  <c r="AM69" i="7" s="1"/>
  <c r="AL72" i="7"/>
  <c r="AM72" i="7" s="1"/>
  <c r="AL559" i="7"/>
  <c r="AM559" i="7" s="1"/>
  <c r="AL550" i="7"/>
  <c r="AM550" i="7" s="1"/>
  <c r="AL60" i="7"/>
  <c r="AM60" i="7" s="1"/>
  <c r="AL2" i="7"/>
  <c r="AM2" i="7" s="1"/>
  <c r="AL528" i="7"/>
  <c r="AM528" i="7" s="1"/>
  <c r="AL413" i="7"/>
  <c r="AM413" i="7" s="1"/>
  <c r="AL563" i="7"/>
  <c r="AM563" i="7" s="1"/>
  <c r="AL129" i="7"/>
  <c r="AM129" i="7" s="1"/>
  <c r="AL564" i="7"/>
  <c r="AM564" i="7" s="1"/>
  <c r="AL340" i="7"/>
  <c r="AM340" i="7" s="1"/>
  <c r="AL226" i="7"/>
  <c r="AM226" i="7" s="1"/>
  <c r="AL452" i="7"/>
  <c r="AM452" i="7" s="1"/>
  <c r="AL556" i="7"/>
  <c r="AM556" i="7" s="1"/>
  <c r="AL561" i="7"/>
  <c r="AM561" i="7" s="1"/>
  <c r="AL358" i="7"/>
  <c r="AM358" i="7" s="1"/>
  <c r="AL405" i="7"/>
  <c r="AM405" i="7" s="1"/>
  <c r="AL456" i="7"/>
  <c r="AM456" i="7" s="1"/>
  <c r="AL485" i="7"/>
  <c r="AM485" i="7" s="1"/>
  <c r="AL558" i="7"/>
  <c r="AM558" i="7" s="1"/>
  <c r="AL254" i="7"/>
  <c r="AM254" i="7" s="1"/>
  <c r="AL260" i="7"/>
  <c r="AM260" i="7" s="1"/>
  <c r="AL166" i="7"/>
  <c r="AM166" i="7" s="1"/>
  <c r="AL406" i="7"/>
  <c r="AM406" i="7" s="1"/>
  <c r="AL275" i="7"/>
  <c r="AM275" i="7" s="1"/>
  <c r="AL472" i="7"/>
  <c r="AM472" i="7" s="1"/>
  <c r="AL356" i="7"/>
  <c r="AM356" i="7" s="1"/>
  <c r="AL482" i="7"/>
  <c r="AM482" i="7" s="1"/>
  <c r="AL368" i="7"/>
  <c r="AM368" i="7" s="1"/>
  <c r="AL419" i="7"/>
  <c r="AM419" i="7" s="1"/>
  <c r="AL402" i="7"/>
  <c r="AM402" i="7" s="1"/>
  <c r="AL33" i="7"/>
  <c r="AM33" i="7" s="1"/>
  <c r="AL211" i="7"/>
  <c r="AM211" i="7" s="1"/>
  <c r="AL349" i="7"/>
  <c r="AM349" i="7" s="1"/>
  <c r="AL510" i="7"/>
  <c r="AM510" i="7" s="1"/>
  <c r="AL307" i="7"/>
  <c r="AM307" i="7" s="1"/>
  <c r="AL268" i="7"/>
  <c r="AM268" i="7" s="1"/>
  <c r="AL227" i="7"/>
  <c r="AM227" i="7" s="1"/>
  <c r="AL247" i="7"/>
  <c r="AM247" i="7" s="1"/>
  <c r="AL276" i="7"/>
  <c r="AM276" i="7" s="1"/>
  <c r="AL16" i="7"/>
  <c r="AM16" i="7" s="1"/>
  <c r="AL179" i="7"/>
  <c r="AM179" i="7" s="1"/>
  <c r="AL443" i="7"/>
  <c r="AM443" i="7" s="1"/>
  <c r="AL330" i="7"/>
  <c r="AM330" i="7" s="1"/>
  <c r="AL46" i="7"/>
  <c r="AM46" i="7" s="1"/>
  <c r="AL520" i="7"/>
  <c r="AM520" i="7" s="1"/>
  <c r="AL387" i="7"/>
  <c r="AM387" i="7" s="1"/>
  <c r="AL297" i="7"/>
  <c r="AM297" i="7" s="1"/>
  <c r="AL505" i="7"/>
  <c r="AM505" i="7" s="1"/>
  <c r="AL403" i="7"/>
  <c r="AM403" i="7" s="1"/>
  <c r="AL70" i="7"/>
  <c r="AM70" i="7" s="1"/>
  <c r="AL176" i="7"/>
  <c r="AM176" i="7" s="1"/>
  <c r="AL590" i="7"/>
  <c r="AM590" i="7" s="1"/>
  <c r="AL323" i="7"/>
  <c r="AM323" i="7" s="1"/>
  <c r="AL583" i="7"/>
  <c r="AM583" i="7" s="1"/>
  <c r="AL174" i="7"/>
  <c r="AM174" i="7" s="1"/>
  <c r="AL74" i="7"/>
  <c r="AM74" i="7" s="1"/>
  <c r="AL359" i="7"/>
  <c r="AM359" i="7" s="1"/>
  <c r="AL177" i="7"/>
  <c r="AM177" i="7" s="1"/>
  <c r="AL29" i="7"/>
  <c r="AM29" i="7" s="1"/>
  <c r="AL401" i="7"/>
  <c r="AM401" i="7" s="1"/>
  <c r="AL162" i="7"/>
  <c r="AM162" i="7" s="1"/>
  <c r="AL373" i="7"/>
  <c r="AM373" i="7" s="1"/>
  <c r="AL392" i="7"/>
  <c r="AM392" i="7" s="1"/>
  <c r="AL149" i="7"/>
  <c r="AM149" i="7" s="1"/>
  <c r="AL567" i="7"/>
  <c r="AM567" i="7" s="1"/>
  <c r="AL322" i="7"/>
  <c r="AM322" i="7" s="1"/>
  <c r="AL13" i="7"/>
  <c r="AM13" i="7" s="1"/>
  <c r="AL380" i="7"/>
  <c r="AM380" i="7" s="1"/>
  <c r="AL192" i="7"/>
  <c r="AM192" i="7" s="1"/>
  <c r="AL416" i="7"/>
  <c r="AM416" i="7" s="1"/>
  <c r="AL232" i="7"/>
  <c r="AM232" i="7" s="1"/>
  <c r="AL547" i="7"/>
  <c r="AM547" i="7" s="1"/>
  <c r="AL404" i="7"/>
  <c r="AM404" i="7" s="1"/>
  <c r="AL140" i="7"/>
  <c r="AM140" i="7" s="1"/>
  <c r="AL290" i="7"/>
  <c r="AM290" i="7" s="1"/>
  <c r="AL90" i="7"/>
  <c r="AM90" i="7" s="1"/>
  <c r="AL488" i="7"/>
  <c r="AM488" i="7" s="1"/>
  <c r="AL355" i="7"/>
  <c r="AM355" i="7" s="1"/>
  <c r="AL385" i="7"/>
  <c r="AM385" i="7" s="1"/>
  <c r="AL541" i="7"/>
  <c r="AM541" i="7" s="1"/>
  <c r="AL379" i="7"/>
  <c r="AM379" i="7" s="1"/>
  <c r="AL98" i="7"/>
  <c r="AM98" i="7" s="1"/>
  <c r="AL111" i="7"/>
  <c r="AM111" i="7" s="1"/>
  <c r="AL175" i="7"/>
  <c r="AM175" i="7" s="1"/>
  <c r="AL489" i="7"/>
  <c r="AM489" i="7" s="1"/>
  <c r="AL75" i="7"/>
  <c r="AM75" i="7" s="1"/>
  <c r="AL157" i="7"/>
  <c r="AM157" i="7" s="1"/>
  <c r="AL572" i="7"/>
  <c r="AM572" i="7" s="1"/>
  <c r="AL450" i="7"/>
  <c r="AM450" i="7" s="1"/>
  <c r="AL123" i="7"/>
  <c r="AM123" i="7" s="1"/>
  <c r="AL134" i="7"/>
  <c r="AM134" i="7" s="1"/>
  <c r="AL34" i="7"/>
  <c r="AM34" i="7" s="1"/>
  <c r="AL461" i="7"/>
  <c r="AM461" i="7" s="1"/>
  <c r="AL593" i="7"/>
  <c r="AM593" i="7" s="1"/>
  <c r="AL314" i="7"/>
  <c r="AM314" i="7" s="1"/>
  <c r="AL470" i="7"/>
  <c r="AM470" i="7" s="1"/>
  <c r="AL344" i="7"/>
  <c r="AM344" i="7" s="1"/>
  <c r="AL469" i="7"/>
  <c r="AM469" i="7" s="1"/>
  <c r="AL298" i="7"/>
  <c r="AM298" i="7" s="1"/>
  <c r="AL5" i="7"/>
  <c r="AM5" i="7" s="1"/>
  <c r="AL495" i="7"/>
  <c r="AM495" i="7" s="1"/>
  <c r="AL41" i="7"/>
  <c r="AM41" i="7" s="1"/>
  <c r="AL531" i="7"/>
  <c r="AM531" i="7" s="1"/>
  <c r="AL50" i="7"/>
  <c r="AM50" i="7" s="1"/>
  <c r="AL228" i="7"/>
  <c r="AM228" i="7" s="1"/>
  <c r="AL445" i="7"/>
  <c r="AM445" i="7" s="1"/>
  <c r="AL568" i="7"/>
  <c r="AM568" i="7" s="1"/>
  <c r="AL295" i="7"/>
  <c r="AM295" i="7" s="1"/>
  <c r="AL400" i="7"/>
  <c r="AM400" i="7" s="1"/>
  <c r="AL255" i="7"/>
  <c r="AM255" i="7" s="1"/>
  <c r="AL574" i="7"/>
  <c r="AM574" i="7" s="1"/>
  <c r="AL453" i="7"/>
  <c r="AM453" i="7" s="1"/>
  <c r="AL533" i="7"/>
  <c r="AM533" i="7" s="1"/>
  <c r="AL346" i="7"/>
  <c r="AM346" i="7" s="1"/>
  <c r="AL468" i="7"/>
  <c r="AM468" i="7" s="1"/>
  <c r="AL300" i="7"/>
  <c r="AM300" i="7" s="1"/>
  <c r="AL434" i="7"/>
  <c r="AM434" i="7" s="1"/>
  <c r="AL399" i="7"/>
  <c r="AM399" i="7" s="1"/>
  <c r="AL433" i="7"/>
  <c r="AM433" i="7" s="1"/>
  <c r="AL581" i="7"/>
  <c r="AM581" i="7" s="1"/>
  <c r="AL145" i="7"/>
  <c r="AM145" i="7" s="1"/>
  <c r="AL575" i="7"/>
  <c r="AM575" i="7" s="1"/>
  <c r="AL45" i="7"/>
  <c r="AM45" i="7" s="1"/>
  <c r="AL136" i="7"/>
  <c r="AM136" i="7" s="1"/>
  <c r="AL207" i="7"/>
  <c r="AM207" i="7" s="1"/>
  <c r="AL105" i="7"/>
  <c r="AM105" i="7" s="1"/>
  <c r="AL437" i="7"/>
  <c r="AM437" i="7" s="1"/>
  <c r="AL78" i="7"/>
  <c r="AM78" i="7" s="1"/>
  <c r="AL243" i="7"/>
  <c r="AM243" i="7" s="1"/>
  <c r="AL112" i="7"/>
  <c r="AM112" i="7" s="1"/>
  <c r="AL525" i="7"/>
  <c r="AM525" i="7" s="1"/>
  <c r="AL311" i="7"/>
  <c r="AM311" i="7" s="1"/>
  <c r="AL465" i="7"/>
  <c r="AM465" i="7" s="1"/>
  <c r="AL107" i="7"/>
  <c r="AM107" i="7" s="1"/>
  <c r="AL12" i="7"/>
  <c r="AM12" i="7" s="1"/>
  <c r="AL291" i="7"/>
  <c r="AM291" i="7" s="1"/>
  <c r="AL181" i="7"/>
  <c r="AM181" i="7" s="1"/>
  <c r="AL562" i="7"/>
  <c r="AM562" i="7" s="1"/>
  <c r="AL289" i="7"/>
  <c r="AM289" i="7" s="1"/>
  <c r="AL327" i="7"/>
  <c r="AM327" i="7" s="1"/>
  <c r="AL338" i="7"/>
  <c r="AM338" i="7" s="1"/>
  <c r="AL15" i="7"/>
  <c r="AM15" i="7" s="1"/>
  <c r="AL27" i="7"/>
  <c r="AM27" i="7" s="1"/>
  <c r="AL213" i="7"/>
  <c r="AM213" i="7" s="1"/>
  <c r="AL337" i="7"/>
  <c r="AM337" i="7" s="1"/>
  <c r="AL262" i="7"/>
  <c r="AM262" i="7" s="1"/>
  <c r="AL587" i="7"/>
  <c r="AM587" i="7" s="1"/>
  <c r="AL375" i="7"/>
  <c r="AM375" i="7" s="1"/>
  <c r="AL154" i="7"/>
  <c r="AM154" i="7" s="1"/>
  <c r="AL100" i="7"/>
  <c r="AM100" i="7" s="1"/>
  <c r="AL225" i="7"/>
  <c r="AM225" i="7" s="1"/>
  <c r="AL537" i="7"/>
  <c r="AM537" i="7" s="1"/>
  <c r="AL565" i="7"/>
  <c r="AM565" i="7" s="1"/>
  <c r="AL501" i="7"/>
  <c r="AM501" i="7" s="1"/>
  <c r="AL393" i="7"/>
  <c r="AM393" i="7" s="1"/>
  <c r="AL51" i="7"/>
  <c r="AM51" i="7" s="1"/>
  <c r="AL93" i="7"/>
  <c r="AM93" i="7" s="1"/>
  <c r="AL178" i="7"/>
  <c r="AM178" i="7" s="1"/>
  <c r="AL424" i="7"/>
  <c r="AM424" i="7" s="1"/>
  <c r="AL409" i="7"/>
  <c r="AM409" i="7" s="1"/>
  <c r="AL249" i="7"/>
  <c r="AM249" i="7" s="1"/>
  <c r="AL161" i="7"/>
  <c r="AM161" i="7" s="1"/>
  <c r="AL284" i="7"/>
  <c r="AM284" i="7" s="1"/>
  <c r="AL281" i="7"/>
  <c r="AM281" i="7" s="1"/>
  <c r="AL371" i="7"/>
  <c r="AM371" i="7" s="1"/>
  <c r="AL156" i="7"/>
  <c r="AM156" i="7" s="1"/>
  <c r="AL449" i="7"/>
  <c r="AM449" i="7" s="1"/>
  <c r="AL223" i="7"/>
  <c r="AM223" i="7" s="1"/>
  <c r="AL304" i="7"/>
  <c r="AM304" i="7" s="1"/>
  <c r="AL283" i="7"/>
  <c r="AM283" i="7" s="1"/>
  <c r="AL92" i="7"/>
  <c r="AM92" i="7" s="1"/>
  <c r="AL125" i="7"/>
  <c r="AM125" i="7" s="1"/>
  <c r="AL191" i="7"/>
  <c r="AM191" i="7" s="1"/>
  <c r="AL396" i="7"/>
  <c r="AM396" i="7" s="1"/>
  <c r="AL88" i="7"/>
  <c r="AM88" i="7" s="1"/>
  <c r="AL233" i="7"/>
  <c r="AM233" i="7" s="1"/>
  <c r="AL251" i="7"/>
  <c r="AM251" i="7" s="1"/>
  <c r="AL539" i="7"/>
  <c r="AM539" i="7" s="1"/>
  <c r="AL451" i="7"/>
  <c r="AM451" i="7" s="1"/>
  <c r="AL235" i="7"/>
  <c r="AM235" i="7" s="1"/>
  <c r="AL36" i="7"/>
  <c r="AM36" i="7" s="1"/>
  <c r="AL329" i="7"/>
  <c r="AM329" i="7" s="1"/>
  <c r="AL315" i="7"/>
  <c r="AM315" i="7" s="1"/>
  <c r="AL441" i="7"/>
  <c r="AM441" i="7" s="1"/>
  <c r="AL80" i="7"/>
  <c r="AM80" i="7" s="1"/>
  <c r="AL425" i="7"/>
  <c r="AM425" i="7" s="1"/>
  <c r="AL446" i="7"/>
  <c r="AM446" i="7" s="1"/>
  <c r="AL540" i="7"/>
  <c r="AM540" i="7" s="1"/>
  <c r="AL496" i="7"/>
  <c r="AM496" i="7" s="1"/>
  <c r="AL319" i="7"/>
  <c r="AM319" i="7" s="1"/>
  <c r="AL65" i="7"/>
  <c r="AM65" i="7" s="1"/>
  <c r="AL513" i="7"/>
  <c r="AM513" i="7" s="1"/>
  <c r="AL527" i="7"/>
  <c r="AM527" i="7" s="1"/>
  <c r="AL82" i="7"/>
  <c r="AM82" i="7" s="1"/>
  <c r="AL422" i="7"/>
  <c r="AM422" i="7" s="1"/>
  <c r="AL164" i="7"/>
  <c r="AM164" i="7" s="1"/>
  <c r="AL566" i="7"/>
  <c r="AM566" i="7" s="1"/>
  <c r="AL68" i="7"/>
  <c r="AM68" i="7" s="1"/>
  <c r="AL536" i="7"/>
  <c r="AM536" i="7" s="1"/>
  <c r="AL142" i="7"/>
  <c r="AM142" i="7" s="1"/>
  <c r="AL288" i="7"/>
  <c r="AM288" i="7" s="1"/>
  <c r="AL334" i="7"/>
  <c r="AM334" i="7" s="1"/>
  <c r="AL442" i="7"/>
  <c r="AM442" i="7" s="1"/>
  <c r="AL484" i="7"/>
  <c r="AM484" i="7" s="1"/>
  <c r="AL526" i="7"/>
  <c r="AM526" i="7" s="1"/>
  <c r="AL506" i="7"/>
  <c r="AM506" i="7" s="1"/>
  <c r="AL479" i="7"/>
  <c r="AM479" i="7" s="1"/>
  <c r="AL54" i="7"/>
  <c r="AM54" i="7" s="1"/>
  <c r="AL388" i="7"/>
  <c r="AM388" i="7" s="1"/>
  <c r="AL204" i="7"/>
  <c r="AM204" i="7" s="1"/>
  <c r="AL316" i="7"/>
  <c r="AM316" i="7" s="1"/>
  <c r="AL308" i="7"/>
  <c r="AM308" i="7" s="1"/>
  <c r="AL458" i="7"/>
  <c r="AM458" i="7" s="1"/>
  <c r="AL40" i="7"/>
  <c r="AM40" i="7" s="1"/>
  <c r="AL229" i="7"/>
  <c r="AM229" i="7" s="1"/>
  <c r="AL184" i="7"/>
  <c r="AM184" i="7" s="1"/>
  <c r="AL493" i="7"/>
  <c r="AM493" i="7" s="1"/>
  <c r="AL198" i="7"/>
  <c r="AM198" i="7" s="1"/>
  <c r="AL61" i="7"/>
  <c r="AM61" i="7" s="1"/>
  <c r="AL79" i="7"/>
  <c r="AM79" i="7" s="1"/>
  <c r="AL183" i="7"/>
  <c r="AM183" i="7" s="1"/>
  <c r="AL362" i="7"/>
  <c r="AM362" i="7" s="1"/>
  <c r="AL301" i="7"/>
  <c r="AM301" i="7" s="1"/>
  <c r="AL159" i="7"/>
  <c r="AM159" i="7" s="1"/>
  <c r="AL551" i="7"/>
  <c r="AM551" i="7" s="1"/>
  <c r="AL76" i="7"/>
  <c r="AM76" i="7" s="1"/>
  <c r="AL432" i="7"/>
  <c r="AM432" i="7" s="1"/>
  <c r="AL365" i="7"/>
  <c r="AM365" i="7" s="1"/>
  <c r="AL474" i="7"/>
  <c r="AM474" i="7" s="1"/>
  <c r="AL476" i="7"/>
  <c r="AM476" i="7" s="1"/>
  <c r="AL475" i="7"/>
  <c r="AM475" i="7" s="1"/>
  <c r="AL132" i="7"/>
  <c r="AM132" i="7" s="1"/>
  <c r="AL326" i="7"/>
  <c r="AM326" i="7" s="1"/>
  <c r="AL507" i="7"/>
  <c r="AM507" i="7" s="1"/>
  <c r="AL141" i="7"/>
  <c r="AM141" i="7" s="1"/>
  <c r="AL417" i="7"/>
  <c r="AM417" i="7" s="1"/>
  <c r="AL277" i="7"/>
  <c r="AM277" i="7" s="1"/>
  <c r="AL66" i="7"/>
  <c r="AM66" i="7" s="1"/>
  <c r="AL357" i="7"/>
  <c r="AM357" i="7" s="1"/>
  <c r="AL372" i="7"/>
  <c r="AM372" i="7" s="1"/>
  <c r="AL32" i="7"/>
  <c r="AM32" i="7" s="1"/>
  <c r="AL56" i="7"/>
  <c r="AM56" i="7" s="1"/>
  <c r="AL124" i="7"/>
  <c r="AM124" i="7" s="1"/>
  <c r="AL143" i="7"/>
  <c r="AM143" i="7" s="1"/>
  <c r="AL209" i="7"/>
  <c r="AM209" i="7" s="1"/>
  <c r="AL440" i="7"/>
  <c r="AM440" i="7" s="1"/>
  <c r="AL498" i="7"/>
  <c r="AM498" i="7" s="1"/>
  <c r="AL153" i="7"/>
  <c r="AM153" i="7" s="1"/>
  <c r="AL114" i="7"/>
  <c r="AM114" i="7" s="1"/>
  <c r="AL431" i="7"/>
  <c r="AM431" i="7" s="1"/>
  <c r="AL240" i="7"/>
  <c r="AM240" i="7" s="1"/>
  <c r="AL52" i="7"/>
  <c r="AM52" i="7" s="1"/>
  <c r="AL503" i="7"/>
  <c r="AM503" i="7" s="1"/>
  <c r="AL560" i="7"/>
  <c r="AM560" i="7" s="1"/>
  <c r="AL299" i="7"/>
  <c r="AM299" i="7" s="1"/>
  <c r="AL47" i="7"/>
  <c r="AM47" i="7" s="1"/>
  <c r="AL477" i="7"/>
  <c r="AM477" i="7" s="1"/>
  <c r="AL306" i="7"/>
  <c r="AM306" i="7" s="1"/>
  <c r="AL168" i="7"/>
  <c r="AM168" i="7" s="1"/>
  <c r="AL150" i="7"/>
  <c r="AM150" i="7" s="1"/>
  <c r="AL71" i="7"/>
  <c r="AM71" i="7" s="1"/>
  <c r="AL84" i="7"/>
  <c r="AM84" i="7" s="1"/>
  <c r="AL553" i="7"/>
  <c r="AM553" i="7" s="1"/>
  <c r="AL261" i="7"/>
  <c r="AM261" i="7" s="1"/>
  <c r="AL430" i="7"/>
  <c r="AM430" i="7" s="1"/>
  <c r="AL374" i="7"/>
  <c r="AM374" i="7" s="1"/>
  <c r="AL411" i="7"/>
  <c r="AM411" i="7" s="1"/>
  <c r="AL529" i="7"/>
  <c r="AM529" i="7" s="1"/>
  <c r="AL578" i="7"/>
  <c r="AM578" i="7" s="1"/>
  <c r="AL389" i="7"/>
  <c r="AM389" i="7" s="1"/>
  <c r="AL418" i="7"/>
  <c r="AM418" i="7" s="1"/>
  <c r="AL517" i="7"/>
  <c r="AM517" i="7" s="1"/>
  <c r="AL170" i="7"/>
  <c r="AM170" i="7" s="1"/>
  <c r="AL481" i="7"/>
  <c r="AM481" i="7" s="1"/>
  <c r="AL77" i="7"/>
  <c r="AM77" i="7" s="1"/>
  <c r="AL87" i="7"/>
  <c r="AM87" i="7" s="1"/>
  <c r="V504" i="7"/>
  <c r="V61" i="7"/>
  <c r="V190" i="7"/>
  <c r="V502" i="7"/>
  <c r="W396" i="7"/>
  <c r="W398" i="7"/>
  <c r="V14" i="7"/>
  <c r="W321" i="7"/>
  <c r="W523" i="7"/>
  <c r="V257" i="7"/>
  <c r="V478" i="7"/>
  <c r="V300" i="7"/>
  <c r="W452" i="7"/>
  <c r="W542" i="7"/>
  <c r="V118" i="7"/>
  <c r="W159" i="7"/>
  <c r="V548" i="7"/>
  <c r="W547" i="7"/>
  <c r="V455" i="7"/>
  <c r="W430" i="7"/>
  <c r="V197" i="7"/>
  <c r="V222" i="7"/>
  <c r="W140" i="7"/>
  <c r="V296" i="7"/>
  <c r="W553" i="7"/>
  <c r="W364" i="7"/>
  <c r="V198" i="7"/>
  <c r="W40" i="7"/>
  <c r="W487" i="7"/>
  <c r="W407" i="7"/>
  <c r="W55" i="7"/>
  <c r="V137" i="7"/>
  <c r="W306" i="7"/>
  <c r="W382" i="7"/>
  <c r="W508" i="7"/>
  <c r="V365" i="7"/>
  <c r="V47" i="7"/>
  <c r="W581" i="7"/>
  <c r="V42" i="7"/>
  <c r="W240" i="7"/>
  <c r="V194" i="7"/>
  <c r="V180" i="7"/>
  <c r="W312" i="7"/>
  <c r="W259" i="7"/>
  <c r="W405" i="7"/>
  <c r="W54" i="7"/>
  <c r="V432" i="7"/>
  <c r="W304" i="7"/>
  <c r="W357" i="7"/>
  <c r="V286" i="7"/>
  <c r="V232" i="7"/>
  <c r="V107" i="7"/>
  <c r="W394" i="7"/>
  <c r="V395" i="7"/>
  <c r="W361" i="7"/>
  <c r="V339" i="7"/>
  <c r="W362" i="7"/>
  <c r="V21" i="7"/>
  <c r="V328" i="7"/>
  <c r="W33" i="7"/>
  <c r="W532" i="7"/>
  <c r="W534" i="7"/>
  <c r="W324" i="7"/>
  <c r="V567" i="7"/>
  <c r="W410" i="7"/>
  <c r="W353" i="7"/>
  <c r="AS510" i="7"/>
  <c r="AY510" i="7" s="1"/>
  <c r="AJ170" i="7"/>
  <c r="AJ63" i="7"/>
  <c r="AJ341" i="7"/>
  <c r="AJ58" i="7"/>
  <c r="AJ338" i="7"/>
  <c r="AJ398" i="7"/>
  <c r="AJ41" i="7"/>
  <c r="AS440" i="7"/>
  <c r="AY440" i="7" s="1"/>
  <c r="AS168" i="7"/>
  <c r="AY168" i="7" s="1"/>
  <c r="AS546" i="7"/>
  <c r="AY546" i="7" s="1"/>
  <c r="AS394" i="7"/>
  <c r="AY394" i="7" s="1"/>
  <c r="AJ248" i="7"/>
  <c r="AS512" i="7"/>
  <c r="AY512" i="7" s="1"/>
  <c r="AS569" i="7"/>
  <c r="AY569" i="7" s="1"/>
  <c r="AS190" i="7"/>
  <c r="AJ237" i="7"/>
  <c r="AS431" i="7"/>
  <c r="AY431" i="7" s="1"/>
  <c r="AS29" i="7"/>
  <c r="AY29" i="7" s="1"/>
  <c r="AS238" i="7"/>
  <c r="AY238" i="7" s="1"/>
  <c r="AJ242" i="7"/>
  <c r="AJ356" i="7"/>
  <c r="AS488" i="7"/>
  <c r="AY488" i="7" s="1"/>
  <c r="AJ379" i="7"/>
  <c r="AJ140" i="7"/>
  <c r="AS196" i="7"/>
  <c r="AY196" i="7" s="1"/>
  <c r="AS295" i="7"/>
  <c r="AY295" i="7" s="1"/>
  <c r="AS523" i="7"/>
  <c r="AS325" i="7"/>
  <c r="AY325" i="7" s="1"/>
  <c r="AS304" i="7"/>
  <c r="AY304" i="7" s="1"/>
  <c r="V322" i="7"/>
  <c r="W322" i="7"/>
  <c r="V226" i="7"/>
  <c r="W226" i="7"/>
  <c r="V317" i="7"/>
  <c r="W317" i="7"/>
  <c r="W525" i="7"/>
  <c r="V525" i="7"/>
  <c r="V346" i="7"/>
  <c r="V460" i="7"/>
  <c r="V476" i="7"/>
  <c r="V290" i="7"/>
  <c r="W100" i="7"/>
  <c r="W529" i="7"/>
  <c r="W574" i="7"/>
  <c r="W373" i="7"/>
  <c r="W481" i="7"/>
  <c r="V75" i="7"/>
  <c r="V176" i="7"/>
  <c r="V253" i="7"/>
  <c r="W489" i="7"/>
  <c r="V174" i="7"/>
  <c r="W344" i="7"/>
  <c r="V123" i="7"/>
  <c r="W433" i="7"/>
  <c r="V117" i="7"/>
  <c r="V501" i="7"/>
  <c r="W359" i="7"/>
  <c r="V175" i="7"/>
  <c r="W196" i="7"/>
  <c r="V228" i="7"/>
  <c r="W393" i="7"/>
  <c r="V170" i="7"/>
  <c r="V260" i="7"/>
  <c r="V294" i="7"/>
  <c r="V316" i="7"/>
  <c r="W554" i="7"/>
  <c r="V88" i="7"/>
  <c r="V587" i="7"/>
  <c r="W434" i="7"/>
  <c r="V291" i="7"/>
  <c r="V245" i="7"/>
  <c r="W219" i="7"/>
  <c r="V571" i="7"/>
  <c r="W409" i="7"/>
  <c r="V225" i="7"/>
  <c r="V145" i="7"/>
  <c r="V231" i="7"/>
  <c r="V121" i="7"/>
  <c r="V171" i="7"/>
  <c r="V360" i="7"/>
  <c r="W375" i="7"/>
  <c r="W283" i="7"/>
  <c r="V499" i="7"/>
  <c r="W51" i="7"/>
  <c r="W327" i="7"/>
  <c r="V494" i="7"/>
  <c r="W15" i="7"/>
  <c r="V135" i="7"/>
  <c r="V178" i="7"/>
  <c r="W400" i="7"/>
  <c r="W533" i="7"/>
  <c r="V331" i="7"/>
  <c r="V289" i="7"/>
  <c r="V338" i="7"/>
  <c r="W350" i="7"/>
  <c r="V3" i="7"/>
  <c r="V468" i="7"/>
  <c r="W249" i="7"/>
  <c r="W537" i="7"/>
  <c r="V161" i="7"/>
  <c r="W424" i="7"/>
  <c r="V116" i="7"/>
  <c r="V555" i="7"/>
  <c r="W102" i="7"/>
  <c r="W93" i="7"/>
  <c r="W213" i="7"/>
  <c r="W337" i="7"/>
  <c r="W262" i="7"/>
  <c r="W492" i="7"/>
  <c r="W466" i="7"/>
  <c r="W568" i="7"/>
  <c r="V562" i="7"/>
  <c r="W181" i="7"/>
  <c r="V45" i="7"/>
  <c r="W565" i="7"/>
  <c r="V154" i="7"/>
  <c r="W427" i="7"/>
  <c r="W69" i="7"/>
  <c r="W423" i="7"/>
  <c r="W144" i="7"/>
  <c r="V526" i="7"/>
  <c r="V307" i="7"/>
  <c r="W388" i="7"/>
  <c r="V442" i="7"/>
  <c r="V366" i="7"/>
  <c r="V110" i="7"/>
  <c r="V513" i="7"/>
  <c r="V371" i="7"/>
  <c r="V17" i="7"/>
  <c r="W308" i="7"/>
  <c r="V215" i="7"/>
  <c r="V11" i="7"/>
  <c r="W564" i="7"/>
  <c r="V142" i="7"/>
  <c r="W220" i="7"/>
  <c r="V99" i="7"/>
  <c r="V334" i="7"/>
  <c r="W85" i="7"/>
  <c r="V370" i="7"/>
  <c r="W82" i="7"/>
  <c r="V446" i="7"/>
  <c r="V80" i="7"/>
  <c r="W527" i="7"/>
  <c r="V318" i="7"/>
  <c r="V279" i="7"/>
  <c r="W577" i="7"/>
  <c r="W425" i="7"/>
  <c r="W383" i="7"/>
  <c r="V516" i="7"/>
  <c r="V589" i="7"/>
  <c r="V72" i="7"/>
  <c r="W92" i="7"/>
  <c r="W138" i="7"/>
  <c r="W25" i="7"/>
  <c r="V68" i="7"/>
  <c r="W285" i="7"/>
  <c r="W26" i="7"/>
  <c r="V53" i="7"/>
  <c r="W510" i="7"/>
  <c r="W167" i="7"/>
  <c r="W521" i="7"/>
  <c r="V234" i="7"/>
  <c r="W464" i="7"/>
  <c r="W579" i="7"/>
  <c r="W76" i="7"/>
  <c r="V264" i="7"/>
  <c r="V310" i="7"/>
  <c r="W377" i="7"/>
  <c r="W315" i="7"/>
  <c r="V59" i="7"/>
  <c r="W484" i="7"/>
  <c r="W206" i="7"/>
  <c r="V24" i="7"/>
  <c r="W439" i="7"/>
  <c r="W506" i="7"/>
  <c r="V155" i="7"/>
  <c r="W129" i="7"/>
  <c r="W570" i="7"/>
  <c r="V458" i="7"/>
  <c r="V217" i="7"/>
  <c r="V201" i="7"/>
  <c r="V113" i="7"/>
  <c r="V479" i="7"/>
  <c r="V540" i="7"/>
  <c r="V536" i="7"/>
  <c r="W204" i="7"/>
  <c r="W474" i="7"/>
  <c r="V164" i="7"/>
  <c r="W193" i="7"/>
  <c r="V530" i="7"/>
  <c r="AP40" i="7"/>
  <c r="AP131" i="7"/>
  <c r="AP39" i="7"/>
  <c r="AP321" i="7"/>
  <c r="AP229" i="7"/>
  <c r="AP163" i="7"/>
  <c r="AP210" i="7"/>
  <c r="AP69" i="7"/>
  <c r="AP31" i="7"/>
  <c r="AP290" i="7"/>
  <c r="AP470" i="7"/>
  <c r="AP174" i="7"/>
  <c r="AP90" i="7"/>
  <c r="AP475" i="7"/>
  <c r="AP291" i="7"/>
  <c r="AP460" i="7"/>
  <c r="AP395" i="7"/>
  <c r="AP289" i="7"/>
  <c r="AP327" i="7"/>
  <c r="AP338" i="7"/>
  <c r="AP15" i="7"/>
  <c r="AP27" i="7"/>
  <c r="AP213" i="7"/>
  <c r="AP337" i="7"/>
  <c r="AP262" i="7"/>
  <c r="AP554" i="7"/>
  <c r="AP451" i="7"/>
  <c r="AP384" i="7"/>
  <c r="AP235" i="7"/>
  <c r="AP394" i="7"/>
  <c r="AP36" i="7"/>
  <c r="AP347" i="7"/>
  <c r="AP329" i="7"/>
  <c r="AP435" i="7"/>
  <c r="AP315" i="7"/>
  <c r="AP169" i="7"/>
  <c r="AP441" i="7"/>
  <c r="AP182" i="7"/>
  <c r="AP80" i="7"/>
  <c r="AP22" i="7"/>
  <c r="AP425" i="7"/>
  <c r="AP504" i="7"/>
  <c r="AP446" i="7"/>
  <c r="AP18" i="7"/>
  <c r="AP540" i="7"/>
  <c r="AP212" i="7"/>
  <c r="AP385" i="7"/>
  <c r="AP353" i="7"/>
  <c r="AP424" i="7"/>
  <c r="AP8" i="7"/>
  <c r="AP409" i="7"/>
  <c r="AP185" i="7"/>
  <c r="AP249" i="7"/>
  <c r="AP147" i="7"/>
  <c r="AP161" i="7"/>
  <c r="AP455" i="7"/>
  <c r="AP565" i="7"/>
  <c r="AP164" i="7"/>
  <c r="AP142" i="7"/>
  <c r="AP53" i="7"/>
  <c r="AP99" i="7"/>
  <c r="AP272" i="7"/>
  <c r="AP167" i="7"/>
  <c r="AP217" i="7"/>
  <c r="AP307" i="7"/>
  <c r="AP530" i="7"/>
  <c r="AP542" i="7"/>
  <c r="AP162" i="7"/>
  <c r="AP373" i="7"/>
  <c r="AP153" i="7"/>
  <c r="AP59" i="7"/>
  <c r="AP343" i="7"/>
  <c r="AP234" i="7"/>
  <c r="AP114" i="7"/>
  <c r="AP85" i="7"/>
  <c r="AP518" i="7"/>
  <c r="AP7" i="7"/>
  <c r="AP130" i="7"/>
  <c r="AP294" i="7"/>
  <c r="AP193" i="7"/>
  <c r="AP112" i="7"/>
  <c r="AP355" i="7"/>
  <c r="AP570" i="7"/>
  <c r="AP318" i="7"/>
  <c r="AP354" i="7"/>
  <c r="AP279" i="7"/>
  <c r="AP507" i="7"/>
  <c r="AP5" i="7"/>
  <c r="AP284" i="7"/>
  <c r="AP281" i="7"/>
  <c r="AP371" i="7"/>
  <c r="AP156" i="7"/>
  <c r="AP449" i="7"/>
  <c r="AP223" i="7"/>
  <c r="AP541" i="7"/>
  <c r="AP250" i="7"/>
  <c r="AP195" i="7"/>
  <c r="AP52" i="7"/>
  <c r="AP497" i="7"/>
  <c r="AP558" i="7"/>
  <c r="AP81" i="7"/>
  <c r="AP573" i="7"/>
  <c r="AP108" i="7"/>
  <c r="AP428" i="7"/>
  <c r="AP214" i="7"/>
  <c r="AP230" i="7"/>
  <c r="AP129" i="7"/>
  <c r="AP532" i="7"/>
  <c r="AP552" i="7"/>
  <c r="AP78" i="7"/>
  <c r="AP173" i="7"/>
  <c r="AP189" i="7"/>
  <c r="AP443" i="7"/>
  <c r="AP186" i="7"/>
  <c r="AP521" i="7"/>
  <c r="AP457" i="7"/>
  <c r="AP483" i="7"/>
  <c r="AP490" i="7"/>
  <c r="AP494" i="7"/>
  <c r="AP364" i="7"/>
  <c r="AP390" i="7"/>
  <c r="AP220" i="7"/>
  <c r="AP240" i="7"/>
  <c r="AP366" i="7"/>
  <c r="AP46" i="7"/>
  <c r="AP574" i="7"/>
  <c r="AP60" i="7"/>
  <c r="AP403" i="7"/>
  <c r="AP300" i="7"/>
  <c r="AP71" i="7"/>
  <c r="AP440" i="7"/>
  <c r="AP404" i="7"/>
  <c r="AP336" i="7"/>
  <c r="AP199" i="7"/>
  <c r="AP121" i="7"/>
  <c r="AP304" i="7"/>
  <c r="AP16" i="7"/>
  <c r="AP231" i="7"/>
  <c r="AP28" i="7"/>
  <c r="AP299" i="7"/>
  <c r="AP472" i="7"/>
  <c r="AP266" i="7"/>
  <c r="AP324" i="7"/>
  <c r="AP196" i="7"/>
  <c r="AP406" i="7"/>
  <c r="AP256" i="7"/>
  <c r="AP82" i="7"/>
  <c r="AP226" i="7"/>
  <c r="AP374" i="7"/>
  <c r="AP180" i="7"/>
  <c r="AP411" i="7"/>
  <c r="AP74" i="7"/>
  <c r="AP556" i="7"/>
  <c r="AP488" i="7"/>
  <c r="AP132" i="7"/>
  <c r="AP469" i="7"/>
  <c r="AP369" i="7"/>
  <c r="AP537" i="7"/>
  <c r="AP471" i="7"/>
  <c r="AP516" i="7"/>
  <c r="AP135" i="7"/>
  <c r="AP589" i="7"/>
  <c r="AP44" i="7"/>
  <c r="AP72" i="7"/>
  <c r="AP275" i="7"/>
  <c r="AP76" i="7"/>
  <c r="AP420" i="7"/>
  <c r="AP67" i="7"/>
  <c r="AP6" i="7"/>
  <c r="AP362" i="7"/>
  <c r="AP405" i="7"/>
  <c r="AP536" i="7"/>
  <c r="AP484" i="7"/>
  <c r="AP526" i="7"/>
  <c r="AP506" i="7"/>
  <c r="AP63" i="7"/>
  <c r="AP508" i="7"/>
  <c r="AP312" i="7"/>
  <c r="AP432" i="7"/>
  <c r="AP245" i="7"/>
  <c r="AP43" i="7"/>
  <c r="AP531" i="7"/>
  <c r="AP170" i="7"/>
  <c r="AP594" i="7"/>
  <c r="AP33" i="7"/>
  <c r="AP38" i="7"/>
  <c r="AP19" i="7"/>
  <c r="AP216" i="7"/>
  <c r="AP211" i="7"/>
  <c r="AP569" i="7"/>
  <c r="AP341" i="7"/>
  <c r="AP480" i="7"/>
  <c r="AP454" i="7"/>
  <c r="AP525" i="7"/>
  <c r="AP243" i="7"/>
  <c r="AP465" i="7"/>
  <c r="AP372" i="7"/>
  <c r="AP545" i="7"/>
  <c r="AP351" i="7"/>
  <c r="AP225" i="7"/>
  <c r="AP32" i="7"/>
  <c r="AP89" i="7"/>
  <c r="AP184" i="7"/>
  <c r="AP493" i="7"/>
  <c r="AP198" i="7"/>
  <c r="AP61" i="7"/>
  <c r="AP476" i="7"/>
  <c r="AP317" i="7"/>
  <c r="AP101" i="7"/>
  <c r="AP452" i="7"/>
  <c r="AP344" i="7"/>
  <c r="AP37" i="7"/>
  <c r="AP181" i="7"/>
  <c r="AP562" i="7"/>
  <c r="AP523" i="7"/>
  <c r="AP57" i="7"/>
  <c r="AP410" i="7"/>
  <c r="AP502" i="7"/>
  <c r="AP415" i="7"/>
  <c r="AP348" i="7"/>
  <c r="AP325" i="7"/>
  <c r="AP391" i="7"/>
  <c r="AP422" i="7"/>
  <c r="AP23" i="7"/>
  <c r="AP509" i="7"/>
  <c r="AP350" i="7"/>
  <c r="AP534" i="7"/>
  <c r="AP116" i="7"/>
  <c r="AP73" i="7"/>
  <c r="AP588" i="7"/>
  <c r="AP21" i="7"/>
  <c r="AP109" i="7"/>
  <c r="AP512" i="7"/>
  <c r="AP361" i="7"/>
  <c r="AP29" i="7"/>
  <c r="AP9" i="7"/>
  <c r="AP277" i="7"/>
  <c r="AP98" i="7"/>
  <c r="AP584" i="7"/>
  <c r="AP128" i="7"/>
  <c r="AP239" i="7"/>
  <c r="AP311" i="7"/>
  <c r="AP264" i="7"/>
  <c r="AP377" i="7"/>
  <c r="AP524" i="7"/>
  <c r="AP580" i="7"/>
  <c r="AP86" i="7"/>
  <c r="AP310" i="7"/>
  <c r="AP206" i="7"/>
  <c r="AP546" i="7"/>
  <c r="AP248" i="7"/>
  <c r="AP561" i="7"/>
  <c r="AP527" i="7"/>
  <c r="AP485" i="7"/>
  <c r="AP316" i="7"/>
  <c r="AP538" i="7"/>
  <c r="AP382" i="7"/>
  <c r="AP295" i="7"/>
  <c r="AP297" i="7"/>
  <c r="AP453" i="7"/>
  <c r="AP232" i="7"/>
  <c r="AP120" i="7"/>
  <c r="AP331" i="7"/>
  <c r="AP586" i="7"/>
  <c r="AP94" i="7"/>
  <c r="AP238" i="7"/>
  <c r="AP66" i="7"/>
  <c r="AP254" i="7"/>
  <c r="AP191" i="7"/>
  <c r="AP149" i="7"/>
  <c r="AP133" i="7"/>
  <c r="AP255" i="7"/>
  <c r="AP171" i="7"/>
  <c r="AP168" i="7"/>
  <c r="AP70" i="7"/>
  <c r="AP34" i="7"/>
  <c r="AP590" i="7"/>
  <c r="AP575" i="7"/>
  <c r="AP209" i="7"/>
  <c r="AP270" i="7"/>
  <c r="AP155" i="7"/>
  <c r="AP237" i="7"/>
  <c r="AP511" i="7"/>
  <c r="AP514" i="7"/>
  <c r="AP313" i="7"/>
  <c r="AP437" i="7"/>
  <c r="AP35" i="7"/>
  <c r="AP224" i="7"/>
  <c r="AP218" i="7"/>
  <c r="AP263" i="7"/>
  <c r="AP370" i="7"/>
  <c r="AP183" i="7"/>
  <c r="AP259" i="7"/>
  <c r="AP442" i="7"/>
  <c r="AP233" i="7"/>
  <c r="AP550" i="7"/>
  <c r="AP134" i="7"/>
  <c r="AP555" i="7"/>
  <c r="AP346" i="7"/>
  <c r="AP557" i="7"/>
  <c r="AP581" i="7"/>
  <c r="AP148" i="7"/>
  <c r="AP547" i="7"/>
  <c r="AP20" i="7"/>
  <c r="AP464" i="7"/>
  <c r="AP543" i="7"/>
  <c r="AP431" i="7"/>
  <c r="AP267" i="7"/>
  <c r="AP122" i="7"/>
  <c r="AP258" i="7"/>
  <c r="AP190" i="7"/>
  <c r="AP447" i="7"/>
  <c r="AP68" i="7"/>
  <c r="AP513" i="7"/>
  <c r="AP177" i="7"/>
  <c r="AP110" i="7"/>
  <c r="AP14" i="7"/>
  <c r="AP246" i="7"/>
  <c r="AP268" i="7"/>
  <c r="AP576" i="7"/>
  <c r="AP104" i="7"/>
  <c r="AP298" i="7"/>
  <c r="AP97" i="7"/>
  <c r="AP286" i="7"/>
  <c r="AP551" i="7"/>
  <c r="AP448" i="7"/>
  <c r="AP436" i="7"/>
  <c r="AP124" i="7"/>
  <c r="AP332" i="7"/>
  <c r="AP368" i="7"/>
  <c r="AP501" i="7"/>
  <c r="AP54" i="7"/>
  <c r="AP529" i="7"/>
  <c r="AP139" i="7"/>
  <c r="AP127" i="7"/>
  <c r="AP140" i="7"/>
  <c r="AP30" i="7"/>
  <c r="AP393" i="7"/>
  <c r="AP418" i="7"/>
  <c r="AP93" i="7"/>
  <c r="AP397" i="7"/>
  <c r="AP553" i="7"/>
  <c r="AP201" i="7"/>
  <c r="AP25" i="7"/>
  <c r="AP172" i="7"/>
  <c r="AP45" i="7"/>
  <c r="AP11" i="7"/>
  <c r="AP75" i="7"/>
  <c r="AP215" i="7"/>
  <c r="AP91" i="7"/>
  <c r="AP473" i="7"/>
  <c r="AP126" i="7"/>
  <c r="AP461" i="7"/>
  <c r="AP261" i="7"/>
  <c r="AP283" i="7"/>
  <c r="AP125" i="7"/>
  <c r="AP179" i="7"/>
  <c r="AP563" i="7"/>
  <c r="AP194" i="7"/>
  <c r="AP115" i="7"/>
  <c r="AP335" i="7"/>
  <c r="AP571" i="7"/>
  <c r="AP330" i="7"/>
  <c r="AP459" i="7"/>
  <c r="AP144" i="7"/>
  <c r="AP427" i="7"/>
  <c r="AP51" i="7"/>
  <c r="AP342" i="7"/>
  <c r="AP458" i="7"/>
  <c r="AP282" i="7"/>
  <c r="AP296" i="7"/>
  <c r="AP17" i="7"/>
  <c r="AP356" i="7"/>
  <c r="AP146" i="7"/>
  <c r="AP414" i="7"/>
  <c r="AP308" i="7"/>
  <c r="AP505" i="7"/>
  <c r="AP433" i="7"/>
  <c r="AP252" i="7"/>
  <c r="AP498" i="7"/>
  <c r="AP549" i="7"/>
  <c r="AP426" i="7"/>
  <c r="AP510" i="7"/>
  <c r="AP359" i="7"/>
  <c r="AP334" i="7"/>
  <c r="AP400" i="7"/>
  <c r="AP544" i="7"/>
  <c r="AP479" i="7"/>
  <c r="AP383" i="7"/>
  <c r="AP533" i="7"/>
  <c r="AP288" i="7"/>
  <c r="AP567" i="7"/>
  <c r="AP151" i="7"/>
  <c r="AP429" i="7"/>
  <c r="AP145" i="7"/>
  <c r="AP136" i="7"/>
  <c r="AP572" i="7"/>
  <c r="AP539" i="7"/>
  <c r="AP79" i="7"/>
  <c r="AP228" i="7"/>
  <c r="AP48" i="7"/>
  <c r="AP55" i="7"/>
  <c r="AP596" i="7"/>
  <c r="AP320" i="7"/>
  <c r="AP253" i="7"/>
  <c r="AP462" i="7"/>
  <c r="AP26" i="7"/>
  <c r="AP591" i="7"/>
  <c r="AP260" i="7"/>
  <c r="AP269" i="7"/>
  <c r="AP519" i="7"/>
  <c r="AP204" i="7"/>
  <c r="AP64" i="7"/>
  <c r="AP88" i="7"/>
  <c r="AP495" i="7"/>
  <c r="AP517" i="7"/>
  <c r="AP265" i="7"/>
  <c r="AP396" i="7"/>
  <c r="AP4" i="7"/>
  <c r="AP559" i="7"/>
  <c r="AP10" i="7"/>
  <c r="AP323" i="7"/>
  <c r="AP352" i="7"/>
  <c r="AP482" i="7"/>
  <c r="AP522" i="7"/>
  <c r="AP381" i="7"/>
  <c r="AP503" i="7"/>
  <c r="AP3" i="7"/>
  <c r="AP107" i="7"/>
  <c r="AP160" i="7"/>
  <c r="AP467" i="7"/>
  <c r="AP50" i="7"/>
  <c r="AP481" i="7"/>
  <c r="AP392" i="7"/>
  <c r="AP92" i="7"/>
  <c r="AP175" i="7"/>
  <c r="AP487" i="7"/>
  <c r="AP466" i="7"/>
  <c r="AP305" i="7"/>
  <c r="AP56" i="7"/>
  <c r="AP568" i="7"/>
  <c r="AP387" i="7"/>
  <c r="AP96" i="7"/>
  <c r="AP292" i="7"/>
  <c r="AP468" i="7"/>
  <c r="AP302" i="7"/>
  <c r="AP399" i="7"/>
  <c r="AP528" i="7"/>
  <c r="AP152" i="7"/>
  <c r="AP165" i="7"/>
  <c r="AP287" i="7"/>
  <c r="AP376" i="7"/>
  <c r="AP583" i="7"/>
  <c r="AP278" i="7"/>
  <c r="AP413" i="7"/>
  <c r="AP117" i="7"/>
  <c r="AP12" i="7"/>
  <c r="AP113" i="7"/>
  <c r="AP378" i="7"/>
  <c r="AP578" i="7"/>
  <c r="AP236" i="7"/>
  <c r="AP319" i="7"/>
  <c r="AP154" i="7"/>
  <c r="AP358" i="7"/>
  <c r="AP118" i="7"/>
  <c r="AP560" i="7"/>
  <c r="AP322" i="7"/>
  <c r="AP247" i="7"/>
  <c r="AP276" i="7"/>
  <c r="AP438" i="7"/>
  <c r="AP251" i="7"/>
  <c r="AP227" i="7"/>
  <c r="AP309" i="7"/>
  <c r="AP398" i="7"/>
  <c r="AP595" i="7"/>
  <c r="AP430" i="7"/>
  <c r="AP42" i="7"/>
  <c r="AP242" i="7"/>
  <c r="AP119" i="7"/>
  <c r="AP202" i="7"/>
  <c r="AP141" i="7"/>
  <c r="AP200" i="7"/>
  <c r="AP208" i="7"/>
  <c r="AP423" i="7"/>
  <c r="AP143" i="7"/>
  <c r="AP478" i="7"/>
  <c r="AP62" i="7"/>
  <c r="AP339" i="7"/>
  <c r="AP219" i="7"/>
  <c r="AP207" i="7"/>
  <c r="AP340" i="7"/>
  <c r="AP241" i="7"/>
  <c r="AP24" i="7"/>
  <c r="AP375" i="7"/>
  <c r="AP492" i="7"/>
  <c r="AP388" i="7"/>
  <c r="AP548" i="7"/>
  <c r="AP592" i="7"/>
  <c r="AP306" i="7"/>
  <c r="AP363" i="7"/>
  <c r="AP58" i="7"/>
  <c r="AP274" i="7"/>
  <c r="AP157" i="7"/>
  <c r="AP365" i="7"/>
  <c r="AP401" i="7"/>
  <c r="AP463" i="7"/>
  <c r="AP412" i="7"/>
  <c r="AP280" i="7"/>
  <c r="AP285" i="7"/>
  <c r="AP456" i="7"/>
  <c r="AP585" i="7"/>
  <c r="AP178" i="7"/>
  <c r="AP83" i="7"/>
  <c r="AP77" i="7"/>
  <c r="AP103" i="7"/>
  <c r="AP477" i="7"/>
  <c r="AP84" i="7"/>
  <c r="AP593" i="7"/>
  <c r="AP367" i="7"/>
  <c r="AP499" i="7"/>
  <c r="AP445" i="7"/>
  <c r="AP137" i="7"/>
  <c r="AP222" i="7"/>
  <c r="AP150" i="7"/>
  <c r="AP138" i="7"/>
  <c r="AP564" i="7"/>
  <c r="AP349" i="7"/>
  <c r="AP328" i="7"/>
  <c r="AP489" i="7"/>
  <c r="AP500" i="7"/>
  <c r="AP408" i="7"/>
  <c r="AP587" i="7"/>
  <c r="AP417" i="7"/>
  <c r="AP496" i="7"/>
  <c r="AP159" i="7"/>
  <c r="AP577" i="7"/>
  <c r="AP176" i="7"/>
  <c r="AP41" i="7"/>
  <c r="AP515" i="7"/>
  <c r="AP380" i="7"/>
  <c r="AP293" i="7"/>
  <c r="AP271" i="7"/>
  <c r="AP416" i="7"/>
  <c r="AP535" i="7"/>
  <c r="AP402" i="7"/>
  <c r="AP582" i="7"/>
  <c r="AP106" i="7"/>
  <c r="AP579" i="7"/>
  <c r="AP407" i="7"/>
  <c r="AP566" i="7"/>
  <c r="AP333" i="7"/>
  <c r="AP439" i="7"/>
  <c r="AP303" i="7"/>
  <c r="AP450" i="7"/>
  <c r="AP49" i="7"/>
  <c r="AP421" i="7"/>
  <c r="AP188" i="7"/>
  <c r="AP419" i="7"/>
  <c r="AP386" i="7"/>
  <c r="AP13" i="7"/>
  <c r="AP2" i="7"/>
  <c r="AP273" i="7"/>
  <c r="AP444" i="7"/>
  <c r="AP205" i="7"/>
  <c r="AP326" i="7"/>
  <c r="AP486" i="7"/>
  <c r="AP123" i="7"/>
  <c r="AP244" i="7"/>
  <c r="AP192" i="7"/>
  <c r="AP434" i="7"/>
  <c r="AP100" i="7"/>
  <c r="AP301" i="7"/>
  <c r="AP345" i="7"/>
  <c r="AP197" i="7"/>
  <c r="AP491" i="7"/>
  <c r="AP379" i="7"/>
  <c r="AP203" i="7"/>
  <c r="AP389" i="7"/>
  <c r="AP257" i="7"/>
  <c r="AP87" i="7"/>
  <c r="AP158" i="7"/>
  <c r="AP357" i="7"/>
  <c r="AP360" i="7"/>
  <c r="AP95" i="7"/>
  <c r="AP314" i="7"/>
  <c r="AP47" i="7"/>
  <c r="AP102" i="7"/>
  <c r="AP105" i="7"/>
  <c r="AP65" i="7"/>
  <c r="AP520" i="7"/>
  <c r="AP221" i="7"/>
  <c r="AP166" i="7"/>
  <c r="AP474" i="7"/>
  <c r="AP187" i="7"/>
  <c r="AP111" i="7"/>
  <c r="AO476" i="7"/>
  <c r="AO290" i="7"/>
  <c r="AO317" i="7"/>
  <c r="AO174" i="7"/>
  <c r="AO180" i="7"/>
  <c r="AO63" i="7"/>
  <c r="AO500" i="7"/>
  <c r="AO455" i="7"/>
  <c r="AW455" i="7" s="1"/>
  <c r="AO408" i="7"/>
  <c r="AO30" i="7"/>
  <c r="AW30" i="7" s="1"/>
  <c r="AO566" i="7"/>
  <c r="AO588" i="7"/>
  <c r="AO272" i="7"/>
  <c r="AO217" i="7"/>
  <c r="AO134" i="7"/>
  <c r="AO84" i="7"/>
  <c r="AO590" i="7"/>
  <c r="AO404" i="7"/>
  <c r="AO261" i="7"/>
  <c r="AW261" i="7" s="1"/>
  <c r="AO430" i="7"/>
  <c r="AO549" i="7"/>
  <c r="AO231" i="7"/>
  <c r="AO28" i="7"/>
  <c r="AO373" i="7"/>
  <c r="AO343" i="7"/>
  <c r="AO114" i="7"/>
  <c r="AO544" i="7"/>
  <c r="AO130" i="7"/>
  <c r="AO218" i="7"/>
  <c r="AO193" i="7"/>
  <c r="AO112" i="7"/>
  <c r="AO27" i="7"/>
  <c r="AO182" i="7"/>
  <c r="AO358" i="7"/>
  <c r="AO169" i="7"/>
  <c r="AO161" i="7"/>
  <c r="AO466" i="7"/>
  <c r="AO205" i="7"/>
  <c r="AO46" i="7"/>
  <c r="AO574" i="7"/>
  <c r="AO378" i="7"/>
  <c r="AO415" i="7"/>
  <c r="AO275" i="7"/>
  <c r="AO254" i="7"/>
  <c r="AO246" i="7"/>
  <c r="AO194" i="7"/>
  <c r="AW194" i="7" s="1"/>
  <c r="AO359" i="7"/>
  <c r="AW359" i="7" s="1"/>
  <c r="AO280" i="7"/>
  <c r="AO380" i="7"/>
  <c r="AW380" i="7" s="1"/>
  <c r="AO340" i="7"/>
  <c r="AO540" i="7"/>
  <c r="AO228" i="7"/>
  <c r="AO291" i="7"/>
  <c r="AO181" i="7"/>
  <c r="AW181" i="7" s="1"/>
  <c r="AO395" i="7"/>
  <c r="AO523" i="7"/>
  <c r="AO327" i="7"/>
  <c r="AO338" i="7"/>
  <c r="AO49" i="7"/>
  <c r="AO285" i="7"/>
  <c r="AO405" i="7"/>
  <c r="AO495" i="7"/>
  <c r="AW495" i="7" s="1"/>
  <c r="AO490" i="7"/>
  <c r="AO592" i="7"/>
  <c r="AO470" i="7"/>
  <c r="AO101" i="7"/>
  <c r="AO452" i="7"/>
  <c r="AW452" i="7" s="1"/>
  <c r="AO385" i="7"/>
  <c r="AO517" i="7"/>
  <c r="AO510" i="7"/>
  <c r="AO565" i="7"/>
  <c r="AO103" i="7"/>
  <c r="AW103" i="7" s="1"/>
  <c r="AO257" i="7"/>
  <c r="AO99" i="7"/>
  <c r="AO21" i="7"/>
  <c r="AO307" i="7"/>
  <c r="AO176" i="7"/>
  <c r="AO547" i="7"/>
  <c r="AO461" i="7"/>
  <c r="AO593" i="7"/>
  <c r="AO140" i="7"/>
  <c r="AW140" i="7" s="1"/>
  <c r="AO314" i="7"/>
  <c r="AW314" i="7" s="1"/>
  <c r="AO253" i="7"/>
  <c r="AO162" i="7"/>
  <c r="AO153" i="7"/>
  <c r="AO59" i="7"/>
  <c r="AW59" i="7" s="1"/>
  <c r="AO85" i="7"/>
  <c r="AO7" i="7"/>
  <c r="AO107" i="7"/>
  <c r="AO294" i="7"/>
  <c r="AO269" i="7"/>
  <c r="AO83" i="7"/>
  <c r="AO263" i="7"/>
  <c r="AW263" i="7" s="1"/>
  <c r="AO74" i="7"/>
  <c r="AO345" i="7"/>
  <c r="AO187" i="7"/>
  <c r="AO305" i="7"/>
  <c r="AO278" i="7"/>
  <c r="AO431" i="7"/>
  <c r="AO496" i="7"/>
  <c r="AO383" i="7"/>
  <c r="AO124" i="7"/>
  <c r="AO458" i="7"/>
  <c r="AO398" i="7"/>
  <c r="AO556" i="7"/>
  <c r="AO80" i="7"/>
  <c r="AO3" i="7"/>
  <c r="AW3" i="7" s="1"/>
  <c r="AO348" i="7"/>
  <c r="AO150" i="7"/>
  <c r="AW150" i="7" s="1"/>
  <c r="AO493" i="7"/>
  <c r="AO188" i="7"/>
  <c r="AO460" i="7"/>
  <c r="AO562" i="7"/>
  <c r="AO289" i="7"/>
  <c r="AO57" i="7"/>
  <c r="AO410" i="7"/>
  <c r="AO256" i="7"/>
  <c r="AO427" i="7"/>
  <c r="AW427" i="7" s="1"/>
  <c r="AO26" i="7"/>
  <c r="AO389" i="7"/>
  <c r="AO29" i="7"/>
  <c r="AO82" i="7"/>
  <c r="AO226" i="7"/>
  <c r="AO374" i="7"/>
  <c r="AO90" i="7"/>
  <c r="AO141" i="7"/>
  <c r="AO485" i="7"/>
  <c r="AW485" i="7" s="1"/>
  <c r="AO144" i="7"/>
  <c r="AO208" i="7"/>
  <c r="AO118" i="7"/>
  <c r="AW118" i="7" s="1"/>
  <c r="AO79" i="7"/>
  <c r="AO53" i="7"/>
  <c r="AO167" i="7"/>
  <c r="AO530" i="7"/>
  <c r="AO232" i="7"/>
  <c r="AO34" i="7"/>
  <c r="AO553" i="7"/>
  <c r="AO323" i="7"/>
  <c r="AO583" i="7"/>
  <c r="AO252" i="7"/>
  <c r="AW252" i="7" s="1"/>
  <c r="AO352" i="7"/>
  <c r="AO106" i="7"/>
  <c r="AO234" i="7"/>
  <c r="AO64" i="7"/>
  <c r="AO518" i="7"/>
  <c r="AO12" i="7"/>
  <c r="AW12" i="7" s="1"/>
  <c r="AO550" i="7"/>
  <c r="AO2" i="7"/>
  <c r="AO15" i="7"/>
  <c r="AO18" i="7"/>
  <c r="AO248" i="7"/>
  <c r="AO92" i="7"/>
  <c r="AW92" i="7" s="1"/>
  <c r="AO356" i="7"/>
  <c r="AO487" i="7"/>
  <c r="AW487" i="7" s="1"/>
  <c r="AO4" i="7"/>
  <c r="AO149" i="7"/>
  <c r="AO96" i="7"/>
  <c r="AO100" i="7"/>
  <c r="AO346" i="7"/>
  <c r="AO560" i="7"/>
  <c r="AO241" i="7"/>
  <c r="AW241" i="7" s="1"/>
  <c r="AO298" i="7"/>
  <c r="AO157" i="7"/>
  <c r="AW157" i="7" s="1"/>
  <c r="AO448" i="7"/>
  <c r="AO513" i="7"/>
  <c r="AO418" i="7"/>
  <c r="AO249" i="7"/>
  <c r="AO41" i="7"/>
  <c r="AO281" i="7"/>
  <c r="AO156" i="7"/>
  <c r="AO195" i="7"/>
  <c r="AO536" i="7"/>
  <c r="AO399" i="7"/>
  <c r="AO331" i="7"/>
  <c r="AO145" i="7"/>
  <c r="AO386" i="7"/>
  <c r="AW386" i="7" s="1"/>
  <c r="AO136" i="7"/>
  <c r="AO445" i="7"/>
  <c r="AW445" i="7" s="1"/>
  <c r="AO514" i="7"/>
  <c r="AO582" i="7"/>
  <c r="AO437" i="7"/>
  <c r="AO558" i="7"/>
  <c r="AO486" i="7"/>
  <c r="AO573" i="7"/>
  <c r="AO108" i="7"/>
  <c r="AO428" i="7"/>
  <c r="AO330" i="7"/>
  <c r="AO370" i="7"/>
  <c r="AO328" i="7"/>
  <c r="AO564" i="7"/>
  <c r="AO214" i="7"/>
  <c r="AO230" i="7"/>
  <c r="AO129" i="7"/>
  <c r="AO532" i="7"/>
  <c r="AO552" i="7"/>
  <c r="AO78" i="7"/>
  <c r="AO173" i="7"/>
  <c r="AO189" i="7"/>
  <c r="AO443" i="7"/>
  <c r="AO186" i="7"/>
  <c r="AO521" i="7"/>
  <c r="AO213" i="7"/>
  <c r="AO262" i="7"/>
  <c r="AO504" i="7"/>
  <c r="AO279" i="7"/>
  <c r="AO318" i="7"/>
  <c r="AO337" i="7"/>
  <c r="AO111" i="7"/>
  <c r="AW111" i="7" s="1"/>
  <c r="AO587" i="7"/>
  <c r="AW587" i="7" s="1"/>
  <c r="AO375" i="7"/>
  <c r="AO154" i="7"/>
  <c r="AO503" i="7"/>
  <c r="AW503" i="7" s="1"/>
  <c r="AO478" i="7"/>
  <c r="AO472" i="7"/>
  <c r="AW472" i="7" s="1"/>
  <c r="AO316" i="7"/>
  <c r="AW316" i="7" s="1"/>
  <c r="AO295" i="7"/>
  <c r="AO336" i="7"/>
  <c r="AO255" i="7"/>
  <c r="AO168" i="7"/>
  <c r="AO292" i="7"/>
  <c r="AO403" i="7"/>
  <c r="AW403" i="7" s="1"/>
  <c r="AO70" i="7"/>
  <c r="AO71" i="7"/>
  <c r="AO304" i="7"/>
  <c r="AO14" i="7"/>
  <c r="AO489" i="7"/>
  <c r="AW489" i="7" s="1"/>
  <c r="AO166" i="7"/>
  <c r="AO325" i="7"/>
  <c r="AO236" i="7"/>
  <c r="AO259" i="7"/>
  <c r="AW259" i="7" s="1"/>
  <c r="AO539" i="7"/>
  <c r="AW539" i="7" s="1"/>
  <c r="AO390" i="7"/>
  <c r="AO177" i="7"/>
  <c r="AO342" i="7"/>
  <c r="AO527" i="7"/>
  <c r="AO439" i="7"/>
  <c r="AO308" i="7"/>
  <c r="AO251" i="7"/>
  <c r="AO533" i="7"/>
  <c r="AO66" i="7"/>
  <c r="AW66" i="7" s="1"/>
  <c r="AO296" i="7"/>
  <c r="AO17" i="7"/>
  <c r="AO233" i="7"/>
  <c r="AO322" i="7"/>
  <c r="AW322" i="7" s="1"/>
  <c r="AO481" i="7"/>
  <c r="AO212" i="7"/>
  <c r="AO334" i="7"/>
  <c r="AO88" i="7"/>
  <c r="AO221" i="7"/>
  <c r="AO288" i="7"/>
  <c r="AO13" i="7"/>
  <c r="AO123" i="7"/>
  <c r="AW123" i="7" s="1"/>
  <c r="AO113" i="7"/>
  <c r="AO61" i="7"/>
  <c r="AO482" i="7"/>
  <c r="AO434" i="7"/>
  <c r="AO409" i="7"/>
  <c r="AO474" i="7"/>
  <c r="AW474" i="7" s="1"/>
  <c r="AO416" i="7"/>
  <c r="AO425" i="7"/>
  <c r="AW425" i="7" s="1"/>
  <c r="AO365" i="7"/>
  <c r="AW365" i="7" s="1"/>
  <c r="AO475" i="7"/>
  <c r="AO457" i="7"/>
  <c r="AW457" i="7" s="1"/>
  <c r="AO505" i="7"/>
  <c r="AO204" i="7"/>
  <c r="AO203" i="7"/>
  <c r="AW203" i="7" s="1"/>
  <c r="AO135" i="7"/>
  <c r="AO494" i="7"/>
  <c r="AO175" i="7"/>
  <c r="AO353" i="7"/>
  <c r="AO401" i="7"/>
  <c r="AO391" i="7"/>
  <c r="AO127" i="7"/>
  <c r="AO25" i="7"/>
  <c r="AO200" i="7"/>
  <c r="AW200" i="7" s="1"/>
  <c r="AO589" i="7"/>
  <c r="AW589" i="7" s="1"/>
  <c r="AO5" i="7"/>
  <c r="AO284" i="7"/>
  <c r="AW284" i="7" s="1"/>
  <c r="AO449" i="7"/>
  <c r="AO52" i="7"/>
  <c r="AO81" i="7"/>
  <c r="AO219" i="7"/>
  <c r="AW219" i="7" s="1"/>
  <c r="AO433" i="7"/>
  <c r="AW433" i="7" s="1"/>
  <c r="AO586" i="7"/>
  <c r="AO575" i="7"/>
  <c r="AO121" i="7"/>
  <c r="AW121" i="7" s="1"/>
  <c r="AO438" i="7"/>
  <c r="AW438" i="7" s="1"/>
  <c r="AO207" i="7"/>
  <c r="AO451" i="7"/>
  <c r="AO235" i="7"/>
  <c r="AW235" i="7" s="1"/>
  <c r="AO36" i="7"/>
  <c r="AO329" i="7"/>
  <c r="AO315" i="7"/>
  <c r="AW315" i="7" s="1"/>
  <c r="AO537" i="7"/>
  <c r="AO462" i="7"/>
  <c r="AO220" i="7"/>
  <c r="AO190" i="7"/>
  <c r="AO492" i="7"/>
  <c r="AO6" i="7"/>
  <c r="AO501" i="7"/>
  <c r="AO51" i="7"/>
  <c r="AO178" i="7"/>
  <c r="AO362" i="7"/>
  <c r="AW362" i="7" s="1"/>
  <c r="AO484" i="7"/>
  <c r="AO250" i="7"/>
  <c r="AO312" i="7"/>
  <c r="AO245" i="7"/>
  <c r="AO302" i="7"/>
  <c r="AO10" i="7"/>
  <c r="AO276" i="7"/>
  <c r="AW276" i="7" s="1"/>
  <c r="AO282" i="7"/>
  <c r="AO242" i="7"/>
  <c r="AO94" i="7"/>
  <c r="AO16" i="7"/>
  <c r="AW16" i="7" s="1"/>
  <c r="AO595" i="7"/>
  <c r="AO491" i="7"/>
  <c r="AW491" i="7" s="1"/>
  <c r="AO119" i="7"/>
  <c r="AO179" i="7"/>
  <c r="AO201" i="7"/>
  <c r="AO339" i="7"/>
  <c r="AO563" i="7"/>
  <c r="AO170" i="7"/>
  <c r="AO594" i="7"/>
  <c r="AO33" i="7"/>
  <c r="AO38" i="7"/>
  <c r="AO19" i="7"/>
  <c r="AO216" i="7"/>
  <c r="AW216" i="7" s="1"/>
  <c r="AO211" i="7"/>
  <c r="AO569" i="7"/>
  <c r="AO227" i="7"/>
  <c r="AO341" i="7"/>
  <c r="AO480" i="7"/>
  <c r="AO454" i="7"/>
  <c r="AO464" i="7"/>
  <c r="AO42" i="7"/>
  <c r="AO579" i="7"/>
  <c r="AO525" i="7"/>
  <c r="AO372" i="7"/>
  <c r="AO332" i="7"/>
  <c r="AO363" i="7"/>
  <c r="AO591" i="7"/>
  <c r="AO158" i="7"/>
  <c r="AW158" i="7" s="1"/>
  <c r="AO243" i="7"/>
  <c r="AO465" i="7"/>
  <c r="AO557" i="7"/>
  <c r="AO69" i="7"/>
  <c r="AO160" i="7"/>
  <c r="AO469" i="7"/>
  <c r="AO210" i="7"/>
  <c r="AO488" i="7"/>
  <c r="AO483" i="7"/>
  <c r="AO360" i="7"/>
  <c r="AO48" i="7"/>
  <c r="AO165" i="7"/>
  <c r="AO126" i="7"/>
  <c r="AO91" i="7"/>
  <c r="AO87" i="7"/>
  <c r="AO222" i="7"/>
  <c r="AO520" i="7"/>
  <c r="AW520" i="7" s="1"/>
  <c r="AO191" i="7"/>
  <c r="AO133" i="7"/>
  <c r="AO382" i="7"/>
  <c r="AW382" i="7" s="1"/>
  <c r="AO568" i="7"/>
  <c r="AO171" i="7"/>
  <c r="AO453" i="7"/>
  <c r="AW453" i="7" s="1"/>
  <c r="AO60" i="7"/>
  <c r="AO237" i="7"/>
  <c r="AW237" i="7" s="1"/>
  <c r="AO511" i="7"/>
  <c r="AO110" i="7"/>
  <c r="AW110" i="7" s="1"/>
  <c r="AO198" i="7"/>
  <c r="AW198" i="7" s="1"/>
  <c r="AO319" i="7"/>
  <c r="AW319" i="7" s="1"/>
  <c r="AO97" i="7"/>
  <c r="AO545" i="7"/>
  <c r="AO502" i="7"/>
  <c r="AO392" i="7"/>
  <c r="AW392" i="7" s="1"/>
  <c r="AO55" i="7"/>
  <c r="AO303" i="7"/>
  <c r="AO192" i="7"/>
  <c r="AW192" i="7" s="1"/>
  <c r="AO535" i="7"/>
  <c r="AO450" i="7"/>
  <c r="AO397" i="7"/>
  <c r="AO477" i="7"/>
  <c r="AO555" i="7"/>
  <c r="AW555" i="7" s="1"/>
  <c r="AO172" i="7"/>
  <c r="AO148" i="7"/>
  <c r="AO247" i="7"/>
  <c r="AO349" i="7"/>
  <c r="AO335" i="7"/>
  <c r="AO196" i="7"/>
  <c r="AO225" i="7"/>
  <c r="AO406" i="7"/>
  <c r="AO260" i="7"/>
  <c r="AO286" i="7"/>
  <c r="AO138" i="7"/>
  <c r="AO447" i="7"/>
  <c r="AO567" i="7"/>
  <c r="AO268" i="7"/>
  <c r="AO414" i="7"/>
  <c r="AO499" i="7"/>
  <c r="AO407" i="7"/>
  <c r="AO44" i="7"/>
  <c r="AO396" i="7"/>
  <c r="AO446" i="7"/>
  <c r="AO65" i="7"/>
  <c r="AO369" i="7"/>
  <c r="AO436" i="7"/>
  <c r="AO197" i="7"/>
  <c r="AW197" i="7" s="1"/>
  <c r="AO58" i="7"/>
  <c r="AO412" i="7"/>
  <c r="AO456" i="7"/>
  <c r="AO463" i="7"/>
  <c r="AW463" i="7" s="1"/>
  <c r="AO185" i="7"/>
  <c r="AW185" i="7" s="1"/>
  <c r="AO576" i="7"/>
  <c r="AW576" i="7" s="1"/>
  <c r="AO577" i="7"/>
  <c r="AW577" i="7" s="1"/>
  <c r="AO309" i="7"/>
  <c r="AO47" i="7"/>
  <c r="AO72" i="7"/>
  <c r="AW72" i="7" s="1"/>
  <c r="AO507" i="7"/>
  <c r="AO265" i="7"/>
  <c r="AO371" i="7"/>
  <c r="AO223" i="7"/>
  <c r="AO164" i="7"/>
  <c r="AO137" i="7"/>
  <c r="AW137" i="7" s="1"/>
  <c r="AO581" i="7"/>
  <c r="AO102" i="7"/>
  <c r="AO45" i="7"/>
  <c r="AO571" i="7"/>
  <c r="AO299" i="7"/>
  <c r="AO105" i="7"/>
  <c r="AO554" i="7"/>
  <c r="AO384" i="7"/>
  <c r="AW384" i="7" s="1"/>
  <c r="AO394" i="7"/>
  <c r="AO347" i="7"/>
  <c r="AO435" i="7"/>
  <c r="AO471" i="7"/>
  <c r="AO497" i="7"/>
  <c r="AO240" i="7"/>
  <c r="AO183" i="7"/>
  <c r="AO67" i="7"/>
  <c r="AO393" i="7"/>
  <c r="AW393" i="7" s="1"/>
  <c r="AO93" i="7"/>
  <c r="AW93" i="7" s="1"/>
  <c r="AO442" i="7"/>
  <c r="AO526" i="7"/>
  <c r="AW526" i="7" s="1"/>
  <c r="AO506" i="7"/>
  <c r="AW506" i="7" s="1"/>
  <c r="AO508" i="7"/>
  <c r="AO432" i="7"/>
  <c r="AO43" i="7"/>
  <c r="AO531" i="7"/>
  <c r="AO62" i="7"/>
  <c r="AO596" i="7"/>
  <c r="AO95" i="7"/>
  <c r="AO528" i="7"/>
  <c r="AO104" i="7"/>
  <c r="AO267" i="7"/>
  <c r="AO270" i="7"/>
  <c r="AO413" i="7"/>
  <c r="AO224" i="7"/>
  <c r="AW224" i="7" s="1"/>
  <c r="AO519" i="7"/>
  <c r="AO40" i="7"/>
  <c r="AO39" i="7"/>
  <c r="AW39" i="7" s="1"/>
  <c r="AO321" i="7"/>
  <c r="AO131" i="7"/>
  <c r="AO229" i="7"/>
  <c r="AO89" i="7"/>
  <c r="AO266" i="7"/>
  <c r="AO570" i="7"/>
  <c r="AO184" i="7"/>
  <c r="AO163" i="7"/>
  <c r="AO324" i="7"/>
  <c r="AO301" i="7"/>
  <c r="AO467" i="7"/>
  <c r="AO159" i="7"/>
  <c r="AW159" i="7" s="1"/>
  <c r="AO333" i="7"/>
  <c r="AO551" i="7"/>
  <c r="AW551" i="7" s="1"/>
  <c r="AO541" i="7"/>
  <c r="AO155" i="7"/>
  <c r="AO32" i="7"/>
  <c r="AO422" i="7"/>
  <c r="AO23" i="7"/>
  <c r="AO417" i="7"/>
  <c r="AO68" i="7"/>
  <c r="AO509" i="7"/>
  <c r="AW509" i="7" s="1"/>
  <c r="AO350" i="7"/>
  <c r="AW350" i="7" s="1"/>
  <c r="AO534" i="7"/>
  <c r="AW534" i="7" s="1"/>
  <c r="AO116" i="7"/>
  <c r="AO73" i="7"/>
  <c r="AW73" i="7" s="1"/>
  <c r="AO109" i="7"/>
  <c r="AO512" i="7"/>
  <c r="AO361" i="7"/>
  <c r="AO24" i="7"/>
  <c r="AW24" i="7" s="1"/>
  <c r="AO142" i="7"/>
  <c r="AO542" i="7"/>
  <c r="AW542" i="7" s="1"/>
  <c r="AO9" i="7"/>
  <c r="AW9" i="7" s="1"/>
  <c r="AO209" i="7"/>
  <c r="AO368" i="7"/>
  <c r="AW368" i="7" s="1"/>
  <c r="AO381" i="7"/>
  <c r="AO120" i="7"/>
  <c r="AO293" i="7"/>
  <c r="AW293" i="7" s="1"/>
  <c r="AO199" i="7"/>
  <c r="AO273" i="7"/>
  <c r="AO287" i="7"/>
  <c r="AO440" i="7"/>
  <c r="AO419" i="7"/>
  <c r="AW419" i="7" s="1"/>
  <c r="AO376" i="7"/>
  <c r="AO152" i="7"/>
  <c r="AO522" i="7"/>
  <c r="AW522" i="7" s="1"/>
  <c r="AO35" i="7"/>
  <c r="AO473" i="7"/>
  <c r="AO320" i="7"/>
  <c r="AO498" i="7"/>
  <c r="AO402" i="7"/>
  <c r="AO20" i="7"/>
  <c r="AO202" i="7"/>
  <c r="AO115" i="7"/>
  <c r="AO313" i="7"/>
  <c r="AO122" i="7"/>
  <c r="AO117" i="7"/>
  <c r="AW117" i="7" s="1"/>
  <c r="AO277" i="7"/>
  <c r="AO244" i="7"/>
  <c r="AO98" i="7"/>
  <c r="AO584" i="7"/>
  <c r="AO128" i="7"/>
  <c r="AO239" i="7"/>
  <c r="AO426" i="7"/>
  <c r="AO367" i="7"/>
  <c r="AO543" i="7"/>
  <c r="AO311" i="7"/>
  <c r="AW311" i="7" s="1"/>
  <c r="AO264" i="7"/>
  <c r="AW264" i="7" s="1"/>
  <c r="AO377" i="7"/>
  <c r="AW377" i="7" s="1"/>
  <c r="AO524" i="7"/>
  <c r="AW524" i="7" s="1"/>
  <c r="AO580" i="7"/>
  <c r="AW580" i="7" s="1"/>
  <c r="AO86" i="7"/>
  <c r="AO310" i="7"/>
  <c r="AO206" i="7"/>
  <c r="AO546" i="7"/>
  <c r="AW546" i="7" s="1"/>
  <c r="AO354" i="7"/>
  <c r="AO344" i="7"/>
  <c r="AO22" i="7"/>
  <c r="AO326" i="7"/>
  <c r="AO411" i="7"/>
  <c r="AW411" i="7" s="1"/>
  <c r="AO578" i="7"/>
  <c r="AW578" i="7" s="1"/>
  <c r="AO420" i="7"/>
  <c r="AW420" i="7" s="1"/>
  <c r="AO271" i="7"/>
  <c r="AW271" i="7" s="1"/>
  <c r="AO215" i="7"/>
  <c r="AO357" i="7"/>
  <c r="AO366" i="7"/>
  <c r="AO538" i="7"/>
  <c r="AO56" i="7"/>
  <c r="AO387" i="7"/>
  <c r="AO297" i="7"/>
  <c r="AO143" i="7"/>
  <c r="AO468" i="7"/>
  <c r="AO300" i="7"/>
  <c r="AO283" i="7"/>
  <c r="AO54" i="7"/>
  <c r="AO125" i="7"/>
  <c r="AO274" i="7"/>
  <c r="AO441" i="7"/>
  <c r="AW441" i="7" s="1"/>
  <c r="AO31" i="7"/>
  <c r="AO147" i="7"/>
  <c r="AO132" i="7"/>
  <c r="AO561" i="7"/>
  <c r="AO400" i="7"/>
  <c r="AO77" i="7"/>
  <c r="AO238" i="7"/>
  <c r="AO515" i="7"/>
  <c r="AO75" i="7"/>
  <c r="AO146" i="7"/>
  <c r="AO429" i="7"/>
  <c r="AO50" i="7"/>
  <c r="AO459" i="7"/>
  <c r="AO37" i="7"/>
  <c r="AO421" i="7"/>
  <c r="AW421" i="7" s="1"/>
  <c r="AO364" i="7"/>
  <c r="AW364" i="7" s="1"/>
  <c r="AO151" i="7"/>
  <c r="AO444" i="7"/>
  <c r="AW444" i="7" s="1"/>
  <c r="AO572" i="7"/>
  <c r="AO11" i="7"/>
  <c r="AO585" i="7"/>
  <c r="AO388" i="7"/>
  <c r="AW388" i="7" s="1"/>
  <c r="AO529" i="7"/>
  <c r="AO306" i="7"/>
  <c r="AO479" i="7"/>
  <c r="AO76" i="7"/>
  <c r="AO379" i="7"/>
  <c r="AW379" i="7" s="1"/>
  <c r="AO424" i="7"/>
  <c r="AO516" i="7"/>
  <c r="AO351" i="7"/>
  <c r="AO559" i="7"/>
  <c r="AW559" i="7" s="1"/>
  <c r="AO423" i="7"/>
  <c r="AO8" i="7"/>
  <c r="AW8" i="7" s="1"/>
  <c r="AO355" i="7"/>
  <c r="AO139" i="7"/>
  <c r="AO258" i="7"/>
  <c r="AO548" i="7"/>
  <c r="AX594" i="25" l="1"/>
  <c r="AY594" i="25" s="1"/>
  <c r="AX586" i="25"/>
  <c r="AY586" i="25" s="1"/>
  <c r="AX595" i="25"/>
  <c r="AY595" i="25" s="1"/>
  <c r="Z10" i="20"/>
  <c r="Y21" i="20"/>
  <c r="Z16" i="20"/>
  <c r="Z21" i="20"/>
  <c r="Z12" i="20"/>
  <c r="Y10" i="20"/>
  <c r="Y13" i="20"/>
  <c r="Y4" i="20"/>
  <c r="Z13" i="20"/>
  <c r="Z7" i="20"/>
  <c r="Y14" i="20"/>
  <c r="AX585" i="25"/>
  <c r="AY585" i="25" s="1"/>
  <c r="AX290" i="25"/>
  <c r="AY290" i="25" s="1"/>
  <c r="AX589" i="25"/>
  <c r="AX293" i="25"/>
  <c r="AY293" i="25" s="1"/>
  <c r="AX289" i="25"/>
  <c r="AY289" i="25" s="1"/>
  <c r="AX305" i="25"/>
  <c r="AX311" i="25"/>
  <c r="AX296" i="25"/>
  <c r="AX303" i="25"/>
  <c r="AX286" i="25"/>
  <c r="AX593" i="25"/>
  <c r="AY593" i="25" s="1"/>
  <c r="Y5" i="20"/>
  <c r="Y15" i="20"/>
  <c r="Z5" i="20"/>
  <c r="Y11" i="20"/>
  <c r="Z14" i="20"/>
  <c r="Y7" i="20"/>
  <c r="Y6" i="20"/>
  <c r="Z17" i="20"/>
  <c r="Z8" i="20"/>
  <c r="Z4" i="20"/>
  <c r="Y18" i="20"/>
  <c r="Z18" i="20"/>
  <c r="AX306" i="25"/>
  <c r="AX288" i="25"/>
  <c r="AY288" i="25" s="1"/>
  <c r="AX304" i="25"/>
  <c r="AX292" i="25"/>
  <c r="AY292" i="25" s="1"/>
  <c r="AX310" i="25"/>
  <c r="AX302" i="25"/>
  <c r="AY302" i="25" s="1"/>
  <c r="Z9" i="20"/>
  <c r="Z19" i="20"/>
  <c r="Y8" i="20"/>
  <c r="Z15" i="20"/>
  <c r="Y20" i="20"/>
  <c r="Y9" i="20"/>
  <c r="Y16" i="20"/>
  <c r="Y19" i="20"/>
  <c r="Y2" i="20"/>
  <c r="Z2" i="20"/>
  <c r="AX588" i="25"/>
  <c r="AX308" i="25"/>
  <c r="AY308" i="25" s="1"/>
  <c r="AX287" i="25"/>
  <c r="AX297" i="25"/>
  <c r="AX291" i="25"/>
  <c r="AY291" i="25" s="1"/>
  <c r="AX299" i="25"/>
  <c r="AX312" i="25"/>
  <c r="AY312" i="25" s="1"/>
  <c r="Y12" i="20"/>
  <c r="Z3" i="20"/>
  <c r="Y17" i="20"/>
  <c r="Z11" i="20"/>
  <c r="Z20" i="20"/>
  <c r="Y3" i="20"/>
  <c r="Z6" i="20"/>
  <c r="AH491" i="25"/>
  <c r="AH85" i="25"/>
  <c r="AH343" i="25"/>
  <c r="AH444" i="25"/>
  <c r="AH227" i="25"/>
  <c r="AH289" i="25"/>
  <c r="AH488" i="25"/>
  <c r="AH416" i="25"/>
  <c r="AH286" i="25"/>
  <c r="AH293" i="25"/>
  <c r="AH318" i="25"/>
  <c r="AH177" i="25"/>
  <c r="AH394" i="25"/>
  <c r="AH280" i="25"/>
  <c r="AH16" i="25"/>
  <c r="AH66" i="25"/>
  <c r="AH163" i="25"/>
  <c r="AH543" i="25"/>
  <c r="AH574" i="25"/>
  <c r="AH237" i="25"/>
  <c r="AH546" i="25"/>
  <c r="AH506" i="25"/>
  <c r="AD287" i="25"/>
  <c r="AI287" i="25" s="1"/>
  <c r="AH439" i="25"/>
  <c r="AH18" i="25"/>
  <c r="AH531" i="25"/>
  <c r="AH31" i="25"/>
  <c r="AH226" i="25"/>
  <c r="AH108" i="25"/>
  <c r="AH408" i="25"/>
  <c r="AI500" i="25"/>
  <c r="AD55" i="25"/>
  <c r="AI55" i="25" s="1"/>
  <c r="AH542" i="25"/>
  <c r="AH266" i="25"/>
  <c r="AH106" i="25"/>
  <c r="AH404" i="25"/>
  <c r="AH99" i="25"/>
  <c r="AH118" i="25"/>
  <c r="AH429" i="25"/>
  <c r="AH2" i="25"/>
  <c r="AH83" i="25"/>
  <c r="AH134" i="25"/>
  <c r="AH181" i="25"/>
  <c r="AH278" i="25"/>
  <c r="AH386" i="25"/>
  <c r="AH533" i="25"/>
  <c r="AH527" i="25"/>
  <c r="AH556" i="25"/>
  <c r="AE245" i="25"/>
  <c r="AK245" i="25" s="1"/>
  <c r="AE532" i="25"/>
  <c r="AK532" i="25" s="1"/>
  <c r="AE46" i="25"/>
  <c r="AK46" i="25" s="1"/>
  <c r="AE475" i="25"/>
  <c r="AK475" i="25" s="1"/>
  <c r="AE569" i="25"/>
  <c r="AK569" i="25" s="1"/>
  <c r="AE185" i="25"/>
  <c r="AK185" i="25" s="1"/>
  <c r="AE391" i="25"/>
  <c r="AK391" i="25" s="1"/>
  <c r="AE239" i="25"/>
  <c r="AK239" i="25" s="1"/>
  <c r="AE570" i="25"/>
  <c r="AK570" i="25" s="1"/>
  <c r="AE29" i="25"/>
  <c r="AK29" i="25" s="1"/>
  <c r="AE21" i="25"/>
  <c r="AK21" i="25" s="1"/>
  <c r="AE137" i="25"/>
  <c r="AK137" i="25" s="1"/>
  <c r="AE297" i="25"/>
  <c r="AK297" i="25" s="1"/>
  <c r="AE492" i="25"/>
  <c r="AK492" i="25" s="1"/>
  <c r="AE215" i="25"/>
  <c r="AK215" i="25" s="1"/>
  <c r="AE144" i="25"/>
  <c r="AK144" i="25" s="1"/>
  <c r="AE275" i="25"/>
  <c r="AK275" i="25" s="1"/>
  <c r="AE24" i="25"/>
  <c r="AK24" i="25" s="1"/>
  <c r="AE2" i="25"/>
  <c r="AK2" i="25" s="1"/>
  <c r="AE252" i="25"/>
  <c r="AK252" i="25" s="1"/>
  <c r="AH364" i="25"/>
  <c r="AH124" i="25"/>
  <c r="AE450" i="25"/>
  <c r="AK450" i="25" s="1"/>
  <c r="AE164" i="25"/>
  <c r="AK164" i="25" s="1"/>
  <c r="AE325" i="25"/>
  <c r="AK325" i="25" s="1"/>
  <c r="AE410" i="25"/>
  <c r="AK410" i="25" s="1"/>
  <c r="AE314" i="25"/>
  <c r="AK314" i="25" s="1"/>
  <c r="AE520" i="25"/>
  <c r="AK520" i="25" s="1"/>
  <c r="AE566" i="25"/>
  <c r="AK566" i="25" s="1"/>
  <c r="AE587" i="25"/>
  <c r="AK587" i="25" s="1"/>
  <c r="AE393" i="25"/>
  <c r="AK393" i="25" s="1"/>
  <c r="AE147" i="25"/>
  <c r="AK147" i="25" s="1"/>
  <c r="AE90" i="25"/>
  <c r="AK90" i="25" s="1"/>
  <c r="AE349" i="25"/>
  <c r="AK349" i="25" s="1"/>
  <c r="AE30" i="25"/>
  <c r="AK30" i="25" s="1"/>
  <c r="AE441" i="25"/>
  <c r="AK441" i="25" s="1"/>
  <c r="AE296" i="25"/>
  <c r="AK296" i="25" s="1"/>
  <c r="AE17" i="25"/>
  <c r="AK17" i="25" s="1"/>
  <c r="AE303" i="25"/>
  <c r="AK303" i="25" s="1"/>
  <c r="AE395" i="25"/>
  <c r="AK395" i="25" s="1"/>
  <c r="AE416" i="25"/>
  <c r="AK416" i="25" s="1"/>
  <c r="AE412" i="25"/>
  <c r="AK412" i="25" s="1"/>
  <c r="AE380" i="25"/>
  <c r="AK380" i="25" s="1"/>
  <c r="AH161" i="25"/>
  <c r="AH365" i="25"/>
  <c r="AH140" i="25"/>
  <c r="AE471" i="25"/>
  <c r="AK471" i="25" s="1"/>
  <c r="AE437" i="25"/>
  <c r="AK437" i="25" s="1"/>
  <c r="AE530" i="25"/>
  <c r="AK530" i="25" s="1"/>
  <c r="AE459" i="25"/>
  <c r="AK459" i="25" s="1"/>
  <c r="AE171" i="25"/>
  <c r="AK171" i="25" s="1"/>
  <c r="AE331" i="25"/>
  <c r="AK331" i="25" s="1"/>
  <c r="AE506" i="25"/>
  <c r="AK506" i="25" s="1"/>
  <c r="AE369" i="25"/>
  <c r="AK369" i="25" s="1"/>
  <c r="AE225" i="25"/>
  <c r="AK225" i="25" s="1"/>
  <c r="AE72" i="25"/>
  <c r="AK72" i="25" s="1"/>
  <c r="AE378" i="25"/>
  <c r="AK378" i="25" s="1"/>
  <c r="AE350" i="25"/>
  <c r="AK350" i="25" s="1"/>
  <c r="AE130" i="25"/>
  <c r="AK130" i="25" s="1"/>
  <c r="AE148" i="25"/>
  <c r="AK148" i="25" s="1"/>
  <c r="AE363" i="25"/>
  <c r="AK363" i="25" s="1"/>
  <c r="AE367" i="25"/>
  <c r="AK367" i="25" s="1"/>
  <c r="AE231" i="25"/>
  <c r="AK231" i="25" s="1"/>
  <c r="AE427" i="25"/>
  <c r="AK427" i="25" s="1"/>
  <c r="AH452" i="25"/>
  <c r="AH525" i="25"/>
  <c r="AE6" i="25"/>
  <c r="AK6" i="25" s="1"/>
  <c r="AE118" i="25"/>
  <c r="AK118" i="25" s="1"/>
  <c r="AE583" i="25"/>
  <c r="AK583" i="25" s="1"/>
  <c r="AE149" i="25"/>
  <c r="AK149" i="25" s="1"/>
  <c r="AE469" i="25"/>
  <c r="AK469" i="25" s="1"/>
  <c r="AE389" i="25"/>
  <c r="AK389" i="25" s="1"/>
  <c r="AE277" i="25"/>
  <c r="AK277" i="25" s="1"/>
  <c r="AE163" i="25"/>
  <c r="AK163" i="25" s="1"/>
  <c r="AE543" i="25"/>
  <c r="AK543" i="25" s="1"/>
  <c r="AE307" i="25"/>
  <c r="AK307" i="25" s="1"/>
  <c r="AE249" i="25"/>
  <c r="AK249" i="25" s="1"/>
  <c r="AE61" i="25"/>
  <c r="AK61" i="25" s="1"/>
  <c r="AE22" i="25"/>
  <c r="AK22" i="25" s="1"/>
  <c r="AE470" i="25"/>
  <c r="AK470" i="25" s="1"/>
  <c r="AE66" i="25"/>
  <c r="AK66" i="25" s="1"/>
  <c r="AE564" i="25"/>
  <c r="AK564" i="25" s="1"/>
  <c r="AE121" i="25"/>
  <c r="AK121" i="25" s="1"/>
  <c r="AE497" i="25"/>
  <c r="AK497" i="25" s="1"/>
  <c r="AE337" i="25"/>
  <c r="AK337" i="25" s="1"/>
  <c r="AE257" i="25"/>
  <c r="AK257" i="25" s="1"/>
  <c r="AE243" i="25"/>
  <c r="AK243" i="25" s="1"/>
  <c r="AE298" i="25"/>
  <c r="AK298" i="25" s="1"/>
  <c r="AE591" i="25"/>
  <c r="AK591" i="25" s="1"/>
  <c r="AE418" i="25"/>
  <c r="AK418" i="25" s="1"/>
  <c r="AE576" i="25"/>
  <c r="AK576" i="25" s="1"/>
  <c r="AE53" i="25"/>
  <c r="AK53" i="25" s="1"/>
  <c r="AE505" i="25"/>
  <c r="AK505" i="25" s="1"/>
  <c r="AE33" i="25"/>
  <c r="AK33" i="25" s="1"/>
  <c r="AE28" i="25"/>
  <c r="AK28" i="25" s="1"/>
  <c r="AE472" i="25"/>
  <c r="AK472" i="25" s="1"/>
  <c r="AE208" i="25"/>
  <c r="AK208" i="25" s="1"/>
  <c r="AE264" i="25"/>
  <c r="AK264" i="25" s="1"/>
  <c r="AE183" i="25"/>
  <c r="AK183" i="25" s="1"/>
  <c r="AE112" i="25"/>
  <c r="AK112" i="25" s="1"/>
  <c r="AE108" i="25"/>
  <c r="AK108" i="25" s="1"/>
  <c r="AI564" i="25"/>
  <c r="AH303" i="25"/>
  <c r="AH530" i="25"/>
  <c r="AH460" i="25"/>
  <c r="AH443" i="25"/>
  <c r="AH578" i="25"/>
  <c r="AH510" i="25"/>
  <c r="AH406" i="25"/>
  <c r="AH110" i="25"/>
  <c r="AE141" i="25"/>
  <c r="AK141" i="25" s="1"/>
  <c r="AE477" i="25"/>
  <c r="AK477" i="25" s="1"/>
  <c r="AE217" i="25"/>
  <c r="AK217" i="25" s="1"/>
  <c r="AE107" i="25"/>
  <c r="AK107" i="25" s="1"/>
  <c r="AE154" i="25"/>
  <c r="AK154" i="25" s="1"/>
  <c r="AE578" i="25"/>
  <c r="AK578" i="25" s="1"/>
  <c r="AE265" i="25"/>
  <c r="AK265" i="25" s="1"/>
  <c r="AE408" i="25"/>
  <c r="AK408" i="25" s="1"/>
  <c r="AE500" i="25"/>
  <c r="AK500" i="25" s="1"/>
  <c r="AE123" i="25"/>
  <c r="AK123" i="25" s="1"/>
  <c r="AE212" i="25"/>
  <c r="AK212" i="25" s="1"/>
  <c r="AE383" i="25"/>
  <c r="AK383" i="25" s="1"/>
  <c r="AE97" i="25"/>
  <c r="AK97" i="25" s="1"/>
  <c r="AE335" i="25"/>
  <c r="AK335" i="25" s="1"/>
  <c r="AE76" i="25"/>
  <c r="AK76" i="25" s="1"/>
  <c r="AH413" i="25"/>
  <c r="AH557" i="25"/>
  <c r="AH476" i="25"/>
  <c r="AM476" i="25" s="1"/>
  <c r="AH50" i="25"/>
  <c r="AH290" i="25"/>
  <c r="AE430" i="25"/>
  <c r="AK430" i="25" s="1"/>
  <c r="AE503" i="25"/>
  <c r="AK503" i="25" s="1"/>
  <c r="AE435" i="25"/>
  <c r="AK435" i="25" s="1"/>
  <c r="AE534" i="25"/>
  <c r="AK534" i="25" s="1"/>
  <c r="AE5" i="25"/>
  <c r="AK5" i="25" s="1"/>
  <c r="AE105" i="25"/>
  <c r="AK105" i="25" s="1"/>
  <c r="AE93" i="25"/>
  <c r="AK93" i="25" s="1"/>
  <c r="AE366" i="25"/>
  <c r="AK366" i="25" s="1"/>
  <c r="AE190" i="25"/>
  <c r="AK190" i="25" s="1"/>
  <c r="AE510" i="25"/>
  <c r="AK510" i="25" s="1"/>
  <c r="AE517" i="25"/>
  <c r="AK517" i="25" s="1"/>
  <c r="AE120" i="25"/>
  <c r="AK120" i="25" s="1"/>
  <c r="AE502" i="25"/>
  <c r="AK502" i="25" s="1"/>
  <c r="AE110" i="25"/>
  <c r="AK110" i="25" s="1"/>
  <c r="AE41" i="25"/>
  <c r="AK41" i="25" s="1"/>
  <c r="AE489" i="25"/>
  <c r="AK489" i="25" s="1"/>
  <c r="AE279" i="25"/>
  <c r="AK279" i="25" s="1"/>
  <c r="AE191" i="25"/>
  <c r="AK191" i="25" s="1"/>
  <c r="AE374" i="25"/>
  <c r="AK374" i="25" s="1"/>
  <c r="AE26" i="25"/>
  <c r="AK26" i="25" s="1"/>
  <c r="AE25" i="25"/>
  <c r="AK25" i="25" s="1"/>
  <c r="AE417" i="25"/>
  <c r="AK417" i="25" s="1"/>
  <c r="AE487" i="25"/>
  <c r="AK487" i="25" s="1"/>
  <c r="AE317" i="25"/>
  <c r="AK317" i="25" s="1"/>
  <c r="AE131" i="25"/>
  <c r="AK131" i="25" s="1"/>
  <c r="AE158" i="25"/>
  <c r="AK158" i="25" s="1"/>
  <c r="AE536" i="25"/>
  <c r="AK536" i="25" s="1"/>
  <c r="AE322" i="25"/>
  <c r="AK322" i="25" s="1"/>
  <c r="AE7" i="25"/>
  <c r="AK7" i="25" s="1"/>
  <c r="AE387" i="25"/>
  <c r="AK387" i="25" s="1"/>
  <c r="AE344" i="25"/>
  <c r="AK344" i="25" s="1"/>
  <c r="AE135" i="25"/>
  <c r="AK135" i="25" s="1"/>
  <c r="AE65" i="25"/>
  <c r="AK65" i="25" s="1"/>
  <c r="AE499" i="25"/>
  <c r="AK499" i="25" s="1"/>
  <c r="AE351" i="25"/>
  <c r="AK351" i="25" s="1"/>
  <c r="AE384" i="25"/>
  <c r="AK384" i="25" s="1"/>
  <c r="AE495" i="25"/>
  <c r="AK495" i="25" s="1"/>
  <c r="AE155" i="25"/>
  <c r="AK155" i="25" s="1"/>
  <c r="AE44" i="25"/>
  <c r="AK44" i="25" s="1"/>
  <c r="AH205" i="25"/>
  <c r="AH285" i="25"/>
  <c r="AH498" i="25"/>
  <c r="AH190" i="25"/>
  <c r="AH387" i="25"/>
  <c r="AH507" i="25"/>
  <c r="AH342" i="25"/>
  <c r="AH174" i="25"/>
  <c r="G345" i="25"/>
  <c r="H345" i="25" s="1"/>
  <c r="G424" i="25"/>
  <c r="AG299" i="25"/>
  <c r="AG365" i="25"/>
  <c r="AH573" i="25"/>
  <c r="AH117" i="25"/>
  <c r="AH5" i="25"/>
  <c r="AJ36" i="7"/>
  <c r="AG18" i="25"/>
  <c r="AH409" i="25"/>
  <c r="AH544" i="25"/>
  <c r="AG432" i="25"/>
  <c r="AH168" i="25"/>
  <c r="AJ583" i="7"/>
  <c r="AD569" i="25"/>
  <c r="AI569" i="25" s="1"/>
  <c r="AG455" i="25"/>
  <c r="AH148" i="25"/>
  <c r="AH374" i="25"/>
  <c r="AH468" i="25"/>
  <c r="AH399" i="25"/>
  <c r="AH426" i="25"/>
  <c r="AB3" i="25"/>
  <c r="AG3" i="25" s="1"/>
  <c r="AI229" i="25"/>
  <c r="G476" i="25"/>
  <c r="H476" i="25" s="1"/>
  <c r="G304" i="25"/>
  <c r="H304" i="25" s="1"/>
  <c r="AG453" i="25"/>
  <c r="AG486" i="25"/>
  <c r="AH238" i="25"/>
  <c r="AH424" i="25"/>
  <c r="AJ73" i="7"/>
  <c r="AS300" i="7"/>
  <c r="AS543" i="7"/>
  <c r="AY543" i="7" s="1"/>
  <c r="AJ385" i="7"/>
  <c r="AJ448" i="7"/>
  <c r="AS162" i="7"/>
  <c r="AY162" i="7" s="1"/>
  <c r="AJ203" i="7"/>
  <c r="AJ259" i="7"/>
  <c r="AS311" i="7"/>
  <c r="AY311" i="7" s="1"/>
  <c r="AS596" i="7"/>
  <c r="AY596" i="7" s="1"/>
  <c r="AJ485" i="7"/>
  <c r="AJ263" i="7"/>
  <c r="AJ595" i="7"/>
  <c r="AE86" i="25"/>
  <c r="AK86" i="25" s="1"/>
  <c r="AE512" i="25"/>
  <c r="AK512" i="25" s="1"/>
  <c r="AE229" i="25"/>
  <c r="AK229" i="25" s="1"/>
  <c r="AE398" i="25"/>
  <c r="AK398" i="25" s="1"/>
  <c r="AE178" i="25"/>
  <c r="AK178" i="25" s="1"/>
  <c r="AE439" i="25"/>
  <c r="AK439" i="25" s="1"/>
  <c r="AE359" i="25"/>
  <c r="AK359" i="25" s="1"/>
  <c r="AE122" i="25"/>
  <c r="AK122" i="25" s="1"/>
  <c r="AE568" i="25"/>
  <c r="AK568" i="25" s="1"/>
  <c r="AE286" i="25"/>
  <c r="AK286" i="25" s="1"/>
  <c r="AE579" i="25"/>
  <c r="AK579" i="25" s="1"/>
  <c r="AE515" i="25"/>
  <c r="AK515" i="25" s="1"/>
  <c r="AE133" i="25"/>
  <c r="AK133" i="25" s="1"/>
  <c r="AE401" i="25"/>
  <c r="AK401" i="25" s="1"/>
  <c r="AE160" i="25"/>
  <c r="AK160" i="25" s="1"/>
  <c r="AE352" i="25"/>
  <c r="AK352" i="25" s="1"/>
  <c r="AE224" i="25"/>
  <c r="AK224" i="25" s="1"/>
  <c r="AE546" i="25"/>
  <c r="AK546" i="25" s="1"/>
  <c r="AE473" i="25"/>
  <c r="AK473" i="25" s="1"/>
  <c r="AE388" i="25"/>
  <c r="AK388" i="25" s="1"/>
  <c r="AE272" i="25"/>
  <c r="AK272" i="25" s="1"/>
  <c r="AE415" i="25"/>
  <c r="AK415" i="25" s="1"/>
  <c r="AE240" i="25"/>
  <c r="AK240" i="25" s="1"/>
  <c r="AE436" i="25"/>
  <c r="AK436" i="25" s="1"/>
  <c r="AE91" i="25"/>
  <c r="AK91" i="25" s="1"/>
  <c r="AE284" i="25"/>
  <c r="AK284" i="25" s="1"/>
  <c r="AE188" i="25"/>
  <c r="AK188" i="25" s="1"/>
  <c r="AE424" i="25"/>
  <c r="AK424" i="25" s="1"/>
  <c r="AF462" i="25"/>
  <c r="G462" i="25"/>
  <c r="AF409" i="25"/>
  <c r="G409" i="25"/>
  <c r="AF375" i="25"/>
  <c r="G375" i="25"/>
  <c r="AF291" i="25"/>
  <c r="G291" i="25"/>
  <c r="AF468" i="25"/>
  <c r="G468" i="25"/>
  <c r="AF514" i="25"/>
  <c r="G514" i="25"/>
  <c r="AF535" i="25"/>
  <c r="G535" i="25"/>
  <c r="AF552" i="25"/>
  <c r="G552" i="25"/>
  <c r="AF507" i="25"/>
  <c r="G507" i="25"/>
  <c r="AF351" i="25"/>
  <c r="G351" i="25"/>
  <c r="AF391" i="25"/>
  <c r="G391" i="25"/>
  <c r="AF399" i="25"/>
  <c r="G399" i="25"/>
  <c r="AF386" i="25"/>
  <c r="G386" i="25"/>
  <c r="AF148" i="25"/>
  <c r="G148" i="25"/>
  <c r="AF548" i="25"/>
  <c r="G548" i="25"/>
  <c r="AF105" i="25"/>
  <c r="G105" i="25"/>
  <c r="AF397" i="25"/>
  <c r="G397" i="25"/>
  <c r="AF259" i="25"/>
  <c r="G259" i="25"/>
  <c r="AF443" i="25"/>
  <c r="G443" i="25"/>
  <c r="AF520" i="25"/>
  <c r="G520" i="25"/>
  <c r="G564" i="25"/>
  <c r="H564" i="25" s="1"/>
  <c r="G417" i="25"/>
  <c r="H417" i="25" s="1"/>
  <c r="AI134" i="25"/>
  <c r="AI380" i="25"/>
  <c r="AI85" i="25"/>
  <c r="AI511" i="25"/>
  <c r="AI66" i="25"/>
  <c r="AI331" i="25"/>
  <c r="AI527" i="25"/>
  <c r="AE156" i="25"/>
  <c r="AK156" i="25" s="1"/>
  <c r="AR209" i="25"/>
  <c r="AI476" i="25"/>
  <c r="AG36" i="25"/>
  <c r="AG386" i="25"/>
  <c r="AG10" i="25"/>
  <c r="AG462" i="25"/>
  <c r="AH462" i="25"/>
  <c r="AG543" i="25"/>
  <c r="AG476" i="25"/>
  <c r="AH565" i="25"/>
  <c r="AH358" i="25"/>
  <c r="AH564" i="25"/>
  <c r="AH319" i="25"/>
  <c r="G324" i="25"/>
  <c r="G470" i="25"/>
  <c r="AH594" i="25"/>
  <c r="AH500" i="25"/>
  <c r="AH97" i="25"/>
  <c r="AH411" i="25"/>
  <c r="AH453" i="25"/>
  <c r="AH372" i="25"/>
  <c r="AH308" i="25"/>
  <c r="AH244" i="25"/>
  <c r="AH19" i="25"/>
  <c r="AH540" i="25"/>
  <c r="AH324" i="25"/>
  <c r="AH455" i="25"/>
  <c r="AH299" i="25"/>
  <c r="AH446" i="25"/>
  <c r="G389" i="25"/>
  <c r="G308" i="25"/>
  <c r="G413" i="25"/>
  <c r="AF589" i="25"/>
  <c r="G589" i="25"/>
  <c r="AF354" i="25"/>
  <c r="G354" i="25"/>
  <c r="AF25" i="25"/>
  <c r="G25" i="25"/>
  <c r="AF513" i="25"/>
  <c r="G513" i="25"/>
  <c r="AF319" i="25"/>
  <c r="G319" i="25"/>
  <c r="AF540" i="25"/>
  <c r="G540" i="25"/>
  <c r="AF329" i="25"/>
  <c r="G329" i="25"/>
  <c r="AF260" i="25"/>
  <c r="G260" i="25"/>
  <c r="AF455" i="25"/>
  <c r="G455" i="25"/>
  <c r="AF299" i="25"/>
  <c r="G299" i="25"/>
  <c r="AF314" i="25"/>
  <c r="G314" i="25"/>
  <c r="AF524" i="25"/>
  <c r="G524" i="25"/>
  <c r="AF432" i="25"/>
  <c r="G432" i="25"/>
  <c r="AF436" i="25"/>
  <c r="G436" i="25"/>
  <c r="AF532" i="25"/>
  <c r="G532" i="25"/>
  <c r="G573" i="25"/>
  <c r="AG286" i="25"/>
  <c r="AH393" i="25"/>
  <c r="AM393" i="25" s="1"/>
  <c r="AG443" i="25"/>
  <c r="AW344" i="7"/>
  <c r="AS410" i="7"/>
  <c r="AY410" i="7" s="1"/>
  <c r="AS135" i="7"/>
  <c r="AY135" i="7" s="1"/>
  <c r="AS547" i="7"/>
  <c r="AS368" i="7"/>
  <c r="AY368" i="7" s="1"/>
  <c r="AS302" i="7"/>
  <c r="AY302" i="7" s="1"/>
  <c r="AS174" i="7"/>
  <c r="AY174" i="7" s="1"/>
  <c r="AS321" i="7"/>
  <c r="AY321" i="7" s="1"/>
  <c r="AJ109" i="7"/>
  <c r="AJ384" i="7"/>
  <c r="AJ498" i="7"/>
  <c r="AS5" i="7"/>
  <c r="AY5" i="7" s="1"/>
  <c r="AJ327" i="7"/>
  <c r="AJ567" i="7"/>
  <c r="AS231" i="7"/>
  <c r="AJ173" i="7"/>
  <c r="AE466" i="25"/>
  <c r="AK466" i="25" s="1"/>
  <c r="AE174" i="25"/>
  <c r="AK174" i="25" s="1"/>
  <c r="AE490" i="25"/>
  <c r="AK490" i="25" s="1"/>
  <c r="AE218" i="25"/>
  <c r="AK218" i="25" s="1"/>
  <c r="AE267" i="25"/>
  <c r="AK267" i="25" s="1"/>
  <c r="AE581" i="25"/>
  <c r="AK581" i="25" s="1"/>
  <c r="AE341" i="25"/>
  <c r="AK341" i="25" s="1"/>
  <c r="AE197" i="25"/>
  <c r="AK197" i="25" s="1"/>
  <c r="AE99" i="25"/>
  <c r="AK99" i="25" s="1"/>
  <c r="AE498" i="25"/>
  <c r="AK498" i="25" s="1"/>
  <c r="AE162" i="25"/>
  <c r="AK162" i="25" s="1"/>
  <c r="AE116" i="25"/>
  <c r="AK116" i="25" s="1"/>
  <c r="AE82" i="25"/>
  <c r="AK82" i="25" s="1"/>
  <c r="AE562" i="25"/>
  <c r="AK562" i="25" s="1"/>
  <c r="AE345" i="25"/>
  <c r="AK345" i="25" s="1"/>
  <c r="AE479" i="25"/>
  <c r="AK479" i="25" s="1"/>
  <c r="AE207" i="25"/>
  <c r="AK207" i="25" s="1"/>
  <c r="AE310" i="25"/>
  <c r="AK310" i="25" s="1"/>
  <c r="AE524" i="25"/>
  <c r="AK524" i="25" s="1"/>
  <c r="AE454" i="25"/>
  <c r="AK454" i="25" s="1"/>
  <c r="AE106" i="25"/>
  <c r="AK106" i="25" s="1"/>
  <c r="AE586" i="25"/>
  <c r="AK586" i="25" s="1"/>
  <c r="AE153" i="25"/>
  <c r="AK153" i="25" s="1"/>
  <c r="AE529" i="25"/>
  <c r="AK529" i="25" s="1"/>
  <c r="AE449" i="25"/>
  <c r="AK449" i="25" s="1"/>
  <c r="AE353" i="25"/>
  <c r="AK353" i="25" s="1"/>
  <c r="AE289" i="25"/>
  <c r="AK289" i="25" s="1"/>
  <c r="AE209" i="25"/>
  <c r="AK209" i="25" s="1"/>
  <c r="AE315" i="25"/>
  <c r="AK315" i="25" s="1"/>
  <c r="AE312" i="25"/>
  <c r="AK312" i="25" s="1"/>
  <c r="AE589" i="25"/>
  <c r="AK589" i="25" s="1"/>
  <c r="AE461" i="25"/>
  <c r="AK461" i="25" s="1"/>
  <c r="AE94" i="25"/>
  <c r="AK94" i="25" s="1"/>
  <c r="AE596" i="25"/>
  <c r="AK596" i="25" s="1"/>
  <c r="AE233" i="25"/>
  <c r="AK233" i="25" s="1"/>
  <c r="AE320" i="25"/>
  <c r="AK320" i="25" s="1"/>
  <c r="AE431" i="25"/>
  <c r="AK431" i="25" s="1"/>
  <c r="AE95" i="25"/>
  <c r="AK95" i="25" s="1"/>
  <c r="AE128" i="25"/>
  <c r="AK128" i="25" s="1"/>
  <c r="AE88" i="25"/>
  <c r="AK88" i="25" s="1"/>
  <c r="AE145" i="25"/>
  <c r="AK145" i="25" s="1"/>
  <c r="AE15" i="25"/>
  <c r="AK15" i="25" s="1"/>
  <c r="AE308" i="25"/>
  <c r="AK308" i="25" s="1"/>
  <c r="AE96" i="25"/>
  <c r="AK96" i="25" s="1"/>
  <c r="AE396" i="25"/>
  <c r="AK396" i="25" s="1"/>
  <c r="AF284" i="25"/>
  <c r="G284" i="25"/>
  <c r="AF337" i="25"/>
  <c r="G337" i="25"/>
  <c r="AF582" i="25"/>
  <c r="G582" i="25"/>
  <c r="AF553" i="25"/>
  <c r="G553" i="25"/>
  <c r="AF355" i="25"/>
  <c r="G355" i="25"/>
  <c r="AF595" i="25"/>
  <c r="G595" i="25"/>
  <c r="AF557" i="25"/>
  <c r="G557" i="25"/>
  <c r="AF490" i="25"/>
  <c r="G490" i="25"/>
  <c r="AF453" i="25"/>
  <c r="G453" i="25"/>
  <c r="AF286" i="25"/>
  <c r="G286" i="25"/>
  <c r="AF368" i="25"/>
  <c r="G368" i="25"/>
  <c r="AF302" i="25"/>
  <c r="G302" i="25"/>
  <c r="AF238" i="25"/>
  <c r="G238" i="25"/>
  <c r="AF258" i="25"/>
  <c r="G258" i="25"/>
  <c r="AF311" i="25"/>
  <c r="G311" i="25"/>
  <c r="AI481" i="25"/>
  <c r="AI245" i="25"/>
  <c r="G480" i="25"/>
  <c r="H480" i="25" s="1"/>
  <c r="AI261" i="25"/>
  <c r="G393" i="25"/>
  <c r="H393" i="25" s="1"/>
  <c r="G565" i="25"/>
  <c r="H565" i="25" s="1"/>
  <c r="AE248" i="25"/>
  <c r="AK248" i="25" s="1"/>
  <c r="AI14" i="25"/>
  <c r="AI432" i="25"/>
  <c r="AI216" i="25"/>
  <c r="AI148" i="25"/>
  <c r="AI80" i="25"/>
  <c r="AI502" i="25"/>
  <c r="AI255" i="25"/>
  <c r="AI405" i="25"/>
  <c r="AI273" i="25"/>
  <c r="AI543" i="25"/>
  <c r="AI343" i="25"/>
  <c r="AI552" i="25"/>
  <c r="AI28" i="25"/>
  <c r="AI393" i="25"/>
  <c r="AI275" i="25"/>
  <c r="AI234" i="25"/>
  <c r="AE232" i="25"/>
  <c r="AK232" i="25" s="1"/>
  <c r="AI286" i="25"/>
  <c r="AI468" i="25"/>
  <c r="AG588" i="25"/>
  <c r="AG557" i="25"/>
  <c r="AG514" i="25"/>
  <c r="AG468" i="25"/>
  <c r="AG14" i="25"/>
  <c r="AG319" i="25"/>
  <c r="AG511" i="25"/>
  <c r="AG54" i="25"/>
  <c r="AG83" i="25"/>
  <c r="AG343" i="25"/>
  <c r="AG293" i="25"/>
  <c r="AG429" i="25"/>
  <c r="AH575" i="25"/>
  <c r="AG544" i="25"/>
  <c r="AG405" i="25"/>
  <c r="AG101" i="25"/>
  <c r="AG168" i="25"/>
  <c r="AG237" i="25"/>
  <c r="AG266" i="25"/>
  <c r="AG202" i="25"/>
  <c r="AH485" i="25"/>
  <c r="AG379" i="25"/>
  <c r="AG110" i="25"/>
  <c r="AG408" i="25"/>
  <c r="AG564" i="25"/>
  <c r="AG497" i="25"/>
  <c r="AG322" i="25"/>
  <c r="AH95" i="25"/>
  <c r="AH158" i="25"/>
  <c r="AH570" i="25"/>
  <c r="AH225" i="25"/>
  <c r="AH541" i="25"/>
  <c r="AH385" i="25"/>
  <c r="AH432" i="25"/>
  <c r="AH304" i="25"/>
  <c r="AH160" i="25"/>
  <c r="AH524" i="25"/>
  <c r="AH532" i="25"/>
  <c r="G590" i="25"/>
  <c r="G358" i="25"/>
  <c r="G572" i="25"/>
  <c r="G451" i="25"/>
  <c r="AF438" i="25"/>
  <c r="G438" i="25"/>
  <c r="AF577" i="25"/>
  <c r="G577" i="25"/>
  <c r="AF458" i="25"/>
  <c r="G458" i="25"/>
  <c r="AF527" i="25"/>
  <c r="G527" i="25"/>
  <c r="AF446" i="25"/>
  <c r="G446" i="25"/>
  <c r="AF583" i="25"/>
  <c r="G583" i="25"/>
  <c r="AF380" i="25"/>
  <c r="G380" i="25"/>
  <c r="AF517" i="25"/>
  <c r="G517" i="25"/>
  <c r="AF497" i="25"/>
  <c r="G497" i="25"/>
  <c r="AF486" i="25"/>
  <c r="G486" i="25"/>
  <c r="AF382" i="25"/>
  <c r="G382" i="25"/>
  <c r="AF365" i="25"/>
  <c r="G365" i="25"/>
  <c r="AF508" i="25"/>
  <c r="G508" i="25"/>
  <c r="AI311" i="25"/>
  <c r="AI346" i="25"/>
  <c r="AI190" i="25"/>
  <c r="AE216" i="25"/>
  <c r="AK216" i="25" s="1"/>
  <c r="AI301" i="25"/>
  <c r="G406" i="25"/>
  <c r="AT304" i="25"/>
  <c r="AD521" i="25"/>
  <c r="AI521" i="25" s="1"/>
  <c r="AI571" i="25"/>
  <c r="AD455" i="25"/>
  <c r="AI455" i="25" s="1"/>
  <c r="AI31" i="25"/>
  <c r="AG565" i="25"/>
  <c r="AG5" i="25"/>
  <c r="AG470" i="25"/>
  <c r="AG426" i="25"/>
  <c r="AG480" i="25"/>
  <c r="AG217" i="25"/>
  <c r="AG464" i="25"/>
  <c r="AH173" i="25"/>
  <c r="AG283" i="25"/>
  <c r="AG148" i="25"/>
  <c r="AG231" i="25"/>
  <c r="AG372" i="25"/>
  <c r="AG38" i="25"/>
  <c r="AH440" i="25"/>
  <c r="AH69" i="25"/>
  <c r="AH459" i="25"/>
  <c r="AH297" i="25"/>
  <c r="AH250" i="25"/>
  <c r="AH62" i="25"/>
  <c r="AG409" i="25"/>
  <c r="AG399" i="25"/>
  <c r="AG540" i="25"/>
  <c r="AG302" i="25"/>
  <c r="AG98" i="25"/>
  <c r="AG244" i="25"/>
  <c r="AH302" i="25"/>
  <c r="AG595" i="25"/>
  <c r="AG508" i="25"/>
  <c r="AG40" i="25"/>
  <c r="AG356" i="25"/>
  <c r="AH558" i="25"/>
  <c r="AH470" i="25"/>
  <c r="AH595" i="25"/>
  <c r="AH581" i="25"/>
  <c r="AH508" i="25"/>
  <c r="G332" i="25"/>
  <c r="G160" i="25"/>
  <c r="G372" i="25"/>
  <c r="G449" i="25"/>
  <c r="AS490" i="7"/>
  <c r="AY490" i="7" s="1"/>
  <c r="AJ424" i="7"/>
  <c r="AJ145" i="7"/>
  <c r="AJ582" i="7"/>
  <c r="AJ152" i="7"/>
  <c r="AJ557" i="7"/>
  <c r="AS456" i="7"/>
  <c r="AY456" i="7" s="1"/>
  <c r="AS197" i="7"/>
  <c r="AY197" i="7" s="1"/>
  <c r="AS136" i="7"/>
  <c r="AY136" i="7" s="1"/>
  <c r="AJ208" i="7"/>
  <c r="AJ565" i="7"/>
  <c r="AJ434" i="7"/>
  <c r="AJ459" i="7"/>
  <c r="AJ48" i="7"/>
  <c r="AJ363" i="7"/>
  <c r="AS328" i="7"/>
  <c r="AY328" i="7" s="1"/>
  <c r="AJ283" i="7"/>
  <c r="AJ154" i="7"/>
  <c r="AJ289" i="7"/>
  <c r="AJ533" i="7"/>
  <c r="AS420" i="7"/>
  <c r="AJ284" i="7"/>
  <c r="AJ337" i="7"/>
  <c r="AJ181" i="7"/>
  <c r="AJ400" i="7"/>
  <c r="AJ32" i="7"/>
  <c r="AJ372" i="7"/>
  <c r="AS117" i="7"/>
  <c r="AY117" i="7" s="1"/>
  <c r="AS461" i="7"/>
  <c r="AY461" i="7" s="1"/>
  <c r="AJ2" i="7"/>
  <c r="AS340" i="7"/>
  <c r="AS210" i="7"/>
  <c r="AY210" i="7" s="1"/>
  <c r="AJ564" i="7"/>
  <c r="AJ531" i="7"/>
  <c r="AS12" i="7"/>
  <c r="AY12" i="7" s="1"/>
  <c r="AJ493" i="7"/>
  <c r="AJ118" i="7"/>
  <c r="AS504" i="7"/>
  <c r="AY504" i="7" s="1"/>
  <c r="AS209" i="7"/>
  <c r="AY209" i="7" s="1"/>
  <c r="AJ373" i="7"/>
  <c r="AS167" i="7"/>
  <c r="AY167" i="7" s="1"/>
  <c r="AS122" i="7"/>
  <c r="AY122" i="7" s="1"/>
  <c r="AJ310" i="7"/>
  <c r="AS333" i="7"/>
  <c r="AY333" i="7" s="1"/>
  <c r="AJ54" i="7"/>
  <c r="AJ588" i="7"/>
  <c r="AJ186" i="7"/>
  <c r="AJ387" i="7"/>
  <c r="AS97" i="7"/>
  <c r="AY97" i="7" s="1"/>
  <c r="AS155" i="7"/>
  <c r="AY155" i="7" s="1"/>
  <c r="AS49" i="7"/>
  <c r="AY49" i="7" s="1"/>
  <c r="AS479" i="7"/>
  <c r="AY479" i="7" s="1"/>
  <c r="AJ128" i="7"/>
  <c r="AS455" i="7"/>
  <c r="AY455" i="7" s="1"/>
  <c r="AJ67" i="7"/>
  <c r="AJ40" i="7"/>
  <c r="AJ38" i="7"/>
  <c r="AJ407" i="7"/>
  <c r="AJ212" i="7"/>
  <c r="AJ435" i="7"/>
  <c r="AJ330" i="7"/>
  <c r="AJ108" i="7"/>
  <c r="AJ143" i="7"/>
  <c r="AJ519" i="7"/>
  <c r="AJ306" i="7"/>
  <c r="AJ438" i="7"/>
  <c r="AJ307" i="7"/>
  <c r="AJ285" i="7"/>
  <c r="AJ193" i="7"/>
  <c r="AJ69" i="7"/>
  <c r="AJ163" i="7"/>
  <c r="AJ511" i="7"/>
  <c r="AJ99" i="7"/>
  <c r="AJ508" i="7"/>
  <c r="AJ266" i="7"/>
  <c r="AJ52" i="7"/>
  <c r="AJ21" i="7"/>
  <c r="AJ390" i="7"/>
  <c r="AJ451" i="7"/>
  <c r="AJ335" i="7"/>
  <c r="AJ246" i="7"/>
  <c r="AJ365" i="7"/>
  <c r="AJ198" i="7"/>
  <c r="AJ240" i="7"/>
  <c r="AJ23" i="7"/>
  <c r="AJ554" i="7"/>
  <c r="AJ339" i="7"/>
  <c r="AJ297" i="7"/>
  <c r="AJ411" i="7"/>
  <c r="AJ544" i="7"/>
  <c r="AJ521" i="7"/>
  <c r="AJ106" i="7"/>
  <c r="AJ484" i="7"/>
  <c r="AX550" i="7"/>
  <c r="AX179" i="25"/>
  <c r="AX171" i="25"/>
  <c r="AY171" i="25" s="1"/>
  <c r="AX164" i="25"/>
  <c r="AY164" i="25" s="1"/>
  <c r="AX182" i="25"/>
  <c r="AX162" i="25"/>
  <c r="AX166" i="25"/>
  <c r="AY166" i="25" s="1"/>
  <c r="AX173" i="25"/>
  <c r="AX169" i="25"/>
  <c r="AY169" i="25" s="1"/>
  <c r="AX186" i="25"/>
  <c r="AX189" i="25"/>
  <c r="AY189" i="25" s="1"/>
  <c r="AX158" i="25"/>
  <c r="AX167" i="25"/>
  <c r="AY167" i="25" s="1"/>
  <c r="AX175" i="25"/>
  <c r="AX170" i="25"/>
  <c r="AY170" i="25" s="1"/>
  <c r="AX163" i="25"/>
  <c r="AY163" i="25" s="1"/>
  <c r="AX172" i="25"/>
  <c r="AY172" i="25" s="1"/>
  <c r="AX165" i="25"/>
  <c r="AY165" i="25" s="1"/>
  <c r="AX159" i="25"/>
  <c r="AX183" i="25"/>
  <c r="AX184" i="25"/>
  <c r="AX161" i="25"/>
  <c r="AX178" i="25"/>
  <c r="AX177" i="25"/>
  <c r="AX174" i="25"/>
  <c r="AX168" i="25"/>
  <c r="AY168" i="25" s="1"/>
  <c r="AX157" i="25"/>
  <c r="AX187" i="25"/>
  <c r="AY187" i="25" s="1"/>
  <c r="AX180" i="25"/>
  <c r="AX176" i="25"/>
  <c r="AX188" i="25"/>
  <c r="AX160" i="25"/>
  <c r="AX181" i="25"/>
  <c r="AX185" i="25"/>
  <c r="AY185" i="25" s="1"/>
  <c r="AX546" i="25"/>
  <c r="AX548" i="25"/>
  <c r="AX527" i="25"/>
  <c r="AX536" i="25"/>
  <c r="AY536" i="25" s="1"/>
  <c r="AX540" i="25"/>
  <c r="AX531" i="25"/>
  <c r="AY531" i="25" s="1"/>
  <c r="AX528" i="25"/>
  <c r="AX544" i="25"/>
  <c r="AX550" i="25"/>
  <c r="AX533" i="25"/>
  <c r="AY533" i="25" s="1"/>
  <c r="AX530" i="25"/>
  <c r="AY530" i="25" s="1"/>
  <c r="AX538" i="25"/>
  <c r="AX525" i="25"/>
  <c r="AX532" i="25"/>
  <c r="AY532" i="25" s="1"/>
  <c r="AX542" i="25"/>
  <c r="AX543" i="25"/>
  <c r="AX551" i="25"/>
  <c r="AY551" i="25" s="1"/>
  <c r="AX552" i="25"/>
  <c r="AY552" i="25" s="1"/>
  <c r="AX539" i="25"/>
  <c r="AX549" i="25"/>
  <c r="AX547" i="25"/>
  <c r="AX545" i="25"/>
  <c r="AX529" i="25"/>
  <c r="AY529" i="25" s="1"/>
  <c r="AX534" i="25"/>
  <c r="AY534" i="25" s="1"/>
  <c r="AX553" i="25"/>
  <c r="AY553" i="25" s="1"/>
  <c r="AX535" i="25"/>
  <c r="AY535" i="25" s="1"/>
  <c r="AX526" i="25"/>
  <c r="AX537" i="25"/>
  <c r="AY537" i="25" s="1"/>
  <c r="AX541" i="25"/>
  <c r="AX459" i="25"/>
  <c r="AX489" i="25"/>
  <c r="AY489" i="25" s="1"/>
  <c r="AX474" i="25"/>
  <c r="AX468" i="25"/>
  <c r="AY468" i="25" s="1"/>
  <c r="AX460" i="25"/>
  <c r="AX485" i="25"/>
  <c r="AX463" i="25"/>
  <c r="AY463" i="25" s="1"/>
  <c r="AX467" i="25"/>
  <c r="AY467" i="25" s="1"/>
  <c r="AX465" i="25"/>
  <c r="AY465" i="25" s="1"/>
  <c r="AX481" i="25"/>
  <c r="AX486" i="25"/>
  <c r="AX480" i="25"/>
  <c r="AX477" i="25"/>
  <c r="AX482" i="25"/>
  <c r="AX472" i="25"/>
  <c r="AY472" i="25" s="1"/>
  <c r="AX487" i="25"/>
  <c r="AX461" i="25"/>
  <c r="AX478" i="25"/>
  <c r="AX464" i="25"/>
  <c r="AY464" i="25" s="1"/>
  <c r="AX484" i="25"/>
  <c r="AX471" i="25"/>
  <c r="AY471" i="25" s="1"/>
  <c r="AX476" i="25"/>
  <c r="AX488" i="25"/>
  <c r="AX466" i="25"/>
  <c r="AY466" i="25" s="1"/>
  <c r="AX479" i="25"/>
  <c r="AX462" i="25"/>
  <c r="AX469" i="25"/>
  <c r="AY469" i="25" s="1"/>
  <c r="AX473" i="25"/>
  <c r="AY473" i="25" s="1"/>
  <c r="AX483" i="25"/>
  <c r="AX490" i="25"/>
  <c r="AY490" i="25" s="1"/>
  <c r="AX475" i="25"/>
  <c r="AX470" i="25"/>
  <c r="AY470" i="25" s="1"/>
  <c r="AX105" i="25"/>
  <c r="AY105" i="25" s="1"/>
  <c r="AX107" i="25"/>
  <c r="AX106" i="25"/>
  <c r="AX119" i="25"/>
  <c r="AX102" i="25"/>
  <c r="AY102" i="25" s="1"/>
  <c r="AX111" i="25"/>
  <c r="AX98" i="25"/>
  <c r="AY98" i="25" s="1"/>
  <c r="AX112" i="25"/>
  <c r="AX104" i="25"/>
  <c r="AY104" i="25" s="1"/>
  <c r="AX95" i="25"/>
  <c r="AX108" i="25"/>
  <c r="AX118" i="25"/>
  <c r="AX97" i="25"/>
  <c r="AY97" i="25" s="1"/>
  <c r="AX114" i="25"/>
  <c r="AX115" i="25"/>
  <c r="AX103" i="25"/>
  <c r="AY103" i="25" s="1"/>
  <c r="AX110" i="25"/>
  <c r="AX117" i="25"/>
  <c r="AX120" i="25"/>
  <c r="AY120" i="25" s="1"/>
  <c r="AX100" i="25"/>
  <c r="AY100" i="25" s="1"/>
  <c r="AX101" i="25"/>
  <c r="AY101" i="25" s="1"/>
  <c r="AX113" i="25"/>
  <c r="AX96" i="25"/>
  <c r="AX99" i="25"/>
  <c r="AX109" i="25"/>
  <c r="AX116" i="25"/>
  <c r="AX243" i="25"/>
  <c r="AX230" i="25"/>
  <c r="AY230" i="25" s="1"/>
  <c r="AX242" i="25"/>
  <c r="AX247" i="25"/>
  <c r="AX227" i="25"/>
  <c r="AX259" i="25"/>
  <c r="AX248" i="25"/>
  <c r="AX235" i="25"/>
  <c r="AX260" i="25"/>
  <c r="AX245" i="25"/>
  <c r="AX254" i="25"/>
  <c r="AY254" i="25" s="1"/>
  <c r="AX238" i="25"/>
  <c r="AX239" i="25"/>
  <c r="AX231" i="25"/>
  <c r="AY231" i="25" s="1"/>
  <c r="AX244" i="25"/>
  <c r="AX255" i="25"/>
  <c r="AY255" i="25" s="1"/>
  <c r="AX228" i="25"/>
  <c r="AX252" i="25"/>
  <c r="AX241" i="25"/>
  <c r="AX237" i="25"/>
  <c r="AX229" i="25"/>
  <c r="AY229" i="25" s="1"/>
  <c r="AX232" i="25"/>
  <c r="AY232" i="25" s="1"/>
  <c r="AX225" i="25"/>
  <c r="AX256" i="25"/>
  <c r="AX226" i="25"/>
  <c r="AY226" i="25" s="1"/>
  <c r="AX251" i="25"/>
  <c r="AX258" i="25"/>
  <c r="AY258" i="25" s="1"/>
  <c r="AX257" i="25"/>
  <c r="AY257" i="25" s="1"/>
  <c r="AX240" i="25"/>
  <c r="AX249" i="25"/>
  <c r="AX253" i="25"/>
  <c r="AX234" i="25"/>
  <c r="AY234" i="25" s="1"/>
  <c r="AX246" i="25"/>
  <c r="AY246" i="25" s="1"/>
  <c r="AX233" i="25"/>
  <c r="AY233" i="25" s="1"/>
  <c r="AX250" i="25"/>
  <c r="AX236" i="25"/>
  <c r="AX276" i="25"/>
  <c r="AX268" i="25"/>
  <c r="AY268" i="25" s="1"/>
  <c r="AX279" i="25"/>
  <c r="AX267" i="25"/>
  <c r="AY267" i="25" s="1"/>
  <c r="AX266" i="25"/>
  <c r="AY266" i="25" s="1"/>
  <c r="AX282" i="25"/>
  <c r="AX280" i="25"/>
  <c r="AX275" i="25"/>
  <c r="AX263" i="25"/>
  <c r="AX264" i="25"/>
  <c r="AX270" i="25"/>
  <c r="AY270" i="25" s="1"/>
  <c r="AX269" i="25"/>
  <c r="AY269" i="25" s="1"/>
  <c r="AX272" i="25"/>
  <c r="AY272" i="25" s="1"/>
  <c r="AX265" i="25"/>
  <c r="AX277" i="25"/>
  <c r="AX271" i="25"/>
  <c r="AY271" i="25" s="1"/>
  <c r="AX262" i="25"/>
  <c r="AX281" i="25"/>
  <c r="AX261" i="25"/>
  <c r="AX274" i="25"/>
  <c r="AX278" i="25"/>
  <c r="AX284" i="25"/>
  <c r="AY284" i="25" s="1"/>
  <c r="AX273" i="25"/>
  <c r="AX283" i="25"/>
  <c r="AX86" i="25"/>
  <c r="AX68" i="25"/>
  <c r="AX67" i="25"/>
  <c r="AX78" i="25"/>
  <c r="AX94" i="25"/>
  <c r="AX76" i="25"/>
  <c r="AX77" i="25"/>
  <c r="AX69" i="25"/>
  <c r="AY69" i="25" s="1"/>
  <c r="AX89" i="25"/>
  <c r="AX83" i="25"/>
  <c r="AX91" i="25"/>
  <c r="AY91" i="25" s="1"/>
  <c r="AX72" i="25"/>
  <c r="AY72" i="25" s="1"/>
  <c r="AX82" i="25"/>
  <c r="AX80" i="25"/>
  <c r="AX87" i="25"/>
  <c r="AX66" i="25"/>
  <c r="AX79" i="25"/>
  <c r="AX74" i="25"/>
  <c r="AY74" i="25" s="1"/>
  <c r="AX88" i="25"/>
  <c r="AX92" i="25"/>
  <c r="AY92" i="25" s="1"/>
  <c r="AX73" i="25"/>
  <c r="AY73" i="25" s="1"/>
  <c r="AX84" i="25"/>
  <c r="AX71" i="25"/>
  <c r="AY71" i="25" s="1"/>
  <c r="AX93" i="25"/>
  <c r="AX70" i="25"/>
  <c r="AY70" i="25" s="1"/>
  <c r="AX75" i="25"/>
  <c r="AY75" i="25" s="1"/>
  <c r="AX85" i="25"/>
  <c r="AX81" i="25"/>
  <c r="AX90" i="25"/>
  <c r="AX16" i="25"/>
  <c r="AX26" i="25"/>
  <c r="AX6" i="25"/>
  <c r="AY6" i="25" s="1"/>
  <c r="AX24" i="25"/>
  <c r="AX2" i="25"/>
  <c r="AX21" i="25"/>
  <c r="AX18" i="25"/>
  <c r="AX9" i="25"/>
  <c r="AY9" i="25" s="1"/>
  <c r="AX12" i="25"/>
  <c r="AY12" i="25" s="1"/>
  <c r="AX10" i="25"/>
  <c r="AY10" i="25" s="1"/>
  <c r="AX3" i="25"/>
  <c r="AX23" i="25"/>
  <c r="AX22" i="25"/>
  <c r="AX7" i="25"/>
  <c r="AY7" i="25" s="1"/>
  <c r="AX28" i="25"/>
  <c r="AY28" i="25" s="1"/>
  <c r="AX17" i="25"/>
  <c r="AX25" i="25"/>
  <c r="AX19" i="25"/>
  <c r="AX13" i="25"/>
  <c r="AX14" i="25"/>
  <c r="AX15" i="25"/>
  <c r="AX8" i="25"/>
  <c r="AX29" i="25"/>
  <c r="AX5" i="25"/>
  <c r="AY5" i="25" s="1"/>
  <c r="AX4" i="25"/>
  <c r="AX11" i="25"/>
  <c r="AY11" i="25" s="1"/>
  <c r="AX20" i="25"/>
  <c r="AX30" i="25"/>
  <c r="AX27" i="25"/>
  <c r="AX582" i="25"/>
  <c r="AY582" i="25" s="1"/>
  <c r="AX575" i="25"/>
  <c r="AX577" i="25"/>
  <c r="AX566" i="25"/>
  <c r="AY566" i="25" s="1"/>
  <c r="AX574" i="25"/>
  <c r="AX559" i="25"/>
  <c r="AY559" i="25" s="1"/>
  <c r="AX570" i="25"/>
  <c r="AY570" i="25" s="1"/>
  <c r="AX563" i="25"/>
  <c r="AY563" i="25" s="1"/>
  <c r="AX576" i="25"/>
  <c r="AX560" i="25"/>
  <c r="AY560" i="25" s="1"/>
  <c r="AX558" i="25"/>
  <c r="AY558" i="25" s="1"/>
  <c r="AX580" i="25"/>
  <c r="AX557" i="25"/>
  <c r="AY557" i="25" s="1"/>
  <c r="AX568" i="25"/>
  <c r="AY568" i="25" s="1"/>
  <c r="AX554" i="25"/>
  <c r="AY554" i="25" s="1"/>
  <c r="AX564" i="25"/>
  <c r="AY564" i="25" s="1"/>
  <c r="AX571" i="25"/>
  <c r="AX581" i="25"/>
  <c r="AX555" i="25"/>
  <c r="AY555" i="25" s="1"/>
  <c r="AX573" i="25"/>
  <c r="AX565" i="25"/>
  <c r="AY565" i="25" s="1"/>
  <c r="AX572" i="25"/>
  <c r="AX562" i="25"/>
  <c r="AY562" i="25" s="1"/>
  <c r="AX561" i="25"/>
  <c r="AY561" i="25" s="1"/>
  <c r="AX567" i="25"/>
  <c r="AY567" i="25" s="1"/>
  <c r="AX569" i="25"/>
  <c r="AY569" i="25" s="1"/>
  <c r="AX556" i="25"/>
  <c r="AX583" i="25"/>
  <c r="AX579" i="25"/>
  <c r="AX578" i="25"/>
  <c r="AX328" i="25"/>
  <c r="AX330" i="25"/>
  <c r="AX332" i="25"/>
  <c r="AX331" i="25"/>
  <c r="AX354" i="25"/>
  <c r="AY354" i="25" s="1"/>
  <c r="AX318" i="25"/>
  <c r="AY318" i="25" s="1"/>
  <c r="AX319" i="25"/>
  <c r="AY319" i="25" s="1"/>
  <c r="AX329" i="25"/>
  <c r="AX333" i="25"/>
  <c r="AX324" i="25"/>
  <c r="AY324" i="25" s="1"/>
  <c r="AX335" i="25"/>
  <c r="AX339" i="25"/>
  <c r="AX342" i="25"/>
  <c r="AY342" i="25" s="1"/>
  <c r="AX346" i="25"/>
  <c r="AX315" i="25"/>
  <c r="AX340" i="25"/>
  <c r="AX347" i="25"/>
  <c r="AY347" i="25" s="1"/>
  <c r="AX313" i="25"/>
  <c r="AY313" i="25" s="1"/>
  <c r="AX345" i="25"/>
  <c r="AX334" i="25"/>
  <c r="AX338" i="25"/>
  <c r="AX355" i="25"/>
  <c r="AX341" i="25"/>
  <c r="AX314" i="25"/>
  <c r="AX349" i="25"/>
  <c r="AY349" i="25" s="1"/>
  <c r="AX343" i="25"/>
  <c r="AY343" i="25" s="1"/>
  <c r="AX344" i="25"/>
  <c r="AX317" i="25"/>
  <c r="AX321" i="25"/>
  <c r="AY321" i="25" s="1"/>
  <c r="AX352" i="25"/>
  <c r="AX322" i="25"/>
  <c r="AY322" i="25" s="1"/>
  <c r="AX316" i="25"/>
  <c r="AX320" i="25"/>
  <c r="AY320" i="25" s="1"/>
  <c r="AX336" i="25"/>
  <c r="AX337" i="25"/>
  <c r="AX348" i="25"/>
  <c r="AY348" i="25" s="1"/>
  <c r="AX326" i="25"/>
  <c r="AY326" i="25" s="1"/>
  <c r="AX323" i="25"/>
  <c r="AY323" i="25" s="1"/>
  <c r="AX351" i="25"/>
  <c r="AX325" i="25"/>
  <c r="AY325" i="25" s="1"/>
  <c r="AX327" i="25"/>
  <c r="AY327" i="25" s="1"/>
  <c r="AX350" i="25"/>
  <c r="AX353" i="25"/>
  <c r="AY353" i="25" s="1"/>
  <c r="AX491" i="25"/>
  <c r="AX495" i="25"/>
  <c r="AX500" i="25"/>
  <c r="AY500" i="25" s="1"/>
  <c r="AX514" i="25"/>
  <c r="AX521" i="25"/>
  <c r="AX519" i="25"/>
  <c r="AX515" i="25"/>
  <c r="AX499" i="25"/>
  <c r="AY499" i="25" s="1"/>
  <c r="AX492" i="25"/>
  <c r="AX516" i="25"/>
  <c r="AX513" i="25"/>
  <c r="AX508" i="25"/>
  <c r="AY508" i="25" s="1"/>
  <c r="AX496" i="25"/>
  <c r="AX504" i="25"/>
  <c r="AY504" i="25" s="1"/>
  <c r="AX517" i="25"/>
  <c r="AX510" i="25"/>
  <c r="AY510" i="25" s="1"/>
  <c r="AX518" i="25"/>
  <c r="AX524" i="25"/>
  <c r="AX493" i="25"/>
  <c r="AX511" i="25"/>
  <c r="AX506" i="25"/>
  <c r="AY506" i="25" s="1"/>
  <c r="AX497" i="25"/>
  <c r="AX520" i="25"/>
  <c r="AX503" i="25"/>
  <c r="AY503" i="25" s="1"/>
  <c r="AX498" i="25"/>
  <c r="AX522" i="25"/>
  <c r="AX501" i="25"/>
  <c r="AY501" i="25" s="1"/>
  <c r="AX509" i="25"/>
  <c r="AY509" i="25" s="1"/>
  <c r="AX502" i="25"/>
  <c r="AY502" i="25" s="1"/>
  <c r="AX507" i="25"/>
  <c r="AY507" i="25" s="1"/>
  <c r="AX505" i="25"/>
  <c r="AY505" i="25" s="1"/>
  <c r="AX512" i="25"/>
  <c r="AX523" i="25"/>
  <c r="AX494" i="25"/>
  <c r="AX58" i="25"/>
  <c r="AY58" i="25" s="1"/>
  <c r="AX32" i="25"/>
  <c r="AY32" i="25" s="1"/>
  <c r="AX44" i="25"/>
  <c r="AX45" i="25"/>
  <c r="AX43" i="25"/>
  <c r="AX50" i="25"/>
  <c r="AX41" i="25"/>
  <c r="AX60" i="25"/>
  <c r="AY60" i="25" s="1"/>
  <c r="AX46" i="25"/>
  <c r="AX55" i="25"/>
  <c r="AX36" i="25"/>
  <c r="AX49" i="25"/>
  <c r="AX31" i="25"/>
  <c r="AX62" i="25"/>
  <c r="AY62" i="25" s="1"/>
  <c r="AX64" i="25"/>
  <c r="AY64" i="25" s="1"/>
  <c r="AX56" i="25"/>
  <c r="AX65" i="25"/>
  <c r="AX61" i="25"/>
  <c r="AX47" i="25"/>
  <c r="AX54" i="25"/>
  <c r="AX42" i="25"/>
  <c r="AX33" i="25"/>
  <c r="AY33" i="25" s="1"/>
  <c r="AX35" i="25"/>
  <c r="AY35" i="25" s="1"/>
  <c r="AX52" i="25"/>
  <c r="AX51" i="25"/>
  <c r="AX57" i="25"/>
  <c r="AX63" i="25"/>
  <c r="AX34" i="25"/>
  <c r="AY34" i="25" s="1"/>
  <c r="AX53" i="25"/>
  <c r="AX37" i="25"/>
  <c r="AY37" i="25" s="1"/>
  <c r="AX38" i="25"/>
  <c r="AY38" i="25" s="1"/>
  <c r="AX48" i="25"/>
  <c r="AX39" i="25"/>
  <c r="AY39" i="25" s="1"/>
  <c r="AX59" i="25"/>
  <c r="AX40" i="25"/>
  <c r="AY40" i="25" s="1"/>
  <c r="AX437" i="25"/>
  <c r="AY437" i="25" s="1"/>
  <c r="AX431" i="25"/>
  <c r="AY431" i="25" s="1"/>
  <c r="AX445" i="25"/>
  <c r="AX443" i="25"/>
  <c r="AX435" i="25"/>
  <c r="AY435" i="25" s="1"/>
  <c r="AX433" i="25"/>
  <c r="AY433" i="25" s="1"/>
  <c r="AX444" i="25"/>
  <c r="AX427" i="25"/>
  <c r="AX426" i="25"/>
  <c r="AX454" i="25"/>
  <c r="AX438" i="25"/>
  <c r="AY438" i="25" s="1"/>
  <c r="AX447" i="25"/>
  <c r="AX425" i="25"/>
  <c r="AX456" i="25"/>
  <c r="AX451" i="25"/>
  <c r="AX439" i="25"/>
  <c r="AY439" i="25" s="1"/>
  <c r="AX423" i="25"/>
  <c r="AX453" i="25"/>
  <c r="AX432" i="25"/>
  <c r="AY432" i="25" s="1"/>
  <c r="AX455" i="25"/>
  <c r="AX446" i="25"/>
  <c r="AX441" i="25"/>
  <c r="AX434" i="25"/>
  <c r="AY434" i="25" s="1"/>
  <c r="AX448" i="25"/>
  <c r="AX428" i="25"/>
  <c r="AX458" i="25"/>
  <c r="AY458" i="25" s="1"/>
  <c r="AX452" i="25"/>
  <c r="AX450" i="25"/>
  <c r="AX440" i="25"/>
  <c r="AX429" i="25"/>
  <c r="AY429" i="25" s="1"/>
  <c r="AX457" i="25"/>
  <c r="AY457" i="25" s="1"/>
  <c r="AX430" i="25"/>
  <c r="AY430" i="25" s="1"/>
  <c r="AX449" i="25"/>
  <c r="AX424" i="25"/>
  <c r="AX436" i="25"/>
  <c r="AY436" i="25" s="1"/>
  <c r="AX442" i="25"/>
  <c r="AX155" i="25"/>
  <c r="AX144" i="25"/>
  <c r="AX131" i="25"/>
  <c r="AX129" i="25"/>
  <c r="AY129" i="25" s="1"/>
  <c r="AX137" i="25"/>
  <c r="AX135" i="25"/>
  <c r="AX126" i="25"/>
  <c r="AY126" i="25" s="1"/>
  <c r="AX128" i="25"/>
  <c r="AY128" i="25" s="1"/>
  <c r="AX136" i="25"/>
  <c r="AX121" i="25"/>
  <c r="AX145" i="25"/>
  <c r="AX148" i="25"/>
  <c r="AY148" i="25" s="1"/>
  <c r="AX130" i="25"/>
  <c r="AY130" i="25" s="1"/>
  <c r="AX138" i="25"/>
  <c r="AX149" i="25"/>
  <c r="AY149" i="25" s="1"/>
  <c r="AX141" i="25"/>
  <c r="AX140" i="25"/>
  <c r="AY140" i="25" s="1"/>
  <c r="AX154" i="25"/>
  <c r="AX156" i="25"/>
  <c r="AX134" i="25"/>
  <c r="AX123" i="25"/>
  <c r="AY123" i="25" s="1"/>
  <c r="AX153" i="25"/>
  <c r="AY153" i="25" s="1"/>
  <c r="AX143" i="25"/>
  <c r="AX146" i="25"/>
  <c r="AX124" i="25"/>
  <c r="AY124" i="25" s="1"/>
  <c r="AX139" i="25"/>
  <c r="AX142" i="25"/>
  <c r="AX147" i="25"/>
  <c r="AX150" i="25"/>
  <c r="AX152" i="25"/>
  <c r="AX133" i="25"/>
  <c r="AX122" i="25"/>
  <c r="AX127" i="25"/>
  <c r="AY127" i="25" s="1"/>
  <c r="AX151" i="25"/>
  <c r="AX125" i="25"/>
  <c r="AY125" i="25" s="1"/>
  <c r="AX132" i="25"/>
  <c r="AX398" i="25"/>
  <c r="AY398" i="25" s="1"/>
  <c r="AX412" i="25"/>
  <c r="AX392" i="25"/>
  <c r="AX401" i="25"/>
  <c r="AY401" i="25" s="1"/>
  <c r="AX413" i="25"/>
  <c r="AX420" i="25"/>
  <c r="AX400" i="25"/>
  <c r="AY400" i="25" s="1"/>
  <c r="AX397" i="25"/>
  <c r="AY397" i="25" s="1"/>
  <c r="AX406" i="25"/>
  <c r="AX399" i="25"/>
  <c r="AY399" i="25" s="1"/>
  <c r="AX422" i="25"/>
  <c r="AY422" i="25" s="1"/>
  <c r="AX418" i="25"/>
  <c r="AY418" i="25" s="1"/>
  <c r="AX394" i="25"/>
  <c r="AY394" i="25" s="1"/>
  <c r="AX417" i="25"/>
  <c r="AY417" i="25" s="1"/>
  <c r="AX404" i="25"/>
  <c r="AX416" i="25"/>
  <c r="AY416" i="25" s="1"/>
  <c r="AX407" i="25"/>
  <c r="AX402" i="25"/>
  <c r="AX419" i="25"/>
  <c r="AX415" i="25"/>
  <c r="AX409" i="25"/>
  <c r="AX421" i="25"/>
  <c r="AY421" i="25" s="1"/>
  <c r="AX410" i="25"/>
  <c r="AX414" i="25"/>
  <c r="AX393" i="25"/>
  <c r="AX395" i="25"/>
  <c r="AY395" i="25" s="1"/>
  <c r="AX405" i="25"/>
  <c r="AX411" i="25"/>
  <c r="AX403" i="25"/>
  <c r="AX396" i="25"/>
  <c r="AY396" i="25" s="1"/>
  <c r="AX408" i="25"/>
  <c r="AD220" i="25"/>
  <c r="AI220" i="25" s="1"/>
  <c r="AI425" i="25"/>
  <c r="AD420" i="25"/>
  <c r="AI420" i="25" s="1"/>
  <c r="AD19" i="25"/>
  <c r="AI19" i="25" s="1"/>
  <c r="AE266" i="25"/>
  <c r="AK266" i="25" s="1"/>
  <c r="AE528" i="25"/>
  <c r="AK528" i="25" s="1"/>
  <c r="AE574" i="25"/>
  <c r="AK574" i="25" s="1"/>
  <c r="AE23" i="25"/>
  <c r="AK23" i="25" s="1"/>
  <c r="AE465" i="25"/>
  <c r="AK465" i="25" s="1"/>
  <c r="AE368" i="25"/>
  <c r="AK368" i="25" s="1"/>
  <c r="AE83" i="25"/>
  <c r="AK83" i="25" s="1"/>
  <c r="AE488" i="25"/>
  <c r="AK488" i="25" s="1"/>
  <c r="AE496" i="25"/>
  <c r="AK496" i="25" s="1"/>
  <c r="AE558" i="25"/>
  <c r="AK558" i="25" s="1"/>
  <c r="AE485" i="25"/>
  <c r="AK485" i="25" s="1"/>
  <c r="AE293" i="25"/>
  <c r="AK293" i="25" s="1"/>
  <c r="AE458" i="25"/>
  <c r="AK458" i="25" s="1"/>
  <c r="AE361" i="25"/>
  <c r="AK361" i="25" s="1"/>
  <c r="AE423" i="25"/>
  <c r="AK423" i="25" s="1"/>
  <c r="AE167" i="25"/>
  <c r="AK167" i="25" s="1"/>
  <c r="AE522" i="25"/>
  <c r="AK522" i="25" s="1"/>
  <c r="AE89" i="25"/>
  <c r="AK89" i="25" s="1"/>
  <c r="AE385" i="25"/>
  <c r="AK385" i="25" s="1"/>
  <c r="AE193" i="25"/>
  <c r="AK193" i="25" s="1"/>
  <c r="AE115" i="25"/>
  <c r="AK115" i="25" s="1"/>
  <c r="AE330" i="25"/>
  <c r="AK330" i="25" s="1"/>
  <c r="AE323" i="25"/>
  <c r="AK323" i="25" s="1"/>
  <c r="AE429" i="25"/>
  <c r="AK429" i="25" s="1"/>
  <c r="AE338" i="25"/>
  <c r="AK338" i="25" s="1"/>
  <c r="AE377" i="25"/>
  <c r="AK377" i="25" s="1"/>
  <c r="AE392" i="25"/>
  <c r="AK392" i="25" s="1"/>
  <c r="AE211" i="25"/>
  <c r="AK211" i="25" s="1"/>
  <c r="AE176" i="25"/>
  <c r="AK176" i="25" s="1"/>
  <c r="AE168" i="25"/>
  <c r="AK168" i="25" s="1"/>
  <c r="AE456" i="25"/>
  <c r="AK456" i="25" s="1"/>
  <c r="AE140" i="25"/>
  <c r="AK140" i="25" s="1"/>
  <c r="AI277" i="25"/>
  <c r="AE200" i="25"/>
  <c r="AK200" i="25" s="1"/>
  <c r="AE60" i="25"/>
  <c r="AK60" i="25" s="1"/>
  <c r="AH273" i="25"/>
  <c r="AH373" i="25"/>
  <c r="AH101" i="25"/>
  <c r="AE326" i="25"/>
  <c r="AK326" i="25" s="1"/>
  <c r="AE270" i="25"/>
  <c r="AK270" i="25" s="1"/>
  <c r="AE81" i="25"/>
  <c r="AK81" i="25" s="1"/>
  <c r="AE179" i="25"/>
  <c r="AK179" i="25" s="1"/>
  <c r="AE104" i="25"/>
  <c r="AK104" i="25" s="1"/>
  <c r="AE588" i="25"/>
  <c r="AK588" i="25" s="1"/>
  <c r="AE202" i="25"/>
  <c r="AK202" i="25" s="1"/>
  <c r="AE132" i="25"/>
  <c r="AK132" i="25" s="1"/>
  <c r="AE4" i="25"/>
  <c r="AK4" i="25" s="1"/>
  <c r="AE405" i="25"/>
  <c r="AK405" i="25" s="1"/>
  <c r="AE511" i="25"/>
  <c r="AK511" i="25" s="1"/>
  <c r="AE14" i="25"/>
  <c r="AK14" i="25" s="1"/>
  <c r="AE101" i="25"/>
  <c r="AK101" i="25" s="1"/>
  <c r="AE494" i="25"/>
  <c r="AK494" i="25" s="1"/>
  <c r="AE491" i="25"/>
  <c r="AK491" i="25" s="1"/>
  <c r="AE433" i="25"/>
  <c r="AK433" i="25" s="1"/>
  <c r="AE241" i="25"/>
  <c r="AK241" i="25" s="1"/>
  <c r="AE32" i="25"/>
  <c r="AK32" i="25" s="1"/>
  <c r="AE508" i="25"/>
  <c r="AK508" i="25" s="1"/>
  <c r="AE559" i="25"/>
  <c r="AK559" i="25" s="1"/>
  <c r="AE518" i="25"/>
  <c r="AK518" i="25" s="1"/>
  <c r="AE285" i="25"/>
  <c r="AK285" i="25" s="1"/>
  <c r="AE173" i="25"/>
  <c r="AK173" i="25" s="1"/>
  <c r="AE230" i="25"/>
  <c r="AK230" i="25" s="1"/>
  <c r="AE84" i="25"/>
  <c r="AK84" i="25" s="1"/>
  <c r="AE336" i="25"/>
  <c r="AK336" i="25" s="1"/>
  <c r="AE152" i="25"/>
  <c r="AK152" i="25" s="1"/>
  <c r="AE356" i="25"/>
  <c r="AK356" i="25" s="1"/>
  <c r="AE40" i="25"/>
  <c r="AK40" i="25" s="1"/>
  <c r="AE460" i="25"/>
  <c r="AK460" i="25" s="1"/>
  <c r="AE360" i="25"/>
  <c r="AK360" i="25" s="1"/>
  <c r="AE184" i="25"/>
  <c r="AK184" i="25" s="1"/>
  <c r="AH10" i="25"/>
  <c r="AH231" i="25"/>
  <c r="AH240" i="25"/>
  <c r="AE54" i="25"/>
  <c r="AK54" i="25" s="1"/>
  <c r="AE373" i="25"/>
  <c r="AK373" i="25" s="1"/>
  <c r="AE181" i="25"/>
  <c r="AK181" i="25" s="1"/>
  <c r="AE541" i="25"/>
  <c r="AK541" i="25" s="1"/>
  <c r="AE538" i="25"/>
  <c r="AK538" i="25" s="1"/>
  <c r="AE142" i="25"/>
  <c r="AK142" i="25" s="1"/>
  <c r="AE288" i="25"/>
  <c r="AK288" i="25" s="1"/>
  <c r="AE45" i="25"/>
  <c r="AK45" i="25" s="1"/>
  <c r="AE414" i="25"/>
  <c r="AK414" i="25" s="1"/>
  <c r="AE290" i="25"/>
  <c r="AK290" i="25" s="1"/>
  <c r="AE319" i="25"/>
  <c r="AK319" i="25" s="1"/>
  <c r="AE343" i="25"/>
  <c r="AK343" i="25" s="1"/>
  <c r="AE355" i="25"/>
  <c r="AK355" i="25" s="1"/>
  <c r="AI177" i="25"/>
  <c r="AH123" i="25"/>
  <c r="AH512" i="25"/>
  <c r="AH295" i="25"/>
  <c r="AH591" i="25"/>
  <c r="AI484" i="25"/>
  <c r="AE124" i="25"/>
  <c r="AK124" i="25" s="1"/>
  <c r="AH79" i="25"/>
  <c r="AH469" i="25"/>
  <c r="AI501" i="25"/>
  <c r="AH292" i="25"/>
  <c r="AH356" i="25"/>
  <c r="AG212" i="25"/>
  <c r="AG586" i="25"/>
  <c r="AH537" i="25"/>
  <c r="AH282" i="25"/>
  <c r="AG512" i="25"/>
  <c r="AG161" i="25"/>
  <c r="AG501" i="25"/>
  <c r="AG300" i="25"/>
  <c r="AG73" i="25"/>
  <c r="AG439" i="25"/>
  <c r="AG69" i="25"/>
  <c r="AG579" i="25"/>
  <c r="AG273" i="25"/>
  <c r="AG188" i="25"/>
  <c r="AH473" i="25"/>
  <c r="AH294" i="25"/>
  <c r="AH300" i="25"/>
  <c r="AH236" i="25"/>
  <c r="AH220" i="25"/>
  <c r="AH188" i="25"/>
  <c r="AH76" i="25"/>
  <c r="AH28" i="25"/>
  <c r="AH518" i="25"/>
  <c r="AH363" i="25"/>
  <c r="AH263" i="25"/>
  <c r="AH135" i="25"/>
  <c r="AH596" i="25"/>
  <c r="AH501" i="25"/>
  <c r="AH283" i="25"/>
  <c r="AH35" i="25"/>
  <c r="AH41" i="25"/>
  <c r="AG460" i="25"/>
  <c r="AH441" i="25"/>
  <c r="AH14" i="25"/>
  <c r="AH504" i="25"/>
  <c r="AG488" i="25"/>
  <c r="AG518" i="25"/>
  <c r="AG441" i="25"/>
  <c r="AH73" i="25"/>
  <c r="AH398" i="25"/>
  <c r="AH54" i="25"/>
  <c r="AG536" i="25"/>
  <c r="AG80" i="25"/>
  <c r="AG576" i="25"/>
  <c r="AG502" i="25"/>
  <c r="AG121" i="25"/>
  <c r="AG504" i="25"/>
  <c r="AG66" i="25"/>
  <c r="AG475" i="25"/>
  <c r="AH121" i="25"/>
  <c r="AH248" i="25"/>
  <c r="AH152" i="25"/>
  <c r="AH88" i="25"/>
  <c r="AH502" i="25"/>
  <c r="AH431" i="25"/>
  <c r="AH567" i="25"/>
  <c r="AH115" i="25"/>
  <c r="AH34" i="25"/>
  <c r="AI504" i="25"/>
  <c r="AG571" i="25"/>
  <c r="AG303" i="25"/>
  <c r="AG542" i="25"/>
  <c r="AG275" i="25"/>
  <c r="AH410" i="25"/>
  <c r="AG276" i="25"/>
  <c r="AG537" i="25"/>
  <c r="AG580" i="25"/>
  <c r="AG575" i="25"/>
  <c r="AG554" i="25"/>
  <c r="AG444" i="25"/>
  <c r="AG85" i="25"/>
  <c r="AG20" i="25"/>
  <c r="AH576" i="25"/>
  <c r="AG547" i="25"/>
  <c r="AG301" i="25"/>
  <c r="AH217" i="25"/>
  <c r="AH579" i="25"/>
  <c r="AH212" i="25"/>
  <c r="AH100" i="25"/>
  <c r="AH36" i="25"/>
  <c r="AH20" i="25"/>
  <c r="AH81" i="25"/>
  <c r="AH509" i="25"/>
  <c r="AH539" i="25"/>
  <c r="AH252" i="25"/>
  <c r="AH475" i="25"/>
  <c r="AH195" i="25"/>
  <c r="AH547" i="25"/>
  <c r="AG578" i="25"/>
  <c r="AG28" i="25"/>
  <c r="AG70" i="25"/>
  <c r="AG387" i="25"/>
  <c r="AG307" i="25"/>
  <c r="AG31" i="25"/>
  <c r="AG163" i="25"/>
  <c r="AH442" i="25"/>
  <c r="AH536" i="25"/>
  <c r="AG342" i="25"/>
  <c r="AG555" i="25"/>
  <c r="AG278" i="25"/>
  <c r="AG448" i="25"/>
  <c r="AG452" i="25"/>
  <c r="AG13" i="25"/>
  <c r="AG567" i="25"/>
  <c r="AG364" i="25"/>
  <c r="AG16" i="25"/>
  <c r="AG362" i="25"/>
  <c r="AH563" i="25"/>
  <c r="AH192" i="25"/>
  <c r="AH80" i="25"/>
  <c r="AH267" i="25"/>
  <c r="AH82" i="25"/>
  <c r="AH448" i="25"/>
  <c r="AH586" i="25"/>
  <c r="AH580" i="25"/>
  <c r="AI365" i="25"/>
  <c r="AD565" i="25"/>
  <c r="AI565" i="25" s="1"/>
  <c r="AD337" i="25"/>
  <c r="AI337" i="25" s="1"/>
  <c r="AD345" i="25"/>
  <c r="AI345" i="25" s="1"/>
  <c r="AI211" i="25"/>
  <c r="AI120" i="25"/>
  <c r="AI370" i="25"/>
  <c r="AI406" i="25"/>
  <c r="AD324" i="25"/>
  <c r="AI324" i="25" s="1"/>
  <c r="AI32" i="25"/>
  <c r="AI479" i="25"/>
  <c r="AI88" i="25"/>
  <c r="AS32" i="25"/>
  <c r="AM32" i="25"/>
  <c r="AM235" i="25"/>
  <c r="AO235" i="25" s="1"/>
  <c r="AS235" i="25"/>
  <c r="AM114" i="25"/>
  <c r="AO114" i="25" s="1"/>
  <c r="AS114" i="25"/>
  <c r="AM122" i="25"/>
  <c r="AO122" i="25" s="1"/>
  <c r="AS122" i="25"/>
  <c r="AM94" i="25"/>
  <c r="AO94" i="25" s="1"/>
  <c r="AS94" i="25"/>
  <c r="AS60" i="25"/>
  <c r="AM60" i="25"/>
  <c r="AO60" i="25" s="1"/>
  <c r="AM170" i="25"/>
  <c r="AO170" i="25" s="1"/>
  <c r="AS170" i="25"/>
  <c r="AS333" i="25"/>
  <c r="AM333" i="25"/>
  <c r="AO333" i="25" s="1"/>
  <c r="AM183" i="25"/>
  <c r="AO183" i="25" s="1"/>
  <c r="AS183" i="25"/>
  <c r="AS24" i="25"/>
  <c r="AM24" i="25"/>
  <c r="AO24" i="25" s="1"/>
  <c r="AM279" i="25"/>
  <c r="AO279" i="25" s="1"/>
  <c r="AS279" i="25"/>
  <c r="AM239" i="25"/>
  <c r="AO239" i="25" s="1"/>
  <c r="AS239" i="25"/>
  <c r="AM7" i="25"/>
  <c r="AO7" i="25" s="1"/>
  <c r="AS7" i="25"/>
  <c r="AS176" i="25"/>
  <c r="AM176" i="25"/>
  <c r="AO176" i="25" s="1"/>
  <c r="AM565" i="25"/>
  <c r="AS565" i="25"/>
  <c r="AM27" i="25"/>
  <c r="AO27" i="25" s="1"/>
  <c r="AS27" i="25"/>
  <c r="AM523" i="25"/>
  <c r="AO523" i="25" s="1"/>
  <c r="AS523" i="25"/>
  <c r="AI181" i="25"/>
  <c r="AI180" i="25"/>
  <c r="AM433" i="25"/>
  <c r="AS433" i="25"/>
  <c r="AM425" i="25"/>
  <c r="AS425" i="25"/>
  <c r="AS117" i="25"/>
  <c r="AM117" i="25"/>
  <c r="AO117" i="25" s="1"/>
  <c r="AM202" i="25"/>
  <c r="AO202" i="25" s="1"/>
  <c r="AS202" i="25"/>
  <c r="AM287" i="25"/>
  <c r="AO287" i="25" s="1"/>
  <c r="AS287" i="25"/>
  <c r="AS120" i="25"/>
  <c r="AM120" i="25"/>
  <c r="AO120" i="25" s="1"/>
  <c r="AM370" i="25"/>
  <c r="AO370" i="25" s="1"/>
  <c r="AS370" i="25"/>
  <c r="AS104" i="25"/>
  <c r="AM104" i="25"/>
  <c r="AO104" i="25" s="1"/>
  <c r="AI594" i="25"/>
  <c r="AS193" i="25"/>
  <c r="AM193" i="25"/>
  <c r="AM196" i="25"/>
  <c r="AO196" i="25" s="1"/>
  <c r="AS196" i="25"/>
  <c r="AH493" i="25"/>
  <c r="AH229" i="25"/>
  <c r="AM426" i="25"/>
  <c r="AO426" i="25" s="1"/>
  <c r="AS426" i="25"/>
  <c r="AS128" i="25"/>
  <c r="AM128" i="25"/>
  <c r="AO128" i="25" s="1"/>
  <c r="AS253" i="25"/>
  <c r="AM253" i="25"/>
  <c r="AO253" i="25" s="1"/>
  <c r="AI252" i="25"/>
  <c r="AM232" i="25"/>
  <c r="AQ232" i="25" s="1"/>
  <c r="AS232" i="25"/>
  <c r="AM325" i="25"/>
  <c r="AO325" i="25" s="1"/>
  <c r="AS325" i="25"/>
  <c r="AM338" i="25"/>
  <c r="AO338" i="25" s="1"/>
  <c r="AS338" i="25"/>
  <c r="AI327" i="25"/>
  <c r="AM414" i="25"/>
  <c r="AO414" i="25" s="1"/>
  <c r="AS414" i="25"/>
  <c r="AM304" i="25"/>
  <c r="AO304" i="25" s="1"/>
  <c r="AS304" i="25"/>
  <c r="AI29" i="25"/>
  <c r="AD428" i="25"/>
  <c r="AI428" i="25" s="1"/>
  <c r="AD361" i="25"/>
  <c r="AI361" i="25" s="1"/>
  <c r="AI162" i="25"/>
  <c r="AD585" i="25"/>
  <c r="AI585" i="25" s="1"/>
  <c r="AI404" i="25"/>
  <c r="AI157" i="25"/>
  <c r="AI385" i="25"/>
  <c r="AI280" i="25"/>
  <c r="AI248" i="25"/>
  <c r="AI259" i="25"/>
  <c r="AM218" i="25"/>
  <c r="AO218" i="25" s="1"/>
  <c r="AS218" i="25"/>
  <c r="AM383" i="25"/>
  <c r="AS383" i="25"/>
  <c r="AS265" i="25"/>
  <c r="AM265" i="25"/>
  <c r="AS261" i="25"/>
  <c r="AM261" i="25"/>
  <c r="AO261" i="25" s="1"/>
  <c r="AS393" i="25"/>
  <c r="AS476" i="25"/>
  <c r="AM271" i="25"/>
  <c r="AO271" i="25" s="1"/>
  <c r="AS271" i="25"/>
  <c r="AM251" i="25"/>
  <c r="AO251" i="25" s="1"/>
  <c r="AS251" i="25"/>
  <c r="AS156" i="25"/>
  <c r="AM156" i="25"/>
  <c r="AO156" i="25" s="1"/>
  <c r="AI281" i="25"/>
  <c r="AM359" i="25"/>
  <c r="AO359" i="25" s="1"/>
  <c r="AS359" i="25"/>
  <c r="AM243" i="25"/>
  <c r="AO243" i="25" s="1"/>
  <c r="AS243" i="25"/>
  <c r="AM340" i="25"/>
  <c r="AS340" i="25"/>
  <c r="AM272" i="25"/>
  <c r="AO272" i="25" s="1"/>
  <c r="AS272" i="25"/>
  <c r="AS68" i="25"/>
  <c r="AM68" i="25"/>
  <c r="AS164" i="25"/>
  <c r="AM164" i="25"/>
  <c r="AO164" i="25" s="1"/>
  <c r="AM496" i="25"/>
  <c r="AS496" i="25"/>
  <c r="AM42" i="25"/>
  <c r="AO42" i="25" s="1"/>
  <c r="AS42" i="25"/>
  <c r="AM564" i="25"/>
  <c r="AS564" i="25"/>
  <c r="AM519" i="25"/>
  <c r="AO519" i="25" s="1"/>
  <c r="AS519" i="25"/>
  <c r="AS269" i="25"/>
  <c r="AM269" i="25"/>
  <c r="AI292" i="25"/>
  <c r="AM244" i="25"/>
  <c r="AS244" i="25"/>
  <c r="AM481" i="25"/>
  <c r="AS481" i="25"/>
  <c r="AM417" i="25"/>
  <c r="AS417" i="25"/>
  <c r="AM456" i="25"/>
  <c r="AS456" i="25"/>
  <c r="AM6" i="25"/>
  <c r="AO6" i="25" s="1"/>
  <c r="AS6" i="25"/>
  <c r="AI372" i="25"/>
  <c r="AI570" i="25"/>
  <c r="AI108" i="25"/>
  <c r="AI140" i="25"/>
  <c r="AI192" i="25"/>
  <c r="AI109" i="25"/>
  <c r="AI100" i="25"/>
  <c r="AI348" i="25"/>
  <c r="AM585" i="25"/>
  <c r="AO585" i="25" s="1"/>
  <c r="AS585" i="25"/>
  <c r="AM147" i="25"/>
  <c r="AO147" i="25" s="1"/>
  <c r="AS147" i="25"/>
  <c r="AI469" i="25"/>
  <c r="AI40" i="25"/>
  <c r="AD528" i="25"/>
  <c r="AI528" i="25" s="1"/>
  <c r="AD193" i="25"/>
  <c r="AI193" i="25" s="1"/>
  <c r="AD524" i="25"/>
  <c r="AI524" i="25" s="1"/>
  <c r="AI433" i="25"/>
  <c r="AD213" i="25"/>
  <c r="AI213" i="25" s="1"/>
  <c r="AR202" i="25"/>
  <c r="AI413" i="25"/>
  <c r="AI196" i="25"/>
  <c r="AI389" i="25"/>
  <c r="AI508" i="25"/>
  <c r="AI516" i="25"/>
  <c r="AI160" i="25"/>
  <c r="AI416" i="25"/>
  <c r="AI48" i="25"/>
  <c r="AI223" i="25"/>
  <c r="AI236" i="25"/>
  <c r="AI121" i="25"/>
  <c r="AI212" i="25"/>
  <c r="AI329" i="25"/>
  <c r="AI580" i="25"/>
  <c r="AM434" i="25"/>
  <c r="AO434" i="25" s="1"/>
  <c r="AS434" i="25"/>
  <c r="AI300" i="25"/>
  <c r="AI307" i="25"/>
  <c r="AS21" i="25"/>
  <c r="AM21" i="25"/>
  <c r="AO21" i="25" s="1"/>
  <c r="AM447" i="25"/>
  <c r="AS447" i="25"/>
  <c r="AM153" i="25"/>
  <c r="AO153" i="25" s="1"/>
  <c r="AS153" i="25"/>
  <c r="AM194" i="25"/>
  <c r="AO194" i="25" s="1"/>
  <c r="AS194" i="25"/>
  <c r="AM179" i="25"/>
  <c r="AO179" i="25" s="1"/>
  <c r="AS179" i="25"/>
  <c r="AM242" i="25"/>
  <c r="AO242" i="25" s="1"/>
  <c r="AS242" i="25"/>
  <c r="AM247" i="25"/>
  <c r="AO247" i="25" s="1"/>
  <c r="AS247" i="25"/>
  <c r="AS64" i="25"/>
  <c r="AM64" i="25"/>
  <c r="AO64" i="25" s="1"/>
  <c r="AM241" i="25"/>
  <c r="AO241" i="25" s="1"/>
  <c r="AS241" i="25"/>
  <c r="AM427" i="25"/>
  <c r="AO427" i="25" s="1"/>
  <c r="AS427" i="25"/>
  <c r="AM67" i="25"/>
  <c r="AO67" i="25" s="1"/>
  <c r="AS67" i="25"/>
  <c r="AM492" i="25"/>
  <c r="AO492" i="25" s="1"/>
  <c r="AS492" i="25"/>
  <c r="AM131" i="25"/>
  <c r="AO131" i="25" s="1"/>
  <c r="AS131" i="25"/>
  <c r="AM428" i="25"/>
  <c r="AO428" i="25" s="1"/>
  <c r="AS428" i="25"/>
  <c r="AM480" i="25"/>
  <c r="AS480" i="25"/>
  <c r="AS341" i="25"/>
  <c r="AM341" i="25"/>
  <c r="AS361" i="25"/>
  <c r="AM361" i="25"/>
  <c r="AM142" i="25"/>
  <c r="AO142" i="25" s="1"/>
  <c r="AS142" i="25"/>
  <c r="AM154" i="25"/>
  <c r="AO154" i="25" s="1"/>
  <c r="AS154" i="25"/>
  <c r="AM587" i="25"/>
  <c r="AO587" i="25" s="1"/>
  <c r="AS587" i="25"/>
  <c r="AS213" i="25"/>
  <c r="AM213" i="25"/>
  <c r="AM57" i="25"/>
  <c r="AO57" i="25" s="1"/>
  <c r="AS57" i="25"/>
  <c r="AS345" i="25"/>
  <c r="AM345" i="25"/>
  <c r="AM63" i="25"/>
  <c r="AO63" i="25" s="1"/>
  <c r="AS63" i="25"/>
  <c r="AM74" i="25"/>
  <c r="AO74" i="25" s="1"/>
  <c r="AS74" i="25"/>
  <c r="AS317" i="25"/>
  <c r="AM317" i="25"/>
  <c r="AM39" i="25"/>
  <c r="AO39" i="25" s="1"/>
  <c r="AS39" i="25"/>
  <c r="AM219" i="25"/>
  <c r="AO219" i="25" s="1"/>
  <c r="AS219" i="25"/>
  <c r="AI400" i="25"/>
  <c r="AM211" i="25"/>
  <c r="AS211" i="25"/>
  <c r="AM199" i="25"/>
  <c r="AO199" i="25" s="1"/>
  <c r="AS199" i="25"/>
  <c r="AM209" i="25"/>
  <c r="AS209" i="25"/>
  <c r="AM521" i="25"/>
  <c r="AQ521" i="25" s="1"/>
  <c r="AS521" i="25"/>
  <c r="AM310" i="25"/>
  <c r="AS310" i="25"/>
  <c r="AI230" i="25"/>
  <c r="AM528" i="25"/>
  <c r="AS528" i="25"/>
  <c r="AI62" i="25"/>
  <c r="AI363" i="25"/>
  <c r="AH277" i="25"/>
  <c r="AM162" i="25"/>
  <c r="AS162" i="25"/>
  <c r="AI417" i="25"/>
  <c r="AI79" i="25"/>
  <c r="AM61" i="25"/>
  <c r="AS61" i="25"/>
  <c r="AM335" i="25"/>
  <c r="AO335" i="25" s="1"/>
  <c r="AS335" i="25"/>
  <c r="AM130" i="25"/>
  <c r="AS130" i="25"/>
  <c r="AI128" i="25"/>
  <c r="AI99" i="25"/>
  <c r="AM334" i="25"/>
  <c r="AS334" i="25"/>
  <c r="AM51" i="25"/>
  <c r="AO51" i="25" s="1"/>
  <c r="AS51" i="25"/>
  <c r="AI225" i="25"/>
  <c r="AI325" i="25"/>
  <c r="AS48" i="25"/>
  <c r="AM48" i="25"/>
  <c r="AO48" i="25" s="1"/>
  <c r="AI304" i="25"/>
  <c r="AI424" i="25"/>
  <c r="AI529" i="25"/>
  <c r="AD332" i="25"/>
  <c r="AI332" i="25" s="1"/>
  <c r="AI205" i="25"/>
  <c r="AI451" i="25"/>
  <c r="AI457" i="25"/>
  <c r="AI449" i="25"/>
  <c r="AI383" i="25"/>
  <c r="AM214" i="25"/>
  <c r="AO214" i="25" s="1"/>
  <c r="AS214" i="25"/>
  <c r="AM86" i="25"/>
  <c r="AO86" i="25" s="1"/>
  <c r="AS86" i="25"/>
  <c r="AI575" i="25"/>
  <c r="AM420" i="25"/>
  <c r="AO420" i="25" s="1"/>
  <c r="AS420" i="25"/>
  <c r="AM516" i="25"/>
  <c r="AO516" i="25" s="1"/>
  <c r="AS516" i="25"/>
  <c r="AM23" i="25"/>
  <c r="AO23" i="25" s="1"/>
  <c r="AS23" i="25"/>
  <c r="AM22" i="25"/>
  <c r="AO22" i="25" s="1"/>
  <c r="AS22" i="25"/>
  <c r="AI36" i="25"/>
  <c r="AM407" i="25"/>
  <c r="AO407" i="25" s="1"/>
  <c r="AS407" i="25"/>
  <c r="AS421" i="25"/>
  <c r="AM421" i="25"/>
  <c r="AM143" i="25"/>
  <c r="AO143" i="25" s="1"/>
  <c r="AS143" i="25"/>
  <c r="AM246" i="25"/>
  <c r="AO246" i="25" s="1"/>
  <c r="AS246" i="25"/>
  <c r="AM592" i="25"/>
  <c r="AQ592" i="25" s="1"/>
  <c r="AS592" i="25"/>
  <c r="AS369" i="25"/>
  <c r="AM369" i="25"/>
  <c r="AQ369" i="25" s="1"/>
  <c r="AI452" i="25"/>
  <c r="AS112" i="25"/>
  <c r="AM112" i="25"/>
  <c r="AO112" i="25" s="1"/>
  <c r="AS136" i="25"/>
  <c r="AM136" i="25"/>
  <c r="AO136" i="25" s="1"/>
  <c r="AS145" i="25"/>
  <c r="AM145" i="25"/>
  <c r="AS245" i="25"/>
  <c r="AM245" i="25"/>
  <c r="AQ245" i="25" s="1"/>
  <c r="AM167" i="25"/>
  <c r="AO167" i="25" s="1"/>
  <c r="AS167" i="25"/>
  <c r="AM155" i="25"/>
  <c r="AS155" i="25"/>
  <c r="AM566" i="25"/>
  <c r="AO566" i="25" s="1"/>
  <c r="AS566" i="25"/>
  <c r="AM422" i="25"/>
  <c r="AO422" i="25" s="1"/>
  <c r="AS422" i="25"/>
  <c r="AI384" i="25"/>
  <c r="AM19" i="25"/>
  <c r="AS19" i="25"/>
  <c r="AI38" i="25"/>
  <c r="AM376" i="25"/>
  <c r="AO376" i="25" s="1"/>
  <c r="AS376" i="25"/>
  <c r="AM186" i="25"/>
  <c r="AO186" i="25" s="1"/>
  <c r="AS186" i="25"/>
  <c r="AM339" i="25"/>
  <c r="AO339" i="25" s="1"/>
  <c r="AS339" i="25"/>
  <c r="AS224" i="25"/>
  <c r="AM224" i="25"/>
  <c r="AI558" i="25"/>
  <c r="AM98" i="25"/>
  <c r="AO98" i="25" s="1"/>
  <c r="AS98" i="25"/>
  <c r="AM71" i="25"/>
  <c r="AO71" i="25" s="1"/>
  <c r="AS71" i="25"/>
  <c r="AM203" i="25"/>
  <c r="AO203" i="25" s="1"/>
  <c r="AS203" i="25"/>
  <c r="AM526" i="25"/>
  <c r="AS526" i="25"/>
  <c r="AI471" i="25"/>
  <c r="AI289" i="25"/>
  <c r="AM223" i="25"/>
  <c r="AO223" i="25" s="1"/>
  <c r="AS223" i="25"/>
  <c r="AS40" i="25"/>
  <c r="AM40" i="25"/>
  <c r="AO40" i="25" s="1"/>
  <c r="AR304" i="25"/>
  <c r="AD531" i="25"/>
  <c r="AI531" i="25" s="1"/>
  <c r="AD71" i="25"/>
  <c r="AI71" i="25" s="1"/>
  <c r="AL94" i="25"/>
  <c r="AN94" i="25" s="1"/>
  <c r="AO418" i="25"/>
  <c r="AO162" i="25"/>
  <c r="AO316" i="25"/>
  <c r="AO477" i="25"/>
  <c r="AO182" i="25"/>
  <c r="AO309" i="25"/>
  <c r="AO340" i="25"/>
  <c r="AO141" i="25"/>
  <c r="AO232" i="25"/>
  <c r="AO184" i="25"/>
  <c r="AR120" i="25"/>
  <c r="AR287" i="25"/>
  <c r="AL6" i="25"/>
  <c r="AN6" i="25" s="1"/>
  <c r="AL147" i="25"/>
  <c r="AN147" i="25" s="1"/>
  <c r="AL523" i="25"/>
  <c r="AN523" i="25" s="1"/>
  <c r="AL482" i="25"/>
  <c r="AN482" i="25" s="1"/>
  <c r="AL27" i="25"/>
  <c r="AN27" i="25" s="1"/>
  <c r="AD447" i="25"/>
  <c r="AI447" i="25" s="1"/>
  <c r="AE287" i="25"/>
  <c r="AK287" i="25" s="1"/>
  <c r="AW132" i="7"/>
  <c r="AL53" i="25"/>
  <c r="AN53" i="25" s="1"/>
  <c r="AJ294" i="7"/>
  <c r="AS405" i="7"/>
  <c r="AY405" i="7" s="1"/>
  <c r="AJ62" i="7"/>
  <c r="AW540" i="7"/>
  <c r="AS370" i="7"/>
  <c r="AY370" i="7" s="1"/>
  <c r="AW585" i="7"/>
  <c r="AW35" i="7"/>
  <c r="AW541" i="7"/>
  <c r="AW467" i="7"/>
  <c r="AW471" i="7"/>
  <c r="AW446" i="7"/>
  <c r="AW349" i="7"/>
  <c r="AW243" i="7"/>
  <c r="AW341" i="7"/>
  <c r="AW233" i="7"/>
  <c r="AW330" i="7"/>
  <c r="AW346" i="7"/>
  <c r="AW79" i="7"/>
  <c r="AW431" i="7"/>
  <c r="AW85" i="7"/>
  <c r="AW21" i="7"/>
  <c r="AW544" i="7"/>
  <c r="AS324" i="7"/>
  <c r="AY324" i="7" s="1"/>
  <c r="AS299" i="7"/>
  <c r="AY299" i="7" s="1"/>
  <c r="AJ528" i="7"/>
  <c r="AJ131" i="7"/>
  <c r="AS506" i="7"/>
  <c r="AY506" i="7" s="1"/>
  <c r="AJ540" i="7"/>
  <c r="AS389" i="7"/>
  <c r="AY389" i="7" s="1"/>
  <c r="AW306" i="7"/>
  <c r="AW11" i="7"/>
  <c r="AW515" i="7"/>
  <c r="AW283" i="7"/>
  <c r="AW297" i="7"/>
  <c r="AW422" i="7"/>
  <c r="AW570" i="7"/>
  <c r="AW519" i="7"/>
  <c r="AW596" i="7"/>
  <c r="AW507" i="7"/>
  <c r="AW492" i="7"/>
  <c r="AW213" i="7"/>
  <c r="AW331" i="7"/>
  <c r="AW100" i="7"/>
  <c r="AW106" i="7"/>
  <c r="AW82" i="7"/>
  <c r="AW294" i="7"/>
  <c r="AW510" i="7"/>
  <c r="AS79" i="7"/>
  <c r="AY79" i="7" s="1"/>
  <c r="AS318" i="7"/>
  <c r="AY318" i="7" s="1"/>
  <c r="AS449" i="7"/>
  <c r="AY449" i="7" s="1"/>
  <c r="AT352" i="25"/>
  <c r="AL352" i="25"/>
  <c r="AN352" i="25" s="1"/>
  <c r="AT3" i="25"/>
  <c r="AL3" i="25"/>
  <c r="AN3" i="25" s="1"/>
  <c r="AT114" i="25"/>
  <c r="AL114" i="25"/>
  <c r="AN114" i="25" s="1"/>
  <c r="AT128" i="25"/>
  <c r="AL128" i="25"/>
  <c r="AN128" i="25" s="1"/>
  <c r="AT96" i="25"/>
  <c r="AL96" i="25"/>
  <c r="AN96" i="25" s="1"/>
  <c r="AT359" i="25"/>
  <c r="AL359" i="25"/>
  <c r="AN359" i="25" s="1"/>
  <c r="AT339" i="25"/>
  <c r="AL339" i="25"/>
  <c r="AN339" i="25" s="1"/>
  <c r="AT179" i="25"/>
  <c r="AL179" i="25"/>
  <c r="AN179" i="25" s="1"/>
  <c r="AT87" i="25"/>
  <c r="AL87" i="25"/>
  <c r="AN87" i="25" s="1"/>
  <c r="AT521" i="25"/>
  <c r="AL521" i="25"/>
  <c r="AN521" i="25" s="1"/>
  <c r="AT261" i="25"/>
  <c r="AL261" i="25"/>
  <c r="AN261" i="25" s="1"/>
  <c r="AT89" i="25"/>
  <c r="AL89" i="25"/>
  <c r="AN89" i="25" s="1"/>
  <c r="AT272" i="25"/>
  <c r="AL272" i="25"/>
  <c r="AN272" i="25" s="1"/>
  <c r="AT228" i="25"/>
  <c r="AL228" i="25"/>
  <c r="AN228" i="25" s="1"/>
  <c r="AT92" i="25"/>
  <c r="AL92" i="25"/>
  <c r="AN92" i="25" s="1"/>
  <c r="AT60" i="25"/>
  <c r="AL60" i="25"/>
  <c r="AN60" i="25" s="1"/>
  <c r="AT407" i="25"/>
  <c r="AL407" i="25"/>
  <c r="AN407" i="25" s="1"/>
  <c r="AT247" i="25"/>
  <c r="AL247" i="25"/>
  <c r="AN247" i="25" s="1"/>
  <c r="AT219" i="25"/>
  <c r="AL219" i="25"/>
  <c r="AN219" i="25" s="1"/>
  <c r="AT159" i="25"/>
  <c r="AL159" i="25"/>
  <c r="AN159" i="25" s="1"/>
  <c r="AT7" i="25"/>
  <c r="AL7" i="25"/>
  <c r="AN7" i="25" s="1"/>
  <c r="AT434" i="25"/>
  <c r="AL434" i="25"/>
  <c r="AN434" i="25" s="1"/>
  <c r="AT370" i="25"/>
  <c r="AL370" i="25"/>
  <c r="AN370" i="25" s="1"/>
  <c r="AT186" i="25"/>
  <c r="AL186" i="25"/>
  <c r="AN186" i="25" s="1"/>
  <c r="AT130" i="25"/>
  <c r="AL130" i="25"/>
  <c r="AN130" i="25" s="1"/>
  <c r="AT86" i="25"/>
  <c r="AL86" i="25"/>
  <c r="AN86" i="25" s="1"/>
  <c r="AW324" i="7"/>
  <c r="AW62" i="7"/>
  <c r="AW412" i="7"/>
  <c r="AW44" i="7"/>
  <c r="AW268" i="7"/>
  <c r="AW133" i="7"/>
  <c r="AW210" i="7"/>
  <c r="AW119" i="7"/>
  <c r="AW51" i="7"/>
  <c r="AW451" i="7"/>
  <c r="AW127" i="7"/>
  <c r="AW409" i="7"/>
  <c r="AW221" i="7"/>
  <c r="AW177" i="7"/>
  <c r="AW521" i="7"/>
  <c r="AW173" i="7"/>
  <c r="AW399" i="7"/>
  <c r="AW167" i="7"/>
  <c r="AW29" i="7"/>
  <c r="AW305" i="7"/>
  <c r="AW470" i="7"/>
  <c r="AW405" i="7"/>
  <c r="AW327" i="7"/>
  <c r="AS277" i="7"/>
  <c r="AJ427" i="7"/>
  <c r="AL427" i="25"/>
  <c r="AN427" i="25" s="1"/>
  <c r="AL241" i="25"/>
  <c r="AN241" i="25" s="1"/>
  <c r="AO53" i="25"/>
  <c r="AO3" i="25"/>
  <c r="AO310" i="25"/>
  <c r="AO46" i="25"/>
  <c r="AO130" i="25"/>
  <c r="AO360" i="25"/>
  <c r="AO200" i="25"/>
  <c r="AO215" i="25"/>
  <c r="AO264" i="25"/>
  <c r="AO159" i="25"/>
  <c r="AO89" i="25"/>
  <c r="AO228" i="25"/>
  <c r="AO4" i="25"/>
  <c r="AO201" i="25"/>
  <c r="AO257" i="25"/>
  <c r="AO111" i="25"/>
  <c r="AL251" i="25"/>
  <c r="AN251" i="25" s="1"/>
  <c r="AL257" i="25"/>
  <c r="AN257" i="25" s="1"/>
  <c r="AL215" i="25"/>
  <c r="AN215" i="25" s="1"/>
  <c r="AL200" i="25"/>
  <c r="AL117" i="25"/>
  <c r="AN117" i="25" s="1"/>
  <c r="AO265" i="25"/>
  <c r="AO132" i="25"/>
  <c r="AO47" i="25"/>
  <c r="AO211" i="25"/>
  <c r="AO478" i="25"/>
  <c r="AO187" i="25"/>
  <c r="AO268" i="25"/>
  <c r="AO353" i="25"/>
  <c r="AO559" i="25"/>
  <c r="AO32" i="25"/>
  <c r="AO334" i="25"/>
  <c r="AO75" i="25"/>
  <c r="AO483" i="25"/>
  <c r="AO172" i="25"/>
  <c r="AL242" i="25"/>
  <c r="AN242" i="25" s="1"/>
  <c r="AL310" i="25"/>
  <c r="AN310" i="25" s="1"/>
  <c r="AL369" i="25"/>
  <c r="AN369" i="25" s="1"/>
  <c r="AL64" i="25"/>
  <c r="AN64" i="25" s="1"/>
  <c r="AL199" i="25"/>
  <c r="AN199" i="25" s="1"/>
  <c r="AL67" i="25"/>
  <c r="AN67" i="25" s="1"/>
  <c r="AL422" i="25"/>
  <c r="AN422" i="25" s="1"/>
  <c r="AL170" i="25"/>
  <c r="AN170" i="25" s="1"/>
  <c r="AL377" i="25"/>
  <c r="AL360" i="25"/>
  <c r="AN360" i="25" s="1"/>
  <c r="AL235" i="25"/>
  <c r="AN235" i="25" s="1"/>
  <c r="AL214" i="25"/>
  <c r="AN214" i="25" s="1"/>
  <c r="AL201" i="25"/>
  <c r="AN201" i="25" s="1"/>
  <c r="AL264" i="25"/>
  <c r="AN264" i="25" s="1"/>
  <c r="AL492" i="25"/>
  <c r="AN492" i="25" s="1"/>
  <c r="AL131" i="25"/>
  <c r="AL304" i="25"/>
  <c r="AN304" i="25" s="1"/>
  <c r="AL426" i="25"/>
  <c r="AL585" i="25"/>
  <c r="AL353" i="25"/>
  <c r="AL265" i="25"/>
  <c r="AN265" i="25" s="1"/>
  <c r="AL153" i="25"/>
  <c r="AN153" i="25" s="1"/>
  <c r="AL21" i="25"/>
  <c r="AN21" i="25" s="1"/>
  <c r="AL496" i="25"/>
  <c r="AL376" i="25"/>
  <c r="AN376" i="25" s="1"/>
  <c r="AL164" i="25"/>
  <c r="AN164" i="25" s="1"/>
  <c r="AL48" i="25"/>
  <c r="AN48" i="25" s="1"/>
  <c r="AL587" i="25"/>
  <c r="AN587" i="25" s="1"/>
  <c r="AL335" i="25"/>
  <c r="AN335" i="25" s="1"/>
  <c r="AL271" i="25"/>
  <c r="AN271" i="25" s="1"/>
  <c r="AL203" i="25"/>
  <c r="AN203" i="25" s="1"/>
  <c r="AL143" i="25"/>
  <c r="AN143" i="25" s="1"/>
  <c r="AL71" i="25"/>
  <c r="AN71" i="25" s="1"/>
  <c r="AL51" i="25"/>
  <c r="AN51" i="25" s="1"/>
  <c r="AL494" i="25"/>
  <c r="AN494" i="25" s="1"/>
  <c r="AL478" i="25"/>
  <c r="AL418" i="25"/>
  <c r="AN418" i="25" s="1"/>
  <c r="AL218" i="25"/>
  <c r="AN218" i="25" s="1"/>
  <c r="AL142" i="25"/>
  <c r="AL477" i="25"/>
  <c r="AN477" i="25" s="1"/>
  <c r="AL141" i="25"/>
  <c r="AL428" i="25"/>
  <c r="AN428" i="25" s="1"/>
  <c r="AL316" i="25"/>
  <c r="AN316" i="25" s="1"/>
  <c r="AL232" i="25"/>
  <c r="AN232" i="25" s="1"/>
  <c r="AL184" i="25"/>
  <c r="AN184" i="25" s="1"/>
  <c r="AL136" i="25"/>
  <c r="AL40" i="25"/>
  <c r="AN40" i="25" s="1"/>
  <c r="AL519" i="25"/>
  <c r="AL483" i="25"/>
  <c r="AN483" i="25" s="1"/>
  <c r="AL447" i="25"/>
  <c r="AL315" i="25"/>
  <c r="AL243" i="25"/>
  <c r="AL223" i="25"/>
  <c r="AN223" i="25" s="1"/>
  <c r="AL155" i="25"/>
  <c r="AN155" i="25" s="1"/>
  <c r="AL23" i="25"/>
  <c r="AL566" i="25"/>
  <c r="AL246" i="25"/>
  <c r="AN246" i="25" s="1"/>
  <c r="AL182" i="25"/>
  <c r="AN182" i="25" s="1"/>
  <c r="AL42" i="25"/>
  <c r="AL309" i="25"/>
  <c r="AN309" i="25" s="1"/>
  <c r="AL209" i="25"/>
  <c r="AL65" i="25"/>
  <c r="AN65" i="25" s="1"/>
  <c r="AL244" i="25"/>
  <c r="AL172" i="25"/>
  <c r="AL120" i="25"/>
  <c r="AN120" i="25" s="1"/>
  <c r="AL72" i="25"/>
  <c r="AL32" i="25"/>
  <c r="AN32" i="25" s="1"/>
  <c r="AL499" i="25"/>
  <c r="AL383" i="25"/>
  <c r="AN383" i="25" s="1"/>
  <c r="AL287" i="25"/>
  <c r="AL187" i="25"/>
  <c r="AL167" i="25"/>
  <c r="AN167" i="25" s="1"/>
  <c r="AL127" i="25"/>
  <c r="AL75" i="25"/>
  <c r="AN75" i="25" s="1"/>
  <c r="AL47" i="25"/>
  <c r="AL526" i="25"/>
  <c r="AN526" i="25" s="1"/>
  <c r="AL414" i="25"/>
  <c r="AN414" i="25" s="1"/>
  <c r="AL334" i="25"/>
  <c r="AN334" i="25" s="1"/>
  <c r="AL202" i="25"/>
  <c r="AL138" i="25"/>
  <c r="AN138" i="25" s="1"/>
  <c r="AL22" i="25"/>
  <c r="AN22" i="25" s="1"/>
  <c r="AL325" i="25"/>
  <c r="AL253" i="25"/>
  <c r="AL145" i="25"/>
  <c r="AN145" i="25" s="1"/>
  <c r="AL592" i="25"/>
  <c r="AN592" i="25" s="1"/>
  <c r="AL568" i="25"/>
  <c r="AL516" i="25"/>
  <c r="AN516" i="25" s="1"/>
  <c r="AL340" i="25"/>
  <c r="AN340" i="25" s="1"/>
  <c r="AL268" i="25"/>
  <c r="AN268" i="25" s="1"/>
  <c r="AL132" i="25"/>
  <c r="AN132" i="25" s="1"/>
  <c r="AL68" i="25"/>
  <c r="AN68" i="25" s="1"/>
  <c r="AL24" i="25"/>
  <c r="AN24" i="25" s="1"/>
  <c r="AL559" i="25"/>
  <c r="AN559" i="25" s="1"/>
  <c r="AL419" i="25"/>
  <c r="AN419" i="25" s="1"/>
  <c r="AL279" i="25"/>
  <c r="AL239" i="25"/>
  <c r="AN239" i="25" s="1"/>
  <c r="AL211" i="25"/>
  <c r="AN211" i="25" s="1"/>
  <c r="AL39" i="25"/>
  <c r="AN39" i="25" s="1"/>
  <c r="AL19" i="25"/>
  <c r="AN19" i="25" s="1"/>
  <c r="AL194" i="25"/>
  <c r="AL162" i="25"/>
  <c r="AL122" i="25"/>
  <c r="AN122" i="25" s="1"/>
  <c r="AL74" i="25"/>
  <c r="AN74" i="25" s="1"/>
  <c r="AL333" i="25"/>
  <c r="AL312" i="25"/>
  <c r="AL534" i="25"/>
  <c r="AN534" i="25" s="1"/>
  <c r="AL338" i="25"/>
  <c r="AN338" i="25" s="1"/>
  <c r="AL420" i="25"/>
  <c r="AN420" i="25" s="1"/>
  <c r="AL196" i="25"/>
  <c r="AN196" i="25" s="1"/>
  <c r="AL112" i="25"/>
  <c r="AL63" i="25"/>
  <c r="AN63" i="25" s="1"/>
  <c r="AL154" i="25"/>
  <c r="AN154" i="25" s="1"/>
  <c r="AL245" i="25"/>
  <c r="AN245" i="25" s="1"/>
  <c r="AL176" i="25"/>
  <c r="AN176" i="25" s="1"/>
  <c r="AL57" i="25"/>
  <c r="AN57" i="25" s="1"/>
  <c r="AL4" i="25"/>
  <c r="AL183" i="25"/>
  <c r="AN183" i="25" s="1"/>
  <c r="AL98" i="25"/>
  <c r="AL104" i="25"/>
  <c r="AN104" i="25" s="1"/>
  <c r="AL111" i="25"/>
  <c r="AN111" i="25" s="1"/>
  <c r="AT456" i="25"/>
  <c r="AR456" i="25"/>
  <c r="AT480" i="25"/>
  <c r="AR480" i="25"/>
  <c r="AT421" i="25"/>
  <c r="AR421" i="25"/>
  <c r="AT393" i="25"/>
  <c r="AR393" i="25"/>
  <c r="AT564" i="25"/>
  <c r="AR564" i="25"/>
  <c r="AT224" i="25"/>
  <c r="AR224" i="25"/>
  <c r="AT425" i="25"/>
  <c r="AR425" i="25"/>
  <c r="AT565" i="25"/>
  <c r="AR565" i="25"/>
  <c r="AT213" i="25"/>
  <c r="AR213" i="25"/>
  <c r="AT528" i="25"/>
  <c r="AR528" i="25"/>
  <c r="AT481" i="25"/>
  <c r="AR481" i="25"/>
  <c r="AT417" i="25"/>
  <c r="AR417" i="25"/>
  <c r="AT61" i="25"/>
  <c r="AR61" i="25"/>
  <c r="AT341" i="25"/>
  <c r="AR341" i="25"/>
  <c r="AT476" i="25"/>
  <c r="AR476" i="25"/>
  <c r="AT193" i="25"/>
  <c r="AR193" i="25"/>
  <c r="AT433" i="25"/>
  <c r="AR433" i="25"/>
  <c r="AT361" i="25"/>
  <c r="AR361" i="25"/>
  <c r="AT345" i="25"/>
  <c r="AR345" i="25"/>
  <c r="AT317" i="25"/>
  <c r="AR317" i="25"/>
  <c r="AQ4" i="25"/>
  <c r="AQ176" i="25"/>
  <c r="AQ96" i="25"/>
  <c r="AQ534" i="25"/>
  <c r="AQ312" i="25"/>
  <c r="AQ117" i="25"/>
  <c r="AQ352" i="25"/>
  <c r="AQ482" i="25"/>
  <c r="AQ92" i="25"/>
  <c r="AQ60" i="25"/>
  <c r="AQ87" i="25"/>
  <c r="AQ377" i="25"/>
  <c r="AQ142" i="25"/>
  <c r="AQ162" i="25"/>
  <c r="AQ477" i="25"/>
  <c r="AQ310" i="25"/>
  <c r="AQ568" i="25"/>
  <c r="AQ182" i="25"/>
  <c r="AQ309" i="25"/>
  <c r="AQ184" i="25"/>
  <c r="AQ72" i="25"/>
  <c r="AQ24" i="25"/>
  <c r="AQ215" i="25"/>
  <c r="AQ376" i="25"/>
  <c r="AQ65" i="25"/>
  <c r="AP156" i="25" a="1"/>
  <c r="AP156" i="25" s="1"/>
  <c r="AP46" i="25" a="1"/>
  <c r="AP46" i="25" s="1"/>
  <c r="AD3" i="25"/>
  <c r="AI3" i="25" s="1"/>
  <c r="AX447" i="7"/>
  <c r="AX90" i="7"/>
  <c r="AX449" i="7"/>
  <c r="AJ358" i="7"/>
  <c r="AJ378" i="7"/>
  <c r="AJ183" i="7"/>
  <c r="AJ211" i="7"/>
  <c r="AJ156" i="7"/>
  <c r="AJ361" i="7"/>
  <c r="AJ364" i="7"/>
  <c r="AS347" i="7"/>
  <c r="AY347" i="7" s="1"/>
  <c r="AJ71" i="7"/>
  <c r="AJ578" i="7"/>
  <c r="AJ475" i="7"/>
  <c r="AJ470" i="7"/>
  <c r="AS279" i="7"/>
  <c r="AY279" i="7" s="1"/>
  <c r="AS272" i="7"/>
  <c r="AY272" i="7" s="1"/>
  <c r="AS114" i="7"/>
  <c r="AY114" i="7" s="1"/>
  <c r="AS214" i="7"/>
  <c r="AY214" i="7" s="1"/>
  <c r="AJ308" i="7"/>
  <c r="AS142" i="7"/>
  <c r="AY142" i="7" s="1"/>
  <c r="AS329" i="7"/>
  <c r="AY329" i="7" s="1"/>
  <c r="AJ273" i="7"/>
  <c r="AS592" i="7"/>
  <c r="AY592" i="7" s="1"/>
  <c r="AS444" i="7"/>
  <c r="AY444" i="7" s="1"/>
  <c r="AJ344" i="7"/>
  <c r="AS22" i="7"/>
  <c r="AY22" i="7" s="1"/>
  <c r="AJ189" i="7"/>
  <c r="AJ576" i="7"/>
  <c r="AJ343" i="7"/>
  <c r="AJ68" i="7"/>
  <c r="AS232" i="7"/>
  <c r="AY232" i="7" s="1"/>
  <c r="AS188" i="7"/>
  <c r="AY188" i="7" s="1"/>
  <c r="AJ417" i="7"/>
  <c r="AJ50" i="7"/>
  <c r="AJ406" i="7"/>
  <c r="AS229" i="7"/>
  <c r="AY229" i="7" s="1"/>
  <c r="AS230" i="7"/>
  <c r="AY230" i="7" s="1"/>
  <c r="AS481" i="7"/>
  <c r="AY481" i="7" s="1"/>
  <c r="AJ6" i="7"/>
  <c r="AS570" i="7"/>
  <c r="AY570" i="7" s="1"/>
  <c r="AS526" i="7"/>
  <c r="AY526" i="7" s="1"/>
  <c r="AS319" i="7"/>
  <c r="AY319" i="7" s="1"/>
  <c r="AS239" i="7"/>
  <c r="AY239" i="7" s="1"/>
  <c r="AJ594" i="7"/>
  <c r="AS104" i="7"/>
  <c r="AY104" i="7" s="1"/>
  <c r="AX457" i="7"/>
  <c r="AS574" i="7"/>
  <c r="AY574" i="7" s="1"/>
  <c r="AJ574" i="7"/>
  <c r="AS331" i="7"/>
  <c r="AY331" i="7" s="1"/>
  <c r="AJ331" i="7"/>
  <c r="AS218" i="7"/>
  <c r="AY218" i="7" s="1"/>
  <c r="AJ218" i="7"/>
  <c r="AS426" i="7"/>
  <c r="AY426" i="7" s="1"/>
  <c r="AJ426" i="7"/>
  <c r="AS176" i="7"/>
  <c r="AY176" i="7" s="1"/>
  <c r="AJ176" i="7"/>
  <c r="AS541" i="7"/>
  <c r="AY541" i="7" s="1"/>
  <c r="AJ541" i="7"/>
  <c r="AS342" i="7"/>
  <c r="AY342" i="7" s="1"/>
  <c r="AJ342" i="7"/>
  <c r="AS518" i="7"/>
  <c r="AY518" i="7" s="1"/>
  <c r="AJ518" i="7"/>
  <c r="AS404" i="7"/>
  <c r="AY404" i="7" s="1"/>
  <c r="AJ404" i="7"/>
  <c r="AS35" i="7"/>
  <c r="AY35" i="7" s="1"/>
  <c r="AJ35" i="7"/>
  <c r="AS585" i="7"/>
  <c r="AY585" i="7" s="1"/>
  <c r="AJ585" i="7"/>
  <c r="AS556" i="7"/>
  <c r="AY556" i="7" s="1"/>
  <c r="AJ556" i="7"/>
  <c r="AS179" i="7"/>
  <c r="AY179" i="7" s="1"/>
  <c r="AJ179" i="7"/>
  <c r="AS276" i="7"/>
  <c r="AY276" i="7" s="1"/>
  <c r="AJ276" i="7"/>
  <c r="AS359" i="7"/>
  <c r="AY359" i="7" s="1"/>
  <c r="AJ359" i="7"/>
  <c r="AS551" i="7"/>
  <c r="AY551" i="7" s="1"/>
  <c r="AJ551" i="7"/>
  <c r="AS542" i="7"/>
  <c r="AY542" i="7" s="1"/>
  <c r="AJ542" i="7"/>
  <c r="AS34" i="7"/>
  <c r="AY34" i="7" s="1"/>
  <c r="AJ34" i="7"/>
  <c r="AS57" i="7"/>
  <c r="AY57" i="7" s="1"/>
  <c r="AJ134" i="7"/>
  <c r="AS345" i="7"/>
  <c r="AY345" i="7" s="1"/>
  <c r="AS437" i="7"/>
  <c r="AY437" i="7" s="1"/>
  <c r="AS61" i="7"/>
  <c r="AY61" i="7" s="1"/>
  <c r="AJ251" i="7"/>
  <c r="AJ450" i="7"/>
  <c r="AJ271" i="7"/>
  <c r="AS443" i="7"/>
  <c r="AY443" i="7" s="1"/>
  <c r="AJ161" i="7"/>
  <c r="AS433" i="7"/>
  <c r="AY433" i="7" s="1"/>
  <c r="AJ207" i="7"/>
  <c r="AS350" i="7"/>
  <c r="AY350" i="7" s="1"/>
  <c r="AJ350" i="7"/>
  <c r="AS468" i="7"/>
  <c r="AY468" i="7" s="1"/>
  <c r="AJ468" i="7"/>
  <c r="AJ13" i="7"/>
  <c r="AS13" i="7"/>
  <c r="AY13" i="7" s="1"/>
  <c r="AS552" i="7"/>
  <c r="AY552" i="7" s="1"/>
  <c r="AJ552" i="7"/>
  <c r="AJ509" i="7"/>
  <c r="AS509" i="7"/>
  <c r="AY509" i="7" s="1"/>
  <c r="AJ8" i="7"/>
  <c r="AS8" i="7"/>
  <c r="AY8" i="7" s="1"/>
  <c r="AS148" i="7"/>
  <c r="AY148" i="7" s="1"/>
  <c r="AJ148" i="7"/>
  <c r="AS130" i="7"/>
  <c r="AY130" i="7" s="1"/>
  <c r="AJ130" i="7"/>
  <c r="AS558" i="7"/>
  <c r="AY558" i="7" s="1"/>
  <c r="AJ558" i="7"/>
  <c r="AS290" i="7"/>
  <c r="AY290" i="7" s="1"/>
  <c r="AJ290" i="7"/>
  <c r="AS362" i="7"/>
  <c r="AY362" i="7" s="1"/>
  <c r="AJ362" i="7"/>
  <c r="AS194" i="7"/>
  <c r="AY194" i="7" s="1"/>
  <c r="AJ194" i="7"/>
  <c r="AS428" i="7"/>
  <c r="AY428" i="7" s="1"/>
  <c r="AJ428" i="7"/>
  <c r="AJ247" i="7"/>
  <c r="AJ115" i="7"/>
  <c r="AX475" i="7"/>
  <c r="AJ549" i="7"/>
  <c r="AJ199" i="7"/>
  <c r="AJ16" i="7"/>
  <c r="AJ227" i="7"/>
  <c r="AS101" i="7"/>
  <c r="AY101" i="7" s="1"/>
  <c r="AJ42" i="7"/>
  <c r="AJ223" i="7"/>
  <c r="AJ147" i="7"/>
  <c r="AJ81" i="7"/>
  <c r="AJ429" i="7"/>
  <c r="AS226" i="7"/>
  <c r="AY226" i="7" s="1"/>
  <c r="AS562" i="7"/>
  <c r="AY562" i="7" s="1"/>
  <c r="AJ66" i="7"/>
  <c r="AX382" i="7"/>
  <c r="AX368" i="7"/>
  <c r="AJ524" i="7"/>
  <c r="AJ432" i="7"/>
  <c r="AJ313" i="7"/>
  <c r="AJ278" i="7"/>
  <c r="AJ14" i="7"/>
  <c r="AJ195" i="7"/>
  <c r="AJ250" i="7"/>
  <c r="AJ573" i="7"/>
  <c r="AJ469" i="7"/>
  <c r="AS489" i="7"/>
  <c r="AY489" i="7" s="1"/>
  <c r="AJ383" i="7"/>
  <c r="AS217" i="7"/>
  <c r="AY217" i="7" s="1"/>
  <c r="AJ76" i="7"/>
  <c r="AJ500" i="7"/>
  <c r="AS354" i="7"/>
  <c r="AY354" i="7" s="1"/>
  <c r="AS349" i="7"/>
  <c r="AY349" i="7" s="1"/>
  <c r="AS153" i="7"/>
  <c r="AY153" i="7" s="1"/>
  <c r="AS110" i="7"/>
  <c r="AY110" i="7" s="1"/>
  <c r="AS442" i="7"/>
  <c r="AY442" i="7" s="1"/>
  <c r="AS164" i="7"/>
  <c r="AY164" i="7" s="1"/>
  <c r="AS425" i="7"/>
  <c r="AS539" i="7"/>
  <c r="AY539" i="7" s="1"/>
  <c r="AS252" i="7"/>
  <c r="AY252" i="7" s="1"/>
  <c r="AJ192" i="7"/>
  <c r="AJ374" i="7"/>
  <c r="AS369" i="7"/>
  <c r="AY369" i="7" s="1"/>
  <c r="AS64" i="7"/>
  <c r="AY64" i="7" s="1"/>
  <c r="AS525" i="7"/>
  <c r="AY525" i="7" s="1"/>
  <c r="AJ280" i="7"/>
  <c r="AS530" i="7"/>
  <c r="AY530" i="7" s="1"/>
  <c r="AJ144" i="7"/>
  <c r="AS24" i="7"/>
  <c r="AY24" i="7" s="1"/>
  <c r="AJ464" i="7"/>
  <c r="AJ334" i="7"/>
  <c r="AJ82" i="7"/>
  <c r="AJ441" i="7"/>
  <c r="AS235" i="7"/>
  <c r="AY235" i="7" s="1"/>
  <c r="AS584" i="7"/>
  <c r="AY584" i="7" s="1"/>
  <c r="AS157" i="7"/>
  <c r="AY157" i="7" s="1"/>
  <c r="AS473" i="7"/>
  <c r="AY473" i="7" s="1"/>
  <c r="AJ224" i="7"/>
  <c r="AJ83" i="7"/>
  <c r="AJ236" i="7"/>
  <c r="AJ471" i="7"/>
  <c r="AJ457" i="7"/>
  <c r="AJ415" i="7"/>
  <c r="AJ460" i="7"/>
  <c r="AJ581" i="7"/>
  <c r="AJ453" i="7"/>
  <c r="AJ243" i="7"/>
  <c r="AJ586" i="7"/>
  <c r="AJ492" i="7"/>
  <c r="AJ86" i="7"/>
  <c r="AJ28" i="7"/>
  <c r="AJ572" i="7"/>
  <c r="AJ491" i="7"/>
  <c r="AJ591" i="7"/>
  <c r="AJ245" i="7"/>
  <c r="AJ275" i="7"/>
  <c r="AJ19" i="7"/>
  <c r="AJ580" i="7"/>
  <c r="AJ18" i="7"/>
  <c r="AX55" i="7"/>
  <c r="AJ7" i="7"/>
  <c r="AJ123" i="7"/>
  <c r="AJ402" i="7"/>
  <c r="AJ476" i="7"/>
  <c r="AJ332" i="7"/>
  <c r="AJ281" i="7"/>
  <c r="AJ124" i="7"/>
  <c r="AJ267" i="7"/>
  <c r="AJ550" i="7"/>
  <c r="AJ88" i="7"/>
  <c r="AJ393" i="7"/>
  <c r="AJ225" i="7"/>
  <c r="AJ587" i="7"/>
  <c r="AJ27" i="7"/>
  <c r="AJ571" i="7"/>
  <c r="AJ219" i="7"/>
  <c r="AJ555" i="7"/>
  <c r="AJ112" i="7"/>
  <c r="AJ430" i="7"/>
  <c r="AJ70" i="7"/>
  <c r="AJ322" i="7"/>
  <c r="AJ98" i="7"/>
  <c r="AJ202" i="7"/>
  <c r="AJ120" i="7"/>
  <c r="AJ452" i="7"/>
  <c r="AJ282" i="7"/>
  <c r="AJ244" i="7"/>
  <c r="AJ177" i="7"/>
  <c r="AJ160" i="7"/>
  <c r="AJ286" i="7"/>
  <c r="AW258" i="7"/>
  <c r="AW442" i="7"/>
  <c r="AW435" i="7"/>
  <c r="AW45" i="7"/>
  <c r="AW396" i="7"/>
  <c r="AW502" i="7"/>
  <c r="AW488" i="7"/>
  <c r="AW312" i="7"/>
  <c r="AW537" i="7"/>
  <c r="AW530" i="7"/>
  <c r="AW231" i="7"/>
  <c r="AW290" i="7"/>
  <c r="AW120" i="7"/>
  <c r="AW361" i="7"/>
  <c r="AW32" i="7"/>
  <c r="AW223" i="7"/>
  <c r="AW148" i="7"/>
  <c r="AW545" i="7"/>
  <c r="AW569" i="7"/>
  <c r="AW38" i="7"/>
  <c r="AW563" i="7"/>
  <c r="AW575" i="7"/>
  <c r="AW437" i="7"/>
  <c r="AW281" i="7"/>
  <c r="AW256" i="7"/>
  <c r="AW562" i="7"/>
  <c r="AW153" i="7"/>
  <c r="AW246" i="7"/>
  <c r="AW272" i="7"/>
  <c r="AW180" i="7"/>
  <c r="AX527" i="7"/>
  <c r="AF55" i="25"/>
  <c r="G55" i="25"/>
  <c r="H55" i="25" s="1"/>
  <c r="AF237" i="25"/>
  <c r="G237" i="25"/>
  <c r="H237" i="25" s="1"/>
  <c r="AF198" i="25"/>
  <c r="G198" i="25"/>
  <c r="H198" i="25" s="1"/>
  <c r="AS198" i="25" s="1"/>
  <c r="AF266" i="25"/>
  <c r="G266" i="25"/>
  <c r="H266" i="25" s="1"/>
  <c r="AS266" i="25" s="1"/>
  <c r="AF569" i="25"/>
  <c r="G569" i="25"/>
  <c r="H569" i="25" s="1"/>
  <c r="AF125" i="25"/>
  <c r="G125" i="25"/>
  <c r="H125" i="25" s="1"/>
  <c r="AF54" i="25"/>
  <c r="G54" i="25"/>
  <c r="H54" i="25" s="1"/>
  <c r="AF240" i="25"/>
  <c r="G240" i="25"/>
  <c r="H240" i="25" s="1"/>
  <c r="AS240" i="25" s="1"/>
  <c r="AF212" i="25"/>
  <c r="G212" i="25"/>
  <c r="H212" i="25" s="1"/>
  <c r="AS212" i="25" s="1"/>
  <c r="AF435" i="25"/>
  <c r="G435" i="25"/>
  <c r="H435" i="25" s="1"/>
  <c r="AS435" i="25" s="1"/>
  <c r="AF554" i="25"/>
  <c r="G554" i="25"/>
  <c r="H554" i="25" s="1"/>
  <c r="AF367" i="25"/>
  <c r="G367" i="25"/>
  <c r="H367" i="25" s="1"/>
  <c r="AS367" i="25" s="1"/>
  <c r="G593" i="25"/>
  <c r="H593" i="25" s="1"/>
  <c r="AF593" i="25"/>
  <c r="G387" i="25"/>
  <c r="H387" i="25" s="1"/>
  <c r="AS387" i="25" s="1"/>
  <c r="AF387" i="25"/>
  <c r="AF498" i="25"/>
  <c r="G498" i="25"/>
  <c r="H498" i="25" s="1"/>
  <c r="AS498" i="25" s="1"/>
  <c r="G97" i="25"/>
  <c r="H97" i="25" s="1"/>
  <c r="AF97" i="25"/>
  <c r="G2" i="25"/>
  <c r="H2" i="25" s="1"/>
  <c r="AS2" i="25" s="1"/>
  <c r="AF2" i="25"/>
  <c r="G515" i="25"/>
  <c r="H515" i="25" s="1"/>
  <c r="AS515" i="25" s="1"/>
  <c r="AF515" i="25"/>
  <c r="AF373" i="25"/>
  <c r="G373" i="25"/>
  <c r="H373" i="25" s="1"/>
  <c r="AW131" i="7"/>
  <c r="AW114" i="7"/>
  <c r="AW139" i="7"/>
  <c r="AW429" i="7"/>
  <c r="AW274" i="7"/>
  <c r="AW387" i="7"/>
  <c r="AW355" i="7"/>
  <c r="AW76" i="7"/>
  <c r="AW77" i="7"/>
  <c r="AW147" i="7"/>
  <c r="AW98" i="7"/>
  <c r="AW273" i="7"/>
  <c r="AW381" i="7"/>
  <c r="AW163" i="7"/>
  <c r="AW89" i="7"/>
  <c r="AW531" i="7"/>
  <c r="AW394" i="7"/>
  <c r="AW47" i="7"/>
  <c r="AW450" i="7"/>
  <c r="AW55" i="7"/>
  <c r="AW91" i="7"/>
  <c r="AW207" i="7"/>
  <c r="AW88" i="7"/>
  <c r="AW295" i="7"/>
  <c r="AW504" i="7"/>
  <c r="AW78" i="7"/>
  <c r="AW230" i="7"/>
  <c r="AW573" i="7"/>
  <c r="AW448" i="7"/>
  <c r="AW149" i="7"/>
  <c r="AW574" i="7"/>
  <c r="AW130" i="7"/>
  <c r="AW588" i="7"/>
  <c r="AJ507" i="7"/>
  <c r="AJ180" i="7"/>
  <c r="AJ545" i="7"/>
  <c r="AJ348" i="7"/>
  <c r="AJ399" i="7"/>
  <c r="AJ346" i="7"/>
  <c r="AJ255" i="7"/>
  <c r="AJ386" i="7"/>
  <c r="AJ303" i="7"/>
  <c r="AJ408" i="7"/>
  <c r="AJ575" i="7"/>
  <c r="AJ301" i="7"/>
  <c r="AJ274" i="7"/>
  <c r="AJ216" i="7"/>
  <c r="AJ265" i="7"/>
  <c r="AJ447" i="7"/>
  <c r="AJ532" i="7"/>
  <c r="AJ293" i="7"/>
  <c r="AJ413" i="7"/>
  <c r="AJ60" i="7"/>
  <c r="AJ502" i="7"/>
  <c r="AJ409" i="7"/>
  <c r="AJ51" i="7"/>
  <c r="AJ501" i="7"/>
  <c r="AJ537" i="7"/>
  <c r="AJ100" i="7"/>
  <c r="AJ375" i="7"/>
  <c r="AJ262" i="7"/>
  <c r="AJ213" i="7"/>
  <c r="AJ121" i="7"/>
  <c r="AJ514" i="7"/>
  <c r="AJ480" i="7"/>
  <c r="AJ253" i="7"/>
  <c r="AJ261" i="7"/>
  <c r="AJ90" i="7"/>
  <c r="AJ320" i="7"/>
  <c r="AJ287" i="7"/>
  <c r="AJ414" i="7"/>
  <c r="AJ336" i="7"/>
  <c r="AJ119" i="7"/>
  <c r="AJ94" i="7"/>
  <c r="AJ10" i="7"/>
  <c r="AJ292" i="7"/>
  <c r="AJ158" i="7"/>
  <c r="AJ205" i="7"/>
  <c r="AJ74" i="7"/>
  <c r="AJ326" i="7"/>
  <c r="AJ439" i="7"/>
  <c r="AJ516" i="7"/>
  <c r="AJ31" i="7"/>
  <c r="AJ39" i="7"/>
  <c r="AJ579" i="7"/>
  <c r="AJ85" i="7"/>
  <c r="AJ234" i="7"/>
  <c r="AJ220" i="7"/>
  <c r="AJ421" i="7"/>
  <c r="AJ288" i="7"/>
  <c r="AJ536" i="7"/>
  <c r="AJ566" i="7"/>
  <c r="AJ422" i="7"/>
  <c r="AJ527" i="7"/>
  <c r="AJ496" i="7"/>
  <c r="AJ446" i="7"/>
  <c r="AJ80" i="7"/>
  <c r="AJ129" i="7"/>
  <c r="AJ563" i="7"/>
  <c r="AJ590" i="7"/>
  <c r="AJ416" i="7"/>
  <c r="AJ380" i="7"/>
  <c r="AJ529" i="7"/>
  <c r="AJ20" i="7"/>
  <c r="AJ376" i="7"/>
  <c r="AJ497" i="7"/>
  <c r="AJ317" i="7"/>
  <c r="AJ270" i="7"/>
  <c r="AJ95" i="7"/>
  <c r="AJ269" i="7"/>
  <c r="AJ486" i="7"/>
  <c r="AJ241" i="7"/>
  <c r="AJ298" i="7"/>
  <c r="AJ204" i="7"/>
  <c r="AJ462" i="7"/>
  <c r="AX175" i="7"/>
  <c r="G37" i="25"/>
  <c r="H37" i="25" s="1"/>
  <c r="AF37" i="25"/>
  <c r="AF485" i="25"/>
  <c r="G485" i="25"/>
  <c r="H485" i="25" s="1"/>
  <c r="AF88" i="25"/>
  <c r="G88" i="25"/>
  <c r="H88" i="25" s="1"/>
  <c r="AS88" i="25" s="1"/>
  <c r="G283" i="25"/>
  <c r="H283" i="25" s="1"/>
  <c r="AS283" i="25" s="1"/>
  <c r="AF283" i="25"/>
  <c r="AF116" i="25"/>
  <c r="G116" i="25"/>
  <c r="H116" i="25" s="1"/>
  <c r="AS116" i="25" s="1"/>
  <c r="G249" i="25"/>
  <c r="H249" i="25" s="1"/>
  <c r="AF249" i="25"/>
  <c r="G93" i="25"/>
  <c r="H93" i="25" s="1"/>
  <c r="AF93" i="25"/>
  <c r="AF225" i="25"/>
  <c r="G225" i="25"/>
  <c r="H225" i="25" s="1"/>
  <c r="G289" i="25"/>
  <c r="H289" i="25" s="1"/>
  <c r="AF289" i="25"/>
  <c r="AF181" i="25"/>
  <c r="G181" i="25"/>
  <c r="H181" i="25" s="1"/>
  <c r="G571" i="25"/>
  <c r="H571" i="25" s="1"/>
  <c r="AS571" i="25" s="1"/>
  <c r="AF571" i="25"/>
  <c r="G533" i="25"/>
  <c r="H533" i="25" s="1"/>
  <c r="AF533" i="25"/>
  <c r="G400" i="25"/>
  <c r="H400" i="25" s="1"/>
  <c r="AS400" i="25" s="1"/>
  <c r="AF400" i="25"/>
  <c r="AF465" i="25"/>
  <c r="G465" i="25"/>
  <c r="H465" i="25" s="1"/>
  <c r="AF102" i="25"/>
  <c r="G102" i="25"/>
  <c r="H102" i="25" s="1"/>
  <c r="AF58" i="25"/>
  <c r="G58" i="25"/>
  <c r="H58" i="25" s="1"/>
  <c r="AF555" i="25"/>
  <c r="G555" i="25"/>
  <c r="H555" i="25" s="1"/>
  <c r="AS555" i="25" s="1"/>
  <c r="AF263" i="25"/>
  <c r="G263" i="25"/>
  <c r="H263" i="25" s="1"/>
  <c r="AS263" i="25" s="1"/>
  <c r="AF459" i="25"/>
  <c r="G459" i="25"/>
  <c r="H459" i="25" s="1"/>
  <c r="AF454" i="25"/>
  <c r="G454" i="25"/>
  <c r="H454" i="25" s="1"/>
  <c r="AF430" i="25"/>
  <c r="G430" i="25"/>
  <c r="H430" i="25" s="1"/>
  <c r="AS430" i="25" s="1"/>
  <c r="AF70" i="25"/>
  <c r="G70" i="25"/>
  <c r="H70" i="25" s="1"/>
  <c r="AS70" i="25" s="1"/>
  <c r="AF505" i="25"/>
  <c r="G505" i="25"/>
  <c r="H505" i="25" s="1"/>
  <c r="G322" i="25"/>
  <c r="H322" i="25" s="1"/>
  <c r="AF322" i="25"/>
  <c r="AF152" i="25"/>
  <c r="G152" i="25"/>
  <c r="H152" i="25" s="1"/>
  <c r="AS152" i="25" s="1"/>
  <c r="AF452" i="25"/>
  <c r="G452" i="25"/>
  <c r="H452" i="25" s="1"/>
  <c r="AS452" i="25" s="1"/>
  <c r="AF282" i="25"/>
  <c r="G282" i="25"/>
  <c r="H282" i="25" s="1"/>
  <c r="AF363" i="25"/>
  <c r="G363" i="25"/>
  <c r="H363" i="25" s="1"/>
  <c r="AS363" i="25" s="1"/>
  <c r="AF165" i="25"/>
  <c r="G165" i="25"/>
  <c r="H165" i="25" s="1"/>
  <c r="AF177" i="25"/>
  <c r="G177" i="25"/>
  <c r="H177" i="25" s="1"/>
  <c r="AF463" i="25"/>
  <c r="G463" i="25"/>
  <c r="H463" i="25" s="1"/>
  <c r="AS463" i="25" s="1"/>
  <c r="AF489" i="25"/>
  <c r="G489" i="25"/>
  <c r="H489" i="25" s="1"/>
  <c r="AF405" i="25"/>
  <c r="G405" i="25"/>
  <c r="H405" i="25" s="1"/>
  <c r="AF525" i="25"/>
  <c r="G525" i="25"/>
  <c r="H525" i="25" s="1"/>
  <c r="AF294" i="25"/>
  <c r="G294" i="25"/>
  <c r="H294" i="25" s="1"/>
  <c r="AS294" i="25" s="1"/>
  <c r="G280" i="25"/>
  <c r="H280" i="25" s="1"/>
  <c r="AS280" i="25" s="1"/>
  <c r="AF280" i="25"/>
  <c r="AF474" i="25"/>
  <c r="G474" i="25"/>
  <c r="H474" i="25" s="1"/>
  <c r="AS474" i="25" s="1"/>
  <c r="G412" i="25"/>
  <c r="H412" i="25" s="1"/>
  <c r="AF412" i="25"/>
  <c r="AF530" i="25"/>
  <c r="G530" i="25"/>
  <c r="H530" i="25" s="1"/>
  <c r="AF217" i="25"/>
  <c r="G217" i="25"/>
  <c r="H217" i="25" s="1"/>
  <c r="G76" i="25"/>
  <c r="H76" i="25" s="1"/>
  <c r="AS76" i="25" s="1"/>
  <c r="AF76" i="25"/>
  <c r="AF26" i="25"/>
  <c r="G26" i="25"/>
  <c r="H26" i="25" s="1"/>
  <c r="G144" i="25"/>
  <c r="H144" i="25" s="1"/>
  <c r="AF144" i="25"/>
  <c r="AF500" i="25"/>
  <c r="G500" i="25"/>
  <c r="H500" i="25" s="1"/>
  <c r="AS500" i="25" s="1"/>
  <c r="G318" i="25"/>
  <c r="H318" i="25" s="1"/>
  <c r="AS318" i="25" s="1"/>
  <c r="AF318" i="25"/>
  <c r="AF570" i="25"/>
  <c r="G570" i="25"/>
  <c r="H570" i="25" s="1"/>
  <c r="G349" i="25"/>
  <c r="H349" i="25" s="1"/>
  <c r="AF349" i="25"/>
  <c r="AF464" i="25"/>
  <c r="G464" i="25"/>
  <c r="H464" i="25" s="1"/>
  <c r="AS464" i="25" s="1"/>
  <c r="AF343" i="25"/>
  <c r="G343" i="25"/>
  <c r="H343" i="25" s="1"/>
  <c r="AS343" i="25" s="1"/>
  <c r="AF233" i="25"/>
  <c r="G233" i="25"/>
  <c r="H233" i="25" s="1"/>
  <c r="G113" i="25"/>
  <c r="H113" i="25" s="1"/>
  <c r="AF113" i="25"/>
  <c r="G388" i="25"/>
  <c r="H388" i="25" s="1"/>
  <c r="AF388" i="25"/>
  <c r="AF110" i="25"/>
  <c r="G110" i="25"/>
  <c r="H110" i="25" s="1"/>
  <c r="AS110" i="25" s="1"/>
  <c r="AF506" i="25"/>
  <c r="G506" i="25"/>
  <c r="H506" i="25" s="1"/>
  <c r="AS506" i="25" s="1"/>
  <c r="G484" i="25"/>
  <c r="H484" i="25" s="1"/>
  <c r="AS484" i="25" s="1"/>
  <c r="AF484" i="25"/>
  <c r="AF442" i="25"/>
  <c r="G442" i="25"/>
  <c r="H442" i="25" s="1"/>
  <c r="AS442" i="25" s="1"/>
  <c r="AF82" i="25"/>
  <c r="G82" i="25"/>
  <c r="H82" i="25" s="1"/>
  <c r="AF441" i="25"/>
  <c r="G441" i="25"/>
  <c r="H441" i="25" s="1"/>
  <c r="G539" i="25"/>
  <c r="H539" i="25" s="1"/>
  <c r="AF539" i="25"/>
  <c r="AF206" i="25"/>
  <c r="G206" i="25"/>
  <c r="H206" i="25" s="1"/>
  <c r="AS206" i="25" s="1"/>
  <c r="G166" i="25"/>
  <c r="H166" i="25" s="1"/>
  <c r="AS166" i="25" s="1"/>
  <c r="AF166" i="25"/>
  <c r="AF584" i="25"/>
  <c r="G584" i="25"/>
  <c r="H584" i="25" s="1"/>
  <c r="AS584" i="25" s="1"/>
  <c r="AF252" i="25"/>
  <c r="G252" i="25"/>
  <c r="H252" i="25" s="1"/>
  <c r="AS252" i="25" s="1"/>
  <c r="AF323" i="25"/>
  <c r="G323" i="25"/>
  <c r="H323" i="25" s="1"/>
  <c r="AS323" i="25" s="1"/>
  <c r="AF192" i="25"/>
  <c r="G192" i="25"/>
  <c r="H192" i="25" s="1"/>
  <c r="AS192" i="25" s="1"/>
  <c r="G157" i="25"/>
  <c r="H157" i="25" s="1"/>
  <c r="AF157" i="25"/>
  <c r="G594" i="25"/>
  <c r="H594" i="25" s="1"/>
  <c r="AS594" i="25" s="1"/>
  <c r="AF594" i="25"/>
  <c r="AF374" i="25"/>
  <c r="G374" i="25"/>
  <c r="H374" i="25" s="1"/>
  <c r="AS374" i="25" s="1"/>
  <c r="G473" i="25"/>
  <c r="H473" i="25" s="1"/>
  <c r="AF473" i="25"/>
  <c r="AF273" i="25"/>
  <c r="G273" i="25"/>
  <c r="H273" i="25" s="1"/>
  <c r="AF188" i="25"/>
  <c r="G188" i="25"/>
  <c r="H188" i="25" s="1"/>
  <c r="AF62" i="25"/>
  <c r="G62" i="25"/>
  <c r="H62" i="25" s="1"/>
  <c r="AF83" i="25"/>
  <c r="G83" i="25"/>
  <c r="H83" i="25" s="1"/>
  <c r="AF444" i="25"/>
  <c r="G444" i="25"/>
  <c r="H444" i="25" s="1"/>
  <c r="AS444" i="25" s="1"/>
  <c r="AF50" i="25"/>
  <c r="G50" i="25"/>
  <c r="H50" i="25" s="1"/>
  <c r="AF495" i="25"/>
  <c r="G495" i="25"/>
  <c r="H495" i="25" s="1"/>
  <c r="AS495" i="25" s="1"/>
  <c r="AF344" i="25"/>
  <c r="G344" i="25"/>
  <c r="H344" i="25" s="1"/>
  <c r="AS344" i="25" s="1"/>
  <c r="G236" i="25"/>
  <c r="H236" i="25" s="1"/>
  <c r="AS236" i="25" s="1"/>
  <c r="AF236" i="25"/>
  <c r="G396" i="25"/>
  <c r="H396" i="25" s="1"/>
  <c r="AS396" i="25" s="1"/>
  <c r="AF396" i="25"/>
  <c r="AF185" i="25"/>
  <c r="G185" i="25"/>
  <c r="H185" i="25" s="1"/>
  <c r="G30" i="25"/>
  <c r="H30" i="25" s="1"/>
  <c r="AF30" i="25"/>
  <c r="AF208" i="25"/>
  <c r="G208" i="25"/>
  <c r="H208" i="25" s="1"/>
  <c r="AS208" i="25" s="1"/>
  <c r="AF471" i="25"/>
  <c r="G471" i="25"/>
  <c r="H471" i="25" s="1"/>
  <c r="AS471" i="25" s="1"/>
  <c r="AF197" i="25"/>
  <c r="G197" i="25"/>
  <c r="H197" i="25" s="1"/>
  <c r="G457" i="25"/>
  <c r="H457" i="25" s="1"/>
  <c r="AF457" i="25"/>
  <c r="AF415" i="25"/>
  <c r="G415" i="25"/>
  <c r="H415" i="25" s="1"/>
  <c r="AS415" i="25" s="1"/>
  <c r="AF410" i="25"/>
  <c r="G410" i="25"/>
  <c r="H410" i="25" s="1"/>
  <c r="AF460" i="25"/>
  <c r="G460" i="25"/>
  <c r="H460" i="25" s="1"/>
  <c r="AS460" i="25" s="1"/>
  <c r="AF581" i="25"/>
  <c r="G581" i="25"/>
  <c r="H581" i="25" s="1"/>
  <c r="G300" i="25"/>
  <c r="H300" i="25" s="1"/>
  <c r="AS300" i="25" s="1"/>
  <c r="AF300" i="25"/>
  <c r="AF295" i="25"/>
  <c r="G295" i="25"/>
  <c r="H295" i="25" s="1"/>
  <c r="AF191" i="25"/>
  <c r="G191" i="25"/>
  <c r="H191" i="25" s="1"/>
  <c r="AS191" i="25" s="1"/>
  <c r="AF586" i="25"/>
  <c r="G586" i="25"/>
  <c r="H586" i="25" s="1"/>
  <c r="AS586" i="25" s="1"/>
  <c r="AF398" i="25"/>
  <c r="G398" i="25"/>
  <c r="H398" i="25" s="1"/>
  <c r="AS398" i="25" s="1"/>
  <c r="AF173" i="25"/>
  <c r="G173" i="25"/>
  <c r="H173" i="25" s="1"/>
  <c r="AF135" i="25"/>
  <c r="G135" i="25"/>
  <c r="H135" i="25" s="1"/>
  <c r="AS135" i="25" s="1"/>
  <c r="G107" i="25"/>
  <c r="H107" i="25" s="1"/>
  <c r="AS107" i="25" s="1"/>
  <c r="AF107" i="25"/>
  <c r="AF543" i="25"/>
  <c r="G543" i="25"/>
  <c r="H543" i="25" s="1"/>
  <c r="AF28" i="25"/>
  <c r="G28" i="25"/>
  <c r="H28" i="25" s="1"/>
  <c r="AF140" i="25"/>
  <c r="G140" i="25"/>
  <c r="H140" i="25" s="1"/>
  <c r="AS140" i="25" s="1"/>
  <c r="AF547" i="25"/>
  <c r="G547" i="25"/>
  <c r="H547" i="25" s="1"/>
  <c r="AS547" i="25" s="1"/>
  <c r="G123" i="25"/>
  <c r="H123" i="25" s="1"/>
  <c r="AS123" i="25" s="1"/>
  <c r="AF123" i="25"/>
  <c r="G379" i="25"/>
  <c r="H379" i="25" s="1"/>
  <c r="AF379" i="25"/>
  <c r="AF488" i="25"/>
  <c r="G488" i="25"/>
  <c r="H488" i="25" s="1"/>
  <c r="AF402" i="25"/>
  <c r="G402" i="25"/>
  <c r="H402" i="25" s="1"/>
  <c r="AS402" i="25" s="1"/>
  <c r="AF356" i="25"/>
  <c r="G356" i="25"/>
  <c r="H356" i="25" s="1"/>
  <c r="AS356" i="25" s="1"/>
  <c r="AF472" i="25"/>
  <c r="G472" i="25"/>
  <c r="H472" i="25" s="1"/>
  <c r="AF256" i="25"/>
  <c r="G256" i="25"/>
  <c r="H256" i="25" s="1"/>
  <c r="AF491" i="25"/>
  <c r="G491" i="25"/>
  <c r="H491" i="25" s="1"/>
  <c r="AS491" i="25" s="1"/>
  <c r="AF591" i="25"/>
  <c r="G591" i="25"/>
  <c r="H591" i="25" s="1"/>
  <c r="AS591" i="25" s="1"/>
  <c r="AF357" i="25"/>
  <c r="G357" i="25"/>
  <c r="H357" i="25" s="1"/>
  <c r="AF126" i="25"/>
  <c r="G126" i="25"/>
  <c r="H126" i="25" s="1"/>
  <c r="AS126" i="25" s="1"/>
  <c r="AF29" i="25"/>
  <c r="G29" i="25"/>
  <c r="H29" i="25" s="1"/>
  <c r="AF174" i="25"/>
  <c r="G174" i="25"/>
  <c r="H174" i="25" s="1"/>
  <c r="AS174" i="25" s="1"/>
  <c r="G9" i="25"/>
  <c r="H9" i="25" s="1"/>
  <c r="AF9" i="25"/>
  <c r="AF431" i="25"/>
  <c r="G431" i="25"/>
  <c r="H431" i="25" s="1"/>
  <c r="AS431" i="25" s="1"/>
  <c r="G560" i="25"/>
  <c r="H560" i="25" s="1"/>
  <c r="AS560" i="25" s="1"/>
  <c r="AF560" i="25"/>
  <c r="G43" i="25"/>
  <c r="H43" i="25" s="1"/>
  <c r="AS43" i="25" s="1"/>
  <c r="AF43" i="25"/>
  <c r="AF275" i="25"/>
  <c r="G275" i="25"/>
  <c r="H275" i="25" s="1"/>
  <c r="AS275" i="25" s="1"/>
  <c r="AF467" i="25"/>
  <c r="G467" i="25"/>
  <c r="H467" i="25" s="1"/>
  <c r="AS467" i="25" s="1"/>
  <c r="AF190" i="25"/>
  <c r="G190" i="25"/>
  <c r="H190" i="25" s="1"/>
  <c r="G321" i="25"/>
  <c r="H321" i="25" s="1"/>
  <c r="AF321" i="25"/>
  <c r="AF580" i="25"/>
  <c r="G580" i="25"/>
  <c r="H580" i="25" s="1"/>
  <c r="AF281" i="25"/>
  <c r="G281" i="25"/>
  <c r="H281" i="25" s="1"/>
  <c r="AF512" i="25"/>
  <c r="G512" i="25"/>
  <c r="H512" i="25" s="1"/>
  <c r="AS512" i="25" s="1"/>
  <c r="AF248" i="25"/>
  <c r="G248" i="25"/>
  <c r="H248" i="25" s="1"/>
  <c r="AS248" i="25" s="1"/>
  <c r="AF18" i="25"/>
  <c r="G18" i="25"/>
  <c r="H18" i="25" s="1"/>
  <c r="AF394" i="25"/>
  <c r="G394" i="25"/>
  <c r="H394" i="25" s="1"/>
  <c r="AS394" i="25" s="1"/>
  <c r="AF546" i="25"/>
  <c r="G546" i="25"/>
  <c r="H546" i="25" s="1"/>
  <c r="AS546" i="25" s="1"/>
  <c r="AF168" i="25"/>
  <c r="G168" i="25"/>
  <c r="H168" i="25" s="1"/>
  <c r="AS168" i="25" s="1"/>
  <c r="AF440" i="25"/>
  <c r="G440" i="25"/>
  <c r="H440" i="25" s="1"/>
  <c r="AS440" i="25" s="1"/>
  <c r="G124" i="25"/>
  <c r="H124" i="25" s="1"/>
  <c r="AS124" i="25" s="1"/>
  <c r="AF124" i="25"/>
  <c r="AF267" i="25"/>
  <c r="G267" i="25"/>
  <c r="H267" i="25" s="1"/>
  <c r="AS267" i="25" s="1"/>
  <c r="AF550" i="25"/>
  <c r="G550" i="25"/>
  <c r="H550" i="25" s="1"/>
  <c r="G41" i="25"/>
  <c r="H41" i="25" s="1"/>
  <c r="AF41" i="25"/>
  <c r="G12" i="25"/>
  <c r="H12" i="25" s="1"/>
  <c r="AS12" i="25" s="1"/>
  <c r="AF12" i="25"/>
  <c r="G493" i="25"/>
  <c r="H493" i="25" s="1"/>
  <c r="AF493" i="25"/>
  <c r="G38" i="25"/>
  <c r="H38" i="25" s="1"/>
  <c r="AS38" i="25" s="1"/>
  <c r="AF38" i="25"/>
  <c r="AF222" i="25"/>
  <c r="G222" i="25"/>
  <c r="H222" i="25" s="1"/>
  <c r="AF503" i="25"/>
  <c r="G503" i="25"/>
  <c r="H503" i="25" s="1"/>
  <c r="G52" i="25"/>
  <c r="H52" i="25" s="1"/>
  <c r="AS52" i="25" s="1"/>
  <c r="AF52" i="25"/>
  <c r="AF118" i="25"/>
  <c r="G118" i="25"/>
  <c r="H118" i="25" s="1"/>
  <c r="G588" i="25"/>
  <c r="H588" i="25" s="1"/>
  <c r="AS588" i="25" s="1"/>
  <c r="AF588" i="25"/>
  <c r="AF390" i="25"/>
  <c r="G390" i="25"/>
  <c r="H390" i="25" s="1"/>
  <c r="AF504" i="25"/>
  <c r="G504" i="25"/>
  <c r="H504" i="25" s="1"/>
  <c r="AS504" i="25" s="1"/>
  <c r="AF384" i="25"/>
  <c r="G384" i="25"/>
  <c r="H384" i="25" s="1"/>
  <c r="AS384" i="25" s="1"/>
  <c r="AF330" i="25"/>
  <c r="G330" i="25"/>
  <c r="H330" i="25" s="1"/>
  <c r="G108" i="25"/>
  <c r="H108" i="25" s="1"/>
  <c r="AS108" i="25" s="1"/>
  <c r="AF108" i="25"/>
  <c r="AF461" i="25"/>
  <c r="G461" i="25"/>
  <c r="H461" i="25" s="1"/>
  <c r="AF297" i="25"/>
  <c r="G297" i="25"/>
  <c r="H297" i="25" s="1"/>
  <c r="AF411" i="25"/>
  <c r="G411" i="25"/>
  <c r="H411" i="25" s="1"/>
  <c r="AS411" i="25" s="1"/>
  <c r="G544" i="25"/>
  <c r="H544" i="25" s="1"/>
  <c r="AS544" i="25" s="1"/>
  <c r="AF544" i="25"/>
  <c r="G5" i="25"/>
  <c r="H5" i="25" s="1"/>
  <c r="AF5" i="25"/>
  <c r="AF221" i="25"/>
  <c r="G221" i="25"/>
  <c r="H221" i="25" s="1"/>
  <c r="G44" i="25"/>
  <c r="H44" i="25" s="1"/>
  <c r="AS44" i="25" s="1"/>
  <c r="AF44" i="25"/>
  <c r="G301" i="25"/>
  <c r="H301" i="25" s="1"/>
  <c r="AF301" i="25"/>
  <c r="AF79" i="25"/>
  <c r="G79" i="25"/>
  <c r="H79" i="25" s="1"/>
  <c r="AS79" i="25" s="1"/>
  <c r="G274" i="25"/>
  <c r="H274" i="25" s="1"/>
  <c r="AF274" i="25"/>
  <c r="G216" i="25"/>
  <c r="H216" i="25" s="1"/>
  <c r="AS216" i="25" s="1"/>
  <c r="AF216" i="25"/>
  <c r="G133" i="25"/>
  <c r="H133" i="25" s="1"/>
  <c r="AF133" i="25"/>
  <c r="AF347" i="25"/>
  <c r="G347" i="25"/>
  <c r="H347" i="25" s="1"/>
  <c r="AF230" i="25"/>
  <c r="G230" i="25"/>
  <c r="H230" i="25" s="1"/>
  <c r="AS230" i="25" s="1"/>
  <c r="G150" i="25"/>
  <c r="H150" i="25" s="1"/>
  <c r="AF150" i="25"/>
  <c r="G578" i="25"/>
  <c r="H578" i="25" s="1"/>
  <c r="AF578" i="25"/>
  <c r="G293" i="25"/>
  <c r="H293" i="25" s="1"/>
  <c r="AF293" i="25"/>
  <c r="AF139" i="25"/>
  <c r="G139" i="25"/>
  <c r="H139" i="25" s="1"/>
  <c r="AS139" i="25" s="1"/>
  <c r="G77" i="25"/>
  <c r="H77" i="25" s="1"/>
  <c r="AF77" i="25"/>
  <c r="AF469" i="25"/>
  <c r="G469" i="25"/>
  <c r="H469" i="25" s="1"/>
  <c r="G226" i="25"/>
  <c r="H226" i="25" s="1"/>
  <c r="AF226" i="25"/>
  <c r="G466" i="25"/>
  <c r="H466" i="25" s="1"/>
  <c r="AS466" i="25" s="1"/>
  <c r="AF466" i="25"/>
  <c r="G350" i="25"/>
  <c r="H350" i="25" s="1"/>
  <c r="AF350" i="25"/>
  <c r="G161" i="25"/>
  <c r="H161" i="25" s="1"/>
  <c r="AF161" i="25"/>
  <c r="AF178" i="25"/>
  <c r="G178" i="25"/>
  <c r="H178" i="25" s="1"/>
  <c r="AF501" i="25"/>
  <c r="G501" i="25"/>
  <c r="H501" i="25" s="1"/>
  <c r="G537" i="25"/>
  <c r="H537" i="25" s="1"/>
  <c r="AF537" i="25"/>
  <c r="AF100" i="25"/>
  <c r="G100" i="25"/>
  <c r="H100" i="25" s="1"/>
  <c r="AS100" i="25" s="1"/>
  <c r="G262" i="25"/>
  <c r="H262" i="25" s="1"/>
  <c r="AF262" i="25"/>
  <c r="AF15" i="25"/>
  <c r="G15" i="25"/>
  <c r="H15" i="25" s="1"/>
  <c r="G327" i="25"/>
  <c r="H327" i="25" s="1"/>
  <c r="AS327" i="25" s="1"/>
  <c r="AF327" i="25"/>
  <c r="G562" i="25"/>
  <c r="H562" i="25" s="1"/>
  <c r="AS562" i="25" s="1"/>
  <c r="AF562" i="25"/>
  <c r="G45" i="25"/>
  <c r="H45" i="25" s="1"/>
  <c r="AF45" i="25"/>
  <c r="AF574" i="25"/>
  <c r="G574" i="25"/>
  <c r="H574" i="25" s="1"/>
  <c r="AS574" i="25" s="1"/>
  <c r="AF207" i="25"/>
  <c r="G207" i="25"/>
  <c r="H207" i="25" s="1"/>
  <c r="G121" i="25"/>
  <c r="H121" i="25" s="1"/>
  <c r="AF121" i="25"/>
  <c r="AF331" i="25"/>
  <c r="G331" i="25"/>
  <c r="H331" i="25" s="1"/>
  <c r="AS331" i="25" s="1"/>
  <c r="AF171" i="25"/>
  <c r="G171" i="25"/>
  <c r="H171" i="25" s="1"/>
  <c r="AS171" i="25" s="1"/>
  <c r="AF403" i="25"/>
  <c r="G403" i="25"/>
  <c r="H403" i="25" s="1"/>
  <c r="AS403" i="25" s="1"/>
  <c r="G13" i="25"/>
  <c r="H13" i="25" s="1"/>
  <c r="AF13" i="25"/>
  <c r="AF567" i="25"/>
  <c r="G567" i="25"/>
  <c r="H567" i="25" s="1"/>
  <c r="G541" i="25"/>
  <c r="H541" i="25" s="1"/>
  <c r="AF541" i="25"/>
  <c r="AF90" i="25"/>
  <c r="G90" i="25"/>
  <c r="H90" i="25" s="1"/>
  <c r="AF320" i="25"/>
  <c r="G320" i="25"/>
  <c r="H320" i="25" s="1"/>
  <c r="AS320" i="25" s="1"/>
  <c r="AF336" i="25"/>
  <c r="G336" i="25"/>
  <c r="H336" i="25" s="1"/>
  <c r="AS336" i="25" s="1"/>
  <c r="AF561" i="25"/>
  <c r="G561" i="25"/>
  <c r="H561" i="25" s="1"/>
  <c r="AF119" i="25"/>
  <c r="G119" i="25"/>
  <c r="H119" i="25" s="1"/>
  <c r="AS119" i="25" s="1"/>
  <c r="AF10" i="25"/>
  <c r="G10" i="25"/>
  <c r="H10" i="25" s="1"/>
  <c r="G292" i="25"/>
  <c r="H292" i="25" s="1"/>
  <c r="AS292" i="25" s="1"/>
  <c r="AF292" i="25"/>
  <c r="AF158" i="25"/>
  <c r="G158" i="25"/>
  <c r="H158" i="25" s="1"/>
  <c r="AS158" i="25" s="1"/>
  <c r="G205" i="25"/>
  <c r="H205" i="25" s="1"/>
  <c r="AF205" i="25"/>
  <c r="AF149" i="25"/>
  <c r="G149" i="25"/>
  <c r="H149" i="25" s="1"/>
  <c r="AF66" i="25"/>
  <c r="G66" i="25"/>
  <c r="H66" i="25" s="1"/>
  <c r="AS66" i="25" s="1"/>
  <c r="AF401" i="25"/>
  <c r="G401" i="25"/>
  <c r="H401" i="25" s="1"/>
  <c r="AF231" i="25"/>
  <c r="G231" i="25"/>
  <c r="H231" i="25" s="1"/>
  <c r="AS231" i="25" s="1"/>
  <c r="AF84" i="25"/>
  <c r="G84" i="25"/>
  <c r="H84" i="25" s="1"/>
  <c r="AF306" i="25"/>
  <c r="G306" i="25"/>
  <c r="H306" i="25" s="1"/>
  <c r="AS306" i="25" s="1"/>
  <c r="AF326" i="25"/>
  <c r="G326" i="25"/>
  <c r="H326" i="25" s="1"/>
  <c r="AF91" i="25"/>
  <c r="G91" i="25"/>
  <c r="H91" i="25" s="1"/>
  <c r="AS91" i="25" s="1"/>
  <c r="AF439" i="25"/>
  <c r="G439" i="25"/>
  <c r="H439" i="25" s="1"/>
  <c r="AS439" i="25" s="1"/>
  <c r="AF307" i="25"/>
  <c r="G307" i="25"/>
  <c r="H307" i="25" s="1"/>
  <c r="G285" i="25"/>
  <c r="H285" i="25" s="1"/>
  <c r="AF285" i="25"/>
  <c r="G49" i="25"/>
  <c r="H49" i="25" s="1"/>
  <c r="AF49" i="25"/>
  <c r="AF510" i="25"/>
  <c r="G510" i="25"/>
  <c r="H510" i="25" s="1"/>
  <c r="AS510" i="25" s="1"/>
  <c r="AF423" i="25"/>
  <c r="G423" i="25"/>
  <c r="H423" i="25" s="1"/>
  <c r="AS423" i="25" s="1"/>
  <c r="AF31" i="25"/>
  <c r="G31" i="25"/>
  <c r="H31" i="25" s="1"/>
  <c r="AS31" i="25" s="1"/>
  <c r="AF69" i="25"/>
  <c r="G69" i="25"/>
  <c r="H69" i="25" s="1"/>
  <c r="AF210" i="25"/>
  <c r="G210" i="25"/>
  <c r="H210" i="25" s="1"/>
  <c r="AF163" i="25"/>
  <c r="G163" i="25"/>
  <c r="H163" i="25" s="1"/>
  <c r="AS163" i="25" s="1"/>
  <c r="AF579" i="25"/>
  <c r="G579" i="25"/>
  <c r="H579" i="25" s="1"/>
  <c r="AS579" i="25" s="1"/>
  <c r="AF85" i="25"/>
  <c r="G85" i="25"/>
  <c r="H85" i="25" s="1"/>
  <c r="AF234" i="25"/>
  <c r="G234" i="25"/>
  <c r="H234" i="25" s="1"/>
  <c r="G59" i="25"/>
  <c r="H59" i="25" s="1"/>
  <c r="AS59" i="25" s="1"/>
  <c r="AF59" i="25"/>
  <c r="AF445" i="25"/>
  <c r="G445" i="25"/>
  <c r="H445" i="25" s="1"/>
  <c r="AF366" i="25"/>
  <c r="G366" i="25"/>
  <c r="H366" i="25" s="1"/>
  <c r="G511" i="25"/>
  <c r="H511" i="25" s="1"/>
  <c r="AS511" i="25" s="1"/>
  <c r="AF511" i="25"/>
  <c r="G371" i="25"/>
  <c r="H371" i="25" s="1"/>
  <c r="AF371" i="25"/>
  <c r="AF17" i="25"/>
  <c r="G17" i="25"/>
  <c r="H17" i="25" s="1"/>
  <c r="G204" i="25"/>
  <c r="H204" i="25" s="1"/>
  <c r="AS204" i="25" s="1"/>
  <c r="AF204" i="25"/>
  <c r="G11" i="25"/>
  <c r="H11" i="25" s="1"/>
  <c r="AS11" i="25" s="1"/>
  <c r="AF11" i="25"/>
  <c r="AF479" i="25"/>
  <c r="G479" i="25"/>
  <c r="H479" i="25" s="1"/>
  <c r="AF99" i="25"/>
  <c r="G99" i="25"/>
  <c r="H99" i="25" s="1"/>
  <c r="AS99" i="25" s="1"/>
  <c r="G220" i="25"/>
  <c r="H220" i="25" s="1"/>
  <c r="AS220" i="25" s="1"/>
  <c r="AF220" i="25"/>
  <c r="G288" i="25"/>
  <c r="H288" i="25" s="1"/>
  <c r="AS288" i="25" s="1"/>
  <c r="AF288" i="25"/>
  <c r="AF536" i="25"/>
  <c r="G536" i="25"/>
  <c r="H536" i="25" s="1"/>
  <c r="AS536" i="25" s="1"/>
  <c r="AF80" i="25"/>
  <c r="G80" i="25"/>
  <c r="H80" i="25" s="1"/>
  <c r="AS80" i="25" s="1"/>
  <c r="AF36" i="25"/>
  <c r="G36" i="25"/>
  <c r="H36" i="25" s="1"/>
  <c r="AF129" i="25"/>
  <c r="G129" i="25"/>
  <c r="H129" i="25" s="1"/>
  <c r="AF563" i="25"/>
  <c r="G563" i="25"/>
  <c r="H563" i="25" s="1"/>
  <c r="AS563" i="25" s="1"/>
  <c r="G78" i="25"/>
  <c r="H78" i="25" s="1"/>
  <c r="AS78" i="25" s="1"/>
  <c r="AF78" i="25"/>
  <c r="AF106" i="25"/>
  <c r="G106" i="25"/>
  <c r="H106" i="25" s="1"/>
  <c r="AS106" i="25" s="1"/>
  <c r="AF416" i="25"/>
  <c r="G416" i="25"/>
  <c r="H416" i="25" s="1"/>
  <c r="G529" i="25"/>
  <c r="H529" i="25" s="1"/>
  <c r="AF529" i="25"/>
  <c r="AF20" i="25"/>
  <c r="G20" i="25"/>
  <c r="H20" i="25" s="1"/>
  <c r="G381" i="25"/>
  <c r="H381" i="25" s="1"/>
  <c r="AF381" i="25"/>
  <c r="AF151" i="25"/>
  <c r="G151" i="25"/>
  <c r="H151" i="25" s="1"/>
  <c r="G270" i="25"/>
  <c r="H270" i="25" s="1"/>
  <c r="AS270" i="25" s="1"/>
  <c r="AF270" i="25"/>
  <c r="AF95" i="25"/>
  <c r="G95" i="25"/>
  <c r="H95" i="25" s="1"/>
  <c r="AS95" i="25" s="1"/>
  <c r="AF392" i="25"/>
  <c r="G392" i="25"/>
  <c r="H392" i="25" s="1"/>
  <c r="AS392" i="25" s="1"/>
  <c r="AF531" i="25"/>
  <c r="G531" i="25"/>
  <c r="H531" i="25" s="1"/>
  <c r="AS531" i="25" s="1"/>
  <c r="AF298" i="25"/>
  <c r="G298" i="25"/>
  <c r="H298" i="25" s="1"/>
  <c r="AS298" i="25" s="1"/>
  <c r="AF180" i="25"/>
  <c r="G180" i="25"/>
  <c r="H180" i="25" s="1"/>
  <c r="AF487" i="25"/>
  <c r="G487" i="25"/>
  <c r="H487" i="25" s="1"/>
  <c r="AF73" i="25"/>
  <c r="G73" i="25"/>
  <c r="H73" i="25" s="1"/>
  <c r="AF509" i="25"/>
  <c r="G509" i="25"/>
  <c r="H509" i="25" s="1"/>
  <c r="G8" i="25"/>
  <c r="H8" i="25" s="1"/>
  <c r="AS8" i="25" s="1"/>
  <c r="AF8" i="25"/>
  <c r="AF103" i="25"/>
  <c r="G103" i="25"/>
  <c r="H103" i="25" s="1"/>
  <c r="AF408" i="25"/>
  <c r="G408" i="25"/>
  <c r="H408" i="25" s="1"/>
  <c r="AF545" i="25"/>
  <c r="G545" i="25"/>
  <c r="H545" i="25" s="1"/>
  <c r="G348" i="25"/>
  <c r="H348" i="25" s="1"/>
  <c r="AS348" i="25" s="1"/>
  <c r="AF348" i="25"/>
  <c r="AF502" i="25"/>
  <c r="G502" i="25"/>
  <c r="H502" i="25" s="1"/>
  <c r="AS502" i="25" s="1"/>
  <c r="AF395" i="25"/>
  <c r="G395" i="25"/>
  <c r="H395" i="25" s="1"/>
  <c r="AS395" i="25" s="1"/>
  <c r="G342" i="25"/>
  <c r="H342" i="25" s="1"/>
  <c r="AF342" i="25"/>
  <c r="AF575" i="25"/>
  <c r="G575" i="25"/>
  <c r="H575" i="25" s="1"/>
  <c r="AF346" i="25"/>
  <c r="G346" i="25"/>
  <c r="H346" i="25" s="1"/>
  <c r="AS346" i="25" s="1"/>
  <c r="AF255" i="25"/>
  <c r="G255" i="25"/>
  <c r="H255" i="25" s="1"/>
  <c r="AS255" i="25" s="1"/>
  <c r="G137" i="25"/>
  <c r="H137" i="25" s="1"/>
  <c r="AF137" i="25"/>
  <c r="AF303" i="25"/>
  <c r="G303" i="25"/>
  <c r="H303" i="25" s="1"/>
  <c r="AF518" i="25"/>
  <c r="G518" i="25"/>
  <c r="H518" i="25" s="1"/>
  <c r="AF549" i="25"/>
  <c r="G549" i="25"/>
  <c r="H549" i="25" s="1"/>
  <c r="AF404" i="25"/>
  <c r="G404" i="25"/>
  <c r="H404" i="25" s="1"/>
  <c r="AS404" i="25" s="1"/>
  <c r="AF134" i="25"/>
  <c r="G134" i="25"/>
  <c r="H134" i="25" s="1"/>
  <c r="AS134" i="25" s="1"/>
  <c r="AF450" i="25"/>
  <c r="G450" i="25"/>
  <c r="H450" i="25" s="1"/>
  <c r="AS450" i="25" s="1"/>
  <c r="AF558" i="25"/>
  <c r="G558" i="25"/>
  <c r="H558" i="25" s="1"/>
  <c r="AS558" i="25" s="1"/>
  <c r="G385" i="25"/>
  <c r="H385" i="25" s="1"/>
  <c r="AF385" i="25"/>
  <c r="AF290" i="25"/>
  <c r="G290" i="25"/>
  <c r="H290" i="25" s="1"/>
  <c r="AS290" i="25" s="1"/>
  <c r="G35" i="25"/>
  <c r="H35" i="25" s="1"/>
  <c r="AS35" i="25" s="1"/>
  <c r="AF35" i="25"/>
  <c r="G448" i="25"/>
  <c r="H448" i="25" s="1"/>
  <c r="AF448" i="25"/>
  <c r="AF556" i="25"/>
  <c r="G556" i="25"/>
  <c r="H556" i="25" s="1"/>
  <c r="AS556" i="25" s="1"/>
  <c r="G16" i="25"/>
  <c r="H16" i="25" s="1"/>
  <c r="AS16" i="25" s="1"/>
  <c r="AF16" i="25"/>
  <c r="G276" i="25"/>
  <c r="H276" i="25" s="1"/>
  <c r="AS276" i="25" s="1"/>
  <c r="AF276" i="25"/>
  <c r="AF227" i="25"/>
  <c r="G227" i="25"/>
  <c r="H227" i="25" s="1"/>
  <c r="AS227" i="25" s="1"/>
  <c r="AF538" i="25"/>
  <c r="G538" i="25"/>
  <c r="H538" i="25" s="1"/>
  <c r="G254" i="25"/>
  <c r="H254" i="25" s="1"/>
  <c r="AS254" i="25" s="1"/>
  <c r="AF254" i="25"/>
  <c r="AF101" i="25"/>
  <c r="G101" i="25"/>
  <c r="H101" i="25" s="1"/>
  <c r="AF437" i="25"/>
  <c r="G437" i="25"/>
  <c r="H437" i="25" s="1"/>
  <c r="G56" i="25"/>
  <c r="H56" i="25" s="1"/>
  <c r="AS56" i="25" s="1"/>
  <c r="AF56" i="25"/>
  <c r="AF551" i="25"/>
  <c r="G551" i="25"/>
  <c r="H551" i="25" s="1"/>
  <c r="AS551" i="25" s="1"/>
  <c r="AF362" i="25"/>
  <c r="G362" i="25"/>
  <c r="H362" i="25" s="1"/>
  <c r="AS362" i="25" s="1"/>
  <c r="G33" i="25"/>
  <c r="H33" i="25" s="1"/>
  <c r="AF33" i="25"/>
  <c r="AF305" i="25"/>
  <c r="G305" i="25"/>
  <c r="H305" i="25" s="1"/>
  <c r="AF81" i="25"/>
  <c r="G81" i="25"/>
  <c r="H81" i="25" s="1"/>
  <c r="AF109" i="25"/>
  <c r="G109" i="25"/>
  <c r="H109" i="25" s="1"/>
  <c r="AF542" i="25"/>
  <c r="G542" i="25"/>
  <c r="H542" i="25" s="1"/>
  <c r="AS542" i="25" s="1"/>
  <c r="AF169" i="25"/>
  <c r="G169" i="25"/>
  <c r="H169" i="25" s="1"/>
  <c r="AF34" i="25"/>
  <c r="G34" i="25"/>
  <c r="H34" i="25" s="1"/>
  <c r="AF115" i="25"/>
  <c r="G115" i="25"/>
  <c r="H115" i="25" s="1"/>
  <c r="AS115" i="25" s="1"/>
  <c r="AF429" i="25"/>
  <c r="G429" i="25"/>
  <c r="H429" i="25" s="1"/>
  <c r="G596" i="25"/>
  <c r="H596" i="25" s="1"/>
  <c r="AS596" i="25" s="1"/>
  <c r="AF596" i="25"/>
  <c r="AF175" i="25"/>
  <c r="G175" i="25"/>
  <c r="H175" i="25" s="1"/>
  <c r="AF378" i="25"/>
  <c r="G378" i="25"/>
  <c r="H378" i="25" s="1"/>
  <c r="AF296" i="25"/>
  <c r="G296" i="25"/>
  <c r="H296" i="25" s="1"/>
  <c r="G229" i="25"/>
  <c r="H229" i="25" s="1"/>
  <c r="AF229" i="25"/>
  <c r="AF313" i="25"/>
  <c r="G313" i="25"/>
  <c r="H313" i="25" s="1"/>
  <c r="AF278" i="25"/>
  <c r="G278" i="25"/>
  <c r="H278" i="25" s="1"/>
  <c r="AS278" i="25" s="1"/>
  <c r="G14" i="25"/>
  <c r="H14" i="25" s="1"/>
  <c r="AS14" i="25" s="1"/>
  <c r="AF14" i="25"/>
  <c r="AF195" i="25"/>
  <c r="G195" i="25"/>
  <c r="H195" i="25" s="1"/>
  <c r="AS195" i="25" s="1"/>
  <c r="AF250" i="25"/>
  <c r="G250" i="25"/>
  <c r="H250" i="25" s="1"/>
  <c r="AS250" i="25" s="1"/>
  <c r="AF364" i="25"/>
  <c r="G364" i="25"/>
  <c r="H364" i="25" s="1"/>
  <c r="AS364" i="25" s="1"/>
  <c r="AF328" i="25"/>
  <c r="G328" i="25"/>
  <c r="H328" i="25" s="1"/>
  <c r="AF189" i="25"/>
  <c r="G189" i="25"/>
  <c r="H189" i="25" s="1"/>
  <c r="G277" i="25"/>
  <c r="H277" i="25" s="1"/>
  <c r="AF277" i="25"/>
  <c r="AF522" i="25"/>
  <c r="G522" i="25"/>
  <c r="H522" i="25" s="1"/>
  <c r="AF146" i="25"/>
  <c r="G146" i="25"/>
  <c r="H146" i="25" s="1"/>
  <c r="AS146" i="25" s="1"/>
  <c r="G475" i="25"/>
  <c r="H475" i="25" s="1"/>
  <c r="AS475" i="25" s="1"/>
  <c r="AF475" i="25"/>
  <c r="AF576" i="25"/>
  <c r="G576" i="25"/>
  <c r="H576" i="25" s="1"/>
  <c r="AS576" i="25" s="1"/>
  <c r="AX351" i="7"/>
  <c r="AX344" i="7"/>
  <c r="AX347" i="7"/>
  <c r="AX223" i="7"/>
  <c r="AX444" i="7"/>
  <c r="AX571" i="7"/>
  <c r="AX385" i="7"/>
  <c r="AX393" i="7"/>
  <c r="AX500" i="7"/>
  <c r="AX285" i="7"/>
  <c r="AX183" i="7"/>
  <c r="AX155" i="7"/>
  <c r="AX409" i="7"/>
  <c r="AX414" i="7"/>
  <c r="AX402" i="7"/>
  <c r="AX278" i="7"/>
  <c r="AW572" i="7"/>
  <c r="AW300" i="7"/>
  <c r="AW152" i="7"/>
  <c r="AW68" i="7"/>
  <c r="AW104" i="7"/>
  <c r="AW508" i="7"/>
  <c r="AW397" i="7"/>
  <c r="AW48" i="7"/>
  <c r="AW454" i="7"/>
  <c r="AW94" i="7"/>
  <c r="AW10" i="7"/>
  <c r="AW81" i="7"/>
  <c r="AW90" i="7"/>
  <c r="AW556" i="7"/>
  <c r="AW581" i="7"/>
  <c r="AW171" i="7"/>
  <c r="AW374" i="7"/>
  <c r="AW215" i="7"/>
  <c r="AW548" i="7"/>
  <c r="AW151" i="7"/>
  <c r="AW239" i="7"/>
  <c r="AW229" i="7"/>
  <c r="AW43" i="7"/>
  <c r="AW406" i="7"/>
  <c r="AW483" i="7"/>
  <c r="AW449" i="7"/>
  <c r="AW262" i="7"/>
  <c r="AW552" i="7"/>
  <c r="AW214" i="7"/>
  <c r="AW249" i="7"/>
  <c r="AX459" i="7"/>
  <c r="AX252" i="7"/>
  <c r="AW478" i="7"/>
  <c r="AX549" i="7"/>
  <c r="AW340" i="7"/>
  <c r="AX299" i="7"/>
  <c r="AX521" i="7"/>
  <c r="AW321" i="7"/>
  <c r="AW459" i="7"/>
  <c r="AW54" i="7"/>
  <c r="AW23" i="7"/>
  <c r="AW270" i="7"/>
  <c r="AW67" i="7"/>
  <c r="AW447" i="7"/>
  <c r="AW13" i="7"/>
  <c r="AW337" i="7"/>
  <c r="AW423" i="7"/>
  <c r="AW561" i="7"/>
  <c r="AW366" i="7"/>
  <c r="AW128" i="7"/>
  <c r="AW498" i="7"/>
  <c r="AW267" i="7"/>
  <c r="AW225" i="7"/>
  <c r="AW247" i="7"/>
  <c r="AW69" i="7"/>
  <c r="AW25" i="7"/>
  <c r="AW17" i="7"/>
  <c r="AW255" i="7"/>
  <c r="AW375" i="7"/>
  <c r="AW318" i="7"/>
  <c r="AW532" i="7"/>
  <c r="AW564" i="7"/>
  <c r="AW428" i="7"/>
  <c r="AW156" i="7"/>
  <c r="AW18" i="7"/>
  <c r="AW323" i="7"/>
  <c r="AW493" i="7"/>
  <c r="AW74" i="7"/>
  <c r="AW338" i="7"/>
  <c r="AW404" i="7"/>
  <c r="AW63" i="7"/>
  <c r="AS396" i="7"/>
  <c r="AY396" i="7" s="1"/>
  <c r="AW20" i="7"/>
  <c r="AW376" i="7"/>
  <c r="AW299" i="7"/>
  <c r="AW567" i="7"/>
  <c r="AW465" i="7"/>
  <c r="AW292" i="7"/>
  <c r="AW41" i="7"/>
  <c r="AW560" i="7"/>
  <c r="AW53" i="7"/>
  <c r="AW460" i="7"/>
  <c r="AW348" i="7"/>
  <c r="AW162" i="7"/>
  <c r="AW593" i="7"/>
  <c r="AW592" i="7"/>
  <c r="AW254" i="7"/>
  <c r="AW479" i="7"/>
  <c r="AW75" i="7"/>
  <c r="AW109" i="7"/>
  <c r="AW95" i="7"/>
  <c r="AW499" i="7"/>
  <c r="AW594" i="7"/>
  <c r="AW482" i="7"/>
  <c r="AW514" i="7"/>
  <c r="AW226" i="7"/>
  <c r="AW169" i="7"/>
  <c r="AW317" i="7"/>
  <c r="AX548" i="7"/>
  <c r="AX304" i="7"/>
  <c r="AX85" i="7"/>
  <c r="AX517" i="7"/>
  <c r="AW228" i="7"/>
  <c r="AW358" i="7"/>
  <c r="AW378" i="7"/>
  <c r="AX518" i="7"/>
  <c r="AX578" i="7"/>
  <c r="AX456" i="7"/>
  <c r="AX452" i="7"/>
  <c r="AX114" i="7"/>
  <c r="AW199" i="7"/>
  <c r="AW187" i="7"/>
  <c r="AW481" i="7"/>
  <c r="AS4" i="7"/>
  <c r="AY4" i="7" s="1"/>
  <c r="AX208" i="7"/>
  <c r="AX245" i="7"/>
  <c r="AX306" i="7"/>
  <c r="AX244" i="7"/>
  <c r="AX16" i="7"/>
  <c r="AX49" i="7"/>
  <c r="AX63" i="7"/>
  <c r="AW566" i="7"/>
  <c r="AW182" i="7"/>
  <c r="AX76" i="7"/>
  <c r="AX143" i="7"/>
  <c r="AX154" i="7"/>
  <c r="AW277" i="7"/>
  <c r="AX117" i="7"/>
  <c r="AX443" i="7"/>
  <c r="AX283" i="7"/>
  <c r="AX99" i="7"/>
  <c r="AX251" i="7"/>
  <c r="AX205" i="7"/>
  <c r="AX350" i="7"/>
  <c r="AX48" i="7"/>
  <c r="AW400" i="7"/>
  <c r="AX575" i="7"/>
  <c r="AW166" i="7"/>
  <c r="AW579" i="7"/>
  <c r="AW310" i="7"/>
  <c r="AX481" i="7"/>
  <c r="AX307" i="7"/>
  <c r="AX338" i="7"/>
  <c r="AW102" i="7"/>
  <c r="AW416" i="7"/>
  <c r="AW436" i="7"/>
  <c r="AW370" i="7"/>
  <c r="AX336" i="7"/>
  <c r="AX145" i="7"/>
  <c r="AX131" i="7"/>
  <c r="AX455" i="7"/>
  <c r="AW186" i="7"/>
  <c r="AW289" i="7"/>
  <c r="AX41" i="7"/>
  <c r="AW583" i="7"/>
  <c r="AW369" i="7"/>
  <c r="AX280" i="7"/>
  <c r="AX147" i="7"/>
  <c r="AX118" i="7"/>
  <c r="AX81" i="7"/>
  <c r="AW326" i="7"/>
  <c r="AW42" i="7"/>
  <c r="AW236" i="7"/>
  <c r="AW505" i="7"/>
  <c r="AW155" i="7"/>
  <c r="AW424" i="7"/>
  <c r="AW15" i="7"/>
  <c r="AX146" i="7"/>
  <c r="AX160" i="7"/>
  <c r="AX341" i="7"/>
  <c r="AX406" i="7"/>
  <c r="AX390" i="7"/>
  <c r="AX544" i="7"/>
  <c r="AW528" i="7"/>
  <c r="AW550" i="7"/>
  <c r="AW183" i="7"/>
  <c r="AW34" i="7"/>
  <c r="AW347" i="7"/>
  <c r="AX381" i="7"/>
  <c r="AX346" i="7"/>
  <c r="AX484" i="7"/>
  <c r="AX375" i="7"/>
  <c r="AX493" i="7"/>
  <c r="AW190" i="7"/>
  <c r="AW584" i="7"/>
  <c r="AW184" i="7"/>
  <c r="AW351" i="7"/>
  <c r="AW19" i="7"/>
  <c r="AW432" i="7"/>
  <c r="AW60" i="7"/>
  <c r="AW494" i="7"/>
  <c r="AW108" i="7"/>
  <c r="AW36" i="7"/>
  <c r="AX242" i="7"/>
  <c r="AX339" i="7"/>
  <c r="AX545" i="7"/>
  <c r="AX274" i="7"/>
  <c r="AX106" i="7"/>
  <c r="AX576" i="7"/>
  <c r="AW486" i="7"/>
  <c r="AW456" i="7"/>
  <c r="AW398" i="7"/>
  <c r="AW278" i="7"/>
  <c r="AW165" i="7"/>
  <c r="AW391" i="7"/>
  <c r="AX50" i="7"/>
  <c r="AX177" i="7"/>
  <c r="AX52" i="7"/>
  <c r="AX311" i="7"/>
  <c r="AX542" i="7"/>
  <c r="AW500" i="7"/>
  <c r="AW242" i="7"/>
  <c r="AW113" i="7"/>
  <c r="AW302" i="7"/>
  <c r="AW426" i="7"/>
  <c r="AW282" i="7"/>
  <c r="AW571" i="7"/>
  <c r="AW553" i="7"/>
  <c r="AW298" i="7"/>
  <c r="AW513" i="7"/>
  <c r="AW543" i="7"/>
  <c r="AW525" i="7"/>
  <c r="AW490" i="7"/>
  <c r="AW212" i="7"/>
  <c r="AW475" i="7"/>
  <c r="AX176" i="7"/>
  <c r="AX446" i="7"/>
  <c r="AX261" i="7"/>
  <c r="AX275" i="7"/>
  <c r="AW2" i="7"/>
  <c r="AW417" i="7"/>
  <c r="AW141" i="7"/>
  <c r="AW265" i="7"/>
  <c r="AW383" i="7"/>
  <c r="AW14" i="7"/>
  <c r="AW218" i="7"/>
  <c r="AW313" i="7"/>
  <c r="AW101" i="7"/>
  <c r="AW372" i="7"/>
  <c r="AW135" i="7"/>
  <c r="AW195" i="7"/>
  <c r="AW7" i="7"/>
  <c r="AW565" i="7"/>
  <c r="AX174" i="7"/>
  <c r="AX334" i="7"/>
  <c r="AX451" i="7"/>
  <c r="AX588" i="7"/>
  <c r="AX79" i="7"/>
  <c r="AX404" i="7"/>
  <c r="AX216" i="7"/>
  <c r="AX61" i="7"/>
  <c r="AX88" i="7"/>
  <c r="AX355" i="7"/>
  <c r="AW87" i="7"/>
  <c r="AW244" i="7"/>
  <c r="AW535" i="7"/>
  <c r="AW328" i="7"/>
  <c r="AW178" i="7"/>
  <c r="AW227" i="7"/>
  <c r="AW517" i="7"/>
  <c r="AW342" i="7"/>
  <c r="AW125" i="7"/>
  <c r="AW480" i="7"/>
  <c r="AW245" i="7"/>
  <c r="AW516" i="7"/>
  <c r="AW250" i="7"/>
  <c r="AW193" i="7"/>
  <c r="AW353" i="7"/>
  <c r="AX152" i="7"/>
  <c r="AX331" i="7"/>
  <c r="AX335" i="7"/>
  <c r="AX115" i="7"/>
  <c r="AX573" i="7"/>
  <c r="AW257" i="7"/>
  <c r="AW333" i="7"/>
  <c r="AW367" i="7"/>
  <c r="AW413" i="7"/>
  <c r="AW288" i="7"/>
  <c r="AW473" i="7"/>
  <c r="AW201" i="7"/>
  <c r="AW418" i="7"/>
  <c r="AW547" i="7"/>
  <c r="AW511" i="7"/>
  <c r="AW209" i="7"/>
  <c r="AW248" i="7"/>
  <c r="AW415" i="7"/>
  <c r="AW523" i="7"/>
  <c r="AW170" i="7"/>
  <c r="AW440" i="7"/>
  <c r="AW497" i="7"/>
  <c r="AW371" i="7"/>
  <c r="AW142" i="7"/>
  <c r="AW291" i="7"/>
  <c r="AX332" i="7"/>
  <c r="AX134" i="7"/>
  <c r="AX24" i="7"/>
  <c r="AX21" i="7"/>
  <c r="AX297" i="7"/>
  <c r="AX262" i="7"/>
  <c r="AX45" i="7"/>
  <c r="AW357" i="7"/>
  <c r="AW389" i="7"/>
  <c r="AW434" i="7"/>
  <c r="AW582" i="7"/>
  <c r="AW496" i="7"/>
  <c r="AW466" i="7"/>
  <c r="AW160" i="7"/>
  <c r="AW269" i="7"/>
  <c r="AW462" i="7"/>
  <c r="AW533" i="7"/>
  <c r="AW146" i="7"/>
  <c r="AW168" i="7"/>
  <c r="AW238" i="7"/>
  <c r="AW61" i="7"/>
  <c r="AW266" i="7"/>
  <c r="AW71" i="7"/>
  <c r="AW220" i="7"/>
  <c r="AW52" i="7"/>
  <c r="AW279" i="7"/>
  <c r="AW164" i="7"/>
  <c r="AW554" i="7"/>
  <c r="AW27" i="7"/>
  <c r="AX376" i="7"/>
  <c r="AX211" i="7"/>
  <c r="AX511" i="7"/>
  <c r="AX219" i="7"/>
  <c r="AX303" i="7"/>
  <c r="AX89" i="7"/>
  <c r="AX54" i="7"/>
  <c r="AX13" i="7"/>
  <c r="AX405" i="7"/>
  <c r="AX250" i="7"/>
  <c r="AX248" i="7"/>
  <c r="AX84" i="7"/>
  <c r="AW205" i="7"/>
  <c r="AW188" i="7"/>
  <c r="AW407" i="7"/>
  <c r="AW138" i="7"/>
  <c r="AW143" i="7"/>
  <c r="AW107" i="7"/>
  <c r="AW253" i="7"/>
  <c r="AW458" i="7"/>
  <c r="AW179" i="7"/>
  <c r="AW461" i="7"/>
  <c r="AW172" i="7"/>
  <c r="AW529" i="7"/>
  <c r="AW332" i="7"/>
  <c r="AW122" i="7"/>
  <c r="AW464" i="7"/>
  <c r="AW590" i="7"/>
  <c r="AW206" i="7"/>
  <c r="AW512" i="7"/>
  <c r="AW6" i="7"/>
  <c r="AW336" i="7"/>
  <c r="AW390" i="7"/>
  <c r="AW443" i="7"/>
  <c r="AW354" i="7"/>
  <c r="AW112" i="7"/>
  <c r="AW234" i="7"/>
  <c r="AW307" i="7"/>
  <c r="AW99" i="7"/>
  <c r="AW329" i="7"/>
  <c r="AW31" i="7"/>
  <c r="AW40" i="7"/>
  <c r="AY379" i="7"/>
  <c r="AX379" i="7"/>
  <c r="AX524" i="7"/>
  <c r="AX83" i="7"/>
  <c r="AX298" i="7"/>
  <c r="AX259" i="7"/>
  <c r="AX488" i="7"/>
  <c r="AX243" i="7"/>
  <c r="AX546" i="7"/>
  <c r="AX273" i="7"/>
  <c r="AX370" i="7"/>
  <c r="AX110" i="7"/>
  <c r="AW105" i="7"/>
  <c r="AW301" i="7"/>
  <c r="AW477" i="7"/>
  <c r="AW363" i="7"/>
  <c r="AW339" i="7"/>
  <c r="AW202" i="7"/>
  <c r="AW56" i="7"/>
  <c r="AW175" i="7"/>
  <c r="AW50" i="7"/>
  <c r="AW204" i="7"/>
  <c r="AW591" i="7"/>
  <c r="AW320" i="7"/>
  <c r="AW136" i="7"/>
  <c r="AW308" i="7"/>
  <c r="AW115" i="7"/>
  <c r="AW126" i="7"/>
  <c r="AW124" i="7"/>
  <c r="AW286" i="7"/>
  <c r="AW557" i="7"/>
  <c r="AW586" i="7"/>
  <c r="AW538" i="7"/>
  <c r="AW116" i="7"/>
  <c r="AW57" i="7"/>
  <c r="AW37" i="7"/>
  <c r="AW536" i="7"/>
  <c r="AW469" i="7"/>
  <c r="AW196" i="7"/>
  <c r="AW304" i="7"/>
  <c r="AW189" i="7"/>
  <c r="AW558" i="7"/>
  <c r="AW5" i="7"/>
  <c r="AW518" i="7"/>
  <c r="AW343" i="7"/>
  <c r="AW217" i="7"/>
  <c r="AW22" i="7"/>
  <c r="AW174" i="7"/>
  <c r="AX42" i="7"/>
  <c r="AX19" i="7"/>
  <c r="AX460" i="7"/>
  <c r="AX516" i="7"/>
  <c r="AX218" i="7"/>
  <c r="AX485" i="7"/>
  <c r="AX109" i="7"/>
  <c r="AX441" i="7"/>
  <c r="AX281" i="7"/>
  <c r="AX295" i="7"/>
  <c r="AX574" i="7"/>
  <c r="AX18" i="7"/>
  <c r="AW360" i="7"/>
  <c r="AW49" i="7"/>
  <c r="AW408" i="7"/>
  <c r="AW222" i="7"/>
  <c r="AW208" i="7"/>
  <c r="AW595" i="7"/>
  <c r="AW251" i="7"/>
  <c r="AW154" i="7"/>
  <c r="AW287" i="7"/>
  <c r="AW96" i="7"/>
  <c r="AW352" i="7"/>
  <c r="AW4" i="7"/>
  <c r="AW26" i="7"/>
  <c r="AW145" i="7"/>
  <c r="AW414" i="7"/>
  <c r="AW296" i="7"/>
  <c r="AW501" i="7"/>
  <c r="AW97" i="7"/>
  <c r="AW70" i="7"/>
  <c r="AW86" i="7"/>
  <c r="AW476" i="7"/>
  <c r="AW28" i="7"/>
  <c r="AW240" i="7"/>
  <c r="AW129" i="7"/>
  <c r="AW161" i="7"/>
  <c r="AW385" i="7"/>
  <c r="AW80" i="7"/>
  <c r="AY247" i="7"/>
  <c r="AX247" i="7"/>
  <c r="AX235" i="7"/>
  <c r="AX539" i="7"/>
  <c r="AX212" i="7"/>
  <c r="AX373" i="7"/>
  <c r="AX580" i="7"/>
  <c r="AX158" i="7"/>
  <c r="AX213" i="7"/>
  <c r="AX276" i="7"/>
  <c r="AW468" i="7"/>
  <c r="AW58" i="7"/>
  <c r="AW65" i="7"/>
  <c r="AW260" i="7"/>
  <c r="AW335" i="7"/>
  <c r="AW191" i="7"/>
  <c r="AW211" i="7"/>
  <c r="AW33" i="7"/>
  <c r="AW484" i="7"/>
  <c r="AW439" i="7"/>
  <c r="AW325" i="7"/>
  <c r="AW64" i="7"/>
  <c r="AW144" i="7"/>
  <c r="AW410" i="7"/>
  <c r="AW83" i="7"/>
  <c r="AW285" i="7"/>
  <c r="AW280" i="7"/>
  <c r="AW373" i="7"/>
  <c r="AW430" i="7"/>
  <c r="AW84" i="7"/>
  <c r="AY523" i="7"/>
  <c r="AX523" i="7"/>
  <c r="AY271" i="7"/>
  <c r="AY227" i="7"/>
  <c r="AY514" i="7"/>
  <c r="AX514" i="7"/>
  <c r="AY326" i="7"/>
  <c r="AX239" i="7"/>
  <c r="AY416" i="7"/>
  <c r="AY380" i="7"/>
  <c r="AX380" i="7"/>
  <c r="AY270" i="7"/>
  <c r="AY486" i="7"/>
  <c r="AX328" i="7"/>
  <c r="AX209" i="7"/>
  <c r="AX480" i="7"/>
  <c r="AX525" i="7"/>
  <c r="AX236" i="7"/>
  <c r="AX512" i="7"/>
  <c r="AX188" i="7"/>
  <c r="AW402" i="7"/>
  <c r="AW309" i="7"/>
  <c r="AW568" i="7"/>
  <c r="AW401" i="7"/>
  <c r="AW334" i="7"/>
  <c r="AW527" i="7"/>
  <c r="AW232" i="7"/>
  <c r="AW345" i="7"/>
  <c r="AW395" i="7"/>
  <c r="AW275" i="7"/>
  <c r="AW46" i="7"/>
  <c r="AW134" i="7"/>
  <c r="AY432" i="7"/>
  <c r="AX333" i="7"/>
  <c r="AY156" i="7"/>
  <c r="AX156" i="7"/>
  <c r="AY23" i="7"/>
  <c r="AX23" i="7"/>
  <c r="AY330" i="7"/>
  <c r="AX330" i="7"/>
  <c r="AY387" i="7"/>
  <c r="AX387" i="7"/>
  <c r="AY519" i="7"/>
  <c r="AX519" i="7"/>
  <c r="AX108" i="7"/>
  <c r="AX22" i="7"/>
  <c r="AX217" i="7"/>
  <c r="AX86" i="7"/>
  <c r="AX581" i="7"/>
  <c r="AY581" i="7"/>
  <c r="AX300" i="7"/>
  <c r="AY300" i="7"/>
  <c r="AX453" i="7"/>
  <c r="AY453" i="7"/>
  <c r="AY140" i="7"/>
  <c r="AY547" i="7"/>
  <c r="AX547" i="7"/>
  <c r="AY572" i="7"/>
  <c r="AX572" i="7"/>
  <c r="AY199" i="7"/>
  <c r="AJ351" i="7"/>
  <c r="AY565" i="7"/>
  <c r="AY263" i="7"/>
  <c r="AX282" i="7"/>
  <c r="AY282" i="7"/>
  <c r="AY231" i="7"/>
  <c r="AX340" i="7"/>
  <c r="AY340" i="7"/>
  <c r="AX210" i="7"/>
  <c r="AX479" i="7"/>
  <c r="AX442" i="7"/>
  <c r="AX142" i="7"/>
  <c r="AY540" i="7"/>
  <c r="AX540" i="7"/>
  <c r="AY310" i="7"/>
  <c r="AX310" i="7"/>
  <c r="AY374" i="7"/>
  <c r="AX374" i="7"/>
  <c r="AY173" i="7"/>
  <c r="AX173" i="7"/>
  <c r="AX179" i="7"/>
  <c r="AX543" i="7"/>
  <c r="AX372" i="7"/>
  <c r="AX579" i="7"/>
  <c r="AX440" i="7"/>
  <c r="AX107" i="7"/>
  <c r="AX476" i="7"/>
  <c r="AX27" i="7"/>
  <c r="AX112" i="7"/>
  <c r="AW303" i="7"/>
  <c r="AW356" i="7"/>
  <c r="AW176" i="7"/>
  <c r="AW549" i="7"/>
  <c r="AY378" i="7"/>
  <c r="AX378" i="7"/>
  <c r="AX237" i="7"/>
  <c r="AY237" i="7"/>
  <c r="AY420" i="7"/>
  <c r="AX551" i="7"/>
  <c r="AY190" i="7"/>
  <c r="AY38" i="7"/>
  <c r="AY277" i="7"/>
  <c r="AX277" i="7"/>
  <c r="AY411" i="7"/>
  <c r="AX411" i="7"/>
  <c r="AX240" i="7"/>
  <c r="AX279" i="7"/>
  <c r="AX80" i="7"/>
  <c r="AX220" i="7"/>
  <c r="AX407" i="7"/>
  <c r="K13" i="20"/>
  <c r="L18" i="20"/>
  <c r="K15" i="20"/>
  <c r="L12" i="20"/>
  <c r="L15" i="20"/>
  <c r="L9" i="20"/>
  <c r="L2" i="20"/>
  <c r="K6" i="20"/>
  <c r="L14" i="20"/>
  <c r="K12" i="20"/>
  <c r="K17" i="20"/>
  <c r="K16" i="20"/>
  <c r="K5" i="20"/>
  <c r="L10" i="20"/>
  <c r="L17" i="20"/>
  <c r="L20" i="20"/>
  <c r="L4" i="20"/>
  <c r="L7" i="20"/>
  <c r="K9" i="20"/>
  <c r="K11" i="20"/>
  <c r="K4" i="20"/>
  <c r="M4" i="20" s="1"/>
  <c r="K3" i="20"/>
  <c r="K18" i="20"/>
  <c r="L13" i="20"/>
  <c r="L16" i="20"/>
  <c r="L19" i="20"/>
  <c r="L3" i="20"/>
  <c r="L6" i="20"/>
  <c r="K19" i="20"/>
  <c r="K10" i="20"/>
  <c r="M10" i="20" s="1"/>
  <c r="K7" i="20"/>
  <c r="K2" i="20"/>
  <c r="L21" i="20"/>
  <c r="L5" i="20"/>
  <c r="L8" i="20"/>
  <c r="L11" i="20"/>
  <c r="K21" i="20"/>
  <c r="M21" i="20" s="1"/>
  <c r="K14" i="20"/>
  <c r="K8" i="20"/>
  <c r="M8" i="20" s="1"/>
  <c r="K20" i="20"/>
  <c r="AJ534" i="7"/>
  <c r="AS482" i="7"/>
  <c r="AJ482" i="7"/>
  <c r="AS494" i="7"/>
  <c r="AJ494" i="7"/>
  <c r="AS367" i="7"/>
  <c r="AY367" i="7" s="1"/>
  <c r="AJ367" i="7"/>
  <c r="AS419" i="7"/>
  <c r="AY419" i="7" s="1"/>
  <c r="AJ419" i="7"/>
  <c r="AS228" i="7"/>
  <c r="AJ228" i="7"/>
  <c r="AS111" i="7"/>
  <c r="AY111" i="7" s="1"/>
  <c r="AJ111" i="7"/>
  <c r="AS146" i="7"/>
  <c r="AY146" i="7" s="1"/>
  <c r="AJ146" i="7"/>
  <c r="AS3" i="7"/>
  <c r="AJ3" i="7"/>
  <c r="AS352" i="7"/>
  <c r="AY352" i="7" s="1"/>
  <c r="AJ352" i="7"/>
  <c r="AS165" i="7"/>
  <c r="AY165" i="7" s="1"/>
  <c r="AJ165" i="7"/>
  <c r="AS561" i="7"/>
  <c r="AY561" i="7" s="1"/>
  <c r="AJ561" i="7"/>
  <c r="AS315" i="7"/>
  <c r="AJ315" i="7"/>
  <c r="AS116" i="7"/>
  <c r="AJ116" i="7"/>
  <c r="AS149" i="7"/>
  <c r="AY149" i="7" s="1"/>
  <c r="AJ149" i="7"/>
  <c r="AS323" i="7"/>
  <c r="AY323" i="7" s="1"/>
  <c r="AJ323" i="7"/>
  <c r="AS305" i="7"/>
  <c r="AJ305" i="7"/>
  <c r="AS17" i="7"/>
  <c r="AJ17" i="7"/>
  <c r="AS182" i="7"/>
  <c r="AJ182" i="7"/>
  <c r="AS221" i="7"/>
  <c r="AJ221" i="7"/>
  <c r="AS316" i="7"/>
  <c r="AJ316" i="7"/>
  <c r="AS467" i="7"/>
  <c r="AY467" i="7" s="1"/>
  <c r="AJ467" i="7"/>
  <c r="AS9" i="7"/>
  <c r="AJ9" i="7"/>
  <c r="AS159" i="7"/>
  <c r="AJ159" i="7"/>
  <c r="AS169" i="7"/>
  <c r="AY169" i="7" s="1"/>
  <c r="AJ169" i="7"/>
  <c r="AS392" i="7"/>
  <c r="AJ392" i="7"/>
  <c r="AS105" i="7"/>
  <c r="AY105" i="7" s="1"/>
  <c r="AJ105" i="7"/>
  <c r="AS559" i="7"/>
  <c r="AJ559" i="7"/>
  <c r="AS395" i="7"/>
  <c r="AY395" i="7" s="1"/>
  <c r="AJ395" i="7"/>
  <c r="AS103" i="7"/>
  <c r="AJ103" i="7"/>
  <c r="AS589" i="7"/>
  <c r="AJ589" i="7"/>
  <c r="AS381" i="7"/>
  <c r="AY381" i="7" s="1"/>
  <c r="AJ381" i="7"/>
  <c r="AS483" i="7"/>
  <c r="AJ483" i="7"/>
  <c r="AS72" i="7"/>
  <c r="AJ72" i="7"/>
  <c r="AS91" i="7"/>
  <c r="AY91" i="7" s="1"/>
  <c r="AJ91" i="7"/>
  <c r="AS254" i="7"/>
  <c r="AJ254" i="7"/>
  <c r="AS256" i="7"/>
  <c r="AJ256" i="7"/>
  <c r="AS593" i="7"/>
  <c r="AY593" i="7" s="1"/>
  <c r="AJ593" i="7"/>
  <c r="AS249" i="7"/>
  <c r="AJ249" i="7"/>
  <c r="AS466" i="7"/>
  <c r="AY466" i="7" s="1"/>
  <c r="AJ466" i="7"/>
  <c r="AS355" i="7"/>
  <c r="AY355" i="7" s="1"/>
  <c r="AJ355" i="7"/>
  <c r="AS126" i="7"/>
  <c r="AJ126" i="7"/>
  <c r="AS520" i="7"/>
  <c r="AY520" i="7" s="1"/>
  <c r="AJ520" i="7"/>
  <c r="AS499" i="7"/>
  <c r="AJ499" i="7"/>
  <c r="AS77" i="7"/>
  <c r="AJ77" i="7"/>
  <c r="AS75" i="7"/>
  <c r="AJ75" i="7"/>
  <c r="AS141" i="7"/>
  <c r="AJ141" i="7"/>
  <c r="AS78" i="7"/>
  <c r="AY78" i="7" s="1"/>
  <c r="AJ78" i="7"/>
  <c r="AS403" i="7"/>
  <c r="AJ403" i="7"/>
  <c r="AS268" i="7"/>
  <c r="AJ268" i="7"/>
  <c r="AS200" i="7"/>
  <c r="AJ200" i="7"/>
  <c r="AS513" i="7"/>
  <c r="AJ513" i="7"/>
  <c r="AS139" i="7"/>
  <c r="AY139" i="7" s="1"/>
  <c r="AJ139" i="7"/>
  <c r="AS56" i="7"/>
  <c r="AJ56" i="7"/>
  <c r="AS258" i="7"/>
  <c r="AJ258" i="7"/>
  <c r="AS312" i="7"/>
  <c r="AJ312" i="7"/>
  <c r="AS222" i="7"/>
  <c r="AY222" i="7" s="1"/>
  <c r="AJ222" i="7"/>
  <c r="AS44" i="7"/>
  <c r="AJ44" i="7"/>
  <c r="AS560" i="7"/>
  <c r="AY560" i="7" s="1"/>
  <c r="AJ560" i="7"/>
  <c r="AS96" i="7"/>
  <c r="AJ96" i="7"/>
  <c r="AS553" i="7"/>
  <c r="AY553" i="7" s="1"/>
  <c r="AJ553" i="7"/>
  <c r="AS477" i="7"/>
  <c r="AY477" i="7" s="1"/>
  <c r="AJ477" i="7"/>
  <c r="AS201" i="7"/>
  <c r="AY201" i="7" s="1"/>
  <c r="AJ201" i="7"/>
  <c r="AS366" i="7"/>
  <c r="AY366" i="7" s="1"/>
  <c r="AJ366" i="7"/>
  <c r="AS113" i="7"/>
  <c r="AY113" i="7" s="1"/>
  <c r="AJ113" i="7"/>
  <c r="AS26" i="7"/>
  <c r="AY26" i="7" s="1"/>
  <c r="AJ26" i="7"/>
  <c r="AS458" i="7"/>
  <c r="AY458" i="7" s="1"/>
  <c r="AJ458" i="7"/>
  <c r="AS172" i="7"/>
  <c r="AJ172" i="7"/>
  <c r="AS89" i="7"/>
  <c r="AY89" i="7" s="1"/>
  <c r="AJ89" i="7"/>
  <c r="AS185" i="7"/>
  <c r="AJ185" i="7"/>
  <c r="AS577" i="7"/>
  <c r="AJ577" i="7"/>
  <c r="AS215" i="7"/>
  <c r="AJ215" i="7"/>
  <c r="AS465" i="7"/>
  <c r="AJ465" i="7"/>
  <c r="AS538" i="7"/>
  <c r="AY538" i="7" s="1"/>
  <c r="AJ538" i="7"/>
  <c r="AS150" i="7"/>
  <c r="AY150" i="7" s="1"/>
  <c r="AJ150" i="7"/>
  <c r="AS418" i="7"/>
  <c r="AY418" i="7" s="1"/>
  <c r="AJ418" i="7"/>
  <c r="AS102" i="7"/>
  <c r="AY102" i="7" s="1"/>
  <c r="AJ102" i="7"/>
  <c r="AS15" i="7"/>
  <c r="AJ15" i="7"/>
  <c r="AS291" i="7"/>
  <c r="AY291" i="7" s="1"/>
  <c r="AJ291" i="7"/>
  <c r="AS568" i="7"/>
  <c r="AY568" i="7" s="1"/>
  <c r="AJ568" i="7"/>
  <c r="AS535" i="7"/>
  <c r="AY535" i="7" s="1"/>
  <c r="AJ535" i="7"/>
  <c r="AS175" i="7"/>
  <c r="AY175" i="7" s="1"/>
  <c r="AJ175" i="7"/>
  <c r="AS309" i="7"/>
  <c r="AY309" i="7" s="1"/>
  <c r="AJ309" i="7"/>
  <c r="AS264" i="7"/>
  <c r="AJ264" i="7"/>
  <c r="AS517" i="7"/>
  <c r="AY517" i="7" s="1"/>
  <c r="AJ517" i="7"/>
  <c r="AS166" i="7"/>
  <c r="AJ166" i="7"/>
  <c r="AS388" i="7"/>
  <c r="AJ388" i="7"/>
  <c r="AS53" i="7"/>
  <c r="AJ53" i="7"/>
  <c r="AS87" i="7"/>
  <c r="AJ87" i="7"/>
  <c r="AS55" i="7"/>
  <c r="AY55" i="7" s="1"/>
  <c r="AJ55" i="7"/>
  <c r="AS357" i="7"/>
  <c r="AJ357" i="7"/>
  <c r="AS133" i="7"/>
  <c r="AY133" i="7" s="1"/>
  <c r="AJ133" i="7"/>
  <c r="AS503" i="7"/>
  <c r="AY503" i="7" s="1"/>
  <c r="AJ503" i="7"/>
  <c r="AS184" i="7"/>
  <c r="AJ184" i="7"/>
  <c r="AS478" i="7"/>
  <c r="AJ478" i="7"/>
  <c r="AS401" i="7"/>
  <c r="AJ401" i="7"/>
  <c r="AS47" i="7"/>
  <c r="AJ47" i="7"/>
  <c r="AS260" i="7"/>
  <c r="AY260" i="7" s="1"/>
  <c r="AJ260" i="7"/>
  <c r="AS505" i="7"/>
  <c r="AJ505" i="7"/>
  <c r="AS151" i="7"/>
  <c r="AJ151" i="7"/>
  <c r="AS25" i="7"/>
  <c r="AY25" i="7" s="1"/>
  <c r="AJ25" i="7"/>
  <c r="AS46" i="7"/>
  <c r="AY46" i="7" s="1"/>
  <c r="AJ46" i="7"/>
  <c r="AS487" i="7"/>
  <c r="AJ487" i="7"/>
  <c r="AS233" i="7"/>
  <c r="AY233" i="7" s="1"/>
  <c r="AJ233" i="7"/>
  <c r="AS11" i="7"/>
  <c r="AY11" i="7" s="1"/>
  <c r="AJ11" i="7"/>
  <c r="AS548" i="7"/>
  <c r="AY548" i="7" s="1"/>
  <c r="AJ548" i="7"/>
  <c r="AS257" i="7"/>
  <c r="AJ257" i="7"/>
  <c r="AS59" i="7"/>
  <c r="AJ59" i="7"/>
  <c r="AS423" i="7"/>
  <c r="AJ423" i="7"/>
  <c r="AS412" i="7"/>
  <c r="AY412" i="7" s="1"/>
  <c r="AJ412" i="7"/>
  <c r="AS137" i="7"/>
  <c r="AJ137" i="7"/>
  <c r="AS45" i="7"/>
  <c r="AY45" i="7" s="1"/>
  <c r="AJ45" i="7"/>
  <c r="AS178" i="7"/>
  <c r="AJ178" i="7"/>
  <c r="AS206" i="7"/>
  <c r="AJ206" i="7"/>
  <c r="AS515" i="7"/>
  <c r="AJ515" i="7"/>
  <c r="AS171" i="7"/>
  <c r="AJ171" i="7"/>
  <c r="AS93" i="7"/>
  <c r="AY93" i="7" s="1"/>
  <c r="AJ93" i="7"/>
  <c r="AS472" i="7"/>
  <c r="AY472" i="7" s="1"/>
  <c r="AJ472" i="7"/>
  <c r="AS522" i="7"/>
  <c r="AJ522" i="7"/>
  <c r="AS377" i="7"/>
  <c r="AY377" i="7" s="1"/>
  <c r="AJ377" i="7"/>
  <c r="AS187" i="7"/>
  <c r="AJ187" i="7"/>
  <c r="AS360" i="7"/>
  <c r="AY360" i="7" s="1"/>
  <c r="AJ360" i="7"/>
  <c r="AS454" i="7"/>
  <c r="AJ454" i="7"/>
  <c r="AS125" i="7"/>
  <c r="AY125" i="7" s="1"/>
  <c r="AJ125" i="7"/>
  <c r="AS371" i="7"/>
  <c r="AJ371" i="7"/>
  <c r="AS314" i="7"/>
  <c r="AJ314" i="7"/>
  <c r="AS296" i="7"/>
  <c r="AY296" i="7" s="1"/>
  <c r="AJ296" i="7"/>
  <c r="AS132" i="7"/>
  <c r="AJ132" i="7"/>
  <c r="AS43" i="7"/>
  <c r="AY43" i="7" s="1"/>
  <c r="AJ43" i="7"/>
  <c r="AS397" i="7"/>
  <c r="AJ397" i="7"/>
  <c r="AS33" i="7"/>
  <c r="AJ33" i="7"/>
  <c r="AS436" i="7"/>
  <c r="AY436" i="7" s="1"/>
  <c r="AJ436" i="7"/>
  <c r="AS107" i="7"/>
  <c r="AY107" i="7" s="1"/>
  <c r="AJ107" i="7"/>
  <c r="AS382" i="7"/>
  <c r="AY382" i="7" s="1"/>
  <c r="AJ382" i="7"/>
  <c r="AS495" i="7"/>
  <c r="AJ495" i="7"/>
  <c r="AS127" i="7"/>
  <c r="AY127" i="7" s="1"/>
  <c r="AJ127" i="7"/>
  <c r="AS391" i="7"/>
  <c r="AJ391" i="7"/>
  <c r="AS65" i="7"/>
  <c r="AY65" i="7" s="1"/>
  <c r="AJ65" i="7"/>
  <c r="AS138" i="7"/>
  <c r="AJ138" i="7"/>
  <c r="AS463" i="7"/>
  <c r="AY463" i="7" s="1"/>
  <c r="AJ463" i="7"/>
  <c r="AS92" i="7"/>
  <c r="AJ92" i="7"/>
  <c r="AS191" i="7"/>
  <c r="AY191" i="7" s="1"/>
  <c r="AJ191" i="7"/>
  <c r="AS474" i="7"/>
  <c r="AY474" i="7" s="1"/>
  <c r="AJ474" i="7"/>
  <c r="AS353" i="7"/>
  <c r="AJ353" i="7"/>
  <c r="AS445" i="7"/>
  <c r="AJ445" i="7"/>
  <c r="AS37" i="7"/>
  <c r="AY37" i="7" s="1"/>
  <c r="AJ37" i="7"/>
  <c r="AS84" i="7"/>
  <c r="AY84" i="7" s="1"/>
  <c r="AJ84" i="7"/>
  <c r="AS30" i="7"/>
  <c r="AJ30" i="7"/>
  <c r="AQ24" i="7"/>
  <c r="AQ433" i="7"/>
  <c r="AQ152" i="7"/>
  <c r="AQ545" i="7"/>
  <c r="AQ356" i="7"/>
  <c r="AQ23" i="7"/>
  <c r="AQ219" i="7"/>
  <c r="AQ161" i="7"/>
  <c r="AQ530" i="7"/>
  <c r="AR328" i="7"/>
  <c r="AQ429" i="7"/>
  <c r="AR437" i="7"/>
  <c r="AQ479" i="7"/>
  <c r="AQ213" i="7"/>
  <c r="AR246" i="7"/>
  <c r="AQ382" i="7"/>
  <c r="AQ316" i="7"/>
  <c r="AQ376" i="7"/>
  <c r="AQ511" i="7"/>
  <c r="AQ308" i="7"/>
  <c r="AQ166" i="7"/>
  <c r="AQ444" i="7"/>
  <c r="AQ304" i="7"/>
  <c r="AQ170" i="7"/>
  <c r="AQ122" i="7"/>
  <c r="AR195" i="7"/>
  <c r="AR196" i="7"/>
  <c r="AR590" i="7"/>
  <c r="AQ451" i="7"/>
  <c r="AQ105" i="7"/>
  <c r="AQ167" i="7"/>
  <c r="AQ532" i="7"/>
  <c r="AQ548" i="7"/>
  <c r="AQ251" i="7"/>
  <c r="AQ391" i="7"/>
  <c r="AQ408" i="7"/>
  <c r="AQ427" i="7"/>
  <c r="AQ401" i="7"/>
  <c r="AR571" i="7"/>
  <c r="AR400" i="7"/>
  <c r="AR504" i="7"/>
  <c r="AQ204" i="7"/>
  <c r="AQ77" i="7"/>
  <c r="AQ476" i="7"/>
  <c r="AQ499" i="7"/>
  <c r="AQ582" i="7"/>
  <c r="AQ375" i="7"/>
  <c r="AQ500" i="7"/>
  <c r="AQ228" i="7"/>
  <c r="AQ250" i="7"/>
  <c r="AR159" i="7"/>
  <c r="AR309" i="7"/>
  <c r="AR80" i="7"/>
  <c r="AR190" i="7"/>
  <c r="AR24" i="7"/>
  <c r="AR471" i="7"/>
  <c r="AR396" i="7"/>
  <c r="AR4" i="7"/>
  <c r="AR574" i="7"/>
  <c r="AR407" i="7"/>
  <c r="AR291" i="7"/>
  <c r="AR193" i="7"/>
  <c r="AR250" i="7"/>
  <c r="AR165" i="7"/>
  <c r="AR346" i="7"/>
  <c r="AR458" i="7"/>
  <c r="AR583" i="7"/>
  <c r="AR426" i="7"/>
  <c r="AR180" i="7"/>
  <c r="AR142" i="7"/>
  <c r="AR232" i="7"/>
  <c r="AR287" i="7"/>
  <c r="AR370" i="7"/>
  <c r="AR135" i="7"/>
  <c r="AR401" i="7"/>
  <c r="AR432" i="7"/>
  <c r="AR128" i="7"/>
  <c r="AR546" i="7"/>
  <c r="AR102" i="7"/>
  <c r="AR99" i="7"/>
  <c r="AR217" i="7"/>
  <c r="AR324" i="7"/>
  <c r="AR531" i="7"/>
  <c r="AR493" i="7"/>
  <c r="AR494" i="7"/>
  <c r="AR14" i="7"/>
  <c r="AR472" i="7"/>
  <c r="AR501" i="7"/>
  <c r="AR73" i="7"/>
  <c r="AR200" i="7"/>
  <c r="AR490" i="7"/>
  <c r="AR582" i="7"/>
  <c r="AR573" i="7"/>
  <c r="AR315" i="7"/>
  <c r="AR595" i="7"/>
  <c r="AR93" i="7"/>
  <c r="AR61" i="7"/>
  <c r="AR577" i="7"/>
  <c r="AR79" i="7"/>
  <c r="AR389" i="7"/>
  <c r="AR280" i="7"/>
  <c r="AR295" i="7"/>
  <c r="AR488" i="7"/>
  <c r="AR178" i="7"/>
  <c r="AR251" i="7"/>
  <c r="AR296" i="7"/>
  <c r="AR498" i="7"/>
  <c r="AR489" i="7"/>
  <c r="AR551" i="7"/>
  <c r="AR421" i="7"/>
  <c r="AR520" i="7"/>
  <c r="AR352" i="7"/>
  <c r="AR378" i="7"/>
  <c r="AR176" i="7"/>
  <c r="AR327" i="7"/>
  <c r="AR420" i="7"/>
  <c r="AR529" i="7"/>
  <c r="AR358" i="7"/>
  <c r="AR301" i="7"/>
  <c r="AR497" i="7"/>
  <c r="AR375" i="7"/>
  <c r="AR365" i="7"/>
  <c r="AR110" i="7"/>
  <c r="AR25" i="7"/>
  <c r="AR576" i="7"/>
  <c r="AR87" i="7"/>
  <c r="AR48" i="7"/>
  <c r="AR451" i="7"/>
  <c r="AR395" i="7"/>
  <c r="AR26" i="7"/>
  <c r="AR256" i="7"/>
  <c r="AR187" i="7"/>
  <c r="AR306" i="7"/>
  <c r="AR477" i="7"/>
  <c r="AR198" i="7"/>
  <c r="AR132" i="7"/>
  <c r="AR466" i="7"/>
  <c r="AR398" i="7"/>
  <c r="AR67" i="7"/>
  <c r="AR364" i="7"/>
  <c r="AR406" i="7"/>
  <c r="AR405" i="7"/>
  <c r="AR535" i="7"/>
  <c r="AR556" i="7"/>
  <c r="AR197" i="7"/>
  <c r="AR436" i="7"/>
  <c r="AR43" i="7"/>
  <c r="AR332" i="7"/>
  <c r="AR357" i="7"/>
  <c r="AR297" i="7"/>
  <c r="AR349" i="7"/>
  <c r="AR469" i="7"/>
  <c r="AR266" i="7"/>
  <c r="AR495" i="7"/>
  <c r="AR481" i="7"/>
  <c r="AR538" i="7"/>
  <c r="AR146" i="7"/>
  <c r="AR465" i="7"/>
  <c r="AR452" i="7"/>
  <c r="AR463" i="7"/>
  <c r="AR334" i="7"/>
  <c r="AR485" i="7"/>
  <c r="AR16" i="7"/>
  <c r="AR320" i="7"/>
  <c r="AR438" i="7"/>
  <c r="AR42" i="7"/>
  <c r="AR455" i="7"/>
  <c r="AR570" i="7"/>
  <c r="AR172" i="7"/>
  <c r="AR267" i="7"/>
  <c r="AR130" i="7"/>
  <c r="AR90" i="7"/>
  <c r="AR32" i="7"/>
  <c r="AR591" i="7"/>
  <c r="AR227" i="7"/>
  <c r="AR253" i="7"/>
  <c r="AR20" i="7"/>
  <c r="AR347" i="7"/>
  <c r="AR589" i="7"/>
  <c r="AR76" i="7"/>
  <c r="AR311" i="7"/>
  <c r="AR329" i="7"/>
  <c r="AR277" i="7"/>
  <c r="AR177" i="7"/>
  <c r="AR29" i="7"/>
  <c r="AR446" i="7"/>
  <c r="AR502" i="7"/>
  <c r="AR385" i="7"/>
  <c r="AR49" i="7"/>
  <c r="AR340" i="7"/>
  <c r="AR205" i="7"/>
  <c r="AR271" i="7"/>
  <c r="AR384" i="7"/>
  <c r="AR181" i="7"/>
  <c r="AR74" i="7"/>
  <c r="AR594" i="7"/>
  <c r="AR567" i="7"/>
  <c r="AR299" i="7"/>
  <c r="AR124" i="7"/>
  <c r="AR119" i="7"/>
  <c r="AR543" i="7"/>
  <c r="AR257" i="7"/>
  <c r="AR530" i="7"/>
  <c r="AR381" i="7"/>
  <c r="AR201" i="7"/>
  <c r="AR459" i="7"/>
  <c r="AR281" i="7"/>
  <c r="AR442" i="7"/>
  <c r="AR302" i="7"/>
  <c r="AR360" i="7"/>
  <c r="AR194" i="7"/>
  <c r="AR106" i="7"/>
  <c r="AR444" i="7"/>
  <c r="AR270" i="7"/>
  <c r="AR151" i="7"/>
  <c r="AR402" i="7"/>
  <c r="AR210" i="7"/>
  <c r="AR337" i="7"/>
  <c r="AR283" i="7"/>
  <c r="AR71" i="7"/>
  <c r="AR462" i="7"/>
  <c r="AR322" i="7"/>
  <c r="AR369" i="7"/>
  <c r="AR416" i="7"/>
  <c r="AR209" i="7"/>
  <c r="AR85" i="7"/>
  <c r="AR522" i="7"/>
  <c r="AR136" i="7"/>
  <c r="AR467" i="7"/>
  <c r="AR37" i="7"/>
  <c r="AR412" i="7"/>
  <c r="AR304" i="7"/>
  <c r="AR58" i="7"/>
  <c r="AR168" i="7"/>
  <c r="AR342" i="7"/>
  <c r="AR449" i="7"/>
  <c r="AR380" i="7"/>
  <c r="AR233" i="7"/>
  <c r="AR28" i="7"/>
  <c r="AR189" i="7"/>
  <c r="AR249" i="7"/>
  <c r="AR508" i="7"/>
  <c r="AR323" i="7"/>
  <c r="AR461" i="7"/>
  <c r="AR456" i="7"/>
  <c r="AR230" i="7"/>
  <c r="AR534" i="7"/>
  <c r="AR286" i="7"/>
  <c r="AR359" i="7"/>
  <c r="AR496" i="7"/>
  <c r="AR541" i="7"/>
  <c r="AR441" i="7"/>
  <c r="AR539" i="7"/>
  <c r="AR423" i="7"/>
  <c r="AR388" i="7"/>
  <c r="AR559" i="7"/>
  <c r="AR414" i="7"/>
  <c r="AR222" i="7"/>
  <c r="AR171" i="7"/>
  <c r="AR235" i="7"/>
  <c r="AR523" i="7"/>
  <c r="AR52" i="7"/>
  <c r="AR392" i="7"/>
  <c r="AR399" i="7"/>
  <c r="AR486" i="7"/>
  <c r="AR555" i="7"/>
  <c r="AR427" i="7"/>
  <c r="AR351" i="7"/>
  <c r="AR77" i="7"/>
  <c r="AR255" i="7"/>
  <c r="AR39" i="7"/>
  <c r="AR390" i="7"/>
  <c r="AR318" i="7"/>
  <c r="AR63" i="7"/>
  <c r="AR247" i="7"/>
  <c r="AR545" i="7"/>
  <c r="AR439" i="7"/>
  <c r="AR511" i="7"/>
  <c r="AR17" i="7"/>
  <c r="AR123" i="7"/>
  <c r="AR450" i="7"/>
  <c r="AR468" i="7"/>
  <c r="AR226" i="7"/>
  <c r="AR587" i="7"/>
  <c r="AR41" i="7"/>
  <c r="AR552" i="7"/>
  <c r="AR149" i="7"/>
  <c r="AR515" i="7"/>
  <c r="AR575" i="7"/>
  <c r="AR218" i="7"/>
  <c r="AR212" i="7"/>
  <c r="AR344" i="7"/>
  <c r="AR147" i="7"/>
  <c r="AR245" i="7"/>
  <c r="AR433" i="7"/>
  <c r="AR117" i="7"/>
  <c r="AR243" i="7"/>
  <c r="AR274" i="7"/>
  <c r="AR275" i="7"/>
  <c r="AR21" i="7"/>
  <c r="AR596" i="7"/>
  <c r="AR224" i="7"/>
  <c r="AR564" i="7"/>
  <c r="AR225" i="7"/>
  <c r="AR98" i="7"/>
  <c r="AR220" i="7"/>
  <c r="AR10" i="7"/>
  <c r="AR108" i="7"/>
  <c r="AR563" i="7"/>
  <c r="AR411" i="7"/>
  <c r="AR8" i="7"/>
  <c r="AR307" i="7"/>
  <c r="AR430" i="7"/>
  <c r="AR341" i="7"/>
  <c r="AR366" i="7"/>
  <c r="AR312" i="7"/>
  <c r="AR379" i="7"/>
  <c r="AR59" i="7"/>
  <c r="AR353" i="7"/>
  <c r="AR19" i="7"/>
  <c r="AR82" i="7"/>
  <c r="AR386" i="7"/>
  <c r="AR305" i="7"/>
  <c r="AR170" i="7"/>
  <c r="AR509" i="7"/>
  <c r="AR553" i="7"/>
  <c r="AR519" i="7"/>
  <c r="AR141" i="7"/>
  <c r="AR78" i="7"/>
  <c r="AR62" i="7"/>
  <c r="AR103" i="7"/>
  <c r="AR561" i="7"/>
  <c r="AR319" i="7"/>
  <c r="AR269" i="7"/>
  <c r="AR15" i="7"/>
  <c r="AR479" i="7"/>
  <c r="AR11" i="7"/>
  <c r="AR125" i="7"/>
  <c r="AR550" i="7"/>
  <c r="AR148" i="7"/>
  <c r="AR96" i="7"/>
  <c r="AR394" i="7"/>
  <c r="AR562" i="7"/>
  <c r="AR109" i="7"/>
  <c r="AR53" i="7"/>
  <c r="AR47" i="7"/>
  <c r="AR244" i="7"/>
  <c r="AR120" i="7"/>
  <c r="AR202" i="7"/>
  <c r="AR113" i="7"/>
  <c r="AR174" i="7"/>
  <c r="AR228" i="7"/>
  <c r="AR273" i="7"/>
  <c r="AR173" i="7"/>
  <c r="AR166" i="7"/>
  <c r="AR507" i="7"/>
  <c r="AR435" i="7"/>
  <c r="AR84" i="7"/>
  <c r="AR150" i="7"/>
  <c r="AR35" i="7"/>
  <c r="AR310" i="7"/>
  <c r="AR184" i="7"/>
  <c r="AR207" i="7"/>
  <c r="AR72" i="7"/>
  <c r="AR429" i="7"/>
  <c r="AR383" i="7"/>
  <c r="AR88" i="7"/>
  <c r="AR374" i="7"/>
  <c r="AR526" i="7"/>
  <c r="AR12" i="7"/>
  <c r="AR510" i="7"/>
  <c r="AR331" i="7"/>
  <c r="AR464" i="7"/>
  <c r="AR419" i="7"/>
  <c r="AR272" i="7"/>
  <c r="AR410" i="7"/>
  <c r="AR355" i="7"/>
  <c r="AR31" i="7"/>
  <c r="AR213" i="7"/>
  <c r="AR391" i="7"/>
  <c r="AR92" i="7"/>
  <c r="AR503" i="7"/>
  <c r="AR70" i="7"/>
  <c r="AR89" i="7"/>
  <c r="AR175" i="7"/>
  <c r="AR514" i="7"/>
  <c r="AR303" i="7"/>
  <c r="AR428" i="7"/>
  <c r="AR64" i="7"/>
  <c r="AR537" i="7"/>
  <c r="AR191" i="7"/>
  <c r="AR179" i="7"/>
  <c r="AR579" i="7"/>
  <c r="AR156" i="7"/>
  <c r="AR343" i="7"/>
  <c r="AR140" i="7"/>
  <c r="AR314" i="7"/>
  <c r="AR326" i="7"/>
  <c r="AR65" i="7"/>
  <c r="AR544" i="7"/>
  <c r="AR425" i="7"/>
  <c r="AR160" i="7"/>
  <c r="AR100" i="7"/>
  <c r="AR492" i="7"/>
  <c r="AR548" i="7"/>
  <c r="AR192" i="7"/>
  <c r="AR568" i="7"/>
  <c r="AR453" i="7"/>
  <c r="AR36" i="7"/>
  <c r="AR566" i="7"/>
  <c r="AR361" i="7"/>
  <c r="AR55" i="7"/>
  <c r="AR293" i="7"/>
  <c r="AR558" i="7"/>
  <c r="AR158" i="7"/>
  <c r="AR69" i="7"/>
  <c r="AR325" i="7"/>
  <c r="AR336" i="7"/>
  <c r="AR403" i="7"/>
  <c r="AR154" i="7"/>
  <c r="AR248" i="7"/>
  <c r="AR354" i="7"/>
  <c r="AR127" i="7"/>
  <c r="AR237" i="7"/>
  <c r="AR40" i="7"/>
  <c r="AR348" i="7"/>
  <c r="AR278" i="7"/>
  <c r="AR3" i="7"/>
  <c r="AR506" i="7"/>
  <c r="AR387" i="7"/>
  <c r="AR300" i="7"/>
  <c r="AR317" i="7"/>
  <c r="AR321" i="7"/>
  <c r="AR208" i="7"/>
  <c r="AR512" i="7"/>
  <c r="AR34" i="7"/>
  <c r="AR75" i="7"/>
  <c r="AR152" i="7"/>
  <c r="AR129" i="7"/>
  <c r="AR542" i="7"/>
  <c r="AR22" i="7"/>
  <c r="AR162" i="7"/>
  <c r="AR133" i="7"/>
  <c r="AR547" i="7"/>
  <c r="AR264" i="7"/>
  <c r="AR581" i="7"/>
  <c r="AR330" i="7"/>
  <c r="AR362" i="7"/>
  <c r="AR9" i="7"/>
  <c r="AR586" i="7"/>
  <c r="AR367" i="7"/>
  <c r="AR18" i="7"/>
  <c r="AR565" i="7"/>
  <c r="AR167" i="7"/>
  <c r="AR126" i="7"/>
  <c r="AR528" i="7"/>
  <c r="AR521" i="7"/>
  <c r="AR86" i="7"/>
  <c r="AR424" i="7"/>
  <c r="AR417" i="7"/>
  <c r="AR368" i="7"/>
  <c r="AR524" i="7"/>
  <c r="AR114" i="7"/>
  <c r="AR241" i="7"/>
  <c r="AR137" i="7"/>
  <c r="AR484" i="7"/>
  <c r="AR516" i="7"/>
  <c r="AR499" i="7"/>
  <c r="AR294" i="7"/>
  <c r="AR265" i="7"/>
  <c r="AR491" i="7"/>
  <c r="AR33" i="7"/>
  <c r="AR593" i="7"/>
  <c r="AR46" i="7"/>
  <c r="AR268" i="7"/>
  <c r="AR454" i="7"/>
  <c r="AR27" i="7"/>
  <c r="AR143" i="7"/>
  <c r="AR169" i="7"/>
  <c r="AR560" i="7"/>
  <c r="AR540" i="7"/>
  <c r="AR163" i="7"/>
  <c r="AR413" i="7"/>
  <c r="AR211" i="7"/>
  <c r="AR500" i="7"/>
  <c r="AR23" i="7"/>
  <c r="AR580" i="7"/>
  <c r="AR188" i="7"/>
  <c r="AR533" i="7"/>
  <c r="AR66" i="7"/>
  <c r="AR588" i="7"/>
  <c r="AR214" i="7"/>
  <c r="AR97" i="7"/>
  <c r="AR183" i="7"/>
  <c r="AR91" i="7"/>
  <c r="AR285" i="7"/>
  <c r="AR382" i="7"/>
  <c r="AR478" i="7"/>
  <c r="AR279" i="7"/>
  <c r="AR54" i="7"/>
  <c r="AR356" i="7"/>
  <c r="AR30" i="7"/>
  <c r="AR122" i="7"/>
  <c r="AR223" i="7"/>
  <c r="AR115" i="7"/>
  <c r="AR440" i="7"/>
  <c r="AR260" i="7"/>
  <c r="AR377" i="7"/>
  <c r="AR480" i="7"/>
  <c r="AR445" i="7"/>
  <c r="AR57" i="7"/>
  <c r="AR252" i="7"/>
  <c r="AR153" i="7"/>
  <c r="AR155" i="7"/>
  <c r="AR404" i="7"/>
  <c r="AR409" i="7"/>
  <c r="AR316" i="7"/>
  <c r="AR443" i="7"/>
  <c r="AR298" i="7"/>
  <c r="AR397" i="7"/>
  <c r="AR434" i="7"/>
  <c r="AR393" i="7"/>
  <c r="AR121" i="7"/>
  <c r="AR592" i="7"/>
  <c r="AR536" i="7"/>
  <c r="AR216" i="7"/>
  <c r="AR185" i="7"/>
  <c r="AR505" i="7"/>
  <c r="AR288" i="7"/>
  <c r="AR199" i="7"/>
  <c r="AR262" i="7"/>
  <c r="AR470" i="7"/>
  <c r="AR242" i="7"/>
  <c r="AR221" i="7"/>
  <c r="AR517" i="7"/>
  <c r="AR527" i="7"/>
  <c r="AR144" i="7"/>
  <c r="AR83" i="7"/>
  <c r="AR50" i="7"/>
  <c r="AR182" i="7"/>
  <c r="AR345" i="7"/>
  <c r="AR487" i="7"/>
  <c r="AR239" i="7"/>
  <c r="AR373" i="7"/>
  <c r="AR263" i="7"/>
  <c r="AR363" i="7"/>
  <c r="AR431" i="7"/>
  <c r="AR335" i="7"/>
  <c r="AR585" i="7"/>
  <c r="AR51" i="7"/>
  <c r="AR457" i="7"/>
  <c r="AR231" i="7"/>
  <c r="AR333" i="7"/>
  <c r="AR206" i="7"/>
  <c r="AR219" i="7"/>
  <c r="AR371" i="7"/>
  <c r="AR44" i="7"/>
  <c r="AR339" i="7"/>
  <c r="AR38" i="7"/>
  <c r="AR554" i="7"/>
  <c r="AR513" i="7"/>
  <c r="AR204" i="7"/>
  <c r="AR473" i="7"/>
  <c r="AR254" i="7"/>
  <c r="AR313" i="7"/>
  <c r="AR584" i="7"/>
  <c r="AR164" i="7"/>
  <c r="AR532" i="7"/>
  <c r="AR259" i="7"/>
  <c r="AR131" i="7"/>
  <c r="AR104" i="7"/>
  <c r="AR408" i="7"/>
  <c r="AR111" i="7"/>
  <c r="AR422" i="7"/>
  <c r="AR107" i="7"/>
  <c r="AR112" i="7"/>
  <c r="AR338" i="7"/>
  <c r="AR2" i="7"/>
  <c r="AR483" i="7"/>
  <c r="AR60" i="7"/>
  <c r="AR56" i="7"/>
  <c r="AR557" i="7"/>
  <c r="AR350" i="7"/>
  <c r="AR475" i="7"/>
  <c r="AR157" i="7"/>
  <c r="AR101" i="7"/>
  <c r="AR238" i="7"/>
  <c r="AR258" i="7"/>
  <c r="AR145" i="7"/>
  <c r="AR240" i="7"/>
  <c r="AR5" i="7"/>
  <c r="AR45" i="7"/>
  <c r="AR68" i="7"/>
  <c r="AR482" i="7"/>
  <c r="AR95" i="7"/>
  <c r="AR134" i="7"/>
  <c r="AR290" i="7"/>
  <c r="AR518" i="7"/>
  <c r="AR118" i="7"/>
  <c r="AR418" i="7"/>
  <c r="AR376" i="7"/>
  <c r="AR525" i="7"/>
  <c r="AQ504" i="7"/>
  <c r="AQ561" i="7"/>
  <c r="AQ307" i="7"/>
  <c r="AQ80" i="7"/>
  <c r="AQ318" i="7"/>
  <c r="AQ183" i="7"/>
  <c r="AQ482" i="7"/>
  <c r="AQ237" i="7"/>
  <c r="AQ591" i="7"/>
  <c r="AQ415" i="7"/>
  <c r="AQ29" i="7"/>
  <c r="AQ551" i="7"/>
  <c r="AQ442" i="7"/>
  <c r="AQ594" i="7"/>
  <c r="AQ533" i="7"/>
  <c r="AQ136" i="7"/>
  <c r="AQ110" i="7"/>
  <c r="AQ580" i="7"/>
  <c r="AQ314" i="7"/>
  <c r="AQ214" i="7"/>
  <c r="AQ486" i="7"/>
  <c r="AQ182" i="7"/>
  <c r="AQ319" i="7"/>
  <c r="AQ541" i="7"/>
  <c r="AQ406" i="7"/>
  <c r="AQ492" i="7"/>
  <c r="AQ188" i="7"/>
  <c r="AQ363" i="7"/>
  <c r="AQ348" i="7"/>
  <c r="AQ277" i="7"/>
  <c r="AQ379" i="7"/>
  <c r="AQ133" i="7"/>
  <c r="AQ242" i="7"/>
  <c r="AQ593" i="7"/>
  <c r="AQ243" i="7"/>
  <c r="AQ231" i="7"/>
  <c r="AQ298" i="7"/>
  <c r="AQ97" i="7"/>
  <c r="AQ147" i="7"/>
  <c r="AQ432" i="7"/>
  <c r="AQ302" i="7"/>
  <c r="AQ521" i="7"/>
  <c r="AQ410" i="7"/>
  <c r="AQ388" i="7"/>
  <c r="AQ260" i="7"/>
  <c r="AQ570" i="7"/>
  <c r="AQ62" i="7"/>
  <c r="AQ284" i="7"/>
  <c r="AQ458" i="7"/>
  <c r="AQ40" i="7"/>
  <c r="AQ72" i="7"/>
  <c r="AQ529" i="7"/>
  <c r="AQ48" i="7"/>
  <c r="AQ501" i="7"/>
  <c r="AQ109" i="7"/>
  <c r="AQ497" i="7"/>
  <c r="AQ139" i="7"/>
  <c r="AQ590" i="7"/>
  <c r="AQ367" i="7"/>
  <c r="AQ266" i="7"/>
  <c r="AQ462" i="7"/>
  <c r="AQ150" i="7"/>
  <c r="AQ491" i="7"/>
  <c r="AQ220" i="7"/>
  <c r="AQ503" i="7"/>
  <c r="AQ464" i="7"/>
  <c r="AQ455" i="7"/>
  <c r="AQ216" i="7"/>
  <c r="AQ487" i="7"/>
  <c r="AQ402" i="7"/>
  <c r="AQ540" i="7"/>
  <c r="AQ210" i="7"/>
  <c r="AQ510" i="7"/>
  <c r="AQ271" i="7"/>
  <c r="AQ577" i="7"/>
  <c r="AQ83" i="7"/>
  <c r="AQ265" i="7"/>
  <c r="AQ285" i="7"/>
  <c r="AQ463" i="7"/>
  <c r="AQ392" i="7"/>
  <c r="AQ515" i="7"/>
  <c r="AQ596" i="7"/>
  <c r="AQ414" i="7"/>
  <c r="AQ586" i="7"/>
  <c r="AQ445" i="7"/>
  <c r="AQ480" i="7"/>
  <c r="AQ428" i="7"/>
  <c r="AQ459" i="7"/>
  <c r="AQ248" i="7"/>
  <c r="AQ181" i="7"/>
  <c r="AQ143" i="7"/>
  <c r="AQ67" i="7"/>
  <c r="AQ148" i="7"/>
  <c r="AQ399" i="7"/>
  <c r="AQ94" i="7"/>
  <c r="AQ263" i="7"/>
  <c r="AQ329" i="7"/>
  <c r="AQ57" i="7"/>
  <c r="AQ68" i="7"/>
  <c r="AQ53" i="7"/>
  <c r="AQ111" i="7"/>
  <c r="AQ134" i="7"/>
  <c r="AQ583" i="7"/>
  <c r="AQ581" i="7"/>
  <c r="AQ189" i="7"/>
  <c r="AQ128" i="7"/>
  <c r="AQ159" i="7"/>
  <c r="AQ365" i="7"/>
  <c r="AQ192" i="7"/>
  <c r="AQ42" i="7"/>
  <c r="AQ21" i="7"/>
  <c r="AQ281" i="7"/>
  <c r="AQ280" i="7"/>
  <c r="AQ126" i="7"/>
  <c r="AQ489" i="7"/>
  <c r="AQ349" i="7"/>
  <c r="AQ154" i="7"/>
  <c r="AQ523" i="7"/>
  <c r="AQ51" i="7"/>
  <c r="AQ9" i="7"/>
  <c r="AQ203" i="7"/>
  <c r="AQ553" i="7"/>
  <c r="AQ276" i="7"/>
  <c r="AQ38" i="7"/>
  <c r="AQ407" i="7"/>
  <c r="AQ475" i="7"/>
  <c r="AQ258" i="7"/>
  <c r="AQ295" i="7"/>
  <c r="AQ187" i="7"/>
  <c r="AQ461" i="7"/>
  <c r="AQ116" i="7"/>
  <c r="AQ88" i="7"/>
  <c r="AQ85" i="7"/>
  <c r="AQ239" i="7"/>
  <c r="AQ571" i="7"/>
  <c r="AQ317" i="7"/>
  <c r="AQ346" i="7"/>
  <c r="AQ394" i="7"/>
  <c r="AQ65" i="7"/>
  <c r="AQ588" i="7"/>
  <c r="AQ531" i="7"/>
  <c r="AQ137" i="7"/>
  <c r="AQ381" i="7"/>
  <c r="AQ66" i="7"/>
  <c r="AQ78" i="7"/>
  <c r="AQ224" i="7"/>
  <c r="AQ174" i="7"/>
  <c r="AQ556" i="7"/>
  <c r="AQ484" i="7"/>
  <c r="AQ278" i="7"/>
  <c r="AQ212" i="7"/>
  <c r="AQ467" i="7"/>
  <c r="AQ43" i="7"/>
  <c r="AQ354" i="7"/>
  <c r="AQ592" i="7"/>
  <c r="AQ227" i="7"/>
  <c r="AQ158" i="7"/>
  <c r="AQ5" i="7"/>
  <c r="AQ6" i="7"/>
  <c r="AQ490" i="7"/>
  <c r="AQ151" i="7"/>
  <c r="AQ419" i="7"/>
  <c r="AQ549" i="7"/>
  <c r="AQ173" i="7"/>
  <c r="AQ311" i="7"/>
  <c r="AQ507" i="7"/>
  <c r="AQ336" i="7"/>
  <c r="AQ508" i="7"/>
  <c r="AQ149" i="7"/>
  <c r="AQ404" i="7"/>
  <c r="AQ564" i="7"/>
  <c r="AQ405" i="7"/>
  <c r="AQ400" i="7"/>
  <c r="AQ438" i="7"/>
  <c r="AQ93" i="7"/>
  <c r="AQ115" i="7"/>
  <c r="AQ81" i="7"/>
  <c r="AQ337" i="7"/>
  <c r="AQ236" i="7"/>
  <c r="AQ526" i="7"/>
  <c r="AQ326" i="7"/>
  <c r="AQ244" i="7"/>
  <c r="AQ30" i="7"/>
  <c r="AQ217" i="7"/>
  <c r="AQ141" i="7"/>
  <c r="AQ293" i="7"/>
  <c r="AQ201" i="7"/>
  <c r="AQ107" i="7"/>
  <c r="AQ100" i="7"/>
  <c r="AQ559" i="7"/>
  <c r="AQ287" i="7"/>
  <c r="AQ357" i="7"/>
  <c r="AQ96" i="7"/>
  <c r="AQ452" i="7"/>
  <c r="AQ466" i="7"/>
  <c r="AQ180" i="7"/>
  <c r="AQ297" i="7"/>
  <c r="AQ296" i="7"/>
  <c r="AQ493" i="7"/>
  <c r="AQ69" i="7"/>
  <c r="AQ144" i="7"/>
  <c r="AQ345" i="7"/>
  <c r="AQ269" i="7"/>
  <c r="AQ2" i="7"/>
  <c r="AQ566" i="7"/>
  <c r="AQ178" i="7"/>
  <c r="AQ420" i="7"/>
  <c r="AQ175" i="7"/>
  <c r="AQ241" i="7"/>
  <c r="AQ145" i="7"/>
  <c r="AQ535" i="7"/>
  <c r="AQ440" i="7"/>
  <c r="AQ573" i="7"/>
  <c r="AQ179" i="7"/>
  <c r="AQ130" i="7"/>
  <c r="AQ342" i="7"/>
  <c r="AQ471" i="7"/>
  <c r="AQ562" i="7"/>
  <c r="AQ369" i="7"/>
  <c r="AQ449" i="7"/>
  <c r="AQ434" i="7"/>
  <c r="AQ120" i="7"/>
  <c r="AQ473" i="7"/>
  <c r="AQ543" i="7"/>
  <c r="AQ39" i="7"/>
  <c r="AQ262" i="7"/>
  <c r="AQ495" i="7"/>
  <c r="AQ17" i="7"/>
  <c r="AQ340" i="7"/>
  <c r="AQ176" i="7"/>
  <c r="AQ574" i="7"/>
  <c r="AQ35" i="7"/>
  <c r="AQ519" i="7"/>
  <c r="AQ274" i="7"/>
  <c r="AQ185" i="7"/>
  <c r="AQ13" i="7"/>
  <c r="AQ209" i="7"/>
  <c r="AQ324" i="7"/>
  <c r="AQ447" i="7"/>
  <c r="AQ546" i="7"/>
  <c r="AQ197" i="7"/>
  <c r="AQ56" i="7"/>
  <c r="AQ160" i="7"/>
  <c r="AQ218" i="7"/>
  <c r="AQ565" i="7"/>
  <c r="AQ327" i="7"/>
  <c r="AQ257" i="7"/>
  <c r="AQ75" i="7"/>
  <c r="AQ396" i="7"/>
  <c r="AQ45" i="7"/>
  <c r="AQ207" i="7"/>
  <c r="AQ19" i="7"/>
  <c r="AQ443" i="7"/>
  <c r="AQ142" i="7"/>
  <c r="AQ249" i="7"/>
  <c r="AQ146" i="7"/>
  <c r="AQ84" i="7"/>
  <c r="AQ106" i="7"/>
  <c r="AQ430" i="7"/>
  <c r="AQ4" i="7"/>
  <c r="AQ288" i="7"/>
  <c r="AQ240" i="7"/>
  <c r="AQ299" i="7"/>
  <c r="AQ101" i="7"/>
  <c r="AQ71" i="7"/>
  <c r="AQ362" i="7"/>
  <c r="AQ82" i="7"/>
  <c r="AQ333" i="7"/>
  <c r="AQ558" i="7"/>
  <c r="AQ436" i="7"/>
  <c r="AQ104" i="7"/>
  <c r="AQ92" i="7"/>
  <c r="AQ343" i="7"/>
  <c r="AQ339" i="7"/>
  <c r="AQ587" i="7"/>
  <c r="AQ301" i="7"/>
  <c r="AQ245" i="7"/>
  <c r="AQ47" i="7"/>
  <c r="AQ98" i="7"/>
  <c r="AQ172" i="7"/>
  <c r="AQ330" i="7"/>
  <c r="AQ424" i="7"/>
  <c r="AQ322" i="7"/>
  <c r="AQ33" i="7"/>
  <c r="AQ222" i="7"/>
  <c r="AQ534" i="7"/>
  <c r="AQ378" i="7"/>
  <c r="AQ55" i="7"/>
  <c r="AQ537" i="7"/>
  <c r="AQ431" i="7"/>
  <c r="AQ483" i="7"/>
  <c r="AQ255" i="7"/>
  <c r="AQ578" i="7"/>
  <c r="AQ41" i="7"/>
  <c r="AQ446" i="7"/>
  <c r="AQ279" i="7"/>
  <c r="AQ246" i="7"/>
  <c r="AQ372" i="7"/>
  <c r="AQ557" i="7"/>
  <c r="AQ389" i="7"/>
  <c r="AQ418" i="7"/>
  <c r="AQ350" i="7"/>
  <c r="AQ303" i="7"/>
  <c r="AQ10" i="7"/>
  <c r="AQ202" i="7"/>
  <c r="AQ112" i="7"/>
  <c r="AQ465" i="7"/>
  <c r="AQ589" i="7"/>
  <c r="AQ18" i="7"/>
  <c r="AQ208" i="7"/>
  <c r="AQ73" i="7"/>
  <c r="AQ286" i="7"/>
  <c r="AQ54" i="7"/>
  <c r="AQ315" i="7"/>
  <c r="AQ76" i="7"/>
  <c r="AQ300" i="7"/>
  <c r="AQ206" i="7"/>
  <c r="AQ585" i="7"/>
  <c r="AQ579" i="7"/>
  <c r="AQ568" i="7"/>
  <c r="AQ421" i="7"/>
  <c r="AQ360" i="7"/>
  <c r="AQ469" i="7"/>
  <c r="AQ169" i="7"/>
  <c r="AQ358" i="7"/>
  <c r="AQ423" i="7"/>
  <c r="AQ44" i="7"/>
  <c r="AQ52" i="7"/>
  <c r="AQ506" i="7"/>
  <c r="AQ386" i="7"/>
  <c r="AQ514" i="7"/>
  <c r="AQ113" i="7"/>
  <c r="AQ74" i="7"/>
  <c r="AQ256" i="7"/>
  <c r="AQ306" i="7"/>
  <c r="AQ353" i="7"/>
  <c r="AQ171" i="7"/>
  <c r="AQ403" i="7"/>
  <c r="AQ542" i="7"/>
  <c r="AQ387" i="7"/>
  <c r="AQ505" i="7"/>
  <c r="AQ138" i="7"/>
  <c r="AQ441" i="7"/>
  <c r="AQ198" i="7"/>
  <c r="AQ31" i="7"/>
  <c r="AQ79" i="7"/>
  <c r="AQ64" i="7"/>
  <c r="AQ494" i="7"/>
  <c r="AQ325" i="7"/>
  <c r="AQ536" i="7"/>
  <c r="AQ456" i="7"/>
  <c r="AQ254" i="7"/>
  <c r="AQ233" i="7"/>
  <c r="AQ450" i="7"/>
  <c r="AQ140" i="7"/>
  <c r="AQ232" i="7"/>
  <c r="AQ575" i="7"/>
  <c r="AQ518" i="7"/>
  <c r="AQ313" i="7"/>
  <c r="AQ569" i="7"/>
  <c r="AQ347" i="7"/>
  <c r="AQ164" i="7"/>
  <c r="AQ289" i="7"/>
  <c r="AQ516" i="7"/>
  <c r="AQ366" i="7"/>
  <c r="AQ267" i="7"/>
  <c r="AQ331" i="7"/>
  <c r="AQ14" i="7"/>
  <c r="AQ12" i="7"/>
  <c r="AQ131" i="7"/>
  <c r="AQ351" i="7"/>
  <c r="AQ371" i="7"/>
  <c r="AQ46" i="7"/>
  <c r="AQ3" i="7"/>
  <c r="AQ282" i="7"/>
  <c r="AQ168" i="7"/>
  <c r="AQ413" i="7"/>
  <c r="AQ341" i="7"/>
  <c r="AQ90" i="7"/>
  <c r="AQ163" i="7"/>
  <c r="AQ312" i="7"/>
  <c r="AQ20" i="7"/>
  <c r="AQ37" i="7"/>
  <c r="AQ393" i="7"/>
  <c r="AQ412" i="7"/>
  <c r="AQ355" i="7"/>
  <c r="AQ270" i="7"/>
  <c r="AQ59" i="7"/>
  <c r="AQ435" i="7"/>
  <c r="AQ460" i="7"/>
  <c r="AQ513" i="7"/>
  <c r="AQ103" i="7"/>
  <c r="AQ477" i="7"/>
  <c r="AQ215" i="7"/>
  <c r="AQ238" i="7"/>
  <c r="AQ253" i="7"/>
  <c r="AQ294" i="7"/>
  <c r="AQ525" i="7"/>
  <c r="AQ118" i="7"/>
  <c r="AQ283" i="7"/>
  <c r="AQ99" i="7"/>
  <c r="AQ199" i="7"/>
  <c r="AQ234" i="7"/>
  <c r="AQ194" i="7"/>
  <c r="AQ555" i="7"/>
  <c r="AQ125" i="7"/>
  <c r="AQ481" i="7"/>
  <c r="AQ211" i="7"/>
  <c r="AQ370" i="7"/>
  <c r="AQ547" i="7"/>
  <c r="AQ554" i="7"/>
  <c r="AQ26" i="7"/>
  <c r="AQ32" i="7"/>
  <c r="AQ305" i="7"/>
  <c r="AQ478" i="7"/>
  <c r="AQ121" i="7"/>
  <c r="AQ60" i="7"/>
  <c r="AQ129" i="7"/>
  <c r="AQ230" i="7"/>
  <c r="AQ8" i="7"/>
  <c r="AQ200" i="7"/>
  <c r="AQ485" i="7"/>
  <c r="AQ157" i="7"/>
  <c r="AQ474" i="7"/>
  <c r="AQ261" i="7"/>
  <c r="AQ247" i="7"/>
  <c r="AQ162" i="7"/>
  <c r="AQ292" i="7"/>
  <c r="AQ328" i="7"/>
  <c r="AQ184" i="7"/>
  <c r="AQ560" i="7"/>
  <c r="AQ195" i="7"/>
  <c r="AQ470" i="7"/>
  <c r="AQ290" i="7"/>
  <c r="AQ235" i="7"/>
  <c r="AQ193" i="7"/>
  <c r="AQ155" i="7"/>
  <c r="AQ117" i="7"/>
  <c r="AQ225" i="7"/>
  <c r="AQ108" i="7"/>
  <c r="AQ361" i="7"/>
  <c r="AQ191" i="7"/>
  <c r="AQ524" i="7"/>
  <c r="AQ453" i="7"/>
  <c r="AQ15" i="7"/>
  <c r="AQ156" i="7"/>
  <c r="AQ552" i="7"/>
  <c r="AQ226" i="7"/>
  <c r="AQ50" i="7"/>
  <c r="AQ472" i="7"/>
  <c r="AQ252" i="7"/>
  <c r="AQ509" i="7"/>
  <c r="AQ264" i="7"/>
  <c r="AQ334" i="7"/>
  <c r="AQ488" i="7"/>
  <c r="AQ309" i="7"/>
  <c r="AQ417" i="7"/>
  <c r="AQ563" i="7"/>
  <c r="AQ272" i="7"/>
  <c r="AQ335" i="7"/>
  <c r="AQ34" i="7"/>
  <c r="AQ538" i="7"/>
  <c r="AQ550" i="7"/>
  <c r="AQ61" i="7"/>
  <c r="AQ221" i="7"/>
  <c r="AQ132" i="7"/>
  <c r="AQ229" i="7"/>
  <c r="AQ259" i="7"/>
  <c r="AQ22" i="7"/>
  <c r="AQ49" i="7"/>
  <c r="AQ123" i="7"/>
  <c r="AQ321" i="7"/>
  <c r="AQ135" i="7"/>
  <c r="AQ512" i="7"/>
  <c r="AQ95" i="7"/>
  <c r="AQ517" i="7"/>
  <c r="AQ190" i="7"/>
  <c r="AR549" i="7"/>
  <c r="AR448" i="7"/>
  <c r="AR161" i="7"/>
  <c r="AR116" i="7"/>
  <c r="AR229" i="7"/>
  <c r="AR203" i="7"/>
  <c r="AR372" i="7"/>
  <c r="AR308" i="7"/>
  <c r="AR139" i="7"/>
  <c r="AR234" i="7"/>
  <c r="AR474" i="7"/>
  <c r="AQ36" i="7"/>
  <c r="AQ374" i="7"/>
  <c r="AQ380" i="7"/>
  <c r="AQ344" i="7"/>
  <c r="AQ383" i="7"/>
  <c r="AQ352" i="7"/>
  <c r="AQ576" i="7"/>
  <c r="AQ186" i="7"/>
  <c r="AQ268" i="7"/>
  <c r="AQ338" i="7"/>
  <c r="AQ567" i="7"/>
  <c r="AQ527" i="7"/>
  <c r="AQ27" i="7"/>
  <c r="AQ11" i="7"/>
  <c r="AQ422" i="7"/>
  <c r="AQ7" i="7"/>
  <c r="AQ63" i="7"/>
  <c r="AQ390" i="7"/>
  <c r="AQ323" i="7"/>
  <c r="AQ385" i="7"/>
  <c r="AQ528" i="7"/>
  <c r="AQ177" i="7"/>
  <c r="AQ437" i="7"/>
  <c r="AQ595" i="7"/>
  <c r="AQ448" i="7"/>
  <c r="AQ544" i="7"/>
  <c r="AQ425" i="7"/>
  <c r="AQ496" i="7"/>
  <c r="AQ102" i="7"/>
  <c r="AQ28" i="7"/>
  <c r="AQ275" i="7"/>
  <c r="AQ25" i="7"/>
  <c r="AQ411" i="7"/>
  <c r="AQ498" i="7"/>
  <c r="AQ359" i="7"/>
  <c r="AQ426" i="7"/>
  <c r="AQ398" i="7"/>
  <c r="AQ539" i="7"/>
  <c r="AQ196" i="7"/>
  <c r="AR476" i="7"/>
  <c r="AR13" i="7"/>
  <c r="AR282" i="7"/>
  <c r="AR7" i="7"/>
  <c r="AR215" i="7"/>
  <c r="AR261" i="7"/>
  <c r="AR289" i="7"/>
  <c r="AR138" i="7"/>
  <c r="AR292" i="7"/>
  <c r="AR186" i="7"/>
  <c r="AR81" i="7"/>
  <c r="AQ165" i="7"/>
  <c r="AQ91" i="7"/>
  <c r="AQ320" i="7"/>
  <c r="AQ409" i="7"/>
  <c r="AQ70" i="7"/>
  <c r="AQ364" i="7"/>
  <c r="AQ520" i="7"/>
  <c r="AQ454" i="7"/>
  <c r="AQ416" i="7"/>
  <c r="AQ384" i="7"/>
  <c r="AQ572" i="7"/>
  <c r="AQ153" i="7"/>
  <c r="AQ114" i="7"/>
  <c r="AQ205" i="7"/>
  <c r="AQ395" i="7"/>
  <c r="AQ397" i="7"/>
  <c r="AQ86" i="7"/>
  <c r="AQ310" i="7"/>
  <c r="AQ468" i="7"/>
  <c r="AQ89" i="7"/>
  <c r="AQ522" i="7"/>
  <c r="AQ291" i="7"/>
  <c r="AQ584" i="7"/>
  <c r="AQ368" i="7"/>
  <c r="AQ223" i="7"/>
  <c r="AQ124" i="7"/>
  <c r="AQ58" i="7"/>
  <c r="AQ377" i="7"/>
  <c r="AQ87" i="7"/>
  <c r="AQ127" i="7"/>
  <c r="AQ502" i="7"/>
  <c r="AQ439" i="7"/>
  <c r="AQ16" i="7"/>
  <c r="AQ273" i="7"/>
  <c r="AQ119" i="7"/>
  <c r="AQ373" i="7"/>
  <c r="AQ332" i="7"/>
  <c r="AQ457" i="7"/>
  <c r="AR94" i="7"/>
  <c r="AR105" i="7"/>
  <c r="AR276" i="7"/>
  <c r="AR6" i="7"/>
  <c r="AR415" i="7"/>
  <c r="AR460" i="7"/>
  <c r="AR569" i="7"/>
  <c r="AR447" i="7"/>
  <c r="AR284" i="7"/>
  <c r="AR572" i="7"/>
  <c r="AR578" i="7"/>
  <c r="AR236" i="7"/>
  <c r="D19" i="14" l="1"/>
  <c r="M6" i="14"/>
  <c r="J13" i="14"/>
  <c r="P19" i="14"/>
  <c r="D6" i="14"/>
  <c r="M13" i="14"/>
  <c r="J17" i="14"/>
  <c r="J20" i="14"/>
  <c r="G24" i="14"/>
  <c r="D20" i="14"/>
  <c r="P22" i="14"/>
  <c r="M17" i="14"/>
  <c r="D10" i="14"/>
  <c r="M20" i="14"/>
  <c r="D22" i="14"/>
  <c r="G13" i="14"/>
  <c r="J6" i="14"/>
  <c r="P11" i="14"/>
  <c r="G17" i="14"/>
  <c r="M11" i="14"/>
  <c r="P6" i="14"/>
  <c r="J5" i="14"/>
  <c r="P12" i="14"/>
  <c r="D17" i="14"/>
  <c r="G11" i="14"/>
  <c r="J19" i="14"/>
  <c r="M7" i="14"/>
  <c r="D13" i="14"/>
  <c r="J14" i="14"/>
  <c r="G19" i="14"/>
  <c r="M24" i="14"/>
  <c r="P17" i="14"/>
  <c r="D24" i="14"/>
  <c r="G6" i="14"/>
  <c r="M12" i="14"/>
  <c r="P5" i="14"/>
  <c r="J11" i="14"/>
  <c r="P8" i="14"/>
  <c r="G15" i="14"/>
  <c r="J9" i="14"/>
  <c r="M8" i="14"/>
  <c r="P13" i="14"/>
  <c r="D5" i="14"/>
  <c r="D16" i="14"/>
  <c r="P9" i="14"/>
  <c r="G14" i="14"/>
  <c r="J8" i="14"/>
  <c r="M19" i="14"/>
  <c r="D21" i="14"/>
  <c r="M10" i="14"/>
  <c r="D9" i="14"/>
  <c r="G5" i="14"/>
  <c r="AQ407" i="25"/>
  <c r="AQ261" i="25"/>
  <c r="AO592" i="25"/>
  <c r="AQ183" i="25"/>
  <c r="AQ247" i="25"/>
  <c r="AQ71" i="25"/>
  <c r="AQ86" i="25"/>
  <c r="AQ434" i="25"/>
  <c r="AQ120" i="25"/>
  <c r="AQ427" i="25"/>
  <c r="AQ242" i="25"/>
  <c r="AQ304" i="25"/>
  <c r="AQ492" i="25"/>
  <c r="AQ170" i="25"/>
  <c r="AQ114" i="25"/>
  <c r="AQ156" i="25"/>
  <c r="AZ156" i="25" s="1"/>
  <c r="AQ128" i="25"/>
  <c r="AQ147" i="25"/>
  <c r="AQ6" i="25"/>
  <c r="H424" i="25"/>
  <c r="AR424" i="25"/>
  <c r="H449" i="25"/>
  <c r="AR449" i="25"/>
  <c r="AR406" i="25"/>
  <c r="H406" i="25"/>
  <c r="H486" i="25"/>
  <c r="AR486" i="25"/>
  <c r="H527" i="25"/>
  <c r="AR527" i="25"/>
  <c r="H577" i="25"/>
  <c r="AR577" i="25"/>
  <c r="AR238" i="25"/>
  <c r="H238" i="25"/>
  <c r="H557" i="25"/>
  <c r="AR557" i="25"/>
  <c r="H582" i="25"/>
  <c r="AR582" i="25"/>
  <c r="AR372" i="25"/>
  <c r="H372" i="25"/>
  <c r="AR572" i="25"/>
  <c r="H572" i="25"/>
  <c r="H436" i="25"/>
  <c r="AR436" i="25"/>
  <c r="H524" i="25"/>
  <c r="AR524" i="25"/>
  <c r="AR299" i="25"/>
  <c r="H299" i="25"/>
  <c r="H260" i="25"/>
  <c r="AR260" i="25"/>
  <c r="H540" i="25"/>
  <c r="AR540" i="25"/>
  <c r="H513" i="25"/>
  <c r="AR513" i="25"/>
  <c r="AR354" i="25"/>
  <c r="H354" i="25"/>
  <c r="AR413" i="25"/>
  <c r="H413" i="25"/>
  <c r="AR443" i="25"/>
  <c r="H443" i="25"/>
  <c r="H397" i="25"/>
  <c r="AR397" i="25"/>
  <c r="H548" i="25"/>
  <c r="AR548" i="25"/>
  <c r="AR386" i="25"/>
  <c r="H386" i="25"/>
  <c r="H391" i="25"/>
  <c r="AR391" i="25"/>
  <c r="H507" i="25"/>
  <c r="AR507" i="25"/>
  <c r="H535" i="25"/>
  <c r="AR535" i="25"/>
  <c r="H468" i="25"/>
  <c r="AR468" i="25"/>
  <c r="H375" i="25"/>
  <c r="AR375" i="25"/>
  <c r="H462" i="25"/>
  <c r="AR462" i="25"/>
  <c r="H365" i="25"/>
  <c r="AR365" i="25"/>
  <c r="H583" i="25"/>
  <c r="AR583" i="25"/>
  <c r="H451" i="25"/>
  <c r="AR451" i="25"/>
  <c r="AR311" i="25"/>
  <c r="H311" i="25"/>
  <c r="H453" i="25"/>
  <c r="AR453" i="25"/>
  <c r="H284" i="25"/>
  <c r="AR284" i="25"/>
  <c r="AR160" i="25"/>
  <c r="H160" i="25"/>
  <c r="AR508" i="25"/>
  <c r="H508" i="25"/>
  <c r="H382" i="25"/>
  <c r="AR382" i="25"/>
  <c r="AR497" i="25"/>
  <c r="H497" i="25"/>
  <c r="AR380" i="25"/>
  <c r="H380" i="25"/>
  <c r="H446" i="25"/>
  <c r="AR446" i="25"/>
  <c r="H458" i="25"/>
  <c r="AR458" i="25"/>
  <c r="AR438" i="25"/>
  <c r="H438" i="25"/>
  <c r="H358" i="25"/>
  <c r="AR358" i="25"/>
  <c r="H258" i="25"/>
  <c r="AR258" i="25"/>
  <c r="H302" i="25"/>
  <c r="AR302" i="25"/>
  <c r="H286" i="25"/>
  <c r="AR286" i="25"/>
  <c r="H490" i="25"/>
  <c r="AR490" i="25"/>
  <c r="AR595" i="25"/>
  <c r="H595" i="25"/>
  <c r="H553" i="25"/>
  <c r="AR553" i="25"/>
  <c r="AR337" i="25"/>
  <c r="H337" i="25"/>
  <c r="H573" i="25"/>
  <c r="AR573" i="25"/>
  <c r="H308" i="25"/>
  <c r="AR308" i="25"/>
  <c r="H470" i="25"/>
  <c r="AR470" i="25"/>
  <c r="H517" i="25"/>
  <c r="AR517" i="25"/>
  <c r="H368" i="25"/>
  <c r="AR368" i="25"/>
  <c r="H355" i="25"/>
  <c r="AR355" i="25"/>
  <c r="AP482" i="25" a="1"/>
  <c r="AP482" i="25" s="1"/>
  <c r="AQ98" i="25"/>
  <c r="AQ112" i="25"/>
  <c r="H332" i="25"/>
  <c r="AR332" i="25"/>
  <c r="H590" i="25"/>
  <c r="AR590" i="25"/>
  <c r="AR532" i="25"/>
  <c r="H532" i="25"/>
  <c r="H432" i="25"/>
  <c r="AR432" i="25"/>
  <c r="H314" i="25"/>
  <c r="AR314" i="25"/>
  <c r="H455" i="25"/>
  <c r="AR455" i="25"/>
  <c r="H329" i="25"/>
  <c r="AR329" i="25"/>
  <c r="H319" i="25"/>
  <c r="AR319" i="25"/>
  <c r="H25" i="25"/>
  <c r="AR25" i="25"/>
  <c r="H589" i="25"/>
  <c r="AR589" i="25"/>
  <c r="H389" i="25"/>
  <c r="AR389" i="25"/>
  <c r="AR324" i="25"/>
  <c r="H324" i="25"/>
  <c r="H520" i="25"/>
  <c r="AR520" i="25"/>
  <c r="H259" i="25"/>
  <c r="AR259" i="25"/>
  <c r="H105" i="25"/>
  <c r="AR105" i="25"/>
  <c r="AR148" i="25"/>
  <c r="H148" i="25"/>
  <c r="H399" i="25"/>
  <c r="AR399" i="25"/>
  <c r="H351" i="25"/>
  <c r="AR351" i="25"/>
  <c r="AR552" i="25"/>
  <c r="H552" i="25"/>
  <c r="AR514" i="25"/>
  <c r="H514" i="25"/>
  <c r="H291" i="25"/>
  <c r="AR291" i="25"/>
  <c r="H409" i="25"/>
  <c r="AR409" i="25"/>
  <c r="AX590" i="7"/>
  <c r="AX461" i="7"/>
  <c r="AX555" i="7"/>
  <c r="AX415" i="7"/>
  <c r="AX583" i="7"/>
  <c r="M13" i="20"/>
  <c r="M15" i="20"/>
  <c r="AQ199" i="25"/>
  <c r="AQ167" i="25"/>
  <c r="AQ94" i="25"/>
  <c r="AQ7" i="25"/>
  <c r="AQ64" i="25"/>
  <c r="AQ235" i="25"/>
  <c r="AQ338" i="25"/>
  <c r="AO521" i="25"/>
  <c r="AQ122" i="25"/>
  <c r="AQ27" i="25"/>
  <c r="AQ186" i="25"/>
  <c r="AO369" i="25"/>
  <c r="AP179" i="25" a="1"/>
  <c r="AP179" i="25" s="1"/>
  <c r="AQ131" i="25"/>
  <c r="AM328" i="25"/>
  <c r="AS328" i="25"/>
  <c r="AS313" i="25"/>
  <c r="AM313" i="25"/>
  <c r="AM296" i="25"/>
  <c r="AS296" i="25"/>
  <c r="AM175" i="25"/>
  <c r="AS175" i="25"/>
  <c r="AS429" i="25"/>
  <c r="AM429" i="25"/>
  <c r="AM34" i="25"/>
  <c r="AS34" i="25"/>
  <c r="AS81" i="25"/>
  <c r="AM81" i="25"/>
  <c r="AM437" i="25"/>
  <c r="AS437" i="25"/>
  <c r="AM549" i="25"/>
  <c r="AS549" i="25"/>
  <c r="AM303" i="25"/>
  <c r="AS303" i="25"/>
  <c r="AM575" i="25"/>
  <c r="AS575" i="25"/>
  <c r="AM408" i="25"/>
  <c r="AS408" i="25"/>
  <c r="AS73" i="25"/>
  <c r="AM73" i="25"/>
  <c r="AS180" i="25"/>
  <c r="AM180" i="25"/>
  <c r="AM151" i="25"/>
  <c r="AS151" i="25"/>
  <c r="AS20" i="25"/>
  <c r="AM20" i="25"/>
  <c r="AM416" i="25"/>
  <c r="AS416" i="25"/>
  <c r="AS129" i="25"/>
  <c r="AM129" i="25"/>
  <c r="AS17" i="25"/>
  <c r="AM17" i="25"/>
  <c r="AS445" i="25"/>
  <c r="AM445" i="25"/>
  <c r="AM234" i="25"/>
  <c r="AS234" i="25"/>
  <c r="AM210" i="25"/>
  <c r="AS210" i="25"/>
  <c r="AM326" i="25"/>
  <c r="AS326" i="25"/>
  <c r="AS84" i="25"/>
  <c r="AM84" i="25"/>
  <c r="AS401" i="25"/>
  <c r="AM401" i="25"/>
  <c r="AS149" i="25"/>
  <c r="AM149" i="25"/>
  <c r="AM10" i="25"/>
  <c r="AS10" i="25"/>
  <c r="AS561" i="25"/>
  <c r="AM561" i="25"/>
  <c r="AM15" i="25"/>
  <c r="AS15" i="25"/>
  <c r="AS501" i="25"/>
  <c r="AM501" i="25"/>
  <c r="AS469" i="25"/>
  <c r="AM469" i="25"/>
  <c r="AS221" i="25"/>
  <c r="AM221" i="25"/>
  <c r="AS297" i="25"/>
  <c r="AM297" i="25"/>
  <c r="AM390" i="25"/>
  <c r="AS390" i="25"/>
  <c r="AM118" i="25"/>
  <c r="AS118" i="25"/>
  <c r="AM503" i="25"/>
  <c r="AS503" i="25"/>
  <c r="AS550" i="25"/>
  <c r="AM550" i="25"/>
  <c r="AS281" i="25"/>
  <c r="AM281" i="25"/>
  <c r="AM256" i="25"/>
  <c r="AS256" i="25"/>
  <c r="AM488" i="25"/>
  <c r="AS488" i="25"/>
  <c r="AM543" i="25"/>
  <c r="AS543" i="25"/>
  <c r="AS197" i="25"/>
  <c r="AM197" i="25"/>
  <c r="AS185" i="25"/>
  <c r="AM185" i="25"/>
  <c r="AM62" i="25"/>
  <c r="AS62" i="25"/>
  <c r="AS273" i="25"/>
  <c r="AM273" i="25"/>
  <c r="AS441" i="25"/>
  <c r="AM441" i="25"/>
  <c r="AS233" i="25"/>
  <c r="AM233" i="25"/>
  <c r="AM570" i="25"/>
  <c r="AS570" i="25"/>
  <c r="AS26" i="25"/>
  <c r="AM26" i="25"/>
  <c r="AS217" i="25"/>
  <c r="AM217" i="25"/>
  <c r="AS525" i="25"/>
  <c r="AM525" i="25"/>
  <c r="AM489" i="25"/>
  <c r="AS489" i="25"/>
  <c r="AM177" i="25"/>
  <c r="AS177" i="25"/>
  <c r="AM454" i="25"/>
  <c r="AS454" i="25"/>
  <c r="AM58" i="25"/>
  <c r="AS58" i="25"/>
  <c r="AM465" i="25"/>
  <c r="AS465" i="25"/>
  <c r="AS181" i="25"/>
  <c r="AM181" i="25"/>
  <c r="AS225" i="25"/>
  <c r="AM225" i="25"/>
  <c r="AS485" i="25"/>
  <c r="AM485" i="25"/>
  <c r="AS373" i="25"/>
  <c r="AM373" i="25"/>
  <c r="AM554" i="25"/>
  <c r="AS554" i="25"/>
  <c r="AM54" i="25"/>
  <c r="AS54" i="25"/>
  <c r="AS569" i="25"/>
  <c r="AM569" i="25"/>
  <c r="AM55" i="25"/>
  <c r="AS55" i="25"/>
  <c r="AM395" i="25"/>
  <c r="AM423" i="25"/>
  <c r="AM2" i="25"/>
  <c r="AM467" i="25"/>
  <c r="AM43" i="25"/>
  <c r="AM336" i="25"/>
  <c r="AM344" i="25"/>
  <c r="AM191" i="25"/>
  <c r="AM216" i="25"/>
  <c r="AM252" i="25"/>
  <c r="AM212" i="25"/>
  <c r="AM558" i="25"/>
  <c r="AM466" i="25"/>
  <c r="AM298" i="25"/>
  <c r="AM318" i="25"/>
  <c r="AM364" i="25"/>
  <c r="AM392" i="25"/>
  <c r="AM56" i="25"/>
  <c r="AM290" i="25"/>
  <c r="AM140" i="25"/>
  <c r="AM126" i="25"/>
  <c r="AM430" i="25"/>
  <c r="AM452" i="25"/>
  <c r="AM460" i="25"/>
  <c r="AM283" i="25"/>
  <c r="AM363" i="25"/>
  <c r="AM220" i="25"/>
  <c r="AM174" i="25"/>
  <c r="AM500" i="25"/>
  <c r="AM230" i="25"/>
  <c r="AM511" i="25"/>
  <c r="AM231" i="25"/>
  <c r="AM275" i="25"/>
  <c r="AM267" i="25"/>
  <c r="AM563" i="25"/>
  <c r="AM404" i="25"/>
  <c r="AM536" i="25"/>
  <c r="AM584" i="25"/>
  <c r="AM31" i="25"/>
  <c r="AM498" i="25"/>
  <c r="AS277" i="25"/>
  <c r="AM277" i="25"/>
  <c r="AS33" i="25"/>
  <c r="AM33" i="25"/>
  <c r="AM448" i="25"/>
  <c r="AS448" i="25"/>
  <c r="AS285" i="25"/>
  <c r="AM285" i="25"/>
  <c r="AS541" i="25"/>
  <c r="AM541" i="25"/>
  <c r="AS13" i="25"/>
  <c r="AM13" i="25"/>
  <c r="AS121" i="25"/>
  <c r="AM121" i="25"/>
  <c r="AS161" i="25"/>
  <c r="AM161" i="25"/>
  <c r="AM578" i="25"/>
  <c r="AS578" i="25"/>
  <c r="AS133" i="25"/>
  <c r="AM133" i="25"/>
  <c r="AM274" i="25"/>
  <c r="AS274" i="25"/>
  <c r="AM301" i="25"/>
  <c r="AS301" i="25"/>
  <c r="AS321" i="25"/>
  <c r="AM321" i="25"/>
  <c r="AS157" i="25"/>
  <c r="AM157" i="25"/>
  <c r="AM388" i="25"/>
  <c r="AS388" i="25"/>
  <c r="AM412" i="25"/>
  <c r="AS412" i="25"/>
  <c r="AM322" i="25"/>
  <c r="AS322" i="25"/>
  <c r="AS533" i="25"/>
  <c r="AM533" i="25"/>
  <c r="AS249" i="25"/>
  <c r="AM249" i="25"/>
  <c r="AS593" i="25"/>
  <c r="AM593" i="25"/>
  <c r="AM107" i="25"/>
  <c r="AM551" i="25"/>
  <c r="AM400" i="25"/>
  <c r="AM367" i="25"/>
  <c r="AM396" i="25"/>
  <c r="AM348" i="25"/>
  <c r="AM119" i="25"/>
  <c r="AM450" i="25"/>
  <c r="AM255" i="25"/>
  <c r="AM168" i="25"/>
  <c r="AM547" i="25"/>
  <c r="AM146" i="25"/>
  <c r="AM579" i="25"/>
  <c r="AM546" i="25"/>
  <c r="AM574" i="25"/>
  <c r="AM124" i="25"/>
  <c r="AM531" i="25"/>
  <c r="AM439" i="25"/>
  <c r="AM515" i="25"/>
  <c r="AM88" i="25"/>
  <c r="AM415" i="25"/>
  <c r="AM79" i="25"/>
  <c r="AM398" i="25"/>
  <c r="AM504" i="25"/>
  <c r="AM288" i="25"/>
  <c r="AM280" i="25"/>
  <c r="AM596" i="25"/>
  <c r="AM44" i="25"/>
  <c r="AM236" i="25"/>
  <c r="AM411" i="25"/>
  <c r="AM594" i="25"/>
  <c r="AM544" i="25"/>
  <c r="AM484" i="25"/>
  <c r="AM266" i="25"/>
  <c r="AM586" i="25"/>
  <c r="AM80" i="25"/>
  <c r="AM556" i="25"/>
  <c r="AM106" i="25"/>
  <c r="AM442" i="25"/>
  <c r="AM474" i="25"/>
  <c r="AM362" i="25"/>
  <c r="AM464" i="25"/>
  <c r="AM522" i="25"/>
  <c r="AS522" i="25"/>
  <c r="AM189" i="25"/>
  <c r="AS189" i="25"/>
  <c r="AM378" i="25"/>
  <c r="AS378" i="25"/>
  <c r="AS169" i="25"/>
  <c r="AM169" i="25"/>
  <c r="AS109" i="25"/>
  <c r="AM109" i="25"/>
  <c r="AS305" i="25"/>
  <c r="AM305" i="25"/>
  <c r="AS101" i="25"/>
  <c r="AM101" i="25"/>
  <c r="AM538" i="25"/>
  <c r="AS538" i="25"/>
  <c r="AM518" i="25"/>
  <c r="AS518" i="25"/>
  <c r="AM545" i="25"/>
  <c r="AS545" i="25"/>
  <c r="AM103" i="25"/>
  <c r="AS103" i="25"/>
  <c r="AS509" i="25"/>
  <c r="AM509" i="25"/>
  <c r="AM487" i="25"/>
  <c r="AS487" i="25"/>
  <c r="AS36" i="25"/>
  <c r="AM36" i="25"/>
  <c r="AM479" i="25"/>
  <c r="AS479" i="25"/>
  <c r="AM366" i="25"/>
  <c r="AS366" i="25"/>
  <c r="AS85" i="25"/>
  <c r="AM85" i="25"/>
  <c r="AS69" i="25"/>
  <c r="AM69" i="25"/>
  <c r="AM307" i="25"/>
  <c r="AS307" i="25"/>
  <c r="AM90" i="25"/>
  <c r="AS90" i="25"/>
  <c r="AM567" i="25"/>
  <c r="AS567" i="25"/>
  <c r="AM207" i="25"/>
  <c r="AS207" i="25"/>
  <c r="AS178" i="25"/>
  <c r="AM178" i="25"/>
  <c r="AM347" i="25"/>
  <c r="AS347" i="25"/>
  <c r="AS461" i="25"/>
  <c r="AM461" i="25"/>
  <c r="AS330" i="25"/>
  <c r="AM330" i="25"/>
  <c r="AM222" i="25"/>
  <c r="AS222" i="25"/>
  <c r="AM18" i="25"/>
  <c r="AS18" i="25"/>
  <c r="AM580" i="25"/>
  <c r="AS580" i="25"/>
  <c r="AM190" i="25"/>
  <c r="AS190" i="25"/>
  <c r="AM29" i="25"/>
  <c r="AS29" i="25"/>
  <c r="AS357" i="25"/>
  <c r="AM357" i="25"/>
  <c r="AM472" i="25"/>
  <c r="AS472" i="25"/>
  <c r="AS28" i="25"/>
  <c r="AM28" i="25"/>
  <c r="AS173" i="25"/>
  <c r="AM173" i="25"/>
  <c r="AM295" i="25"/>
  <c r="AS295" i="25"/>
  <c r="AS581" i="25"/>
  <c r="AM581" i="25"/>
  <c r="AM410" i="25"/>
  <c r="AS410" i="25"/>
  <c r="AM50" i="25"/>
  <c r="AS50" i="25"/>
  <c r="AM83" i="25"/>
  <c r="AS83" i="25"/>
  <c r="AS188" i="25"/>
  <c r="AM188" i="25"/>
  <c r="AM82" i="25"/>
  <c r="AS82" i="25"/>
  <c r="AM530" i="25"/>
  <c r="AS530" i="25"/>
  <c r="AS405" i="25"/>
  <c r="AM405" i="25"/>
  <c r="AS165" i="25"/>
  <c r="AM165" i="25"/>
  <c r="AM282" i="25"/>
  <c r="AS282" i="25"/>
  <c r="AS505" i="25"/>
  <c r="AM505" i="25"/>
  <c r="AM459" i="25"/>
  <c r="AS459" i="25"/>
  <c r="AM102" i="25"/>
  <c r="AS102" i="25"/>
  <c r="AS125" i="25"/>
  <c r="AM125" i="25"/>
  <c r="AS237" i="25"/>
  <c r="AM237" i="25"/>
  <c r="AM171" i="25"/>
  <c r="AM254" i="25"/>
  <c r="AM560" i="25"/>
  <c r="AM166" i="25"/>
  <c r="AM463" i="25"/>
  <c r="AM59" i="25"/>
  <c r="AM343" i="25"/>
  <c r="AM323" i="25"/>
  <c r="AM320" i="25"/>
  <c r="AM195" i="25"/>
  <c r="AM52" i="25"/>
  <c r="AM99" i="25"/>
  <c r="AM270" i="25"/>
  <c r="AM346" i="25"/>
  <c r="AM512" i="25"/>
  <c r="AM491" i="25"/>
  <c r="AM115" i="25"/>
  <c r="AM431" i="25"/>
  <c r="AM152" i="25"/>
  <c r="AM240" i="25"/>
  <c r="AM158" i="25"/>
  <c r="AM12" i="25"/>
  <c r="AM14" i="25"/>
  <c r="AM70" i="25"/>
  <c r="AM555" i="25"/>
  <c r="AM135" i="25"/>
  <c r="AM76" i="25"/>
  <c r="AM300" i="25"/>
  <c r="AM356" i="25"/>
  <c r="AM227" i="25"/>
  <c r="AM38" i="25"/>
  <c r="AM387" i="25"/>
  <c r="AM66" i="25"/>
  <c r="AM384" i="25"/>
  <c r="AM192" i="25"/>
  <c r="AM471" i="25"/>
  <c r="AM510" i="25"/>
  <c r="AM394" i="25"/>
  <c r="AM278" i="25"/>
  <c r="AM444" i="25"/>
  <c r="AM542" i="25"/>
  <c r="AS229" i="25"/>
  <c r="AM229" i="25"/>
  <c r="AS385" i="25"/>
  <c r="AM385" i="25"/>
  <c r="AS137" i="25"/>
  <c r="AM137" i="25"/>
  <c r="AM342" i="25"/>
  <c r="AS342" i="25"/>
  <c r="AS381" i="25"/>
  <c r="AM381" i="25"/>
  <c r="AS529" i="25"/>
  <c r="AM529" i="25"/>
  <c r="AM371" i="25"/>
  <c r="AS371" i="25"/>
  <c r="AS49" i="25"/>
  <c r="AM49" i="25"/>
  <c r="AS205" i="25"/>
  <c r="AM205" i="25"/>
  <c r="AS45" i="25"/>
  <c r="AM45" i="25"/>
  <c r="AM262" i="25"/>
  <c r="AS262" i="25"/>
  <c r="AS537" i="25"/>
  <c r="AM537" i="25"/>
  <c r="AM350" i="25"/>
  <c r="AS350" i="25"/>
  <c r="AM226" i="25"/>
  <c r="AS226" i="25"/>
  <c r="AS77" i="25"/>
  <c r="AM77" i="25"/>
  <c r="AS293" i="25"/>
  <c r="AM293" i="25"/>
  <c r="AM150" i="25"/>
  <c r="AS150" i="25"/>
  <c r="AS5" i="25"/>
  <c r="AM5" i="25"/>
  <c r="AS493" i="25"/>
  <c r="AM493" i="25"/>
  <c r="AS41" i="25"/>
  <c r="AM41" i="25"/>
  <c r="AS9" i="25"/>
  <c r="AM9" i="25"/>
  <c r="AM379" i="25"/>
  <c r="AS379" i="25"/>
  <c r="AM457" i="25"/>
  <c r="AS457" i="25"/>
  <c r="AS30" i="25"/>
  <c r="AM30" i="25"/>
  <c r="AS473" i="25"/>
  <c r="AM473" i="25"/>
  <c r="AM539" i="25"/>
  <c r="AS539" i="25"/>
  <c r="AM113" i="25"/>
  <c r="AS113" i="25"/>
  <c r="AS349" i="25"/>
  <c r="AM349" i="25"/>
  <c r="AM144" i="25"/>
  <c r="AS144" i="25"/>
  <c r="AS289" i="25"/>
  <c r="AM289" i="25"/>
  <c r="AM93" i="25"/>
  <c r="AS93" i="25"/>
  <c r="AS37" i="25"/>
  <c r="AM37" i="25"/>
  <c r="AS97" i="25"/>
  <c r="AM97" i="25"/>
  <c r="AM331" i="25"/>
  <c r="AM327" i="25"/>
  <c r="AM78" i="25"/>
  <c r="AM435" i="25"/>
  <c r="AM11" i="25"/>
  <c r="AM495" i="25"/>
  <c r="AM91" i="25"/>
  <c r="AM8" i="25"/>
  <c r="AL2" i="25"/>
  <c r="AM374" i="25"/>
  <c r="AM116" i="25"/>
  <c r="AM475" i="25"/>
  <c r="AM100" i="25"/>
  <c r="AM108" i="25"/>
  <c r="AM576" i="25"/>
  <c r="AM250" i="25"/>
  <c r="AM123" i="25"/>
  <c r="AM440" i="25"/>
  <c r="AM403" i="25"/>
  <c r="AM502" i="25"/>
  <c r="AM248" i="25"/>
  <c r="AM506" i="25"/>
  <c r="AM95" i="25"/>
  <c r="AM306" i="25"/>
  <c r="AM198" i="25"/>
  <c r="AM16" i="25"/>
  <c r="AM35" i="25"/>
  <c r="AM263" i="25"/>
  <c r="AM204" i="25"/>
  <c r="AM294" i="25"/>
  <c r="AM562" i="25"/>
  <c r="AM292" i="25"/>
  <c r="AM206" i="25"/>
  <c r="AM134" i="25"/>
  <c r="AM588" i="25"/>
  <c r="AM139" i="25"/>
  <c r="AM208" i="25"/>
  <c r="AM110" i="25"/>
  <c r="AM591" i="25"/>
  <c r="AM402" i="25"/>
  <c r="AM163" i="25"/>
  <c r="AM276" i="25"/>
  <c r="AM571" i="25"/>
  <c r="AP147" i="25" a="1"/>
  <c r="AP147" i="25" s="1"/>
  <c r="AZ147" i="25" s="1"/>
  <c r="BA147" i="25" s="1"/>
  <c r="AP369" i="25" a="1"/>
  <c r="AP369" i="25" s="1"/>
  <c r="AZ369" i="25" s="1"/>
  <c r="BA369" i="25" s="1"/>
  <c r="AZ482" i="25"/>
  <c r="AQ325" i="25"/>
  <c r="AP94" i="25" a="1"/>
  <c r="AP94" i="25" s="1"/>
  <c r="AP6" i="25" a="1"/>
  <c r="AP6" i="25" s="1"/>
  <c r="AP3" i="25" a="1"/>
  <c r="AP3" i="25" s="1"/>
  <c r="AP27" i="25" a="1"/>
  <c r="AP27" i="25" s="1"/>
  <c r="AP143" i="25" a="1"/>
  <c r="AP143" i="25" s="1"/>
  <c r="AX526" i="7"/>
  <c r="AP268" i="25" a="1"/>
  <c r="AP268" i="25" s="1"/>
  <c r="AP422" i="25" a="1"/>
  <c r="AP422" i="25" s="1"/>
  <c r="AP434" i="25" a="1"/>
  <c r="AP434" i="25" s="1"/>
  <c r="AQ279" i="25"/>
  <c r="AP186" i="25" a="1"/>
  <c r="AP186" i="25" s="1"/>
  <c r="AQ179" i="25"/>
  <c r="AZ179" i="25" s="1"/>
  <c r="AP159" i="25" a="1"/>
  <c r="AP159" i="25" s="1"/>
  <c r="AO421" i="25"/>
  <c r="AP89" i="25" a="1"/>
  <c r="AP89" i="25" s="1"/>
  <c r="AP120" i="25" a="1"/>
  <c r="AP120" i="25" s="1"/>
  <c r="AZ120" i="25" s="1"/>
  <c r="BA120" i="25" s="1"/>
  <c r="AP92" i="25" a="1"/>
  <c r="AP92" i="25" s="1"/>
  <c r="AZ92" i="25" s="1"/>
  <c r="AQ246" i="25"/>
  <c r="AQ141" i="25"/>
  <c r="AQ340" i="25"/>
  <c r="AQ241" i="25"/>
  <c r="AQ370" i="25"/>
  <c r="AQ136" i="25"/>
  <c r="AL269" i="25"/>
  <c r="AN269" i="25" s="1"/>
  <c r="AQ516" i="25"/>
  <c r="AT269" i="25"/>
  <c r="AO269" i="25"/>
  <c r="AQ269" i="25"/>
  <c r="AQ40" i="25"/>
  <c r="AQ218" i="25"/>
  <c r="AQ316" i="25"/>
  <c r="AP241" i="25" a="1"/>
  <c r="AP241" i="25" s="1"/>
  <c r="AQ23" i="25"/>
  <c r="AQ335" i="25"/>
  <c r="AQ418" i="25"/>
  <c r="AQ339" i="25"/>
  <c r="AP219" i="25" a="1"/>
  <c r="AP219" i="25" s="1"/>
  <c r="AL456" i="25"/>
  <c r="AN456" i="25" s="1"/>
  <c r="AP492" i="25" a="1"/>
  <c r="AP492" i="25" s="1"/>
  <c r="AZ492" i="25" s="1"/>
  <c r="AQ187" i="25"/>
  <c r="AQ196" i="25"/>
  <c r="AO245" i="25"/>
  <c r="AL421" i="25"/>
  <c r="AN421" i="25" s="1"/>
  <c r="AP261" i="25" a="1"/>
  <c r="AP261" i="25" s="1"/>
  <c r="AZ261" i="25" s="1"/>
  <c r="AP516" i="25" a="1"/>
  <c r="AP516" i="25" s="1"/>
  <c r="AP483" i="25" a="1"/>
  <c r="AP483" i="25" s="1"/>
  <c r="AP523" i="25" a="1"/>
  <c r="AP523" i="25" s="1"/>
  <c r="AQ47" i="25"/>
  <c r="AP215" i="25" a="1"/>
  <c r="AP215" i="25" s="1"/>
  <c r="AZ215" i="25" s="1"/>
  <c r="BA215" i="25" s="1"/>
  <c r="AP228" i="25" a="1"/>
  <c r="AP228" i="25" s="1"/>
  <c r="AQ414" i="25"/>
  <c r="AP74" i="25" a="1"/>
  <c r="AP74" i="25" s="1"/>
  <c r="AQ360" i="25"/>
  <c r="AQ272" i="25"/>
  <c r="AP176" i="25" a="1"/>
  <c r="AP176" i="25" s="1"/>
  <c r="AZ176" i="25" s="1"/>
  <c r="AP251" i="25" a="1"/>
  <c r="AP251" i="25" s="1"/>
  <c r="AP310" i="25" a="1"/>
  <c r="AP310" i="25" s="1"/>
  <c r="AZ310" i="25" s="1"/>
  <c r="BA310" i="25" s="1"/>
  <c r="M2" i="20"/>
  <c r="AP304" i="25" a="1"/>
  <c r="AP304" i="25" s="1"/>
  <c r="AP48" i="25" a="1"/>
  <c r="AP48" i="25" s="1"/>
  <c r="AQ111" i="25"/>
  <c r="AQ585" i="25"/>
  <c r="AQ420" i="25"/>
  <c r="AP359" i="25" a="1"/>
  <c r="AP359" i="25" s="1"/>
  <c r="AP53" i="25" a="1"/>
  <c r="AP53" i="25" s="1"/>
  <c r="AP117" i="25" a="1"/>
  <c r="AP117" i="25" s="1"/>
  <c r="AZ117" i="25" s="1"/>
  <c r="AP407" i="25" a="1"/>
  <c r="AP407" i="25" s="1"/>
  <c r="AZ407" i="25" s="1"/>
  <c r="AP521" i="25" a="1"/>
  <c r="AP521" i="25" s="1"/>
  <c r="AP86" i="25" a="1"/>
  <c r="AP86" i="25" s="1"/>
  <c r="AQ353" i="25"/>
  <c r="AQ211" i="25"/>
  <c r="AQ159" i="25"/>
  <c r="AQ251" i="25"/>
  <c r="AQ523" i="25"/>
  <c r="AP247" i="25" a="1"/>
  <c r="AP247" i="25" s="1"/>
  <c r="AZ247" i="25" s="1"/>
  <c r="BA247" i="25" s="1"/>
  <c r="AP128" i="25" a="1"/>
  <c r="AP128" i="25" s="1"/>
  <c r="AP214" i="25" a="1"/>
  <c r="AP214" i="25" s="1"/>
  <c r="AP235" i="25" a="1"/>
  <c r="AP235" i="25" s="1"/>
  <c r="AP71" i="25" a="1"/>
  <c r="AP71" i="25" s="1"/>
  <c r="AZ71" i="25" s="1"/>
  <c r="AP21" i="25" a="1"/>
  <c r="AP21" i="25" s="1"/>
  <c r="AP272" i="25" a="1"/>
  <c r="AP272" i="25" s="1"/>
  <c r="AQ104" i="25"/>
  <c r="AQ214" i="25"/>
  <c r="AQ3" i="25"/>
  <c r="AQ268" i="25"/>
  <c r="AQ478" i="25"/>
  <c r="AQ257" i="25"/>
  <c r="AQ201" i="25"/>
  <c r="AQ228" i="25"/>
  <c r="AP370" i="25" a="1"/>
  <c r="AP370" i="25" s="1"/>
  <c r="AP427" i="25" a="1"/>
  <c r="AP427" i="25" s="1"/>
  <c r="AZ427" i="25" s="1"/>
  <c r="AP264" i="25" a="1"/>
  <c r="AP264" i="25" s="1"/>
  <c r="AP592" i="25" a="1"/>
  <c r="AP592" i="25" s="1"/>
  <c r="AP40" i="25" a="1"/>
  <c r="AP40" i="25" s="1"/>
  <c r="AL361" i="25"/>
  <c r="AN361" i="25" s="1"/>
  <c r="AP65" i="25" a="1"/>
  <c r="AP65" i="25" s="1"/>
  <c r="AZ65" i="25" s="1"/>
  <c r="AP316" i="25" a="1"/>
  <c r="AP316" i="25" s="1"/>
  <c r="AQ333" i="25"/>
  <c r="AQ264" i="25"/>
  <c r="AP19" i="25" a="1"/>
  <c r="AP19" i="25" s="1"/>
  <c r="AP199" i="25" a="1"/>
  <c r="AP199" i="25" s="1"/>
  <c r="AP96" i="25" a="1"/>
  <c r="AP96" i="25" s="1"/>
  <c r="AP114" i="25" a="1"/>
  <c r="AP114" i="25" s="1"/>
  <c r="AP111" i="25" a="1"/>
  <c r="AP111" i="25" s="1"/>
  <c r="AP218" i="25" a="1"/>
  <c r="AP218" i="25" s="1"/>
  <c r="AP335" i="25" a="1"/>
  <c r="AP335" i="25" s="1"/>
  <c r="AP154" i="25" a="1"/>
  <c r="AP154" i="25" s="1"/>
  <c r="AQ63" i="25"/>
  <c r="AQ46" i="25"/>
  <c r="AZ46" i="25" s="1"/>
  <c r="AQ57" i="25"/>
  <c r="AQ219" i="25"/>
  <c r="AP130" i="25" a="1"/>
  <c r="AP130" i="25" s="1"/>
  <c r="AP87" i="25" a="1"/>
  <c r="AP87" i="25" s="1"/>
  <c r="AP339" i="25" a="1"/>
  <c r="AP339" i="25" s="1"/>
  <c r="AP352" i="25" a="1"/>
  <c r="AP352" i="25" s="1"/>
  <c r="AP60" i="25" a="1"/>
  <c r="AP60" i="25" s="1"/>
  <c r="AP164" i="25" a="1"/>
  <c r="AP164" i="25" s="1"/>
  <c r="AP7" i="25" a="1"/>
  <c r="AP7" i="25" s="1"/>
  <c r="AP32" i="25" a="1"/>
  <c r="AP32" i="25" s="1"/>
  <c r="AP182" i="25" a="1"/>
  <c r="AP182" i="25" s="1"/>
  <c r="AZ182" i="25" s="1"/>
  <c r="BA182" i="25" s="1"/>
  <c r="AP257" i="25" a="1"/>
  <c r="AP257" i="25" s="1"/>
  <c r="AQ422" i="25"/>
  <c r="AQ483" i="25"/>
  <c r="AX301" i="7"/>
  <c r="AQ239" i="25"/>
  <c r="AQ48" i="25"/>
  <c r="AP68" i="25" a="1"/>
  <c r="AP68" i="25" s="1"/>
  <c r="AP245" i="25" a="1"/>
  <c r="AP245" i="25" s="1"/>
  <c r="AZ245" i="25" s="1"/>
  <c r="BA245" i="25" s="1"/>
  <c r="AQ172" i="25"/>
  <c r="AQ334" i="25"/>
  <c r="AQ243" i="25"/>
  <c r="AQ164" i="25"/>
  <c r="AQ39" i="25"/>
  <c r="AQ587" i="25"/>
  <c r="AP67" i="25" a="1"/>
  <c r="AP67" i="25" s="1"/>
  <c r="AP271" i="25" a="1"/>
  <c r="AP271" i="25" s="1"/>
  <c r="AP239" i="25" a="1"/>
  <c r="AP239" i="25" s="1"/>
  <c r="AP360" i="25" a="1"/>
  <c r="AP360" i="25" s="1"/>
  <c r="AP138" i="25" a="1"/>
  <c r="AP138" i="25" s="1"/>
  <c r="AQ194" i="25"/>
  <c r="AQ566" i="25"/>
  <c r="AQ42" i="25"/>
  <c r="AP340" i="25" a="1"/>
  <c r="AP340" i="25" s="1"/>
  <c r="AP51" i="25" a="1"/>
  <c r="AP51" i="25" s="1"/>
  <c r="AP414" i="25" a="1"/>
  <c r="AP414" i="25" s="1"/>
  <c r="AP428" i="25" a="1"/>
  <c r="AP428" i="25" s="1"/>
  <c r="AP419" i="25" a="1"/>
  <c r="AP419" i="25" s="1"/>
  <c r="AQ200" i="25"/>
  <c r="AQ74" i="25"/>
  <c r="AQ203" i="25"/>
  <c r="AQ253" i="25"/>
  <c r="AQ21" i="25"/>
  <c r="AL480" i="25"/>
  <c r="AN480" i="25" s="1"/>
  <c r="AQ341" i="25"/>
  <c r="AO224" i="25"/>
  <c r="AL317" i="25"/>
  <c r="AN317" i="25" s="1"/>
  <c r="AP75" i="25" a="1"/>
  <c r="AP75" i="25" s="1"/>
  <c r="AL417" i="25"/>
  <c r="AN417" i="25" s="1"/>
  <c r="AP170" i="25" a="1"/>
  <c r="AP170" i="25" s="1"/>
  <c r="AP64" i="25" a="1"/>
  <c r="AP64" i="25" s="1"/>
  <c r="AP201" i="25" a="1"/>
  <c r="AP201" i="25" s="1"/>
  <c r="AP196" i="25" a="1"/>
  <c r="AP196" i="25" s="1"/>
  <c r="AP559" i="25" a="1"/>
  <c r="AP559" i="25" s="1"/>
  <c r="AQ89" i="25"/>
  <c r="AQ426" i="25"/>
  <c r="AQ154" i="25"/>
  <c r="AQ130" i="25"/>
  <c r="AQ67" i="25"/>
  <c r="AQ53" i="25"/>
  <c r="AQ359" i="25"/>
  <c r="AP39" i="25" a="1"/>
  <c r="AP39" i="25" s="1"/>
  <c r="AP104" i="25" a="1"/>
  <c r="AP104" i="25" s="1"/>
  <c r="AP145" i="25" a="1"/>
  <c r="AP145" i="25" s="1"/>
  <c r="AP153" i="25" a="1"/>
  <c r="AP153" i="25" s="1"/>
  <c r="AQ519" i="25"/>
  <c r="AP420" i="25" a="1"/>
  <c r="AP420" i="25" s="1"/>
  <c r="AP203" i="25" a="1"/>
  <c r="AP203" i="25" s="1"/>
  <c r="AP587" i="25" a="1"/>
  <c r="AP587" i="25" s="1"/>
  <c r="AP24" i="25" a="1"/>
  <c r="AP24" i="25" s="1"/>
  <c r="AZ24" i="25" s="1"/>
  <c r="AP334" i="25" a="1"/>
  <c r="AP334" i="25" s="1"/>
  <c r="AP167" i="25" a="1"/>
  <c r="AP167" i="25" s="1"/>
  <c r="AP184" i="25" a="1"/>
  <c r="AP184" i="25" s="1"/>
  <c r="AZ184" i="25" s="1"/>
  <c r="AP63" i="25" a="1"/>
  <c r="AP63" i="25" s="1"/>
  <c r="AQ153" i="25"/>
  <c r="AP526" i="25" a="1"/>
  <c r="AP526" i="25" s="1"/>
  <c r="AP265" i="25" a="1"/>
  <c r="AP265" i="25" s="1"/>
  <c r="AP122" i="25" a="1"/>
  <c r="AP122" i="25" s="1"/>
  <c r="AP211" i="25" a="1"/>
  <c r="AP211" i="25" s="1"/>
  <c r="AP383" i="25" a="1"/>
  <c r="AP383" i="25" s="1"/>
  <c r="AP183" i="25" a="1"/>
  <c r="AP183" i="25" s="1"/>
  <c r="AQ75" i="25"/>
  <c r="AQ32" i="25"/>
  <c r="AQ271" i="25"/>
  <c r="AQ202" i="25"/>
  <c r="AQ132" i="25"/>
  <c r="AQ265" i="25"/>
  <c r="AP418" i="25" a="1"/>
  <c r="AP418" i="25" s="1"/>
  <c r="AP376" i="25" a="1"/>
  <c r="AP376" i="25" s="1"/>
  <c r="AZ376" i="25" s="1"/>
  <c r="AP22" i="25" a="1"/>
  <c r="AP22" i="25" s="1"/>
  <c r="AP309" i="25" a="1"/>
  <c r="AP309" i="25" s="1"/>
  <c r="AP223" i="25" a="1"/>
  <c r="AP223" i="25" s="1"/>
  <c r="AP242" i="25" a="1"/>
  <c r="AP242" i="25" s="1"/>
  <c r="AZ242" i="25" s="1"/>
  <c r="AP494" i="25" a="1"/>
  <c r="AP494" i="25" s="1"/>
  <c r="AQ287" i="25"/>
  <c r="AQ433" i="25"/>
  <c r="AO433" i="25"/>
  <c r="AP127" i="25" a="1"/>
  <c r="AP127" i="25" s="1"/>
  <c r="AN127" i="25"/>
  <c r="AP72" i="25" a="1"/>
  <c r="AP72" i="25" s="1"/>
  <c r="AZ72" i="25" s="1"/>
  <c r="AN72" i="25"/>
  <c r="AP209" i="25" a="1"/>
  <c r="AP209" i="25" s="1"/>
  <c r="AN209" i="25"/>
  <c r="AP447" i="25" a="1"/>
  <c r="AP447" i="25" s="1"/>
  <c r="AN447" i="25"/>
  <c r="AP136" i="25" a="1"/>
  <c r="AP136" i="25" s="1"/>
  <c r="AN136" i="25"/>
  <c r="AP478" i="25" a="1"/>
  <c r="AP478" i="25" s="1"/>
  <c r="AN478" i="25"/>
  <c r="AP585" i="25" a="1"/>
  <c r="AP585" i="25" s="1"/>
  <c r="AN585" i="25"/>
  <c r="AP131" i="25" a="1"/>
  <c r="AP131" i="25" s="1"/>
  <c r="AN131" i="25"/>
  <c r="AQ383" i="25"/>
  <c r="AO383" i="25"/>
  <c r="AQ526" i="25"/>
  <c r="AO526" i="25"/>
  <c r="AQ127" i="25"/>
  <c r="AO127" i="25"/>
  <c r="AQ499" i="25"/>
  <c r="AO499" i="25"/>
  <c r="AQ155" i="25"/>
  <c r="AO155" i="25"/>
  <c r="AQ419" i="25"/>
  <c r="AO419" i="25"/>
  <c r="AQ68" i="25"/>
  <c r="AO68" i="25"/>
  <c r="AQ209" i="25"/>
  <c r="AO209" i="25"/>
  <c r="AQ421" i="25"/>
  <c r="AP155" i="25" a="1"/>
  <c r="AP155" i="25" s="1"/>
  <c r="AP477" i="25" a="1"/>
  <c r="AP477" i="25" s="1"/>
  <c r="AZ477" i="25" s="1"/>
  <c r="AP253" i="25" a="1"/>
  <c r="AP253" i="25" s="1"/>
  <c r="AN253" i="25"/>
  <c r="AQ145" i="25"/>
  <c r="AO145" i="25"/>
  <c r="AQ496" i="25"/>
  <c r="AO496" i="25"/>
  <c r="AQ143" i="25"/>
  <c r="AP4" i="25" a="1"/>
  <c r="AP4" i="25" s="1"/>
  <c r="AZ4" i="25" s="1"/>
  <c r="AN4" i="25"/>
  <c r="AP312" i="25" a="1"/>
  <c r="AP312" i="25" s="1"/>
  <c r="AZ312" i="25" s="1"/>
  <c r="AN312" i="25"/>
  <c r="AP162" i="25" a="1"/>
  <c r="AP162" i="25" s="1"/>
  <c r="AZ162" i="25" s="1"/>
  <c r="AN162" i="25"/>
  <c r="AP568" i="25" a="1"/>
  <c r="AP568" i="25" s="1"/>
  <c r="AZ568" i="25" s="1"/>
  <c r="AN568" i="25"/>
  <c r="AP325" i="25" a="1"/>
  <c r="AP325" i="25" s="1"/>
  <c r="AN325" i="25"/>
  <c r="AP47" i="25" a="1"/>
  <c r="AP47" i="25" s="1"/>
  <c r="AN47" i="25"/>
  <c r="AP187" i="25" a="1"/>
  <c r="AP187" i="25" s="1"/>
  <c r="AN187" i="25"/>
  <c r="AP499" i="25" a="1"/>
  <c r="AP499" i="25" s="1"/>
  <c r="AN499" i="25"/>
  <c r="AP172" i="25" a="1"/>
  <c r="AP172" i="25" s="1"/>
  <c r="AN172" i="25"/>
  <c r="AP42" i="25" a="1"/>
  <c r="AP42" i="25" s="1"/>
  <c r="AN42" i="25"/>
  <c r="AP566" i="25" a="1"/>
  <c r="AP566" i="25" s="1"/>
  <c r="AN566" i="25"/>
  <c r="AP243" i="25" a="1"/>
  <c r="AP243" i="25" s="1"/>
  <c r="AN243" i="25"/>
  <c r="AP519" i="25" a="1"/>
  <c r="AP519" i="25" s="1"/>
  <c r="AN519" i="25"/>
  <c r="AP141" i="25" a="1"/>
  <c r="AP141" i="25" s="1"/>
  <c r="AN141" i="25"/>
  <c r="AP142" i="25" a="1"/>
  <c r="AP142" i="25" s="1"/>
  <c r="AZ142" i="25" s="1"/>
  <c r="AN142" i="25"/>
  <c r="AP496" i="25" a="1"/>
  <c r="AP496" i="25" s="1"/>
  <c r="AN496" i="25"/>
  <c r="AP353" i="25" a="1"/>
  <c r="AP353" i="25" s="1"/>
  <c r="AN353" i="25"/>
  <c r="AQ393" i="25"/>
  <c r="AO393" i="25"/>
  <c r="AQ480" i="25"/>
  <c r="AO480" i="25"/>
  <c r="AP246" i="25" a="1"/>
  <c r="AP246" i="25" s="1"/>
  <c r="AQ528" i="25"/>
  <c r="AO528" i="25"/>
  <c r="AP98" i="25" a="1"/>
  <c r="AP98" i="25" s="1"/>
  <c r="AN98" i="25"/>
  <c r="AP112" i="25" a="1"/>
  <c r="AP112" i="25" s="1"/>
  <c r="AN112" i="25"/>
  <c r="AP333" i="25" a="1"/>
  <c r="AP333" i="25" s="1"/>
  <c r="AN333" i="25"/>
  <c r="AP194" i="25" a="1"/>
  <c r="AP194" i="25" s="1"/>
  <c r="AN194" i="25"/>
  <c r="AP279" i="25" a="1"/>
  <c r="AP279" i="25" s="1"/>
  <c r="AN279" i="25"/>
  <c r="AP202" i="25" a="1"/>
  <c r="AP202" i="25" s="1"/>
  <c r="AN202" i="25"/>
  <c r="AP287" i="25" a="1"/>
  <c r="AP287" i="25" s="1"/>
  <c r="AN287" i="25"/>
  <c r="AP244" i="25" a="1"/>
  <c r="AP244" i="25" s="1"/>
  <c r="AN244" i="25"/>
  <c r="AP23" i="25" a="1"/>
  <c r="AP23" i="25" s="1"/>
  <c r="AN23" i="25"/>
  <c r="AP315" i="25" a="1"/>
  <c r="AP315" i="25" s="1"/>
  <c r="AN315" i="25"/>
  <c r="AP426" i="25" a="1"/>
  <c r="AP426" i="25" s="1"/>
  <c r="AN426" i="25"/>
  <c r="AP377" i="25" a="1"/>
  <c r="AP377" i="25" s="1"/>
  <c r="AZ377" i="25" s="1"/>
  <c r="AN377" i="25"/>
  <c r="AQ315" i="25"/>
  <c r="AO315" i="25"/>
  <c r="AQ494" i="25"/>
  <c r="AO494" i="25"/>
  <c r="AQ19" i="25"/>
  <c r="AO19" i="25"/>
  <c r="AQ447" i="25"/>
  <c r="AO447" i="25"/>
  <c r="AQ244" i="25"/>
  <c r="AO244" i="25"/>
  <c r="AQ138" i="25"/>
  <c r="AO138" i="25"/>
  <c r="AP200" i="25" a="1"/>
  <c r="AP200" i="25" s="1"/>
  <c r="AN200" i="25"/>
  <c r="AQ428" i="25"/>
  <c r="AL425" i="25"/>
  <c r="AN425" i="25" s="1"/>
  <c r="AP534" i="25" a="1"/>
  <c r="AP534" i="25" s="1"/>
  <c r="AZ534" i="25" s="1"/>
  <c r="AQ51" i="25"/>
  <c r="AQ22" i="25"/>
  <c r="AQ559" i="25"/>
  <c r="AQ223" i="25"/>
  <c r="AP57" i="25" a="1"/>
  <c r="AP57" i="25" s="1"/>
  <c r="AP338" i="25" a="1"/>
  <c r="AP338" i="25" s="1"/>
  <c r="AP132" i="25" a="1"/>
  <c r="AP132" i="25" s="1"/>
  <c r="AO61" i="25"/>
  <c r="AO481" i="25"/>
  <c r="AL213" i="25"/>
  <c r="AL193" i="25"/>
  <c r="AN193" i="25" s="1"/>
  <c r="AP232" i="25" a="1"/>
  <c r="AP232" i="25" s="1"/>
  <c r="AZ232" i="25" s="1"/>
  <c r="AL393" i="25"/>
  <c r="AL341" i="25"/>
  <c r="AN341" i="25" s="1"/>
  <c r="AL528" i="25"/>
  <c r="AN528" i="25" s="1"/>
  <c r="AL565" i="25"/>
  <c r="AL224" i="25"/>
  <c r="AN224" i="25" s="1"/>
  <c r="AL433" i="25"/>
  <c r="AL476" i="25"/>
  <c r="AL564" i="25"/>
  <c r="AN564" i="25" s="1"/>
  <c r="AL345" i="25"/>
  <c r="AN345" i="25" s="1"/>
  <c r="AL61" i="25"/>
  <c r="AN61" i="25" s="1"/>
  <c r="AL481" i="25"/>
  <c r="AX489" i="7"/>
  <c r="AT475" i="25"/>
  <c r="AR475" i="25"/>
  <c r="AT229" i="25"/>
  <c r="AR229" i="25"/>
  <c r="AT596" i="25"/>
  <c r="AR596" i="25"/>
  <c r="AT56" i="25"/>
  <c r="AR56" i="25"/>
  <c r="AT276" i="25"/>
  <c r="AR276" i="25"/>
  <c r="AT35" i="25"/>
  <c r="AR35" i="25"/>
  <c r="AT385" i="25"/>
  <c r="AR385" i="25"/>
  <c r="AT137" i="25"/>
  <c r="AR137" i="25"/>
  <c r="AT342" i="25"/>
  <c r="AR342" i="25"/>
  <c r="AT270" i="25"/>
  <c r="AR270" i="25"/>
  <c r="AT381" i="25"/>
  <c r="AR381" i="25"/>
  <c r="AT529" i="25"/>
  <c r="AR529" i="25"/>
  <c r="AT220" i="25"/>
  <c r="AR220" i="25"/>
  <c r="AT204" i="25"/>
  <c r="AR204" i="25"/>
  <c r="AT371" i="25"/>
  <c r="AR371" i="25"/>
  <c r="AT59" i="25"/>
  <c r="AR59" i="25"/>
  <c r="AT49" i="25"/>
  <c r="AR49" i="25"/>
  <c r="AT205" i="25"/>
  <c r="AR205" i="25"/>
  <c r="AT292" i="25"/>
  <c r="AR292" i="25"/>
  <c r="AT45" i="25"/>
  <c r="AR45" i="25"/>
  <c r="AT327" i="25"/>
  <c r="AR327" i="25"/>
  <c r="AT262" i="25"/>
  <c r="AR262" i="25"/>
  <c r="AT537" i="25"/>
  <c r="AR537" i="25"/>
  <c r="AT350" i="25"/>
  <c r="AR350" i="25"/>
  <c r="AT226" i="25"/>
  <c r="AR226" i="25"/>
  <c r="AT77" i="25"/>
  <c r="AR77" i="25"/>
  <c r="AT293" i="25"/>
  <c r="AR293" i="25"/>
  <c r="AT150" i="25"/>
  <c r="AR150" i="25"/>
  <c r="AT216" i="25"/>
  <c r="AR216" i="25"/>
  <c r="AT44" i="25"/>
  <c r="AR44" i="25"/>
  <c r="AT5" i="25"/>
  <c r="AR5" i="25"/>
  <c r="AT588" i="25"/>
  <c r="AR588" i="25"/>
  <c r="AT52" i="25"/>
  <c r="AR52" i="25"/>
  <c r="AT493" i="25"/>
  <c r="AR493" i="25"/>
  <c r="AT41" i="25"/>
  <c r="AR41" i="25"/>
  <c r="AT560" i="25"/>
  <c r="AR560" i="25"/>
  <c r="AT9" i="25"/>
  <c r="AR9" i="25"/>
  <c r="AT379" i="25"/>
  <c r="AR379" i="25"/>
  <c r="AT107" i="25"/>
  <c r="AR107" i="25"/>
  <c r="AT457" i="25"/>
  <c r="AR457" i="25"/>
  <c r="AT30" i="25"/>
  <c r="AR30" i="25"/>
  <c r="AT396" i="25"/>
  <c r="AR396" i="25"/>
  <c r="AT473" i="25"/>
  <c r="AR473" i="25"/>
  <c r="AT594" i="25"/>
  <c r="AR594" i="25"/>
  <c r="AT166" i="25"/>
  <c r="AR166" i="25"/>
  <c r="AT539" i="25"/>
  <c r="AR539" i="25"/>
  <c r="AT484" i="25"/>
  <c r="AR484" i="25"/>
  <c r="AT113" i="25"/>
  <c r="AR113" i="25"/>
  <c r="AT349" i="25"/>
  <c r="AR349" i="25"/>
  <c r="AT318" i="25"/>
  <c r="AR318" i="25"/>
  <c r="AT144" i="25"/>
  <c r="AR144" i="25"/>
  <c r="AT76" i="25"/>
  <c r="AR76" i="25"/>
  <c r="AT400" i="25"/>
  <c r="AR400" i="25"/>
  <c r="AT571" i="25"/>
  <c r="AR571" i="25"/>
  <c r="AT289" i="25"/>
  <c r="AR289" i="25"/>
  <c r="AT93" i="25"/>
  <c r="AR93" i="25"/>
  <c r="AT37" i="25"/>
  <c r="AR37" i="25"/>
  <c r="AT515" i="25"/>
  <c r="AR515" i="25"/>
  <c r="AT97" i="25"/>
  <c r="AR97" i="25"/>
  <c r="AT387" i="25"/>
  <c r="AR387" i="25"/>
  <c r="AT576" i="25"/>
  <c r="AR576" i="25"/>
  <c r="AT146" i="25"/>
  <c r="AR146" i="25"/>
  <c r="AT328" i="25"/>
  <c r="AR328" i="25"/>
  <c r="AT250" i="25"/>
  <c r="AR250" i="25"/>
  <c r="AT313" i="25"/>
  <c r="AR313" i="25"/>
  <c r="AT296" i="25"/>
  <c r="AR296" i="25"/>
  <c r="AT175" i="25"/>
  <c r="AR175" i="25"/>
  <c r="AT429" i="25"/>
  <c r="AR429" i="25"/>
  <c r="AT34" i="25"/>
  <c r="AR34" i="25"/>
  <c r="AT542" i="25"/>
  <c r="AR542" i="25"/>
  <c r="AT81" i="25"/>
  <c r="AR81" i="25"/>
  <c r="AT551" i="25"/>
  <c r="AR551" i="25"/>
  <c r="AT437" i="25"/>
  <c r="AR437" i="25"/>
  <c r="AT227" i="25"/>
  <c r="AR227" i="25"/>
  <c r="AT290" i="25"/>
  <c r="AR290" i="25"/>
  <c r="AT558" i="25"/>
  <c r="AR558" i="25"/>
  <c r="AT134" i="25"/>
  <c r="AR134" i="25"/>
  <c r="AT549" i="25"/>
  <c r="AR549" i="25"/>
  <c r="AT303" i="25"/>
  <c r="AR303" i="25"/>
  <c r="AT255" i="25"/>
  <c r="AR255" i="25"/>
  <c r="AT575" i="25"/>
  <c r="AR575" i="25"/>
  <c r="AT395" i="25"/>
  <c r="AR395" i="25"/>
  <c r="AT408" i="25"/>
  <c r="AR408" i="25"/>
  <c r="AT73" i="25"/>
  <c r="AR73" i="25"/>
  <c r="AT180" i="25"/>
  <c r="AR180" i="25"/>
  <c r="AT531" i="25"/>
  <c r="AR531" i="25"/>
  <c r="AT95" i="25"/>
  <c r="AR95" i="25"/>
  <c r="AT151" i="25"/>
  <c r="AR151" i="25"/>
  <c r="AT20" i="25"/>
  <c r="AR20" i="25"/>
  <c r="AT416" i="25"/>
  <c r="AR416" i="25"/>
  <c r="AT129" i="25"/>
  <c r="AR129" i="25"/>
  <c r="AT80" i="25"/>
  <c r="AR80" i="25"/>
  <c r="AT99" i="25"/>
  <c r="AR99" i="25"/>
  <c r="AT17" i="25"/>
  <c r="AR17" i="25"/>
  <c r="AT445" i="25"/>
  <c r="AR445" i="25"/>
  <c r="AT234" i="25"/>
  <c r="AR234" i="25"/>
  <c r="AT579" i="25"/>
  <c r="AR579" i="25"/>
  <c r="AT210" i="25"/>
  <c r="AR210" i="25"/>
  <c r="AT31" i="25"/>
  <c r="AR31" i="25"/>
  <c r="AT510" i="25"/>
  <c r="AR510" i="25"/>
  <c r="AT439" i="25"/>
  <c r="AR439" i="25"/>
  <c r="AT326" i="25"/>
  <c r="AR326" i="25"/>
  <c r="AT84" i="25"/>
  <c r="AR84" i="25"/>
  <c r="AT401" i="25"/>
  <c r="AR401" i="25"/>
  <c r="AT149" i="25"/>
  <c r="AR149" i="25"/>
  <c r="AT158" i="25"/>
  <c r="AR158" i="25"/>
  <c r="AT10" i="25"/>
  <c r="AR10" i="25"/>
  <c r="AT561" i="25"/>
  <c r="AR561" i="25"/>
  <c r="AT320" i="25"/>
  <c r="AR320" i="25"/>
  <c r="AT171" i="25"/>
  <c r="AR171" i="25"/>
  <c r="AT574" i="25"/>
  <c r="AR574" i="25"/>
  <c r="AT15" i="25"/>
  <c r="AR15" i="25"/>
  <c r="AT100" i="25"/>
  <c r="AR100" i="25"/>
  <c r="AT501" i="25"/>
  <c r="AR501" i="25"/>
  <c r="AT469" i="25"/>
  <c r="AR469" i="25"/>
  <c r="AT139" i="25"/>
  <c r="AR139" i="25"/>
  <c r="AT230" i="25"/>
  <c r="AR230" i="25"/>
  <c r="AT221" i="25"/>
  <c r="AR221" i="25"/>
  <c r="AT297" i="25"/>
  <c r="AR297" i="25"/>
  <c r="AT384" i="25"/>
  <c r="AR384" i="25"/>
  <c r="AT390" i="25"/>
  <c r="AR390" i="25"/>
  <c r="AT118" i="25"/>
  <c r="AR118" i="25"/>
  <c r="AT503" i="25"/>
  <c r="AR503" i="25"/>
  <c r="AT550" i="25"/>
  <c r="AR550" i="25"/>
  <c r="AT168" i="25"/>
  <c r="AR168" i="25"/>
  <c r="AT394" i="25"/>
  <c r="AR394" i="25"/>
  <c r="AT248" i="25"/>
  <c r="AR248" i="25"/>
  <c r="AT281" i="25"/>
  <c r="AR281" i="25"/>
  <c r="AT467" i="25"/>
  <c r="AR467" i="25"/>
  <c r="AT431" i="25"/>
  <c r="AR431" i="25"/>
  <c r="AT174" i="25"/>
  <c r="AR174" i="25"/>
  <c r="AT126" i="25"/>
  <c r="AR126" i="25"/>
  <c r="AT591" i="25"/>
  <c r="AR591" i="25"/>
  <c r="AT256" i="25"/>
  <c r="AR256" i="25"/>
  <c r="AT356" i="25"/>
  <c r="AR356" i="25"/>
  <c r="AT488" i="25"/>
  <c r="AR488" i="25"/>
  <c r="AT140" i="25"/>
  <c r="AR140" i="25"/>
  <c r="AT543" i="25"/>
  <c r="AR543" i="25"/>
  <c r="AT135" i="25"/>
  <c r="AR135" i="25"/>
  <c r="AT398" i="25"/>
  <c r="AR398" i="25"/>
  <c r="AT191" i="25"/>
  <c r="AR191" i="25"/>
  <c r="AT460" i="25"/>
  <c r="AR460" i="25"/>
  <c r="AT415" i="25"/>
  <c r="AR415" i="25"/>
  <c r="AT197" i="25"/>
  <c r="AR197" i="25"/>
  <c r="AT208" i="25"/>
  <c r="AR208" i="25"/>
  <c r="AT185" i="25"/>
  <c r="AR185" i="25"/>
  <c r="AT495" i="25"/>
  <c r="AR495" i="25"/>
  <c r="AT444" i="25"/>
  <c r="AR444" i="25"/>
  <c r="AT62" i="25"/>
  <c r="AR62" i="25"/>
  <c r="AT273" i="25"/>
  <c r="AR273" i="25"/>
  <c r="AT374" i="25"/>
  <c r="AR374" i="25"/>
  <c r="AT323" i="25"/>
  <c r="AR323" i="25"/>
  <c r="AT584" i="25"/>
  <c r="AR584" i="25"/>
  <c r="AT206" i="25"/>
  <c r="AR206" i="25"/>
  <c r="AT441" i="25"/>
  <c r="AR441" i="25"/>
  <c r="AT442" i="25"/>
  <c r="AR442" i="25"/>
  <c r="AT506" i="25"/>
  <c r="AR506" i="25"/>
  <c r="AT233" i="25"/>
  <c r="AR233" i="25"/>
  <c r="AT464" i="25"/>
  <c r="AR464" i="25"/>
  <c r="AT570" i="25"/>
  <c r="AR570" i="25"/>
  <c r="AT500" i="25"/>
  <c r="AR500" i="25"/>
  <c r="AT26" i="25"/>
  <c r="AR26" i="25"/>
  <c r="AT217" i="25"/>
  <c r="AR217" i="25"/>
  <c r="AT525" i="25"/>
  <c r="AR525" i="25"/>
  <c r="AT489" i="25"/>
  <c r="AR489" i="25"/>
  <c r="AT177" i="25"/>
  <c r="AR177" i="25"/>
  <c r="AT363" i="25"/>
  <c r="AR363" i="25"/>
  <c r="AT452" i="25"/>
  <c r="AR452" i="25"/>
  <c r="AT70" i="25"/>
  <c r="AR70" i="25"/>
  <c r="AT454" i="25"/>
  <c r="AR454" i="25"/>
  <c r="AT263" i="25"/>
  <c r="AR263" i="25"/>
  <c r="AT58" i="25"/>
  <c r="AR58" i="25"/>
  <c r="AT465" i="25"/>
  <c r="AR465" i="25"/>
  <c r="AT181" i="25"/>
  <c r="AR181" i="25"/>
  <c r="AT225" i="25"/>
  <c r="AR225" i="25"/>
  <c r="AT485" i="25"/>
  <c r="AR485" i="25"/>
  <c r="AT373" i="25"/>
  <c r="AR373" i="25"/>
  <c r="AT498" i="25"/>
  <c r="AR498" i="25"/>
  <c r="AT554" i="25"/>
  <c r="AR554" i="25"/>
  <c r="AT212" i="25"/>
  <c r="AR212" i="25"/>
  <c r="AT54" i="25"/>
  <c r="AR54" i="25"/>
  <c r="AT569" i="25"/>
  <c r="AR569" i="25"/>
  <c r="AT198" i="25"/>
  <c r="AR198" i="25"/>
  <c r="AT55" i="25"/>
  <c r="AR55" i="25"/>
  <c r="AT277" i="25"/>
  <c r="AR277" i="25"/>
  <c r="AT14" i="25"/>
  <c r="AR14" i="25"/>
  <c r="AT33" i="25"/>
  <c r="AR33" i="25"/>
  <c r="AT254" i="25"/>
  <c r="AR254" i="25"/>
  <c r="AT16" i="25"/>
  <c r="AR16" i="25"/>
  <c r="AT448" i="25"/>
  <c r="AR448" i="25"/>
  <c r="AT348" i="25"/>
  <c r="AR348" i="25"/>
  <c r="AT8" i="25"/>
  <c r="AR8" i="25"/>
  <c r="AT78" i="25"/>
  <c r="AR78" i="25"/>
  <c r="AT288" i="25"/>
  <c r="AR288" i="25"/>
  <c r="AT11" i="25"/>
  <c r="AR11" i="25"/>
  <c r="AT511" i="25"/>
  <c r="AR511" i="25"/>
  <c r="AT285" i="25"/>
  <c r="AR285" i="25"/>
  <c r="AT541" i="25"/>
  <c r="AR541" i="25"/>
  <c r="AT13" i="25"/>
  <c r="AR13" i="25"/>
  <c r="AT121" i="25"/>
  <c r="AR121" i="25"/>
  <c r="AT562" i="25"/>
  <c r="AR562" i="25"/>
  <c r="AT161" i="25"/>
  <c r="AR161" i="25"/>
  <c r="AT466" i="25"/>
  <c r="AR466" i="25"/>
  <c r="AT578" i="25"/>
  <c r="AR578" i="25"/>
  <c r="AT133" i="25"/>
  <c r="AR133" i="25"/>
  <c r="AT274" i="25"/>
  <c r="AR274" i="25"/>
  <c r="AT301" i="25"/>
  <c r="AR301" i="25"/>
  <c r="AT544" i="25"/>
  <c r="AR544" i="25"/>
  <c r="AT108" i="25"/>
  <c r="AR108" i="25"/>
  <c r="AT38" i="25"/>
  <c r="AR38" i="25"/>
  <c r="AT12" i="25"/>
  <c r="AR12" i="25"/>
  <c r="AT124" i="25"/>
  <c r="AR124" i="25"/>
  <c r="AT321" i="25"/>
  <c r="AR321" i="25"/>
  <c r="AT43" i="25"/>
  <c r="AR43" i="25"/>
  <c r="AT123" i="25"/>
  <c r="AR123" i="25"/>
  <c r="AT300" i="25"/>
  <c r="AR300" i="25"/>
  <c r="AT236" i="25"/>
  <c r="AR236" i="25"/>
  <c r="AT157" i="25"/>
  <c r="AR157" i="25"/>
  <c r="AT388" i="25"/>
  <c r="AR388" i="25"/>
  <c r="AT412" i="25"/>
  <c r="AR412" i="25"/>
  <c r="AT280" i="25"/>
  <c r="AR280" i="25"/>
  <c r="AT322" i="25"/>
  <c r="AR322" i="25"/>
  <c r="AT533" i="25"/>
  <c r="AR533" i="25"/>
  <c r="AT249" i="25"/>
  <c r="AR249" i="25"/>
  <c r="AT283" i="25"/>
  <c r="AR283" i="25"/>
  <c r="AT2" i="25"/>
  <c r="AR2" i="25"/>
  <c r="AT593" i="25"/>
  <c r="AR593" i="25"/>
  <c r="AT522" i="25"/>
  <c r="AR522" i="25"/>
  <c r="AT189" i="25"/>
  <c r="AR189" i="25"/>
  <c r="AT364" i="25"/>
  <c r="AR364" i="25"/>
  <c r="AT195" i="25"/>
  <c r="AR195" i="25"/>
  <c r="AT278" i="25"/>
  <c r="AR278" i="25"/>
  <c r="AT378" i="25"/>
  <c r="AR378" i="25"/>
  <c r="AT115" i="25"/>
  <c r="AR115" i="25"/>
  <c r="AT169" i="25"/>
  <c r="AR169" i="25"/>
  <c r="AT109" i="25"/>
  <c r="AR109" i="25"/>
  <c r="AT305" i="25"/>
  <c r="AR305" i="25"/>
  <c r="AT362" i="25"/>
  <c r="AR362" i="25"/>
  <c r="AT101" i="25"/>
  <c r="AR101" i="25"/>
  <c r="AT538" i="25"/>
  <c r="AR538" i="25"/>
  <c r="AT556" i="25"/>
  <c r="AR556" i="25"/>
  <c r="AT450" i="25"/>
  <c r="AR450" i="25"/>
  <c r="AT404" i="25"/>
  <c r="AR404" i="25"/>
  <c r="AT518" i="25"/>
  <c r="AR518" i="25"/>
  <c r="AT346" i="25"/>
  <c r="AR346" i="25"/>
  <c r="AT502" i="25"/>
  <c r="AR502" i="25"/>
  <c r="AT545" i="25"/>
  <c r="AR545" i="25"/>
  <c r="AT103" i="25"/>
  <c r="AR103" i="25"/>
  <c r="AT509" i="25"/>
  <c r="AR509" i="25"/>
  <c r="AT487" i="25"/>
  <c r="AR487" i="25"/>
  <c r="AT298" i="25"/>
  <c r="AR298" i="25"/>
  <c r="AT392" i="25"/>
  <c r="AR392" i="25"/>
  <c r="AT106" i="25"/>
  <c r="AR106" i="25"/>
  <c r="AT563" i="25"/>
  <c r="AR563" i="25"/>
  <c r="AT36" i="25"/>
  <c r="AR36" i="25"/>
  <c r="AT536" i="25"/>
  <c r="AR536" i="25"/>
  <c r="AT479" i="25"/>
  <c r="AR479" i="25"/>
  <c r="AT366" i="25"/>
  <c r="AR366" i="25"/>
  <c r="AT85" i="25"/>
  <c r="AR85" i="25"/>
  <c r="AT163" i="25"/>
  <c r="AR163" i="25"/>
  <c r="AT69" i="25"/>
  <c r="AR69" i="25"/>
  <c r="AT423" i="25"/>
  <c r="AR423" i="25"/>
  <c r="AT307" i="25"/>
  <c r="AR307" i="25"/>
  <c r="AT91" i="25"/>
  <c r="AR91" i="25"/>
  <c r="AT306" i="25"/>
  <c r="AR306" i="25"/>
  <c r="AT231" i="25"/>
  <c r="AR231" i="25"/>
  <c r="AT66" i="25"/>
  <c r="AR66" i="25"/>
  <c r="AT119" i="25"/>
  <c r="AR119" i="25"/>
  <c r="AT336" i="25"/>
  <c r="AR336" i="25"/>
  <c r="AT90" i="25"/>
  <c r="AR90" i="25"/>
  <c r="AT567" i="25"/>
  <c r="AR567" i="25"/>
  <c r="AT403" i="25"/>
  <c r="AR403" i="25"/>
  <c r="AT331" i="25"/>
  <c r="AR331" i="25"/>
  <c r="AT207" i="25"/>
  <c r="AR207" i="25"/>
  <c r="AT178" i="25"/>
  <c r="AR178" i="25"/>
  <c r="AT347" i="25"/>
  <c r="AR347" i="25"/>
  <c r="AT79" i="25"/>
  <c r="AR79" i="25"/>
  <c r="AT411" i="25"/>
  <c r="AR411" i="25"/>
  <c r="AT461" i="25"/>
  <c r="AR461" i="25"/>
  <c r="AT330" i="25"/>
  <c r="AR330" i="25"/>
  <c r="AT504" i="25"/>
  <c r="AR504" i="25"/>
  <c r="AT222" i="25"/>
  <c r="AR222" i="25"/>
  <c r="AT267" i="25"/>
  <c r="AR267" i="25"/>
  <c r="AT440" i="25"/>
  <c r="AR440" i="25"/>
  <c r="AT546" i="25"/>
  <c r="AR546" i="25"/>
  <c r="AT18" i="25"/>
  <c r="AR18" i="25"/>
  <c r="AT512" i="25"/>
  <c r="AR512" i="25"/>
  <c r="AT580" i="25"/>
  <c r="AR580" i="25"/>
  <c r="AT190" i="25"/>
  <c r="AR190" i="25"/>
  <c r="AT275" i="25"/>
  <c r="AR275" i="25"/>
  <c r="AT29" i="25"/>
  <c r="AR29" i="25"/>
  <c r="AT357" i="25"/>
  <c r="AR357" i="25"/>
  <c r="AT491" i="25"/>
  <c r="AR491" i="25"/>
  <c r="AT472" i="25"/>
  <c r="AR472" i="25"/>
  <c r="AT402" i="25"/>
  <c r="AR402" i="25"/>
  <c r="AT547" i="25"/>
  <c r="AR547" i="25"/>
  <c r="AT28" i="25"/>
  <c r="AR28" i="25"/>
  <c r="AT173" i="25"/>
  <c r="AR173" i="25"/>
  <c r="AT586" i="25"/>
  <c r="AR586" i="25"/>
  <c r="AT295" i="25"/>
  <c r="AR295" i="25"/>
  <c r="AT581" i="25"/>
  <c r="AR581" i="25"/>
  <c r="AT410" i="25"/>
  <c r="AR410" i="25"/>
  <c r="AT471" i="25"/>
  <c r="AR471" i="25"/>
  <c r="AT344" i="25"/>
  <c r="AR344" i="25"/>
  <c r="AT50" i="25"/>
  <c r="AR50" i="25"/>
  <c r="AT83" i="25"/>
  <c r="AR83" i="25"/>
  <c r="AT188" i="25"/>
  <c r="AR188" i="25"/>
  <c r="AT192" i="25"/>
  <c r="AR192" i="25"/>
  <c r="AT252" i="25"/>
  <c r="AR252" i="25"/>
  <c r="AT82" i="25"/>
  <c r="AR82" i="25"/>
  <c r="AT110" i="25"/>
  <c r="AR110" i="25"/>
  <c r="AT343" i="25"/>
  <c r="AR343" i="25"/>
  <c r="AT530" i="25"/>
  <c r="AR530" i="25"/>
  <c r="AT474" i="25"/>
  <c r="AR474" i="25"/>
  <c r="AT294" i="25"/>
  <c r="AR294" i="25"/>
  <c r="AT405" i="25"/>
  <c r="AR405" i="25"/>
  <c r="AT463" i="25"/>
  <c r="AR463" i="25"/>
  <c r="AT165" i="25"/>
  <c r="AR165" i="25"/>
  <c r="AT282" i="25"/>
  <c r="AR282" i="25"/>
  <c r="AT152" i="25"/>
  <c r="AR152" i="25"/>
  <c r="AT505" i="25"/>
  <c r="AR505" i="25"/>
  <c r="AT430" i="25"/>
  <c r="AR430" i="25"/>
  <c r="AT459" i="25"/>
  <c r="AR459" i="25"/>
  <c r="AT555" i="25"/>
  <c r="AR555" i="25"/>
  <c r="AT102" i="25"/>
  <c r="AR102" i="25"/>
  <c r="AT116" i="25"/>
  <c r="AR116" i="25"/>
  <c r="AT88" i="25"/>
  <c r="AR88" i="25"/>
  <c r="AT367" i="25"/>
  <c r="AR367" i="25"/>
  <c r="AT435" i="25"/>
  <c r="AR435" i="25"/>
  <c r="AT240" i="25"/>
  <c r="AR240" i="25"/>
  <c r="AT125" i="25"/>
  <c r="AR125" i="25"/>
  <c r="AT266" i="25"/>
  <c r="AR266" i="25"/>
  <c r="AT237" i="25"/>
  <c r="AR237" i="25"/>
  <c r="AL588" i="25"/>
  <c r="AN588" i="25" s="1"/>
  <c r="AX582" i="7"/>
  <c r="AX358" i="7"/>
  <c r="AX556" i="7"/>
  <c r="AY425" i="7"/>
  <c r="AX337" i="7"/>
  <c r="AX383" i="7"/>
  <c r="AX308" i="7"/>
  <c r="M17" i="20"/>
  <c r="M19" i="20"/>
  <c r="M20" i="20"/>
  <c r="M11" i="20"/>
  <c r="M3" i="20"/>
  <c r="M12" i="20"/>
  <c r="M16" i="20"/>
  <c r="AX356" i="7"/>
  <c r="AY495" i="7"/>
  <c r="AX495" i="7"/>
  <c r="AX486" i="7"/>
  <c r="AY314" i="7"/>
  <c r="AX314" i="7"/>
  <c r="AX419" i="7"/>
  <c r="AX369" i="7"/>
  <c r="AX225" i="7"/>
  <c r="AX342" i="7"/>
  <c r="M7" i="20"/>
  <c r="M9" i="20"/>
  <c r="M5" i="20"/>
  <c r="M14" i="20"/>
  <c r="M18" i="20"/>
  <c r="AX260" i="7"/>
  <c r="AX538" i="7"/>
  <c r="AX93" i="7"/>
  <c r="AX410" i="7"/>
  <c r="AX412" i="7"/>
  <c r="AX413" i="7"/>
  <c r="AX36" i="7"/>
  <c r="AX144" i="7"/>
  <c r="AX408" i="7"/>
  <c r="AX136" i="7"/>
  <c r="AX119" i="7"/>
  <c r="AX222" i="7"/>
  <c r="AY403" i="7"/>
  <c r="AX403" i="7"/>
  <c r="AY256" i="7"/>
  <c r="AX256" i="7"/>
  <c r="AX65" i="7"/>
  <c r="AX520" i="7"/>
  <c r="AY264" i="7"/>
  <c r="AY44" i="7"/>
  <c r="AX44" i="7"/>
  <c r="AY499" i="7"/>
  <c r="AY116" i="7"/>
  <c r="AX116" i="7"/>
  <c r="AY445" i="7"/>
  <c r="AX445" i="7"/>
  <c r="AY178" i="7"/>
  <c r="AX178" i="7"/>
  <c r="AY316" i="7"/>
  <c r="AY184" i="7"/>
  <c r="AX184" i="7"/>
  <c r="AY185" i="7"/>
  <c r="AY357" i="7"/>
  <c r="AY577" i="7"/>
  <c r="AX577" i="7"/>
  <c r="AY92" i="7"/>
  <c r="AY200" i="7"/>
  <c r="AY206" i="7"/>
  <c r="AX206" i="7"/>
  <c r="AY53" i="7"/>
  <c r="AX53" i="7"/>
  <c r="AY96" i="7"/>
  <c r="AY56" i="7"/>
  <c r="AX56" i="7"/>
  <c r="AY138" i="7"/>
  <c r="AX138" i="7"/>
  <c r="AY249" i="7"/>
  <c r="AX249" i="7"/>
  <c r="AX78" i="7"/>
  <c r="AY30" i="7"/>
  <c r="AX30" i="7"/>
  <c r="AY397" i="7"/>
  <c r="AX474" i="7"/>
  <c r="AY353" i="7"/>
  <c r="AX353" i="7"/>
  <c r="AY172" i="7"/>
  <c r="AY75" i="7"/>
  <c r="AX477" i="7"/>
  <c r="AY47" i="7"/>
  <c r="AX47" i="7"/>
  <c r="AY87" i="7"/>
  <c r="AX87" i="7"/>
  <c r="AX296" i="7"/>
  <c r="AY522" i="7"/>
  <c r="AX522" i="7"/>
  <c r="AX377" i="7"/>
  <c r="AX25" i="7"/>
  <c r="AY72" i="7"/>
  <c r="AY559" i="7"/>
  <c r="AY423" i="7"/>
  <c r="AX423" i="7"/>
  <c r="AY505" i="7"/>
  <c r="AY258" i="7"/>
  <c r="AY77" i="7"/>
  <c r="AX77" i="7"/>
  <c r="AY483" i="7"/>
  <c r="AX483" i="7"/>
  <c r="AY589" i="7"/>
  <c r="AX589" i="7"/>
  <c r="AY315" i="7"/>
  <c r="AX191" i="7"/>
  <c r="AY401" i="7"/>
  <c r="AY215" i="7"/>
  <c r="AX215" i="7"/>
  <c r="AY312" i="7"/>
  <c r="AX312" i="7"/>
  <c r="AY268" i="7"/>
  <c r="AY126" i="7"/>
  <c r="AY17" i="7"/>
  <c r="AX17" i="7"/>
  <c r="AY482" i="7"/>
  <c r="AX482" i="7"/>
  <c r="AX352" i="7"/>
  <c r="AY132" i="7"/>
  <c r="AX132" i="7"/>
  <c r="AY151" i="7"/>
  <c r="AX151" i="7"/>
  <c r="AY513" i="7"/>
  <c r="AX513" i="7"/>
  <c r="AY254" i="7"/>
  <c r="AY103" i="7"/>
  <c r="AY159" i="7"/>
  <c r="AX159" i="7"/>
  <c r="AY33" i="7"/>
  <c r="AY454" i="7"/>
  <c r="AX454" i="7"/>
  <c r="AY187" i="7"/>
  <c r="AY515" i="7"/>
  <c r="AX515" i="7"/>
  <c r="AY137" i="7"/>
  <c r="AX137" i="7"/>
  <c r="AY465" i="7"/>
  <c r="AY141" i="7"/>
  <c r="AX141" i="7"/>
  <c r="AY9" i="7"/>
  <c r="AX113" i="7"/>
  <c r="AY171" i="7"/>
  <c r="AY59" i="7"/>
  <c r="AY166" i="7"/>
  <c r="AY15" i="7"/>
  <c r="AX15" i="7"/>
  <c r="AY392" i="7"/>
  <c r="AX392" i="7"/>
  <c r="AX221" i="7"/>
  <c r="AY221" i="7"/>
  <c r="AY228" i="7"/>
  <c r="AY391" i="7"/>
  <c r="AX391" i="7"/>
  <c r="AY371" i="7"/>
  <c r="AX371" i="7"/>
  <c r="AY257" i="7"/>
  <c r="AY487" i="7"/>
  <c r="AY478" i="7"/>
  <c r="AX478" i="7"/>
  <c r="AY388" i="7"/>
  <c r="AX388" i="7"/>
  <c r="AY182" i="7"/>
  <c r="AX182" i="7"/>
  <c r="AY305" i="7"/>
  <c r="AX305" i="7"/>
  <c r="AY3" i="7"/>
  <c r="AY494" i="7"/>
  <c r="AX494" i="7"/>
  <c r="M6" i="20"/>
  <c r="G9" i="14" l="1"/>
  <c r="J18" i="14"/>
  <c r="P10" i="14"/>
  <c r="O23" i="14"/>
  <c r="C23" i="14"/>
  <c r="L23" i="14"/>
  <c r="L8" i="14"/>
  <c r="L18" i="14"/>
  <c r="O10" i="14"/>
  <c r="C22" i="14"/>
  <c r="I20" i="14"/>
  <c r="C20" i="14"/>
  <c r="O20" i="14"/>
  <c r="R13" i="14"/>
  <c r="R17" i="14"/>
  <c r="O21" i="14"/>
  <c r="J15" i="14"/>
  <c r="C24" i="14"/>
  <c r="F24" i="14"/>
  <c r="F13" i="14"/>
  <c r="G18" i="14"/>
  <c r="I12" i="14"/>
  <c r="D14" i="14"/>
  <c r="G10" i="14"/>
  <c r="I16" i="14"/>
  <c r="G12" i="14"/>
  <c r="M14" i="14"/>
  <c r="P20" i="14"/>
  <c r="P24" i="14"/>
  <c r="J23" i="14"/>
  <c r="D15" i="14"/>
  <c r="G22" i="14"/>
  <c r="J24" i="14"/>
  <c r="C8" i="14"/>
  <c r="I18" i="14"/>
  <c r="L10" i="14"/>
  <c r="I22" i="14"/>
  <c r="L20" i="14"/>
  <c r="C7" i="14"/>
  <c r="O7" i="14"/>
  <c r="M23" i="14"/>
  <c r="L21" i="14"/>
  <c r="L24" i="14"/>
  <c r="L5" i="14"/>
  <c r="C5" i="14"/>
  <c r="J7" i="14"/>
  <c r="I23" i="14"/>
  <c r="O13" i="14"/>
  <c r="J16" i="14"/>
  <c r="P7" i="14"/>
  <c r="J21" i="14"/>
  <c r="G21" i="14"/>
  <c r="J12" i="14"/>
  <c r="C11" i="14"/>
  <c r="M21" i="14"/>
  <c r="J22" i="14"/>
  <c r="P16" i="14"/>
  <c r="F8" i="14"/>
  <c r="F18" i="14"/>
  <c r="I10" i="14"/>
  <c r="O22" i="14"/>
  <c r="F7" i="14"/>
  <c r="F21" i="14"/>
  <c r="O24" i="14"/>
  <c r="O5" i="14"/>
  <c r="G23" i="14"/>
  <c r="C13" i="14"/>
  <c r="M16" i="14"/>
  <c r="R16" i="14" s="1"/>
  <c r="D12" i="14"/>
  <c r="R12" i="14" s="1"/>
  <c r="G16" i="14"/>
  <c r="L15" i="14"/>
  <c r="D7" i="14"/>
  <c r="L9" i="14"/>
  <c r="P18" i="14"/>
  <c r="J10" i="14"/>
  <c r="G8" i="14"/>
  <c r="G7" i="14"/>
  <c r="D11" i="14"/>
  <c r="R11" i="14" s="1"/>
  <c r="M18" i="14"/>
  <c r="I8" i="14"/>
  <c r="P23" i="14"/>
  <c r="O18" i="14"/>
  <c r="C18" i="14"/>
  <c r="C10" i="14"/>
  <c r="F10" i="14"/>
  <c r="L22" i="14"/>
  <c r="F22" i="14"/>
  <c r="R24" i="14"/>
  <c r="F20" i="14"/>
  <c r="F23" i="14"/>
  <c r="I7" i="14"/>
  <c r="D8" i="14"/>
  <c r="I24" i="14"/>
  <c r="M15" i="14"/>
  <c r="I14" i="14"/>
  <c r="P15" i="14"/>
  <c r="M22" i="14"/>
  <c r="C15" i="14"/>
  <c r="P14" i="14"/>
  <c r="R6" i="14"/>
  <c r="O16" i="14"/>
  <c r="D18" i="14"/>
  <c r="M5" i="14"/>
  <c r="R5" i="14" s="1"/>
  <c r="D23" i="14"/>
  <c r="R23" i="14" s="1"/>
  <c r="R19" i="14"/>
  <c r="G20" i="14"/>
  <c r="M9" i="14"/>
  <c r="R9" i="14" s="1"/>
  <c r="P21" i="14"/>
  <c r="AZ183" i="25"/>
  <c r="BA183" i="25" s="1"/>
  <c r="AZ304" i="25"/>
  <c r="BA304" i="25" s="1"/>
  <c r="AZ434" i="25"/>
  <c r="BA434" i="25" s="1"/>
  <c r="AZ172" i="25"/>
  <c r="BA172" i="25" s="1"/>
  <c r="AZ187" i="25"/>
  <c r="AZ199" i="25"/>
  <c r="BA199" i="25" s="1"/>
  <c r="AZ112" i="25"/>
  <c r="BA112" i="25" s="1"/>
  <c r="AZ6" i="25"/>
  <c r="BA6" i="25" s="1"/>
  <c r="AZ338" i="25"/>
  <c r="AZ478" i="25"/>
  <c r="AZ218" i="25"/>
  <c r="BA218" i="25" s="1"/>
  <c r="AZ94" i="25"/>
  <c r="BA94" i="25" s="1"/>
  <c r="BA482" i="25"/>
  <c r="AZ370" i="25"/>
  <c r="BA370" i="25" s="1"/>
  <c r="AZ186" i="25"/>
  <c r="BA186" i="25" s="1"/>
  <c r="AZ27" i="25"/>
  <c r="BA27" i="25" s="1"/>
  <c r="AL424" i="25"/>
  <c r="AM424" i="25"/>
  <c r="AS424" i="25"/>
  <c r="AT424" i="25"/>
  <c r="AT259" i="25"/>
  <c r="AM259" i="25"/>
  <c r="AS259" i="25"/>
  <c r="AL259" i="25"/>
  <c r="AT455" i="25"/>
  <c r="AS455" i="25"/>
  <c r="AL455" i="25"/>
  <c r="AM455" i="25"/>
  <c r="AS590" i="25"/>
  <c r="AT590" i="25"/>
  <c r="AL590" i="25"/>
  <c r="AM590" i="25"/>
  <c r="AT573" i="25"/>
  <c r="AS573" i="25"/>
  <c r="AL573" i="25"/>
  <c r="AM573" i="25"/>
  <c r="AT490" i="25"/>
  <c r="AM490" i="25"/>
  <c r="AL490" i="25"/>
  <c r="AS490" i="25"/>
  <c r="AT358" i="25"/>
  <c r="AS358" i="25"/>
  <c r="AL358" i="25"/>
  <c r="AM358" i="25"/>
  <c r="AM382" i="25"/>
  <c r="AS382" i="25"/>
  <c r="AT382" i="25"/>
  <c r="AL382" i="25"/>
  <c r="AZ57" i="25"/>
  <c r="BA57" i="25" s="1"/>
  <c r="AT552" i="25"/>
  <c r="AL552" i="25"/>
  <c r="AM552" i="25"/>
  <c r="AS552" i="25"/>
  <c r="AT532" i="25"/>
  <c r="AM532" i="25"/>
  <c r="AL532" i="25"/>
  <c r="AS532" i="25"/>
  <c r="AM355" i="25"/>
  <c r="AS355" i="25"/>
  <c r="AT355" i="25"/>
  <c r="AL355" i="25"/>
  <c r="AM517" i="25"/>
  <c r="AS517" i="25"/>
  <c r="AT517" i="25"/>
  <c r="AL517" i="25"/>
  <c r="AT337" i="25"/>
  <c r="AM337" i="25"/>
  <c r="AS337" i="25"/>
  <c r="AL337" i="25"/>
  <c r="AT595" i="25"/>
  <c r="AM595" i="25"/>
  <c r="AL595" i="25"/>
  <c r="AS595" i="25"/>
  <c r="AT438" i="25"/>
  <c r="AS438" i="25"/>
  <c r="AM438" i="25"/>
  <c r="AL438" i="25"/>
  <c r="AT497" i="25"/>
  <c r="AM497" i="25"/>
  <c r="AL497" i="25"/>
  <c r="AS497" i="25"/>
  <c r="AT508" i="25"/>
  <c r="AS508" i="25"/>
  <c r="AM508" i="25"/>
  <c r="AL508" i="25"/>
  <c r="AT386" i="25"/>
  <c r="AM386" i="25"/>
  <c r="AS386" i="25"/>
  <c r="AL386" i="25"/>
  <c r="AT413" i="25"/>
  <c r="AS413" i="25"/>
  <c r="AM413" i="25"/>
  <c r="AL413" i="25"/>
  <c r="AS572" i="25"/>
  <c r="AM572" i="25"/>
  <c r="AL572" i="25"/>
  <c r="AT572" i="25"/>
  <c r="AT582" i="25"/>
  <c r="AM582" i="25"/>
  <c r="AS582" i="25"/>
  <c r="AL582" i="25"/>
  <c r="AT527" i="25"/>
  <c r="AS527" i="25"/>
  <c r="AM527" i="25"/>
  <c r="AL527" i="25"/>
  <c r="AT409" i="25"/>
  <c r="AM409" i="25"/>
  <c r="AL409" i="25"/>
  <c r="AS409" i="25"/>
  <c r="AT351" i="25"/>
  <c r="AM351" i="25"/>
  <c r="AS351" i="25"/>
  <c r="AL351" i="25"/>
  <c r="AM589" i="25"/>
  <c r="AS589" i="25"/>
  <c r="AT589" i="25"/>
  <c r="AL589" i="25"/>
  <c r="AM319" i="25"/>
  <c r="AS319" i="25"/>
  <c r="AT319" i="25"/>
  <c r="AL319" i="25"/>
  <c r="AT432" i="25"/>
  <c r="AM432" i="25"/>
  <c r="AL432" i="25"/>
  <c r="AS432" i="25"/>
  <c r="AT470" i="25"/>
  <c r="AL470" i="25"/>
  <c r="AS470" i="25"/>
  <c r="AM470" i="25"/>
  <c r="AM553" i="25"/>
  <c r="AS553" i="25"/>
  <c r="AT553" i="25"/>
  <c r="AL553" i="25"/>
  <c r="AT302" i="25"/>
  <c r="AL302" i="25"/>
  <c r="AS302" i="25"/>
  <c r="AM302" i="25"/>
  <c r="AT458" i="25"/>
  <c r="AM458" i="25"/>
  <c r="AS458" i="25"/>
  <c r="AL458" i="25"/>
  <c r="AT284" i="25"/>
  <c r="AM284" i="25"/>
  <c r="AL284" i="25"/>
  <c r="AS284" i="25"/>
  <c r="AT583" i="25"/>
  <c r="AS583" i="25"/>
  <c r="AM583" i="25"/>
  <c r="AL583" i="25"/>
  <c r="AT375" i="25"/>
  <c r="AL375" i="25"/>
  <c r="AM375" i="25"/>
  <c r="AS375" i="25"/>
  <c r="AT535" i="25"/>
  <c r="AM535" i="25"/>
  <c r="AS535" i="25"/>
  <c r="AL535" i="25"/>
  <c r="AM548" i="25"/>
  <c r="AS548" i="25"/>
  <c r="AT548" i="25"/>
  <c r="AL548" i="25"/>
  <c r="AT540" i="25"/>
  <c r="AS540" i="25"/>
  <c r="AL540" i="25"/>
  <c r="AM540" i="25"/>
  <c r="AM436" i="25"/>
  <c r="AS436" i="25"/>
  <c r="AT436" i="25"/>
  <c r="AL436" i="25"/>
  <c r="AT238" i="25"/>
  <c r="AM238" i="25"/>
  <c r="AL238" i="25"/>
  <c r="AS238" i="25"/>
  <c r="AM406" i="25"/>
  <c r="AT406" i="25"/>
  <c r="AS406" i="25"/>
  <c r="AL406" i="25"/>
  <c r="AM291" i="25"/>
  <c r="AS291" i="25"/>
  <c r="AT291" i="25"/>
  <c r="AL291" i="25"/>
  <c r="AT399" i="25"/>
  <c r="AS399" i="25"/>
  <c r="AL399" i="25"/>
  <c r="AM399" i="25"/>
  <c r="AM105" i="25"/>
  <c r="AS105" i="25"/>
  <c r="AT105" i="25"/>
  <c r="AL105" i="25"/>
  <c r="AS520" i="25"/>
  <c r="AT520" i="25"/>
  <c r="AM520" i="25"/>
  <c r="AL520" i="25"/>
  <c r="AT389" i="25"/>
  <c r="AM389" i="25"/>
  <c r="AS389" i="25"/>
  <c r="AL389" i="25"/>
  <c r="AS25" i="25"/>
  <c r="AT25" i="25"/>
  <c r="AM25" i="25"/>
  <c r="AL25" i="25"/>
  <c r="AM329" i="25"/>
  <c r="AT329" i="25"/>
  <c r="AL329" i="25"/>
  <c r="AS329" i="25"/>
  <c r="AM314" i="25"/>
  <c r="AT314" i="25"/>
  <c r="AS314" i="25"/>
  <c r="AL314" i="25"/>
  <c r="AT332" i="25"/>
  <c r="AL332" i="25"/>
  <c r="AM332" i="25"/>
  <c r="AS332" i="25"/>
  <c r="AM308" i="25"/>
  <c r="AL308" i="25"/>
  <c r="AS308" i="25"/>
  <c r="AT308" i="25"/>
  <c r="AS286" i="25"/>
  <c r="AL286" i="25"/>
  <c r="AM286" i="25"/>
  <c r="AT286" i="25"/>
  <c r="AM258" i="25"/>
  <c r="AT258" i="25"/>
  <c r="AS258" i="25"/>
  <c r="AL258" i="25"/>
  <c r="AT446" i="25"/>
  <c r="AL446" i="25"/>
  <c r="AS446" i="25"/>
  <c r="AM446" i="25"/>
  <c r="AT453" i="25"/>
  <c r="AM453" i="25"/>
  <c r="AS453" i="25"/>
  <c r="AL453" i="25"/>
  <c r="AT451" i="25"/>
  <c r="AS451" i="25"/>
  <c r="AL451" i="25"/>
  <c r="AM451" i="25"/>
  <c r="AT365" i="25"/>
  <c r="AM365" i="25"/>
  <c r="AS365" i="25"/>
  <c r="AL365" i="25"/>
  <c r="AT462" i="25"/>
  <c r="AM462" i="25"/>
  <c r="AS462" i="25"/>
  <c r="AL462" i="25"/>
  <c r="AT468" i="25"/>
  <c r="AL468" i="25"/>
  <c r="AS468" i="25"/>
  <c r="AM468" i="25"/>
  <c r="AT507" i="25"/>
  <c r="AL507" i="25"/>
  <c r="AM507" i="25"/>
  <c r="AS507" i="25"/>
  <c r="AS397" i="25"/>
  <c r="AM397" i="25"/>
  <c r="AT397" i="25"/>
  <c r="AL397" i="25"/>
  <c r="AM513" i="25"/>
  <c r="AS513" i="25"/>
  <c r="AT513" i="25"/>
  <c r="AL513" i="25"/>
  <c r="AM260" i="25"/>
  <c r="AS260" i="25"/>
  <c r="AT260" i="25"/>
  <c r="AL260" i="25"/>
  <c r="AT524" i="25"/>
  <c r="AS524" i="25"/>
  <c r="AL524" i="25"/>
  <c r="AM524" i="25"/>
  <c r="AM391" i="25"/>
  <c r="AS391" i="25"/>
  <c r="AT391" i="25"/>
  <c r="AL391" i="25"/>
  <c r="AM514" i="25"/>
  <c r="AL514" i="25"/>
  <c r="AS514" i="25"/>
  <c r="AT514" i="25"/>
  <c r="AT148" i="25"/>
  <c r="AM148" i="25"/>
  <c r="AL148" i="25"/>
  <c r="AS148" i="25"/>
  <c r="AT324" i="25"/>
  <c r="AM324" i="25"/>
  <c r="AS324" i="25"/>
  <c r="AL324" i="25"/>
  <c r="AT368" i="25"/>
  <c r="AL368" i="25"/>
  <c r="AM368" i="25"/>
  <c r="AS368" i="25"/>
  <c r="AT380" i="25"/>
  <c r="AM380" i="25"/>
  <c r="AL380" i="25"/>
  <c r="AS380" i="25"/>
  <c r="AT160" i="25"/>
  <c r="AM160" i="25"/>
  <c r="AL160" i="25"/>
  <c r="AS160" i="25"/>
  <c r="AT311" i="25"/>
  <c r="AS311" i="25"/>
  <c r="AL311" i="25"/>
  <c r="AM311" i="25"/>
  <c r="AS443" i="25"/>
  <c r="AM443" i="25"/>
  <c r="AT443" i="25"/>
  <c r="AL443" i="25"/>
  <c r="AT354" i="25"/>
  <c r="AS354" i="25"/>
  <c r="AL354" i="25"/>
  <c r="AM354" i="25"/>
  <c r="AT299" i="25"/>
  <c r="AM299" i="25"/>
  <c r="AS299" i="25"/>
  <c r="AL299" i="25"/>
  <c r="AT372" i="25"/>
  <c r="AL372" i="25"/>
  <c r="AM372" i="25"/>
  <c r="AS372" i="25"/>
  <c r="AT557" i="25"/>
  <c r="AM557" i="25"/>
  <c r="AL557" i="25"/>
  <c r="AS557" i="25"/>
  <c r="AM577" i="25"/>
  <c r="AS577" i="25"/>
  <c r="AT577" i="25"/>
  <c r="AL577" i="25"/>
  <c r="AT486" i="25"/>
  <c r="AM486" i="25"/>
  <c r="AS486" i="25"/>
  <c r="AL486" i="25"/>
  <c r="AT449" i="25"/>
  <c r="AS449" i="25"/>
  <c r="AM449" i="25"/>
  <c r="AL449" i="25"/>
  <c r="AZ235" i="25"/>
  <c r="AZ122" i="25"/>
  <c r="BA122" i="25" s="1"/>
  <c r="AZ7" i="25"/>
  <c r="BA7" i="25" s="1"/>
  <c r="AZ136" i="25"/>
  <c r="BA136" i="25" s="1"/>
  <c r="AZ143" i="25"/>
  <c r="BA143" i="25" s="1"/>
  <c r="AZ585" i="25"/>
  <c r="BA585" i="25" s="1"/>
  <c r="AZ23" i="25"/>
  <c r="BA23" i="25" s="1"/>
  <c r="AZ279" i="25"/>
  <c r="AZ257" i="25"/>
  <c r="BA257" i="25" s="1"/>
  <c r="AZ316" i="25"/>
  <c r="AP269" i="25" a="1"/>
  <c r="AP269" i="25" s="1"/>
  <c r="AZ269" i="25" s="1"/>
  <c r="BA269" i="25" s="1"/>
  <c r="AZ353" i="25"/>
  <c r="BA353" i="25" s="1"/>
  <c r="AZ325" i="25"/>
  <c r="BA325" i="25" s="1"/>
  <c r="AZ335" i="25"/>
  <c r="BA335" i="25" s="1"/>
  <c r="AZ200" i="25"/>
  <c r="BA200" i="25" s="1"/>
  <c r="AZ333" i="25"/>
  <c r="AZ418" i="25"/>
  <c r="BA418" i="25" s="1"/>
  <c r="AZ287" i="25"/>
  <c r="AZ334" i="25"/>
  <c r="AZ39" i="25"/>
  <c r="BA39" i="25" s="1"/>
  <c r="AZ40" i="25"/>
  <c r="BA40" i="25" s="1"/>
  <c r="AZ132" i="25"/>
  <c r="BA132" i="25" s="1"/>
  <c r="AZ42" i="25"/>
  <c r="BA42" i="25" s="1"/>
  <c r="AZ111" i="25"/>
  <c r="AZ519" i="25"/>
  <c r="BA519" i="25" s="1"/>
  <c r="AZ246" i="25"/>
  <c r="AZ104" i="25"/>
  <c r="BA104" i="25" s="1"/>
  <c r="AZ566" i="25"/>
  <c r="BA566" i="25" s="1"/>
  <c r="AZ426" i="25"/>
  <c r="AZ202" i="25"/>
  <c r="BA202" i="25" s="1"/>
  <c r="AZ47" i="25"/>
  <c r="BA47" i="25" s="1"/>
  <c r="AZ203" i="25"/>
  <c r="BA203" i="25" s="1"/>
  <c r="AP421" i="25" a="1"/>
  <c r="AP421" i="25" s="1"/>
  <c r="AZ421" i="25" s="1"/>
  <c r="AZ264" i="25"/>
  <c r="AZ499" i="25"/>
  <c r="AP456" i="25" a="1"/>
  <c r="AP456" i="25" s="1"/>
  <c r="AP317" i="25" a="1"/>
  <c r="AP317" i="25" s="1"/>
  <c r="AZ496" i="25"/>
  <c r="AZ141" i="25"/>
  <c r="BA141" i="25" s="1"/>
  <c r="AZ243" i="25"/>
  <c r="AZ253" i="25"/>
  <c r="AZ63" i="25"/>
  <c r="BA63" i="25" s="1"/>
  <c r="AZ516" i="25"/>
  <c r="AZ239" i="25"/>
  <c r="AZ339" i="25"/>
  <c r="BA339" i="25" s="1"/>
  <c r="AZ194" i="25"/>
  <c r="AZ211" i="25"/>
  <c r="BA211" i="25" s="1"/>
  <c r="AZ587" i="25"/>
  <c r="BA587" i="25" s="1"/>
  <c r="AZ251" i="25"/>
  <c r="BA251" i="25" s="1"/>
  <c r="AP361" i="25" a="1"/>
  <c r="AP361" i="25" s="1"/>
  <c r="AZ447" i="25"/>
  <c r="AZ209" i="25"/>
  <c r="AZ153" i="25"/>
  <c r="AZ428" i="25"/>
  <c r="AZ130" i="25"/>
  <c r="BA130" i="25" s="1"/>
  <c r="AZ19" i="25"/>
  <c r="BA19" i="25" s="1"/>
  <c r="AZ74" i="25"/>
  <c r="AZ228" i="25"/>
  <c r="BA228" i="25" s="1"/>
  <c r="AZ483" i="25"/>
  <c r="BA483" i="25" s="1"/>
  <c r="AZ219" i="25"/>
  <c r="BA219" i="25" s="1"/>
  <c r="AZ159" i="25"/>
  <c r="BA159" i="25" s="1"/>
  <c r="AZ422" i="25"/>
  <c r="BA422" i="25" s="1"/>
  <c r="AZ244" i="25"/>
  <c r="AZ494" i="25"/>
  <c r="BA494" i="25" s="1"/>
  <c r="AZ223" i="25"/>
  <c r="BA223" i="25" s="1"/>
  <c r="AZ145" i="25"/>
  <c r="BA145" i="25" s="1"/>
  <c r="AZ68" i="25"/>
  <c r="BA68" i="25" s="1"/>
  <c r="AZ164" i="25"/>
  <c r="BA164" i="25" s="1"/>
  <c r="AZ89" i="25"/>
  <c r="AZ268" i="25"/>
  <c r="AZ127" i="25"/>
  <c r="BA127" i="25" s="1"/>
  <c r="AZ265" i="25"/>
  <c r="AZ51" i="25"/>
  <c r="BA51" i="25" s="1"/>
  <c r="AZ271" i="25"/>
  <c r="BA271" i="25" s="1"/>
  <c r="AZ21" i="25"/>
  <c r="AZ53" i="25"/>
  <c r="BA53" i="25" s="1"/>
  <c r="AZ315" i="25"/>
  <c r="AZ155" i="25"/>
  <c r="BA155" i="25" s="1"/>
  <c r="AZ22" i="25"/>
  <c r="BA22" i="25" s="1"/>
  <c r="AZ383" i="25"/>
  <c r="BA383" i="25" s="1"/>
  <c r="AZ526" i="25"/>
  <c r="AZ559" i="25"/>
  <c r="BA559" i="25" s="1"/>
  <c r="AZ75" i="25"/>
  <c r="BA75" i="25" s="1"/>
  <c r="AZ419" i="25"/>
  <c r="BA419" i="25" s="1"/>
  <c r="AZ138" i="25"/>
  <c r="BA138" i="25" s="1"/>
  <c r="AZ67" i="25"/>
  <c r="AZ32" i="25"/>
  <c r="BA32" i="25" s="1"/>
  <c r="AZ154" i="25"/>
  <c r="BA154" i="25" s="1"/>
  <c r="AZ359" i="25"/>
  <c r="AZ48" i="25"/>
  <c r="AZ523" i="25"/>
  <c r="BA523" i="25" s="1"/>
  <c r="AZ3" i="25"/>
  <c r="AP417" i="25" a="1"/>
  <c r="AP417" i="25" s="1"/>
  <c r="AZ98" i="25"/>
  <c r="BA98" i="25" s="1"/>
  <c r="AZ340" i="25"/>
  <c r="BA340" i="25" s="1"/>
  <c r="AZ360" i="25"/>
  <c r="BA360" i="25" s="1"/>
  <c r="AZ272" i="25"/>
  <c r="BA272" i="25" s="1"/>
  <c r="AZ131" i="25"/>
  <c r="BA131" i="25" s="1"/>
  <c r="AZ309" i="25"/>
  <c r="BA309" i="25" s="1"/>
  <c r="AZ167" i="25"/>
  <c r="AZ201" i="25"/>
  <c r="BA201" i="25" s="1"/>
  <c r="AZ414" i="25"/>
  <c r="BA414" i="25" s="1"/>
  <c r="AZ60" i="25"/>
  <c r="BA60" i="25" s="1"/>
  <c r="AZ87" i="25"/>
  <c r="AZ96" i="25"/>
  <c r="BA96" i="25" s="1"/>
  <c r="AZ592" i="25"/>
  <c r="BA592" i="25" s="1"/>
  <c r="AZ214" i="25"/>
  <c r="BA214" i="25" s="1"/>
  <c r="AZ86" i="25"/>
  <c r="BA86" i="25" s="1"/>
  <c r="AZ241" i="25"/>
  <c r="AZ420" i="25"/>
  <c r="BA420" i="25" s="1"/>
  <c r="AZ64" i="25"/>
  <c r="BA64" i="25" s="1"/>
  <c r="AZ114" i="25"/>
  <c r="BA114" i="25" s="1"/>
  <c r="AZ521" i="25"/>
  <c r="BA521" i="25" s="1"/>
  <c r="AZ196" i="25"/>
  <c r="BA196" i="25" s="1"/>
  <c r="AZ170" i="25"/>
  <c r="BA170" i="25" s="1"/>
  <c r="AZ352" i="25"/>
  <c r="BA352" i="25" s="1"/>
  <c r="AZ128" i="25"/>
  <c r="BA117" i="25"/>
  <c r="AP345" i="25" a="1"/>
  <c r="AP345" i="25" s="1"/>
  <c r="AO341" i="25"/>
  <c r="AP528" i="25" a="1"/>
  <c r="AP528" i="25" s="1"/>
  <c r="BA179" i="25"/>
  <c r="BA427" i="25"/>
  <c r="AL506" i="25"/>
  <c r="AN506" i="25" s="1"/>
  <c r="AP425" i="25" a="1"/>
  <c r="AP425" i="25" s="1"/>
  <c r="AQ539" i="25"/>
  <c r="AQ224" i="25"/>
  <c r="AP193" i="25" a="1"/>
  <c r="AP193" i="25" s="1"/>
  <c r="AO204" i="25"/>
  <c r="AL579" i="25"/>
  <c r="AN579" i="25" s="1"/>
  <c r="AL175" i="25"/>
  <c r="AN175" i="25" s="1"/>
  <c r="AP564" i="25" a="1"/>
  <c r="AP564" i="25" s="1"/>
  <c r="AP480" i="25" a="1"/>
  <c r="AP480" i="25" s="1"/>
  <c r="AO33" i="25"/>
  <c r="AL174" i="25"/>
  <c r="AN174" i="25" s="1"/>
  <c r="AQ5" i="25"/>
  <c r="AQ198" i="25"/>
  <c r="AQ285" i="25"/>
  <c r="AQ417" i="25"/>
  <c r="AO417" i="25"/>
  <c r="AQ456" i="25"/>
  <c r="AO456" i="25"/>
  <c r="AQ345" i="25"/>
  <c r="AO345" i="25"/>
  <c r="AL321" i="25"/>
  <c r="AN321" i="25" s="1"/>
  <c r="AL522" i="25"/>
  <c r="AN522" i="25" s="1"/>
  <c r="AL191" i="25"/>
  <c r="AN191" i="25" s="1"/>
  <c r="AL408" i="25"/>
  <c r="AN408" i="25" s="1"/>
  <c r="AQ93" i="25"/>
  <c r="AO93" i="25"/>
  <c r="AQ425" i="25"/>
  <c r="AO425" i="25"/>
  <c r="AP433" i="25" a="1"/>
  <c r="AP433" i="25" s="1"/>
  <c r="AN433" i="25"/>
  <c r="AQ193" i="25"/>
  <c r="AO193" i="25"/>
  <c r="AQ484" i="25"/>
  <c r="AO484" i="25"/>
  <c r="AQ564" i="25"/>
  <c r="AO564" i="25"/>
  <c r="AQ213" i="25"/>
  <c r="AO213" i="25"/>
  <c r="AP393" i="25" a="1"/>
  <c r="AP393" i="25" s="1"/>
  <c r="AN393" i="25"/>
  <c r="AQ361" i="25"/>
  <c r="AO361" i="25"/>
  <c r="AP213" i="25" a="1"/>
  <c r="AP213" i="25" s="1"/>
  <c r="AN213" i="25"/>
  <c r="AQ204" i="25"/>
  <c r="AL254" i="25"/>
  <c r="AN254" i="25" s="1"/>
  <c r="AL363" i="25"/>
  <c r="AN363" i="25" s="1"/>
  <c r="AQ385" i="25"/>
  <c r="AO385" i="25"/>
  <c r="AP481" i="25" a="1"/>
  <c r="AP481" i="25" s="1"/>
  <c r="AN481" i="25"/>
  <c r="AQ476" i="25"/>
  <c r="AO476" i="25"/>
  <c r="AP476" i="25" a="1"/>
  <c r="AP476" i="25" s="1"/>
  <c r="AN476" i="25"/>
  <c r="AP565" i="25" a="1"/>
  <c r="AP565" i="25" s="1"/>
  <c r="AN565" i="25"/>
  <c r="AQ317" i="25"/>
  <c r="AZ317" i="25" s="1"/>
  <c r="AO317" i="25"/>
  <c r="AQ565" i="25"/>
  <c r="AO565" i="25"/>
  <c r="AL126" i="25"/>
  <c r="AN126" i="25" s="1"/>
  <c r="AO537" i="25"/>
  <c r="AL177" i="25"/>
  <c r="AN177" i="25" s="1"/>
  <c r="AP341" i="25" a="1"/>
  <c r="AP341" i="25" s="1"/>
  <c r="AZ341" i="25" s="1"/>
  <c r="AL344" i="25"/>
  <c r="AN344" i="25" s="1"/>
  <c r="AL163" i="25"/>
  <c r="AN163" i="25" s="1"/>
  <c r="AL115" i="25"/>
  <c r="AN115" i="25" s="1"/>
  <c r="BA71" i="25"/>
  <c r="BA568" i="25"/>
  <c r="BA421" i="25"/>
  <c r="BA492" i="25"/>
  <c r="BA72" i="25"/>
  <c r="BA376" i="25"/>
  <c r="BA253" i="25"/>
  <c r="BA534" i="25"/>
  <c r="BA176" i="25"/>
  <c r="BA232" i="25"/>
  <c r="BA426" i="25"/>
  <c r="BA261" i="25"/>
  <c r="BA24" i="25"/>
  <c r="BA92" i="25"/>
  <c r="BA187" i="25"/>
  <c r="BA407" i="25"/>
  <c r="BA142" i="25"/>
  <c r="BA4" i="25"/>
  <c r="BA377" i="25"/>
  <c r="BA46" i="25"/>
  <c r="BA184" i="25"/>
  <c r="BA65" i="25"/>
  <c r="BA156" i="25"/>
  <c r="BA478" i="25"/>
  <c r="BA312" i="25"/>
  <c r="BA242" i="25"/>
  <c r="BA162" i="25"/>
  <c r="BA477" i="25"/>
  <c r="AL556" i="25"/>
  <c r="AN556" i="25" s="1"/>
  <c r="AL169" i="25"/>
  <c r="AN169" i="25" s="1"/>
  <c r="AL195" i="25"/>
  <c r="AN195" i="25" s="1"/>
  <c r="AL237" i="25"/>
  <c r="AL283" i="25"/>
  <c r="AN283" i="25" s="1"/>
  <c r="AL108" i="25"/>
  <c r="AN108" i="25" s="1"/>
  <c r="AL78" i="25"/>
  <c r="AN78" i="25" s="1"/>
  <c r="AL584" i="25"/>
  <c r="AN584" i="25" s="1"/>
  <c r="AL320" i="25"/>
  <c r="AN320" i="25" s="1"/>
  <c r="AL303" i="25"/>
  <c r="AN303" i="25" s="1"/>
  <c r="AL396" i="25"/>
  <c r="AL270" i="25"/>
  <c r="AN270" i="25" s="1"/>
  <c r="AP61" i="25" a="1"/>
  <c r="AP61" i="25" s="1"/>
  <c r="AQ481" i="25"/>
  <c r="AQ61" i="25"/>
  <c r="AL280" i="25"/>
  <c r="AN280" i="25" s="1"/>
  <c r="AL16" i="25"/>
  <c r="AN16" i="25" s="1"/>
  <c r="AL62" i="25"/>
  <c r="AN62" i="25" s="1"/>
  <c r="AL149" i="25"/>
  <c r="AL290" i="25"/>
  <c r="AN290" i="25" s="1"/>
  <c r="AL113" i="25"/>
  <c r="AN113" i="25" s="1"/>
  <c r="AL59" i="25"/>
  <c r="AN59" i="25" s="1"/>
  <c r="AL165" i="25"/>
  <c r="AN165" i="25" s="1"/>
  <c r="AL236" i="25"/>
  <c r="AN236" i="25" s="1"/>
  <c r="AL263" i="25"/>
  <c r="AN263" i="25" s="1"/>
  <c r="AL208" i="25"/>
  <c r="AN208" i="25" s="1"/>
  <c r="AO230" i="25"/>
  <c r="AL439" i="25"/>
  <c r="AN439" i="25" s="1"/>
  <c r="AL95" i="25"/>
  <c r="AN95" i="25" s="1"/>
  <c r="AL81" i="25"/>
  <c r="AL77" i="25"/>
  <c r="AN77" i="25" s="1"/>
  <c r="AO511" i="25"/>
  <c r="AL181" i="25"/>
  <c r="AN181" i="25" s="1"/>
  <c r="AL398" i="25"/>
  <c r="AN398" i="25" s="1"/>
  <c r="AL416" i="25"/>
  <c r="AN416" i="25" s="1"/>
  <c r="AP224" i="25" a="1"/>
  <c r="AP224" i="25" s="1"/>
  <c r="AL133" i="25"/>
  <c r="AN133" i="25" s="1"/>
  <c r="AL466" i="25"/>
  <c r="AL13" i="25"/>
  <c r="AN13" i="25" s="1"/>
  <c r="AL277" i="25"/>
  <c r="AL54" i="25"/>
  <c r="AN54" i="25" s="1"/>
  <c r="AL373" i="25"/>
  <c r="AN373" i="25" s="1"/>
  <c r="AL217" i="25"/>
  <c r="AN217" i="25" s="1"/>
  <c r="AL464" i="25"/>
  <c r="AN464" i="25" s="1"/>
  <c r="AL140" i="25"/>
  <c r="AL591" i="25"/>
  <c r="AN591" i="25" s="1"/>
  <c r="AL248" i="25"/>
  <c r="AN248" i="25" s="1"/>
  <c r="AL503" i="25"/>
  <c r="AN503" i="25" s="1"/>
  <c r="AL297" i="25"/>
  <c r="AN297" i="25" s="1"/>
  <c r="AL469" i="25"/>
  <c r="AN469" i="25" s="1"/>
  <c r="AO579" i="25"/>
  <c r="AL99" i="25"/>
  <c r="AL328" i="25"/>
  <c r="AN328" i="25" s="1"/>
  <c r="AL515" i="25"/>
  <c r="AL571" i="25"/>
  <c r="AN571" i="25" s="1"/>
  <c r="AL594" i="25"/>
  <c r="AN594" i="25" s="1"/>
  <c r="AL379" i="25"/>
  <c r="AN379" i="25" s="1"/>
  <c r="AL150" i="25"/>
  <c r="AN150" i="25" s="1"/>
  <c r="AL262" i="25"/>
  <c r="AN262" i="25" s="1"/>
  <c r="AL529" i="25"/>
  <c r="AN529" i="25" s="1"/>
  <c r="AL35" i="25"/>
  <c r="AN35" i="25" s="1"/>
  <c r="AL593" i="25"/>
  <c r="AN593" i="25" s="1"/>
  <c r="AL533" i="25"/>
  <c r="AN533" i="25" s="1"/>
  <c r="AL388" i="25"/>
  <c r="AN388" i="25" s="1"/>
  <c r="AL123" i="25"/>
  <c r="AN123" i="25" s="1"/>
  <c r="AL12" i="25"/>
  <c r="AN12" i="25" s="1"/>
  <c r="AL562" i="25"/>
  <c r="AN562" i="25" s="1"/>
  <c r="AL11" i="25"/>
  <c r="AN11" i="25" s="1"/>
  <c r="AL348" i="25"/>
  <c r="AN348" i="25" s="1"/>
  <c r="AL465" i="25"/>
  <c r="AN465" i="25" s="1"/>
  <c r="AL70" i="25"/>
  <c r="AN70" i="25" s="1"/>
  <c r="AL441" i="25"/>
  <c r="AN441" i="25" s="1"/>
  <c r="AL374" i="25"/>
  <c r="AN374" i="25" s="1"/>
  <c r="AL495" i="25"/>
  <c r="AL415" i="25"/>
  <c r="AN415" i="25" s="1"/>
  <c r="AL467" i="25"/>
  <c r="AL574" i="25"/>
  <c r="AN574" i="25" s="1"/>
  <c r="AL10" i="25"/>
  <c r="AN10" i="25" s="1"/>
  <c r="AL84" i="25"/>
  <c r="AN84" i="25" s="1"/>
  <c r="AL31" i="25"/>
  <c r="AL20" i="25"/>
  <c r="AN20" i="25" s="1"/>
  <c r="AL180" i="25"/>
  <c r="AN180" i="25" s="1"/>
  <c r="AL575" i="25"/>
  <c r="AL134" i="25"/>
  <c r="AN134" i="25" s="1"/>
  <c r="AL437" i="25"/>
  <c r="AN437" i="25" s="1"/>
  <c r="AL34" i="25"/>
  <c r="AN34" i="25" s="1"/>
  <c r="AL313" i="25"/>
  <c r="AL387" i="25"/>
  <c r="AN387" i="25" s="1"/>
  <c r="AL318" i="25"/>
  <c r="AL457" i="25"/>
  <c r="AN457" i="25" s="1"/>
  <c r="AL493" i="25"/>
  <c r="AL350" i="25"/>
  <c r="AN350" i="25" s="1"/>
  <c r="AL205" i="25"/>
  <c r="AN205" i="25" s="1"/>
  <c r="AL137" i="25"/>
  <c r="AN137" i="25" s="1"/>
  <c r="AL229" i="25"/>
  <c r="AN229" i="25" s="1"/>
  <c r="AL301" i="25"/>
  <c r="AN301" i="25" s="1"/>
  <c r="AL285" i="25"/>
  <c r="AN285" i="25" s="1"/>
  <c r="AL33" i="25"/>
  <c r="AN33" i="25" s="1"/>
  <c r="AL198" i="25"/>
  <c r="AN198" i="25" s="1"/>
  <c r="AL554" i="25"/>
  <c r="AN554" i="25" s="1"/>
  <c r="AL225" i="25"/>
  <c r="AN225" i="25" s="1"/>
  <c r="AL489" i="25"/>
  <c r="AN489" i="25" s="1"/>
  <c r="AL500" i="25"/>
  <c r="AN500" i="25" s="1"/>
  <c r="AL135" i="25"/>
  <c r="AL356" i="25"/>
  <c r="AN356" i="25" s="1"/>
  <c r="AO467" i="25"/>
  <c r="AL168" i="25"/>
  <c r="AN168" i="25" s="1"/>
  <c r="AL390" i="25"/>
  <c r="AL230" i="25"/>
  <c r="AN230" i="25" s="1"/>
  <c r="AL100" i="25"/>
  <c r="AN100" i="25" s="1"/>
  <c r="AL445" i="25"/>
  <c r="AN445" i="25" s="1"/>
  <c r="AL129" i="25"/>
  <c r="AN129" i="25" s="1"/>
  <c r="AO34" i="25"/>
  <c r="AL576" i="25"/>
  <c r="AN576" i="25" s="1"/>
  <c r="AL93" i="25"/>
  <c r="AN93" i="25" s="1"/>
  <c r="AL76" i="25"/>
  <c r="AN76" i="25" s="1"/>
  <c r="AL539" i="25"/>
  <c r="AL560" i="25"/>
  <c r="AN560" i="25" s="1"/>
  <c r="AL44" i="25"/>
  <c r="AL45" i="25"/>
  <c r="AN45" i="25" s="1"/>
  <c r="AL204" i="25"/>
  <c r="AN204" i="25" s="1"/>
  <c r="AL56" i="25"/>
  <c r="AN56" i="25" s="1"/>
  <c r="AL448" i="25"/>
  <c r="AN448" i="25" s="1"/>
  <c r="AL485" i="25"/>
  <c r="AN485" i="25" s="1"/>
  <c r="AL452" i="25"/>
  <c r="AL543" i="25"/>
  <c r="AN543" i="25" s="1"/>
  <c r="AL431" i="25"/>
  <c r="AN431" i="25" s="1"/>
  <c r="AL80" i="25"/>
  <c r="AN80" i="25" s="1"/>
  <c r="AL266" i="25"/>
  <c r="AN266" i="25" s="1"/>
  <c r="AL367" i="25"/>
  <c r="AL555" i="25"/>
  <c r="AN555" i="25" s="1"/>
  <c r="AL152" i="25"/>
  <c r="AL405" i="25"/>
  <c r="AN405" i="25" s="1"/>
  <c r="AL343" i="25"/>
  <c r="AL192" i="25"/>
  <c r="AN192" i="25" s="1"/>
  <c r="AL173" i="25"/>
  <c r="AN173" i="25" s="1"/>
  <c r="AL472" i="25"/>
  <c r="AN472" i="25" s="1"/>
  <c r="AL18" i="25"/>
  <c r="AN18" i="25" s="1"/>
  <c r="AL222" i="25"/>
  <c r="AN222" i="25" s="1"/>
  <c r="AL411" i="25"/>
  <c r="AN411" i="25" s="1"/>
  <c r="AL403" i="25"/>
  <c r="AL487" i="25"/>
  <c r="AN487" i="25" s="1"/>
  <c r="AL518" i="25"/>
  <c r="AN518" i="25" s="1"/>
  <c r="AL450" i="25"/>
  <c r="AN450" i="25" s="1"/>
  <c r="AL362" i="25"/>
  <c r="AL109" i="25"/>
  <c r="AN109" i="25" s="1"/>
  <c r="AL364" i="25"/>
  <c r="AN364" i="25" s="1"/>
  <c r="AL82" i="25"/>
  <c r="AN82" i="25" s="1"/>
  <c r="AL392" i="25"/>
  <c r="AL38" i="25"/>
  <c r="AN38" i="25" s="1"/>
  <c r="AL544" i="25"/>
  <c r="AN544" i="25" s="1"/>
  <c r="AL274" i="25"/>
  <c r="AN274" i="25" s="1"/>
  <c r="AL578" i="25"/>
  <c r="AL161" i="25"/>
  <c r="AN161" i="25" s="1"/>
  <c r="AL121" i="25"/>
  <c r="AN121" i="25" s="1"/>
  <c r="AL541" i="25"/>
  <c r="AN541" i="25" s="1"/>
  <c r="AL511" i="25"/>
  <c r="AL525" i="25"/>
  <c r="AL26" i="25"/>
  <c r="AN26" i="25" s="1"/>
  <c r="AL570" i="25"/>
  <c r="AN570" i="25" s="1"/>
  <c r="AL233" i="25"/>
  <c r="AN233" i="25" s="1"/>
  <c r="AL442" i="25"/>
  <c r="AN442" i="25" s="1"/>
  <c r="AL206" i="25"/>
  <c r="AN206" i="25" s="1"/>
  <c r="AL139" i="25"/>
  <c r="AN139" i="25" s="1"/>
  <c r="AL501" i="25"/>
  <c r="AN501" i="25" s="1"/>
  <c r="AL15" i="25"/>
  <c r="AL171" i="25"/>
  <c r="AN171" i="25" s="1"/>
  <c r="AL561" i="25"/>
  <c r="AN561" i="25" s="1"/>
  <c r="AL158" i="25"/>
  <c r="AN158" i="25" s="1"/>
  <c r="AL510" i="25"/>
  <c r="AN510" i="25" s="1"/>
  <c r="AL429" i="25"/>
  <c r="AN429" i="25" s="1"/>
  <c r="AL296" i="25"/>
  <c r="AN296" i="25" s="1"/>
  <c r="AL250" i="25"/>
  <c r="AL146" i="25"/>
  <c r="AN146" i="25" s="1"/>
  <c r="AL97" i="25"/>
  <c r="AN97" i="25" s="1"/>
  <c r="AL37" i="25"/>
  <c r="AN37" i="25" s="1"/>
  <c r="AL289" i="25"/>
  <c r="AL400" i="25"/>
  <c r="AN400" i="25" s="1"/>
  <c r="AL144" i="25"/>
  <c r="AN144" i="25" s="1"/>
  <c r="AL349" i="25"/>
  <c r="AN349" i="25" s="1"/>
  <c r="AL484" i="25"/>
  <c r="AN484" i="25" s="1"/>
  <c r="AL166" i="25"/>
  <c r="AN166" i="25" s="1"/>
  <c r="AL473" i="25"/>
  <c r="AN473" i="25" s="1"/>
  <c r="AL30" i="25"/>
  <c r="AN30" i="25" s="1"/>
  <c r="AL107" i="25"/>
  <c r="AL9" i="25"/>
  <c r="AN9" i="25" s="1"/>
  <c r="AL41" i="25"/>
  <c r="AN41" i="25" s="1"/>
  <c r="AL52" i="25"/>
  <c r="AN52" i="25" s="1"/>
  <c r="AL5" i="25"/>
  <c r="AN5" i="25" s="1"/>
  <c r="AL216" i="25"/>
  <c r="AN216" i="25" s="1"/>
  <c r="AL293" i="25"/>
  <c r="AN293" i="25" s="1"/>
  <c r="AL226" i="25"/>
  <c r="AN226" i="25" s="1"/>
  <c r="AL537" i="25"/>
  <c r="AL327" i="25"/>
  <c r="AN327" i="25" s="1"/>
  <c r="AL292" i="25"/>
  <c r="AN292" i="25" s="1"/>
  <c r="AL49" i="25"/>
  <c r="AN49" i="25" s="1"/>
  <c r="AL371" i="25"/>
  <c r="AN371" i="25" s="1"/>
  <c r="AL220" i="25"/>
  <c r="AN220" i="25" s="1"/>
  <c r="AL381" i="25"/>
  <c r="AN381" i="25" s="1"/>
  <c r="AL342" i="25"/>
  <c r="AN342" i="25" s="1"/>
  <c r="AL385" i="25"/>
  <c r="AN385" i="25" s="1"/>
  <c r="AL276" i="25"/>
  <c r="AN276" i="25" s="1"/>
  <c r="AL596" i="25"/>
  <c r="AN596" i="25" s="1"/>
  <c r="AL475" i="25"/>
  <c r="AN475" i="25" s="1"/>
  <c r="AL102" i="25"/>
  <c r="AN102" i="25" s="1"/>
  <c r="AL459" i="25"/>
  <c r="AN459" i="25" s="1"/>
  <c r="AO294" i="25"/>
  <c r="AL252" i="25"/>
  <c r="AN252" i="25" s="1"/>
  <c r="AL188" i="25"/>
  <c r="AL50" i="25"/>
  <c r="AN50" i="25" s="1"/>
  <c r="AL471" i="25"/>
  <c r="AN471" i="25" s="1"/>
  <c r="AO402" i="25"/>
  <c r="AL491" i="25"/>
  <c r="AN491" i="25" s="1"/>
  <c r="AL29" i="25"/>
  <c r="AL190" i="25"/>
  <c r="AN190" i="25" s="1"/>
  <c r="AL512" i="25"/>
  <c r="AO461" i="25"/>
  <c r="AL79" i="25"/>
  <c r="AN79" i="25" s="1"/>
  <c r="AL178" i="25"/>
  <c r="AL331" i="25"/>
  <c r="AN331" i="25" s="1"/>
  <c r="AL66" i="25"/>
  <c r="AL306" i="25"/>
  <c r="AN306" i="25" s="1"/>
  <c r="AL509" i="25"/>
  <c r="AN509" i="25" s="1"/>
  <c r="AO346" i="25"/>
  <c r="AL404" i="25"/>
  <c r="AN404" i="25" s="1"/>
  <c r="AL378" i="25"/>
  <c r="AN378" i="25" s="1"/>
  <c r="AL116" i="25"/>
  <c r="AN116" i="25" s="1"/>
  <c r="AL275" i="25"/>
  <c r="AN275" i="25" s="1"/>
  <c r="AL119" i="25"/>
  <c r="AN119" i="25" s="1"/>
  <c r="AO405" i="25"/>
  <c r="AL410" i="25"/>
  <c r="AN410" i="25" s="1"/>
  <c r="AL580" i="25"/>
  <c r="AN580" i="25" s="1"/>
  <c r="AL347" i="25"/>
  <c r="AL394" i="25"/>
  <c r="AN394" i="25" s="1"/>
  <c r="AL118" i="25"/>
  <c r="AL73" i="25"/>
  <c r="AL255" i="25"/>
  <c r="AN255" i="25" s="1"/>
  <c r="AL558" i="25"/>
  <c r="AL551" i="25"/>
  <c r="AL249" i="25"/>
  <c r="AN249" i="25" s="1"/>
  <c r="AL322" i="25"/>
  <c r="AL412" i="25"/>
  <c r="AL157" i="25"/>
  <c r="AL300" i="25"/>
  <c r="AL43" i="25"/>
  <c r="AN43" i="25" s="1"/>
  <c r="AL124" i="25"/>
  <c r="AN124" i="25" s="1"/>
  <c r="AL8" i="25"/>
  <c r="AN8" i="25" s="1"/>
  <c r="AO364" i="25"/>
  <c r="AL55" i="25"/>
  <c r="AL569" i="25"/>
  <c r="AN569" i="25" s="1"/>
  <c r="AL498" i="25"/>
  <c r="AN498" i="25" s="1"/>
  <c r="AL454" i="25"/>
  <c r="AN454" i="25" s="1"/>
  <c r="AL323" i="25"/>
  <c r="AN323" i="25" s="1"/>
  <c r="AL273" i="25"/>
  <c r="AN273" i="25" s="1"/>
  <c r="AL444" i="25"/>
  <c r="AL185" i="25"/>
  <c r="AL460" i="25"/>
  <c r="AL256" i="25"/>
  <c r="AN256" i="25" s="1"/>
  <c r="AL401" i="25"/>
  <c r="AN401" i="25" s="1"/>
  <c r="AL326" i="25"/>
  <c r="AL210" i="25"/>
  <c r="AN210" i="25" s="1"/>
  <c r="AL17" i="25"/>
  <c r="AN17" i="25" s="1"/>
  <c r="AL531" i="25"/>
  <c r="AN531" i="25" s="1"/>
  <c r="AL240" i="25"/>
  <c r="AL430" i="25"/>
  <c r="AL474" i="25"/>
  <c r="AL207" i="25"/>
  <c r="AL91" i="25"/>
  <c r="AL536" i="25"/>
  <c r="AN536" i="25" s="1"/>
  <c r="AL83" i="25"/>
  <c r="AL295" i="25"/>
  <c r="AN295" i="25" s="1"/>
  <c r="AL547" i="25"/>
  <c r="AL357" i="25"/>
  <c r="AN357" i="25" s="1"/>
  <c r="AL90" i="25"/>
  <c r="AL231" i="25"/>
  <c r="AN231" i="25" s="1"/>
  <c r="AL423" i="25"/>
  <c r="AL366" i="25"/>
  <c r="AN366" i="25" s="1"/>
  <c r="AL563" i="25"/>
  <c r="AL278" i="25"/>
  <c r="AN278" i="25" s="1"/>
  <c r="AL538" i="25"/>
  <c r="AL440" i="25"/>
  <c r="AL281" i="25"/>
  <c r="AL550" i="25"/>
  <c r="AL384" i="25"/>
  <c r="AL221" i="25"/>
  <c r="AN221" i="25" s="1"/>
  <c r="AL395" i="25"/>
  <c r="AL549" i="25"/>
  <c r="AN549" i="25" s="1"/>
  <c r="AL227" i="25"/>
  <c r="AL542" i="25"/>
  <c r="AL288" i="25"/>
  <c r="AN288" i="25" s="1"/>
  <c r="AL14" i="25"/>
  <c r="AN14" i="25" s="1"/>
  <c r="AL212" i="25"/>
  <c r="AL58" i="25"/>
  <c r="AL197" i="25"/>
  <c r="AN197" i="25" s="1"/>
  <c r="AL488" i="25"/>
  <c r="AL234" i="25"/>
  <c r="AN234" i="25" s="1"/>
  <c r="AL151" i="25"/>
  <c r="AL103" i="25"/>
  <c r="AL502" i="25"/>
  <c r="AL330" i="25"/>
  <c r="AN330" i="25" s="1"/>
  <c r="AL567" i="25"/>
  <c r="AN567" i="25" s="1"/>
  <c r="AL298" i="25"/>
  <c r="AN298" i="25" s="1"/>
  <c r="AL346" i="25"/>
  <c r="AL189" i="25"/>
  <c r="AL307" i="25"/>
  <c r="AL69" i="25"/>
  <c r="AL479" i="25"/>
  <c r="AN479" i="25" s="1"/>
  <c r="AL545" i="25"/>
  <c r="AL101" i="25"/>
  <c r="AN101" i="25" s="1"/>
  <c r="AL505" i="25"/>
  <c r="AL282" i="25"/>
  <c r="AL294" i="25"/>
  <c r="AN294" i="25" s="1"/>
  <c r="AL586" i="25"/>
  <c r="AL267" i="25"/>
  <c r="AL85" i="25"/>
  <c r="AL125" i="25"/>
  <c r="AN125" i="25" s="1"/>
  <c r="AL463" i="25"/>
  <c r="AL581" i="25"/>
  <c r="AN581" i="25" s="1"/>
  <c r="AL546" i="25"/>
  <c r="AL305" i="25"/>
  <c r="AL435" i="25"/>
  <c r="AL88" i="25"/>
  <c r="AN88" i="25" s="1"/>
  <c r="AL530" i="25"/>
  <c r="AL110" i="25"/>
  <c r="AL28" i="25"/>
  <c r="AL402" i="25"/>
  <c r="AN402" i="25" s="1"/>
  <c r="AL504" i="25"/>
  <c r="AN504" i="25" s="1"/>
  <c r="AL461" i="25"/>
  <c r="AL336" i="25"/>
  <c r="AL36" i="25"/>
  <c r="AN36" i="25" s="1"/>
  <c r="AL106" i="25"/>
  <c r="AP579" i="25" a="1"/>
  <c r="AP579" i="25" s="1"/>
  <c r="AP588" i="25" a="1"/>
  <c r="AP588" i="25" s="1"/>
  <c r="BD215" i="7"/>
  <c r="BD182" i="7"/>
  <c r="BD482" i="7"/>
  <c r="R20" i="14" l="1"/>
  <c r="R10" i="14"/>
  <c r="R22" i="14"/>
  <c r="R21" i="14"/>
  <c r="R18" i="14"/>
  <c r="Q10" i="14"/>
  <c r="Q18" i="14"/>
  <c r="X101" i="7"/>
  <c r="X96" i="7"/>
  <c r="X98" i="7"/>
  <c r="X103" i="7"/>
  <c r="X100" i="7"/>
  <c r="X105" i="7"/>
  <c r="X102" i="7"/>
  <c r="X95" i="7"/>
  <c r="X120" i="7"/>
  <c r="X97" i="7"/>
  <c r="X104" i="7"/>
  <c r="X162" i="7"/>
  <c r="X186" i="7"/>
  <c r="X163" i="7"/>
  <c r="X165" i="7"/>
  <c r="X189" i="7"/>
  <c r="X185" i="7"/>
  <c r="X167" i="7"/>
  <c r="X187" i="7"/>
  <c r="X171" i="7"/>
  <c r="X168" i="7"/>
  <c r="X166" i="7"/>
  <c r="X164" i="7"/>
  <c r="X169" i="7"/>
  <c r="X170" i="7"/>
  <c r="X157" i="7"/>
  <c r="X161" i="7"/>
  <c r="X172" i="7"/>
  <c r="X497" i="7"/>
  <c r="X502" i="7"/>
  <c r="X509" i="7"/>
  <c r="X501" i="7"/>
  <c r="X508" i="7"/>
  <c r="X499" i="7"/>
  <c r="X506" i="7"/>
  <c r="X498" i="7"/>
  <c r="X505" i="7"/>
  <c r="X496" i="7"/>
  <c r="X510" i="7"/>
  <c r="X504" i="7"/>
  <c r="X507" i="7"/>
  <c r="X503" i="7"/>
  <c r="X553" i="7"/>
  <c r="X529" i="7"/>
  <c r="X536" i="7"/>
  <c r="X537" i="7"/>
  <c r="X528" i="7"/>
  <c r="X532" i="7"/>
  <c r="X533" i="7"/>
  <c r="X535" i="7"/>
  <c r="X531" i="7"/>
  <c r="X530" i="7"/>
  <c r="X552" i="7"/>
  <c r="X534" i="7"/>
  <c r="X554" i="7"/>
  <c r="X3" i="7"/>
  <c r="X4" i="7"/>
  <c r="X11" i="7"/>
  <c r="X28" i="7"/>
  <c r="X2" i="7"/>
  <c r="X10" i="7"/>
  <c r="X5" i="7"/>
  <c r="X7" i="7"/>
  <c r="X9" i="7"/>
  <c r="X12" i="7"/>
  <c r="X6" i="7"/>
  <c r="X570" i="7"/>
  <c r="X562" i="7"/>
  <c r="X566" i="7"/>
  <c r="X558" i="7"/>
  <c r="X569" i="7"/>
  <c r="X585" i="7"/>
  <c r="X563" i="7"/>
  <c r="X559" i="7"/>
  <c r="X584" i="7"/>
  <c r="X567" i="7"/>
  <c r="X560" i="7"/>
  <c r="X561" i="7"/>
  <c r="X565" i="7"/>
  <c r="X568" i="7"/>
  <c r="X557" i="7"/>
  <c r="X564" i="7"/>
  <c r="X466" i="7"/>
  <c r="X468" i="7"/>
  <c r="X473" i="7"/>
  <c r="X467" i="7"/>
  <c r="X470" i="7"/>
  <c r="X465" i="7"/>
  <c r="X472" i="7"/>
  <c r="X487" i="7"/>
  <c r="X462" i="7"/>
  <c r="X471" i="7"/>
  <c r="X464" i="7"/>
  <c r="X463" i="7"/>
  <c r="X469" i="7"/>
  <c r="X490" i="7"/>
  <c r="F9" i="14"/>
  <c r="F17" i="14"/>
  <c r="I13" i="14"/>
  <c r="F5" i="14"/>
  <c r="O9" i="14"/>
  <c r="R7" i="14"/>
  <c r="C12" i="14"/>
  <c r="O12" i="14"/>
  <c r="I5" i="14"/>
  <c r="O15" i="14"/>
  <c r="L6" i="14"/>
  <c r="Q24" i="14"/>
  <c r="C21" i="14"/>
  <c r="X401" i="7"/>
  <c r="X396" i="7"/>
  <c r="X417" i="7"/>
  <c r="X395" i="7"/>
  <c r="X421" i="7"/>
  <c r="X422" i="7"/>
  <c r="X418" i="7"/>
  <c r="X398" i="7"/>
  <c r="X420" i="7"/>
  <c r="X400" i="7"/>
  <c r="X416" i="7"/>
  <c r="X399" i="7"/>
  <c r="X394" i="7"/>
  <c r="X397" i="7"/>
  <c r="X270" i="7"/>
  <c r="X269" i="7"/>
  <c r="X284" i="7"/>
  <c r="X271" i="7"/>
  <c r="X264" i="7"/>
  <c r="X265" i="7"/>
  <c r="X267" i="7"/>
  <c r="X266" i="7"/>
  <c r="X268" i="7"/>
  <c r="X263" i="7"/>
  <c r="X272" i="7"/>
  <c r="I6" i="14"/>
  <c r="C19" i="14"/>
  <c r="I11" i="14"/>
  <c r="X175" i="7"/>
  <c r="X173" i="7"/>
  <c r="X182" i="7"/>
  <c r="X177" i="7"/>
  <c r="X183" i="7"/>
  <c r="X179" i="7"/>
  <c r="X184" i="7"/>
  <c r="X176" i="7"/>
  <c r="X180" i="7"/>
  <c r="X188" i="7"/>
  <c r="X158" i="7"/>
  <c r="X174" i="7"/>
  <c r="X181" i="7"/>
  <c r="X160" i="7"/>
  <c r="X178" i="7"/>
  <c r="X159" i="7"/>
  <c r="S10" i="14"/>
  <c r="X357" i="7"/>
  <c r="X367" i="7"/>
  <c r="X364" i="7"/>
  <c r="X365" i="7"/>
  <c r="X359" i="7"/>
  <c r="X366" i="7"/>
  <c r="X361" i="7"/>
  <c r="X363" i="7"/>
  <c r="X389" i="7"/>
  <c r="X362" i="7"/>
  <c r="X360" i="7"/>
  <c r="X384" i="7"/>
  <c r="X386" i="7"/>
  <c r="F19" i="14"/>
  <c r="O11" i="14"/>
  <c r="C9" i="14"/>
  <c r="C16" i="14"/>
  <c r="L13" i="14"/>
  <c r="Q13" i="14" s="1"/>
  <c r="L19" i="14"/>
  <c r="L11" i="14"/>
  <c r="F6" i="14"/>
  <c r="F11" i="14"/>
  <c r="C17" i="14"/>
  <c r="R14" i="14"/>
  <c r="O14" i="14"/>
  <c r="Q20" i="14"/>
  <c r="BA338" i="25"/>
  <c r="I9" i="14"/>
  <c r="L17" i="14"/>
  <c r="X62" i="7"/>
  <c r="X59" i="7"/>
  <c r="X39" i="7"/>
  <c r="X33" i="7"/>
  <c r="X64" i="7"/>
  <c r="X37" i="7"/>
  <c r="X31" i="7"/>
  <c r="X60" i="7"/>
  <c r="X58" i="7"/>
  <c r="X35" i="7"/>
  <c r="X38" i="7"/>
  <c r="X32" i="7"/>
  <c r="X40" i="7"/>
  <c r="X34" i="7"/>
  <c r="R8" i="14"/>
  <c r="X591" i="7"/>
  <c r="X593" i="7"/>
  <c r="X587" i="7"/>
  <c r="X592" i="7"/>
  <c r="X596" i="7"/>
  <c r="X595" i="7"/>
  <c r="X586" i="7"/>
  <c r="X594" i="7"/>
  <c r="X192" i="7"/>
  <c r="X199" i="7"/>
  <c r="X194" i="7"/>
  <c r="X193" i="7"/>
  <c r="X198" i="7"/>
  <c r="X203" i="7"/>
  <c r="X202" i="7"/>
  <c r="X197" i="7"/>
  <c r="X224" i="7"/>
  <c r="X195" i="7"/>
  <c r="X200" i="7"/>
  <c r="X201" i="7"/>
  <c r="X204" i="7"/>
  <c r="X196" i="7"/>
  <c r="X190" i="7"/>
  <c r="I19" i="14"/>
  <c r="I15" i="14"/>
  <c r="F15" i="14"/>
  <c r="X233" i="7"/>
  <c r="X228" i="7"/>
  <c r="X227" i="7"/>
  <c r="X253" i="7"/>
  <c r="X258" i="7"/>
  <c r="X257" i="7"/>
  <c r="X226" i="7"/>
  <c r="X246" i="7"/>
  <c r="X254" i="7"/>
  <c r="X232" i="7"/>
  <c r="X229" i="7"/>
  <c r="X255" i="7"/>
  <c r="X230" i="7"/>
  <c r="X231" i="7"/>
  <c r="X234" i="7"/>
  <c r="L14" i="14"/>
  <c r="L7" i="14"/>
  <c r="Q7" i="14" s="1"/>
  <c r="C6" i="14"/>
  <c r="I17" i="14"/>
  <c r="Q5" i="14"/>
  <c r="O8" i="14"/>
  <c r="Q8" i="14" s="1"/>
  <c r="O6" i="14"/>
  <c r="O17" i="14"/>
  <c r="Q23" i="14"/>
  <c r="S23" i="14" s="1"/>
  <c r="X439" i="7"/>
  <c r="X437" i="7"/>
  <c r="X427" i="7"/>
  <c r="X458" i="7"/>
  <c r="X431" i="7"/>
  <c r="X433" i="7"/>
  <c r="X430" i="7"/>
  <c r="X432" i="7"/>
  <c r="X435" i="7"/>
  <c r="X429" i="7"/>
  <c r="X428" i="7"/>
  <c r="X436" i="7"/>
  <c r="X424" i="7"/>
  <c r="X434" i="7"/>
  <c r="X425" i="7"/>
  <c r="X438" i="7"/>
  <c r="X426" i="7"/>
  <c r="S18" i="14"/>
  <c r="X446" i="7"/>
  <c r="X449" i="7"/>
  <c r="X455" i="7"/>
  <c r="X454" i="7"/>
  <c r="X445" i="7"/>
  <c r="X451" i="7"/>
  <c r="X444" i="7"/>
  <c r="X441" i="7"/>
  <c r="X453" i="7"/>
  <c r="X452" i="7"/>
  <c r="X448" i="7"/>
  <c r="X447" i="7"/>
  <c r="X443" i="7"/>
  <c r="X459" i="7"/>
  <c r="X457" i="7"/>
  <c r="X442" i="7"/>
  <c r="X456" i="7"/>
  <c r="X450" i="7"/>
  <c r="X440" i="7"/>
  <c r="O19" i="14"/>
  <c r="F12" i="14"/>
  <c r="C14" i="14"/>
  <c r="F16" i="14"/>
  <c r="L16" i="14"/>
  <c r="L12" i="14"/>
  <c r="F14" i="14"/>
  <c r="I21" i="14"/>
  <c r="R15" i="14"/>
  <c r="Q22" i="14"/>
  <c r="BA67" i="25"/>
  <c r="BA334" i="25"/>
  <c r="BA316" i="25"/>
  <c r="BA153" i="25"/>
  <c r="BA74" i="25"/>
  <c r="BA496" i="25"/>
  <c r="BA279" i="25"/>
  <c r="BA246" i="25"/>
  <c r="AZ456" i="25"/>
  <c r="AO424" i="25"/>
  <c r="AQ424" i="25"/>
  <c r="AZ361" i="25"/>
  <c r="BA361" i="25" s="1"/>
  <c r="AN424" i="25"/>
  <c r="AP424" i="25" a="1"/>
  <c r="AP424" i="25" s="1"/>
  <c r="AZ424" i="25" s="1"/>
  <c r="BA243" i="25"/>
  <c r="BA111" i="25"/>
  <c r="AO577" i="25"/>
  <c r="AQ577" i="25"/>
  <c r="AO514" i="25"/>
  <c r="AQ514" i="25"/>
  <c r="AN524" i="25"/>
  <c r="AP524" i="25" a="1"/>
  <c r="AP524" i="25" s="1"/>
  <c r="AO507" i="25"/>
  <c r="AQ507" i="25"/>
  <c r="AN451" i="25"/>
  <c r="AP451" i="25" a="1"/>
  <c r="AP451" i="25" s="1"/>
  <c r="AP446" i="25" a="1"/>
  <c r="AP446" i="25" s="1"/>
  <c r="AN446" i="25"/>
  <c r="AN286" i="25"/>
  <c r="AP286" i="25" a="1"/>
  <c r="AP286" i="25" s="1"/>
  <c r="AN308" i="25"/>
  <c r="AP308" i="25" a="1"/>
  <c r="AP308" i="25" s="1"/>
  <c r="AQ314" i="25"/>
  <c r="AO314" i="25"/>
  <c r="AO329" i="25"/>
  <c r="AQ329" i="25"/>
  <c r="AQ105" i="25"/>
  <c r="AO105" i="25"/>
  <c r="AO291" i="25"/>
  <c r="AQ291" i="25"/>
  <c r="AO238" i="25"/>
  <c r="AQ238" i="25"/>
  <c r="AO535" i="25"/>
  <c r="AQ535" i="25"/>
  <c r="AN375" i="25"/>
  <c r="AP375" i="25" a="1"/>
  <c r="AP375" i="25" s="1"/>
  <c r="AO284" i="25"/>
  <c r="AQ284" i="25"/>
  <c r="AO458" i="25"/>
  <c r="AQ458" i="25"/>
  <c r="AN302" i="25"/>
  <c r="AP302" i="25" a="1"/>
  <c r="AP302" i="25" s="1"/>
  <c r="AN470" i="25"/>
  <c r="AP470" i="25" a="1"/>
  <c r="AP470" i="25" s="1"/>
  <c r="AQ432" i="25"/>
  <c r="AO432" i="25"/>
  <c r="AQ351" i="25"/>
  <c r="AO351" i="25"/>
  <c r="AQ409" i="25"/>
  <c r="AO409" i="25"/>
  <c r="AQ582" i="25"/>
  <c r="AO582" i="25"/>
  <c r="AO572" i="25"/>
  <c r="AQ572" i="25"/>
  <c r="AO386" i="25"/>
  <c r="AQ386" i="25"/>
  <c r="AO508" i="25"/>
  <c r="AQ508" i="25"/>
  <c r="AP497" i="25" a="1"/>
  <c r="AP497" i="25" s="1"/>
  <c r="AN497" i="25"/>
  <c r="AO438" i="25"/>
  <c r="AQ438" i="25"/>
  <c r="AN595" i="25"/>
  <c r="AP595" i="25" a="1"/>
  <c r="AP595" i="25" s="1"/>
  <c r="AO490" i="25"/>
  <c r="AQ490" i="25"/>
  <c r="AN590" i="25"/>
  <c r="AP590" i="25" a="1"/>
  <c r="AP590" i="25" s="1"/>
  <c r="AN455" i="25"/>
  <c r="AP455" i="25" a="1"/>
  <c r="AP455" i="25" s="1"/>
  <c r="BA128" i="25"/>
  <c r="BA268" i="25"/>
  <c r="BA235" i="25"/>
  <c r="BA516" i="25"/>
  <c r="BA333" i="25"/>
  <c r="AN449" i="25"/>
  <c r="AP449" i="25" a="1"/>
  <c r="AP449" i="25" s="1"/>
  <c r="AN486" i="25"/>
  <c r="AP486" i="25" a="1"/>
  <c r="AP486" i="25" s="1"/>
  <c r="AN577" i="25"/>
  <c r="AP577" i="25" a="1"/>
  <c r="AP577" i="25" s="1"/>
  <c r="AN299" i="25"/>
  <c r="AP299" i="25" a="1"/>
  <c r="AP299" i="25" s="1"/>
  <c r="AO354" i="25"/>
  <c r="AQ354" i="25"/>
  <c r="AN443" i="25"/>
  <c r="AP443" i="25" a="1"/>
  <c r="AP443" i="25" s="1"/>
  <c r="AO311" i="25"/>
  <c r="AQ311" i="25"/>
  <c r="AN324" i="25"/>
  <c r="AP324" i="25" a="1"/>
  <c r="AP324" i="25" s="1"/>
  <c r="AO397" i="25"/>
  <c r="AQ397" i="25"/>
  <c r="AN507" i="25"/>
  <c r="AP507" i="25" a="1"/>
  <c r="AP507" i="25" s="1"/>
  <c r="AN468" i="25"/>
  <c r="AP468" i="25" a="1"/>
  <c r="AP468" i="25" s="1"/>
  <c r="AO462" i="25"/>
  <c r="AQ462" i="25"/>
  <c r="AO365" i="25"/>
  <c r="AQ365" i="25"/>
  <c r="AO453" i="25"/>
  <c r="AQ453" i="25"/>
  <c r="AO258" i="25"/>
  <c r="AQ258" i="25"/>
  <c r="AO308" i="25"/>
  <c r="AQ308" i="25"/>
  <c r="AN314" i="25"/>
  <c r="AP314" i="25" a="1"/>
  <c r="AP314" i="25" s="1"/>
  <c r="AN25" i="25"/>
  <c r="AP25" i="25" a="1"/>
  <c r="AP25" i="25" s="1"/>
  <c r="AN389" i="25"/>
  <c r="AP389" i="25" a="1"/>
  <c r="AP389" i="25" s="1"/>
  <c r="AN520" i="25"/>
  <c r="AP520" i="25" a="1"/>
  <c r="AP520" i="25" s="1"/>
  <c r="AN105" i="25"/>
  <c r="AP105" i="25" a="1"/>
  <c r="AP105" i="25" s="1"/>
  <c r="AO399" i="25"/>
  <c r="AQ399" i="25"/>
  <c r="AN291" i="25"/>
  <c r="AP291" i="25" a="1"/>
  <c r="AP291" i="25" s="1"/>
  <c r="AO406" i="25"/>
  <c r="AQ406" i="25"/>
  <c r="AO436" i="25"/>
  <c r="AQ436" i="25"/>
  <c r="AO548" i="25"/>
  <c r="AQ548" i="25"/>
  <c r="AO553" i="25"/>
  <c r="AQ553" i="25"/>
  <c r="AO319" i="25"/>
  <c r="AQ319" i="25"/>
  <c r="AO589" i="25"/>
  <c r="AQ589" i="25"/>
  <c r="AO497" i="25"/>
  <c r="AQ497" i="25"/>
  <c r="AO595" i="25"/>
  <c r="AQ595" i="25"/>
  <c r="AQ337" i="25"/>
  <c r="AO337" i="25"/>
  <c r="AN532" i="25"/>
  <c r="AP532" i="25" a="1"/>
  <c r="AP532" i="25" s="1"/>
  <c r="AO552" i="25"/>
  <c r="AQ552" i="25"/>
  <c r="AQ382" i="25"/>
  <c r="AO382" i="25"/>
  <c r="AO259" i="25"/>
  <c r="AQ259" i="25"/>
  <c r="BA241" i="25"/>
  <c r="BA21" i="25"/>
  <c r="BA87" i="25"/>
  <c r="BA359" i="25"/>
  <c r="BA194" i="25"/>
  <c r="AO449" i="25"/>
  <c r="AQ449" i="25"/>
  <c r="AN557" i="25"/>
  <c r="AP557" i="25" a="1"/>
  <c r="AP557" i="25" s="1"/>
  <c r="AQ372" i="25"/>
  <c r="AO372" i="25"/>
  <c r="AN354" i="25"/>
  <c r="AP354" i="25" a="1"/>
  <c r="AP354" i="25" s="1"/>
  <c r="AN311" i="25"/>
  <c r="AP311" i="25" a="1"/>
  <c r="AP311" i="25" s="1"/>
  <c r="AN160" i="25"/>
  <c r="AP160" i="25" a="1"/>
  <c r="AP160" i="25" s="1"/>
  <c r="AN380" i="25"/>
  <c r="AP380" i="25" a="1"/>
  <c r="AP380" i="25" s="1"/>
  <c r="AO368" i="25"/>
  <c r="AQ368" i="25"/>
  <c r="AN148" i="25"/>
  <c r="AP148" i="25" a="1"/>
  <c r="AP148" i="25" s="1"/>
  <c r="AO391" i="25"/>
  <c r="AQ391" i="25"/>
  <c r="AO260" i="25"/>
  <c r="AQ260" i="25"/>
  <c r="AO513" i="25"/>
  <c r="AQ513" i="25"/>
  <c r="AO446" i="25"/>
  <c r="AQ446" i="25"/>
  <c r="AN258" i="25"/>
  <c r="AP258" i="25" a="1"/>
  <c r="AP258" i="25" s="1"/>
  <c r="AO332" i="25"/>
  <c r="AQ332" i="25"/>
  <c r="AN329" i="25"/>
  <c r="AP329" i="25" a="1"/>
  <c r="AP329" i="25" s="1"/>
  <c r="AO25" i="25"/>
  <c r="AQ25" i="25"/>
  <c r="AO520" i="25"/>
  <c r="AQ520" i="25"/>
  <c r="AN399" i="25"/>
  <c r="AP399" i="25" a="1"/>
  <c r="AP399" i="25" s="1"/>
  <c r="AN406" i="25"/>
  <c r="AP406" i="25" a="1"/>
  <c r="AP406" i="25" s="1"/>
  <c r="AN436" i="25"/>
  <c r="AP436" i="25" a="1"/>
  <c r="AP436" i="25" s="1"/>
  <c r="AQ540" i="25"/>
  <c r="AO540" i="25"/>
  <c r="AN548" i="25"/>
  <c r="AP548" i="25" a="1"/>
  <c r="AP548" i="25" s="1"/>
  <c r="AP535" i="25" a="1"/>
  <c r="AP535" i="25" s="1"/>
  <c r="AN535" i="25"/>
  <c r="AN583" i="25"/>
  <c r="AP583" i="25" a="1"/>
  <c r="AP583" i="25" s="1"/>
  <c r="AN458" i="25"/>
  <c r="AP458" i="25" a="1"/>
  <c r="AP458" i="25" s="1"/>
  <c r="AO302" i="25"/>
  <c r="AQ302" i="25"/>
  <c r="AN553" i="25"/>
  <c r="AP553" i="25" a="1"/>
  <c r="AP553" i="25" s="1"/>
  <c r="AO470" i="25"/>
  <c r="AQ470" i="25"/>
  <c r="AN319" i="25"/>
  <c r="AP319" i="25" a="1"/>
  <c r="AP319" i="25" s="1"/>
  <c r="AN589" i="25"/>
  <c r="AP589" i="25" a="1"/>
  <c r="AP589" i="25" s="1"/>
  <c r="AP351" i="25" a="1"/>
  <c r="AP351" i="25" s="1"/>
  <c r="AN351" i="25"/>
  <c r="AN527" i="25"/>
  <c r="AP527" i="25" a="1"/>
  <c r="AP527" i="25" s="1"/>
  <c r="AN582" i="25"/>
  <c r="AP582" i="25" a="1"/>
  <c r="AP582" i="25" s="1"/>
  <c r="AN413" i="25"/>
  <c r="AP413" i="25" a="1"/>
  <c r="AP413" i="25" s="1"/>
  <c r="AN386" i="25"/>
  <c r="AP386" i="25" a="1"/>
  <c r="AP386" i="25" s="1"/>
  <c r="AO517" i="25"/>
  <c r="AQ517" i="25"/>
  <c r="AO355" i="25"/>
  <c r="AQ355" i="25"/>
  <c r="AO532" i="25"/>
  <c r="AQ532" i="25"/>
  <c r="AN552" i="25"/>
  <c r="AP552" i="25" a="1"/>
  <c r="AP552" i="25" s="1"/>
  <c r="AN382" i="25"/>
  <c r="AP382" i="25" a="1"/>
  <c r="AP382" i="25" s="1"/>
  <c r="AO358" i="25"/>
  <c r="AQ358" i="25"/>
  <c r="AO573" i="25"/>
  <c r="AQ573" i="25"/>
  <c r="BA89" i="25"/>
  <c r="AO486" i="25"/>
  <c r="AQ486" i="25"/>
  <c r="AO557" i="25"/>
  <c r="AQ557" i="25"/>
  <c r="AN372" i="25"/>
  <c r="AP372" i="25" a="1"/>
  <c r="AP372" i="25" s="1"/>
  <c r="AO299" i="25"/>
  <c r="AQ299" i="25"/>
  <c r="AO443" i="25"/>
  <c r="AQ443" i="25"/>
  <c r="AO160" i="25"/>
  <c r="AQ160" i="25"/>
  <c r="AO380" i="25"/>
  <c r="AQ380" i="25"/>
  <c r="AN368" i="25"/>
  <c r="AP368" i="25" a="1"/>
  <c r="AP368" i="25" s="1"/>
  <c r="AO324" i="25"/>
  <c r="AQ324" i="25"/>
  <c r="AO148" i="25"/>
  <c r="AQ148" i="25"/>
  <c r="AN514" i="25"/>
  <c r="AP514" i="25" a="1"/>
  <c r="AP514" i="25" s="1"/>
  <c r="AN391" i="25"/>
  <c r="AP391" i="25" a="1"/>
  <c r="AP391" i="25" s="1"/>
  <c r="AO524" i="25"/>
  <c r="AQ524" i="25"/>
  <c r="AN260" i="25"/>
  <c r="AP260" i="25" a="1"/>
  <c r="AP260" i="25" s="1"/>
  <c r="AN513" i="25"/>
  <c r="AP513" i="25" a="1"/>
  <c r="AP513" i="25" s="1"/>
  <c r="AN397" i="25"/>
  <c r="AP397" i="25" a="1"/>
  <c r="AP397" i="25" s="1"/>
  <c r="AQ468" i="25"/>
  <c r="AO468" i="25"/>
  <c r="AN462" i="25"/>
  <c r="AP462" i="25" a="1"/>
  <c r="AP462" i="25" s="1"/>
  <c r="AN365" i="25"/>
  <c r="AP365" i="25" a="1"/>
  <c r="AP365" i="25" s="1"/>
  <c r="AO451" i="25"/>
  <c r="AQ451" i="25"/>
  <c r="AN453" i="25"/>
  <c r="AP453" i="25" a="1"/>
  <c r="AP453" i="25" s="1"/>
  <c r="AO286" i="25"/>
  <c r="AQ286" i="25"/>
  <c r="AP332" i="25" a="1"/>
  <c r="AP332" i="25" s="1"/>
  <c r="AN332" i="25"/>
  <c r="AO389" i="25"/>
  <c r="AQ389" i="25"/>
  <c r="AN238" i="25"/>
  <c r="AP238" i="25" a="1"/>
  <c r="AP238" i="25" s="1"/>
  <c r="AN540" i="25"/>
  <c r="AP540" i="25" a="1"/>
  <c r="AP540" i="25" s="1"/>
  <c r="AO375" i="25"/>
  <c r="AQ375" i="25"/>
  <c r="AO583" i="25"/>
  <c r="AQ583" i="25"/>
  <c r="AN284" i="25"/>
  <c r="AP284" i="25" a="1"/>
  <c r="AP284" i="25" s="1"/>
  <c r="AN432" i="25"/>
  <c r="AP432" i="25" a="1"/>
  <c r="AP432" i="25" s="1"/>
  <c r="AN409" i="25"/>
  <c r="AP409" i="25" a="1"/>
  <c r="AP409" i="25" s="1"/>
  <c r="AO527" i="25"/>
  <c r="AQ527" i="25"/>
  <c r="AN572" i="25"/>
  <c r="AP572" i="25" a="1"/>
  <c r="AP572" i="25" s="1"/>
  <c r="AO413" i="25"/>
  <c r="AQ413" i="25"/>
  <c r="AP508" i="25" a="1"/>
  <c r="AP508" i="25" s="1"/>
  <c r="AN508" i="25"/>
  <c r="AN438" i="25"/>
  <c r="AP438" i="25" a="1"/>
  <c r="AP438" i="25" s="1"/>
  <c r="AN337" i="25"/>
  <c r="AP337" i="25" a="1"/>
  <c r="AP337" i="25" s="1"/>
  <c r="AZ337" i="25" s="1"/>
  <c r="BA337" i="25" s="1"/>
  <c r="AN517" i="25"/>
  <c r="AP517" i="25" a="1"/>
  <c r="AP517" i="25" s="1"/>
  <c r="AN355" i="25"/>
  <c r="AP355" i="25" a="1"/>
  <c r="AP355" i="25" s="1"/>
  <c r="AP358" i="25" a="1"/>
  <c r="AP358" i="25" s="1"/>
  <c r="AN358" i="25"/>
  <c r="AP490" i="25" a="1"/>
  <c r="AP490" i="25" s="1"/>
  <c r="AN490" i="25"/>
  <c r="AN573" i="25"/>
  <c r="AP573" i="25" a="1"/>
  <c r="AP573" i="25" s="1"/>
  <c r="AO590" i="25"/>
  <c r="AQ590" i="25"/>
  <c r="AO455" i="25"/>
  <c r="AQ455" i="25"/>
  <c r="AN259" i="25"/>
  <c r="AP259" i="25" a="1"/>
  <c r="AP259" i="25" s="1"/>
  <c r="BA315" i="25"/>
  <c r="BA167" i="25"/>
  <c r="AZ224" i="25"/>
  <c r="BA48" i="25"/>
  <c r="AP175" i="25" a="1"/>
  <c r="AP175" i="25" s="1"/>
  <c r="BA428" i="25"/>
  <c r="BA239" i="25"/>
  <c r="AZ61" i="25"/>
  <c r="BA3" i="25"/>
  <c r="AP506" i="25" a="1"/>
  <c r="AP506" i="25" s="1"/>
  <c r="AZ213" i="25"/>
  <c r="AZ193" i="25"/>
  <c r="BA193" i="25" s="1"/>
  <c r="AZ425" i="25"/>
  <c r="AZ565" i="25"/>
  <c r="AZ564" i="25"/>
  <c r="AZ345" i="25"/>
  <c r="BA345" i="25" s="1"/>
  <c r="AZ417" i="25"/>
  <c r="AZ476" i="25"/>
  <c r="AZ481" i="25"/>
  <c r="AP174" i="25" a="1"/>
  <c r="AP174" i="25" s="1"/>
  <c r="AZ528" i="25"/>
  <c r="AZ433" i="25"/>
  <c r="AZ393" i="25"/>
  <c r="BA393" i="25" s="1"/>
  <c r="AZ480" i="25"/>
  <c r="AP163" i="25" a="1"/>
  <c r="AP163" i="25" s="1"/>
  <c r="AP400" i="25" a="1"/>
  <c r="AP400" i="25" s="1"/>
  <c r="AP283" i="25" a="1"/>
  <c r="AP283" i="25" s="1"/>
  <c r="AP76" i="25" a="1"/>
  <c r="AP76" i="25" s="1"/>
  <c r="AP54" i="25" a="1"/>
  <c r="AP54" i="25" s="1"/>
  <c r="AP342" i="25" a="1"/>
  <c r="AP342" i="25" s="1"/>
  <c r="AP584" i="25" a="1"/>
  <c r="AP584" i="25" s="1"/>
  <c r="AP173" i="25" a="1"/>
  <c r="AP173" i="25" s="1"/>
  <c r="AP445" i="25" a="1"/>
  <c r="AP445" i="25" s="1"/>
  <c r="AP255" i="25" a="1"/>
  <c r="AP255" i="25" s="1"/>
  <c r="AP206" i="25" a="1"/>
  <c r="AP206" i="25" s="1"/>
  <c r="AP190" i="25" a="1"/>
  <c r="AP190" i="25" s="1"/>
  <c r="AP441" i="25" a="1"/>
  <c r="AP441" i="25" s="1"/>
  <c r="AP169" i="25" a="1"/>
  <c r="AP169" i="25" s="1"/>
  <c r="AP249" i="25" a="1"/>
  <c r="AP249" i="25" s="1"/>
  <c r="AP123" i="25" a="1"/>
  <c r="AP123" i="25" s="1"/>
  <c r="AP408" i="25" a="1"/>
  <c r="AP408" i="25" s="1"/>
  <c r="AP541" i="25" a="1"/>
  <c r="AP541" i="25" s="1"/>
  <c r="AP378" i="25" a="1"/>
  <c r="AP378" i="25" s="1"/>
  <c r="AP78" i="25" a="1"/>
  <c r="AP78" i="25" s="1"/>
  <c r="AP331" i="25" a="1"/>
  <c r="AP331" i="25" s="1"/>
  <c r="AP109" i="25" a="1"/>
  <c r="AP109" i="25" s="1"/>
  <c r="AP522" i="25" a="1"/>
  <c r="AP522" i="25" s="1"/>
  <c r="AP108" i="25" a="1"/>
  <c r="AP108" i="25" s="1"/>
  <c r="AP35" i="25" a="1"/>
  <c r="AP35" i="25" s="1"/>
  <c r="AP37" i="25" a="1"/>
  <c r="AP37" i="25" s="1"/>
  <c r="AP115" i="25" a="1"/>
  <c r="AP115" i="25" s="1"/>
  <c r="AP220" i="25" a="1"/>
  <c r="AP220" i="25" s="1"/>
  <c r="AP387" i="25" a="1"/>
  <c r="AP387" i="25" s="1"/>
  <c r="AP195" i="25" a="1"/>
  <c r="AP195" i="25" s="1"/>
  <c r="AP102" i="25" a="1"/>
  <c r="AP102" i="25" s="1"/>
  <c r="AP398" i="25" a="1"/>
  <c r="AP398" i="25" s="1"/>
  <c r="AP79" i="25" a="1"/>
  <c r="AP79" i="25" s="1"/>
  <c r="AP379" i="25" a="1"/>
  <c r="AP379" i="25" s="1"/>
  <c r="AP297" i="25" a="1"/>
  <c r="AP297" i="25" s="1"/>
  <c r="AP448" i="25" a="1"/>
  <c r="AP448" i="25" s="1"/>
  <c r="BA209" i="25"/>
  <c r="AP216" i="25" a="1"/>
  <c r="AP216" i="25" s="1"/>
  <c r="AP165" i="25" a="1"/>
  <c r="AP165" i="25" s="1"/>
  <c r="AP150" i="25" a="1"/>
  <c r="AP150" i="25" s="1"/>
  <c r="AP411" i="25" a="1"/>
  <c r="AP411" i="25" s="1"/>
  <c r="AP248" i="25" a="1"/>
  <c r="AP248" i="25" s="1"/>
  <c r="AP306" i="25" a="1"/>
  <c r="AP306" i="25" s="1"/>
  <c r="AP9" i="25" a="1"/>
  <c r="AP9" i="25" s="1"/>
  <c r="AP431" i="25" a="1"/>
  <c r="AP431" i="25" s="1"/>
  <c r="AP276" i="25" a="1"/>
  <c r="AP276" i="25" s="1"/>
  <c r="AP100" i="25" a="1"/>
  <c r="AP100" i="25" s="1"/>
  <c r="AP254" i="25" a="1"/>
  <c r="AP254" i="25" s="1"/>
  <c r="AP18" i="25" a="1"/>
  <c r="AP18" i="25" s="1"/>
  <c r="AP45" i="25" a="1"/>
  <c r="AP45" i="25" s="1"/>
  <c r="AP348" i="25" a="1"/>
  <c r="AP348" i="25" s="1"/>
  <c r="AP491" i="25" a="1"/>
  <c r="AP491" i="25" s="1"/>
  <c r="AP161" i="25" a="1"/>
  <c r="AP161" i="25" s="1"/>
  <c r="AQ33" i="25"/>
  <c r="AP549" i="25" a="1"/>
  <c r="AP549" i="25" s="1"/>
  <c r="AP191" i="25" a="1"/>
  <c r="AP191" i="25" s="1"/>
  <c r="AP59" i="25" a="1"/>
  <c r="AP59" i="25" s="1"/>
  <c r="AP197" i="25" a="1"/>
  <c r="AP197" i="25" s="1"/>
  <c r="AP388" i="25" a="1"/>
  <c r="AP388" i="25" s="1"/>
  <c r="AP416" i="25" a="1"/>
  <c r="AP416" i="25" s="1"/>
  <c r="AP177" i="25" a="1"/>
  <c r="AP177" i="25" s="1"/>
  <c r="AP303" i="25" a="1"/>
  <c r="AP303" i="25" s="1"/>
  <c r="AO5" i="25"/>
  <c r="AP256" i="25" a="1"/>
  <c r="AP256" i="25" s="1"/>
  <c r="AP294" i="25" a="1"/>
  <c r="AP294" i="25" s="1"/>
  <c r="AP500" i="25" a="1"/>
  <c r="AP500" i="25" s="1"/>
  <c r="AQ537" i="25"/>
  <c r="AP225" i="25" a="1"/>
  <c r="AP225" i="25" s="1"/>
  <c r="AO539" i="25"/>
  <c r="AP330" i="25" a="1"/>
  <c r="AP330" i="25" s="1"/>
  <c r="AP373" i="25" a="1"/>
  <c r="AP373" i="25" s="1"/>
  <c r="AP321" i="25" a="1"/>
  <c r="AP321" i="25" s="1"/>
  <c r="AP34" i="25" a="1"/>
  <c r="AP34" i="25" s="1"/>
  <c r="BA264" i="25"/>
  <c r="AP357" i="25" a="1"/>
  <c r="AP357" i="25" s="1"/>
  <c r="AP270" i="25" a="1"/>
  <c r="AP270" i="25" s="1"/>
  <c r="AP30" i="25" a="1"/>
  <c r="AP30" i="25" s="1"/>
  <c r="AP158" i="25" a="1"/>
  <c r="AP158" i="25" s="1"/>
  <c r="AP560" i="25" a="1"/>
  <c r="AP560" i="25" s="1"/>
  <c r="AP410" i="25" a="1"/>
  <c r="AP410" i="25" s="1"/>
  <c r="AP56" i="25" a="1"/>
  <c r="AP56" i="25" s="1"/>
  <c r="AP571" i="25" a="1"/>
  <c r="AP571" i="25" s="1"/>
  <c r="AP554" i="25" a="1"/>
  <c r="AP554" i="25" s="1"/>
  <c r="BA526" i="25"/>
  <c r="BA447" i="25"/>
  <c r="AP295" i="25" a="1"/>
  <c r="AP295" i="25" s="1"/>
  <c r="AP226" i="25" a="1"/>
  <c r="AP226" i="25" s="1"/>
  <c r="AP166" i="25" a="1"/>
  <c r="AP166" i="25" s="1"/>
  <c r="AP146" i="25" a="1"/>
  <c r="AP146" i="25" s="1"/>
  <c r="AP171" i="25" a="1"/>
  <c r="AP171" i="25" s="1"/>
  <c r="AP26" i="25" a="1"/>
  <c r="AP26" i="25" s="1"/>
  <c r="AP133" i="25" a="1"/>
  <c r="AP133" i="25" s="1"/>
  <c r="AP593" i="25" a="1"/>
  <c r="AP593" i="25" s="1"/>
  <c r="AP518" i="25" a="1"/>
  <c r="AP518" i="25" s="1"/>
  <c r="AP327" i="25" a="1"/>
  <c r="AP327" i="25" s="1"/>
  <c r="AP594" i="25" a="1"/>
  <c r="AP594" i="25" s="1"/>
  <c r="AP437" i="25" a="1"/>
  <c r="AP437" i="25" s="1"/>
  <c r="AP62" i="25" a="1"/>
  <c r="AP62" i="25" s="1"/>
  <c r="AP489" i="25" a="1"/>
  <c r="AP489" i="25" s="1"/>
  <c r="AP124" i="25" a="1"/>
  <c r="AP124" i="25" s="1"/>
  <c r="AP222" i="25" a="1"/>
  <c r="AP222" i="25" s="1"/>
  <c r="AP82" i="25" a="1"/>
  <c r="AP82" i="25" s="1"/>
  <c r="AP529" i="25" a="1"/>
  <c r="AP529" i="25" s="1"/>
  <c r="AP126" i="25" a="1"/>
  <c r="AP126" i="25" s="1"/>
  <c r="AP33" i="25" a="1"/>
  <c r="AP33" i="25" s="1"/>
  <c r="AP533" i="25" a="1"/>
  <c r="AP533" i="25" s="1"/>
  <c r="AP252" i="25" a="1"/>
  <c r="AP252" i="25" s="1"/>
  <c r="AP328" i="25" a="1"/>
  <c r="AP328" i="25" s="1"/>
  <c r="AP95" i="25" a="1"/>
  <c r="AP95" i="25" s="1"/>
  <c r="AP198" i="25" a="1"/>
  <c r="AP198" i="25" s="1"/>
  <c r="AP38" i="25" a="1"/>
  <c r="AP38" i="25" s="1"/>
  <c r="BA499" i="25"/>
  <c r="AO198" i="25"/>
  <c r="AP350" i="25" a="1"/>
  <c r="AP350" i="25" s="1"/>
  <c r="AP442" i="25" a="1"/>
  <c r="AP442" i="25" s="1"/>
  <c r="BA287" i="25"/>
  <c r="AP43" i="25" a="1"/>
  <c r="AP43" i="25" s="1"/>
  <c r="AP457" i="25" a="1"/>
  <c r="AP457" i="25" s="1"/>
  <c r="AP401" i="25" a="1"/>
  <c r="AP401" i="25" s="1"/>
  <c r="AP385" i="25" a="1"/>
  <c r="AP385" i="25" s="1"/>
  <c r="AP84" i="25" a="1"/>
  <c r="AP84" i="25" s="1"/>
  <c r="AP464" i="25" a="1"/>
  <c r="AP464" i="25" s="1"/>
  <c r="AP344" i="25" a="1"/>
  <c r="AP344" i="25" s="1"/>
  <c r="AP52" i="25" a="1"/>
  <c r="AP52" i="25" s="1"/>
  <c r="AP349" i="25" a="1"/>
  <c r="AP349" i="25" s="1"/>
  <c r="AP17" i="25" a="1"/>
  <c r="AP17" i="25" s="1"/>
  <c r="AP501" i="25" a="1"/>
  <c r="AP501" i="25" s="1"/>
  <c r="AP454" i="25" a="1"/>
  <c r="AP454" i="25" s="1"/>
  <c r="AP562" i="25" a="1"/>
  <c r="AP562" i="25" s="1"/>
  <c r="AP278" i="25" a="1"/>
  <c r="AP278" i="25" s="1"/>
  <c r="AP180" i="25" a="1"/>
  <c r="AP180" i="25" s="1"/>
  <c r="AP168" i="25" a="1"/>
  <c r="AP168" i="25" s="1"/>
  <c r="AP70" i="25" a="1"/>
  <c r="AP70" i="25" s="1"/>
  <c r="AP364" i="25" a="1"/>
  <c r="AP364" i="25" s="1"/>
  <c r="AP137" i="25" a="1"/>
  <c r="AP137" i="25" s="1"/>
  <c r="AP5" i="25" a="1"/>
  <c r="AP5" i="25" s="1"/>
  <c r="AZ5" i="25" s="1"/>
  <c r="AP13" i="25" a="1"/>
  <c r="AP13" i="25" s="1"/>
  <c r="AP231" i="25" a="1"/>
  <c r="AP231" i="25" s="1"/>
  <c r="AP50" i="25" a="1"/>
  <c r="AP50" i="25" s="1"/>
  <c r="AP371" i="25" a="1"/>
  <c r="AP371" i="25" s="1"/>
  <c r="AP10" i="25" a="1"/>
  <c r="AP10" i="25" s="1"/>
  <c r="AP217" i="25" a="1"/>
  <c r="AP217" i="25" s="1"/>
  <c r="AP274" i="25" a="1"/>
  <c r="AP274" i="25" s="1"/>
  <c r="AP580" i="25" a="1"/>
  <c r="AP580" i="25" s="1"/>
  <c r="AP125" i="25" a="1"/>
  <c r="AP125" i="25" s="1"/>
  <c r="AP262" i="25" a="1"/>
  <c r="AP262" i="25" s="1"/>
  <c r="AP296" i="25" a="1"/>
  <c r="AP296" i="25" s="1"/>
  <c r="AP210" i="25" a="1"/>
  <c r="AP210" i="25" s="1"/>
  <c r="AP394" i="25" a="1"/>
  <c r="AP394" i="25" s="1"/>
  <c r="AP233" i="25" a="1"/>
  <c r="AP233" i="25" s="1"/>
  <c r="AP181" i="25" a="1"/>
  <c r="AP181" i="25" s="1"/>
  <c r="AP301" i="25" a="1"/>
  <c r="AP301" i="25" s="1"/>
  <c r="AP119" i="25" a="1"/>
  <c r="AP119" i="25" s="1"/>
  <c r="AP475" i="25" a="1"/>
  <c r="AP475" i="25" s="1"/>
  <c r="AP49" i="25" a="1"/>
  <c r="AP49" i="25" s="1"/>
  <c r="AP113" i="25" a="1"/>
  <c r="AP113" i="25" s="1"/>
  <c r="AP576" i="25" a="1"/>
  <c r="AP576" i="25" s="1"/>
  <c r="AP20" i="25" a="1"/>
  <c r="AP20" i="25" s="1"/>
  <c r="AP591" i="25" a="1"/>
  <c r="AP591" i="25" s="1"/>
  <c r="AP465" i="25" a="1"/>
  <c r="AP465" i="25" s="1"/>
  <c r="AP509" i="25" a="1"/>
  <c r="AP509" i="25" s="1"/>
  <c r="AP275" i="25" a="1"/>
  <c r="AP275" i="25" s="1"/>
  <c r="AP484" i="25" a="1"/>
  <c r="AP484" i="25" s="1"/>
  <c r="AP556" i="25" a="1"/>
  <c r="AP556" i="25" s="1"/>
  <c r="AP77" i="25" a="1"/>
  <c r="AP77" i="25" s="1"/>
  <c r="AP129" i="25" a="1"/>
  <c r="AP129" i="25" s="1"/>
  <c r="AP469" i="25" a="1"/>
  <c r="AP469" i="25" s="1"/>
  <c r="AP374" i="25" a="1"/>
  <c r="AP374" i="25" s="1"/>
  <c r="AP363" i="25" a="1"/>
  <c r="AP363" i="25" s="1"/>
  <c r="AQ230" i="25"/>
  <c r="AP97" i="25" a="1"/>
  <c r="AP97" i="25" s="1"/>
  <c r="AP139" i="25" a="1"/>
  <c r="AP139" i="25" s="1"/>
  <c r="AP266" i="25" a="1"/>
  <c r="AP266" i="25" s="1"/>
  <c r="AP366" i="25" a="1"/>
  <c r="AP366" i="25" s="1"/>
  <c r="AP479" i="25" a="1"/>
  <c r="AP479" i="25" s="1"/>
  <c r="AP121" i="25" a="1"/>
  <c r="AP121" i="25" s="1"/>
  <c r="AP41" i="25" a="1"/>
  <c r="AP41" i="25" s="1"/>
  <c r="AP80" i="25" a="1"/>
  <c r="AP80" i="25" s="1"/>
  <c r="BD370" i="7"/>
  <c r="AO285" i="25"/>
  <c r="BD27" i="7"/>
  <c r="BD235" i="7"/>
  <c r="BD414" i="7"/>
  <c r="BD219" i="7"/>
  <c r="BD179" i="7"/>
  <c r="BD128" i="7"/>
  <c r="BD272" i="7"/>
  <c r="BD339" i="7"/>
  <c r="BD111" i="7"/>
  <c r="BD340" i="7"/>
  <c r="BD241" i="7"/>
  <c r="BD147" i="7"/>
  <c r="BD89" i="7"/>
  <c r="AP504" i="25" a="1"/>
  <c r="AP504" i="25" s="1"/>
  <c r="BA265" i="25"/>
  <c r="BA317" i="25"/>
  <c r="BA244" i="25"/>
  <c r="AQ66" i="25"/>
  <c r="AO66" i="25"/>
  <c r="AQ343" i="25"/>
  <c r="AO343" i="25"/>
  <c r="AQ281" i="25"/>
  <c r="AO281" i="25"/>
  <c r="AP547" i="25" a="1"/>
  <c r="AP547" i="25" s="1"/>
  <c r="AN547" i="25"/>
  <c r="AQ472" i="25"/>
  <c r="AO472" i="25"/>
  <c r="AQ73" i="25"/>
  <c r="AO73" i="25"/>
  <c r="AP66" i="25" a="1"/>
  <c r="AP66" i="25" s="1"/>
  <c r="AZ66" i="25" s="1"/>
  <c r="AN66" i="25"/>
  <c r="AQ586" i="25"/>
  <c r="AO586" i="25"/>
  <c r="AQ8" i="25"/>
  <c r="AO8" i="25"/>
  <c r="AQ173" i="25"/>
  <c r="AO173" i="25"/>
  <c r="AQ347" i="25"/>
  <c r="AO347" i="25"/>
  <c r="AQ216" i="25"/>
  <c r="AO216" i="25"/>
  <c r="AQ457" i="25"/>
  <c r="AO457" i="25"/>
  <c r="AQ180" i="25"/>
  <c r="AO180" i="25"/>
  <c r="AQ70" i="25"/>
  <c r="AO70" i="25"/>
  <c r="AQ99" i="25"/>
  <c r="AO99" i="25"/>
  <c r="AQ373" i="25"/>
  <c r="AO373" i="25"/>
  <c r="AQ77" i="25"/>
  <c r="AO77" i="25"/>
  <c r="AP515" i="25" a="1"/>
  <c r="AP515" i="25" s="1"/>
  <c r="AN515" i="25"/>
  <c r="AQ236" i="25"/>
  <c r="AO236" i="25"/>
  <c r="AP396" i="25" a="1"/>
  <c r="AP396" i="25" s="1"/>
  <c r="AN396" i="25"/>
  <c r="AP192" i="25" a="1"/>
  <c r="AP192" i="25" s="1"/>
  <c r="AP229" i="25" a="1"/>
  <c r="AP229" i="25" s="1"/>
  <c r="AP536" i="25" a="1"/>
  <c r="AP536" i="25" s="1"/>
  <c r="AP439" i="25" a="1"/>
  <c r="AP439" i="25" s="1"/>
  <c r="AP36" i="25" a="1"/>
  <c r="AP36" i="25" s="1"/>
  <c r="AP293" i="25" a="1"/>
  <c r="AP293" i="25" s="1"/>
  <c r="AP429" i="25" a="1"/>
  <c r="AP429" i="25" s="1"/>
  <c r="AP561" i="25" a="1"/>
  <c r="AP561" i="25" s="1"/>
  <c r="AP485" i="25" a="1"/>
  <c r="AP485" i="25" s="1"/>
  <c r="AP405" i="25" a="1"/>
  <c r="AP405" i="25" s="1"/>
  <c r="AP487" i="25" a="1"/>
  <c r="AP487" i="25" s="1"/>
  <c r="AP356" i="25" a="1"/>
  <c r="AP356" i="25" s="1"/>
  <c r="AP461" i="25" a="1"/>
  <c r="AP461" i="25" s="1"/>
  <c r="AN461" i="25"/>
  <c r="AP110" i="25" a="1"/>
  <c r="AP110" i="25" s="1"/>
  <c r="AN110" i="25"/>
  <c r="AQ404" i="25"/>
  <c r="AO404" i="25"/>
  <c r="AP586" i="25" a="1"/>
  <c r="AP586" i="25" s="1"/>
  <c r="AN586" i="25"/>
  <c r="AQ459" i="25"/>
  <c r="AO459" i="25"/>
  <c r="AQ491" i="25"/>
  <c r="AO491" i="25"/>
  <c r="AQ471" i="25"/>
  <c r="AO471" i="25"/>
  <c r="AQ367" i="25"/>
  <c r="AO367" i="25"/>
  <c r="AQ146" i="25"/>
  <c r="AO146" i="25"/>
  <c r="AQ501" i="25"/>
  <c r="AO501" i="25"/>
  <c r="AQ206" i="25"/>
  <c r="AO206" i="25"/>
  <c r="AQ362" i="25"/>
  <c r="AO362" i="25"/>
  <c r="AP542" i="25" a="1"/>
  <c r="AP542" i="25" s="1"/>
  <c r="AN542" i="25"/>
  <c r="AQ549" i="25"/>
  <c r="AO549" i="25"/>
  <c r="AQ221" i="25"/>
  <c r="AO221" i="25"/>
  <c r="AQ550" i="25"/>
  <c r="AO550" i="25"/>
  <c r="AQ192" i="25"/>
  <c r="AO192" i="25"/>
  <c r="AP207" i="25" a="1"/>
  <c r="AP207" i="25" s="1"/>
  <c r="AN207" i="25"/>
  <c r="AP430" i="25" a="1"/>
  <c r="AP430" i="25" s="1"/>
  <c r="AN430" i="25"/>
  <c r="AQ400" i="25"/>
  <c r="AO400" i="25"/>
  <c r="AP185" i="25" a="1"/>
  <c r="AP185" i="25" s="1"/>
  <c r="AN185" i="25"/>
  <c r="AQ570" i="25"/>
  <c r="AO570" i="25"/>
  <c r="AP55" i="25" a="1"/>
  <c r="AP55" i="25" s="1"/>
  <c r="AN55" i="25"/>
  <c r="AP322" i="25" a="1"/>
  <c r="AP322" i="25" s="1"/>
  <c r="AN322" i="25"/>
  <c r="AQ551" i="25"/>
  <c r="AO551" i="25"/>
  <c r="AQ255" i="25"/>
  <c r="AO255" i="25"/>
  <c r="AQ118" i="25"/>
  <c r="AO118" i="25"/>
  <c r="AQ195" i="25"/>
  <c r="AO195" i="25"/>
  <c r="AQ101" i="25"/>
  <c r="AO101" i="25"/>
  <c r="AQ545" i="25"/>
  <c r="AO545" i="25"/>
  <c r="AQ36" i="25"/>
  <c r="AO36" i="25"/>
  <c r="AQ307" i="25"/>
  <c r="AO307" i="25"/>
  <c r="AQ567" i="25"/>
  <c r="AO567" i="25"/>
  <c r="AP512" i="25" a="1"/>
  <c r="AP512" i="25" s="1"/>
  <c r="AN512" i="25"/>
  <c r="AQ110" i="25"/>
  <c r="AO110" i="25"/>
  <c r="AQ282" i="25"/>
  <c r="AO282" i="25"/>
  <c r="AQ88" i="25"/>
  <c r="AO88" i="25"/>
  <c r="AQ411" i="25"/>
  <c r="AO411" i="25"/>
  <c r="AP537" i="25" a="1"/>
  <c r="AP537" i="25" s="1"/>
  <c r="AN537" i="25"/>
  <c r="AP107" i="25" a="1"/>
  <c r="AP107" i="25" s="1"/>
  <c r="AN107" i="25"/>
  <c r="AP289" i="25" a="1"/>
  <c r="AP289" i="25" s="1"/>
  <c r="AN289" i="25"/>
  <c r="AP250" i="25" a="1"/>
  <c r="AP250" i="25" s="1"/>
  <c r="AN250" i="25"/>
  <c r="AQ151" i="25"/>
  <c r="AO151" i="25"/>
  <c r="AQ234" i="25"/>
  <c r="AO234" i="25"/>
  <c r="AQ401" i="25"/>
  <c r="AO401" i="25"/>
  <c r="AP15" i="25" a="1"/>
  <c r="AP15" i="25" s="1"/>
  <c r="AN15" i="25"/>
  <c r="AQ126" i="25"/>
  <c r="AO126" i="25"/>
  <c r="AQ398" i="25"/>
  <c r="AO398" i="25"/>
  <c r="AQ444" i="25"/>
  <c r="AO444" i="25"/>
  <c r="AP525" i="25" a="1"/>
  <c r="AP525" i="25" s="1"/>
  <c r="AN525" i="25"/>
  <c r="AQ58" i="25"/>
  <c r="AO58" i="25"/>
  <c r="AQ212" i="25"/>
  <c r="AO212" i="25"/>
  <c r="AQ254" i="25"/>
  <c r="AO254" i="25"/>
  <c r="AP511" i="25" a="1"/>
  <c r="AP511" i="25" s="1"/>
  <c r="AN511" i="25"/>
  <c r="AP578" i="25" a="1"/>
  <c r="AP578" i="25" s="1"/>
  <c r="AN578" i="25"/>
  <c r="AQ124" i="25"/>
  <c r="AO124" i="25"/>
  <c r="AQ412" i="25"/>
  <c r="AO412" i="25"/>
  <c r="AP392" i="25" a="1"/>
  <c r="AP392" i="25" s="1"/>
  <c r="AN392" i="25"/>
  <c r="AQ522" i="25"/>
  <c r="AO522" i="25"/>
  <c r="AP362" i="25" a="1"/>
  <c r="AP362" i="25" s="1"/>
  <c r="AZ362" i="25" s="1"/>
  <c r="AN362" i="25"/>
  <c r="AQ502" i="25"/>
  <c r="AO502" i="25"/>
  <c r="AQ536" i="25"/>
  <c r="AO536" i="25"/>
  <c r="AP403" i="25" a="1"/>
  <c r="AP403" i="25" s="1"/>
  <c r="AN403" i="25"/>
  <c r="AQ330" i="25"/>
  <c r="AO330" i="25"/>
  <c r="AQ580" i="25"/>
  <c r="AO580" i="25"/>
  <c r="AQ410" i="25"/>
  <c r="AO410" i="25"/>
  <c r="AP343" i="25" a="1"/>
  <c r="AP343" i="25" s="1"/>
  <c r="AN343" i="25"/>
  <c r="AP152" i="25" a="1"/>
  <c r="AP152" i="25" s="1"/>
  <c r="AN152" i="25"/>
  <c r="AP367" i="25" a="1"/>
  <c r="AP367" i="25" s="1"/>
  <c r="AN367" i="25"/>
  <c r="AQ276" i="25"/>
  <c r="AO276" i="25"/>
  <c r="AQ327" i="25"/>
  <c r="AO327" i="25"/>
  <c r="AQ9" i="25"/>
  <c r="AO9" i="25"/>
  <c r="AQ37" i="25"/>
  <c r="AO37" i="25"/>
  <c r="AQ139" i="25"/>
  <c r="AO139" i="25"/>
  <c r="AQ525" i="25"/>
  <c r="AO525" i="25"/>
  <c r="AQ541" i="25"/>
  <c r="AO541" i="25"/>
  <c r="AQ229" i="25"/>
  <c r="AO229" i="25"/>
  <c r="AQ205" i="25"/>
  <c r="AO205" i="25"/>
  <c r="AQ493" i="25"/>
  <c r="AO493" i="25"/>
  <c r="AQ318" i="25"/>
  <c r="AO318" i="25"/>
  <c r="AQ134" i="25"/>
  <c r="AO134" i="25"/>
  <c r="AQ10" i="25"/>
  <c r="AO10" i="25"/>
  <c r="AQ415" i="25"/>
  <c r="AO415" i="25"/>
  <c r="AQ348" i="25"/>
  <c r="AO348" i="25"/>
  <c r="AQ533" i="25"/>
  <c r="AO533" i="25"/>
  <c r="AQ515" i="25"/>
  <c r="AO515" i="25"/>
  <c r="AQ297" i="25"/>
  <c r="AO297" i="25"/>
  <c r="AQ591" i="25"/>
  <c r="AO591" i="25"/>
  <c r="AQ277" i="25"/>
  <c r="AO277" i="25"/>
  <c r="AQ188" i="25"/>
  <c r="AO188" i="25"/>
  <c r="AQ59" i="25"/>
  <c r="AO59" i="25"/>
  <c r="AQ588" i="25"/>
  <c r="AO588" i="25"/>
  <c r="AQ113" i="25"/>
  <c r="AO113" i="25"/>
  <c r="AQ175" i="25"/>
  <c r="AO175" i="25"/>
  <c r="AQ408" i="25"/>
  <c r="AO408" i="25"/>
  <c r="AQ439" i="25"/>
  <c r="AO439" i="25"/>
  <c r="AQ174" i="25"/>
  <c r="AO174" i="25"/>
  <c r="AQ208" i="25"/>
  <c r="AO208" i="25"/>
  <c r="AQ78" i="25"/>
  <c r="AO78" i="25"/>
  <c r="AQ108" i="25"/>
  <c r="AO108" i="25"/>
  <c r="AQ283" i="25"/>
  <c r="AO283" i="25"/>
  <c r="AQ544" i="25"/>
  <c r="AO544" i="25"/>
  <c r="AQ381" i="25"/>
  <c r="AO381" i="25"/>
  <c r="AQ473" i="25"/>
  <c r="AO473" i="25"/>
  <c r="AP81" i="25" a="1"/>
  <c r="AP81" i="25" s="1"/>
  <c r="AN81" i="25"/>
  <c r="AP149" i="25" a="1"/>
  <c r="AP149" i="25" s="1"/>
  <c r="AN149" i="25"/>
  <c r="AQ489" i="25"/>
  <c r="AO489" i="25"/>
  <c r="AQ135" i="25"/>
  <c r="AO135" i="25"/>
  <c r="AQ29" i="25"/>
  <c r="AO29" i="25"/>
  <c r="AQ518" i="25"/>
  <c r="AO518" i="25"/>
  <c r="AQ450" i="25"/>
  <c r="AO450" i="25"/>
  <c r="AQ102" i="25"/>
  <c r="AO102" i="25"/>
  <c r="AP282" i="25" a="1"/>
  <c r="AP282" i="25" s="1"/>
  <c r="AN282" i="25"/>
  <c r="AP307" i="25" a="1"/>
  <c r="AP307" i="25" s="1"/>
  <c r="AZ307" i="25" s="1"/>
  <c r="AN307" i="25"/>
  <c r="AP189" i="25" a="1"/>
  <c r="AP189" i="25" s="1"/>
  <c r="AN189" i="25"/>
  <c r="AP58" i="25" a="1"/>
  <c r="AP58" i="25" s="1"/>
  <c r="AN58" i="25"/>
  <c r="AQ384" i="25"/>
  <c r="AO384" i="25"/>
  <c r="AP423" i="25" a="1"/>
  <c r="AP423" i="25" s="1"/>
  <c r="AN423" i="25"/>
  <c r="AQ510" i="25"/>
  <c r="AO510" i="25"/>
  <c r="AP2" i="25" a="1"/>
  <c r="AP2" i="25" s="1"/>
  <c r="AN2" i="25"/>
  <c r="AP558" i="25" a="1"/>
  <c r="AP558" i="25" s="1"/>
  <c r="AN558" i="25"/>
  <c r="AQ169" i="25"/>
  <c r="AO169" i="25"/>
  <c r="AQ267" i="25"/>
  <c r="AO267" i="25"/>
  <c r="AP29" i="25" a="1"/>
  <c r="AP29" i="25" s="1"/>
  <c r="AN29" i="25"/>
  <c r="AP188" i="25" a="1"/>
  <c r="AP188" i="25" s="1"/>
  <c r="AN188" i="25"/>
  <c r="AQ323" i="25"/>
  <c r="AO323" i="25"/>
  <c r="AQ55" i="25"/>
  <c r="AO55" i="25"/>
  <c r="AQ300" i="25"/>
  <c r="AO300" i="25"/>
  <c r="AQ91" i="25"/>
  <c r="AO91" i="25"/>
  <c r="AQ137" i="25"/>
  <c r="AO137" i="25"/>
  <c r="AQ123" i="25"/>
  <c r="AO123" i="25"/>
  <c r="AP493" i="25" a="1"/>
  <c r="AP493" i="25" s="1"/>
  <c r="AN493" i="25"/>
  <c r="AQ464" i="25"/>
  <c r="AO464" i="25"/>
  <c r="AQ270" i="25"/>
  <c r="AO270" i="25"/>
  <c r="AQ290" i="25"/>
  <c r="AO290" i="25"/>
  <c r="AQ584" i="25"/>
  <c r="AO584" i="25"/>
  <c r="AP466" i="25" a="1"/>
  <c r="AP466" i="25" s="1"/>
  <c r="AN466" i="25"/>
  <c r="AP404" i="25" a="1"/>
  <c r="AP404" i="25" s="1"/>
  <c r="AP273" i="25" a="1"/>
  <c r="AP273" i="25" s="1"/>
  <c r="AP459" i="25" a="1"/>
  <c r="AP459" i="25" s="1"/>
  <c r="AP16" i="25" a="1"/>
  <c r="AP16" i="25" s="1"/>
  <c r="AP116" i="25" a="1"/>
  <c r="AP116" i="25" s="1"/>
  <c r="AP93" i="25" a="1"/>
  <c r="AP93" i="25" s="1"/>
  <c r="AP320" i="25" a="1"/>
  <c r="AP320" i="25" s="1"/>
  <c r="AP472" i="25" a="1"/>
  <c r="AP472" i="25" s="1"/>
  <c r="AP144" i="25" a="1"/>
  <c r="AP144" i="25" s="1"/>
  <c r="AP574" i="25" a="1"/>
  <c r="AP574" i="25" s="1"/>
  <c r="AP11" i="25" a="1"/>
  <c r="AP11" i="25" s="1"/>
  <c r="AP581" i="25" a="1"/>
  <c r="AP581" i="25" s="1"/>
  <c r="AP555" i="25" a="1"/>
  <c r="AP555" i="25" s="1"/>
  <c r="AP596" i="25" a="1"/>
  <c r="AP596" i="25" s="1"/>
  <c r="AP292" i="25" a="1"/>
  <c r="AP292" i="25" s="1"/>
  <c r="AP503" i="25" a="1"/>
  <c r="AP503" i="25" s="1"/>
  <c r="AP415" i="25" a="1"/>
  <c r="AP415" i="25" s="1"/>
  <c r="AP106" i="25" a="1"/>
  <c r="AP106" i="25" s="1"/>
  <c r="AN106" i="25"/>
  <c r="AP530" i="25" a="1"/>
  <c r="AP530" i="25" s="1"/>
  <c r="AN530" i="25"/>
  <c r="AP305" i="25" a="1"/>
  <c r="AP305" i="25" s="1"/>
  <c r="AN305" i="25"/>
  <c r="AP463" i="25" a="1"/>
  <c r="AP463" i="25" s="1"/>
  <c r="AN463" i="25"/>
  <c r="AP85" i="25" a="1"/>
  <c r="AP85" i="25" s="1"/>
  <c r="AN85" i="25"/>
  <c r="AP69" i="25" a="1"/>
  <c r="AP69" i="25" s="1"/>
  <c r="AN69" i="25"/>
  <c r="AQ252" i="25"/>
  <c r="AO252" i="25"/>
  <c r="AP502" i="25" a="1"/>
  <c r="AP502" i="25" s="1"/>
  <c r="AN502" i="25"/>
  <c r="AP151" i="25" a="1"/>
  <c r="AP151" i="25" s="1"/>
  <c r="AN151" i="25"/>
  <c r="AQ26" i="25"/>
  <c r="AO26" i="25"/>
  <c r="AP227" i="25" a="1"/>
  <c r="AP227" i="25" s="1"/>
  <c r="AN227" i="25"/>
  <c r="AP395" i="25" a="1"/>
  <c r="AP395" i="25" s="1"/>
  <c r="AN395" i="25"/>
  <c r="AP384" i="25" a="1"/>
  <c r="AP384" i="25" s="1"/>
  <c r="AN384" i="25"/>
  <c r="AP281" i="25" a="1"/>
  <c r="AP281" i="25" s="1"/>
  <c r="AN281" i="25"/>
  <c r="AQ266" i="25"/>
  <c r="AO266" i="25"/>
  <c r="AQ278" i="25"/>
  <c r="AO278" i="25"/>
  <c r="AQ366" i="25"/>
  <c r="AO366" i="25"/>
  <c r="AQ231" i="25"/>
  <c r="AO231" i="25"/>
  <c r="AQ357" i="25"/>
  <c r="AO357" i="25"/>
  <c r="AQ295" i="25"/>
  <c r="AO295" i="25"/>
  <c r="AQ511" i="25"/>
  <c r="AQ222" i="25"/>
  <c r="AO222" i="25"/>
  <c r="AP240" i="25" a="1"/>
  <c r="AP240" i="25" s="1"/>
  <c r="AN240" i="25"/>
  <c r="AQ403" i="25"/>
  <c r="AO403" i="25"/>
  <c r="AQ15" i="25"/>
  <c r="AO15" i="25"/>
  <c r="AP444" i="25" a="1"/>
  <c r="AP444" i="25" s="1"/>
  <c r="AN444" i="25"/>
  <c r="AP300" i="25" a="1"/>
  <c r="AP300" i="25" s="1"/>
  <c r="AN300" i="25"/>
  <c r="AQ558" i="25"/>
  <c r="AO558" i="25"/>
  <c r="AP73" i="25" a="1"/>
  <c r="AP73" i="25" s="1"/>
  <c r="AN73" i="25"/>
  <c r="AQ556" i="25"/>
  <c r="AO556" i="25"/>
  <c r="AQ479" i="25"/>
  <c r="AO479" i="25"/>
  <c r="AQ504" i="25"/>
  <c r="AO504" i="25"/>
  <c r="AQ28" i="25"/>
  <c r="AO28" i="25"/>
  <c r="AQ530" i="25"/>
  <c r="AO530" i="25"/>
  <c r="AQ505" i="25"/>
  <c r="AO505" i="25"/>
  <c r="AQ435" i="25"/>
  <c r="AO435" i="25"/>
  <c r="AQ416" i="25"/>
  <c r="AO416" i="25"/>
  <c r="AQ210" i="25"/>
  <c r="AO210" i="25"/>
  <c r="AQ256" i="25"/>
  <c r="AO256" i="25"/>
  <c r="AQ460" i="25"/>
  <c r="AO460" i="25"/>
  <c r="AQ273" i="25"/>
  <c r="AO273" i="25"/>
  <c r="AQ177" i="25"/>
  <c r="AO177" i="25"/>
  <c r="AQ181" i="25"/>
  <c r="AO181" i="25"/>
  <c r="AQ569" i="25"/>
  <c r="AO569" i="25"/>
  <c r="AQ448" i="25"/>
  <c r="AO448" i="25"/>
  <c r="AQ43" i="25"/>
  <c r="AO43" i="25"/>
  <c r="AQ322" i="25"/>
  <c r="AO322" i="25"/>
  <c r="AQ18" i="25"/>
  <c r="AO18" i="25"/>
  <c r="AQ538" i="25"/>
  <c r="AO538" i="25"/>
  <c r="AQ103" i="25"/>
  <c r="AO103" i="25"/>
  <c r="AQ163" i="25"/>
  <c r="AO163" i="25"/>
  <c r="AQ207" i="25"/>
  <c r="AO207" i="25"/>
  <c r="AQ275" i="25"/>
  <c r="AO275" i="25"/>
  <c r="AQ344" i="25"/>
  <c r="AO344" i="25"/>
  <c r="AQ474" i="25"/>
  <c r="AO474" i="25"/>
  <c r="AQ430" i="25"/>
  <c r="AO430" i="25"/>
  <c r="AQ240" i="25"/>
  <c r="AO240" i="25"/>
  <c r="AQ342" i="25"/>
  <c r="AO342" i="25"/>
  <c r="AQ226" i="25"/>
  <c r="AO226" i="25"/>
  <c r="AQ30" i="25"/>
  <c r="AO30" i="25"/>
  <c r="AQ296" i="25"/>
  <c r="AO296" i="25"/>
  <c r="AP452" i="25" a="1"/>
  <c r="AP452" i="25" s="1"/>
  <c r="AN452" i="25"/>
  <c r="AQ161" i="25"/>
  <c r="AO161" i="25"/>
  <c r="AQ313" i="25"/>
  <c r="AO313" i="25"/>
  <c r="AQ575" i="25"/>
  <c r="AO575" i="25"/>
  <c r="AQ495" i="25"/>
  <c r="AO495" i="25"/>
  <c r="AQ11" i="25"/>
  <c r="AO11" i="25"/>
  <c r="AQ12" i="25"/>
  <c r="AO12" i="25"/>
  <c r="AQ593" i="25"/>
  <c r="AO593" i="25"/>
  <c r="AQ529" i="25"/>
  <c r="AO529" i="25"/>
  <c r="AQ150" i="25"/>
  <c r="AO150" i="25"/>
  <c r="AQ594" i="25"/>
  <c r="AO594" i="25"/>
  <c r="AQ503" i="25"/>
  <c r="AO503" i="25"/>
  <c r="AQ140" i="25"/>
  <c r="AO140" i="25"/>
  <c r="AQ133" i="25"/>
  <c r="AO133" i="25"/>
  <c r="AQ81" i="25"/>
  <c r="AO81" i="25"/>
  <c r="AQ95" i="25"/>
  <c r="AO95" i="25"/>
  <c r="AQ149" i="25"/>
  <c r="AO149" i="25"/>
  <c r="AQ62" i="25"/>
  <c r="AO62" i="25"/>
  <c r="AQ321" i="25"/>
  <c r="AO321" i="25"/>
  <c r="AQ97" i="25"/>
  <c r="AO97" i="25"/>
  <c r="AQ292" i="25"/>
  <c r="AO292" i="25"/>
  <c r="AQ144" i="25"/>
  <c r="AO144" i="25"/>
  <c r="AQ56" i="25"/>
  <c r="AO56" i="25"/>
  <c r="AQ500" i="25"/>
  <c r="AO500" i="25"/>
  <c r="AQ576" i="25"/>
  <c r="AO576" i="25"/>
  <c r="AQ390" i="25"/>
  <c r="AO390" i="25"/>
  <c r="AQ225" i="25"/>
  <c r="AO225" i="25"/>
  <c r="AQ45" i="25"/>
  <c r="AO45" i="25"/>
  <c r="AQ445" i="25"/>
  <c r="AO445" i="25"/>
  <c r="AQ250" i="25"/>
  <c r="AO250" i="25"/>
  <c r="AQ371" i="25"/>
  <c r="AO371" i="25"/>
  <c r="AQ100" i="25"/>
  <c r="AO100" i="25"/>
  <c r="AQ178" i="25"/>
  <c r="AO178" i="25"/>
  <c r="AP488" i="25" a="1"/>
  <c r="AP488" i="25" s="1"/>
  <c r="AN488" i="25"/>
  <c r="AQ395" i="25"/>
  <c r="AO395" i="25"/>
  <c r="AP538" i="25" a="1"/>
  <c r="AP538" i="25" s="1"/>
  <c r="AZ538" i="25" s="1"/>
  <c r="AN538" i="25"/>
  <c r="AP83" i="25" a="1"/>
  <c r="AP83" i="25" s="1"/>
  <c r="AN83" i="25"/>
  <c r="AQ429" i="25"/>
  <c r="AO429" i="25"/>
  <c r="AP157" i="25" a="1"/>
  <c r="AP157" i="25" s="1"/>
  <c r="AN157" i="25"/>
  <c r="AQ85" i="25"/>
  <c r="AO85" i="25"/>
  <c r="AP178" i="25" a="1"/>
  <c r="AP178" i="25" s="1"/>
  <c r="AZ178" i="25" s="1"/>
  <c r="AN178" i="25"/>
  <c r="AQ125" i="25"/>
  <c r="AO125" i="25"/>
  <c r="AQ488" i="25"/>
  <c r="AO488" i="25"/>
  <c r="AQ452" i="25"/>
  <c r="AO452" i="25"/>
  <c r="AQ249" i="25"/>
  <c r="AO249" i="25"/>
  <c r="AQ166" i="25"/>
  <c r="AO166" i="25"/>
  <c r="AQ274" i="25"/>
  <c r="AO274" i="25"/>
  <c r="AQ31" i="25"/>
  <c r="AO31" i="25"/>
  <c r="AP318" i="25" a="1"/>
  <c r="AP318" i="25" s="1"/>
  <c r="AN318" i="25"/>
  <c r="AQ396" i="25"/>
  <c r="AO396" i="25"/>
  <c r="AP99" i="25" a="1"/>
  <c r="AP99" i="25" s="1"/>
  <c r="AZ99" i="25" s="1"/>
  <c r="AN99" i="25"/>
  <c r="AQ363" i="25"/>
  <c r="AO363" i="25"/>
  <c r="AP277" i="25" a="1"/>
  <c r="AP277" i="25" s="1"/>
  <c r="AZ277" i="25" s="1"/>
  <c r="AN277" i="25"/>
  <c r="AQ356" i="25"/>
  <c r="AO356" i="25"/>
  <c r="AQ554" i="25"/>
  <c r="AO554" i="25"/>
  <c r="AP237" i="25" a="1"/>
  <c r="AP237" i="25" s="1"/>
  <c r="AN237" i="25"/>
  <c r="AQ378" i="25"/>
  <c r="AO378" i="25"/>
  <c r="AQ107" i="25"/>
  <c r="AO107" i="25"/>
  <c r="AQ509" i="25"/>
  <c r="AO509" i="25"/>
  <c r="AQ306" i="25"/>
  <c r="AO306" i="25"/>
  <c r="AQ289" i="25"/>
  <c r="AO289" i="25"/>
  <c r="AQ227" i="25"/>
  <c r="AO227" i="25"/>
  <c r="AP563" i="25" a="1"/>
  <c r="AP563" i="25" s="1"/>
  <c r="AN563" i="25"/>
  <c r="AP90" i="25" a="1"/>
  <c r="AP90" i="25" s="1"/>
  <c r="AN90" i="25"/>
  <c r="AQ109" i="25"/>
  <c r="AO109" i="25"/>
  <c r="AQ394" i="25"/>
  <c r="AO394" i="25"/>
  <c r="AQ298" i="25"/>
  <c r="AO298" i="25"/>
  <c r="AQ80" i="25"/>
  <c r="AO80" i="25"/>
  <c r="AQ197" i="25"/>
  <c r="AO197" i="25"/>
  <c r="AQ485" i="25"/>
  <c r="AO485" i="25"/>
  <c r="AQ115" i="25"/>
  <c r="AO115" i="25"/>
  <c r="AQ440" i="25"/>
  <c r="AO440" i="25"/>
  <c r="AQ220" i="25"/>
  <c r="AO220" i="25"/>
  <c r="AQ350" i="25"/>
  <c r="AO350" i="25"/>
  <c r="AQ374" i="25"/>
  <c r="AO374" i="25"/>
  <c r="AQ328" i="25"/>
  <c r="AO328" i="25"/>
  <c r="AQ248" i="25"/>
  <c r="AO248" i="25"/>
  <c r="AQ320" i="25"/>
  <c r="AO320" i="25"/>
  <c r="AP140" i="25" a="1"/>
  <c r="AP140" i="25" s="1"/>
  <c r="AZ140" i="25" s="1"/>
  <c r="AN140" i="25"/>
  <c r="AQ233" i="25"/>
  <c r="AO233" i="25"/>
  <c r="AQ293" i="25"/>
  <c r="AO293" i="25"/>
  <c r="AQ171" i="25"/>
  <c r="AO171" i="25"/>
  <c r="AP205" i="25" a="1"/>
  <c r="AP205" i="25" s="1"/>
  <c r="AP543" i="25" a="1"/>
  <c r="AP543" i="25" s="1"/>
  <c r="AP498" i="25" a="1"/>
  <c r="AP498" i="25" s="1"/>
  <c r="AP285" i="25" a="1"/>
  <c r="AP285" i="25" s="1"/>
  <c r="AP134" i="25" a="1"/>
  <c r="AP134" i="25" s="1"/>
  <c r="AP510" i="25" a="1"/>
  <c r="AP510" i="25" s="1"/>
  <c r="AP230" i="25" a="1"/>
  <c r="AP230" i="25" s="1"/>
  <c r="AP544" i="25" a="1"/>
  <c r="AP544" i="25" s="1"/>
  <c r="AP473" i="25" a="1"/>
  <c r="AP473" i="25" s="1"/>
  <c r="AP450" i="25" a="1"/>
  <c r="AP450" i="25" s="1"/>
  <c r="AP570" i="25" a="1"/>
  <c r="AP570" i="25" s="1"/>
  <c r="AZ570" i="25" s="1"/>
  <c r="AP12" i="25" a="1"/>
  <c r="AP12" i="25" s="1"/>
  <c r="AP381" i="25" a="1"/>
  <c r="AP381" i="25" s="1"/>
  <c r="AP290" i="25" a="1"/>
  <c r="AP290" i="25" s="1"/>
  <c r="AP263" i="25" a="1"/>
  <c r="AP263" i="25" s="1"/>
  <c r="AP336" i="25" a="1"/>
  <c r="AP336" i="25" s="1"/>
  <c r="AN336" i="25"/>
  <c r="AP28" i="25" a="1"/>
  <c r="AP28" i="25" s="1"/>
  <c r="AN28" i="25"/>
  <c r="AP435" i="25" a="1"/>
  <c r="AP435" i="25" s="1"/>
  <c r="AN435" i="25"/>
  <c r="AP546" i="25" a="1"/>
  <c r="AP546" i="25" s="1"/>
  <c r="AN546" i="25"/>
  <c r="AP267" i="25" a="1"/>
  <c r="AP267" i="25" s="1"/>
  <c r="AN267" i="25"/>
  <c r="AP505" i="25" a="1"/>
  <c r="AP505" i="25" s="1"/>
  <c r="AN505" i="25"/>
  <c r="AP545" i="25" a="1"/>
  <c r="AP545" i="25" s="1"/>
  <c r="AN545" i="25"/>
  <c r="AQ79" i="25"/>
  <c r="AO79" i="25"/>
  <c r="AP346" i="25" a="1"/>
  <c r="AP346" i="25" s="1"/>
  <c r="AN346" i="25"/>
  <c r="AQ190" i="25"/>
  <c r="AO190" i="25"/>
  <c r="AQ152" i="25"/>
  <c r="AO152" i="25"/>
  <c r="AP103" i="25" a="1"/>
  <c r="AP103" i="25" s="1"/>
  <c r="AN103" i="25"/>
  <c r="AQ158" i="25"/>
  <c r="AO158" i="25"/>
  <c r="AP212" i="25" a="1"/>
  <c r="AP212" i="25" s="1"/>
  <c r="AN212" i="25"/>
  <c r="AQ542" i="25"/>
  <c r="AO542" i="25"/>
  <c r="AP550" i="25" a="1"/>
  <c r="AP550" i="25" s="1"/>
  <c r="AN550" i="25"/>
  <c r="AP440" i="25" a="1"/>
  <c r="AP440" i="25" s="1"/>
  <c r="AN440" i="25"/>
  <c r="AQ34" i="25"/>
  <c r="AQ563" i="25"/>
  <c r="AO563" i="25"/>
  <c r="AQ423" i="25"/>
  <c r="AO423" i="25"/>
  <c r="AQ90" i="25"/>
  <c r="AO90" i="25"/>
  <c r="AQ547" i="25"/>
  <c r="AO547" i="25"/>
  <c r="AQ83" i="25"/>
  <c r="AO83" i="25"/>
  <c r="AP91" i="25" a="1"/>
  <c r="AP91" i="25" s="1"/>
  <c r="AN91" i="25"/>
  <c r="AP474" i="25" a="1"/>
  <c r="AP474" i="25" s="1"/>
  <c r="AZ474" i="25" s="1"/>
  <c r="AN474" i="25"/>
  <c r="AQ487" i="25"/>
  <c r="AO487" i="25"/>
  <c r="AP326" i="25" a="1"/>
  <c r="AP326" i="25" s="1"/>
  <c r="AN326" i="25"/>
  <c r="AP460" i="25" a="1"/>
  <c r="AP460" i="25" s="1"/>
  <c r="AZ460" i="25" s="1"/>
  <c r="AN460" i="25"/>
  <c r="AP412" i="25" a="1"/>
  <c r="AP412" i="25" s="1"/>
  <c r="AN412" i="25"/>
  <c r="AP551" i="25" a="1"/>
  <c r="AP551" i="25" s="1"/>
  <c r="AZ551" i="25" s="1"/>
  <c r="AN551" i="25"/>
  <c r="AP118" i="25" a="1"/>
  <c r="AP118" i="25" s="1"/>
  <c r="AN118" i="25"/>
  <c r="AP347" i="25" a="1"/>
  <c r="AP347" i="25" s="1"/>
  <c r="AN347" i="25"/>
  <c r="AQ555" i="25"/>
  <c r="AO555" i="25"/>
  <c r="AQ189" i="25"/>
  <c r="AO189" i="25"/>
  <c r="AQ305" i="25"/>
  <c r="AO305" i="25"/>
  <c r="AQ106" i="25"/>
  <c r="AO106" i="25"/>
  <c r="AQ69" i="25"/>
  <c r="AO69" i="25"/>
  <c r="AQ336" i="25"/>
  <c r="AO336" i="25"/>
  <c r="AQ546" i="25"/>
  <c r="AO546" i="25"/>
  <c r="AQ581" i="25"/>
  <c r="AO581" i="25"/>
  <c r="AQ463" i="25"/>
  <c r="AO463" i="25"/>
  <c r="AQ237" i="25"/>
  <c r="AO237" i="25"/>
  <c r="AQ531" i="25"/>
  <c r="AO531" i="25"/>
  <c r="AQ17" i="25"/>
  <c r="AO17" i="25"/>
  <c r="AQ326" i="25"/>
  <c r="AO326" i="25"/>
  <c r="AQ431" i="25"/>
  <c r="AO431" i="25"/>
  <c r="AQ543" i="25"/>
  <c r="AO543" i="25"/>
  <c r="AQ185" i="25"/>
  <c r="AO185" i="25"/>
  <c r="AQ454" i="25"/>
  <c r="AO454" i="25"/>
  <c r="AQ498" i="25"/>
  <c r="AO498" i="25"/>
  <c r="AQ14" i="25"/>
  <c r="AO14" i="25"/>
  <c r="AQ288" i="25"/>
  <c r="AO288" i="25"/>
  <c r="AQ157" i="25"/>
  <c r="AO157" i="25"/>
  <c r="AQ2" i="25"/>
  <c r="AO2" i="25"/>
  <c r="AQ392" i="25"/>
  <c r="AO392" i="25"/>
  <c r="AQ119" i="25"/>
  <c r="AO119" i="25"/>
  <c r="AQ82" i="25"/>
  <c r="AO82" i="25"/>
  <c r="AQ165" i="25"/>
  <c r="AO165" i="25"/>
  <c r="AQ116" i="25"/>
  <c r="AO116" i="25"/>
  <c r="AQ475" i="25"/>
  <c r="AO475" i="25"/>
  <c r="AQ49" i="25"/>
  <c r="AO49" i="25"/>
  <c r="AQ52" i="25"/>
  <c r="AO52" i="25"/>
  <c r="AQ349" i="25"/>
  <c r="AO349" i="25"/>
  <c r="AQ561" i="25"/>
  <c r="AO561" i="25"/>
  <c r="AQ442" i="25"/>
  <c r="AO442" i="25"/>
  <c r="AQ38" i="25"/>
  <c r="AO38" i="25"/>
  <c r="AP44" i="25" a="1"/>
  <c r="AP44" i="25" s="1"/>
  <c r="AN44" i="25"/>
  <c r="AP539" i="25" a="1"/>
  <c r="AP539" i="25" s="1"/>
  <c r="AZ539" i="25" s="1"/>
  <c r="AN539" i="25"/>
  <c r="AQ387" i="25"/>
  <c r="AO387" i="25"/>
  <c r="AQ437" i="25"/>
  <c r="AO437" i="25"/>
  <c r="AQ20" i="25"/>
  <c r="AO20" i="25"/>
  <c r="AQ84" i="25"/>
  <c r="AO84" i="25"/>
  <c r="AP390" i="25" a="1"/>
  <c r="AP390" i="25" s="1"/>
  <c r="AZ390" i="25" s="1"/>
  <c r="AN390" i="25"/>
  <c r="AP135" i="25" a="1"/>
  <c r="AP135" i="25" s="1"/>
  <c r="AN135" i="25"/>
  <c r="AQ441" i="25"/>
  <c r="AO441" i="25"/>
  <c r="AQ465" i="25"/>
  <c r="AO465" i="25"/>
  <c r="AQ562" i="25"/>
  <c r="AO562" i="25"/>
  <c r="AQ388" i="25"/>
  <c r="AO388" i="25"/>
  <c r="AQ35" i="25"/>
  <c r="AO35" i="25"/>
  <c r="AQ262" i="25"/>
  <c r="AO262" i="25"/>
  <c r="AQ379" i="25"/>
  <c r="AO379" i="25"/>
  <c r="AQ571" i="25"/>
  <c r="AO571" i="25"/>
  <c r="AP313" i="25" a="1"/>
  <c r="AP313" i="25" s="1"/>
  <c r="AN313" i="25"/>
  <c r="AP575" i="25" a="1"/>
  <c r="AP575" i="25" s="1"/>
  <c r="AN575" i="25"/>
  <c r="AP31" i="25" a="1"/>
  <c r="AP31" i="25" s="1"/>
  <c r="AZ31" i="25" s="1"/>
  <c r="AN31" i="25"/>
  <c r="AQ469" i="25"/>
  <c r="AO469" i="25"/>
  <c r="AP467" i="25" a="1"/>
  <c r="AP467" i="25" s="1"/>
  <c r="AN467" i="25"/>
  <c r="AP495" i="25" a="1"/>
  <c r="AP495" i="25" s="1"/>
  <c r="AZ495" i="25" s="1"/>
  <c r="AN495" i="25"/>
  <c r="AQ217" i="25"/>
  <c r="AO217" i="25"/>
  <c r="AQ54" i="25"/>
  <c r="AO54" i="25"/>
  <c r="AQ13" i="25"/>
  <c r="AO13" i="25"/>
  <c r="AQ512" i="25"/>
  <c r="AO512" i="25"/>
  <c r="AQ303" i="25"/>
  <c r="AO303" i="25"/>
  <c r="AQ574" i="25"/>
  <c r="AO574" i="25"/>
  <c r="AQ191" i="25"/>
  <c r="AO191" i="25"/>
  <c r="AQ506" i="25"/>
  <c r="AO506" i="25"/>
  <c r="AQ263" i="25"/>
  <c r="AO263" i="25"/>
  <c r="AQ16" i="25"/>
  <c r="AO16" i="25"/>
  <c r="AQ280" i="25"/>
  <c r="AO280" i="25"/>
  <c r="AQ121" i="25"/>
  <c r="AO121" i="25"/>
  <c r="AQ596" i="25"/>
  <c r="AO596" i="25"/>
  <c r="AQ41" i="25"/>
  <c r="AO41" i="25"/>
  <c r="AQ578" i="25"/>
  <c r="AO578" i="25"/>
  <c r="AQ560" i="25"/>
  <c r="AO560" i="25"/>
  <c r="AQ466" i="25"/>
  <c r="AO466" i="25"/>
  <c r="AQ44" i="25"/>
  <c r="AO44" i="25"/>
  <c r="AQ129" i="25"/>
  <c r="AO129" i="25"/>
  <c r="AQ301" i="25"/>
  <c r="AO301" i="25"/>
  <c r="AQ76" i="25"/>
  <c r="AO76" i="25"/>
  <c r="AQ168" i="25"/>
  <c r="AO168" i="25"/>
  <c r="AQ331" i="25"/>
  <c r="AO331" i="25"/>
  <c r="AQ50" i="25"/>
  <c r="AO50" i="25"/>
  <c r="AP234" i="25" a="1"/>
  <c r="AP234" i="25" s="1"/>
  <c r="AZ234" i="25" s="1"/>
  <c r="AQ346" i="25"/>
  <c r="BA341" i="25"/>
  <c r="AP280" i="25" a="1"/>
  <c r="AP280" i="25" s="1"/>
  <c r="AP236" i="25" a="1"/>
  <c r="AP236" i="25" s="1"/>
  <c r="AP471" i="25" a="1"/>
  <c r="AP471" i="25" s="1"/>
  <c r="AP208" i="25" a="1"/>
  <c r="AP208" i="25" s="1"/>
  <c r="AP8" i="25" a="1"/>
  <c r="AP8" i="25" s="1"/>
  <c r="AP14" i="25" a="1"/>
  <c r="AP14" i="25" s="1"/>
  <c r="AP204" i="25" a="1"/>
  <c r="AP204" i="25" s="1"/>
  <c r="AZ204" i="25" s="1"/>
  <c r="AP531" i="25" a="1"/>
  <c r="AP531" i="25" s="1"/>
  <c r="AP101" i="25" a="1"/>
  <c r="AP101" i="25" s="1"/>
  <c r="AQ579" i="25"/>
  <c r="AZ579" i="25" s="1"/>
  <c r="AQ467" i="25"/>
  <c r="AP298" i="25" a="1"/>
  <c r="AP298" i="25" s="1"/>
  <c r="AQ402" i="25"/>
  <c r="AP323" i="25" a="1"/>
  <c r="AP323" i="25" s="1"/>
  <c r="AQ461" i="25"/>
  <c r="AQ294" i="25"/>
  <c r="AP567" i="25" a="1"/>
  <c r="AP567" i="25" s="1"/>
  <c r="AP88" i="25" a="1"/>
  <c r="AP88" i="25" s="1"/>
  <c r="AP288" i="25" a="1"/>
  <c r="AP288" i="25" s="1"/>
  <c r="AP221" i="25" a="1"/>
  <c r="AP221" i="25" s="1"/>
  <c r="AP569" i="25" a="1"/>
  <c r="AP569" i="25" s="1"/>
  <c r="AP402" i="25" a="1"/>
  <c r="AP402" i="25" s="1"/>
  <c r="AQ364" i="25"/>
  <c r="AQ405" i="25"/>
  <c r="Q15" i="14" l="1"/>
  <c r="Q11" i="14"/>
  <c r="S7" i="14"/>
  <c r="X154" i="7"/>
  <c r="X147" i="7"/>
  <c r="X133" i="7"/>
  <c r="X138" i="7"/>
  <c r="X137" i="7"/>
  <c r="X132" i="7"/>
  <c r="X139" i="7"/>
  <c r="X134" i="7"/>
  <c r="X141" i="7"/>
  <c r="X155" i="7"/>
  <c r="X144" i="7"/>
  <c r="X152" i="7"/>
  <c r="X135" i="7"/>
  <c r="X156" i="7"/>
  <c r="X136" i="7"/>
  <c r="X142" i="7"/>
  <c r="X143" i="7"/>
  <c r="X145" i="7"/>
  <c r="X150" i="7"/>
  <c r="X151" i="7"/>
  <c r="X146" i="7"/>
  <c r="X131" i="7"/>
  <c r="S15" i="14"/>
  <c r="X350" i="7"/>
  <c r="X355" i="7"/>
  <c r="X339" i="7"/>
  <c r="X347" i="7"/>
  <c r="X333" i="7"/>
  <c r="X344" i="7"/>
  <c r="X353" i="7"/>
  <c r="X331" i="7"/>
  <c r="X334" i="7"/>
  <c r="X332" i="7"/>
  <c r="X328" i="7"/>
  <c r="X336" i="7"/>
  <c r="X352" i="7"/>
  <c r="X314" i="7"/>
  <c r="X338" i="7"/>
  <c r="X337" i="7"/>
  <c r="X340" i="7"/>
  <c r="X330" i="7"/>
  <c r="X356" i="7"/>
  <c r="X335" i="7"/>
  <c r="X329" i="7"/>
  <c r="X341" i="7"/>
  <c r="X342" i="7"/>
  <c r="X346" i="7"/>
  <c r="X351" i="7"/>
  <c r="S11" i="14"/>
  <c r="X218" i="7"/>
  <c r="X191" i="7"/>
  <c r="X220" i="7"/>
  <c r="X212" i="7"/>
  <c r="X211" i="7"/>
  <c r="X206" i="7"/>
  <c r="X223" i="7"/>
  <c r="X215" i="7"/>
  <c r="X217" i="7"/>
  <c r="X210" i="7"/>
  <c r="X222" i="7"/>
  <c r="X214" i="7"/>
  <c r="X207" i="7"/>
  <c r="X205" i="7"/>
  <c r="X213" i="7"/>
  <c r="X219" i="7"/>
  <c r="X216" i="7"/>
  <c r="X208" i="7"/>
  <c r="X221" i="7"/>
  <c r="X209" i="7"/>
  <c r="S8" i="14"/>
  <c r="X90" i="7"/>
  <c r="X82" i="7"/>
  <c r="X83" i="7"/>
  <c r="X89" i="7"/>
  <c r="X78" i="7"/>
  <c r="X93" i="7"/>
  <c r="X88" i="7"/>
  <c r="X86" i="7"/>
  <c r="X77" i="7"/>
  <c r="X84" i="7"/>
  <c r="X80" i="7"/>
  <c r="X79" i="7"/>
  <c r="X85" i="7"/>
  <c r="X76" i="7"/>
  <c r="X87" i="7"/>
  <c r="X81" i="7"/>
  <c r="S13" i="14"/>
  <c r="X276" i="7"/>
  <c r="X277" i="7"/>
  <c r="X283" i="7"/>
  <c r="X274" i="7"/>
  <c r="X285" i="7"/>
  <c r="X261" i="7"/>
  <c r="X280" i="7"/>
  <c r="X275" i="7"/>
  <c r="X281" i="7"/>
  <c r="X278" i="7"/>
  <c r="X279" i="7"/>
  <c r="X282" i="7"/>
  <c r="X273" i="7"/>
  <c r="X262" i="7"/>
  <c r="S22" i="14"/>
  <c r="X571" i="7"/>
  <c r="X576" i="7"/>
  <c r="X579" i="7"/>
  <c r="X574" i="7"/>
  <c r="X572" i="7"/>
  <c r="X580" i="7"/>
  <c r="X583" i="7"/>
  <c r="X578" i="7"/>
  <c r="X581" i="7"/>
  <c r="X577" i="7"/>
  <c r="X582" i="7"/>
  <c r="X573" i="7"/>
  <c r="X556" i="7"/>
  <c r="X575" i="7"/>
  <c r="Y456" i="7"/>
  <c r="BB456" i="25" s="1"/>
  <c r="BC456" i="25" s="1"/>
  <c r="AZ456" i="7"/>
  <c r="Y443" i="7"/>
  <c r="BB443" i="25" s="1"/>
  <c r="AZ443" i="7"/>
  <c r="Y453" i="7"/>
  <c r="BB453" i="25" s="1"/>
  <c r="AZ453" i="7"/>
  <c r="Y445" i="7"/>
  <c r="BB445" i="25" s="1"/>
  <c r="AZ445" i="7"/>
  <c r="Y446" i="7"/>
  <c r="BB446" i="25" s="1"/>
  <c r="AZ446" i="7"/>
  <c r="Y425" i="7"/>
  <c r="BB425" i="25" s="1"/>
  <c r="AZ425" i="7"/>
  <c r="AX425" i="7"/>
  <c r="Y428" i="7"/>
  <c r="BB428" i="25" s="1"/>
  <c r="BC428" i="25" s="1"/>
  <c r="AX428" i="7"/>
  <c r="AZ428" i="7"/>
  <c r="Y430" i="7"/>
  <c r="BB430" i="25" s="1"/>
  <c r="AZ430" i="7"/>
  <c r="AX430" i="7"/>
  <c r="Y427" i="7"/>
  <c r="BB427" i="25" s="1"/>
  <c r="BC427" i="25" s="1"/>
  <c r="AZ427" i="7"/>
  <c r="AX427" i="7"/>
  <c r="Y234" i="7"/>
  <c r="BB234" i="25" s="1"/>
  <c r="AX234" i="7"/>
  <c r="AZ234" i="7"/>
  <c r="Y229" i="7"/>
  <c r="BB229" i="25" s="1"/>
  <c r="AZ229" i="7"/>
  <c r="AX229" i="7"/>
  <c r="Y226" i="7"/>
  <c r="BB226" i="25" s="1"/>
  <c r="AX226" i="7"/>
  <c r="AZ226" i="7"/>
  <c r="Y227" i="7"/>
  <c r="BB227" i="25" s="1"/>
  <c r="AZ227" i="7"/>
  <c r="AX227" i="7"/>
  <c r="Y201" i="7"/>
  <c r="BB201" i="25" s="1"/>
  <c r="BC201" i="25" s="1"/>
  <c r="AZ201" i="7"/>
  <c r="AX201" i="7"/>
  <c r="Y197" i="7"/>
  <c r="BB197" i="25" s="1"/>
  <c r="AX197" i="7"/>
  <c r="AZ197" i="7"/>
  <c r="Y193" i="7"/>
  <c r="BB193" i="25" s="1"/>
  <c r="BC193" i="25" s="1"/>
  <c r="BD193" i="25" s="1"/>
  <c r="AZ193" i="7"/>
  <c r="AX193" i="7"/>
  <c r="Y594" i="7"/>
  <c r="BB594" i="25" s="1"/>
  <c r="AX594" i="7"/>
  <c r="AZ594" i="7"/>
  <c r="Y592" i="7"/>
  <c r="BB592" i="25" s="1"/>
  <c r="BC592" i="25" s="1"/>
  <c r="BD592" i="25" s="1"/>
  <c r="AX592" i="7"/>
  <c r="AZ592" i="7"/>
  <c r="X72" i="7"/>
  <c r="X71" i="7"/>
  <c r="X91" i="7"/>
  <c r="X69" i="7"/>
  <c r="X74" i="7"/>
  <c r="X66" i="7"/>
  <c r="X94" i="7"/>
  <c r="X75" i="7"/>
  <c r="X92" i="7"/>
  <c r="X68" i="7"/>
  <c r="X70" i="7"/>
  <c r="X67" i="7"/>
  <c r="X73" i="7"/>
  <c r="Y38" i="7"/>
  <c r="BB38" i="25" s="1"/>
  <c r="AX38" i="7"/>
  <c r="AZ38" i="7"/>
  <c r="Y31" i="7"/>
  <c r="BB31" i="25" s="1"/>
  <c r="AZ31" i="7"/>
  <c r="AX31" i="7"/>
  <c r="Y39" i="7"/>
  <c r="BB39" i="25" s="1"/>
  <c r="BC39" i="25" s="1"/>
  <c r="BE39" i="25" s="1"/>
  <c r="BG39" i="7" s="1"/>
  <c r="BA39" i="7" s="1"/>
  <c r="BD39" i="7" s="1"/>
  <c r="AX39" i="7"/>
  <c r="AZ39" i="7"/>
  <c r="S20" i="14"/>
  <c r="X513" i="7"/>
  <c r="X521" i="7"/>
  <c r="X495" i="7"/>
  <c r="X523" i="7"/>
  <c r="X525" i="7"/>
  <c r="X511" i="7"/>
  <c r="X519" i="7"/>
  <c r="X518" i="7"/>
  <c r="X514" i="7"/>
  <c r="X522" i="7"/>
  <c r="X494" i="7"/>
  <c r="X493" i="7"/>
  <c r="X520" i="7"/>
  <c r="X517" i="7"/>
  <c r="X516" i="7"/>
  <c r="X526" i="7"/>
  <c r="X500" i="7"/>
  <c r="X515" i="7"/>
  <c r="X524" i="7"/>
  <c r="X512" i="7"/>
  <c r="Y362" i="7"/>
  <c r="BB362" i="25" s="1"/>
  <c r="BC362" i="25" s="1"/>
  <c r="AX362" i="7"/>
  <c r="AZ362" i="7"/>
  <c r="Y366" i="7"/>
  <c r="BB366" i="25" s="1"/>
  <c r="AZ366" i="7"/>
  <c r="AX366" i="7"/>
  <c r="Y367" i="7"/>
  <c r="BB367" i="25" s="1"/>
  <c r="AZ367" i="7"/>
  <c r="AX367" i="7"/>
  <c r="Y178" i="7"/>
  <c r="BB178" i="25" s="1"/>
  <c r="BC178" i="25" s="1"/>
  <c r="AZ178" i="7"/>
  <c r="Y158" i="7"/>
  <c r="BB158" i="25" s="1"/>
  <c r="AZ158" i="7"/>
  <c r="Y184" i="7"/>
  <c r="BB184" i="25" s="1"/>
  <c r="BC184" i="25" s="1"/>
  <c r="AZ184" i="7"/>
  <c r="Y182" i="7"/>
  <c r="BB182" i="25" s="1"/>
  <c r="BC182" i="25" s="1"/>
  <c r="AZ182" i="7"/>
  <c r="Q19" i="14"/>
  <c r="Y263" i="7"/>
  <c r="BB263" i="25" s="1"/>
  <c r="AX263" i="7"/>
  <c r="AZ263" i="7"/>
  <c r="Y265" i="7"/>
  <c r="BB265" i="25" s="1"/>
  <c r="BC265" i="25" s="1"/>
  <c r="AT265" i="7" s="1"/>
  <c r="AX265" i="7"/>
  <c r="AZ265" i="7"/>
  <c r="Y269" i="7"/>
  <c r="BB269" i="25" s="1"/>
  <c r="BC269" i="25" s="1"/>
  <c r="AX269" i="7"/>
  <c r="AZ269" i="7"/>
  <c r="Y399" i="7"/>
  <c r="BB399" i="25" s="1"/>
  <c r="AX399" i="7"/>
  <c r="AZ399" i="7"/>
  <c r="Y398" i="7"/>
  <c r="BB398" i="25" s="1"/>
  <c r="AX398" i="7"/>
  <c r="AZ398" i="7"/>
  <c r="Y395" i="7"/>
  <c r="BB395" i="25" s="1"/>
  <c r="AX395" i="7"/>
  <c r="AZ395" i="7"/>
  <c r="Q21" i="14"/>
  <c r="Y463" i="7"/>
  <c r="BB463" i="25" s="1"/>
  <c r="AX463" i="7"/>
  <c r="AZ463" i="7"/>
  <c r="Y487" i="7"/>
  <c r="BB487" i="25" s="1"/>
  <c r="AZ487" i="7"/>
  <c r="AX487" i="7"/>
  <c r="Y467" i="7"/>
  <c r="BB467" i="25" s="1"/>
  <c r="AZ467" i="7"/>
  <c r="AX467" i="7"/>
  <c r="Y564" i="7"/>
  <c r="BB564" i="25" s="1"/>
  <c r="AX564" i="7"/>
  <c r="AZ564" i="7"/>
  <c r="Y561" i="7"/>
  <c r="BB561" i="25" s="1"/>
  <c r="AX561" i="7"/>
  <c r="AZ561" i="7"/>
  <c r="Y559" i="7"/>
  <c r="BB559" i="25" s="1"/>
  <c r="BC559" i="25" s="1"/>
  <c r="BD559" i="25" s="1"/>
  <c r="AZ559" i="7"/>
  <c r="AX559" i="7"/>
  <c r="Y558" i="7"/>
  <c r="BB558" i="25" s="1"/>
  <c r="AZ558" i="7"/>
  <c r="AX558" i="7"/>
  <c r="Y6" i="7"/>
  <c r="BB6" i="25" s="1"/>
  <c r="BC6" i="25" s="1"/>
  <c r="AX6" i="7"/>
  <c r="AZ6" i="7"/>
  <c r="Y5" i="7"/>
  <c r="BB5" i="25" s="1"/>
  <c r="AX5" i="7"/>
  <c r="AZ5" i="7"/>
  <c r="Y11" i="7"/>
  <c r="BB11" i="25" s="1"/>
  <c r="AZ11" i="7"/>
  <c r="AX11" i="7"/>
  <c r="Y534" i="7"/>
  <c r="BB534" i="25" s="1"/>
  <c r="BC534" i="25" s="1"/>
  <c r="AX534" i="7"/>
  <c r="AZ534" i="7"/>
  <c r="Y535" i="7"/>
  <c r="BB535" i="25" s="1"/>
  <c r="AX535" i="7"/>
  <c r="AZ535" i="7"/>
  <c r="Y537" i="7"/>
  <c r="BB537" i="25" s="1"/>
  <c r="AX537" i="7"/>
  <c r="AZ537" i="7"/>
  <c r="Y503" i="7"/>
  <c r="BB503" i="25" s="1"/>
  <c r="AZ503" i="7"/>
  <c r="AX503" i="7"/>
  <c r="Y496" i="7"/>
  <c r="BB496" i="25" s="1"/>
  <c r="BC496" i="25" s="1"/>
  <c r="AZ496" i="7"/>
  <c r="AX496" i="7"/>
  <c r="Y499" i="7"/>
  <c r="BB499" i="25" s="1"/>
  <c r="BC499" i="25" s="1"/>
  <c r="AX499" i="7"/>
  <c r="AZ499" i="7"/>
  <c r="Y502" i="7"/>
  <c r="BB502" i="25" s="1"/>
  <c r="AX502" i="7"/>
  <c r="AZ502" i="7"/>
  <c r="Y172" i="7"/>
  <c r="BB172" i="25" s="1"/>
  <c r="BC172" i="25" s="1"/>
  <c r="AZ172" i="7"/>
  <c r="AX172" i="7"/>
  <c r="Y169" i="7"/>
  <c r="BB169" i="25" s="1"/>
  <c r="AX169" i="7"/>
  <c r="AZ169" i="7"/>
  <c r="Y171" i="7"/>
  <c r="BB171" i="25" s="1"/>
  <c r="AX171" i="7"/>
  <c r="AZ171" i="7"/>
  <c r="Y189" i="7"/>
  <c r="BB189" i="25" s="1"/>
  <c r="AZ189" i="7"/>
  <c r="AX189" i="7"/>
  <c r="Y162" i="7"/>
  <c r="BB162" i="25" s="1"/>
  <c r="BC162" i="25" s="1"/>
  <c r="AZ162" i="7"/>
  <c r="AX162" i="7"/>
  <c r="Y95" i="7"/>
  <c r="BB95" i="25" s="1"/>
  <c r="AX95" i="7"/>
  <c r="AZ95" i="7"/>
  <c r="Y103" i="7"/>
  <c r="BB103" i="25" s="1"/>
  <c r="AZ103" i="7"/>
  <c r="AX103" i="7"/>
  <c r="BC5" i="25"/>
  <c r="Y442" i="7"/>
  <c r="BB442" i="25" s="1"/>
  <c r="AZ442" i="7"/>
  <c r="Y447" i="7"/>
  <c r="BB447" i="25" s="1"/>
  <c r="BC447" i="25" s="1"/>
  <c r="AZ447" i="7"/>
  <c r="Y441" i="7"/>
  <c r="BB441" i="25" s="1"/>
  <c r="AZ441" i="7"/>
  <c r="Y454" i="7"/>
  <c r="BB454" i="25" s="1"/>
  <c r="AZ454" i="7"/>
  <c r="Y434" i="7"/>
  <c r="BB434" i="25" s="1"/>
  <c r="BC434" i="25" s="1"/>
  <c r="BD434" i="25" s="1"/>
  <c r="AX434" i="7"/>
  <c r="AZ434" i="7"/>
  <c r="Y429" i="7"/>
  <c r="BB429" i="25" s="1"/>
  <c r="AZ429" i="7"/>
  <c r="AX429" i="7"/>
  <c r="Y433" i="7"/>
  <c r="BB433" i="25" s="1"/>
  <c r="BC433" i="25" s="1"/>
  <c r="AZ433" i="7"/>
  <c r="AX433" i="7"/>
  <c r="Y437" i="7"/>
  <c r="BB437" i="25" s="1"/>
  <c r="AZ437" i="7"/>
  <c r="AX437" i="7"/>
  <c r="Q6" i="14"/>
  <c r="Y231" i="7"/>
  <c r="BB231" i="25" s="1"/>
  <c r="AX231" i="7"/>
  <c r="AZ231" i="7"/>
  <c r="Y232" i="7"/>
  <c r="BB232" i="25" s="1"/>
  <c r="BC232" i="25" s="1"/>
  <c r="AZ232" i="7"/>
  <c r="AX232" i="7"/>
  <c r="Y257" i="7"/>
  <c r="BB257" i="25" s="1"/>
  <c r="BC257" i="25" s="1"/>
  <c r="BD257" i="25" s="1"/>
  <c r="AX257" i="7"/>
  <c r="AZ257" i="7"/>
  <c r="Y228" i="7"/>
  <c r="BB228" i="25" s="1"/>
  <c r="BC228" i="25" s="1"/>
  <c r="AZ228" i="7"/>
  <c r="AX228" i="7"/>
  <c r="Y190" i="7"/>
  <c r="BB190" i="25" s="1"/>
  <c r="AX190" i="7"/>
  <c r="AZ190" i="7"/>
  <c r="Y200" i="7"/>
  <c r="BB200" i="25" s="1"/>
  <c r="BC200" i="25" s="1"/>
  <c r="AX200" i="7"/>
  <c r="AZ200" i="7"/>
  <c r="Y202" i="7"/>
  <c r="BB202" i="25" s="1"/>
  <c r="BC202" i="25" s="1"/>
  <c r="AX202" i="7"/>
  <c r="AZ202" i="7"/>
  <c r="Y194" i="7"/>
  <c r="BB194" i="25" s="1"/>
  <c r="BC194" i="25" s="1"/>
  <c r="AT194" i="7" s="1"/>
  <c r="AU194" i="7" s="1"/>
  <c r="AV194" i="7" s="1"/>
  <c r="AZ194" i="7"/>
  <c r="AX194" i="7"/>
  <c r="Y586" i="7"/>
  <c r="BB586" i="25" s="1"/>
  <c r="AZ586" i="7"/>
  <c r="AX586" i="7"/>
  <c r="Y587" i="7"/>
  <c r="BB587" i="25" s="1"/>
  <c r="BC587" i="25" s="1"/>
  <c r="BD587" i="25" s="1"/>
  <c r="AX587" i="7"/>
  <c r="AZ587" i="7"/>
  <c r="Y34" i="7"/>
  <c r="BB34" i="25" s="1"/>
  <c r="AX34" i="7"/>
  <c r="AZ34" i="7"/>
  <c r="Y35" i="7"/>
  <c r="BB35" i="25" s="1"/>
  <c r="AX35" i="7"/>
  <c r="AZ35" i="7"/>
  <c r="Y37" i="7"/>
  <c r="BB37" i="25" s="1"/>
  <c r="AZ37" i="7"/>
  <c r="AX37" i="7"/>
  <c r="Y59" i="7"/>
  <c r="BB59" i="25" s="1"/>
  <c r="AX59" i="7"/>
  <c r="AZ59" i="7"/>
  <c r="Q16" i="14"/>
  <c r="Y386" i="7"/>
  <c r="BB386" i="25" s="1"/>
  <c r="AX386" i="7"/>
  <c r="AZ386" i="7"/>
  <c r="Y389" i="7"/>
  <c r="BB389" i="25" s="1"/>
  <c r="AX389" i="7"/>
  <c r="AZ389" i="7"/>
  <c r="Y359" i="7"/>
  <c r="BB359" i="25" s="1"/>
  <c r="BC359" i="25" s="1"/>
  <c r="BE359" i="25" s="1"/>
  <c r="BG359" i="7" s="1"/>
  <c r="BA359" i="7" s="1"/>
  <c r="BD359" i="7" s="1"/>
  <c r="AX359" i="7"/>
  <c r="AZ359" i="7"/>
  <c r="Y357" i="7"/>
  <c r="BB357" i="25" s="1"/>
  <c r="AX357" i="7"/>
  <c r="AZ357" i="7"/>
  <c r="Y160" i="7"/>
  <c r="BB160" i="25" s="1"/>
  <c r="AZ160" i="7"/>
  <c r="Y188" i="7"/>
  <c r="BB188" i="25" s="1"/>
  <c r="AZ188" i="7"/>
  <c r="Y179" i="7"/>
  <c r="BB179" i="25" s="1"/>
  <c r="BC179" i="25" s="1"/>
  <c r="AZ179" i="7"/>
  <c r="Y173" i="7"/>
  <c r="BB173" i="25" s="1"/>
  <c r="AZ173" i="7"/>
  <c r="Y268" i="7"/>
  <c r="BB268" i="25" s="1"/>
  <c r="BC268" i="25" s="1"/>
  <c r="AZ268" i="7"/>
  <c r="AX268" i="7"/>
  <c r="Y264" i="7"/>
  <c r="BB264" i="25" s="1"/>
  <c r="BC264" i="25" s="1"/>
  <c r="BD264" i="25" s="1"/>
  <c r="AZ264" i="7"/>
  <c r="AX264" i="7"/>
  <c r="Y270" i="7"/>
  <c r="BB270" i="25" s="1"/>
  <c r="AX270" i="7"/>
  <c r="AZ270" i="7"/>
  <c r="Y416" i="7"/>
  <c r="BB416" i="25" s="1"/>
  <c r="AX416" i="7"/>
  <c r="AZ416" i="7"/>
  <c r="Y418" i="7"/>
  <c r="BB418" i="25" s="1"/>
  <c r="BC418" i="25" s="1"/>
  <c r="BD418" i="25" s="1"/>
  <c r="AX418" i="7"/>
  <c r="AZ418" i="7"/>
  <c r="Y417" i="7"/>
  <c r="BB417" i="25" s="1"/>
  <c r="BC417" i="25" s="1"/>
  <c r="AX417" i="7"/>
  <c r="AZ417" i="7"/>
  <c r="X148" i="7"/>
  <c r="X122" i="7"/>
  <c r="X127" i="7"/>
  <c r="X124" i="7"/>
  <c r="X153" i="7"/>
  <c r="X126" i="7"/>
  <c r="X129" i="7"/>
  <c r="X130" i="7"/>
  <c r="X123" i="7"/>
  <c r="X149" i="7"/>
  <c r="X121" i="7"/>
  <c r="X140" i="7"/>
  <c r="X128" i="7"/>
  <c r="X125" i="7"/>
  <c r="Y464" i="7"/>
  <c r="BB464" i="25" s="1"/>
  <c r="AX464" i="7"/>
  <c r="AZ464" i="7"/>
  <c r="Y472" i="7"/>
  <c r="BB472" i="25" s="1"/>
  <c r="AX472" i="7"/>
  <c r="AZ472" i="7"/>
  <c r="Y473" i="7"/>
  <c r="BB473" i="25" s="1"/>
  <c r="AZ473" i="7"/>
  <c r="AX473" i="7"/>
  <c r="Y557" i="7"/>
  <c r="BB557" i="25" s="1"/>
  <c r="AX557" i="7"/>
  <c r="AZ557" i="7"/>
  <c r="Y560" i="7"/>
  <c r="BB560" i="25" s="1"/>
  <c r="AZ560" i="7"/>
  <c r="AX560" i="7"/>
  <c r="Y563" i="7"/>
  <c r="BB563" i="25" s="1"/>
  <c r="AZ563" i="7"/>
  <c r="AX563" i="7"/>
  <c r="Y566" i="7"/>
  <c r="BB566" i="25" s="1"/>
  <c r="BC566" i="25" s="1"/>
  <c r="BE566" i="25" s="1"/>
  <c r="AZ566" i="7"/>
  <c r="AX566" i="7"/>
  <c r="Y12" i="7"/>
  <c r="BB12" i="25" s="1"/>
  <c r="AX12" i="7"/>
  <c r="AZ12" i="7"/>
  <c r="Y10" i="7"/>
  <c r="BB10" i="25" s="1"/>
  <c r="AZ10" i="7"/>
  <c r="AX10" i="7"/>
  <c r="Y4" i="7"/>
  <c r="BB4" i="25" s="1"/>
  <c r="BC4" i="25" s="1"/>
  <c r="AZ4" i="7"/>
  <c r="AX4" i="7"/>
  <c r="Y552" i="7"/>
  <c r="BB552" i="25" s="1"/>
  <c r="AZ552" i="7"/>
  <c r="AX552" i="7"/>
  <c r="Y533" i="7"/>
  <c r="BB533" i="25" s="1"/>
  <c r="AZ533" i="7"/>
  <c r="AX533" i="7"/>
  <c r="Y536" i="7"/>
  <c r="BB536" i="25" s="1"/>
  <c r="AZ536" i="7"/>
  <c r="AX536" i="7"/>
  <c r="Y507" i="7"/>
  <c r="BB507" i="25" s="1"/>
  <c r="AX507" i="7"/>
  <c r="AZ507" i="7"/>
  <c r="Y505" i="7"/>
  <c r="BB505" i="25" s="1"/>
  <c r="AX505" i="7"/>
  <c r="AZ505" i="7"/>
  <c r="Y508" i="7"/>
  <c r="BB508" i="25" s="1"/>
  <c r="AX508" i="7"/>
  <c r="AZ508" i="7"/>
  <c r="Y497" i="7"/>
  <c r="BB497" i="25" s="1"/>
  <c r="AX497" i="7"/>
  <c r="AZ497" i="7"/>
  <c r="Y161" i="7"/>
  <c r="BB161" i="25" s="1"/>
  <c r="AZ161" i="7"/>
  <c r="AX161" i="7"/>
  <c r="Y164" i="7"/>
  <c r="BB164" i="25" s="1"/>
  <c r="BC164" i="25" s="1"/>
  <c r="AX164" i="7"/>
  <c r="AZ164" i="7"/>
  <c r="Y187" i="7"/>
  <c r="BB187" i="25" s="1"/>
  <c r="BC187" i="25" s="1"/>
  <c r="AX187" i="7"/>
  <c r="AZ187" i="7"/>
  <c r="Y165" i="7"/>
  <c r="BB165" i="25" s="1"/>
  <c r="AX165" i="7"/>
  <c r="AZ165" i="7"/>
  <c r="Y104" i="7"/>
  <c r="BB104" i="25" s="1"/>
  <c r="BC104" i="25" s="1"/>
  <c r="BD104" i="25" s="1"/>
  <c r="AZ104" i="7"/>
  <c r="AX104" i="7"/>
  <c r="Y102" i="7"/>
  <c r="BB102" i="25" s="1"/>
  <c r="AX102" i="7"/>
  <c r="AZ102" i="7"/>
  <c r="Y98" i="7"/>
  <c r="BB98" i="25" s="1"/>
  <c r="BC98" i="25" s="1"/>
  <c r="BE98" i="25" s="1"/>
  <c r="AX98" i="7"/>
  <c r="AZ98" i="7"/>
  <c r="BC425" i="25"/>
  <c r="X354" i="7"/>
  <c r="X315" i="7"/>
  <c r="X320" i="7"/>
  <c r="X345" i="7"/>
  <c r="X325" i="7"/>
  <c r="X326" i="7"/>
  <c r="X348" i="7"/>
  <c r="X316" i="7"/>
  <c r="X324" i="7"/>
  <c r="X321" i="7"/>
  <c r="X343" i="7"/>
  <c r="X318" i="7"/>
  <c r="X319" i="7"/>
  <c r="X327" i="7"/>
  <c r="X323" i="7"/>
  <c r="X317" i="7"/>
  <c r="X349" i="7"/>
  <c r="X322" i="7"/>
  <c r="Y440" i="7"/>
  <c r="BB440" i="25" s="1"/>
  <c r="AZ440" i="7"/>
  <c r="Y457" i="7"/>
  <c r="BB457" i="25" s="1"/>
  <c r="AZ457" i="7"/>
  <c r="Y448" i="7"/>
  <c r="BB448" i="25" s="1"/>
  <c r="AZ448" i="7"/>
  <c r="Y444" i="7"/>
  <c r="BB444" i="25" s="1"/>
  <c r="AZ444" i="7"/>
  <c r="Y455" i="7"/>
  <c r="BB455" i="25" s="1"/>
  <c r="AZ455" i="7"/>
  <c r="Y426" i="7"/>
  <c r="BB426" i="25" s="1"/>
  <c r="BC426" i="25" s="1"/>
  <c r="AX426" i="7"/>
  <c r="AZ426" i="7"/>
  <c r="Y424" i="7"/>
  <c r="BB424" i="25" s="1"/>
  <c r="AZ424" i="7"/>
  <c r="AX424" i="7"/>
  <c r="Y435" i="7"/>
  <c r="BB435" i="25" s="1"/>
  <c r="AZ435" i="7"/>
  <c r="AX435" i="7"/>
  <c r="Y431" i="7"/>
  <c r="BB431" i="25" s="1"/>
  <c r="AX431" i="7"/>
  <c r="AZ431" i="7"/>
  <c r="Y439" i="7"/>
  <c r="BB439" i="25" s="1"/>
  <c r="AX439" i="7"/>
  <c r="AZ439" i="7"/>
  <c r="S5" i="14"/>
  <c r="X14" i="7"/>
  <c r="X21" i="7"/>
  <c r="X15" i="7"/>
  <c r="X25" i="7"/>
  <c r="X13" i="7"/>
  <c r="X23" i="7"/>
  <c r="X22" i="7"/>
  <c r="X26" i="7"/>
  <c r="X27" i="7"/>
  <c r="X19" i="7"/>
  <c r="X8" i="7"/>
  <c r="X20" i="7"/>
  <c r="X30" i="7"/>
  <c r="X24" i="7"/>
  <c r="X17" i="7"/>
  <c r="X18" i="7"/>
  <c r="X29" i="7"/>
  <c r="X16" i="7"/>
  <c r="Y230" i="7"/>
  <c r="BB230" i="25" s="1"/>
  <c r="AZ230" i="7"/>
  <c r="AX230" i="7"/>
  <c r="Y254" i="7"/>
  <c r="BB254" i="25" s="1"/>
  <c r="AZ254" i="7"/>
  <c r="AX254" i="7"/>
  <c r="Y258" i="7"/>
  <c r="BB258" i="25" s="1"/>
  <c r="AZ258" i="7"/>
  <c r="AX258" i="7"/>
  <c r="Y233" i="7"/>
  <c r="BB233" i="25" s="1"/>
  <c r="AZ233" i="7"/>
  <c r="AX233" i="7"/>
  <c r="Y196" i="7"/>
  <c r="BB196" i="25" s="1"/>
  <c r="BC196" i="25" s="1"/>
  <c r="BD196" i="25" s="1"/>
  <c r="AZ196" i="7"/>
  <c r="AX196" i="7"/>
  <c r="Y195" i="7"/>
  <c r="BB195" i="25" s="1"/>
  <c r="AZ195" i="7"/>
  <c r="AX195" i="7"/>
  <c r="Y203" i="7"/>
  <c r="BB203" i="25" s="1"/>
  <c r="BC203" i="25" s="1"/>
  <c r="AX203" i="7"/>
  <c r="AZ203" i="7"/>
  <c r="Y199" i="7"/>
  <c r="BB199" i="25" s="1"/>
  <c r="BC199" i="25" s="1"/>
  <c r="AX199" i="7"/>
  <c r="AZ199" i="7"/>
  <c r="Y595" i="7"/>
  <c r="BB595" i="25" s="1"/>
  <c r="AX595" i="7"/>
  <c r="AZ595" i="7"/>
  <c r="Y593" i="7"/>
  <c r="BB593" i="25" s="1"/>
  <c r="AZ593" i="7"/>
  <c r="AX593" i="7"/>
  <c r="Y40" i="7"/>
  <c r="BB40" i="25" s="1"/>
  <c r="BC40" i="25" s="1"/>
  <c r="AX40" i="7"/>
  <c r="AZ40" i="7"/>
  <c r="Y58" i="7"/>
  <c r="BB58" i="25" s="1"/>
  <c r="AX58" i="7"/>
  <c r="AZ58" i="7"/>
  <c r="Y64" i="7"/>
  <c r="BB64" i="25" s="1"/>
  <c r="BC64" i="25" s="1"/>
  <c r="AX64" i="7"/>
  <c r="AZ64" i="7"/>
  <c r="Y62" i="7"/>
  <c r="BB62" i="25" s="1"/>
  <c r="AX62" i="7"/>
  <c r="AZ62" i="7"/>
  <c r="Q17" i="14"/>
  <c r="Y384" i="7"/>
  <c r="BB384" i="25" s="1"/>
  <c r="AZ384" i="7"/>
  <c r="AX384" i="7"/>
  <c r="Y363" i="7"/>
  <c r="BB363" i="25" s="1"/>
  <c r="AZ363" i="7"/>
  <c r="AX363" i="7"/>
  <c r="Y365" i="7"/>
  <c r="BB365" i="25" s="1"/>
  <c r="AZ365" i="7"/>
  <c r="AX365" i="7"/>
  <c r="Y181" i="7"/>
  <c r="BB181" i="25" s="1"/>
  <c r="AZ181" i="7"/>
  <c r="Y180" i="7"/>
  <c r="BB180" i="25" s="1"/>
  <c r="AZ180" i="7"/>
  <c r="Y183" i="7"/>
  <c r="BB183" i="25" s="1"/>
  <c r="BC183" i="25" s="1"/>
  <c r="AZ183" i="7"/>
  <c r="Y175" i="7"/>
  <c r="BB175" i="25" s="1"/>
  <c r="AZ175" i="7"/>
  <c r="Y266" i="7"/>
  <c r="BB266" i="25" s="1"/>
  <c r="AX266" i="7"/>
  <c r="AZ266" i="7"/>
  <c r="Y271" i="7"/>
  <c r="BB271" i="25" s="1"/>
  <c r="BC271" i="25" s="1"/>
  <c r="AX271" i="7"/>
  <c r="AZ271" i="7"/>
  <c r="Y397" i="7"/>
  <c r="BB397" i="25" s="1"/>
  <c r="AZ397" i="7"/>
  <c r="AX397" i="7"/>
  <c r="Y400" i="7"/>
  <c r="BB400" i="25" s="1"/>
  <c r="AZ400" i="7"/>
  <c r="AX400" i="7"/>
  <c r="Y422" i="7"/>
  <c r="BB422" i="25" s="1"/>
  <c r="BC422" i="25" s="1"/>
  <c r="BD422" i="25" s="1"/>
  <c r="AX422" i="7"/>
  <c r="AZ422" i="7"/>
  <c r="Y396" i="7"/>
  <c r="BB396" i="25" s="1"/>
  <c r="AZ396" i="7"/>
  <c r="AX396" i="7"/>
  <c r="S24" i="14"/>
  <c r="X589" i="7"/>
  <c r="X588" i="7"/>
  <c r="X590" i="7"/>
  <c r="Y490" i="7"/>
  <c r="BB490" i="25" s="1"/>
  <c r="AZ490" i="7"/>
  <c r="AX490" i="7"/>
  <c r="Y471" i="7"/>
  <c r="BB471" i="25" s="1"/>
  <c r="AZ471" i="7"/>
  <c r="AX471" i="7"/>
  <c r="Y465" i="7"/>
  <c r="BB465" i="25" s="1"/>
  <c r="AZ465" i="7"/>
  <c r="AX465" i="7"/>
  <c r="Y468" i="7"/>
  <c r="BB468" i="25" s="1"/>
  <c r="AZ468" i="7"/>
  <c r="AX468" i="7"/>
  <c r="Y568" i="7"/>
  <c r="BB568" i="25" s="1"/>
  <c r="BC568" i="25" s="1"/>
  <c r="AZ568" i="7"/>
  <c r="AX568" i="7"/>
  <c r="Y567" i="7"/>
  <c r="BB567" i="25" s="1"/>
  <c r="AZ567" i="7"/>
  <c r="AX567" i="7"/>
  <c r="Y585" i="7"/>
  <c r="BB585" i="25" s="1"/>
  <c r="BC585" i="25" s="1"/>
  <c r="AX585" i="7"/>
  <c r="AZ585" i="7"/>
  <c r="Y562" i="7"/>
  <c r="BB562" i="25" s="1"/>
  <c r="AZ562" i="7"/>
  <c r="AX562" i="7"/>
  <c r="Y9" i="7"/>
  <c r="BB9" i="25" s="1"/>
  <c r="AZ9" i="7"/>
  <c r="AX9" i="7"/>
  <c r="Y2" i="7"/>
  <c r="BB2" i="25" s="1"/>
  <c r="AZ2" i="7"/>
  <c r="AX2" i="7"/>
  <c r="Y3" i="7"/>
  <c r="BB3" i="25" s="1"/>
  <c r="BC3" i="25" s="1"/>
  <c r="AZ3" i="7"/>
  <c r="AX3" i="7"/>
  <c r="Y530" i="7"/>
  <c r="BB530" i="25" s="1"/>
  <c r="AZ530" i="7"/>
  <c r="AX530" i="7"/>
  <c r="Y532" i="7"/>
  <c r="BB532" i="25" s="1"/>
  <c r="AX532" i="7"/>
  <c r="AZ532" i="7"/>
  <c r="Y529" i="7"/>
  <c r="BB529" i="25" s="1"/>
  <c r="AZ529" i="7"/>
  <c r="AX529" i="7"/>
  <c r="Y504" i="7"/>
  <c r="BB504" i="25" s="1"/>
  <c r="AX504" i="7"/>
  <c r="AZ504" i="7"/>
  <c r="Y498" i="7"/>
  <c r="BB498" i="25" s="1"/>
  <c r="AX498" i="7"/>
  <c r="AZ498" i="7"/>
  <c r="Y501" i="7"/>
  <c r="BB501" i="25" s="1"/>
  <c r="AX501" i="7"/>
  <c r="AZ501" i="7"/>
  <c r="Y157" i="7"/>
  <c r="BB157" i="25" s="1"/>
  <c r="AZ157" i="7"/>
  <c r="AX157" i="7"/>
  <c r="Y166" i="7"/>
  <c r="BB166" i="25" s="1"/>
  <c r="AZ166" i="7"/>
  <c r="AX166" i="7"/>
  <c r="Y167" i="7"/>
  <c r="BB167" i="25" s="1"/>
  <c r="BC167" i="25" s="1"/>
  <c r="AZ167" i="7"/>
  <c r="AX167" i="7"/>
  <c r="Y163" i="7"/>
  <c r="BB163" i="25" s="1"/>
  <c r="AX163" i="7"/>
  <c r="AZ163" i="7"/>
  <c r="Y97" i="7"/>
  <c r="BB97" i="25" s="1"/>
  <c r="AZ97" i="7"/>
  <c r="AX97" i="7"/>
  <c r="Y105" i="7"/>
  <c r="BB105" i="25" s="1"/>
  <c r="AZ105" i="7"/>
  <c r="AX105" i="7"/>
  <c r="Y96" i="7"/>
  <c r="BB96" i="25" s="1"/>
  <c r="BC96" i="25" s="1"/>
  <c r="BD96" i="25" s="1"/>
  <c r="AZ96" i="7"/>
  <c r="AX96" i="7"/>
  <c r="BC234" i="25"/>
  <c r="BC31" i="25"/>
  <c r="BD428" i="25"/>
  <c r="Q14" i="14"/>
  <c r="Y450" i="7"/>
  <c r="BB450" i="25" s="1"/>
  <c r="AZ450" i="7"/>
  <c r="Y459" i="7"/>
  <c r="BB459" i="25" s="1"/>
  <c r="AZ459" i="7"/>
  <c r="Y452" i="7"/>
  <c r="BB452" i="25" s="1"/>
  <c r="AZ452" i="7"/>
  <c r="Y451" i="7"/>
  <c r="BB451" i="25" s="1"/>
  <c r="AZ451" i="7"/>
  <c r="Y449" i="7"/>
  <c r="BB449" i="25" s="1"/>
  <c r="AZ449" i="7"/>
  <c r="Y438" i="7"/>
  <c r="BB438" i="25" s="1"/>
  <c r="AX438" i="7"/>
  <c r="AZ438" i="7"/>
  <c r="Y436" i="7"/>
  <c r="BB436" i="25" s="1"/>
  <c r="AZ436" i="7"/>
  <c r="AX436" i="7"/>
  <c r="Y432" i="7"/>
  <c r="BB432" i="25" s="1"/>
  <c r="AZ432" i="7"/>
  <c r="AX432" i="7"/>
  <c r="Y458" i="7"/>
  <c r="BB458" i="25" s="1"/>
  <c r="AZ458" i="7"/>
  <c r="AX458" i="7"/>
  <c r="Y255" i="7"/>
  <c r="BB255" i="25" s="1"/>
  <c r="AX255" i="7"/>
  <c r="AZ255" i="7"/>
  <c r="Y246" i="7"/>
  <c r="BB246" i="25" s="1"/>
  <c r="BC246" i="25" s="1"/>
  <c r="AZ246" i="7"/>
  <c r="AX246" i="7"/>
  <c r="Y253" i="7"/>
  <c r="BB253" i="25" s="1"/>
  <c r="BC253" i="25" s="1"/>
  <c r="AX253" i="7"/>
  <c r="AZ253" i="7"/>
  <c r="Y204" i="7"/>
  <c r="BB204" i="25" s="1"/>
  <c r="BC204" i="25" s="1"/>
  <c r="AX204" i="7"/>
  <c r="AZ204" i="7"/>
  <c r="Y224" i="7"/>
  <c r="BB224" i="25" s="1"/>
  <c r="BC224" i="25" s="1"/>
  <c r="BE224" i="25" s="1"/>
  <c r="AZ224" i="7"/>
  <c r="AX224" i="7"/>
  <c r="Y198" i="7"/>
  <c r="BB198" i="25" s="1"/>
  <c r="AZ198" i="7"/>
  <c r="AX198" i="7"/>
  <c r="Y192" i="7"/>
  <c r="BB192" i="25" s="1"/>
  <c r="AX192" i="7"/>
  <c r="AZ192" i="7"/>
  <c r="Y596" i="7"/>
  <c r="BB596" i="25" s="1"/>
  <c r="AZ596" i="7"/>
  <c r="AX596" i="7"/>
  <c r="Y591" i="7"/>
  <c r="BB591" i="25" s="1"/>
  <c r="AZ591" i="7"/>
  <c r="AX591" i="7"/>
  <c r="Y32" i="7"/>
  <c r="BB32" i="25" s="1"/>
  <c r="BC32" i="25" s="1"/>
  <c r="AX32" i="7"/>
  <c r="AZ32" i="7"/>
  <c r="Y60" i="7"/>
  <c r="BB60" i="25" s="1"/>
  <c r="BC60" i="25" s="1"/>
  <c r="BD60" i="25" s="1"/>
  <c r="AZ60" i="7"/>
  <c r="AX60" i="7"/>
  <c r="Y33" i="7"/>
  <c r="BB33" i="25" s="1"/>
  <c r="AZ33" i="7"/>
  <c r="AX33" i="7"/>
  <c r="X302" i="7"/>
  <c r="X291" i="7"/>
  <c r="X287" i="7"/>
  <c r="X293" i="7"/>
  <c r="X289" i="7"/>
  <c r="X294" i="7"/>
  <c r="X288" i="7"/>
  <c r="X286" i="7"/>
  <c r="X292" i="7"/>
  <c r="X313" i="7"/>
  <c r="X309" i="7"/>
  <c r="X290" i="7"/>
  <c r="Q9" i="14"/>
  <c r="Y360" i="7"/>
  <c r="BB360" i="25" s="1"/>
  <c r="BC360" i="25" s="1"/>
  <c r="BD360" i="25" s="1"/>
  <c r="AZ360" i="7"/>
  <c r="AX360" i="7"/>
  <c r="Y361" i="7"/>
  <c r="BB361" i="25" s="1"/>
  <c r="BC361" i="25" s="1"/>
  <c r="AZ361" i="7"/>
  <c r="AX361" i="7"/>
  <c r="Y364" i="7"/>
  <c r="BB364" i="25" s="1"/>
  <c r="AZ364" i="7"/>
  <c r="AX364" i="7"/>
  <c r="Y159" i="7"/>
  <c r="BB159" i="25" s="1"/>
  <c r="BC159" i="25" s="1"/>
  <c r="AZ159" i="7"/>
  <c r="Y174" i="7"/>
  <c r="BB174" i="25" s="1"/>
  <c r="AZ174" i="7"/>
  <c r="Y176" i="7"/>
  <c r="BB176" i="25" s="1"/>
  <c r="BC176" i="25" s="1"/>
  <c r="AZ176" i="7"/>
  <c r="Y177" i="7"/>
  <c r="BB177" i="25" s="1"/>
  <c r="AZ177" i="7"/>
  <c r="Y272" i="7"/>
  <c r="BB272" i="25" s="1"/>
  <c r="BC272" i="25" s="1"/>
  <c r="BD272" i="25" s="1"/>
  <c r="AZ272" i="7"/>
  <c r="AX272" i="7"/>
  <c r="Y267" i="7"/>
  <c r="BB267" i="25" s="1"/>
  <c r="AX267" i="7"/>
  <c r="AZ267" i="7"/>
  <c r="Y284" i="7"/>
  <c r="BB284" i="25" s="1"/>
  <c r="AZ284" i="7"/>
  <c r="AX284" i="7"/>
  <c r="Y394" i="7"/>
  <c r="BB394" i="25" s="1"/>
  <c r="AX394" i="7"/>
  <c r="AZ394" i="7"/>
  <c r="Y420" i="7"/>
  <c r="BB420" i="25" s="1"/>
  <c r="BC420" i="25" s="1"/>
  <c r="BD420" i="25" s="1"/>
  <c r="AZ420" i="7"/>
  <c r="AX420" i="7"/>
  <c r="Y421" i="7"/>
  <c r="BB421" i="25" s="1"/>
  <c r="BC421" i="25" s="1"/>
  <c r="BD421" i="25" s="1"/>
  <c r="AX421" i="7"/>
  <c r="AZ421" i="7"/>
  <c r="Y401" i="7"/>
  <c r="BB401" i="25" s="1"/>
  <c r="AX401" i="7"/>
  <c r="AZ401" i="7"/>
  <c r="Q12" i="14"/>
  <c r="Y469" i="7"/>
  <c r="BB469" i="25" s="1"/>
  <c r="AX469" i="7"/>
  <c r="AZ469" i="7"/>
  <c r="Y462" i="7"/>
  <c r="BB462" i="25" s="1"/>
  <c r="AX462" i="7"/>
  <c r="AZ462" i="7"/>
  <c r="Y470" i="7"/>
  <c r="BB470" i="25" s="1"/>
  <c r="AX470" i="7"/>
  <c r="AZ470" i="7"/>
  <c r="Y466" i="7"/>
  <c r="BB466" i="25" s="1"/>
  <c r="AZ466" i="7"/>
  <c r="AX466" i="7"/>
  <c r="Y565" i="7"/>
  <c r="BB565" i="25" s="1"/>
  <c r="BC565" i="25" s="1"/>
  <c r="AT565" i="7" s="1"/>
  <c r="AZ565" i="7"/>
  <c r="AX565" i="7"/>
  <c r="Y584" i="7"/>
  <c r="BB584" i="25" s="1"/>
  <c r="AZ584" i="7"/>
  <c r="AX584" i="7"/>
  <c r="Y569" i="7"/>
  <c r="BB569" i="25" s="1"/>
  <c r="AZ569" i="7"/>
  <c r="AX569" i="7"/>
  <c r="Y570" i="7"/>
  <c r="BB570" i="25" s="1"/>
  <c r="BC570" i="25" s="1"/>
  <c r="AT570" i="7" s="1"/>
  <c r="AX570" i="7"/>
  <c r="AZ570" i="7"/>
  <c r="Y7" i="7"/>
  <c r="BB7" i="25" s="1"/>
  <c r="BC7" i="25" s="1"/>
  <c r="BE7" i="25" s="1"/>
  <c r="BG7" i="7" s="1"/>
  <c r="BA7" i="7" s="1"/>
  <c r="AX7" i="7"/>
  <c r="AZ7" i="7"/>
  <c r="Y28" i="7"/>
  <c r="BB28" i="25" s="1"/>
  <c r="AZ28" i="7"/>
  <c r="AX28" i="7"/>
  <c r="Y554" i="7"/>
  <c r="BB554" i="25" s="1"/>
  <c r="AZ554" i="7"/>
  <c r="AX554" i="7"/>
  <c r="Y531" i="7"/>
  <c r="BB531" i="25" s="1"/>
  <c r="AZ531" i="7"/>
  <c r="AX531" i="7"/>
  <c r="Y528" i="7"/>
  <c r="BB528" i="25" s="1"/>
  <c r="BC528" i="25" s="1"/>
  <c r="BE528" i="25" s="1"/>
  <c r="BG528" i="7" s="1"/>
  <c r="BA528" i="7" s="1"/>
  <c r="AZ528" i="7"/>
  <c r="AX528" i="7"/>
  <c r="Y553" i="7"/>
  <c r="BB553" i="25" s="1"/>
  <c r="AZ553" i="7"/>
  <c r="AX553" i="7"/>
  <c r="Y510" i="7"/>
  <c r="BB510" i="25" s="1"/>
  <c r="AX510" i="7"/>
  <c r="AZ510" i="7"/>
  <c r="Y506" i="7"/>
  <c r="BB506" i="25" s="1"/>
  <c r="AX506" i="7"/>
  <c r="AZ506" i="7"/>
  <c r="Y509" i="7"/>
  <c r="BB509" i="25" s="1"/>
  <c r="AX509" i="7"/>
  <c r="AZ509" i="7"/>
  <c r="Y170" i="7"/>
  <c r="BB170" i="25" s="1"/>
  <c r="BC170" i="25" s="1"/>
  <c r="BD170" i="25" s="1"/>
  <c r="AX170" i="7"/>
  <c r="AZ170" i="7"/>
  <c r="Y168" i="7"/>
  <c r="BB168" i="25" s="1"/>
  <c r="AX168" i="7"/>
  <c r="AZ168" i="7"/>
  <c r="Y185" i="7"/>
  <c r="BB185" i="25" s="1"/>
  <c r="AZ185" i="7"/>
  <c r="AX185" i="7"/>
  <c r="Y186" i="7"/>
  <c r="BB186" i="25" s="1"/>
  <c r="BC186" i="25" s="1"/>
  <c r="BE186" i="25" s="1"/>
  <c r="BG186" i="7" s="1"/>
  <c r="BA186" i="7" s="1"/>
  <c r="AX186" i="7"/>
  <c r="AZ186" i="7"/>
  <c r="Y120" i="7"/>
  <c r="BB120" i="25" s="1"/>
  <c r="BC120" i="25" s="1"/>
  <c r="AX120" i="7"/>
  <c r="AZ120" i="7"/>
  <c r="Y100" i="7"/>
  <c r="BB100" i="25" s="1"/>
  <c r="AX100" i="7"/>
  <c r="AZ100" i="7"/>
  <c r="Y101" i="7"/>
  <c r="BB101" i="25" s="1"/>
  <c r="AZ101" i="7"/>
  <c r="AX101" i="7"/>
  <c r="AT434" i="7"/>
  <c r="AU434" i="7" s="1"/>
  <c r="AV434" i="7" s="1"/>
  <c r="AT98" i="7"/>
  <c r="BD98" i="7" s="1"/>
  <c r="AZ358" i="25"/>
  <c r="BA358" i="25" s="1"/>
  <c r="AZ508" i="25"/>
  <c r="BA508" i="25" s="1"/>
  <c r="BE434" i="25"/>
  <c r="BG434" i="7" s="1"/>
  <c r="BA434" i="7" s="1"/>
  <c r="AZ438" i="25"/>
  <c r="AZ490" i="25"/>
  <c r="BA490" i="25" s="1"/>
  <c r="BD98" i="25"/>
  <c r="BE418" i="25"/>
  <c r="BG418" i="7" s="1"/>
  <c r="BA418" i="7" s="1"/>
  <c r="AZ382" i="25"/>
  <c r="BA382" i="25" s="1"/>
  <c r="AZ517" i="25"/>
  <c r="BA517" i="25" s="1"/>
  <c r="AZ577" i="25"/>
  <c r="BA577" i="25" s="1"/>
  <c r="AZ572" i="25"/>
  <c r="AZ284" i="25"/>
  <c r="BA284" i="25" s="1"/>
  <c r="AZ238" i="25"/>
  <c r="BA238" i="25" s="1"/>
  <c r="AZ391" i="25"/>
  <c r="AZ372" i="25"/>
  <c r="BA372" i="25" s="1"/>
  <c r="AZ486" i="25"/>
  <c r="AZ535" i="25"/>
  <c r="BA535" i="25" s="1"/>
  <c r="AZ354" i="25"/>
  <c r="BA354" i="25" s="1"/>
  <c r="AZ532" i="25"/>
  <c r="BA532" i="25" s="1"/>
  <c r="AZ365" i="25"/>
  <c r="BA365" i="25" s="1"/>
  <c r="AZ582" i="25"/>
  <c r="BA582" i="25" s="1"/>
  <c r="AZ351" i="25"/>
  <c r="BA351" i="25" s="1"/>
  <c r="AZ506" i="25"/>
  <c r="AZ355" i="25"/>
  <c r="BA355" i="25" s="1"/>
  <c r="AZ397" i="25"/>
  <c r="BA397" i="25" s="1"/>
  <c r="AZ260" i="25"/>
  <c r="BA260" i="25" s="1"/>
  <c r="BE559" i="25"/>
  <c r="BG559" i="7" s="1"/>
  <c r="BA559" i="7" s="1"/>
  <c r="AZ573" i="25"/>
  <c r="AZ409" i="25"/>
  <c r="BA409" i="25" s="1"/>
  <c r="AZ462" i="25"/>
  <c r="BA462" i="25" s="1"/>
  <c r="AZ399" i="25"/>
  <c r="BA399" i="25" s="1"/>
  <c r="AZ105" i="25"/>
  <c r="AZ314" i="25"/>
  <c r="BA314" i="25" s="1"/>
  <c r="BD6" i="25"/>
  <c r="AT6" i="7"/>
  <c r="AU6" i="7" s="1"/>
  <c r="AV6" i="7" s="1"/>
  <c r="BE6" i="25"/>
  <c r="BG6" i="7" s="1"/>
  <c r="BA6" i="7" s="1"/>
  <c r="BA425" i="25"/>
  <c r="BD425" i="25" s="1"/>
  <c r="BA417" i="25"/>
  <c r="BA456" i="25"/>
  <c r="AZ259" i="25"/>
  <c r="BA259" i="25" s="1"/>
  <c r="AZ432" i="25"/>
  <c r="BA432" i="25" s="1"/>
  <c r="AZ540" i="25"/>
  <c r="AZ453" i="25"/>
  <c r="BA453" i="25" s="1"/>
  <c r="AZ548" i="25"/>
  <c r="AZ258" i="25"/>
  <c r="BD359" i="25"/>
  <c r="AZ449" i="25"/>
  <c r="BA449" i="25" s="1"/>
  <c r="AZ160" i="25"/>
  <c r="BA160" i="25" s="1"/>
  <c r="AZ557" i="25"/>
  <c r="BC557" i="25" s="1"/>
  <c r="BE557" i="25" s="1"/>
  <c r="BG557" i="7" s="1"/>
  <c r="BA557" i="7" s="1"/>
  <c r="BD557" i="7" s="1"/>
  <c r="AZ520" i="25"/>
  <c r="BA520" i="25" s="1"/>
  <c r="AZ552" i="25"/>
  <c r="AZ319" i="25"/>
  <c r="BA319" i="25" s="1"/>
  <c r="AZ553" i="25"/>
  <c r="BD268" i="25"/>
  <c r="AZ590" i="25"/>
  <c r="BA590" i="25" s="1"/>
  <c r="AZ470" i="25"/>
  <c r="BA470" i="25" s="1"/>
  <c r="AZ308" i="25"/>
  <c r="AZ497" i="25"/>
  <c r="BA497" i="25" s="1"/>
  <c r="BC424" i="25"/>
  <c r="AT424" i="7" s="1"/>
  <c r="AU424" i="7" s="1"/>
  <c r="AV424" i="7" s="1"/>
  <c r="BA424" i="25"/>
  <c r="AZ375" i="25"/>
  <c r="AU98" i="7"/>
  <c r="AV98" i="7" s="1"/>
  <c r="AZ368" i="25"/>
  <c r="AZ386" i="25"/>
  <c r="AZ458" i="25"/>
  <c r="BC532" i="25"/>
  <c r="AZ595" i="25"/>
  <c r="AZ25" i="25"/>
  <c r="AZ507" i="25"/>
  <c r="AZ446" i="25"/>
  <c r="BA224" i="25"/>
  <c r="AZ148" i="25"/>
  <c r="AZ380" i="25"/>
  <c r="AZ311" i="25"/>
  <c r="AZ324" i="25"/>
  <c r="AZ443" i="25"/>
  <c r="AZ299" i="25"/>
  <c r="AZ455" i="25"/>
  <c r="AZ302" i="25"/>
  <c r="AZ286" i="25"/>
  <c r="AZ451" i="25"/>
  <c r="AZ524" i="25"/>
  <c r="BA528" i="25"/>
  <c r="BA481" i="25"/>
  <c r="BC564" i="25"/>
  <c r="AT564" i="7" s="1"/>
  <c r="AU564" i="7" s="1"/>
  <c r="AV564" i="7" s="1"/>
  <c r="BA391" i="25"/>
  <c r="AZ332" i="25"/>
  <c r="AZ514" i="25"/>
  <c r="AZ413" i="25"/>
  <c r="AZ527" i="25"/>
  <c r="AZ589" i="25"/>
  <c r="AZ583" i="25"/>
  <c r="AZ436" i="25"/>
  <c r="AZ329" i="25"/>
  <c r="AZ513" i="25"/>
  <c r="BD265" i="25"/>
  <c r="AZ406" i="25"/>
  <c r="AZ291" i="25"/>
  <c r="AZ389" i="25"/>
  <c r="AZ468" i="25"/>
  <c r="BE422" i="25"/>
  <c r="BG422" i="7" s="1"/>
  <c r="BA422" i="7" s="1"/>
  <c r="AT418" i="7"/>
  <c r="AU418" i="7" s="1"/>
  <c r="AV418" i="7" s="1"/>
  <c r="AT585" i="7"/>
  <c r="AU585" i="7" s="1"/>
  <c r="AV585" i="7" s="1"/>
  <c r="AT422" i="7"/>
  <c r="AU422" i="7" s="1"/>
  <c r="AV422" i="7" s="1"/>
  <c r="BE64" i="25"/>
  <c r="BG64" i="7" s="1"/>
  <c r="BA64" i="7" s="1"/>
  <c r="AT196" i="7"/>
  <c r="AU196" i="7" s="1"/>
  <c r="AV196" i="7" s="1"/>
  <c r="BE104" i="25"/>
  <c r="BG104" i="7" s="1"/>
  <c r="BA104" i="7" s="1"/>
  <c r="BD104" i="7" s="1"/>
  <c r="AZ8" i="25"/>
  <c r="AZ33" i="25"/>
  <c r="BC33" i="25" s="1"/>
  <c r="BA564" i="25"/>
  <c r="BE592" i="25"/>
  <c r="BG592" i="7" s="1"/>
  <c r="BA592" i="7" s="1"/>
  <c r="BD592" i="7" s="1"/>
  <c r="AZ575" i="25"/>
  <c r="AZ135" i="25"/>
  <c r="AZ347" i="25"/>
  <c r="AZ473" i="25"/>
  <c r="AZ205" i="25"/>
  <c r="AZ318" i="25"/>
  <c r="AT592" i="7"/>
  <c r="AU592" i="7" s="1"/>
  <c r="AV592" i="7" s="1"/>
  <c r="AZ567" i="25"/>
  <c r="AZ569" i="25"/>
  <c r="AZ471" i="25"/>
  <c r="AZ230" i="25"/>
  <c r="AT420" i="7"/>
  <c r="AU420" i="7" s="1"/>
  <c r="AV420" i="7" s="1"/>
  <c r="AZ175" i="25"/>
  <c r="BC175" i="25" s="1"/>
  <c r="AZ280" i="25"/>
  <c r="AZ563" i="25"/>
  <c r="AZ157" i="25"/>
  <c r="BC157" i="25" s="1"/>
  <c r="AZ83" i="25"/>
  <c r="AZ452" i="25"/>
  <c r="AZ11" i="25"/>
  <c r="AZ320" i="25"/>
  <c r="AZ466" i="25"/>
  <c r="BC466" i="25" s="1"/>
  <c r="AZ188" i="25"/>
  <c r="AZ282" i="25"/>
  <c r="AZ367" i="25"/>
  <c r="BC367" i="25" s="1"/>
  <c r="AZ537" i="25"/>
  <c r="AZ542" i="25"/>
  <c r="AZ101" i="25"/>
  <c r="BC101" i="25" s="1"/>
  <c r="AT101" i="7" s="1"/>
  <c r="AZ152" i="25"/>
  <c r="BE360" i="25"/>
  <c r="BG360" i="7" s="1"/>
  <c r="BA360" i="7" s="1"/>
  <c r="BD360" i="7" s="1"/>
  <c r="AT360" i="7"/>
  <c r="AU360" i="7" s="1"/>
  <c r="AV360" i="7" s="1"/>
  <c r="AZ288" i="25"/>
  <c r="AZ118" i="25"/>
  <c r="AZ412" i="25"/>
  <c r="AZ511" i="25"/>
  <c r="BE268" i="25"/>
  <c r="BG268" i="7" s="1"/>
  <c r="BA268" i="7" s="1"/>
  <c r="BD268" i="7" s="1"/>
  <c r="AT268" i="7"/>
  <c r="AU268" i="7" s="1"/>
  <c r="AV268" i="7" s="1"/>
  <c r="BA433" i="25"/>
  <c r="AZ558" i="25"/>
  <c r="AZ189" i="25"/>
  <c r="AZ578" i="25"/>
  <c r="AZ289" i="25"/>
  <c r="AZ55" i="25"/>
  <c r="AZ430" i="25"/>
  <c r="AZ485" i="25"/>
  <c r="AZ192" i="25"/>
  <c r="BC192" i="25" s="1"/>
  <c r="AZ467" i="25"/>
  <c r="BC467" i="25" s="1"/>
  <c r="AZ313" i="25"/>
  <c r="AZ263" i="25"/>
  <c r="BC263" i="25" s="1"/>
  <c r="AZ90" i="25"/>
  <c r="AZ73" i="25"/>
  <c r="AZ240" i="25"/>
  <c r="AZ415" i="25"/>
  <c r="AZ555" i="25"/>
  <c r="AZ144" i="25"/>
  <c r="AZ116" i="25"/>
  <c r="AZ404" i="25"/>
  <c r="AZ493" i="25"/>
  <c r="AZ29" i="25"/>
  <c r="AZ44" i="25"/>
  <c r="AZ326" i="25"/>
  <c r="AZ498" i="25"/>
  <c r="AZ237" i="25"/>
  <c r="AZ488" i="25"/>
  <c r="AZ292" i="25"/>
  <c r="AZ81" i="25"/>
  <c r="AZ403" i="25"/>
  <c r="AZ185" i="25"/>
  <c r="BC185" i="25" s="1"/>
  <c r="AZ461" i="25"/>
  <c r="AZ36" i="25"/>
  <c r="AZ547" i="25"/>
  <c r="AZ402" i="25"/>
  <c r="AZ88" i="25"/>
  <c r="AZ323" i="25"/>
  <c r="AZ531" i="25"/>
  <c r="AZ208" i="25"/>
  <c r="AZ440" i="25"/>
  <c r="AZ346" i="25"/>
  <c r="AZ545" i="25"/>
  <c r="AZ267" i="25"/>
  <c r="AZ435" i="25"/>
  <c r="AZ336" i="25"/>
  <c r="AZ12" i="25"/>
  <c r="BC12" i="25" s="1"/>
  <c r="AZ544" i="25"/>
  <c r="AZ384" i="25"/>
  <c r="AZ227" i="25"/>
  <c r="BC227" i="25" s="1"/>
  <c r="AZ151" i="25"/>
  <c r="AZ85" i="25"/>
  <c r="AZ305" i="25"/>
  <c r="AZ106" i="25"/>
  <c r="AZ596" i="25"/>
  <c r="BC596" i="25" s="1"/>
  <c r="AZ574" i="25"/>
  <c r="AZ273" i="25"/>
  <c r="AZ356" i="25"/>
  <c r="AZ561" i="25"/>
  <c r="AZ439" i="25"/>
  <c r="BC439" i="25" s="1"/>
  <c r="AZ504" i="25"/>
  <c r="BC504" i="25" s="1"/>
  <c r="AZ41" i="25"/>
  <c r="AZ366" i="25"/>
  <c r="AZ97" i="25"/>
  <c r="AZ469" i="25"/>
  <c r="AZ591" i="25"/>
  <c r="BA591" i="25" s="1"/>
  <c r="AZ49" i="25"/>
  <c r="AZ181" i="25"/>
  <c r="BC181" i="25" s="1"/>
  <c r="AZ296" i="25"/>
  <c r="AZ274" i="25"/>
  <c r="AZ50" i="25"/>
  <c r="AZ137" i="25"/>
  <c r="AZ180" i="25"/>
  <c r="BC180" i="25" s="1"/>
  <c r="AZ501" i="25"/>
  <c r="BC501" i="25" s="1"/>
  <c r="AZ344" i="25"/>
  <c r="AZ401" i="25"/>
  <c r="AZ95" i="25"/>
  <c r="AZ222" i="25"/>
  <c r="AZ437" i="25"/>
  <c r="AZ593" i="25"/>
  <c r="AZ146" i="25"/>
  <c r="AZ571" i="25"/>
  <c r="AZ158" i="25"/>
  <c r="AZ373" i="25"/>
  <c r="AZ177" i="25"/>
  <c r="AZ191" i="25"/>
  <c r="AZ45" i="25"/>
  <c r="AZ276" i="25"/>
  <c r="AZ248" i="25"/>
  <c r="AZ216" i="25"/>
  <c r="AZ297" i="25"/>
  <c r="AZ102" i="25"/>
  <c r="AZ115" i="25"/>
  <c r="AZ108" i="25"/>
  <c r="AZ331" i="25"/>
  <c r="AZ541" i="25"/>
  <c r="AZ169" i="25"/>
  <c r="AZ255" i="25"/>
  <c r="AZ342" i="25"/>
  <c r="AZ163" i="25"/>
  <c r="AZ2" i="25"/>
  <c r="BC2" i="25" s="1"/>
  <c r="BE2" i="25" s="1"/>
  <c r="AZ58" i="25"/>
  <c r="BC58" i="25" s="1"/>
  <c r="AZ250" i="25"/>
  <c r="AZ322" i="25"/>
  <c r="AZ487" i="25"/>
  <c r="AZ396" i="25"/>
  <c r="AZ121" i="25"/>
  <c r="AZ129" i="25"/>
  <c r="AZ275" i="25"/>
  <c r="AZ20" i="25"/>
  <c r="AZ475" i="25"/>
  <c r="AZ233" i="25"/>
  <c r="BC233" i="25" s="1"/>
  <c r="AZ262" i="25"/>
  <c r="AZ217" i="25"/>
  <c r="AZ231" i="25"/>
  <c r="AZ364" i="25"/>
  <c r="BC364" i="25" s="1"/>
  <c r="AZ278" i="25"/>
  <c r="AZ17" i="25"/>
  <c r="AZ464" i="25"/>
  <c r="AZ457" i="25"/>
  <c r="AZ328" i="25"/>
  <c r="AZ126" i="25"/>
  <c r="AZ124" i="25"/>
  <c r="AZ594" i="25"/>
  <c r="AZ133" i="25"/>
  <c r="AZ166" i="25"/>
  <c r="AZ56" i="25"/>
  <c r="AZ30" i="25"/>
  <c r="AZ330" i="25"/>
  <c r="AZ225" i="25"/>
  <c r="AZ294" i="25"/>
  <c r="AZ416" i="25"/>
  <c r="AZ388" i="25"/>
  <c r="AZ161" i="25"/>
  <c r="AZ18" i="25"/>
  <c r="AZ431" i="25"/>
  <c r="AZ411" i="25"/>
  <c r="AZ379" i="25"/>
  <c r="AZ195" i="25"/>
  <c r="BC195" i="25" s="1"/>
  <c r="AZ37" i="25"/>
  <c r="AZ522" i="25"/>
  <c r="AZ78" i="25"/>
  <c r="AZ408" i="25"/>
  <c r="AZ441" i="25"/>
  <c r="BA441" i="25" s="1"/>
  <c r="AZ445" i="25"/>
  <c r="BC445" i="25" s="1"/>
  <c r="AZ54" i="25"/>
  <c r="AZ423" i="25"/>
  <c r="AZ149" i="25"/>
  <c r="AZ392" i="25"/>
  <c r="AZ525" i="25"/>
  <c r="AZ15" i="25"/>
  <c r="AZ107" i="25"/>
  <c r="AZ512" i="25"/>
  <c r="AZ207" i="25"/>
  <c r="AZ586" i="25"/>
  <c r="AZ110" i="25"/>
  <c r="AZ429" i="25"/>
  <c r="BC429" i="25" s="1"/>
  <c r="AZ536" i="25"/>
  <c r="BC536" i="25" s="1"/>
  <c r="AZ515" i="25"/>
  <c r="AZ221" i="25"/>
  <c r="AZ298" i="25"/>
  <c r="AZ14" i="25"/>
  <c r="AZ236" i="25"/>
  <c r="AZ550" i="25"/>
  <c r="AZ212" i="25"/>
  <c r="AZ103" i="25"/>
  <c r="BC103" i="25" s="1"/>
  <c r="AZ505" i="25"/>
  <c r="AZ546" i="25"/>
  <c r="AZ28" i="25"/>
  <c r="BC28" i="25" s="1"/>
  <c r="AZ290" i="25"/>
  <c r="AZ450" i="25"/>
  <c r="BC450" i="25" s="1"/>
  <c r="AZ510" i="25"/>
  <c r="BC510" i="25" s="1"/>
  <c r="AZ543" i="25"/>
  <c r="AZ281" i="25"/>
  <c r="AZ395" i="25"/>
  <c r="BC395" i="25" s="1"/>
  <c r="AZ502" i="25"/>
  <c r="BC502" i="25" s="1"/>
  <c r="AZ69" i="25"/>
  <c r="AZ463" i="25"/>
  <c r="BC463" i="25" s="1"/>
  <c r="AZ530" i="25"/>
  <c r="AZ503" i="25"/>
  <c r="AZ581" i="25"/>
  <c r="AZ472" i="25"/>
  <c r="BC472" i="25" s="1"/>
  <c r="AZ16" i="25"/>
  <c r="AZ405" i="25"/>
  <c r="AZ293" i="25"/>
  <c r="AZ229" i="25"/>
  <c r="BC229" i="25" s="1"/>
  <c r="AZ479" i="25"/>
  <c r="AZ266" i="25"/>
  <c r="BC266" i="25" s="1"/>
  <c r="AZ363" i="25"/>
  <c r="AZ77" i="25"/>
  <c r="AZ509" i="25"/>
  <c r="AZ576" i="25"/>
  <c r="AZ119" i="25"/>
  <c r="AZ394" i="25"/>
  <c r="AZ125" i="25"/>
  <c r="AZ10" i="25"/>
  <c r="AZ13" i="25"/>
  <c r="AZ70" i="25"/>
  <c r="AZ562" i="25"/>
  <c r="BC562" i="25" s="1"/>
  <c r="AZ349" i="25"/>
  <c r="AZ84" i="25"/>
  <c r="AZ43" i="25"/>
  <c r="AZ442" i="25"/>
  <c r="AZ38" i="25"/>
  <c r="BC38" i="25" s="1"/>
  <c r="AT38" i="7" s="1"/>
  <c r="AZ252" i="25"/>
  <c r="AZ529" i="25"/>
  <c r="BC529" i="25" s="1"/>
  <c r="AZ489" i="25"/>
  <c r="AZ327" i="25"/>
  <c r="AZ26" i="25"/>
  <c r="AZ226" i="25"/>
  <c r="AZ410" i="25"/>
  <c r="AZ270" i="25"/>
  <c r="AZ34" i="25"/>
  <c r="BC34" i="25" s="1"/>
  <c r="AT34" i="7" s="1"/>
  <c r="AZ256" i="25"/>
  <c r="AZ197" i="25"/>
  <c r="AZ549" i="25"/>
  <c r="AZ491" i="25"/>
  <c r="AZ254" i="25"/>
  <c r="AZ9" i="25"/>
  <c r="AZ150" i="25"/>
  <c r="AZ79" i="25"/>
  <c r="AZ387" i="25"/>
  <c r="AZ35" i="25"/>
  <c r="AZ378" i="25"/>
  <c r="AZ123" i="25"/>
  <c r="AZ190" i="25"/>
  <c r="AZ173" i="25"/>
  <c r="BC173" i="25" s="1"/>
  <c r="AZ76" i="25"/>
  <c r="AZ588" i="25"/>
  <c r="AZ80" i="25"/>
  <c r="AZ139" i="25"/>
  <c r="AZ374" i="25"/>
  <c r="AZ556" i="25"/>
  <c r="AZ465" i="25"/>
  <c r="BC465" i="25" s="1"/>
  <c r="AZ113" i="25"/>
  <c r="AZ301" i="25"/>
  <c r="AZ210" i="25"/>
  <c r="AZ580" i="25"/>
  <c r="AZ371" i="25"/>
  <c r="AZ168" i="25"/>
  <c r="BC168" i="25" s="1"/>
  <c r="AZ454" i="25"/>
  <c r="AZ52" i="25"/>
  <c r="AZ350" i="25"/>
  <c r="AZ533" i="25"/>
  <c r="BC533" i="25" s="1"/>
  <c r="AZ82" i="25"/>
  <c r="AZ62" i="25"/>
  <c r="AZ518" i="25"/>
  <c r="AZ171" i="25"/>
  <c r="BC171" i="25" s="1"/>
  <c r="AZ295" i="25"/>
  <c r="AZ554" i="25"/>
  <c r="AZ560" i="25"/>
  <c r="AZ357" i="25"/>
  <c r="AZ321" i="25"/>
  <c r="AZ500" i="25"/>
  <c r="AZ303" i="25"/>
  <c r="AZ59" i="25"/>
  <c r="AZ348" i="25"/>
  <c r="AZ100" i="25"/>
  <c r="AZ306" i="25"/>
  <c r="AZ165" i="25"/>
  <c r="AZ448" i="25"/>
  <c r="AZ398" i="25"/>
  <c r="AZ220" i="25"/>
  <c r="AZ109" i="25"/>
  <c r="AZ249" i="25"/>
  <c r="AZ206" i="25"/>
  <c r="AZ584" i="25"/>
  <c r="AZ283" i="25"/>
  <c r="AZ400" i="25"/>
  <c r="AZ174" i="25"/>
  <c r="AZ385" i="25"/>
  <c r="AZ198" i="25"/>
  <c r="BA480" i="25"/>
  <c r="AZ300" i="25"/>
  <c r="AZ91" i="25"/>
  <c r="AZ381" i="25"/>
  <c r="AZ134" i="25"/>
  <c r="AZ444" i="25"/>
  <c r="AZ459" i="25"/>
  <c r="AZ343" i="25"/>
  <c r="AZ484" i="25"/>
  <c r="AZ285" i="25"/>
  <c r="AZ93" i="25"/>
  <c r="AT421" i="7"/>
  <c r="AU421" i="7" s="1"/>
  <c r="AV421" i="7" s="1"/>
  <c r="BE202" i="25"/>
  <c r="BG202" i="7" s="1"/>
  <c r="BA202" i="7" s="1"/>
  <c r="AT200" i="7"/>
  <c r="AU200" i="7" s="1"/>
  <c r="AV200" i="7" s="1"/>
  <c r="BE203" i="25"/>
  <c r="BG203" i="7" s="1"/>
  <c r="BA203" i="7" s="1"/>
  <c r="AT5" i="7"/>
  <c r="BA5" i="25"/>
  <c r="BD5" i="25" s="1"/>
  <c r="BA213" i="25"/>
  <c r="BA529" i="25"/>
  <c r="BG566" i="7"/>
  <c r="BA566" i="7" s="1"/>
  <c r="BG98" i="7"/>
  <c r="BA98" i="7" s="1"/>
  <c r="BE264" i="25"/>
  <c r="AT264" i="7"/>
  <c r="AU264" i="7" s="1"/>
  <c r="AV264" i="7" s="1"/>
  <c r="BE587" i="25"/>
  <c r="AT587" i="7"/>
  <c r="BA234" i="25"/>
  <c r="BD234" i="25" s="1"/>
  <c r="BA476" i="25"/>
  <c r="BD427" i="7"/>
  <c r="BE425" i="25"/>
  <c r="AT425" i="7"/>
  <c r="AU265" i="7"/>
  <c r="AV265" i="7" s="1"/>
  <c r="BA495" i="25"/>
  <c r="BA99" i="25"/>
  <c r="BA140" i="25"/>
  <c r="BE265" i="25"/>
  <c r="BA31" i="25"/>
  <c r="BD31" i="25" s="1"/>
  <c r="BA390" i="25"/>
  <c r="BA204" i="25"/>
  <c r="BA565" i="25"/>
  <c r="BA178" i="25"/>
  <c r="BA307" i="25"/>
  <c r="BA474" i="25"/>
  <c r="BA362" i="25"/>
  <c r="BA66" i="25"/>
  <c r="BA61" i="25"/>
  <c r="BA538" i="25"/>
  <c r="BA551" i="25"/>
  <c r="BA579" i="25"/>
  <c r="BA460" i="25"/>
  <c r="BE424" i="25" l="1"/>
  <c r="BG424" i="7" s="1"/>
  <c r="BA424" i="7" s="1"/>
  <c r="BD424" i="7" s="1"/>
  <c r="AT456" i="7"/>
  <c r="BE456" i="25"/>
  <c r="AT272" i="7"/>
  <c r="AU272" i="7" s="1"/>
  <c r="AV272" i="7" s="1"/>
  <c r="BC100" i="25"/>
  <c r="BC554" i="25"/>
  <c r="BE272" i="25"/>
  <c r="BG272" i="7" s="1"/>
  <c r="BA272" i="7" s="1"/>
  <c r="BE420" i="25"/>
  <c r="BG420" i="7" s="1"/>
  <c r="BA420" i="7" s="1"/>
  <c r="BD529" i="25"/>
  <c r="BE60" i="25"/>
  <c r="BG60" i="7" s="1"/>
  <c r="BA60" i="7" s="1"/>
  <c r="BD60" i="7" s="1"/>
  <c r="BE433" i="25"/>
  <c r="BG433" i="7" s="1"/>
  <c r="BA433" i="7" s="1"/>
  <c r="AT433" i="7"/>
  <c r="AU433" i="7" s="1"/>
  <c r="AV433" i="7" s="1"/>
  <c r="BD362" i="25"/>
  <c r="BE194" i="25"/>
  <c r="BG194" i="7" s="1"/>
  <c r="BA194" i="7" s="1"/>
  <c r="BD194" i="7" s="1"/>
  <c r="BC174" i="25"/>
  <c r="BE174" i="25" s="1"/>
  <c r="BG174" i="7" s="1"/>
  <c r="BA174" i="7" s="1"/>
  <c r="BC254" i="25"/>
  <c r="BD433" i="25"/>
  <c r="BD39" i="25"/>
  <c r="BC459" i="25"/>
  <c r="BC384" i="25"/>
  <c r="BE96" i="25"/>
  <c r="BG96" i="7" s="1"/>
  <c r="BA96" i="7" s="1"/>
  <c r="BC11" i="25"/>
  <c r="BC473" i="25"/>
  <c r="AT559" i="7"/>
  <c r="AU559" i="7" s="1"/>
  <c r="AV559" i="7" s="1"/>
  <c r="AT566" i="7"/>
  <c r="AU566" i="7" s="1"/>
  <c r="AV566" i="7" s="1"/>
  <c r="AT359" i="7"/>
  <c r="AU359" i="7" s="1"/>
  <c r="AV359" i="7" s="1"/>
  <c r="BD194" i="25"/>
  <c r="BD566" i="25"/>
  <c r="BC503" i="25"/>
  <c r="BC430" i="25"/>
  <c r="AT96" i="7"/>
  <c r="AU96" i="7" s="1"/>
  <c r="AV96" i="7" s="1"/>
  <c r="BC188" i="25"/>
  <c r="AT7" i="7"/>
  <c r="AU7" i="7" s="1"/>
  <c r="AV7" i="7" s="1"/>
  <c r="BC552" i="25"/>
  <c r="BD456" i="25"/>
  <c r="AT39" i="7"/>
  <c r="AU39" i="7" s="1"/>
  <c r="AV39" i="7" s="1"/>
  <c r="BD7" i="25"/>
  <c r="BC508" i="25"/>
  <c r="BC365" i="25"/>
  <c r="AT365" i="7" s="1"/>
  <c r="AU365" i="7" s="1"/>
  <c r="AV365" i="7" s="1"/>
  <c r="AT170" i="7"/>
  <c r="AU170" i="7" s="1"/>
  <c r="AV170" i="7" s="1"/>
  <c r="BC438" i="25"/>
  <c r="AT438" i="7" s="1"/>
  <c r="AU438" i="7" s="1"/>
  <c r="AV438" i="7" s="1"/>
  <c r="BC397" i="25"/>
  <c r="BD361" i="25"/>
  <c r="BE361" i="25"/>
  <c r="BG361" i="7" s="1"/>
  <c r="BA361" i="7" s="1"/>
  <c r="AT361" i="7"/>
  <c r="BE421" i="25"/>
  <c r="BG421" i="7" s="1"/>
  <c r="BA421" i="7" s="1"/>
  <c r="BC490" i="25"/>
  <c r="AT490" i="7" s="1"/>
  <c r="AU490" i="7" s="1"/>
  <c r="AV490" i="7" s="1"/>
  <c r="BD565" i="25"/>
  <c r="BC535" i="25"/>
  <c r="BE535" i="25" s="1"/>
  <c r="BG535" i="7" s="1"/>
  <c r="BA535" i="7" s="1"/>
  <c r="BD535" i="7" s="1"/>
  <c r="BC506" i="25"/>
  <c r="AT506" i="7" s="1"/>
  <c r="AU506" i="7" s="1"/>
  <c r="AV506" i="7" s="1"/>
  <c r="BE417" i="25"/>
  <c r="BG417" i="7" s="1"/>
  <c r="BA417" i="7" s="1"/>
  <c r="AT417" i="7"/>
  <c r="AU417" i="7" s="1"/>
  <c r="AV417" i="7" s="1"/>
  <c r="BD120" i="25"/>
  <c r="BE120" i="25"/>
  <c r="BG120" i="7" s="1"/>
  <c r="BA120" i="7" s="1"/>
  <c r="BD120" i="7" s="1"/>
  <c r="AT120" i="7"/>
  <c r="AU120" i="7" s="1"/>
  <c r="AV120" i="7" s="1"/>
  <c r="S12" i="14"/>
  <c r="X244" i="7"/>
  <c r="X243" i="7"/>
  <c r="X245" i="7"/>
  <c r="X252" i="7"/>
  <c r="X260" i="7"/>
  <c r="X237" i="7"/>
  <c r="X239" i="7"/>
  <c r="X240" i="7"/>
  <c r="X238" i="7"/>
  <c r="X248" i="7"/>
  <c r="X247" i="7"/>
  <c r="X235" i="7"/>
  <c r="X225" i="7"/>
  <c r="X251" i="7"/>
  <c r="X256" i="7"/>
  <c r="X236" i="7"/>
  <c r="X259" i="7"/>
  <c r="X249" i="7"/>
  <c r="X250" i="7"/>
  <c r="X242" i="7"/>
  <c r="X241" i="7"/>
  <c r="Y290" i="7"/>
  <c r="BB290" i="25" s="1"/>
  <c r="BC290" i="25" s="1"/>
  <c r="AT290" i="7" s="1"/>
  <c r="AU290" i="7" s="1"/>
  <c r="AV290" i="7" s="1"/>
  <c r="AZ290" i="7"/>
  <c r="AX290" i="7"/>
  <c r="Y286" i="7"/>
  <c r="BB286" i="25" s="1"/>
  <c r="BC286" i="25" s="1"/>
  <c r="AZ286" i="7"/>
  <c r="AX286" i="7"/>
  <c r="Y293" i="7"/>
  <c r="BB293" i="25" s="1"/>
  <c r="BC293" i="25" s="1"/>
  <c r="BE293" i="25" s="1"/>
  <c r="AZ293" i="7"/>
  <c r="AX293" i="7"/>
  <c r="BD32" i="25"/>
  <c r="BE32" i="25"/>
  <c r="BG32" i="7" s="1"/>
  <c r="BA32" i="7" s="1"/>
  <c r="BE246" i="25"/>
  <c r="BG246" i="7" s="1"/>
  <c r="BA246" i="7" s="1"/>
  <c r="AT246" i="7"/>
  <c r="AU246" i="7" s="1"/>
  <c r="AV246" i="7" s="1"/>
  <c r="BE167" i="25"/>
  <c r="BG167" i="7" s="1"/>
  <c r="BA167" i="7" s="1"/>
  <c r="AT167" i="7"/>
  <c r="AU167" i="7" s="1"/>
  <c r="AV167" i="7" s="1"/>
  <c r="Y589" i="7"/>
  <c r="BB589" i="25" s="1"/>
  <c r="BC589" i="25" s="1"/>
  <c r="AZ589" i="7"/>
  <c r="BD271" i="25"/>
  <c r="BE271" i="25"/>
  <c r="BG271" i="7" s="1"/>
  <c r="BA271" i="7" s="1"/>
  <c r="BD64" i="25"/>
  <c r="AT64" i="7"/>
  <c r="AU64" i="7" s="1"/>
  <c r="AV64" i="7" s="1"/>
  <c r="Y17" i="7"/>
  <c r="BB17" i="25" s="1"/>
  <c r="BC17" i="25" s="1"/>
  <c r="AT17" i="7" s="1"/>
  <c r="AU17" i="7" s="1"/>
  <c r="AV17" i="7" s="1"/>
  <c r="AZ17" i="7"/>
  <c r="Y8" i="7"/>
  <c r="BB8" i="25" s="1"/>
  <c r="BC8" i="25" s="1"/>
  <c r="AZ8" i="7"/>
  <c r="Y22" i="7"/>
  <c r="BB22" i="25" s="1"/>
  <c r="BC22" i="25" s="1"/>
  <c r="AZ22" i="7"/>
  <c r="Y15" i="7"/>
  <c r="BB15" i="25" s="1"/>
  <c r="BC15" i="25" s="1"/>
  <c r="BE15" i="25" s="1"/>
  <c r="AZ15" i="7"/>
  <c r="Y323" i="7"/>
  <c r="BB323" i="25" s="1"/>
  <c r="BC323" i="25" s="1"/>
  <c r="AT323" i="7" s="1"/>
  <c r="AX323" i="7"/>
  <c r="AZ323" i="7"/>
  <c r="Y343" i="7"/>
  <c r="BB343" i="25" s="1"/>
  <c r="AX343" i="7"/>
  <c r="AZ343" i="7"/>
  <c r="Y348" i="7"/>
  <c r="BB348" i="25" s="1"/>
  <c r="BC348" i="25" s="1"/>
  <c r="AZ348" i="7"/>
  <c r="AX348" i="7"/>
  <c r="Y320" i="7"/>
  <c r="BB320" i="25" s="1"/>
  <c r="BC320" i="25" s="1"/>
  <c r="AT320" i="7" s="1"/>
  <c r="AZ320" i="7"/>
  <c r="AX320" i="7"/>
  <c r="BE4" i="25"/>
  <c r="BG4" i="7" s="1"/>
  <c r="BA4" i="7" s="1"/>
  <c r="BD4" i="7" s="1"/>
  <c r="AT4" i="7"/>
  <c r="AU4" i="7" s="1"/>
  <c r="AV4" i="7" s="1"/>
  <c r="BD4" i="25"/>
  <c r="Y125" i="7"/>
  <c r="BB125" i="25" s="1"/>
  <c r="AZ125" i="7"/>
  <c r="AX125" i="7"/>
  <c r="Y149" i="7"/>
  <c r="BB149" i="25" s="1"/>
  <c r="BC149" i="25" s="1"/>
  <c r="AT149" i="7" s="1"/>
  <c r="AU149" i="7" s="1"/>
  <c r="AV149" i="7" s="1"/>
  <c r="AZ149" i="7"/>
  <c r="AX149" i="7"/>
  <c r="Y126" i="7"/>
  <c r="BB126" i="25" s="1"/>
  <c r="BC126" i="25" s="1"/>
  <c r="AT126" i="7" s="1"/>
  <c r="AX126" i="7"/>
  <c r="AZ126" i="7"/>
  <c r="Y122" i="7"/>
  <c r="BB122" i="25" s="1"/>
  <c r="BC122" i="25" s="1"/>
  <c r="AZ122" i="7"/>
  <c r="AX122" i="7"/>
  <c r="S16" i="14"/>
  <c r="X391" i="7"/>
  <c r="X373" i="7"/>
  <c r="X375" i="7"/>
  <c r="X372" i="7"/>
  <c r="X388" i="7"/>
  <c r="X381" i="7"/>
  <c r="X376" i="7"/>
  <c r="X382" i="7"/>
  <c r="X369" i="7"/>
  <c r="X385" i="7"/>
  <c r="X371" i="7"/>
  <c r="X390" i="7"/>
  <c r="X380" i="7"/>
  <c r="X374" i="7"/>
  <c r="X370" i="7"/>
  <c r="X368" i="7"/>
  <c r="X358" i="7"/>
  <c r="X383" i="7"/>
  <c r="X392" i="7"/>
  <c r="X378" i="7"/>
  <c r="X379" i="7"/>
  <c r="X377" i="7"/>
  <c r="X387" i="7"/>
  <c r="BD202" i="25"/>
  <c r="AT202" i="7"/>
  <c r="AU202" i="7" s="1"/>
  <c r="AV202" i="7" s="1"/>
  <c r="BE496" i="25"/>
  <c r="BG496" i="7" s="1"/>
  <c r="BA496" i="7" s="1"/>
  <c r="BD496" i="7" s="1"/>
  <c r="AT496" i="7"/>
  <c r="AU496" i="7" s="1"/>
  <c r="AV496" i="7" s="1"/>
  <c r="BD534" i="25"/>
  <c r="BE534" i="25"/>
  <c r="BG534" i="7" s="1"/>
  <c r="BA534" i="7" s="1"/>
  <c r="AT534" i="7"/>
  <c r="AU534" i="7" s="1"/>
  <c r="AV534" i="7" s="1"/>
  <c r="AT182" i="7"/>
  <c r="AU182" i="7" s="1"/>
  <c r="AV182" i="7" s="1"/>
  <c r="BD182" i="25"/>
  <c r="BE182" i="25"/>
  <c r="BG182" i="7" s="1"/>
  <c r="BA182" i="7" s="1"/>
  <c r="Y512" i="7"/>
  <c r="BB512" i="25" s="1"/>
  <c r="BC512" i="25" s="1"/>
  <c r="AT512" i="7" s="1"/>
  <c r="AZ512" i="7"/>
  <c r="Y526" i="7"/>
  <c r="BB526" i="25" s="1"/>
  <c r="BC526" i="25" s="1"/>
  <c r="AZ526" i="7"/>
  <c r="Y493" i="7"/>
  <c r="BB493" i="25" s="1"/>
  <c r="BC493" i="25" s="1"/>
  <c r="AT493" i="7" s="1"/>
  <c r="AZ493" i="7"/>
  <c r="Y518" i="7"/>
  <c r="BB518" i="25" s="1"/>
  <c r="AZ518" i="7"/>
  <c r="Y523" i="7"/>
  <c r="BB523" i="25" s="1"/>
  <c r="BC523" i="25" s="1"/>
  <c r="AZ523" i="7"/>
  <c r="Y70" i="7"/>
  <c r="BB70" i="25" s="1"/>
  <c r="BC70" i="25" s="1"/>
  <c r="AZ70" i="7"/>
  <c r="AX70" i="7"/>
  <c r="Y94" i="7"/>
  <c r="BB94" i="25" s="1"/>
  <c r="BC94" i="25" s="1"/>
  <c r="AZ94" i="7"/>
  <c r="AX94" i="7"/>
  <c r="Y91" i="7"/>
  <c r="BB91" i="25" s="1"/>
  <c r="BC91" i="25" s="1"/>
  <c r="AT91" i="7" s="1"/>
  <c r="AZ91" i="7"/>
  <c r="AX91" i="7"/>
  <c r="BE427" i="25"/>
  <c r="BG427" i="7" s="1"/>
  <c r="BA427" i="7" s="1"/>
  <c r="BD427" i="25"/>
  <c r="AT427" i="7"/>
  <c r="AU427" i="7" s="1"/>
  <c r="AV427" i="7" s="1"/>
  <c r="Y575" i="7"/>
  <c r="BB575" i="25" s="1"/>
  <c r="BC575" i="25" s="1"/>
  <c r="AZ575" i="7"/>
  <c r="Y577" i="7"/>
  <c r="BB577" i="25" s="1"/>
  <c r="BC577" i="25" s="1"/>
  <c r="BE577" i="25" s="1"/>
  <c r="BG577" i="7" s="1"/>
  <c r="BA577" i="7" s="1"/>
  <c r="BD577" i="7" s="1"/>
  <c r="AZ577" i="7"/>
  <c r="Y580" i="7"/>
  <c r="BB580" i="25" s="1"/>
  <c r="AZ580" i="7"/>
  <c r="Y576" i="7"/>
  <c r="BB576" i="25" s="1"/>
  <c r="BC576" i="25" s="1"/>
  <c r="BE576" i="25" s="1"/>
  <c r="BG576" i="7" s="1"/>
  <c r="BA576" i="7" s="1"/>
  <c r="AZ576" i="7"/>
  <c r="Y282" i="7"/>
  <c r="BB282" i="25" s="1"/>
  <c r="BC282" i="25" s="1"/>
  <c r="AT282" i="7" s="1"/>
  <c r="AZ282" i="7"/>
  <c r="Y275" i="7"/>
  <c r="BB275" i="25" s="1"/>
  <c r="BC275" i="25" s="1"/>
  <c r="BE275" i="25" s="1"/>
  <c r="AZ275" i="7"/>
  <c r="Y274" i="7"/>
  <c r="BB274" i="25" s="1"/>
  <c r="AZ274" i="7"/>
  <c r="Y85" i="7"/>
  <c r="BB85" i="25" s="1"/>
  <c r="BC85" i="25" s="1"/>
  <c r="AT85" i="7" s="1"/>
  <c r="AZ85" i="7"/>
  <c r="Y77" i="7"/>
  <c r="BB77" i="25" s="1"/>
  <c r="BC77" i="25" s="1"/>
  <c r="AZ77" i="7"/>
  <c r="Y78" i="7"/>
  <c r="BB78" i="25" s="1"/>
  <c r="BC78" i="25" s="1"/>
  <c r="BE78" i="25" s="1"/>
  <c r="BG78" i="7" s="1"/>
  <c r="BA78" i="7" s="1"/>
  <c r="AZ78" i="7"/>
  <c r="Y90" i="7"/>
  <c r="BB90" i="25" s="1"/>
  <c r="BC90" i="25" s="1"/>
  <c r="AZ90" i="7"/>
  <c r="Y208" i="7"/>
  <c r="BB208" i="25" s="1"/>
  <c r="BC208" i="25" s="1"/>
  <c r="AT208" i="7" s="1"/>
  <c r="AU208" i="7" s="1"/>
  <c r="AV208" i="7" s="1"/>
  <c r="AZ208" i="7"/>
  <c r="Y205" i="7"/>
  <c r="BB205" i="25" s="1"/>
  <c r="BC205" i="25" s="1"/>
  <c r="AZ205" i="7"/>
  <c r="Y210" i="7"/>
  <c r="BB210" i="25" s="1"/>
  <c r="BC210" i="25" s="1"/>
  <c r="AT210" i="7" s="1"/>
  <c r="AU210" i="7" s="1"/>
  <c r="AV210" i="7" s="1"/>
  <c r="AZ210" i="7"/>
  <c r="Y206" i="7"/>
  <c r="BB206" i="25" s="1"/>
  <c r="BC206" i="25" s="1"/>
  <c r="BE206" i="25" s="1"/>
  <c r="BG206" i="7" s="1"/>
  <c r="BA206" i="7" s="1"/>
  <c r="AZ206" i="7"/>
  <c r="Y191" i="7"/>
  <c r="BB191" i="25" s="1"/>
  <c r="BC191" i="25" s="1"/>
  <c r="AZ191" i="7"/>
  <c r="Y346" i="7"/>
  <c r="BB346" i="25" s="1"/>
  <c r="BC346" i="25" s="1"/>
  <c r="AT346" i="7" s="1"/>
  <c r="AU346" i="7" s="1"/>
  <c r="AV346" i="7" s="1"/>
  <c r="AZ346" i="7"/>
  <c r="Y335" i="7"/>
  <c r="BB335" i="25" s="1"/>
  <c r="BC335" i="25" s="1"/>
  <c r="AZ335" i="7"/>
  <c r="Y337" i="7"/>
  <c r="BB337" i="25" s="1"/>
  <c r="BC337" i="25" s="1"/>
  <c r="BD337" i="25" s="1"/>
  <c r="AZ337" i="7"/>
  <c r="Y336" i="7"/>
  <c r="BB336" i="25" s="1"/>
  <c r="BC336" i="25" s="1"/>
  <c r="AZ336" i="7"/>
  <c r="Y331" i="7"/>
  <c r="BB331" i="25" s="1"/>
  <c r="AZ331" i="7"/>
  <c r="Y347" i="7"/>
  <c r="BB347" i="25" s="1"/>
  <c r="BC347" i="25" s="1"/>
  <c r="BE347" i="25" s="1"/>
  <c r="AZ347" i="7"/>
  <c r="Y150" i="7"/>
  <c r="BB150" i="25" s="1"/>
  <c r="BC150" i="25" s="1"/>
  <c r="AZ150" i="7"/>
  <c r="Y136" i="7"/>
  <c r="BB136" i="25" s="1"/>
  <c r="BC136" i="25" s="1"/>
  <c r="AZ136" i="7"/>
  <c r="Y144" i="7"/>
  <c r="BB144" i="25" s="1"/>
  <c r="BC144" i="25" s="1"/>
  <c r="AT144" i="7" s="1"/>
  <c r="AZ144" i="7"/>
  <c r="Y139" i="7"/>
  <c r="BB139" i="25" s="1"/>
  <c r="BC139" i="25" s="1"/>
  <c r="AZ139" i="7"/>
  <c r="Y133" i="7"/>
  <c r="BB133" i="25" s="1"/>
  <c r="AZ133" i="7"/>
  <c r="BD176" i="25"/>
  <c r="BE176" i="25"/>
  <c r="BG176" i="7" s="1"/>
  <c r="BA176" i="7" s="1"/>
  <c r="AT176" i="7"/>
  <c r="AU176" i="7" s="1"/>
  <c r="AV176" i="7" s="1"/>
  <c r="BE159" i="25"/>
  <c r="BG159" i="7" s="1"/>
  <c r="BA159" i="7" s="1"/>
  <c r="AT159" i="7"/>
  <c r="AU159" i="7" s="1"/>
  <c r="AV159" i="7" s="1"/>
  <c r="BD159" i="25"/>
  <c r="Y309" i="7"/>
  <c r="BB309" i="25" s="1"/>
  <c r="BC309" i="25" s="1"/>
  <c r="AX309" i="7"/>
  <c r="AZ309" i="7"/>
  <c r="Y288" i="7"/>
  <c r="BB288" i="25" s="1"/>
  <c r="AX288" i="7"/>
  <c r="AZ288" i="7"/>
  <c r="Y287" i="7"/>
  <c r="BB287" i="25" s="1"/>
  <c r="BC287" i="25" s="1"/>
  <c r="AZ287" i="7"/>
  <c r="AX287" i="7"/>
  <c r="BD253" i="25"/>
  <c r="BE253" i="25"/>
  <c r="BG253" i="7" s="1"/>
  <c r="BA253" i="7" s="1"/>
  <c r="BD253" i="7" s="1"/>
  <c r="AT253" i="7"/>
  <c r="AU253" i="7" s="1"/>
  <c r="AV253" i="7" s="1"/>
  <c r="BD167" i="25"/>
  <c r="BD568" i="25"/>
  <c r="AT568" i="7"/>
  <c r="AU568" i="7" s="1"/>
  <c r="AV568" i="7" s="1"/>
  <c r="BE568" i="25"/>
  <c r="BG568" i="7" s="1"/>
  <c r="BA568" i="7" s="1"/>
  <c r="X411" i="7"/>
  <c r="X415" i="7"/>
  <c r="X410" i="7"/>
  <c r="X402" i="7"/>
  <c r="X403" i="7"/>
  <c r="X412" i="7"/>
  <c r="X407" i="7"/>
  <c r="X408" i="7"/>
  <c r="X414" i="7"/>
  <c r="X393" i="7"/>
  <c r="X419" i="7"/>
  <c r="X423" i="7"/>
  <c r="X409" i="7"/>
  <c r="X404" i="7"/>
  <c r="X413" i="7"/>
  <c r="X406" i="7"/>
  <c r="X405" i="7"/>
  <c r="S17" i="14"/>
  <c r="Y16" i="7"/>
  <c r="BB16" i="25" s="1"/>
  <c r="BC16" i="25" s="1"/>
  <c r="AT16" i="7" s="1"/>
  <c r="AZ16" i="7"/>
  <c r="Y24" i="7"/>
  <c r="BB24" i="25" s="1"/>
  <c r="BC24" i="25" s="1"/>
  <c r="AZ24" i="7"/>
  <c r="Y19" i="7"/>
  <c r="BB19" i="25" s="1"/>
  <c r="BC19" i="25" s="1"/>
  <c r="AZ19" i="7"/>
  <c r="Y23" i="7"/>
  <c r="BB23" i="25" s="1"/>
  <c r="BC23" i="25" s="1"/>
  <c r="AZ23" i="7"/>
  <c r="Y21" i="7"/>
  <c r="BB21" i="25" s="1"/>
  <c r="BC21" i="25" s="1"/>
  <c r="AZ21" i="7"/>
  <c r="Y322" i="7"/>
  <c r="BB322" i="25" s="1"/>
  <c r="BC322" i="25" s="1"/>
  <c r="AX322" i="7"/>
  <c r="AZ322" i="7"/>
  <c r="Y327" i="7"/>
  <c r="BB327" i="25" s="1"/>
  <c r="BC327" i="25" s="1"/>
  <c r="AZ327" i="7"/>
  <c r="AX327" i="7"/>
  <c r="Y321" i="7"/>
  <c r="BB321" i="25" s="1"/>
  <c r="BC321" i="25" s="1"/>
  <c r="BE321" i="25" s="1"/>
  <c r="BG321" i="7" s="1"/>
  <c r="BA321" i="7" s="1"/>
  <c r="BD321" i="7" s="1"/>
  <c r="AX321" i="7"/>
  <c r="AZ321" i="7"/>
  <c r="Y326" i="7"/>
  <c r="BB326" i="25" s="1"/>
  <c r="BC326" i="25" s="1"/>
  <c r="AT326" i="7" s="1"/>
  <c r="AX326" i="7"/>
  <c r="AZ326" i="7"/>
  <c r="Y315" i="7"/>
  <c r="BB315" i="25" s="1"/>
  <c r="BC315" i="25" s="1"/>
  <c r="AZ315" i="7"/>
  <c r="AX315" i="7"/>
  <c r="BD164" i="25"/>
  <c r="BE164" i="25"/>
  <c r="BG164" i="7" s="1"/>
  <c r="BA164" i="7" s="1"/>
  <c r="AT164" i="7"/>
  <c r="AU164" i="7" s="1"/>
  <c r="AV164" i="7" s="1"/>
  <c r="Y128" i="7"/>
  <c r="BB128" i="25" s="1"/>
  <c r="BC128" i="25" s="1"/>
  <c r="AZ128" i="7"/>
  <c r="AX128" i="7"/>
  <c r="Y123" i="7"/>
  <c r="BB123" i="25" s="1"/>
  <c r="AX123" i="7"/>
  <c r="AZ123" i="7"/>
  <c r="Y153" i="7"/>
  <c r="BB153" i="25" s="1"/>
  <c r="BC153" i="25" s="1"/>
  <c r="AX153" i="7"/>
  <c r="AZ153" i="7"/>
  <c r="Y148" i="7"/>
  <c r="BB148" i="25" s="1"/>
  <c r="AX148" i="7"/>
  <c r="AZ148" i="7"/>
  <c r="BD228" i="25"/>
  <c r="AT228" i="7"/>
  <c r="AU228" i="7" s="1"/>
  <c r="AV228" i="7" s="1"/>
  <c r="BE228" i="25"/>
  <c r="BG228" i="7" s="1"/>
  <c r="BA228" i="7" s="1"/>
  <c r="BD228" i="7" s="1"/>
  <c r="BE447" i="25"/>
  <c r="BG447" i="7" s="1"/>
  <c r="BA447" i="7" s="1"/>
  <c r="AT447" i="7"/>
  <c r="AU447" i="7" s="1"/>
  <c r="AV447" i="7" s="1"/>
  <c r="BE499" i="25"/>
  <c r="BG499" i="7" s="1"/>
  <c r="BA499" i="7" s="1"/>
  <c r="AT499" i="7"/>
  <c r="AU499" i="7" s="1"/>
  <c r="AV499" i="7" s="1"/>
  <c r="Y524" i="7"/>
  <c r="BB524" i="25" s="1"/>
  <c r="AZ524" i="7"/>
  <c r="Y516" i="7"/>
  <c r="BB516" i="25" s="1"/>
  <c r="BC516" i="25" s="1"/>
  <c r="AZ516" i="7"/>
  <c r="Y494" i="7"/>
  <c r="BB494" i="25" s="1"/>
  <c r="BC494" i="25" s="1"/>
  <c r="AZ494" i="7"/>
  <c r="Y519" i="7"/>
  <c r="BB519" i="25" s="1"/>
  <c r="BC519" i="25" s="1"/>
  <c r="AZ519" i="7"/>
  <c r="Y495" i="7"/>
  <c r="BB495" i="25" s="1"/>
  <c r="BC495" i="25" s="1"/>
  <c r="BD495" i="25" s="1"/>
  <c r="AZ495" i="7"/>
  <c r="Y68" i="7"/>
  <c r="BB68" i="25" s="1"/>
  <c r="BC68" i="25" s="1"/>
  <c r="AZ68" i="7"/>
  <c r="AX68" i="7"/>
  <c r="Y66" i="7"/>
  <c r="BB66" i="25" s="1"/>
  <c r="BC66" i="25" s="1"/>
  <c r="BD66" i="25" s="1"/>
  <c r="AZ66" i="7"/>
  <c r="AX66" i="7"/>
  <c r="Y71" i="7"/>
  <c r="BB71" i="25" s="1"/>
  <c r="BC71" i="25" s="1"/>
  <c r="AZ71" i="7"/>
  <c r="AX71" i="7"/>
  <c r="BD201" i="25"/>
  <c r="BE201" i="25"/>
  <c r="BG201" i="7" s="1"/>
  <c r="BA201" i="7" s="1"/>
  <c r="AT201" i="7"/>
  <c r="AU201" i="7" s="1"/>
  <c r="AV201" i="7" s="1"/>
  <c r="Y556" i="7"/>
  <c r="BB556" i="25" s="1"/>
  <c r="BC556" i="25" s="1"/>
  <c r="AZ556" i="7"/>
  <c r="Y581" i="7"/>
  <c r="BB581" i="25" s="1"/>
  <c r="AZ581" i="7"/>
  <c r="Y572" i="7"/>
  <c r="BB572" i="25" s="1"/>
  <c r="BC572" i="25" s="1"/>
  <c r="AZ572" i="7"/>
  <c r="Y571" i="7"/>
  <c r="BB571" i="25" s="1"/>
  <c r="BC571" i="25" s="1"/>
  <c r="AT571" i="7" s="1"/>
  <c r="AZ571" i="7"/>
  <c r="Y279" i="7"/>
  <c r="BB279" i="25" s="1"/>
  <c r="BC279" i="25" s="1"/>
  <c r="AZ279" i="7"/>
  <c r="Y280" i="7"/>
  <c r="BB280" i="25" s="1"/>
  <c r="BC280" i="25" s="1"/>
  <c r="AZ280" i="7"/>
  <c r="Y283" i="7"/>
  <c r="BB283" i="25" s="1"/>
  <c r="BC283" i="25" s="1"/>
  <c r="BE283" i="25" s="1"/>
  <c r="AZ283" i="7"/>
  <c r="Y81" i="7"/>
  <c r="BB81" i="25" s="1"/>
  <c r="BC81" i="25" s="1"/>
  <c r="AT81" i="7" s="1"/>
  <c r="AZ81" i="7"/>
  <c r="Y79" i="7"/>
  <c r="BB79" i="25" s="1"/>
  <c r="BC79" i="25" s="1"/>
  <c r="AZ79" i="7"/>
  <c r="Y86" i="7"/>
  <c r="BB86" i="25" s="1"/>
  <c r="BC86" i="25" s="1"/>
  <c r="AZ86" i="7"/>
  <c r="Y89" i="7"/>
  <c r="BB89" i="25" s="1"/>
  <c r="BC89" i="25" s="1"/>
  <c r="AZ89" i="7"/>
  <c r="Y216" i="7"/>
  <c r="BB216" i="25" s="1"/>
  <c r="BC216" i="25" s="1"/>
  <c r="AZ216" i="7"/>
  <c r="Y207" i="7"/>
  <c r="BB207" i="25" s="1"/>
  <c r="BC207" i="25" s="1"/>
  <c r="AT207" i="7" s="1"/>
  <c r="AZ207" i="7"/>
  <c r="Y217" i="7"/>
  <c r="BB217" i="25" s="1"/>
  <c r="BC217" i="25" s="1"/>
  <c r="AZ217" i="7"/>
  <c r="Y211" i="7"/>
  <c r="BB211" i="25" s="1"/>
  <c r="BC211" i="25" s="1"/>
  <c r="AZ211" i="7"/>
  <c r="Y218" i="7"/>
  <c r="BB218" i="25" s="1"/>
  <c r="BC218" i="25" s="1"/>
  <c r="AZ218" i="7"/>
  <c r="Y342" i="7"/>
  <c r="BB342" i="25" s="1"/>
  <c r="BC342" i="25" s="1"/>
  <c r="AZ342" i="7"/>
  <c r="Y356" i="7"/>
  <c r="BB356" i="25" s="1"/>
  <c r="BC356" i="25" s="1"/>
  <c r="AT356" i="7" s="1"/>
  <c r="AZ356" i="7"/>
  <c r="Y338" i="7"/>
  <c r="BB338" i="25" s="1"/>
  <c r="BC338" i="25" s="1"/>
  <c r="AZ338" i="7"/>
  <c r="Y328" i="7"/>
  <c r="BB328" i="25" s="1"/>
  <c r="BC328" i="25" s="1"/>
  <c r="AZ328" i="7"/>
  <c r="Y353" i="7"/>
  <c r="BB353" i="25" s="1"/>
  <c r="BC353" i="25" s="1"/>
  <c r="AZ353" i="7"/>
  <c r="Y339" i="7"/>
  <c r="BB339" i="25" s="1"/>
  <c r="BC339" i="25" s="1"/>
  <c r="AZ339" i="7"/>
  <c r="Y131" i="7"/>
  <c r="BB131" i="25" s="1"/>
  <c r="BC131" i="25" s="1"/>
  <c r="AZ131" i="7"/>
  <c r="Y145" i="7"/>
  <c r="BB145" i="25" s="1"/>
  <c r="BC145" i="25" s="1"/>
  <c r="AZ145" i="7"/>
  <c r="Y156" i="7"/>
  <c r="BB156" i="25" s="1"/>
  <c r="BC156" i="25" s="1"/>
  <c r="AZ156" i="7"/>
  <c r="Y155" i="7"/>
  <c r="BB155" i="25" s="1"/>
  <c r="BC155" i="25" s="1"/>
  <c r="AZ155" i="7"/>
  <c r="Y132" i="7"/>
  <c r="BB132" i="25" s="1"/>
  <c r="BC132" i="25" s="1"/>
  <c r="AZ132" i="7"/>
  <c r="Y147" i="7"/>
  <c r="BB147" i="25" s="1"/>
  <c r="BC147" i="25" s="1"/>
  <c r="AZ147" i="7"/>
  <c r="BD204" i="25"/>
  <c r="BD178" i="25"/>
  <c r="AT32" i="7"/>
  <c r="AU32" i="7" s="1"/>
  <c r="AV32" i="7" s="1"/>
  <c r="BC396" i="25"/>
  <c r="AT396" i="7" s="1"/>
  <c r="BC498" i="25"/>
  <c r="AT498" i="7" s="1"/>
  <c r="BC452" i="25"/>
  <c r="AT452" i="7" s="1"/>
  <c r="AT104" i="7"/>
  <c r="AU104" i="7" s="1"/>
  <c r="AV104" i="7" s="1"/>
  <c r="BE196" i="25"/>
  <c r="BG196" i="7" s="1"/>
  <c r="BA196" i="7" s="1"/>
  <c r="AT257" i="7"/>
  <c r="AU257" i="7" s="1"/>
  <c r="AV257" i="7" s="1"/>
  <c r="BA573" i="25"/>
  <c r="BE170" i="25"/>
  <c r="BG170" i="7" s="1"/>
  <c r="BA170" i="7" s="1"/>
  <c r="Y313" i="7"/>
  <c r="BB313" i="25" s="1"/>
  <c r="BC313" i="25" s="1"/>
  <c r="AT313" i="7" s="1"/>
  <c r="AU313" i="7" s="1"/>
  <c r="AV313" i="7" s="1"/>
  <c r="AX313" i="7"/>
  <c r="AZ313" i="7"/>
  <c r="Y294" i="7"/>
  <c r="BB294" i="25" s="1"/>
  <c r="AX294" i="7"/>
  <c r="AZ294" i="7"/>
  <c r="Y291" i="7"/>
  <c r="BB291" i="25" s="1"/>
  <c r="BC291" i="25" s="1"/>
  <c r="AZ291" i="7"/>
  <c r="AX291" i="7"/>
  <c r="X301" i="7"/>
  <c r="X311" i="7"/>
  <c r="X303" i="7"/>
  <c r="X297" i="7"/>
  <c r="X295" i="7"/>
  <c r="X299" i="7"/>
  <c r="X305" i="7"/>
  <c r="X310" i="7"/>
  <c r="X300" i="7"/>
  <c r="X298" i="7"/>
  <c r="X306" i="7"/>
  <c r="X308" i="7"/>
  <c r="X312" i="7"/>
  <c r="X307" i="7"/>
  <c r="X304" i="7"/>
  <c r="X296" i="7"/>
  <c r="S14" i="14"/>
  <c r="Y590" i="7"/>
  <c r="BB590" i="25" s="1"/>
  <c r="BC590" i="25" s="1"/>
  <c r="AT590" i="7" s="1"/>
  <c r="AU590" i="7" s="1"/>
  <c r="AV590" i="7" s="1"/>
  <c r="AZ590" i="7"/>
  <c r="BD40" i="25"/>
  <c r="AT40" i="7"/>
  <c r="AU40" i="7" s="1"/>
  <c r="AV40" i="7" s="1"/>
  <c r="BE40" i="25"/>
  <c r="BG40" i="7" s="1"/>
  <c r="BA40" i="7" s="1"/>
  <c r="AT203" i="7"/>
  <c r="AU203" i="7" s="1"/>
  <c r="AV203" i="7" s="1"/>
  <c r="BD203" i="25"/>
  <c r="Y29" i="7"/>
  <c r="BB29" i="25" s="1"/>
  <c r="BC29" i="25" s="1"/>
  <c r="AT29" i="7" s="1"/>
  <c r="AZ29" i="7"/>
  <c r="Y30" i="7"/>
  <c r="BB30" i="25" s="1"/>
  <c r="BC30" i="25" s="1"/>
  <c r="AZ30" i="7"/>
  <c r="Y27" i="7"/>
  <c r="BB27" i="25" s="1"/>
  <c r="BC27" i="25" s="1"/>
  <c r="AZ27" i="7"/>
  <c r="Y13" i="7"/>
  <c r="BB13" i="25" s="1"/>
  <c r="BC13" i="25" s="1"/>
  <c r="AT13" i="7" s="1"/>
  <c r="AZ13" i="7"/>
  <c r="Y14" i="7"/>
  <c r="BB14" i="25" s="1"/>
  <c r="BC14" i="25" s="1"/>
  <c r="AT14" i="7" s="1"/>
  <c r="AU14" i="7" s="1"/>
  <c r="AV14" i="7" s="1"/>
  <c r="AZ14" i="7"/>
  <c r="BD426" i="25"/>
  <c r="BE426" i="25"/>
  <c r="BG426" i="7" s="1"/>
  <c r="BA426" i="7" s="1"/>
  <c r="BD426" i="7" s="1"/>
  <c r="AT426" i="7"/>
  <c r="AU426" i="7" s="1"/>
  <c r="AV426" i="7" s="1"/>
  <c r="Y349" i="7"/>
  <c r="BB349" i="25" s="1"/>
  <c r="BC349" i="25" s="1"/>
  <c r="BE349" i="25" s="1"/>
  <c r="AZ349" i="7"/>
  <c r="AX349" i="7"/>
  <c r="Y319" i="7"/>
  <c r="BB319" i="25" s="1"/>
  <c r="BC319" i="25" s="1"/>
  <c r="BD319" i="25" s="1"/>
  <c r="AX319" i="7"/>
  <c r="AZ319" i="7"/>
  <c r="Y324" i="7"/>
  <c r="BB324" i="25" s="1"/>
  <c r="AZ324" i="7"/>
  <c r="AX324" i="7"/>
  <c r="Y325" i="7"/>
  <c r="BB325" i="25" s="1"/>
  <c r="BC325" i="25" s="1"/>
  <c r="AZ325" i="7"/>
  <c r="AX325" i="7"/>
  <c r="Y354" i="7"/>
  <c r="BB354" i="25" s="1"/>
  <c r="BC354" i="25" s="1"/>
  <c r="AT354" i="7" s="1"/>
  <c r="AU354" i="7" s="1"/>
  <c r="AV354" i="7" s="1"/>
  <c r="AX354" i="7"/>
  <c r="AZ354" i="7"/>
  <c r="AT187" i="7"/>
  <c r="AU187" i="7" s="1"/>
  <c r="AV187" i="7" s="1"/>
  <c r="BE187" i="25"/>
  <c r="BG187" i="7" s="1"/>
  <c r="BA187" i="7" s="1"/>
  <c r="BD187" i="7" s="1"/>
  <c r="BD187" i="25"/>
  <c r="Y140" i="7"/>
  <c r="BB140" i="25" s="1"/>
  <c r="BC140" i="25" s="1"/>
  <c r="BD140" i="25" s="1"/>
  <c r="AX140" i="7"/>
  <c r="AZ140" i="7"/>
  <c r="Y130" i="7"/>
  <c r="BB130" i="25" s="1"/>
  <c r="BC130" i="25" s="1"/>
  <c r="AX130" i="7"/>
  <c r="AZ130" i="7"/>
  <c r="Y124" i="7"/>
  <c r="BB124" i="25" s="1"/>
  <c r="BC124" i="25" s="1"/>
  <c r="AZ124" i="7"/>
  <c r="AX124" i="7"/>
  <c r="S19" i="14"/>
  <c r="X476" i="7"/>
  <c r="X481" i="7"/>
  <c r="X491" i="7"/>
  <c r="X478" i="7"/>
  <c r="X475" i="7"/>
  <c r="X484" i="7"/>
  <c r="X477" i="7"/>
  <c r="X461" i="7"/>
  <c r="X474" i="7"/>
  <c r="X485" i="7"/>
  <c r="X489" i="7"/>
  <c r="X486" i="7"/>
  <c r="X482" i="7"/>
  <c r="X483" i="7"/>
  <c r="X488" i="7"/>
  <c r="X480" i="7"/>
  <c r="X460" i="7"/>
  <c r="X479" i="7"/>
  <c r="X492" i="7"/>
  <c r="AT184" i="7"/>
  <c r="AU184" i="7" s="1"/>
  <c r="AV184" i="7" s="1"/>
  <c r="BD184" i="25"/>
  <c r="BE184" i="25"/>
  <c r="BG184" i="7" s="1"/>
  <c r="BA184" i="7" s="1"/>
  <c r="BD184" i="7" s="1"/>
  <c r="Y515" i="7"/>
  <c r="BB515" i="25" s="1"/>
  <c r="BC515" i="25" s="1"/>
  <c r="AT515" i="7" s="1"/>
  <c r="AU515" i="7" s="1"/>
  <c r="AV515" i="7" s="1"/>
  <c r="AZ515" i="7"/>
  <c r="Y517" i="7"/>
  <c r="BB517" i="25" s="1"/>
  <c r="BC517" i="25" s="1"/>
  <c r="BD517" i="25" s="1"/>
  <c r="AZ517" i="7"/>
  <c r="Y522" i="7"/>
  <c r="BB522" i="25" s="1"/>
  <c r="BC522" i="25" s="1"/>
  <c r="BE522" i="25" s="1"/>
  <c r="AZ522" i="7"/>
  <c r="Y511" i="7"/>
  <c r="BB511" i="25" s="1"/>
  <c r="BC511" i="25" s="1"/>
  <c r="AT511" i="7" s="1"/>
  <c r="AZ511" i="7"/>
  <c r="Y521" i="7"/>
  <c r="BB521" i="25" s="1"/>
  <c r="BC521" i="25" s="1"/>
  <c r="AZ521" i="7"/>
  <c r="Y73" i="7"/>
  <c r="BB73" i="25" s="1"/>
  <c r="BC73" i="25" s="1"/>
  <c r="AZ73" i="7"/>
  <c r="AX73" i="7"/>
  <c r="Y92" i="7"/>
  <c r="BB92" i="25" s="1"/>
  <c r="BC92" i="25" s="1"/>
  <c r="AZ92" i="7"/>
  <c r="AX92" i="7"/>
  <c r="Y74" i="7"/>
  <c r="BB74" i="25" s="1"/>
  <c r="BC74" i="25" s="1"/>
  <c r="AX74" i="7"/>
  <c r="AZ74" i="7"/>
  <c r="Y72" i="7"/>
  <c r="BB72" i="25" s="1"/>
  <c r="BC72" i="25" s="1"/>
  <c r="AZ72" i="7"/>
  <c r="AX72" i="7"/>
  <c r="BE428" i="25"/>
  <c r="BG428" i="7" s="1"/>
  <c r="BA428" i="7" s="1"/>
  <c r="AT428" i="7"/>
  <c r="AU428" i="7" s="1"/>
  <c r="AV428" i="7" s="1"/>
  <c r="Y573" i="7"/>
  <c r="BB573" i="25" s="1"/>
  <c r="BC573" i="25" s="1"/>
  <c r="AZ573" i="7"/>
  <c r="Y578" i="7"/>
  <c r="BB578" i="25" s="1"/>
  <c r="BC578" i="25" s="1"/>
  <c r="AT578" i="7" s="1"/>
  <c r="AZ578" i="7"/>
  <c r="Y574" i="7"/>
  <c r="BB574" i="25" s="1"/>
  <c r="BC574" i="25" s="1"/>
  <c r="AT574" i="7" s="1"/>
  <c r="AZ574" i="7"/>
  <c r="BD496" i="25"/>
  <c r="BD447" i="25"/>
  <c r="Y262" i="7"/>
  <c r="BB262" i="25" s="1"/>
  <c r="BC262" i="25" s="1"/>
  <c r="AZ262" i="7"/>
  <c r="Y278" i="7"/>
  <c r="BB278" i="25" s="1"/>
  <c r="BC278" i="25" s="1"/>
  <c r="BE278" i="25" s="1"/>
  <c r="AZ278" i="7"/>
  <c r="Y261" i="7"/>
  <c r="BB261" i="25" s="1"/>
  <c r="BC261" i="25" s="1"/>
  <c r="AZ261" i="7"/>
  <c r="Y277" i="7"/>
  <c r="BB277" i="25" s="1"/>
  <c r="BC277" i="25" s="1"/>
  <c r="AT277" i="7" s="1"/>
  <c r="AZ277" i="7"/>
  <c r="Y87" i="7"/>
  <c r="BB87" i="25" s="1"/>
  <c r="BC87" i="25" s="1"/>
  <c r="AZ87" i="7"/>
  <c r="Y80" i="7"/>
  <c r="BB80" i="25" s="1"/>
  <c r="BC80" i="25" s="1"/>
  <c r="AZ80" i="7"/>
  <c r="Y88" i="7"/>
  <c r="BB88" i="25" s="1"/>
  <c r="BC88" i="25" s="1"/>
  <c r="AZ88" i="7"/>
  <c r="Y83" i="7"/>
  <c r="BB83" i="25" s="1"/>
  <c r="BC83" i="25" s="1"/>
  <c r="BE83" i="25" s="1"/>
  <c r="AZ83" i="7"/>
  <c r="Y209" i="7"/>
  <c r="BB209" i="25" s="1"/>
  <c r="BC209" i="25" s="1"/>
  <c r="AZ209" i="7"/>
  <c r="Y219" i="7"/>
  <c r="BB219" i="25" s="1"/>
  <c r="BC219" i="25" s="1"/>
  <c r="AZ219" i="7"/>
  <c r="Y214" i="7"/>
  <c r="BB214" i="25" s="1"/>
  <c r="BC214" i="25" s="1"/>
  <c r="AZ214" i="7"/>
  <c r="Y215" i="7"/>
  <c r="BB215" i="25" s="1"/>
  <c r="BC215" i="25" s="1"/>
  <c r="AZ215" i="7"/>
  <c r="Y212" i="7"/>
  <c r="BB212" i="25" s="1"/>
  <c r="BC212" i="25" s="1"/>
  <c r="AZ212" i="7"/>
  <c r="Y341" i="7"/>
  <c r="BB341" i="25" s="1"/>
  <c r="BC341" i="25" s="1"/>
  <c r="AZ341" i="7"/>
  <c r="Y330" i="7"/>
  <c r="BB330" i="25" s="1"/>
  <c r="BC330" i="25" s="1"/>
  <c r="AT330" i="7" s="1"/>
  <c r="AZ330" i="7"/>
  <c r="Y314" i="7"/>
  <c r="BB314" i="25" s="1"/>
  <c r="BC314" i="25" s="1"/>
  <c r="BD314" i="25" s="1"/>
  <c r="AZ314" i="7"/>
  <c r="Y332" i="7"/>
  <c r="BB332" i="25" s="1"/>
  <c r="BC332" i="25" s="1"/>
  <c r="AZ332" i="7"/>
  <c r="Y344" i="7"/>
  <c r="BB344" i="25" s="1"/>
  <c r="BC344" i="25" s="1"/>
  <c r="BE344" i="25" s="1"/>
  <c r="BG344" i="7" s="1"/>
  <c r="BA344" i="7" s="1"/>
  <c r="AZ344" i="7"/>
  <c r="Y355" i="7"/>
  <c r="BB355" i="25" s="1"/>
  <c r="BC355" i="25" s="1"/>
  <c r="BE355" i="25" s="1"/>
  <c r="BG355" i="7" s="1"/>
  <c r="BA355" i="7" s="1"/>
  <c r="BD355" i="7" s="1"/>
  <c r="AZ355" i="7"/>
  <c r="Y146" i="7"/>
  <c r="BB146" i="25" s="1"/>
  <c r="BC146" i="25" s="1"/>
  <c r="AZ146" i="7"/>
  <c r="Y143" i="7"/>
  <c r="BB143" i="25" s="1"/>
  <c r="BC143" i="25" s="1"/>
  <c r="AZ143" i="7"/>
  <c r="Y135" i="7"/>
  <c r="BB135" i="25" s="1"/>
  <c r="BC135" i="25" s="1"/>
  <c r="AT135" i="7" s="1"/>
  <c r="AU135" i="7" s="1"/>
  <c r="AV135" i="7" s="1"/>
  <c r="AZ135" i="7"/>
  <c r="Y141" i="7"/>
  <c r="BB141" i="25" s="1"/>
  <c r="BC141" i="25" s="1"/>
  <c r="AZ141" i="7"/>
  <c r="Y137" i="7"/>
  <c r="BB137" i="25" s="1"/>
  <c r="BC137" i="25" s="1"/>
  <c r="AT137" i="7" s="1"/>
  <c r="AU137" i="7" s="1"/>
  <c r="AV137" i="7" s="1"/>
  <c r="AZ137" i="7"/>
  <c r="Y154" i="7"/>
  <c r="BB154" i="25" s="1"/>
  <c r="BC154" i="25" s="1"/>
  <c r="AZ154" i="7"/>
  <c r="BC581" i="25"/>
  <c r="AT581" i="7" s="1"/>
  <c r="BC133" i="25"/>
  <c r="AT271" i="7"/>
  <c r="AU271" i="7" s="1"/>
  <c r="AV271" i="7" s="1"/>
  <c r="AT60" i="7"/>
  <c r="AU60" i="7" s="1"/>
  <c r="AV60" i="7" s="1"/>
  <c r="BD417" i="25"/>
  <c r="BE257" i="25"/>
  <c r="BG257" i="7" s="1"/>
  <c r="BA257" i="7" s="1"/>
  <c r="BD257" i="7" s="1"/>
  <c r="BD186" i="25"/>
  <c r="AT186" i="7"/>
  <c r="AU186" i="7" s="1"/>
  <c r="AV186" i="7" s="1"/>
  <c r="S9" i="14"/>
  <c r="X108" i="7"/>
  <c r="X106" i="7"/>
  <c r="X99" i="7"/>
  <c r="X117" i="7"/>
  <c r="X110" i="7"/>
  <c r="X114" i="7"/>
  <c r="X111" i="7"/>
  <c r="X113" i="7"/>
  <c r="X109" i="7"/>
  <c r="X119" i="7"/>
  <c r="X107" i="7"/>
  <c r="X116" i="7"/>
  <c r="X118" i="7"/>
  <c r="X115" i="7"/>
  <c r="X112" i="7"/>
  <c r="Y292" i="7"/>
  <c r="BB292" i="25" s="1"/>
  <c r="BC292" i="25" s="1"/>
  <c r="AT292" i="7" s="1"/>
  <c r="AX292" i="7"/>
  <c r="AZ292" i="7"/>
  <c r="Y289" i="7"/>
  <c r="BB289" i="25" s="1"/>
  <c r="BC289" i="25" s="1"/>
  <c r="AT289" i="7" s="1"/>
  <c r="AX289" i="7"/>
  <c r="AZ289" i="7"/>
  <c r="Y302" i="7"/>
  <c r="BB302" i="25" s="1"/>
  <c r="AX302" i="7"/>
  <c r="AZ302" i="7"/>
  <c r="BE3" i="25"/>
  <c r="BG3" i="7" s="1"/>
  <c r="BA3" i="7" s="1"/>
  <c r="BD3" i="7" s="1"/>
  <c r="AT3" i="7"/>
  <c r="AU3" i="7" s="1"/>
  <c r="AV3" i="7" s="1"/>
  <c r="BD585" i="25"/>
  <c r="BE585" i="25"/>
  <c r="BG585" i="7" s="1"/>
  <c r="BA585" i="7" s="1"/>
  <c r="BD585" i="7" s="1"/>
  <c r="Y588" i="7"/>
  <c r="BB588" i="25" s="1"/>
  <c r="BC588" i="25" s="1"/>
  <c r="AZ588" i="7"/>
  <c r="BD183" i="25"/>
  <c r="AT183" i="7"/>
  <c r="AU183" i="7" s="1"/>
  <c r="AV183" i="7" s="1"/>
  <c r="BE183" i="25"/>
  <c r="BG183" i="7" s="1"/>
  <c r="BA183" i="7" s="1"/>
  <c r="BD183" i="7" s="1"/>
  <c r="BD199" i="25"/>
  <c r="BE199" i="25"/>
  <c r="BG199" i="7" s="1"/>
  <c r="BA199" i="7" s="1"/>
  <c r="AT199" i="7"/>
  <c r="AU199" i="7" s="1"/>
  <c r="AV199" i="7" s="1"/>
  <c r="Y18" i="7"/>
  <c r="BB18" i="25" s="1"/>
  <c r="BC18" i="25" s="1"/>
  <c r="AZ18" i="7"/>
  <c r="Y20" i="7"/>
  <c r="BB20" i="25" s="1"/>
  <c r="BC20" i="25" s="1"/>
  <c r="AZ20" i="7"/>
  <c r="Y26" i="7"/>
  <c r="BB26" i="25" s="1"/>
  <c r="BC26" i="25" s="1"/>
  <c r="AT26" i="7" s="1"/>
  <c r="AU26" i="7" s="1"/>
  <c r="AV26" i="7" s="1"/>
  <c r="AZ26" i="7"/>
  <c r="Y25" i="7"/>
  <c r="BB25" i="25" s="1"/>
  <c r="BC25" i="25" s="1"/>
  <c r="AZ25" i="7"/>
  <c r="Y317" i="7"/>
  <c r="BB317" i="25" s="1"/>
  <c r="BC317" i="25" s="1"/>
  <c r="AZ317" i="7"/>
  <c r="AX317" i="7"/>
  <c r="Y318" i="7"/>
  <c r="BB318" i="25" s="1"/>
  <c r="BC318" i="25" s="1"/>
  <c r="AT318" i="7" s="1"/>
  <c r="AU318" i="7" s="1"/>
  <c r="AV318" i="7" s="1"/>
  <c r="AX318" i="7"/>
  <c r="AZ318" i="7"/>
  <c r="Y316" i="7"/>
  <c r="BB316" i="25" s="1"/>
  <c r="BC316" i="25" s="1"/>
  <c r="AZ316" i="7"/>
  <c r="AX316" i="7"/>
  <c r="Y345" i="7"/>
  <c r="BB345" i="25" s="1"/>
  <c r="BC345" i="25" s="1"/>
  <c r="BD345" i="25" s="1"/>
  <c r="AZ345" i="7"/>
  <c r="AX345" i="7"/>
  <c r="Y121" i="7"/>
  <c r="BB121" i="25" s="1"/>
  <c r="BC121" i="25" s="1"/>
  <c r="AT121" i="7" s="1"/>
  <c r="AZ121" i="7"/>
  <c r="AX121" i="7"/>
  <c r="Y129" i="7"/>
  <c r="BB129" i="25" s="1"/>
  <c r="BC129" i="25" s="1"/>
  <c r="BE129" i="25" s="1"/>
  <c r="AX129" i="7"/>
  <c r="AZ129" i="7"/>
  <c r="Y127" i="7"/>
  <c r="BB127" i="25" s="1"/>
  <c r="BC127" i="25" s="1"/>
  <c r="AX127" i="7"/>
  <c r="AZ127" i="7"/>
  <c r="BE179" i="25"/>
  <c r="BG179" i="7" s="1"/>
  <c r="BA179" i="7" s="1"/>
  <c r="AT179" i="7"/>
  <c r="AU179" i="7" s="1"/>
  <c r="AV179" i="7" s="1"/>
  <c r="BD179" i="25"/>
  <c r="BD200" i="25"/>
  <c r="BE200" i="25"/>
  <c r="BG200" i="7" s="1"/>
  <c r="BA200" i="7" s="1"/>
  <c r="BD232" i="25"/>
  <c r="BE232" i="25"/>
  <c r="BG232" i="7" s="1"/>
  <c r="BA232" i="7" s="1"/>
  <c r="AT232" i="7"/>
  <c r="AU232" i="7" s="1"/>
  <c r="AV232" i="7" s="1"/>
  <c r="S6" i="14"/>
  <c r="X46" i="7"/>
  <c r="X63" i="7"/>
  <c r="X48" i="7"/>
  <c r="X56" i="7"/>
  <c r="X47" i="7"/>
  <c r="X45" i="7"/>
  <c r="X52" i="7"/>
  <c r="X54" i="7"/>
  <c r="X57" i="7"/>
  <c r="X41" i="7"/>
  <c r="X61" i="7"/>
  <c r="X53" i="7"/>
  <c r="X36" i="7"/>
  <c r="X44" i="7"/>
  <c r="X42" i="7"/>
  <c r="X65" i="7"/>
  <c r="X51" i="7"/>
  <c r="X50" i="7"/>
  <c r="X55" i="7"/>
  <c r="X43" i="7"/>
  <c r="X49" i="7"/>
  <c r="BD3" i="25"/>
  <c r="BD499" i="25"/>
  <c r="AT162" i="7"/>
  <c r="AU162" i="7" s="1"/>
  <c r="AV162" i="7" s="1"/>
  <c r="BD162" i="25"/>
  <c r="BE162" i="25"/>
  <c r="BG162" i="7" s="1"/>
  <c r="BA162" i="7" s="1"/>
  <c r="BD172" i="25"/>
  <c r="BE172" i="25"/>
  <c r="BG172" i="7" s="1"/>
  <c r="BA172" i="7" s="1"/>
  <c r="AT172" i="7"/>
  <c r="AU172" i="7" s="1"/>
  <c r="AV172" i="7" s="1"/>
  <c r="S21" i="14"/>
  <c r="X539" i="7"/>
  <c r="X542" i="7"/>
  <c r="X527" i="7"/>
  <c r="X545" i="7"/>
  <c r="X540" i="7"/>
  <c r="X546" i="7"/>
  <c r="X548" i="7"/>
  <c r="X544" i="7"/>
  <c r="X547" i="7"/>
  <c r="X550" i="7"/>
  <c r="X551" i="7"/>
  <c r="X538" i="7"/>
  <c r="X541" i="7"/>
  <c r="X555" i="7"/>
  <c r="X549" i="7"/>
  <c r="X543" i="7"/>
  <c r="BD269" i="25"/>
  <c r="BE269" i="25"/>
  <c r="BG269" i="7" s="1"/>
  <c r="BA269" i="7" s="1"/>
  <c r="BD269" i="7" s="1"/>
  <c r="AT269" i="7"/>
  <c r="AU269" i="7" s="1"/>
  <c r="AV269" i="7" s="1"/>
  <c r="Y500" i="7"/>
  <c r="BB500" i="25" s="1"/>
  <c r="BC500" i="25" s="1"/>
  <c r="AZ500" i="7"/>
  <c r="Y520" i="7"/>
  <c r="BB520" i="25" s="1"/>
  <c r="BC520" i="25" s="1"/>
  <c r="BE520" i="25" s="1"/>
  <c r="BG520" i="7" s="1"/>
  <c r="BA520" i="7" s="1"/>
  <c r="AZ520" i="7"/>
  <c r="Y514" i="7"/>
  <c r="BB514" i="25" s="1"/>
  <c r="BC514" i="25" s="1"/>
  <c r="AZ514" i="7"/>
  <c r="Y525" i="7"/>
  <c r="BB525" i="25" s="1"/>
  <c r="BC525" i="25" s="1"/>
  <c r="AZ525" i="7"/>
  <c r="Y513" i="7"/>
  <c r="BB513" i="25" s="1"/>
  <c r="BC513" i="25" s="1"/>
  <c r="AZ513" i="7"/>
  <c r="Y67" i="7"/>
  <c r="BB67" i="25" s="1"/>
  <c r="BC67" i="25" s="1"/>
  <c r="AZ67" i="7"/>
  <c r="AX67" i="7"/>
  <c r="Y75" i="7"/>
  <c r="BB75" i="25" s="1"/>
  <c r="BC75" i="25" s="1"/>
  <c r="AZ75" i="7"/>
  <c r="AX75" i="7"/>
  <c r="Y69" i="7"/>
  <c r="BB69" i="25" s="1"/>
  <c r="BC69" i="25" s="1"/>
  <c r="AT69" i="7" s="1"/>
  <c r="AZ69" i="7"/>
  <c r="AX69" i="7"/>
  <c r="Y582" i="7"/>
  <c r="BB582" i="25" s="1"/>
  <c r="BC582" i="25" s="1"/>
  <c r="AT582" i="7" s="1"/>
  <c r="AU582" i="7" s="1"/>
  <c r="AV582" i="7" s="1"/>
  <c r="AZ582" i="7"/>
  <c r="Y583" i="7"/>
  <c r="BB583" i="25" s="1"/>
  <c r="BC583" i="25" s="1"/>
  <c r="AZ583" i="7"/>
  <c r="Y579" i="7"/>
  <c r="BB579" i="25" s="1"/>
  <c r="BC579" i="25" s="1"/>
  <c r="BD579" i="25" s="1"/>
  <c r="AZ579" i="7"/>
  <c r="BD246" i="25"/>
  <c r="Y273" i="7"/>
  <c r="BB273" i="25" s="1"/>
  <c r="BC273" i="25" s="1"/>
  <c r="AT273" i="7" s="1"/>
  <c r="AZ273" i="7"/>
  <c r="Y281" i="7"/>
  <c r="BB281" i="25" s="1"/>
  <c r="BC281" i="25" s="1"/>
  <c r="AZ281" i="7"/>
  <c r="Y285" i="7"/>
  <c r="BB285" i="25" s="1"/>
  <c r="BC285" i="25" s="1"/>
  <c r="AZ285" i="7"/>
  <c r="Y276" i="7"/>
  <c r="BB276" i="25" s="1"/>
  <c r="BC276" i="25" s="1"/>
  <c r="AZ276" i="7"/>
  <c r="Y76" i="7"/>
  <c r="BB76" i="25" s="1"/>
  <c r="AZ76" i="7"/>
  <c r="Y84" i="7"/>
  <c r="BB84" i="25" s="1"/>
  <c r="BC84" i="25" s="1"/>
  <c r="AZ84" i="7"/>
  <c r="Y93" i="7"/>
  <c r="BB93" i="25" s="1"/>
  <c r="BC93" i="25" s="1"/>
  <c r="AZ93" i="7"/>
  <c r="Y82" i="7"/>
  <c r="BB82" i="25" s="1"/>
  <c r="BC82" i="25" s="1"/>
  <c r="AT82" i="7" s="1"/>
  <c r="AU82" i="7" s="1"/>
  <c r="AV82" i="7" s="1"/>
  <c r="AZ82" i="7"/>
  <c r="Y221" i="7"/>
  <c r="BB221" i="25" s="1"/>
  <c r="BC221" i="25" s="1"/>
  <c r="BE221" i="25" s="1"/>
  <c r="AZ221" i="7"/>
  <c r="Y213" i="7"/>
  <c r="BB213" i="25" s="1"/>
  <c r="BC213" i="25" s="1"/>
  <c r="BD213" i="25" s="1"/>
  <c r="AZ213" i="7"/>
  <c r="Y222" i="7"/>
  <c r="BB222" i="25" s="1"/>
  <c r="BC222" i="25" s="1"/>
  <c r="AZ222" i="7"/>
  <c r="Y223" i="7"/>
  <c r="BB223" i="25" s="1"/>
  <c r="BC223" i="25" s="1"/>
  <c r="AZ223" i="7"/>
  <c r="Y220" i="7"/>
  <c r="BB220" i="25" s="1"/>
  <c r="BC220" i="25" s="1"/>
  <c r="AZ220" i="7"/>
  <c r="Y351" i="7"/>
  <c r="BB351" i="25" s="1"/>
  <c r="BC351" i="25" s="1"/>
  <c r="AZ351" i="7"/>
  <c r="Y329" i="7"/>
  <c r="BB329" i="25" s="1"/>
  <c r="BC329" i="25" s="1"/>
  <c r="AZ329" i="7"/>
  <c r="Y340" i="7"/>
  <c r="BB340" i="25" s="1"/>
  <c r="BC340" i="25" s="1"/>
  <c r="AZ340" i="7"/>
  <c r="Y352" i="7"/>
  <c r="BB352" i="25" s="1"/>
  <c r="BC352" i="25" s="1"/>
  <c r="AZ352" i="7"/>
  <c r="Y334" i="7"/>
  <c r="BB334" i="25" s="1"/>
  <c r="BC334" i="25" s="1"/>
  <c r="AZ334" i="7"/>
  <c r="Y333" i="7"/>
  <c r="BB333" i="25" s="1"/>
  <c r="BC333" i="25" s="1"/>
  <c r="AZ333" i="7"/>
  <c r="Y350" i="7"/>
  <c r="BB350" i="25" s="1"/>
  <c r="BC350" i="25" s="1"/>
  <c r="BE350" i="25" s="1"/>
  <c r="BG350" i="7" s="1"/>
  <c r="BA350" i="7" s="1"/>
  <c r="AZ350" i="7"/>
  <c r="Y151" i="7"/>
  <c r="BB151" i="25" s="1"/>
  <c r="AZ151" i="7"/>
  <c r="Y142" i="7"/>
  <c r="BB142" i="25" s="1"/>
  <c r="BC142" i="25" s="1"/>
  <c r="AZ142" i="7"/>
  <c r="Y152" i="7"/>
  <c r="BB152" i="25" s="1"/>
  <c r="BC152" i="25" s="1"/>
  <c r="AT152" i="7" s="1"/>
  <c r="AZ152" i="7"/>
  <c r="Y134" i="7"/>
  <c r="BB134" i="25" s="1"/>
  <c r="BC134" i="25" s="1"/>
  <c r="AZ134" i="7"/>
  <c r="Y138" i="7"/>
  <c r="BB138" i="25" s="1"/>
  <c r="BC138" i="25" s="1"/>
  <c r="AZ138" i="7"/>
  <c r="BE438" i="25"/>
  <c r="BG438" i="7" s="1"/>
  <c r="BA438" i="7" s="1"/>
  <c r="BD438" i="7" s="1"/>
  <c r="BC399" i="25"/>
  <c r="BE399" i="25" s="1"/>
  <c r="BG399" i="7" s="1"/>
  <c r="BA399" i="7" s="1"/>
  <c r="BD399" i="7" s="1"/>
  <c r="BA557" i="25"/>
  <c r="BD557" i="25" s="1"/>
  <c r="BA438" i="25"/>
  <c r="BC497" i="25"/>
  <c r="BE497" i="25" s="1"/>
  <c r="BG497" i="7" s="1"/>
  <c r="BA497" i="7" s="1"/>
  <c r="BD497" i="7" s="1"/>
  <c r="BA486" i="25"/>
  <c r="BA336" i="25"/>
  <c r="BA81" i="25"/>
  <c r="BA472" i="25"/>
  <c r="BD472" i="25" s="1"/>
  <c r="BA572" i="25"/>
  <c r="BC284" i="25"/>
  <c r="BE284" i="25" s="1"/>
  <c r="BG284" i="7" s="1"/>
  <c r="BA284" i="7" s="1"/>
  <c r="BD284" i="7" s="1"/>
  <c r="BA548" i="25"/>
  <c r="BA308" i="25"/>
  <c r="BD224" i="25"/>
  <c r="BA378" i="25"/>
  <c r="BA552" i="25"/>
  <c r="BD552" i="25" s="1"/>
  <c r="BA266" i="25"/>
  <c r="BD266" i="25" s="1"/>
  <c r="BA181" i="25"/>
  <c r="BD181" i="25" s="1"/>
  <c r="AT224" i="7"/>
  <c r="AU224" i="7" s="1"/>
  <c r="AV224" i="7" s="1"/>
  <c r="BC432" i="25"/>
  <c r="BD432" i="25" s="1"/>
  <c r="BC160" i="25"/>
  <c r="BE160" i="25" s="1"/>
  <c r="BG160" i="7" s="1"/>
  <c r="BA160" i="7" s="1"/>
  <c r="BD160" i="7" s="1"/>
  <c r="BD424" i="25"/>
  <c r="BA30" i="25"/>
  <c r="BC470" i="25"/>
  <c r="BE470" i="25" s="1"/>
  <c r="BG470" i="7" s="1"/>
  <c r="BA470" i="7" s="1"/>
  <c r="BD470" i="7" s="1"/>
  <c r="BA149" i="25"/>
  <c r="BE564" i="25"/>
  <c r="BG564" i="7" s="1"/>
  <c r="BA564" i="7" s="1"/>
  <c r="BD564" i="7" s="1"/>
  <c r="BC453" i="25"/>
  <c r="BD453" i="25" s="1"/>
  <c r="BC462" i="25"/>
  <c r="BE462" i="25" s="1"/>
  <c r="BG462" i="7" s="1"/>
  <c r="BA462" i="7" s="1"/>
  <c r="BD462" i="7" s="1"/>
  <c r="BA540" i="25"/>
  <c r="BA150" i="25"/>
  <c r="BA364" i="25"/>
  <c r="BD364" i="25" s="1"/>
  <c r="BA168" i="25"/>
  <c r="BD168" i="25" s="1"/>
  <c r="BC105" i="25"/>
  <c r="BA105" i="25"/>
  <c r="BC553" i="25"/>
  <c r="BA553" i="25"/>
  <c r="BA303" i="25"/>
  <c r="BA387" i="25"/>
  <c r="AT520" i="7"/>
  <c r="AU520" i="7" s="1"/>
  <c r="AV520" i="7" s="1"/>
  <c r="BD508" i="25"/>
  <c r="BA500" i="25"/>
  <c r="BA525" i="25"/>
  <c r="BA554" i="25"/>
  <c r="BD554" i="25" s="1"/>
  <c r="BC449" i="25"/>
  <c r="BE449" i="25" s="1"/>
  <c r="BG449" i="7" s="1"/>
  <c r="BA449" i="7" s="1"/>
  <c r="BD449" i="7" s="1"/>
  <c r="BC258" i="25"/>
  <c r="BA258" i="25"/>
  <c r="BD532" i="25"/>
  <c r="BA91" i="25"/>
  <c r="BA321" i="25"/>
  <c r="BC454" i="25"/>
  <c r="AT454" i="7" s="1"/>
  <c r="AU454" i="7" s="1"/>
  <c r="AV454" i="7" s="1"/>
  <c r="BA123" i="25"/>
  <c r="BC123" i="25"/>
  <c r="AT123" i="7" s="1"/>
  <c r="AU123" i="7" s="1"/>
  <c r="AV123" i="7" s="1"/>
  <c r="BA84" i="25"/>
  <c r="BA363" i="25"/>
  <c r="BC363" i="25"/>
  <c r="BE363" i="25" s="1"/>
  <c r="BG363" i="7" s="1"/>
  <c r="BA363" i="7" s="1"/>
  <c r="BA69" i="25"/>
  <c r="BA487" i="25"/>
  <c r="BC487" i="25"/>
  <c r="AT487" i="7" s="1"/>
  <c r="BC95" i="25"/>
  <c r="AT95" i="7" s="1"/>
  <c r="AU95" i="7" s="1"/>
  <c r="AV95" i="7" s="1"/>
  <c r="BA88" i="25"/>
  <c r="BA461" i="25"/>
  <c r="BA569" i="25"/>
  <c r="BC569" i="25"/>
  <c r="BA468" i="25"/>
  <c r="BC468" i="25"/>
  <c r="BA436" i="25"/>
  <c r="BC436" i="25"/>
  <c r="BA589" i="25"/>
  <c r="BA514" i="25"/>
  <c r="BC302" i="25"/>
  <c r="BA302" i="25"/>
  <c r="BA311" i="25"/>
  <c r="BA507" i="25"/>
  <c r="BC507" i="25"/>
  <c r="BA522" i="25"/>
  <c r="BA285" i="25"/>
  <c r="BA444" i="25"/>
  <c r="BC444" i="25"/>
  <c r="BE444" i="25" s="1"/>
  <c r="BA283" i="25"/>
  <c r="BA59" i="25"/>
  <c r="BC59" i="25"/>
  <c r="BE59" i="25" s="1"/>
  <c r="BG59" i="7" s="1"/>
  <c r="BA59" i="7" s="1"/>
  <c r="BA270" i="25"/>
  <c r="BC270" i="25"/>
  <c r="BA10" i="25"/>
  <c r="BC10" i="25"/>
  <c r="BE10" i="25" s="1"/>
  <c r="BA576" i="25"/>
  <c r="BA405" i="25"/>
  <c r="BA550" i="25"/>
  <c r="BC441" i="25"/>
  <c r="BD441" i="25" s="1"/>
  <c r="BA37" i="25"/>
  <c r="BC37" i="25"/>
  <c r="AT37" i="7" s="1"/>
  <c r="BA431" i="25"/>
  <c r="BC431" i="25"/>
  <c r="AT431" i="7" s="1"/>
  <c r="BC416" i="25"/>
  <c r="BE416" i="25" s="1"/>
  <c r="BG416" i="7" s="1"/>
  <c r="BA416" i="7" s="1"/>
  <c r="BC594" i="25"/>
  <c r="AT594" i="7" s="1"/>
  <c r="AU594" i="7" s="1"/>
  <c r="AV594" i="7" s="1"/>
  <c r="BA457" i="25"/>
  <c r="BC457" i="25"/>
  <c r="BE457" i="25" s="1"/>
  <c r="BA163" i="25"/>
  <c r="BC163" i="25"/>
  <c r="BA541" i="25"/>
  <c r="BA102" i="25"/>
  <c r="BC102" i="25"/>
  <c r="AT102" i="7" s="1"/>
  <c r="BA276" i="25"/>
  <c r="BC593" i="25"/>
  <c r="AT593" i="7" s="1"/>
  <c r="AU593" i="7" s="1"/>
  <c r="AV593" i="7" s="1"/>
  <c r="BA401" i="25"/>
  <c r="BC401" i="25"/>
  <c r="BE401" i="25" s="1"/>
  <c r="BC97" i="25"/>
  <c r="AT97" i="7" s="1"/>
  <c r="AU97" i="7" s="1"/>
  <c r="AV97" i="7" s="1"/>
  <c r="BA267" i="25"/>
  <c r="BC267" i="25"/>
  <c r="AT267" i="7" s="1"/>
  <c r="BA240" i="25"/>
  <c r="BA313" i="25"/>
  <c r="BA189" i="25"/>
  <c r="BC189" i="25"/>
  <c r="BE189" i="25" s="1"/>
  <c r="BA537" i="25"/>
  <c r="BC537" i="25"/>
  <c r="AT537" i="7" s="1"/>
  <c r="BA347" i="25"/>
  <c r="BD564" i="25"/>
  <c r="BA406" i="25"/>
  <c r="BA527" i="25"/>
  <c r="BA332" i="25"/>
  <c r="BD528" i="25"/>
  <c r="BC524" i="25"/>
  <c r="BA524" i="25"/>
  <c r="BC455" i="25"/>
  <c r="AT455" i="7" s="1"/>
  <c r="AU455" i="7" s="1"/>
  <c r="AV455" i="7" s="1"/>
  <c r="BA455" i="25"/>
  <c r="BA299" i="25"/>
  <c r="BA380" i="25"/>
  <c r="BA25" i="25"/>
  <c r="BA375" i="25"/>
  <c r="BA385" i="25"/>
  <c r="BA448" i="25"/>
  <c r="BC448" i="25"/>
  <c r="AT448" i="7" s="1"/>
  <c r="BA295" i="25"/>
  <c r="BA13" i="25"/>
  <c r="BA388" i="25"/>
  <c r="BA435" i="25"/>
  <c r="BC435" i="25"/>
  <c r="BE435" i="25" s="1"/>
  <c r="BA404" i="25"/>
  <c r="BA357" i="25"/>
  <c r="BC357" i="25"/>
  <c r="AT357" i="7" s="1"/>
  <c r="AU357" i="7" s="1"/>
  <c r="AV357" i="7" s="1"/>
  <c r="BA76" i="25"/>
  <c r="BC76" i="25"/>
  <c r="BE76" i="25" s="1"/>
  <c r="BA549" i="25"/>
  <c r="BA349" i="25"/>
  <c r="BA109" i="25"/>
  <c r="BA484" i="25"/>
  <c r="BA134" i="25"/>
  <c r="BA584" i="25"/>
  <c r="BC584" i="25"/>
  <c r="AT584" i="7" s="1"/>
  <c r="AU584" i="7" s="1"/>
  <c r="AV584" i="7" s="1"/>
  <c r="BC560" i="25"/>
  <c r="AT560" i="7" s="1"/>
  <c r="AU560" i="7" s="1"/>
  <c r="AV560" i="7" s="1"/>
  <c r="BC518" i="25"/>
  <c r="AT518" i="7" s="1"/>
  <c r="AU518" i="7" s="1"/>
  <c r="AV518" i="7" s="1"/>
  <c r="BA350" i="25"/>
  <c r="BA371" i="25"/>
  <c r="BC35" i="25"/>
  <c r="AT35" i="7" s="1"/>
  <c r="AU35" i="7" s="1"/>
  <c r="AV35" i="7" s="1"/>
  <c r="BA9" i="25"/>
  <c r="BC9" i="25"/>
  <c r="BE9" i="25" s="1"/>
  <c r="BA197" i="25"/>
  <c r="BC197" i="25"/>
  <c r="BE197" i="25" s="1"/>
  <c r="BG197" i="7" s="1"/>
  <c r="BA197" i="7" s="1"/>
  <c r="BA489" i="25"/>
  <c r="BA442" i="25"/>
  <c r="BC442" i="25"/>
  <c r="BA125" i="25"/>
  <c r="BC125" i="25"/>
  <c r="AT125" i="7" s="1"/>
  <c r="AU125" i="7" s="1"/>
  <c r="AV125" i="7" s="1"/>
  <c r="BA509" i="25"/>
  <c r="BC509" i="25"/>
  <c r="BA479" i="25"/>
  <c r="BA530" i="25"/>
  <c r="BC530" i="25"/>
  <c r="BA505" i="25"/>
  <c r="BC505" i="25"/>
  <c r="BE505" i="25" s="1"/>
  <c r="BA586" i="25"/>
  <c r="BC586" i="25"/>
  <c r="BE586" i="25" s="1"/>
  <c r="BA423" i="25"/>
  <c r="BA408" i="25"/>
  <c r="BA294" i="25"/>
  <c r="BC294" i="25"/>
  <c r="BE294" i="25" s="1"/>
  <c r="BA56" i="25"/>
  <c r="BA464" i="25"/>
  <c r="BC464" i="25"/>
  <c r="BE464" i="25" s="1"/>
  <c r="BG464" i="7" s="1"/>
  <c r="BA464" i="7" s="1"/>
  <c r="BA231" i="25"/>
  <c r="BC231" i="25"/>
  <c r="AT231" i="7" s="1"/>
  <c r="AU231" i="7" s="1"/>
  <c r="AV231" i="7" s="1"/>
  <c r="BA121" i="25"/>
  <c r="BA331" i="25"/>
  <c r="BC331" i="25"/>
  <c r="BA45" i="25"/>
  <c r="BA158" i="25"/>
  <c r="BC158" i="25"/>
  <c r="AT158" i="7" s="1"/>
  <c r="BA437" i="25"/>
  <c r="BC437" i="25"/>
  <c r="BE437" i="25" s="1"/>
  <c r="BA366" i="25"/>
  <c r="BC366" i="25"/>
  <c r="AT366" i="7" s="1"/>
  <c r="BA561" i="25"/>
  <c r="BC561" i="25"/>
  <c r="BE561" i="25" s="1"/>
  <c r="BA151" i="25"/>
  <c r="BC151" i="25"/>
  <c r="AT151" i="7" s="1"/>
  <c r="BC531" i="25"/>
  <c r="AT531" i="7" s="1"/>
  <c r="AU531" i="7" s="1"/>
  <c r="AV531" i="7" s="1"/>
  <c r="BA403" i="25"/>
  <c r="BA558" i="25"/>
  <c r="BC558" i="25"/>
  <c r="BA118" i="25"/>
  <c r="BA563" i="25"/>
  <c r="BC563" i="25"/>
  <c r="BA230" i="25"/>
  <c r="BC230" i="25"/>
  <c r="BA318" i="25"/>
  <c r="BA513" i="25"/>
  <c r="BA413" i="25"/>
  <c r="BA451" i="25"/>
  <c r="BC451" i="25"/>
  <c r="BA443" i="25"/>
  <c r="BC443" i="25"/>
  <c r="BA148" i="25"/>
  <c r="BC148" i="25"/>
  <c r="BA446" i="25"/>
  <c r="BC446" i="25"/>
  <c r="BE532" i="25"/>
  <c r="BG532" i="7" s="1"/>
  <c r="BA532" i="7" s="1"/>
  <c r="BD532" i="7" s="1"/>
  <c r="AT532" i="7"/>
  <c r="AU532" i="7" s="1"/>
  <c r="AV532" i="7" s="1"/>
  <c r="BA458" i="25"/>
  <c r="BC458" i="25"/>
  <c r="BE582" i="25"/>
  <c r="BG582" i="7" s="1"/>
  <c r="BA582" i="7" s="1"/>
  <c r="BD582" i="7" s="1"/>
  <c r="BA368" i="25"/>
  <c r="AT557" i="7"/>
  <c r="AU557" i="7" s="1"/>
  <c r="AV557" i="7" s="1"/>
  <c r="BA400" i="25"/>
  <c r="BC400" i="25"/>
  <c r="BA348" i="25"/>
  <c r="BA588" i="25"/>
  <c r="BA491" i="25"/>
  <c r="BA252" i="25"/>
  <c r="BA293" i="25"/>
  <c r="BA298" i="25"/>
  <c r="BA330" i="25"/>
  <c r="BA328" i="25"/>
  <c r="BA275" i="25"/>
  <c r="BA169" i="25"/>
  <c r="BC169" i="25"/>
  <c r="BA177" i="25"/>
  <c r="BC177" i="25"/>
  <c r="BE177" i="25" s="1"/>
  <c r="BG177" i="7" s="1"/>
  <c r="BA177" i="7" s="1"/>
  <c r="BC469" i="25"/>
  <c r="AT469" i="7" s="1"/>
  <c r="AU469" i="7" s="1"/>
  <c r="AV469" i="7" s="1"/>
  <c r="BA305" i="25"/>
  <c r="BA440" i="25"/>
  <c r="BC440" i="25"/>
  <c r="BA542" i="25"/>
  <c r="BA291" i="25"/>
  <c r="AT535" i="7"/>
  <c r="AU535" i="7" s="1"/>
  <c r="AV535" i="7" s="1"/>
  <c r="BC595" i="25"/>
  <c r="BA595" i="25"/>
  <c r="AT552" i="7"/>
  <c r="AU552" i="7" s="1"/>
  <c r="AV552" i="7" s="1"/>
  <c r="BE552" i="25"/>
  <c r="BG552" i="7" s="1"/>
  <c r="BA552" i="7" s="1"/>
  <c r="BD552" i="7" s="1"/>
  <c r="BA473" i="25"/>
  <c r="BD473" i="25" s="1"/>
  <c r="BC165" i="25"/>
  <c r="AT165" i="7" s="1"/>
  <c r="AU165" i="7" s="1"/>
  <c r="AV165" i="7" s="1"/>
  <c r="BA221" i="25"/>
  <c r="BA374" i="25"/>
  <c r="BA115" i="25"/>
  <c r="AT345" i="7"/>
  <c r="AU345" i="7" s="1"/>
  <c r="AV345" i="7" s="1"/>
  <c r="AT233" i="7"/>
  <c r="AU233" i="7" s="1"/>
  <c r="AV233" i="7" s="1"/>
  <c r="BA510" i="25"/>
  <c r="BD510" i="25" s="1"/>
  <c r="BA343" i="25"/>
  <c r="BC343" i="25"/>
  <c r="AT343" i="7" s="1"/>
  <c r="AU343" i="7" s="1"/>
  <c r="AV343" i="7" s="1"/>
  <c r="BA381" i="25"/>
  <c r="BA198" i="25"/>
  <c r="BC198" i="25"/>
  <c r="AT198" i="7" s="1"/>
  <c r="AU198" i="7" s="1"/>
  <c r="AV198" i="7" s="1"/>
  <c r="BA398" i="25"/>
  <c r="BC398" i="25"/>
  <c r="BE398" i="25" s="1"/>
  <c r="BA62" i="25"/>
  <c r="BC62" i="25"/>
  <c r="BA580" i="25"/>
  <c r="BC580" i="25"/>
  <c r="AT580" i="7" s="1"/>
  <c r="AU580" i="7" s="1"/>
  <c r="AV580" i="7" s="1"/>
  <c r="BA190" i="25"/>
  <c r="BC190" i="25"/>
  <c r="BC226" i="25"/>
  <c r="AT226" i="7" s="1"/>
  <c r="AU226" i="7" s="1"/>
  <c r="AV226" i="7" s="1"/>
  <c r="BA43" i="25"/>
  <c r="BA394" i="25"/>
  <c r="BC394" i="25"/>
  <c r="AT394" i="7" s="1"/>
  <c r="AU394" i="7" s="1"/>
  <c r="AV394" i="7" s="1"/>
  <c r="BA281" i="25"/>
  <c r="BA290" i="25"/>
  <c r="BA78" i="25"/>
  <c r="BA379" i="25"/>
  <c r="BA161" i="25"/>
  <c r="BC161" i="25"/>
  <c r="AT161" i="7" s="1"/>
  <c r="BA166" i="25"/>
  <c r="BC166" i="25"/>
  <c r="BE166" i="25" s="1"/>
  <c r="BG166" i="7" s="1"/>
  <c r="BA166" i="7" s="1"/>
  <c r="BA126" i="25"/>
  <c r="BA20" i="25"/>
  <c r="BA255" i="25"/>
  <c r="BC255" i="25"/>
  <c r="BA108" i="25"/>
  <c r="BA571" i="25"/>
  <c r="BA274" i="25"/>
  <c r="BC274" i="25"/>
  <c r="AT274" i="7" s="1"/>
  <c r="AU274" i="7" s="1"/>
  <c r="AV274" i="7" s="1"/>
  <c r="BC591" i="25"/>
  <c r="BD591" i="25" s="1"/>
  <c r="BA323" i="25"/>
  <c r="BA555" i="25"/>
  <c r="BA90" i="25"/>
  <c r="BA288" i="25"/>
  <c r="BC288" i="25"/>
  <c r="BA471" i="25"/>
  <c r="BC471" i="25"/>
  <c r="AT471" i="7" s="1"/>
  <c r="AU471" i="7" s="1"/>
  <c r="AV471" i="7" s="1"/>
  <c r="BA567" i="25"/>
  <c r="BC567" i="25"/>
  <c r="BE567" i="25" s="1"/>
  <c r="BE337" i="25"/>
  <c r="BG337" i="7" s="1"/>
  <c r="BA337" i="7" s="1"/>
  <c r="BD337" i="7" s="1"/>
  <c r="AT337" i="7"/>
  <c r="AU337" i="7" s="1"/>
  <c r="AV337" i="7" s="1"/>
  <c r="BA389" i="25"/>
  <c r="BC389" i="25"/>
  <c r="BA329" i="25"/>
  <c r="BA583" i="25"/>
  <c r="BD365" i="25"/>
  <c r="BE365" i="25"/>
  <c r="BG365" i="7" s="1"/>
  <c r="BA365" i="7" s="1"/>
  <c r="BD365" i="7" s="1"/>
  <c r="BA286" i="25"/>
  <c r="BD397" i="25"/>
  <c r="AT397" i="7"/>
  <c r="AU397" i="7" s="1"/>
  <c r="AV397" i="7" s="1"/>
  <c r="BE397" i="25"/>
  <c r="BG397" i="7" s="1"/>
  <c r="BA397" i="7" s="1"/>
  <c r="BD397" i="7" s="1"/>
  <c r="BA324" i="25"/>
  <c r="BC324" i="25"/>
  <c r="BD520" i="25"/>
  <c r="BC386" i="25"/>
  <c r="BA386" i="25"/>
  <c r="BE508" i="25"/>
  <c r="BG508" i="7" s="1"/>
  <c r="BA508" i="7" s="1"/>
  <c r="BD508" i="7" s="1"/>
  <c r="AT508" i="7"/>
  <c r="AU508" i="7" s="1"/>
  <c r="AV508" i="7" s="1"/>
  <c r="AT528" i="7"/>
  <c r="AU528" i="7" s="1"/>
  <c r="AV528" i="7" s="1"/>
  <c r="BA594" i="25"/>
  <c r="BA171" i="25"/>
  <c r="BD171" i="25" s="1"/>
  <c r="BA175" i="25"/>
  <c r="BD175" i="25" s="1"/>
  <c r="BA416" i="25"/>
  <c r="BA459" i="25"/>
  <c r="BA282" i="25"/>
  <c r="BA191" i="25"/>
  <c r="BA518" i="25"/>
  <c r="BA95" i="25"/>
  <c r="BA248" i="25"/>
  <c r="BA562" i="25"/>
  <c r="BD562" i="25" s="1"/>
  <c r="BA124" i="25"/>
  <c r="BA236" i="25"/>
  <c r="BA410" i="25"/>
  <c r="BA195" i="25"/>
  <c r="BD195" i="25" s="1"/>
  <c r="BA225" i="25"/>
  <c r="BA174" i="25"/>
  <c r="BA216" i="25"/>
  <c r="BA556" i="25"/>
  <c r="BA93" i="25"/>
  <c r="BA254" i="25"/>
  <c r="BD254" i="25" s="1"/>
  <c r="BA256" i="25"/>
  <c r="BE445" i="25"/>
  <c r="BG445" i="7" s="1"/>
  <c r="BA445" i="7" s="1"/>
  <c r="AT445" i="7"/>
  <c r="AU445" i="7" s="1"/>
  <c r="AV445" i="7" s="1"/>
  <c r="BA173" i="25"/>
  <c r="BD173" i="25" s="1"/>
  <c r="BA79" i="25"/>
  <c r="BA300" i="25"/>
  <c r="AT174" i="7"/>
  <c r="AU174" i="7" s="1"/>
  <c r="AV174" i="7" s="1"/>
  <c r="BE254" i="25"/>
  <c r="BG254" i="7" s="1"/>
  <c r="BA254" i="7" s="1"/>
  <c r="AT254" i="7"/>
  <c r="AU254" i="7" s="1"/>
  <c r="AV254" i="7" s="1"/>
  <c r="BE173" i="25"/>
  <c r="BG173" i="7" s="1"/>
  <c r="BA173" i="7" s="1"/>
  <c r="AT173" i="7"/>
  <c r="AU173" i="7" s="1"/>
  <c r="AV173" i="7" s="1"/>
  <c r="BE459" i="25"/>
  <c r="BG459" i="7" s="1"/>
  <c r="BA459" i="7" s="1"/>
  <c r="AT459" i="7"/>
  <c r="AU459" i="7" s="1"/>
  <c r="AV459" i="7" s="1"/>
  <c r="BE5" i="25"/>
  <c r="BG5" i="7" s="1"/>
  <c r="BA5" i="7" s="1"/>
  <c r="BA297" i="25"/>
  <c r="BE193" i="25"/>
  <c r="BG193" i="7" s="1"/>
  <c r="BA193" i="7" s="1"/>
  <c r="BA445" i="25"/>
  <c r="BD445" i="25" s="1"/>
  <c r="BA97" i="25"/>
  <c r="BA137" i="25"/>
  <c r="BA344" i="25"/>
  <c r="BA515" i="25"/>
  <c r="BA485" i="25"/>
  <c r="BA206" i="25"/>
  <c r="BA18" i="25"/>
  <c r="BA83" i="25"/>
  <c r="BA210" i="25"/>
  <c r="BA593" i="25"/>
  <c r="BA346" i="25"/>
  <c r="BA467" i="25"/>
  <c r="BD467" i="25" s="1"/>
  <c r="BA501" i="25"/>
  <c r="BD501" i="25" s="1"/>
  <c r="AT193" i="7"/>
  <c r="AU193" i="7" s="1"/>
  <c r="AV193" i="7" s="1"/>
  <c r="BA212" i="25"/>
  <c r="BA41" i="25"/>
  <c r="BA547" i="25"/>
  <c r="BA73" i="25"/>
  <c r="BA539" i="25"/>
  <c r="BA322" i="25"/>
  <c r="BA101" i="25"/>
  <c r="BD101" i="25" s="1"/>
  <c r="BA465" i="25"/>
  <c r="BD465" i="25" s="1"/>
  <c r="BA15" i="25"/>
  <c r="BA226" i="25"/>
  <c r="BA493" i="25"/>
  <c r="BA545" i="25"/>
  <c r="BA8" i="25"/>
  <c r="BA33" i="25"/>
  <c r="BD33" i="25" s="1"/>
  <c r="BA560" i="25"/>
  <c r="BA296" i="25"/>
  <c r="BA133" i="25"/>
  <c r="BA469" i="25"/>
  <c r="AT270" i="7"/>
  <c r="BA80" i="25"/>
  <c r="BA100" i="25"/>
  <c r="BD100" i="25" s="1"/>
  <c r="BE510" i="25"/>
  <c r="BA262" i="25"/>
  <c r="BA135" i="25"/>
  <c r="BA533" i="25"/>
  <c r="BD533" i="25" s="1"/>
  <c r="BA52" i="25"/>
  <c r="BA249" i="25"/>
  <c r="BA301" i="25"/>
  <c r="BA119" i="25"/>
  <c r="BA139" i="25"/>
  <c r="BA113" i="25"/>
  <c r="BA327" i="25"/>
  <c r="BA278" i="25"/>
  <c r="BA205" i="25"/>
  <c r="BA50" i="25"/>
  <c r="BA77" i="25"/>
  <c r="BA70" i="25"/>
  <c r="BA475" i="25"/>
  <c r="BE501" i="25"/>
  <c r="AT501" i="7"/>
  <c r="AU501" i="7" s="1"/>
  <c r="AV501" i="7" s="1"/>
  <c r="BG264" i="7"/>
  <c r="BA264" i="7" s="1"/>
  <c r="BD264" i="7" s="1"/>
  <c r="BA49" i="25"/>
  <c r="BA165" i="25"/>
  <c r="BG587" i="7"/>
  <c r="BA587" i="7" s="1"/>
  <c r="BD587" i="7" s="1"/>
  <c r="BA180" i="25"/>
  <c r="BD180" i="25" s="1"/>
  <c r="BA222" i="25"/>
  <c r="BA412" i="25"/>
  <c r="BA185" i="25"/>
  <c r="BD185" i="25" s="1"/>
  <c r="BA26" i="25"/>
  <c r="BA35" i="25"/>
  <c r="BA208" i="25"/>
  <c r="BA17" i="25"/>
  <c r="BA146" i="25"/>
  <c r="BG456" i="7"/>
  <c r="BA456" i="7" s="1"/>
  <c r="BG425" i="7"/>
  <c r="BA425" i="7" s="1"/>
  <c r="BA110" i="25"/>
  <c r="BG265" i="7"/>
  <c r="BA265" i="7" s="1"/>
  <c r="BD265" i="7" s="1"/>
  <c r="BG224" i="7"/>
  <c r="BA224" i="7" s="1"/>
  <c r="BA373" i="25"/>
  <c r="AU587" i="7"/>
  <c r="AV587" i="7" s="1"/>
  <c r="BA411" i="25"/>
  <c r="BA217" i="25"/>
  <c r="BA570" i="25"/>
  <c r="BD570" i="25" s="1"/>
  <c r="BA129" i="25"/>
  <c r="BE429" i="25"/>
  <c r="AT429" i="7"/>
  <c r="AU101" i="7"/>
  <c r="AV101" i="7" s="1"/>
  <c r="BE502" i="25"/>
  <c r="AT502" i="7"/>
  <c r="BE171" i="25"/>
  <c r="AT171" i="7"/>
  <c r="AU565" i="7"/>
  <c r="AV565" i="7" s="1"/>
  <c r="AU38" i="7"/>
  <c r="AV38" i="7" s="1"/>
  <c r="BD428" i="7"/>
  <c r="BD132" i="7"/>
  <c r="BD559" i="7"/>
  <c r="BD447" i="7"/>
  <c r="BD333" i="7"/>
  <c r="BD159" i="7"/>
  <c r="BD19" i="7"/>
  <c r="BD494" i="7"/>
  <c r="BD176" i="7"/>
  <c r="BD196" i="7"/>
  <c r="BD520" i="7"/>
  <c r="BD186" i="7"/>
  <c r="AT579" i="7"/>
  <c r="BE362" i="25"/>
  <c r="AT362" i="7"/>
  <c r="BE178" i="25"/>
  <c r="AT178" i="7"/>
  <c r="BE185" i="25"/>
  <c r="AT185" i="7"/>
  <c r="AU570" i="7"/>
  <c r="AV570" i="7" s="1"/>
  <c r="BE562" i="25"/>
  <c r="AT562" i="7"/>
  <c r="AU34" i="7"/>
  <c r="AV34" i="7" s="1"/>
  <c r="BD477" i="7"/>
  <c r="BD23" i="7"/>
  <c r="BD203" i="7"/>
  <c r="BD261" i="7"/>
  <c r="BD114" i="7"/>
  <c r="BD42" i="7"/>
  <c r="BD96" i="7"/>
  <c r="BD142" i="7"/>
  <c r="BD329" i="7"/>
  <c r="BD483" i="7"/>
  <c r="BD316" i="7"/>
  <c r="BD74" i="7"/>
  <c r="BD407" i="7"/>
  <c r="BD271" i="7"/>
  <c r="BD170" i="7"/>
  <c r="BD317" i="7"/>
  <c r="AU5" i="7"/>
  <c r="AV5" i="7" s="1"/>
  <c r="BD251" i="7"/>
  <c r="BD242" i="7"/>
  <c r="BD499" i="7"/>
  <c r="BD172" i="7"/>
  <c r="BD138" i="7"/>
  <c r="BD309" i="7"/>
  <c r="BD199" i="7"/>
  <c r="AU361" i="7"/>
  <c r="AV361" i="7" s="1"/>
  <c r="BE195" i="25"/>
  <c r="AT195" i="7"/>
  <c r="BE364" i="25"/>
  <c r="AT364" i="7"/>
  <c r="BA502" i="25"/>
  <c r="BD502" i="25" s="1"/>
  <c r="BA233" i="25"/>
  <c r="BD233" i="25" s="1"/>
  <c r="BA54" i="25"/>
  <c r="BA82" i="25"/>
  <c r="BA454" i="25"/>
  <c r="BE450" i="25"/>
  <c r="AT450" i="7"/>
  <c r="BA575" i="25"/>
  <c r="BD200" i="7"/>
  <c r="BD325" i="7"/>
  <c r="BD418" i="7"/>
  <c r="BD568" i="7"/>
  <c r="BA367" i="25"/>
  <c r="BD367" i="25" s="1"/>
  <c r="BA188" i="25"/>
  <c r="BD188" i="25" s="1"/>
  <c r="BD420" i="7"/>
  <c r="BD141" i="7"/>
  <c r="BD22" i="7"/>
  <c r="BD376" i="7"/>
  <c r="AU456" i="7"/>
  <c r="AV456" i="7" s="1"/>
  <c r="BD434" i="7"/>
  <c r="BD422" i="7"/>
  <c r="BD335" i="7"/>
  <c r="BD154" i="7"/>
  <c r="BE467" i="25"/>
  <c r="AT467" i="7"/>
  <c r="BE266" i="25"/>
  <c r="AT266" i="7"/>
  <c r="BA429" i="25"/>
  <c r="BD429" i="25" s="1"/>
  <c r="BA34" i="25"/>
  <c r="BD34" i="25" s="1"/>
  <c r="BA506" i="25"/>
  <c r="BD506" i="25" s="1"/>
  <c r="BA38" i="25"/>
  <c r="BD38" i="25" s="1"/>
  <c r="BE465" i="25"/>
  <c r="AT465" i="7"/>
  <c r="BD162" i="7"/>
  <c r="BD421" i="7"/>
  <c r="BD68" i="7"/>
  <c r="BD433" i="7"/>
  <c r="BD534" i="7"/>
  <c r="BD86" i="7"/>
  <c r="BD164" i="7"/>
  <c r="BD566" i="7"/>
  <c r="BD528" i="7"/>
  <c r="BA544" i="25"/>
  <c r="AU425" i="7"/>
  <c r="AV425" i="7" s="1"/>
  <c r="BD64" i="7"/>
  <c r="BD201" i="7"/>
  <c r="BD156" i="7"/>
  <c r="BD377" i="7"/>
  <c r="BD246" i="7"/>
  <c r="BE175" i="25"/>
  <c r="AT175" i="7"/>
  <c r="BE233" i="25"/>
  <c r="BE570" i="25"/>
  <c r="BE34" i="25"/>
  <c r="BE506" i="25"/>
  <c r="BE38" i="25"/>
  <c r="BE565" i="25"/>
  <c r="AT58" i="7"/>
  <c r="BA58" i="25"/>
  <c r="BD58" i="25" s="1"/>
  <c r="AT31" i="7"/>
  <c r="BA220" i="25"/>
  <c r="BA450" i="25"/>
  <c r="BD450" i="25" s="1"/>
  <c r="BE101" i="25"/>
  <c r="BA488" i="25"/>
  <c r="AT473" i="7"/>
  <c r="AT495" i="7"/>
  <c r="BA504" i="25"/>
  <c r="BD504" i="25" s="1"/>
  <c r="AT504" i="7"/>
  <c r="BA277" i="25"/>
  <c r="BA342" i="25"/>
  <c r="AT554" i="7"/>
  <c r="BA29" i="25"/>
  <c r="BA415" i="25"/>
  <c r="AT181" i="7"/>
  <c r="BA306" i="25"/>
  <c r="AT204" i="7"/>
  <c r="AT234" i="7"/>
  <c r="BA531" i="25"/>
  <c r="BA439" i="25"/>
  <c r="BD439" i="25" s="1"/>
  <c r="AT439" i="7"/>
  <c r="BA574" i="25"/>
  <c r="BA85" i="25"/>
  <c r="BA55" i="25"/>
  <c r="BA320" i="25"/>
  <c r="AT503" i="7"/>
  <c r="BA503" i="25"/>
  <c r="BD503" i="25" s="1"/>
  <c r="AT395" i="7"/>
  <c r="BA395" i="25"/>
  <c r="BD395" i="25" s="1"/>
  <c r="BA536" i="25"/>
  <c r="BD536" i="25" s="1"/>
  <c r="AT536" i="7"/>
  <c r="BA207" i="25"/>
  <c r="BA250" i="25"/>
  <c r="BA392" i="25"/>
  <c r="AT2" i="7"/>
  <c r="BA2" i="25"/>
  <c r="BD2" i="25" s="1"/>
  <c r="BA263" i="25"/>
  <c r="BD263" i="25" s="1"/>
  <c r="AT263" i="7"/>
  <c r="BA596" i="25"/>
  <c r="BD596" i="25" s="1"/>
  <c r="AT596" i="7"/>
  <c r="BA227" i="25"/>
  <c r="BD227" i="25" s="1"/>
  <c r="AT227" i="7"/>
  <c r="AT192" i="7"/>
  <c r="BA192" i="25"/>
  <c r="BD192" i="25" s="1"/>
  <c r="BA289" i="25"/>
  <c r="BA11" i="25"/>
  <c r="BD11" i="25" s="1"/>
  <c r="AT11" i="7"/>
  <c r="BA157" i="25"/>
  <c r="BD157" i="25" s="1"/>
  <c r="AT157" i="7"/>
  <c r="BA543" i="25"/>
  <c r="BA103" i="25"/>
  <c r="BD103" i="25" s="1"/>
  <c r="AT103" i="7"/>
  <c r="BA152" i="25"/>
  <c r="BA116" i="25"/>
  <c r="BA237" i="25"/>
  <c r="BA326" i="25"/>
  <c r="BA280" i="25"/>
  <c r="BA356" i="25"/>
  <c r="BA106" i="25"/>
  <c r="AT384" i="7"/>
  <c r="BA384" i="25"/>
  <c r="BD384" i="25" s="1"/>
  <c r="BA36" i="25"/>
  <c r="BA430" i="25"/>
  <c r="BD430" i="25" s="1"/>
  <c r="AT430" i="7"/>
  <c r="BA578" i="25"/>
  <c r="BA292" i="25"/>
  <c r="BA16" i="25"/>
  <c r="BA463" i="25"/>
  <c r="BD463" i="25" s="1"/>
  <c r="AT463" i="7"/>
  <c r="AT28" i="7"/>
  <c r="BA28" i="25"/>
  <c r="BD28" i="25" s="1"/>
  <c r="BA512" i="25"/>
  <c r="BA144" i="25"/>
  <c r="BA44" i="25"/>
  <c r="BA273" i="25"/>
  <c r="BA12" i="25"/>
  <c r="BD12" i="25" s="1"/>
  <c r="AT12" i="7"/>
  <c r="BA466" i="25"/>
  <c r="BD466" i="25" s="1"/>
  <c r="AT466" i="7"/>
  <c r="BA452" i="25"/>
  <c r="BA229" i="25"/>
  <c r="BD229" i="25" s="1"/>
  <c r="AT229" i="7"/>
  <c r="BA581" i="25"/>
  <c r="BD581" i="25" s="1"/>
  <c r="BA546" i="25"/>
  <c r="BA396" i="25"/>
  <c r="BA107" i="25"/>
  <c r="BA511" i="25"/>
  <c r="BA498" i="25"/>
  <c r="BA14" i="25"/>
  <c r="BA402" i="25"/>
  <c r="BD582" i="25" l="1"/>
  <c r="BE191" i="25"/>
  <c r="AT191" i="7"/>
  <c r="AT160" i="7"/>
  <c r="AU160" i="7" s="1"/>
  <c r="AV160" i="7" s="1"/>
  <c r="AT577" i="7"/>
  <c r="AU577" i="7" s="1"/>
  <c r="AV577" i="7" s="1"/>
  <c r="AT401" i="7"/>
  <c r="BD174" i="25"/>
  <c r="BD459" i="25"/>
  <c r="BE345" i="25"/>
  <c r="BG345" i="7" s="1"/>
  <c r="BA345" i="7" s="1"/>
  <c r="AT517" i="7"/>
  <c r="AU517" i="7" s="1"/>
  <c r="AV517" i="7" s="1"/>
  <c r="AT575" i="7"/>
  <c r="BE575" i="25"/>
  <c r="BD452" i="25"/>
  <c r="BD577" i="25"/>
  <c r="AT15" i="7"/>
  <c r="AT319" i="7"/>
  <c r="AU319" i="7" s="1"/>
  <c r="AV319" i="7" s="1"/>
  <c r="BE490" i="25"/>
  <c r="BG490" i="7" s="1"/>
  <c r="BA490" i="7" s="1"/>
  <c r="BD490" i="7" s="1"/>
  <c r="AT140" i="7"/>
  <c r="BD133" i="25"/>
  <c r="BD15" i="25"/>
  <c r="BD191" i="25"/>
  <c r="BD490" i="25"/>
  <c r="BD336" i="25"/>
  <c r="BE205" i="25"/>
  <c r="AT205" i="7"/>
  <c r="BD594" i="25"/>
  <c r="AT449" i="7"/>
  <c r="AU449" i="7" s="1"/>
  <c r="AV449" i="7" s="1"/>
  <c r="BD70" i="25"/>
  <c r="BD144" i="25"/>
  <c r="BE277" i="25"/>
  <c r="BD77" i="25"/>
  <c r="BD160" i="25"/>
  <c r="BD354" i="25"/>
  <c r="BE517" i="25"/>
  <c r="BG517" i="7" s="1"/>
  <c r="BA517" i="7" s="1"/>
  <c r="BD517" i="7" s="1"/>
  <c r="BE66" i="25"/>
  <c r="BE354" i="25"/>
  <c r="BG354" i="7" s="1"/>
  <c r="BA354" i="7" s="1"/>
  <c r="BD354" i="7" s="1"/>
  <c r="BD277" i="25"/>
  <c r="BD327" i="25"/>
  <c r="AT8" i="7"/>
  <c r="AU8" i="7" s="1"/>
  <c r="AV8" i="7" s="1"/>
  <c r="BE8" i="25"/>
  <c r="BD8" i="25"/>
  <c r="AT66" i="7"/>
  <c r="BE579" i="25"/>
  <c r="BE282" i="25"/>
  <c r="BD535" i="25"/>
  <c r="BD149" i="25"/>
  <c r="BD326" i="25"/>
  <c r="BE346" i="25"/>
  <c r="BE454" i="25"/>
  <c r="BE493" i="25"/>
  <c r="BD206" i="25"/>
  <c r="BD282" i="25"/>
  <c r="BD497" i="25"/>
  <c r="BD438" i="25"/>
  <c r="AT79" i="7"/>
  <c r="BE79" i="25"/>
  <c r="BD572" i="25"/>
  <c r="BE572" i="25"/>
  <c r="BG572" i="7" s="1"/>
  <c r="BA572" i="7" s="1"/>
  <c r="BD572" i="7" s="1"/>
  <c r="AT572" i="7"/>
  <c r="AU572" i="7" s="1"/>
  <c r="AV572" i="7" s="1"/>
  <c r="BE556" i="25"/>
  <c r="BG556" i="7" s="1"/>
  <c r="BA556" i="7" s="1"/>
  <c r="AT556" i="7"/>
  <c r="AU556" i="7" s="1"/>
  <c r="AV556" i="7" s="1"/>
  <c r="AT262" i="7"/>
  <c r="AU262" i="7" s="1"/>
  <c r="AV262" i="7" s="1"/>
  <c r="BE262" i="25"/>
  <c r="AT280" i="7"/>
  <c r="AU280" i="7" s="1"/>
  <c r="AV280" i="7" s="1"/>
  <c r="BE280" i="25"/>
  <c r="BD396" i="25"/>
  <c r="AT83" i="7"/>
  <c r="BD498" i="25"/>
  <c r="BD512" i="25"/>
  <c r="BD207" i="25"/>
  <c r="BE531" i="25"/>
  <c r="BD205" i="25"/>
  <c r="BD262" i="25"/>
  <c r="BD493" i="25"/>
  <c r="BE593" i="25"/>
  <c r="BG593" i="7" s="1"/>
  <c r="BA593" i="7" s="1"/>
  <c r="BD83" i="25"/>
  <c r="AT206" i="7"/>
  <c r="AU206" i="7" s="1"/>
  <c r="AV206" i="7" s="1"/>
  <c r="BD556" i="25"/>
  <c r="BD17" i="25"/>
  <c r="BE319" i="25"/>
  <c r="BG319" i="7" s="1"/>
  <c r="BA319" i="7" s="1"/>
  <c r="BD319" i="7" s="1"/>
  <c r="BD578" i="25"/>
  <c r="BD280" i="25"/>
  <c r="BD531" i="25"/>
  <c r="BE515" i="25"/>
  <c r="BD575" i="25"/>
  <c r="BD79" i="25"/>
  <c r="AT284" i="7"/>
  <c r="AU284" i="7" s="1"/>
  <c r="AV284" i="7" s="1"/>
  <c r="AT212" i="7"/>
  <c r="BE212" i="25"/>
  <c r="AT217" i="7"/>
  <c r="AU217" i="7" s="1"/>
  <c r="AV217" i="7" s="1"/>
  <c r="BE217" i="25"/>
  <c r="AT216" i="7"/>
  <c r="AU216" i="7" s="1"/>
  <c r="AV216" i="7" s="1"/>
  <c r="BE216" i="25"/>
  <c r="BG216" i="7" s="1"/>
  <c r="BA216" i="7" s="1"/>
  <c r="BD216" i="25"/>
  <c r="BD522" i="25"/>
  <c r="BD97" i="25"/>
  <c r="AT497" i="7"/>
  <c r="AU497" i="7" s="1"/>
  <c r="AV497" i="7" s="1"/>
  <c r="BD292" i="25"/>
  <c r="BD217" i="25"/>
  <c r="BD146" i="25"/>
  <c r="BD212" i="25"/>
  <c r="BE220" i="25"/>
  <c r="AT220" i="7"/>
  <c r="BE93" i="25"/>
  <c r="BG93" i="7" s="1"/>
  <c r="BA93" i="7" s="1"/>
  <c r="AT93" i="7"/>
  <c r="AU93" i="7" s="1"/>
  <c r="AV93" i="7" s="1"/>
  <c r="BE80" i="25"/>
  <c r="BG80" i="7" s="1"/>
  <c r="BA80" i="7" s="1"/>
  <c r="AT80" i="7"/>
  <c r="AU80" i="7" s="1"/>
  <c r="AV80" i="7" s="1"/>
  <c r="AT73" i="7"/>
  <c r="BE73" i="25"/>
  <c r="BE124" i="25"/>
  <c r="AT124" i="7"/>
  <c r="BE342" i="25"/>
  <c r="AT342" i="7"/>
  <c r="BE150" i="25"/>
  <c r="AT150" i="7"/>
  <c r="AT18" i="7"/>
  <c r="AU18" i="7" s="1"/>
  <c r="AV18" i="7" s="1"/>
  <c r="BE18" i="25"/>
  <c r="BG18" i="7" s="1"/>
  <c r="BA18" i="7" s="1"/>
  <c r="AT500" i="7"/>
  <c r="BE500" i="25"/>
  <c r="AT573" i="7"/>
  <c r="AU573" i="7" s="1"/>
  <c r="AV573" i="7" s="1"/>
  <c r="BE573" i="25"/>
  <c r="BG573" i="7" s="1"/>
  <c r="BA573" i="7" s="1"/>
  <c r="BD573" i="7" s="1"/>
  <c r="BD573" i="25"/>
  <c r="AT322" i="7"/>
  <c r="BE322" i="25"/>
  <c r="BD16" i="25"/>
  <c r="BD81" i="25"/>
  <c r="BE75" i="25"/>
  <c r="BG75" i="7" s="1"/>
  <c r="BA75" i="7" s="1"/>
  <c r="BD75" i="7" s="1"/>
  <c r="BD75" i="25"/>
  <c r="AT75" i="7"/>
  <c r="AU75" i="7" s="1"/>
  <c r="AV75" i="7" s="1"/>
  <c r="Y541" i="7"/>
  <c r="BB541" i="25" s="1"/>
  <c r="BC541" i="25" s="1"/>
  <c r="BE541" i="25" s="1"/>
  <c r="AZ541" i="7"/>
  <c r="Y547" i="7"/>
  <c r="BB547" i="25" s="1"/>
  <c r="BC547" i="25" s="1"/>
  <c r="AZ547" i="7"/>
  <c r="Y540" i="7"/>
  <c r="BB540" i="25" s="1"/>
  <c r="BC540" i="25" s="1"/>
  <c r="AZ540" i="7"/>
  <c r="Y539" i="7"/>
  <c r="BB539" i="25" s="1"/>
  <c r="BC539" i="25" s="1"/>
  <c r="BD539" i="25" s="1"/>
  <c r="AZ539" i="7"/>
  <c r="Y55" i="7"/>
  <c r="BB55" i="25" s="1"/>
  <c r="BC55" i="25" s="1"/>
  <c r="AT55" i="7" s="1"/>
  <c r="AZ55" i="7"/>
  <c r="Y42" i="7"/>
  <c r="BB42" i="25" s="1"/>
  <c r="BC42" i="25" s="1"/>
  <c r="AZ42" i="7"/>
  <c r="Y61" i="7"/>
  <c r="BB61" i="25" s="1"/>
  <c r="BC61" i="25" s="1"/>
  <c r="AZ61" i="7"/>
  <c r="Y52" i="7"/>
  <c r="BB52" i="25" s="1"/>
  <c r="BC52" i="25" s="1"/>
  <c r="AZ52" i="7"/>
  <c r="Y48" i="7"/>
  <c r="BB48" i="25" s="1"/>
  <c r="BC48" i="25" s="1"/>
  <c r="AZ48" i="7"/>
  <c r="AT317" i="7"/>
  <c r="AU317" i="7" s="1"/>
  <c r="AV317" i="7" s="1"/>
  <c r="BE317" i="25"/>
  <c r="BG317" i="7" s="1"/>
  <c r="BA317" i="7" s="1"/>
  <c r="BD317" i="25"/>
  <c r="Y118" i="7"/>
  <c r="BB118" i="25" s="1"/>
  <c r="BC118" i="25" s="1"/>
  <c r="BD118" i="25" s="1"/>
  <c r="AZ118" i="7"/>
  <c r="Y109" i="7"/>
  <c r="BB109" i="25" s="1"/>
  <c r="BC109" i="25" s="1"/>
  <c r="AZ109" i="7"/>
  <c r="Y110" i="7"/>
  <c r="BB110" i="25" s="1"/>
  <c r="BC110" i="25" s="1"/>
  <c r="BD110" i="25" s="1"/>
  <c r="AZ110" i="7"/>
  <c r="Y108" i="7"/>
  <c r="BB108" i="25" s="1"/>
  <c r="BC108" i="25" s="1"/>
  <c r="BE108" i="25" s="1"/>
  <c r="BG108" i="7" s="1"/>
  <c r="BA108" i="7" s="1"/>
  <c r="AZ108" i="7"/>
  <c r="BD154" i="25"/>
  <c r="BE154" i="25"/>
  <c r="BG154" i="7" s="1"/>
  <c r="BA154" i="7" s="1"/>
  <c r="AT154" i="7"/>
  <c r="AU154" i="7" s="1"/>
  <c r="AV154" i="7" s="1"/>
  <c r="BD141" i="25"/>
  <c r="BE141" i="25"/>
  <c r="BG141" i="7" s="1"/>
  <c r="BA141" i="7" s="1"/>
  <c r="AT141" i="7"/>
  <c r="AU141" i="7" s="1"/>
  <c r="AV141" i="7" s="1"/>
  <c r="AT143" i="7"/>
  <c r="AU143" i="7" s="1"/>
  <c r="AV143" i="7" s="1"/>
  <c r="BD143" i="25"/>
  <c r="BE143" i="25"/>
  <c r="BG143" i="7" s="1"/>
  <c r="BA143" i="7" s="1"/>
  <c r="BD143" i="7" s="1"/>
  <c r="BD214" i="25"/>
  <c r="BE214" i="25"/>
  <c r="BG214" i="7" s="1"/>
  <c r="BA214" i="7" s="1"/>
  <c r="AT214" i="7"/>
  <c r="AU214" i="7" s="1"/>
  <c r="AV214" i="7" s="1"/>
  <c r="BE209" i="25"/>
  <c r="BG209" i="7" s="1"/>
  <c r="BA209" i="7" s="1"/>
  <c r="BD209" i="7" s="1"/>
  <c r="BD209" i="25"/>
  <c r="AT209" i="7"/>
  <c r="AU209" i="7" s="1"/>
  <c r="AV209" i="7" s="1"/>
  <c r="BE87" i="25"/>
  <c r="BG87" i="7" s="1"/>
  <c r="BA87" i="7" s="1"/>
  <c r="BD87" i="25"/>
  <c r="AT87" i="7"/>
  <c r="AU87" i="7" s="1"/>
  <c r="AV87" i="7" s="1"/>
  <c r="BE261" i="25"/>
  <c r="BG261" i="7" s="1"/>
  <c r="BA261" i="7" s="1"/>
  <c r="AT261" i="7"/>
  <c r="AU261" i="7" s="1"/>
  <c r="AV261" i="7" s="1"/>
  <c r="BD261" i="25"/>
  <c r="BE74" i="25"/>
  <c r="BG74" i="7" s="1"/>
  <c r="BA74" i="7" s="1"/>
  <c r="AT74" i="7"/>
  <c r="AU74" i="7" s="1"/>
  <c r="AV74" i="7" s="1"/>
  <c r="BD74" i="25"/>
  <c r="BD521" i="25"/>
  <c r="BE521" i="25"/>
  <c r="BG521" i="7" s="1"/>
  <c r="BA521" i="7" s="1"/>
  <c r="BD521" i="7" s="1"/>
  <c r="AT521" i="7"/>
  <c r="AU521" i="7" s="1"/>
  <c r="AV521" i="7" s="1"/>
  <c r="Y492" i="7"/>
  <c r="BB492" i="25" s="1"/>
  <c r="BC492" i="25" s="1"/>
  <c r="AZ492" i="7"/>
  <c r="Y488" i="7"/>
  <c r="BB488" i="25" s="1"/>
  <c r="BC488" i="25" s="1"/>
  <c r="AT488" i="7" s="1"/>
  <c r="AZ488" i="7"/>
  <c r="Y489" i="7"/>
  <c r="BB489" i="25" s="1"/>
  <c r="BC489" i="25" s="1"/>
  <c r="AT489" i="7" s="1"/>
  <c r="AZ489" i="7"/>
  <c r="Y477" i="7"/>
  <c r="BB477" i="25" s="1"/>
  <c r="BC477" i="25" s="1"/>
  <c r="AZ477" i="7"/>
  <c r="Y491" i="7"/>
  <c r="BB491" i="25" s="1"/>
  <c r="BC491" i="25" s="1"/>
  <c r="AT491" i="7" s="1"/>
  <c r="AZ491" i="7"/>
  <c r="Y296" i="7"/>
  <c r="BB296" i="25" s="1"/>
  <c r="BC296" i="25" s="1"/>
  <c r="BD296" i="25" s="1"/>
  <c r="AZ296" i="7"/>
  <c r="Y308" i="7"/>
  <c r="BB308" i="25" s="1"/>
  <c r="BC308" i="25" s="1"/>
  <c r="AZ308" i="7"/>
  <c r="Y310" i="7"/>
  <c r="BB310" i="25" s="1"/>
  <c r="BC310" i="25" s="1"/>
  <c r="AZ310" i="7"/>
  <c r="Y297" i="7"/>
  <c r="BB297" i="25" s="1"/>
  <c r="BC297" i="25" s="1"/>
  <c r="AZ297" i="7"/>
  <c r="BD147" i="25"/>
  <c r="AT147" i="7"/>
  <c r="AU147" i="7" s="1"/>
  <c r="AV147" i="7" s="1"/>
  <c r="BE147" i="25"/>
  <c r="BG147" i="7" s="1"/>
  <c r="BA147" i="7" s="1"/>
  <c r="BD155" i="25"/>
  <c r="BE155" i="25"/>
  <c r="BG155" i="7" s="1"/>
  <c r="BA155" i="7" s="1"/>
  <c r="BD155" i="7" s="1"/>
  <c r="AT155" i="7"/>
  <c r="AU155" i="7" s="1"/>
  <c r="AV155" i="7" s="1"/>
  <c r="BD145" i="25"/>
  <c r="AT145" i="7"/>
  <c r="AU145" i="7" s="1"/>
  <c r="AV145" i="7" s="1"/>
  <c r="BE145" i="25"/>
  <c r="BG145" i="7" s="1"/>
  <c r="BA145" i="7" s="1"/>
  <c r="AT339" i="7"/>
  <c r="AU339" i="7" s="1"/>
  <c r="AV339" i="7" s="1"/>
  <c r="BE339" i="25"/>
  <c r="BG339" i="7" s="1"/>
  <c r="BA339" i="7" s="1"/>
  <c r="BD339" i="25"/>
  <c r="BD218" i="25"/>
  <c r="BE218" i="25"/>
  <c r="BG218" i="7" s="1"/>
  <c r="BA218" i="7" s="1"/>
  <c r="AT218" i="7"/>
  <c r="AU218" i="7" s="1"/>
  <c r="AV218" i="7" s="1"/>
  <c r="BD86" i="25"/>
  <c r="BE86" i="25"/>
  <c r="BG86" i="7" s="1"/>
  <c r="BA86" i="7" s="1"/>
  <c r="AT86" i="7"/>
  <c r="AU86" i="7" s="1"/>
  <c r="AV86" i="7" s="1"/>
  <c r="BE71" i="25"/>
  <c r="BG71" i="7" s="1"/>
  <c r="BA71" i="7" s="1"/>
  <c r="BD71" i="7" s="1"/>
  <c r="BD71" i="25"/>
  <c r="AT71" i="7"/>
  <c r="AU71" i="7" s="1"/>
  <c r="AV71" i="7" s="1"/>
  <c r="BD494" i="25"/>
  <c r="AT494" i="7"/>
  <c r="AU494" i="7" s="1"/>
  <c r="AV494" i="7" s="1"/>
  <c r="BE494" i="25"/>
  <c r="BG494" i="7" s="1"/>
  <c r="BA494" i="7" s="1"/>
  <c r="Y404" i="7"/>
  <c r="BB404" i="25" s="1"/>
  <c r="BC404" i="25" s="1"/>
  <c r="AT404" i="7" s="1"/>
  <c r="AZ404" i="7"/>
  <c r="Y393" i="7"/>
  <c r="BB393" i="25" s="1"/>
  <c r="BC393" i="25" s="1"/>
  <c r="AZ393" i="7"/>
  <c r="Y412" i="7"/>
  <c r="BB412" i="25" s="1"/>
  <c r="BC412" i="25" s="1"/>
  <c r="BD412" i="25" s="1"/>
  <c r="AZ412" i="7"/>
  <c r="Y415" i="7"/>
  <c r="BB415" i="25" s="1"/>
  <c r="BC415" i="25" s="1"/>
  <c r="AT415" i="7" s="1"/>
  <c r="AZ415" i="7"/>
  <c r="Y379" i="7"/>
  <c r="BB379" i="25" s="1"/>
  <c r="BC379" i="25" s="1"/>
  <c r="BE379" i="25" s="1"/>
  <c r="AZ379" i="7"/>
  <c r="Y358" i="7"/>
  <c r="BB358" i="25" s="1"/>
  <c r="BC358" i="25" s="1"/>
  <c r="BE358" i="25" s="1"/>
  <c r="BG358" i="7" s="1"/>
  <c r="BA358" i="7" s="1"/>
  <c r="BD358" i="7" s="1"/>
  <c r="AZ358" i="7"/>
  <c r="Y380" i="7"/>
  <c r="BB380" i="25" s="1"/>
  <c r="BC380" i="25" s="1"/>
  <c r="AT380" i="7" s="1"/>
  <c r="AU380" i="7" s="1"/>
  <c r="AV380" i="7" s="1"/>
  <c r="AZ380" i="7"/>
  <c r="Y369" i="7"/>
  <c r="BB369" i="25" s="1"/>
  <c r="BC369" i="25" s="1"/>
  <c r="AZ369" i="7"/>
  <c r="Y388" i="7"/>
  <c r="BB388" i="25" s="1"/>
  <c r="BC388" i="25" s="1"/>
  <c r="AT388" i="7" s="1"/>
  <c r="AU388" i="7" s="1"/>
  <c r="AV388" i="7" s="1"/>
  <c r="AZ388" i="7"/>
  <c r="Y391" i="7"/>
  <c r="BB391" i="25" s="1"/>
  <c r="BC391" i="25" s="1"/>
  <c r="AZ391" i="7"/>
  <c r="BD122" i="25"/>
  <c r="BE122" i="25"/>
  <c r="BG122" i="7" s="1"/>
  <c r="BA122" i="7" s="1"/>
  <c r="BD122" i="7" s="1"/>
  <c r="AT122" i="7"/>
  <c r="AU122" i="7" s="1"/>
  <c r="AV122" i="7" s="1"/>
  <c r="BD22" i="25"/>
  <c r="AT22" i="7"/>
  <c r="AU22" i="7" s="1"/>
  <c r="AV22" i="7" s="1"/>
  <c r="BE22" i="25"/>
  <c r="BG22" i="7" s="1"/>
  <c r="BA22" i="7" s="1"/>
  <c r="Y250" i="7"/>
  <c r="BB250" i="25" s="1"/>
  <c r="BC250" i="25" s="1"/>
  <c r="AT250" i="7" s="1"/>
  <c r="AZ250" i="7"/>
  <c r="Y256" i="7"/>
  <c r="BB256" i="25" s="1"/>
  <c r="BC256" i="25" s="1"/>
  <c r="BD256" i="25" s="1"/>
  <c r="AZ256" i="7"/>
  <c r="Y247" i="7"/>
  <c r="BB247" i="25" s="1"/>
  <c r="BC247" i="25" s="1"/>
  <c r="AZ247" i="7"/>
  <c r="Y239" i="7"/>
  <c r="BB239" i="25" s="1"/>
  <c r="BC239" i="25" s="1"/>
  <c r="AZ239" i="7"/>
  <c r="Y245" i="7"/>
  <c r="BB245" i="25" s="1"/>
  <c r="BC245" i="25" s="1"/>
  <c r="AZ245" i="7"/>
  <c r="BD85" i="25"/>
  <c r="BD139" i="25"/>
  <c r="BD322" i="25"/>
  <c r="BD511" i="25"/>
  <c r="BD289" i="25"/>
  <c r="BD30" i="25"/>
  <c r="BD142" i="25"/>
  <c r="AT142" i="7"/>
  <c r="AU142" i="7" s="1"/>
  <c r="AV142" i="7" s="1"/>
  <c r="BE142" i="25"/>
  <c r="BG142" i="7" s="1"/>
  <c r="BA142" i="7" s="1"/>
  <c r="AT334" i="7"/>
  <c r="AU334" i="7" s="1"/>
  <c r="AV334" i="7" s="1"/>
  <c r="BE334" i="25"/>
  <c r="BG334" i="7" s="1"/>
  <c r="BA334" i="7" s="1"/>
  <c r="BD334" i="7" s="1"/>
  <c r="BD334" i="25"/>
  <c r="AT340" i="7"/>
  <c r="AU340" i="7" s="1"/>
  <c r="AV340" i="7" s="1"/>
  <c r="BD340" i="25"/>
  <c r="BE340" i="25"/>
  <c r="BG340" i="7" s="1"/>
  <c r="BA340" i="7" s="1"/>
  <c r="BD351" i="25"/>
  <c r="BE351" i="25"/>
  <c r="BG351" i="7" s="1"/>
  <c r="BA351" i="7" s="1"/>
  <c r="AT223" i="7"/>
  <c r="AU223" i="7" s="1"/>
  <c r="AV223" i="7" s="1"/>
  <c r="BD223" i="25"/>
  <c r="BE223" i="25"/>
  <c r="BG223" i="7" s="1"/>
  <c r="BA223" i="7" s="1"/>
  <c r="BD223" i="7" s="1"/>
  <c r="BE213" i="25"/>
  <c r="BG213" i="7" s="1"/>
  <c r="BA213" i="7" s="1"/>
  <c r="AT213" i="7"/>
  <c r="AU213" i="7" s="1"/>
  <c r="AV213" i="7" s="1"/>
  <c r="Y543" i="7"/>
  <c r="BB543" i="25" s="1"/>
  <c r="BC543" i="25" s="1"/>
  <c r="AT543" i="7" s="1"/>
  <c r="AZ543" i="7"/>
  <c r="Y538" i="7"/>
  <c r="BB538" i="25" s="1"/>
  <c r="BC538" i="25" s="1"/>
  <c r="AZ538" i="7"/>
  <c r="Y544" i="7"/>
  <c r="BB544" i="25" s="1"/>
  <c r="BC544" i="25" s="1"/>
  <c r="BD544" i="25" s="1"/>
  <c r="AZ544" i="7"/>
  <c r="Y545" i="7"/>
  <c r="BB545" i="25" s="1"/>
  <c r="BC545" i="25" s="1"/>
  <c r="AZ545" i="7"/>
  <c r="Y50" i="7"/>
  <c r="BB50" i="25" s="1"/>
  <c r="BC50" i="25" s="1"/>
  <c r="AT50" i="7" s="1"/>
  <c r="AU50" i="7" s="1"/>
  <c r="AV50" i="7" s="1"/>
  <c r="AZ50" i="7"/>
  <c r="Y44" i="7"/>
  <c r="BB44" i="25" s="1"/>
  <c r="BC44" i="25" s="1"/>
  <c r="AT44" i="7" s="1"/>
  <c r="AZ44" i="7"/>
  <c r="Y41" i="7"/>
  <c r="BB41" i="25" s="1"/>
  <c r="BC41" i="25" s="1"/>
  <c r="AT41" i="7" s="1"/>
  <c r="AU41" i="7" s="1"/>
  <c r="AV41" i="7" s="1"/>
  <c r="AZ41" i="7"/>
  <c r="Y45" i="7"/>
  <c r="BB45" i="25" s="1"/>
  <c r="BC45" i="25" s="1"/>
  <c r="AZ45" i="7"/>
  <c r="Y63" i="7"/>
  <c r="BB63" i="25" s="1"/>
  <c r="BC63" i="25" s="1"/>
  <c r="AZ63" i="7"/>
  <c r="Y116" i="7"/>
  <c r="BB116" i="25" s="1"/>
  <c r="BC116" i="25" s="1"/>
  <c r="AT116" i="7" s="1"/>
  <c r="AZ116" i="7"/>
  <c r="Y113" i="7"/>
  <c r="BB113" i="25" s="1"/>
  <c r="BC113" i="25" s="1"/>
  <c r="BD113" i="25" s="1"/>
  <c r="AZ113" i="7"/>
  <c r="Y117" i="7"/>
  <c r="BB117" i="25" s="1"/>
  <c r="BC117" i="25" s="1"/>
  <c r="AZ117" i="7"/>
  <c r="BE72" i="25"/>
  <c r="BG72" i="7" s="1"/>
  <c r="BA72" i="7" s="1"/>
  <c r="BD72" i="25"/>
  <c r="AT72" i="7"/>
  <c r="AU72" i="7" s="1"/>
  <c r="AV72" i="7" s="1"/>
  <c r="Y479" i="7"/>
  <c r="BB479" i="25" s="1"/>
  <c r="BC479" i="25" s="1"/>
  <c r="BE479" i="25" s="1"/>
  <c r="AZ479" i="7"/>
  <c r="Y483" i="7"/>
  <c r="BB483" i="25" s="1"/>
  <c r="BC483" i="25" s="1"/>
  <c r="AZ483" i="7"/>
  <c r="Y485" i="7"/>
  <c r="BB485" i="25" s="1"/>
  <c r="BC485" i="25" s="1"/>
  <c r="AZ485" i="7"/>
  <c r="Y484" i="7"/>
  <c r="BB484" i="25" s="1"/>
  <c r="BC484" i="25" s="1"/>
  <c r="BE484" i="25" s="1"/>
  <c r="BG484" i="7" s="1"/>
  <c r="BA484" i="7" s="1"/>
  <c r="AZ484" i="7"/>
  <c r="Y481" i="7"/>
  <c r="BB481" i="25" s="1"/>
  <c r="BC481" i="25" s="1"/>
  <c r="AZ481" i="7"/>
  <c r="BD130" i="25"/>
  <c r="AT130" i="7"/>
  <c r="AU130" i="7" s="1"/>
  <c r="AV130" i="7" s="1"/>
  <c r="BE130" i="25"/>
  <c r="BG130" i="7" s="1"/>
  <c r="BA130" i="7" s="1"/>
  <c r="BD130" i="7" s="1"/>
  <c r="BE325" i="25"/>
  <c r="BG325" i="7" s="1"/>
  <c r="BA325" i="7" s="1"/>
  <c r="BD325" i="25"/>
  <c r="AT325" i="7"/>
  <c r="AU325" i="7" s="1"/>
  <c r="AV325" i="7" s="1"/>
  <c r="Y304" i="7"/>
  <c r="BB304" i="25" s="1"/>
  <c r="BC304" i="25" s="1"/>
  <c r="AZ304" i="7"/>
  <c r="Y306" i="7"/>
  <c r="BB306" i="25" s="1"/>
  <c r="BC306" i="25" s="1"/>
  <c r="BD306" i="25" s="1"/>
  <c r="AZ306" i="7"/>
  <c r="Y305" i="7"/>
  <c r="BB305" i="25" s="1"/>
  <c r="BC305" i="25" s="1"/>
  <c r="AZ305" i="7"/>
  <c r="Y303" i="7"/>
  <c r="BB303" i="25" s="1"/>
  <c r="BC303" i="25" s="1"/>
  <c r="BD303" i="25" s="1"/>
  <c r="AZ303" i="7"/>
  <c r="BE153" i="25"/>
  <c r="BG153" i="7" s="1"/>
  <c r="BA153" i="7" s="1"/>
  <c r="BD153" i="7" s="1"/>
  <c r="AT153" i="7"/>
  <c r="AU153" i="7" s="1"/>
  <c r="AV153" i="7" s="1"/>
  <c r="BD153" i="25"/>
  <c r="BE315" i="25"/>
  <c r="BG315" i="7" s="1"/>
  <c r="BA315" i="7" s="1"/>
  <c r="BD315" i="7" s="1"/>
  <c r="AT315" i="7"/>
  <c r="AU315" i="7" s="1"/>
  <c r="AV315" i="7" s="1"/>
  <c r="BD315" i="25"/>
  <c r="AT23" i="7"/>
  <c r="AU23" i="7" s="1"/>
  <c r="AV23" i="7" s="1"/>
  <c r="BD23" i="25"/>
  <c r="BE23" i="25"/>
  <c r="BG23" i="7" s="1"/>
  <c r="BA23" i="7" s="1"/>
  <c r="BE24" i="25"/>
  <c r="BG24" i="7" s="1"/>
  <c r="BA24" i="7" s="1"/>
  <c r="BD24" i="25"/>
  <c r="AT24" i="7"/>
  <c r="AU24" i="7" s="1"/>
  <c r="AV24" i="7" s="1"/>
  <c r="Y405" i="7"/>
  <c r="BB405" i="25" s="1"/>
  <c r="BC405" i="25" s="1"/>
  <c r="BE405" i="25" s="1"/>
  <c r="AZ405" i="7"/>
  <c r="Y409" i="7"/>
  <c r="BB409" i="25" s="1"/>
  <c r="BC409" i="25" s="1"/>
  <c r="BD409" i="25" s="1"/>
  <c r="AZ409" i="7"/>
  <c r="Y414" i="7"/>
  <c r="BB414" i="25" s="1"/>
  <c r="BC414" i="25" s="1"/>
  <c r="AZ414" i="7"/>
  <c r="Y403" i="7"/>
  <c r="BB403" i="25" s="1"/>
  <c r="BC403" i="25" s="1"/>
  <c r="AT403" i="7" s="1"/>
  <c r="AU403" i="7" s="1"/>
  <c r="AV403" i="7" s="1"/>
  <c r="AZ403" i="7"/>
  <c r="Y411" i="7"/>
  <c r="BB411" i="25" s="1"/>
  <c r="BC411" i="25" s="1"/>
  <c r="AT411" i="7" s="1"/>
  <c r="AU411" i="7" s="1"/>
  <c r="AV411" i="7" s="1"/>
  <c r="AZ411" i="7"/>
  <c r="BD309" i="25"/>
  <c r="AT309" i="7"/>
  <c r="AU309" i="7" s="1"/>
  <c r="AV309" i="7" s="1"/>
  <c r="BE309" i="25"/>
  <c r="BG309" i="7" s="1"/>
  <c r="BA309" i="7" s="1"/>
  <c r="AT526" i="7"/>
  <c r="AU526" i="7" s="1"/>
  <c r="AV526" i="7" s="1"/>
  <c r="BE526" i="25"/>
  <c r="BG526" i="7" s="1"/>
  <c r="BA526" i="7" s="1"/>
  <c r="BD526" i="7" s="1"/>
  <c r="BD526" i="25"/>
  <c r="Y378" i="7"/>
  <c r="BB378" i="25" s="1"/>
  <c r="BC378" i="25" s="1"/>
  <c r="AZ378" i="7"/>
  <c r="Y368" i="7"/>
  <c r="BB368" i="25" s="1"/>
  <c r="BC368" i="25" s="1"/>
  <c r="AT368" i="7" s="1"/>
  <c r="AU368" i="7" s="1"/>
  <c r="AV368" i="7" s="1"/>
  <c r="AZ368" i="7"/>
  <c r="Y390" i="7"/>
  <c r="BB390" i="25" s="1"/>
  <c r="BC390" i="25" s="1"/>
  <c r="AZ390" i="7"/>
  <c r="Y382" i="7"/>
  <c r="BB382" i="25" s="1"/>
  <c r="BC382" i="25" s="1"/>
  <c r="BE382" i="25" s="1"/>
  <c r="BG382" i="7" s="1"/>
  <c r="BA382" i="7" s="1"/>
  <c r="BD382" i="7" s="1"/>
  <c r="AZ382" i="7"/>
  <c r="Y372" i="7"/>
  <c r="BB372" i="25" s="1"/>
  <c r="BC372" i="25" s="1"/>
  <c r="AZ372" i="7"/>
  <c r="Y249" i="7"/>
  <c r="BB249" i="25" s="1"/>
  <c r="BC249" i="25" s="1"/>
  <c r="BD249" i="25" s="1"/>
  <c r="AZ249" i="7"/>
  <c r="Y251" i="7"/>
  <c r="BB251" i="25" s="1"/>
  <c r="BC251" i="25" s="1"/>
  <c r="AZ251" i="7"/>
  <c r="Y248" i="7"/>
  <c r="BB248" i="25" s="1"/>
  <c r="BC248" i="25" s="1"/>
  <c r="BD248" i="25" s="1"/>
  <c r="AZ248" i="7"/>
  <c r="Y237" i="7"/>
  <c r="BB237" i="25" s="1"/>
  <c r="BC237" i="25" s="1"/>
  <c r="AT237" i="7" s="1"/>
  <c r="AZ237" i="7"/>
  <c r="Y243" i="7"/>
  <c r="BB243" i="25" s="1"/>
  <c r="BC243" i="25" s="1"/>
  <c r="AZ243" i="7"/>
  <c r="BD485" i="25"/>
  <c r="BD320" i="25"/>
  <c r="BD52" i="25"/>
  <c r="BD545" i="25"/>
  <c r="BD44" i="25"/>
  <c r="BD250" i="25"/>
  <c r="BD574" i="25"/>
  <c r="BD29" i="25"/>
  <c r="AT283" i="7"/>
  <c r="BD222" i="25"/>
  <c r="BD73" i="25"/>
  <c r="BD18" i="25"/>
  <c r="BD109" i="25"/>
  <c r="BD525" i="25"/>
  <c r="BD105" i="25"/>
  <c r="Y549" i="7"/>
  <c r="BB549" i="25" s="1"/>
  <c r="BC549" i="25" s="1"/>
  <c r="AT549" i="7" s="1"/>
  <c r="AZ549" i="7"/>
  <c r="Y551" i="7"/>
  <c r="BB551" i="25" s="1"/>
  <c r="BC551" i="25" s="1"/>
  <c r="AZ551" i="7"/>
  <c r="Y548" i="7"/>
  <c r="BB548" i="25" s="1"/>
  <c r="BC548" i="25" s="1"/>
  <c r="AZ548" i="7"/>
  <c r="Y527" i="7"/>
  <c r="BB527" i="25" s="1"/>
  <c r="BC527" i="25" s="1"/>
  <c r="BE527" i="25" s="1"/>
  <c r="BG527" i="7" s="1"/>
  <c r="BA527" i="7" s="1"/>
  <c r="BD527" i="7" s="1"/>
  <c r="AZ527" i="7"/>
  <c r="Y49" i="7"/>
  <c r="BB49" i="25" s="1"/>
  <c r="BC49" i="25" s="1"/>
  <c r="BD49" i="25" s="1"/>
  <c r="AZ49" i="7"/>
  <c r="Y51" i="7"/>
  <c r="BB51" i="25" s="1"/>
  <c r="BC51" i="25" s="1"/>
  <c r="AZ51" i="7"/>
  <c r="Y36" i="7"/>
  <c r="BB36" i="25" s="1"/>
  <c r="BC36" i="25" s="1"/>
  <c r="AT36" i="7" s="1"/>
  <c r="AZ36" i="7"/>
  <c r="Y57" i="7"/>
  <c r="BB57" i="25" s="1"/>
  <c r="BC57" i="25" s="1"/>
  <c r="AZ57" i="7"/>
  <c r="Y47" i="7"/>
  <c r="BB47" i="25" s="1"/>
  <c r="BC47" i="25" s="1"/>
  <c r="AZ47" i="7"/>
  <c r="Y46" i="7"/>
  <c r="BB46" i="25" s="1"/>
  <c r="BC46" i="25" s="1"/>
  <c r="AZ46" i="7"/>
  <c r="BD127" i="25"/>
  <c r="AT127" i="7"/>
  <c r="AU127" i="7" s="1"/>
  <c r="AV127" i="7" s="1"/>
  <c r="BE127" i="25"/>
  <c r="BG127" i="7" s="1"/>
  <c r="BA127" i="7" s="1"/>
  <c r="BD127" i="7" s="1"/>
  <c r="BE316" i="25"/>
  <c r="BG316" i="7" s="1"/>
  <c r="BA316" i="7" s="1"/>
  <c r="AT316" i="7"/>
  <c r="AU316" i="7" s="1"/>
  <c r="AV316" i="7" s="1"/>
  <c r="BD316" i="25"/>
  <c r="Y112" i="7"/>
  <c r="BB112" i="25" s="1"/>
  <c r="BC112" i="25" s="1"/>
  <c r="AZ112" i="7"/>
  <c r="Y107" i="7"/>
  <c r="BB107" i="25" s="1"/>
  <c r="BC107" i="25" s="1"/>
  <c r="AT107" i="7" s="1"/>
  <c r="AZ107" i="7"/>
  <c r="Y111" i="7"/>
  <c r="BB111" i="25" s="1"/>
  <c r="BC111" i="25" s="1"/>
  <c r="AZ111" i="7"/>
  <c r="Y99" i="7"/>
  <c r="BB99" i="25" s="1"/>
  <c r="BC99" i="25" s="1"/>
  <c r="AZ99" i="7"/>
  <c r="AT314" i="7"/>
  <c r="AU314" i="7" s="1"/>
  <c r="AV314" i="7" s="1"/>
  <c r="BE314" i="25"/>
  <c r="BG314" i="7" s="1"/>
  <c r="BA314" i="7" s="1"/>
  <c r="BD314" i="7" s="1"/>
  <c r="AT341" i="7"/>
  <c r="AU341" i="7" s="1"/>
  <c r="AV341" i="7" s="1"/>
  <c r="BE341" i="25"/>
  <c r="BG341" i="7" s="1"/>
  <c r="BA341" i="7" s="1"/>
  <c r="BD341" i="7" s="1"/>
  <c r="BD341" i="25"/>
  <c r="BD215" i="25"/>
  <c r="BE215" i="25"/>
  <c r="BG215" i="7" s="1"/>
  <c r="BA215" i="7" s="1"/>
  <c r="AT215" i="7"/>
  <c r="AU215" i="7" s="1"/>
  <c r="AV215" i="7" s="1"/>
  <c r="BE219" i="25"/>
  <c r="BG219" i="7" s="1"/>
  <c r="BA219" i="7" s="1"/>
  <c r="BD219" i="25"/>
  <c r="AT219" i="7"/>
  <c r="AU219" i="7" s="1"/>
  <c r="AV219" i="7" s="1"/>
  <c r="Y460" i="7"/>
  <c r="BB460" i="25" s="1"/>
  <c r="BC460" i="25" s="1"/>
  <c r="AZ460" i="7"/>
  <c r="Y482" i="7"/>
  <c r="BB482" i="25" s="1"/>
  <c r="BC482" i="25" s="1"/>
  <c r="AZ482" i="7"/>
  <c r="Y474" i="7"/>
  <c r="BB474" i="25" s="1"/>
  <c r="BC474" i="25" s="1"/>
  <c r="AZ474" i="7"/>
  <c r="Y475" i="7"/>
  <c r="BB475" i="25" s="1"/>
  <c r="BC475" i="25" s="1"/>
  <c r="BE475" i="25" s="1"/>
  <c r="AZ475" i="7"/>
  <c r="Y476" i="7"/>
  <c r="BB476" i="25" s="1"/>
  <c r="BC476" i="25" s="1"/>
  <c r="AZ476" i="7"/>
  <c r="Y307" i="7"/>
  <c r="BB307" i="25" s="1"/>
  <c r="BC307" i="25" s="1"/>
  <c r="AZ307" i="7"/>
  <c r="Y298" i="7"/>
  <c r="BB298" i="25" s="1"/>
  <c r="BC298" i="25" s="1"/>
  <c r="AT298" i="7" s="1"/>
  <c r="AZ298" i="7"/>
  <c r="Y299" i="7"/>
  <c r="BB299" i="25" s="1"/>
  <c r="BC299" i="25" s="1"/>
  <c r="BE299" i="25" s="1"/>
  <c r="BG299" i="7" s="1"/>
  <c r="BA299" i="7" s="1"/>
  <c r="BD299" i="7" s="1"/>
  <c r="AZ299" i="7"/>
  <c r="Y311" i="7"/>
  <c r="BB311" i="25" s="1"/>
  <c r="BC311" i="25" s="1"/>
  <c r="BD311" i="25" s="1"/>
  <c r="AZ311" i="7"/>
  <c r="BD132" i="25"/>
  <c r="BE132" i="25"/>
  <c r="BG132" i="7" s="1"/>
  <c r="BA132" i="7" s="1"/>
  <c r="AT132" i="7"/>
  <c r="AU132" i="7" s="1"/>
  <c r="AV132" i="7" s="1"/>
  <c r="BD156" i="25"/>
  <c r="BE156" i="25"/>
  <c r="BG156" i="7" s="1"/>
  <c r="BA156" i="7" s="1"/>
  <c r="AT156" i="7"/>
  <c r="AU156" i="7" s="1"/>
  <c r="AV156" i="7" s="1"/>
  <c r="BD131" i="25"/>
  <c r="BE131" i="25"/>
  <c r="BG131" i="7" s="1"/>
  <c r="BA131" i="7" s="1"/>
  <c r="AT131" i="7"/>
  <c r="AU131" i="7" s="1"/>
  <c r="AV131" i="7" s="1"/>
  <c r="BD353" i="25"/>
  <c r="AT353" i="7"/>
  <c r="AU353" i="7" s="1"/>
  <c r="AV353" i="7" s="1"/>
  <c r="BE353" i="25"/>
  <c r="BG353" i="7" s="1"/>
  <c r="BA353" i="7" s="1"/>
  <c r="BD353" i="7" s="1"/>
  <c r="BE338" i="25"/>
  <c r="BG338" i="7" s="1"/>
  <c r="BA338" i="7" s="1"/>
  <c r="BD338" i="7" s="1"/>
  <c r="AT338" i="7"/>
  <c r="AU338" i="7" s="1"/>
  <c r="AV338" i="7" s="1"/>
  <c r="BD338" i="25"/>
  <c r="BD211" i="25"/>
  <c r="AT211" i="7"/>
  <c r="AU211" i="7" s="1"/>
  <c r="AV211" i="7" s="1"/>
  <c r="BE211" i="25"/>
  <c r="BG211" i="7" s="1"/>
  <c r="BA211" i="7" s="1"/>
  <c r="BD211" i="7" s="1"/>
  <c r="BE89" i="25"/>
  <c r="BG89" i="7" s="1"/>
  <c r="BA89" i="7" s="1"/>
  <c r="BD89" i="25"/>
  <c r="AT89" i="7"/>
  <c r="AU89" i="7" s="1"/>
  <c r="AV89" i="7" s="1"/>
  <c r="BE279" i="25"/>
  <c r="BG279" i="7" s="1"/>
  <c r="BA279" i="7" s="1"/>
  <c r="BD279" i="7" s="1"/>
  <c r="AT279" i="7"/>
  <c r="AU279" i="7" s="1"/>
  <c r="AV279" i="7" s="1"/>
  <c r="BD279" i="25"/>
  <c r="BD68" i="25"/>
  <c r="BE68" i="25"/>
  <c r="BG68" i="7" s="1"/>
  <c r="BA68" i="7" s="1"/>
  <c r="AT68" i="7"/>
  <c r="AU68" i="7" s="1"/>
  <c r="AV68" i="7" s="1"/>
  <c r="BE519" i="25"/>
  <c r="BG519" i="7" s="1"/>
  <c r="BA519" i="7" s="1"/>
  <c r="BD519" i="7" s="1"/>
  <c r="BD519" i="25"/>
  <c r="AT519" i="7"/>
  <c r="AU519" i="7" s="1"/>
  <c r="AV519" i="7" s="1"/>
  <c r="BE516" i="25"/>
  <c r="BG516" i="7" s="1"/>
  <c r="BA516" i="7" s="1"/>
  <c r="AT516" i="7"/>
  <c r="AU516" i="7" s="1"/>
  <c r="AV516" i="7" s="1"/>
  <c r="BD516" i="25"/>
  <c r="Y406" i="7"/>
  <c r="BB406" i="25" s="1"/>
  <c r="BC406" i="25" s="1"/>
  <c r="AZ406" i="7"/>
  <c r="Y423" i="7"/>
  <c r="BB423" i="25" s="1"/>
  <c r="BC423" i="25" s="1"/>
  <c r="BE423" i="25" s="1"/>
  <c r="BG423" i="7" s="1"/>
  <c r="BA423" i="7" s="1"/>
  <c r="AZ423" i="7"/>
  <c r="Y408" i="7"/>
  <c r="BB408" i="25" s="1"/>
  <c r="BC408" i="25" s="1"/>
  <c r="AT408" i="7" s="1"/>
  <c r="AU408" i="7" s="1"/>
  <c r="AV408" i="7" s="1"/>
  <c r="AZ408" i="7"/>
  <c r="Y402" i="7"/>
  <c r="BB402" i="25" s="1"/>
  <c r="BC402" i="25" s="1"/>
  <c r="BD402" i="25" s="1"/>
  <c r="AZ402" i="7"/>
  <c r="AT94" i="7"/>
  <c r="AU94" i="7" s="1"/>
  <c r="AV94" i="7" s="1"/>
  <c r="BD94" i="25"/>
  <c r="BE94" i="25"/>
  <c r="BG94" i="7" s="1"/>
  <c r="BA94" i="7" s="1"/>
  <c r="BD94" i="7" s="1"/>
  <c r="Y387" i="7"/>
  <c r="BB387" i="25" s="1"/>
  <c r="BC387" i="25" s="1"/>
  <c r="BD387" i="25" s="1"/>
  <c r="AZ387" i="7"/>
  <c r="Y392" i="7"/>
  <c r="BB392" i="25" s="1"/>
  <c r="BC392" i="25" s="1"/>
  <c r="AT392" i="7" s="1"/>
  <c r="AZ392" i="7"/>
  <c r="Y370" i="7"/>
  <c r="BB370" i="25" s="1"/>
  <c r="BC370" i="25" s="1"/>
  <c r="AZ370" i="7"/>
  <c r="Y371" i="7"/>
  <c r="BB371" i="25" s="1"/>
  <c r="BC371" i="25" s="1"/>
  <c r="BD371" i="25" s="1"/>
  <c r="AZ371" i="7"/>
  <c r="Y376" i="7"/>
  <c r="BB376" i="25" s="1"/>
  <c r="BC376" i="25" s="1"/>
  <c r="AZ376" i="7"/>
  <c r="Y375" i="7"/>
  <c r="BB375" i="25" s="1"/>
  <c r="BC375" i="25" s="1"/>
  <c r="BE375" i="25" s="1"/>
  <c r="BG375" i="7" s="1"/>
  <c r="BA375" i="7" s="1"/>
  <c r="AZ375" i="7"/>
  <c r="Y241" i="7"/>
  <c r="BB241" i="25" s="1"/>
  <c r="BC241" i="25" s="1"/>
  <c r="AZ241" i="7"/>
  <c r="Y259" i="7"/>
  <c r="BB259" i="25" s="1"/>
  <c r="BC259" i="25" s="1"/>
  <c r="AZ259" i="7"/>
  <c r="Y225" i="7"/>
  <c r="BB225" i="25" s="1"/>
  <c r="BC225" i="25" s="1"/>
  <c r="BD225" i="25" s="1"/>
  <c r="AZ225" i="7"/>
  <c r="Y238" i="7"/>
  <c r="BB238" i="25" s="1"/>
  <c r="BC238" i="25" s="1"/>
  <c r="AZ238" i="7"/>
  <c r="Y260" i="7"/>
  <c r="BB260" i="25" s="1"/>
  <c r="BC260" i="25" s="1"/>
  <c r="AZ260" i="7"/>
  <c r="Y244" i="7"/>
  <c r="BB244" i="25" s="1"/>
  <c r="BC244" i="25" s="1"/>
  <c r="AZ244" i="7"/>
  <c r="BD415" i="25"/>
  <c r="BD220" i="25"/>
  <c r="BD356" i="25"/>
  <c r="BD342" i="25"/>
  <c r="BD237" i="25"/>
  <c r="BD273" i="25"/>
  <c r="BD152" i="25"/>
  <c r="BD55" i="25"/>
  <c r="BD80" i="25"/>
  <c r="BD547" i="25"/>
  <c r="BD297" i="25"/>
  <c r="BD93" i="25"/>
  <c r="BD124" i="25"/>
  <c r="BE432" i="25"/>
  <c r="BG432" i="7" s="1"/>
  <c r="BA432" i="7" s="1"/>
  <c r="BD432" i="7" s="1"/>
  <c r="BD500" i="25"/>
  <c r="BD150" i="25"/>
  <c r="AT351" i="7"/>
  <c r="AU351" i="7" s="1"/>
  <c r="AV351" i="7" s="1"/>
  <c r="BD378" i="25"/>
  <c r="BD138" i="25"/>
  <c r="AT138" i="7"/>
  <c r="AU138" i="7" s="1"/>
  <c r="AV138" i="7" s="1"/>
  <c r="BE138" i="25"/>
  <c r="BG138" i="7" s="1"/>
  <c r="BA138" i="7" s="1"/>
  <c r="BD333" i="25"/>
  <c r="AT333" i="7"/>
  <c r="AU333" i="7" s="1"/>
  <c r="AV333" i="7" s="1"/>
  <c r="BE333" i="25"/>
  <c r="BG333" i="7" s="1"/>
  <c r="BA333" i="7" s="1"/>
  <c r="BE352" i="25"/>
  <c r="BG352" i="7" s="1"/>
  <c r="BA352" i="7" s="1"/>
  <c r="BD352" i="7" s="1"/>
  <c r="AT352" i="7"/>
  <c r="AU352" i="7" s="1"/>
  <c r="AV352" i="7" s="1"/>
  <c r="BD352" i="25"/>
  <c r="BD67" i="25"/>
  <c r="BE67" i="25"/>
  <c r="BG67" i="7" s="1"/>
  <c r="BA67" i="7" s="1"/>
  <c r="BD67" i="7" s="1"/>
  <c r="AT67" i="7"/>
  <c r="AU67" i="7" s="1"/>
  <c r="AV67" i="7" s="1"/>
  <c r="Y555" i="7"/>
  <c r="BB555" i="25" s="1"/>
  <c r="BC555" i="25" s="1"/>
  <c r="BE555" i="25" s="1"/>
  <c r="AZ555" i="7"/>
  <c r="Y550" i="7"/>
  <c r="BB550" i="25" s="1"/>
  <c r="BC550" i="25" s="1"/>
  <c r="AZ550" i="7"/>
  <c r="Y546" i="7"/>
  <c r="BB546" i="25" s="1"/>
  <c r="BC546" i="25" s="1"/>
  <c r="AT546" i="7" s="1"/>
  <c r="AZ546" i="7"/>
  <c r="Y542" i="7"/>
  <c r="BB542" i="25" s="1"/>
  <c r="BC542" i="25" s="1"/>
  <c r="AT542" i="7" s="1"/>
  <c r="AZ542" i="7"/>
  <c r="Y43" i="7"/>
  <c r="BB43" i="25" s="1"/>
  <c r="BC43" i="25" s="1"/>
  <c r="AZ43" i="7"/>
  <c r="Y65" i="7"/>
  <c r="BB65" i="25" s="1"/>
  <c r="BC65" i="25" s="1"/>
  <c r="AZ65" i="7"/>
  <c r="Y53" i="7"/>
  <c r="BB53" i="25" s="1"/>
  <c r="BC53" i="25" s="1"/>
  <c r="AZ53" i="7"/>
  <c r="Y54" i="7"/>
  <c r="BB54" i="25" s="1"/>
  <c r="BC54" i="25" s="1"/>
  <c r="BD54" i="25" s="1"/>
  <c r="AZ54" i="7"/>
  <c r="Y56" i="7"/>
  <c r="BB56" i="25" s="1"/>
  <c r="BC56" i="25" s="1"/>
  <c r="BD56" i="25" s="1"/>
  <c r="AZ56" i="7"/>
  <c r="Y115" i="7"/>
  <c r="BB115" i="25" s="1"/>
  <c r="BC115" i="25" s="1"/>
  <c r="AZ115" i="7"/>
  <c r="Y119" i="7"/>
  <c r="BB119" i="25" s="1"/>
  <c r="BC119" i="25" s="1"/>
  <c r="AT119" i="7" s="1"/>
  <c r="AU119" i="7" s="1"/>
  <c r="AV119" i="7" s="1"/>
  <c r="AZ119" i="7"/>
  <c r="Y114" i="7"/>
  <c r="BB114" i="25" s="1"/>
  <c r="BC114" i="25" s="1"/>
  <c r="AZ114" i="7"/>
  <c r="Y106" i="7"/>
  <c r="BB106" i="25" s="1"/>
  <c r="BC106" i="25" s="1"/>
  <c r="AT106" i="7" s="1"/>
  <c r="AZ106" i="7"/>
  <c r="BD92" i="25"/>
  <c r="BE92" i="25"/>
  <c r="BG92" i="7" s="1"/>
  <c r="BA92" i="7" s="1"/>
  <c r="BD92" i="7" s="1"/>
  <c r="AT92" i="7"/>
  <c r="AU92" i="7" s="1"/>
  <c r="AV92" i="7" s="1"/>
  <c r="Y480" i="7"/>
  <c r="BB480" i="25" s="1"/>
  <c r="BC480" i="25" s="1"/>
  <c r="AZ480" i="7"/>
  <c r="Y486" i="7"/>
  <c r="BB486" i="25" s="1"/>
  <c r="BC486" i="25" s="1"/>
  <c r="AZ486" i="7"/>
  <c r="Y461" i="7"/>
  <c r="BB461" i="25" s="1"/>
  <c r="BC461" i="25" s="1"/>
  <c r="BE461" i="25" s="1"/>
  <c r="BG461" i="7" s="1"/>
  <c r="BA461" i="7" s="1"/>
  <c r="AZ461" i="7"/>
  <c r="Y478" i="7"/>
  <c r="BB478" i="25" s="1"/>
  <c r="BC478" i="25" s="1"/>
  <c r="AZ478" i="7"/>
  <c r="BD27" i="25"/>
  <c r="BE27" i="25"/>
  <c r="BG27" i="7" s="1"/>
  <c r="BA27" i="7" s="1"/>
  <c r="AT27" i="7"/>
  <c r="AU27" i="7" s="1"/>
  <c r="AV27" i="7" s="1"/>
  <c r="Y312" i="7"/>
  <c r="BB312" i="25" s="1"/>
  <c r="BC312" i="25" s="1"/>
  <c r="AZ312" i="7"/>
  <c r="Y300" i="7"/>
  <c r="BB300" i="25" s="1"/>
  <c r="BC300" i="25" s="1"/>
  <c r="BD300" i="25" s="1"/>
  <c r="AZ300" i="7"/>
  <c r="Y295" i="7"/>
  <c r="BB295" i="25" s="1"/>
  <c r="BC295" i="25" s="1"/>
  <c r="BD295" i="25" s="1"/>
  <c r="AZ295" i="7"/>
  <c r="Y301" i="7"/>
  <c r="BB301" i="25" s="1"/>
  <c r="BC301" i="25" s="1"/>
  <c r="AT301" i="7" s="1"/>
  <c r="AU301" i="7" s="1"/>
  <c r="AV301" i="7" s="1"/>
  <c r="AZ301" i="7"/>
  <c r="BD128" i="25"/>
  <c r="BE128" i="25"/>
  <c r="BG128" i="7" s="1"/>
  <c r="BA128" i="7" s="1"/>
  <c r="AT128" i="7"/>
  <c r="AU128" i="7" s="1"/>
  <c r="AV128" i="7" s="1"/>
  <c r="BE21" i="25"/>
  <c r="BG21" i="7" s="1"/>
  <c r="BA21" i="7" s="1"/>
  <c r="BD21" i="7" s="1"/>
  <c r="BD21" i="25"/>
  <c r="AT21" i="7"/>
  <c r="AU21" i="7" s="1"/>
  <c r="AV21" i="7" s="1"/>
  <c r="BD19" i="25"/>
  <c r="BE19" i="25"/>
  <c r="BG19" i="7" s="1"/>
  <c r="BA19" i="7" s="1"/>
  <c r="AT19" i="7"/>
  <c r="AU19" i="7" s="1"/>
  <c r="AV19" i="7" s="1"/>
  <c r="Y413" i="7"/>
  <c r="BB413" i="25" s="1"/>
  <c r="BC413" i="25" s="1"/>
  <c r="BD413" i="25" s="1"/>
  <c r="AZ413" i="7"/>
  <c r="Y419" i="7"/>
  <c r="BB419" i="25" s="1"/>
  <c r="BC419" i="25" s="1"/>
  <c r="AZ419" i="7"/>
  <c r="Y407" i="7"/>
  <c r="BB407" i="25" s="1"/>
  <c r="BC407" i="25" s="1"/>
  <c r="AZ407" i="7"/>
  <c r="Y410" i="7"/>
  <c r="BB410" i="25" s="1"/>
  <c r="BC410" i="25" s="1"/>
  <c r="AT410" i="7" s="1"/>
  <c r="AU410" i="7" s="1"/>
  <c r="AV410" i="7" s="1"/>
  <c r="AZ410" i="7"/>
  <c r="AT287" i="7"/>
  <c r="AU287" i="7" s="1"/>
  <c r="AV287" i="7" s="1"/>
  <c r="BE287" i="25"/>
  <c r="BG287" i="7" s="1"/>
  <c r="BA287" i="7" s="1"/>
  <c r="BD287" i="7" s="1"/>
  <c r="BD287" i="25"/>
  <c r="BD136" i="25"/>
  <c r="BE136" i="25"/>
  <c r="BG136" i="7" s="1"/>
  <c r="BA136" i="7" s="1"/>
  <c r="BD136" i="7" s="1"/>
  <c r="AT136" i="7"/>
  <c r="AU136" i="7" s="1"/>
  <c r="AV136" i="7" s="1"/>
  <c r="BD335" i="25"/>
  <c r="AT335" i="7"/>
  <c r="AU335" i="7" s="1"/>
  <c r="AV335" i="7" s="1"/>
  <c r="BE335" i="25"/>
  <c r="BG335" i="7" s="1"/>
  <c r="BA335" i="7" s="1"/>
  <c r="BD523" i="25"/>
  <c r="BE523" i="25"/>
  <c r="BG523" i="7" s="1"/>
  <c r="BA523" i="7" s="1"/>
  <c r="BD523" i="7" s="1"/>
  <c r="AT523" i="7"/>
  <c r="AU523" i="7" s="1"/>
  <c r="AV523" i="7" s="1"/>
  <c r="Y377" i="7"/>
  <c r="BB377" i="25" s="1"/>
  <c r="BC377" i="25" s="1"/>
  <c r="AZ377" i="7"/>
  <c r="Y383" i="7"/>
  <c r="BB383" i="25" s="1"/>
  <c r="BC383" i="25" s="1"/>
  <c r="AZ383" i="7"/>
  <c r="Y374" i="7"/>
  <c r="BB374" i="25" s="1"/>
  <c r="BC374" i="25" s="1"/>
  <c r="BD374" i="25" s="1"/>
  <c r="AZ374" i="7"/>
  <c r="Y385" i="7"/>
  <c r="BB385" i="25" s="1"/>
  <c r="BC385" i="25" s="1"/>
  <c r="BE385" i="25" s="1"/>
  <c r="BG385" i="7" s="1"/>
  <c r="BA385" i="7" s="1"/>
  <c r="AZ385" i="7"/>
  <c r="Y381" i="7"/>
  <c r="BB381" i="25" s="1"/>
  <c r="BC381" i="25" s="1"/>
  <c r="AT381" i="7" s="1"/>
  <c r="AU381" i="7" s="1"/>
  <c r="AV381" i="7" s="1"/>
  <c r="AZ381" i="7"/>
  <c r="Y373" i="7"/>
  <c r="BB373" i="25" s="1"/>
  <c r="BC373" i="25" s="1"/>
  <c r="BD373" i="25" s="1"/>
  <c r="AZ373" i="7"/>
  <c r="Y242" i="7"/>
  <c r="BB242" i="25" s="1"/>
  <c r="BC242" i="25" s="1"/>
  <c r="AZ242" i="7"/>
  <c r="Y236" i="7"/>
  <c r="BB236" i="25" s="1"/>
  <c r="BC236" i="25" s="1"/>
  <c r="AZ236" i="7"/>
  <c r="Y235" i="7"/>
  <c r="BB235" i="25" s="1"/>
  <c r="BC235" i="25" s="1"/>
  <c r="AZ235" i="7"/>
  <c r="Y240" i="7"/>
  <c r="BB240" i="25" s="1"/>
  <c r="BC240" i="25" s="1"/>
  <c r="AZ240" i="7"/>
  <c r="Y252" i="7"/>
  <c r="BB252" i="25" s="1"/>
  <c r="BC252" i="25" s="1"/>
  <c r="BE252" i="25" s="1"/>
  <c r="BG252" i="7" s="1"/>
  <c r="BA252" i="7" s="1"/>
  <c r="AZ252" i="7"/>
  <c r="AT416" i="7"/>
  <c r="AU416" i="7" s="1"/>
  <c r="AV416" i="7" s="1"/>
  <c r="BD358" i="25"/>
  <c r="BE50" i="25"/>
  <c r="BG50" i="7" s="1"/>
  <c r="BA50" i="7" s="1"/>
  <c r="BD50" i="7" s="1"/>
  <c r="BE208" i="25"/>
  <c r="AT358" i="7"/>
  <c r="AU358" i="7" s="1"/>
  <c r="AV358" i="7" s="1"/>
  <c r="AT355" i="7"/>
  <c r="AU355" i="7" s="1"/>
  <c r="AV355" i="7" s="1"/>
  <c r="BD355" i="25"/>
  <c r="AT462" i="7"/>
  <c r="AU462" i="7" s="1"/>
  <c r="AV462" i="7" s="1"/>
  <c r="BE119" i="25"/>
  <c r="BG119" i="7" s="1"/>
  <c r="BA119" i="7" s="1"/>
  <c r="BD119" i="7" s="1"/>
  <c r="BE14" i="25"/>
  <c r="BD14" i="25"/>
  <c r="BE135" i="25"/>
  <c r="BE41" i="25"/>
  <c r="BG41" i="7" s="1"/>
  <c r="BA41" i="7" s="1"/>
  <c r="BD41" i="7" s="1"/>
  <c r="BD449" i="25"/>
  <c r="BD399" i="25"/>
  <c r="AT399" i="7"/>
  <c r="AU399" i="7" s="1"/>
  <c r="AV399" i="7" s="1"/>
  <c r="BD372" i="25"/>
  <c r="BE372" i="25"/>
  <c r="BG372" i="7" s="1"/>
  <c r="BA372" i="7" s="1"/>
  <c r="BD372" i="7" s="1"/>
  <c r="AT372" i="7"/>
  <c r="AU372" i="7" s="1"/>
  <c r="AV372" i="7" s="1"/>
  <c r="BE95" i="25"/>
  <c r="BG95" i="7" s="1"/>
  <c r="BA95" i="7" s="1"/>
  <c r="BD95" i="7" s="1"/>
  <c r="BE210" i="25"/>
  <c r="BG210" i="7" s="1"/>
  <c r="BA210" i="7" s="1"/>
  <c r="BD210" i="7" s="1"/>
  <c r="BE560" i="25"/>
  <c r="BE91" i="25"/>
  <c r="BG91" i="7" s="1"/>
  <c r="BA91" i="7" s="1"/>
  <c r="AT76" i="7"/>
  <c r="AU76" i="7" s="1"/>
  <c r="AV76" i="7" s="1"/>
  <c r="BD515" i="25"/>
  <c r="BE590" i="25"/>
  <c r="BG590" i="7" s="1"/>
  <c r="BA590" i="7" s="1"/>
  <c r="BD590" i="7" s="1"/>
  <c r="BD284" i="25"/>
  <c r="AT470" i="7"/>
  <c r="AU470" i="7" s="1"/>
  <c r="AV470" i="7" s="1"/>
  <c r="BD590" i="25"/>
  <c r="BD470" i="25"/>
  <c r="BD286" i="25"/>
  <c r="BD13" i="25"/>
  <c r="BE453" i="25"/>
  <c r="BG453" i="7" s="1"/>
  <c r="BA453" i="7" s="1"/>
  <c r="BD453" i="7" s="1"/>
  <c r="BD276" i="25"/>
  <c r="BD514" i="25"/>
  <c r="BD569" i="25"/>
  <c r="BD88" i="25"/>
  <c r="BD560" i="25"/>
  <c r="BD41" i="25"/>
  <c r="BD288" i="25"/>
  <c r="BD328" i="25"/>
  <c r="BE411" i="25"/>
  <c r="BG411" i="7" s="1"/>
  <c r="BA411" i="7" s="1"/>
  <c r="BD411" i="7" s="1"/>
  <c r="BD346" i="25"/>
  <c r="BD416" i="25"/>
  <c r="AT276" i="7"/>
  <c r="AT541" i="7"/>
  <c r="BD513" i="25"/>
  <c r="BD380" i="25"/>
  <c r="BD540" i="25"/>
  <c r="BE35" i="25"/>
  <c r="BE88" i="25"/>
  <c r="BG88" i="7" s="1"/>
  <c r="BA88" i="7" s="1"/>
  <c r="BD35" i="25"/>
  <c r="BD210" i="25"/>
  <c r="AT432" i="7"/>
  <c r="AU432" i="7" s="1"/>
  <c r="AV432" i="7" s="1"/>
  <c r="BD91" i="25"/>
  <c r="BE441" i="25"/>
  <c r="BG441" i="7" s="1"/>
  <c r="BA441" i="7" s="1"/>
  <c r="BD441" i="7" s="1"/>
  <c r="BD26" i="25"/>
  <c r="BE518" i="25"/>
  <c r="BG518" i="7" s="1"/>
  <c r="BA518" i="7" s="1"/>
  <c r="BE137" i="25"/>
  <c r="BG137" i="7" s="1"/>
  <c r="BA137" i="7" s="1"/>
  <c r="BD431" i="25"/>
  <c r="AT441" i="7"/>
  <c r="AU441" i="7" s="1"/>
  <c r="AV441" i="7" s="1"/>
  <c r="BD10" i="25"/>
  <c r="BD59" i="25"/>
  <c r="BD444" i="25"/>
  <c r="BD462" i="25"/>
  <c r="BE26" i="25"/>
  <c r="BG26" i="7" s="1"/>
  <c r="BA26" i="7" s="1"/>
  <c r="BD26" i="7" s="1"/>
  <c r="BE469" i="25"/>
  <c r="BE82" i="25"/>
  <c r="BG82" i="7" s="1"/>
  <c r="BA82" i="7" s="1"/>
  <c r="BD82" i="7" s="1"/>
  <c r="BE102" i="25"/>
  <c r="BG102" i="7" s="1"/>
  <c r="BA102" i="7" s="1"/>
  <c r="BD50" i="25"/>
  <c r="BD469" i="25"/>
  <c r="BE594" i="25"/>
  <c r="BG594" i="7" s="1"/>
  <c r="BA594" i="7" s="1"/>
  <c r="BD594" i="7" s="1"/>
  <c r="AT591" i="7"/>
  <c r="AU591" i="7" s="1"/>
  <c r="AV591" i="7" s="1"/>
  <c r="BD137" i="25"/>
  <c r="BD518" i="25"/>
  <c r="BD281" i="25"/>
  <c r="BD190" i="25"/>
  <c r="BD440" i="25"/>
  <c r="BD348" i="25"/>
  <c r="BD331" i="25"/>
  <c r="BD464" i="25"/>
  <c r="BD509" i="25"/>
  <c r="BD442" i="25"/>
  <c r="BD9" i="25"/>
  <c r="BD267" i="25"/>
  <c r="BD363" i="25"/>
  <c r="BE105" i="25"/>
  <c r="BG105" i="7" s="1"/>
  <c r="BA105" i="7" s="1"/>
  <c r="BD105" i="7" s="1"/>
  <c r="AT105" i="7"/>
  <c r="AU105" i="7" s="1"/>
  <c r="AV105" i="7" s="1"/>
  <c r="AT540" i="7"/>
  <c r="AU540" i="7" s="1"/>
  <c r="AV540" i="7" s="1"/>
  <c r="BE540" i="25"/>
  <c r="BG540" i="7" s="1"/>
  <c r="BA540" i="7" s="1"/>
  <c r="BD540" i="7" s="1"/>
  <c r="BD82" i="25"/>
  <c r="BE537" i="25"/>
  <c r="BE569" i="25"/>
  <c r="BE165" i="25"/>
  <c r="BG165" i="7" s="1"/>
  <c r="BA165" i="7" s="1"/>
  <c r="BD165" i="7" s="1"/>
  <c r="BD411" i="25"/>
  <c r="AT88" i="7"/>
  <c r="BD410" i="25"/>
  <c r="BD491" i="25"/>
  <c r="BD437" i="25"/>
  <c r="BD189" i="25"/>
  <c r="BD84" i="25"/>
  <c r="AT453" i="7"/>
  <c r="AU453" i="7" s="1"/>
  <c r="AV453" i="7" s="1"/>
  <c r="BD553" i="25"/>
  <c r="BD236" i="25"/>
  <c r="AT344" i="7"/>
  <c r="AU344" i="7" s="1"/>
  <c r="AV344" i="7" s="1"/>
  <c r="BE97" i="25"/>
  <c r="BG97" i="7" s="1"/>
  <c r="BA97" i="7" s="1"/>
  <c r="BD198" i="25"/>
  <c r="BD343" i="25"/>
  <c r="BD542" i="25"/>
  <c r="BD305" i="25"/>
  <c r="BD537" i="25"/>
  <c r="BD313" i="25"/>
  <c r="BE591" i="25"/>
  <c r="BG591" i="7" s="1"/>
  <c r="BA591" i="7" s="1"/>
  <c r="BD571" i="25"/>
  <c r="BD580" i="25"/>
  <c r="BD588" i="25"/>
  <c r="BD400" i="25"/>
  <c r="BD458" i="25"/>
  <c r="BD446" i="25"/>
  <c r="BD121" i="25"/>
  <c r="BD231" i="25"/>
  <c r="BD479" i="25"/>
  <c r="BD125" i="25"/>
  <c r="BD197" i="25"/>
  <c r="BD350" i="25"/>
  <c r="BD448" i="25"/>
  <c r="BD375" i="25"/>
  <c r="BD457" i="25"/>
  <c r="BD37" i="25"/>
  <c r="BD550" i="25"/>
  <c r="BD576" i="25"/>
  <c r="BD270" i="25"/>
  <c r="BD283" i="25"/>
  <c r="BD468" i="25"/>
  <c r="BD258" i="25"/>
  <c r="BD165" i="25"/>
  <c r="BD108" i="25"/>
  <c r="BD20" i="25"/>
  <c r="BD398" i="25"/>
  <c r="BD561" i="25"/>
  <c r="BD349" i="25"/>
  <c r="BD76" i="25"/>
  <c r="BD524" i="25"/>
  <c r="BD487" i="25"/>
  <c r="AT258" i="7"/>
  <c r="AU258" i="7" s="1"/>
  <c r="AV258" i="7" s="1"/>
  <c r="BE258" i="25"/>
  <c r="BG258" i="7" s="1"/>
  <c r="BA258" i="7" s="1"/>
  <c r="BD258" i="7" s="1"/>
  <c r="BE553" i="25"/>
  <c r="BG553" i="7" s="1"/>
  <c r="BA553" i="7" s="1"/>
  <c r="BD553" i="7" s="1"/>
  <c r="AT553" i="7"/>
  <c r="AU553" i="7" s="1"/>
  <c r="AV553" i="7" s="1"/>
  <c r="AT583" i="7"/>
  <c r="AU583" i="7" s="1"/>
  <c r="AV583" i="7" s="1"/>
  <c r="BE583" i="25"/>
  <c r="BG583" i="7" s="1"/>
  <c r="BA583" i="7" s="1"/>
  <c r="BD583" i="7" s="1"/>
  <c r="BE226" i="25"/>
  <c r="BE17" i="25"/>
  <c r="BG17" i="7" s="1"/>
  <c r="BA17" i="7" s="1"/>
  <c r="BD17" i="7" s="1"/>
  <c r="BD129" i="25"/>
  <c r="BD226" i="25"/>
  <c r="BD583" i="25"/>
  <c r="BD567" i="25"/>
  <c r="BD323" i="25"/>
  <c r="BD255" i="25"/>
  <c r="BD166" i="25"/>
  <c r="BD290" i="25"/>
  <c r="BD394" i="25"/>
  <c r="BD221" i="25"/>
  <c r="BD595" i="25"/>
  <c r="BD291" i="25"/>
  <c r="BD177" i="25"/>
  <c r="BD275" i="25"/>
  <c r="BD330" i="25"/>
  <c r="BD298" i="25"/>
  <c r="BD443" i="25"/>
  <c r="BD230" i="25"/>
  <c r="BD558" i="25"/>
  <c r="BD151" i="25"/>
  <c r="BD366" i="25"/>
  <c r="BD158" i="25"/>
  <c r="BD408" i="25"/>
  <c r="BD586" i="25"/>
  <c r="AT236" i="7"/>
  <c r="AU236" i="7" s="1"/>
  <c r="AV236" i="7" s="1"/>
  <c r="BD530" i="25"/>
  <c r="BD134" i="25"/>
  <c r="BD549" i="25"/>
  <c r="BD435" i="25"/>
  <c r="AT278" i="7"/>
  <c r="AU278" i="7" s="1"/>
  <c r="AV278" i="7" s="1"/>
  <c r="AT375" i="7"/>
  <c r="BD455" i="25"/>
  <c r="BE524" i="25"/>
  <c r="BG524" i="7" s="1"/>
  <c r="BA524" i="7" s="1"/>
  <c r="BD524" i="7" s="1"/>
  <c r="AT524" i="7"/>
  <c r="AU524" i="7" s="1"/>
  <c r="AV524" i="7" s="1"/>
  <c r="BD593" i="25"/>
  <c r="BD541" i="25"/>
  <c r="AT129" i="7"/>
  <c r="AU129" i="7" s="1"/>
  <c r="AV129" i="7" s="1"/>
  <c r="BD405" i="25"/>
  <c r="BD507" i="25"/>
  <c r="AT436" i="7"/>
  <c r="AU436" i="7" s="1"/>
  <c r="AV436" i="7" s="1"/>
  <c r="BE436" i="25"/>
  <c r="BG436" i="7" s="1"/>
  <c r="BA436" i="7" s="1"/>
  <c r="BD436" i="7" s="1"/>
  <c r="BD69" i="25"/>
  <c r="BE386" i="25"/>
  <c r="BG386" i="7" s="1"/>
  <c r="BA386" i="7" s="1"/>
  <c r="BD386" i="7" s="1"/>
  <c r="AT386" i="7"/>
  <c r="AU386" i="7" s="1"/>
  <c r="AV386" i="7" s="1"/>
  <c r="BE406" i="25"/>
  <c r="BG406" i="7" s="1"/>
  <c r="BA406" i="7" s="1"/>
  <c r="BD406" i="7" s="1"/>
  <c r="AT406" i="7"/>
  <c r="AU406" i="7" s="1"/>
  <c r="AV406" i="7" s="1"/>
  <c r="AT507" i="7"/>
  <c r="AU507" i="7" s="1"/>
  <c r="AV507" i="7" s="1"/>
  <c r="BE507" i="25"/>
  <c r="BG507" i="7" s="1"/>
  <c r="BA507" i="7" s="1"/>
  <c r="BD507" i="7" s="1"/>
  <c r="BE236" i="25"/>
  <c r="BD135" i="25"/>
  <c r="AT177" i="7"/>
  <c r="AU177" i="7" s="1"/>
  <c r="AV177" i="7" s="1"/>
  <c r="BD95" i="25"/>
  <c r="BD324" i="25"/>
  <c r="BE324" i="25"/>
  <c r="BG324" i="7" s="1"/>
  <c r="BA324" i="7" s="1"/>
  <c r="BD324" i="7" s="1"/>
  <c r="AT324" i="7"/>
  <c r="AU324" i="7" s="1"/>
  <c r="AV324" i="7" s="1"/>
  <c r="BD329" i="25"/>
  <c r="AT329" i="7"/>
  <c r="AU329" i="7" s="1"/>
  <c r="AV329" i="7" s="1"/>
  <c r="BE329" i="25"/>
  <c r="BG329" i="7" s="1"/>
  <c r="BA329" i="7" s="1"/>
  <c r="BD274" i="25"/>
  <c r="BE595" i="25"/>
  <c r="BG595" i="7" s="1"/>
  <c r="BA595" i="7" s="1"/>
  <c r="BD595" i="7" s="1"/>
  <c r="AT595" i="7"/>
  <c r="AU595" i="7" s="1"/>
  <c r="AV595" i="7" s="1"/>
  <c r="BE291" i="25"/>
  <c r="BG291" i="7" s="1"/>
  <c r="BA291" i="7" s="1"/>
  <c r="BD291" i="7" s="1"/>
  <c r="AT291" i="7"/>
  <c r="AU291" i="7" s="1"/>
  <c r="AV291" i="7" s="1"/>
  <c r="BD148" i="25"/>
  <c r="AT148" i="7"/>
  <c r="AU148" i="7" s="1"/>
  <c r="AV148" i="7" s="1"/>
  <c r="BE148" i="25"/>
  <c r="BG148" i="7" s="1"/>
  <c r="BA148" i="7" s="1"/>
  <c r="BD148" i="7" s="1"/>
  <c r="AT451" i="7"/>
  <c r="AU451" i="7" s="1"/>
  <c r="AV451" i="7" s="1"/>
  <c r="BE451" i="25"/>
  <c r="BG451" i="7" s="1"/>
  <c r="BA451" i="7" s="1"/>
  <c r="BD451" i="7" s="1"/>
  <c r="BE25" i="25"/>
  <c r="BG25" i="7" s="1"/>
  <c r="BA25" i="7" s="1"/>
  <c r="BD25" i="7" s="1"/>
  <c r="AT25" i="7"/>
  <c r="AU25" i="7" s="1"/>
  <c r="AV25" i="7" s="1"/>
  <c r="AT311" i="7"/>
  <c r="AU311" i="7" s="1"/>
  <c r="AV311" i="7" s="1"/>
  <c r="BE311" i="25"/>
  <c r="BG311" i="7" s="1"/>
  <c r="BA311" i="7" s="1"/>
  <c r="BD311" i="7" s="1"/>
  <c r="BE514" i="25"/>
  <c r="BG514" i="7" s="1"/>
  <c r="BA514" i="7" s="1"/>
  <c r="BD514" i="7" s="1"/>
  <c r="AT514" i="7"/>
  <c r="AU514" i="7" s="1"/>
  <c r="AV514" i="7" s="1"/>
  <c r="BD436" i="25"/>
  <c r="BD321" i="25"/>
  <c r="BD389" i="25"/>
  <c r="BE389" i="25"/>
  <c r="BG389" i="7" s="1"/>
  <c r="BA389" i="7" s="1"/>
  <c r="AT389" i="7"/>
  <c r="AU389" i="7" s="1"/>
  <c r="AV389" i="7" s="1"/>
  <c r="BE443" i="25"/>
  <c r="BG443" i="7" s="1"/>
  <c r="BA443" i="7" s="1"/>
  <c r="BD443" i="7" s="1"/>
  <c r="AT443" i="7"/>
  <c r="AU443" i="7" s="1"/>
  <c r="AV443" i="7" s="1"/>
  <c r="BE302" i="25"/>
  <c r="BG302" i="7" s="1"/>
  <c r="BA302" i="7" s="1"/>
  <c r="BD302" i="7" s="1"/>
  <c r="AT302" i="7"/>
  <c r="AU302" i="7" s="1"/>
  <c r="AV302" i="7" s="1"/>
  <c r="BD454" i="25"/>
  <c r="BD278" i="25"/>
  <c r="BD344" i="25"/>
  <c r="BD386" i="25"/>
  <c r="BE286" i="25"/>
  <c r="BG286" i="7" s="1"/>
  <c r="BA286" i="7" s="1"/>
  <c r="BD286" i="7" s="1"/>
  <c r="AT286" i="7"/>
  <c r="AU286" i="7" s="1"/>
  <c r="AV286" i="7" s="1"/>
  <c r="BD471" i="25"/>
  <c r="BD90" i="25"/>
  <c r="BD126" i="25"/>
  <c r="BD161" i="25"/>
  <c r="BD78" i="25"/>
  <c r="BD43" i="25"/>
  <c r="BD62" i="25"/>
  <c r="BD169" i="25"/>
  <c r="BD293" i="25"/>
  <c r="AT458" i="7"/>
  <c r="AU458" i="7" s="1"/>
  <c r="AV458" i="7" s="1"/>
  <c r="BE458" i="25"/>
  <c r="BG458" i="7" s="1"/>
  <c r="BA458" i="7" s="1"/>
  <c r="BD458" i="7" s="1"/>
  <c r="BE446" i="25"/>
  <c r="BG446" i="7" s="1"/>
  <c r="BA446" i="7" s="1"/>
  <c r="BD446" i="7" s="1"/>
  <c r="AT446" i="7"/>
  <c r="AU446" i="7" s="1"/>
  <c r="AV446" i="7" s="1"/>
  <c r="BD451" i="25"/>
  <c r="BE513" i="25"/>
  <c r="BG513" i="7" s="1"/>
  <c r="BA513" i="7" s="1"/>
  <c r="BD513" i="7" s="1"/>
  <c r="AT513" i="7"/>
  <c r="AU513" i="7" s="1"/>
  <c r="AV513" i="7" s="1"/>
  <c r="BD318" i="25"/>
  <c r="BD563" i="25"/>
  <c r="BD45" i="25"/>
  <c r="BD294" i="25"/>
  <c r="BD505" i="25"/>
  <c r="BD489" i="25"/>
  <c r="BD584" i="25"/>
  <c r="BD357" i="25"/>
  <c r="BD385" i="25"/>
  <c r="BD25" i="25"/>
  <c r="AT299" i="7"/>
  <c r="AU299" i="7" s="1"/>
  <c r="AV299" i="7" s="1"/>
  <c r="BE455" i="25"/>
  <c r="BG455" i="7" s="1"/>
  <c r="BA455" i="7" s="1"/>
  <c r="BD455" i="7" s="1"/>
  <c r="BD332" i="25"/>
  <c r="BE332" i="25"/>
  <c r="BG332" i="7" s="1"/>
  <c r="BA332" i="7" s="1"/>
  <c r="BD332" i="7" s="1"/>
  <c r="AT332" i="7"/>
  <c r="AU332" i="7" s="1"/>
  <c r="AV332" i="7" s="1"/>
  <c r="BD406" i="25"/>
  <c r="BD347" i="25"/>
  <c r="BD240" i="25"/>
  <c r="BD208" i="25"/>
  <c r="BD401" i="25"/>
  <c r="BD102" i="25"/>
  <c r="BD163" i="25"/>
  <c r="BD285" i="25"/>
  <c r="BD302" i="25"/>
  <c r="BD589" i="25"/>
  <c r="BE589" i="25"/>
  <c r="BG589" i="7" s="1"/>
  <c r="BA589" i="7" s="1"/>
  <c r="BD589" i="7" s="1"/>
  <c r="AT589" i="7"/>
  <c r="AU589" i="7" s="1"/>
  <c r="AV589" i="7" s="1"/>
  <c r="BE468" i="25"/>
  <c r="BG468" i="7" s="1"/>
  <c r="BA468" i="7" s="1"/>
  <c r="BD468" i="7" s="1"/>
  <c r="AT468" i="7"/>
  <c r="AU468" i="7" s="1"/>
  <c r="AV468" i="7" s="1"/>
  <c r="BD123" i="25"/>
  <c r="AT221" i="7"/>
  <c r="AT457" i="7"/>
  <c r="AU457" i="7" s="1"/>
  <c r="AV457" i="7" s="1"/>
  <c r="BE330" i="25"/>
  <c r="BG330" i="7" s="1"/>
  <c r="BA330" i="7" s="1"/>
  <c r="BD330" i="7" s="1"/>
  <c r="AT576" i="7"/>
  <c r="AU576" i="7" s="1"/>
  <c r="AV576" i="7" s="1"/>
  <c r="BE357" i="25"/>
  <c r="BG357" i="7" s="1"/>
  <c r="BA357" i="7" s="1"/>
  <c r="BD357" i="7" s="1"/>
  <c r="AT444" i="7"/>
  <c r="AU444" i="7" s="1"/>
  <c r="AV444" i="7" s="1"/>
  <c r="AT10" i="7"/>
  <c r="AU10" i="7" s="1"/>
  <c r="AV10" i="7" s="1"/>
  <c r="AT190" i="7"/>
  <c r="AU190" i="7" s="1"/>
  <c r="AV190" i="7" s="1"/>
  <c r="AT169" i="7"/>
  <c r="AU169" i="7" s="1"/>
  <c r="AV169" i="7" s="1"/>
  <c r="BE331" i="25"/>
  <c r="BG331" i="7" s="1"/>
  <c r="BA331" i="7" s="1"/>
  <c r="AT569" i="7"/>
  <c r="AU569" i="7" s="1"/>
  <c r="AV569" i="7" s="1"/>
  <c r="BE549" i="25"/>
  <c r="BG549" i="7" s="1"/>
  <c r="BA549" i="7" s="1"/>
  <c r="AT134" i="7"/>
  <c r="AU134" i="7" s="1"/>
  <c r="AV134" i="7" s="1"/>
  <c r="BE134" i="25"/>
  <c r="BG134" i="7" s="1"/>
  <c r="BA134" i="7" s="1"/>
  <c r="BE366" i="25"/>
  <c r="BG366" i="7" s="1"/>
  <c r="BA366" i="7" s="1"/>
  <c r="AT56" i="7"/>
  <c r="AU56" i="7" s="1"/>
  <c r="AV56" i="7" s="1"/>
  <c r="BE13" i="25"/>
  <c r="BG13" i="7" s="1"/>
  <c r="BA13" i="7" s="1"/>
  <c r="BE56" i="25"/>
  <c r="BG56" i="7" s="1"/>
  <c r="BA56" i="7" s="1"/>
  <c r="BE343" i="25"/>
  <c r="BG343" i="7" s="1"/>
  <c r="BA343" i="7" s="1"/>
  <c r="BD343" i="7" s="1"/>
  <c r="BE231" i="25"/>
  <c r="BG231" i="7" s="1"/>
  <c r="BA231" i="7" s="1"/>
  <c r="BD231" i="7" s="1"/>
  <c r="BE408" i="25"/>
  <c r="BG408" i="7" s="1"/>
  <c r="BA408" i="7" s="1"/>
  <c r="BD408" i="7" s="1"/>
  <c r="BE190" i="25"/>
  <c r="BG190" i="7" s="1"/>
  <c r="BA190" i="7" s="1"/>
  <c r="AT348" i="7"/>
  <c r="AU348" i="7" s="1"/>
  <c r="AV348" i="7" s="1"/>
  <c r="AT255" i="7"/>
  <c r="AU255" i="7" s="1"/>
  <c r="AV255" i="7" s="1"/>
  <c r="BE348" i="25"/>
  <c r="BG348" i="7" s="1"/>
  <c r="BA348" i="7" s="1"/>
  <c r="AT567" i="7"/>
  <c r="AU567" i="7" s="1"/>
  <c r="AV567" i="7" s="1"/>
  <c r="BE542" i="25"/>
  <c r="BG542" i="7" s="1"/>
  <c r="BA542" i="7" s="1"/>
  <c r="BE267" i="25"/>
  <c r="BG267" i="7" s="1"/>
  <c r="BA267" i="7" s="1"/>
  <c r="BE255" i="25"/>
  <c r="BG255" i="7" s="1"/>
  <c r="BA255" i="7" s="1"/>
  <c r="AT479" i="7"/>
  <c r="AU479" i="7" s="1"/>
  <c r="AV479" i="7" s="1"/>
  <c r="BE169" i="25"/>
  <c r="BG169" i="7" s="1"/>
  <c r="BA169" i="7" s="1"/>
  <c r="BD169" i="7" s="1"/>
  <c r="BE471" i="25"/>
  <c r="BG471" i="7" s="1"/>
  <c r="BA471" i="7" s="1"/>
  <c r="BD471" i="7" s="1"/>
  <c r="AT62" i="7"/>
  <c r="AU62" i="7" s="1"/>
  <c r="AV62" i="7" s="1"/>
  <c r="AT294" i="7"/>
  <c r="AU294" i="7" s="1"/>
  <c r="AV294" i="7" s="1"/>
  <c r="BE62" i="25"/>
  <c r="BG62" i="7" s="1"/>
  <c r="BA62" i="7" s="1"/>
  <c r="AT331" i="7"/>
  <c r="AU331" i="7" s="1"/>
  <c r="AV331" i="7" s="1"/>
  <c r="BE489" i="25"/>
  <c r="BG489" i="7" s="1"/>
  <c r="BA489" i="7" s="1"/>
  <c r="AT197" i="7"/>
  <c r="AU197" i="7" s="1"/>
  <c r="AV197" i="7" s="1"/>
  <c r="AT442" i="7"/>
  <c r="AU442" i="7" s="1"/>
  <c r="AV442" i="7" s="1"/>
  <c r="AT464" i="7"/>
  <c r="AU464" i="7" s="1"/>
  <c r="AV464" i="7" s="1"/>
  <c r="BE442" i="25"/>
  <c r="BG442" i="7" s="1"/>
  <c r="BA442" i="7" s="1"/>
  <c r="AT45" i="7"/>
  <c r="AU45" i="7" s="1"/>
  <c r="AV45" i="7" s="1"/>
  <c r="AT20" i="7"/>
  <c r="AU20" i="7" s="1"/>
  <c r="AV20" i="7" s="1"/>
  <c r="AT350" i="7"/>
  <c r="AU350" i="7" s="1"/>
  <c r="AV350" i="7" s="1"/>
  <c r="AT285" i="7"/>
  <c r="AU285" i="7" s="1"/>
  <c r="AV285" i="7" s="1"/>
  <c r="BE45" i="25"/>
  <c r="BG45" i="7" s="1"/>
  <c r="BA45" i="7" s="1"/>
  <c r="BE20" i="25"/>
  <c r="BG20" i="7" s="1"/>
  <c r="BA20" i="7" s="1"/>
  <c r="BE394" i="25"/>
  <c r="BG394" i="7" s="1"/>
  <c r="BA394" i="7" s="1"/>
  <c r="BD394" i="7" s="1"/>
  <c r="AT9" i="7"/>
  <c r="AU9" i="7" s="1"/>
  <c r="AV9" i="7" s="1"/>
  <c r="AT321" i="7"/>
  <c r="AU321" i="7" s="1"/>
  <c r="AV321" i="7" s="1"/>
  <c r="BE125" i="25"/>
  <c r="BG125" i="7" s="1"/>
  <c r="BA125" i="7" s="1"/>
  <c r="BD125" i="7" s="1"/>
  <c r="BE580" i="25"/>
  <c r="BG580" i="7" s="1"/>
  <c r="BA580" i="7" s="1"/>
  <c r="BD580" i="7" s="1"/>
  <c r="BE529" i="25"/>
  <c r="BG529" i="7" s="1"/>
  <c r="BA529" i="7" s="1"/>
  <c r="BE270" i="25"/>
  <c r="BG270" i="7" s="1"/>
  <c r="BA270" i="7" s="1"/>
  <c r="BE323" i="25"/>
  <c r="BG323" i="7" s="1"/>
  <c r="BA323" i="7" s="1"/>
  <c r="BE491" i="25"/>
  <c r="BG491" i="7" s="1"/>
  <c r="BA491" i="7" s="1"/>
  <c r="AT588" i="7"/>
  <c r="AU588" i="7" s="1"/>
  <c r="AV588" i="7" s="1"/>
  <c r="BE390" i="25"/>
  <c r="BG390" i="7" s="1"/>
  <c r="BA390" i="7" s="1"/>
  <c r="BD390" i="7" s="1"/>
  <c r="BE285" i="25"/>
  <c r="BG285" i="7" s="1"/>
  <c r="BA285" i="7" s="1"/>
  <c r="BD285" i="7" s="1"/>
  <c r="BE198" i="25"/>
  <c r="BG198" i="7" s="1"/>
  <c r="BA198" i="7" s="1"/>
  <c r="BD198" i="7" s="1"/>
  <c r="AT363" i="7"/>
  <c r="AU363" i="7" s="1"/>
  <c r="AV363" i="7" s="1"/>
  <c r="AT586" i="7"/>
  <c r="AU586" i="7" s="1"/>
  <c r="AV586" i="7" s="1"/>
  <c r="AT385" i="7"/>
  <c r="AU385" i="7" s="1"/>
  <c r="AV385" i="7" s="1"/>
  <c r="BE123" i="25"/>
  <c r="BG123" i="7" s="1"/>
  <c r="BA123" i="7" s="1"/>
  <c r="BD123" i="7" s="1"/>
  <c r="AT349" i="7"/>
  <c r="AU349" i="7" s="1"/>
  <c r="AV349" i="7" s="1"/>
  <c r="BE163" i="25"/>
  <c r="BG163" i="7" s="1"/>
  <c r="BA163" i="7" s="1"/>
  <c r="BD163" i="7" s="1"/>
  <c r="AT163" i="7"/>
  <c r="AU163" i="7" s="1"/>
  <c r="AV163" i="7" s="1"/>
  <c r="AT275" i="7"/>
  <c r="AU275" i="7" s="1"/>
  <c r="AV275" i="7" s="1"/>
  <c r="BE588" i="25"/>
  <c r="BG588" i="7" s="1"/>
  <c r="BA588" i="7" s="1"/>
  <c r="BE584" i="25"/>
  <c r="BG584" i="7" s="1"/>
  <c r="BA584" i="7" s="1"/>
  <c r="BD584" i="7" s="1"/>
  <c r="AT405" i="7"/>
  <c r="AU405" i="7" s="1"/>
  <c r="AV405" i="7" s="1"/>
  <c r="AT84" i="7"/>
  <c r="AU84" i="7" s="1"/>
  <c r="AV84" i="7" s="1"/>
  <c r="AT59" i="7"/>
  <c r="AU59" i="7" s="1"/>
  <c r="AV59" i="7" s="1"/>
  <c r="AT529" i="7"/>
  <c r="AU529" i="7" s="1"/>
  <c r="AV529" i="7" s="1"/>
  <c r="BE149" i="25"/>
  <c r="BG149" i="7" s="1"/>
  <c r="BA149" i="7" s="1"/>
  <c r="BD149" i="7" s="1"/>
  <c r="BE298" i="25"/>
  <c r="BG298" i="7" s="1"/>
  <c r="BA298" i="7" s="1"/>
  <c r="AT90" i="7"/>
  <c r="AU90" i="7" s="1"/>
  <c r="AV90" i="7" s="1"/>
  <c r="BE90" i="25"/>
  <c r="BG90" i="7" s="1"/>
  <c r="BA90" i="7" s="1"/>
  <c r="AT78" i="7"/>
  <c r="AU78" i="7" s="1"/>
  <c r="AV78" i="7" s="1"/>
  <c r="AT189" i="7"/>
  <c r="AU189" i="7" s="1"/>
  <c r="AV189" i="7" s="1"/>
  <c r="BE99" i="25"/>
  <c r="BG99" i="7" s="1"/>
  <c r="BA99" i="7" s="1"/>
  <c r="BD99" i="7" s="1"/>
  <c r="BE313" i="25"/>
  <c r="BG313" i="7" s="1"/>
  <c r="BA313" i="7" s="1"/>
  <c r="BD313" i="7" s="1"/>
  <c r="BE290" i="25"/>
  <c r="BG290" i="7" s="1"/>
  <c r="BA290" i="7" s="1"/>
  <c r="BD290" i="7" s="1"/>
  <c r="BE318" i="25"/>
  <c r="BG318" i="7" s="1"/>
  <c r="BA318" i="7" s="1"/>
  <c r="BD318" i="7" s="1"/>
  <c r="AT509" i="7"/>
  <c r="AU509" i="7" s="1"/>
  <c r="AV509" i="7" s="1"/>
  <c r="AT505" i="7"/>
  <c r="AU505" i="7" s="1"/>
  <c r="AV505" i="7" s="1"/>
  <c r="AT555" i="7"/>
  <c r="AU555" i="7" s="1"/>
  <c r="AV555" i="7" s="1"/>
  <c r="BE509" i="25"/>
  <c r="BG509" i="7" s="1"/>
  <c r="BA509" i="7" s="1"/>
  <c r="AT472" i="7"/>
  <c r="AU472" i="7" s="1"/>
  <c r="AV472" i="7" s="1"/>
  <c r="BE472" i="25"/>
  <c r="BG472" i="7" s="1"/>
  <c r="BA472" i="7" s="1"/>
  <c r="AT166" i="7"/>
  <c r="AU166" i="7" s="1"/>
  <c r="AV166" i="7" s="1"/>
  <c r="AT108" i="7"/>
  <c r="AU108" i="7" s="1"/>
  <c r="AV108" i="7" s="1"/>
  <c r="AT109" i="7"/>
  <c r="AU109" i="7" s="1"/>
  <c r="AV109" i="7" s="1"/>
  <c r="BE109" i="25"/>
  <c r="BG109" i="7" s="1"/>
  <c r="BA109" i="7" s="1"/>
  <c r="AT435" i="7"/>
  <c r="AU435" i="7" s="1"/>
  <c r="AV435" i="7" s="1"/>
  <c r="AT522" i="7"/>
  <c r="AU522" i="7" s="1"/>
  <c r="AV522" i="7" s="1"/>
  <c r="AT561" i="7"/>
  <c r="AU561" i="7" s="1"/>
  <c r="AV561" i="7" s="1"/>
  <c r="BE448" i="25"/>
  <c r="BG448" i="7" s="1"/>
  <c r="BA448" i="7" s="1"/>
  <c r="BE126" i="25"/>
  <c r="BG126" i="7" s="1"/>
  <c r="BA126" i="7" s="1"/>
  <c r="BE487" i="25"/>
  <c r="BG487" i="7" s="1"/>
  <c r="BA487" i="7" s="1"/>
  <c r="AT510" i="7"/>
  <c r="AU510" i="7" s="1"/>
  <c r="AV510" i="7" s="1"/>
  <c r="AT371" i="7"/>
  <c r="AU371" i="7" s="1"/>
  <c r="AV371" i="7" s="1"/>
  <c r="BE371" i="25"/>
  <c r="BG371" i="7" s="1"/>
  <c r="BA371" i="7" s="1"/>
  <c r="BD371" i="7" s="1"/>
  <c r="BE274" i="25"/>
  <c r="BG274" i="7" s="1"/>
  <c r="BA274" i="7" s="1"/>
  <c r="BD274" i="7" s="1"/>
  <c r="AT347" i="7"/>
  <c r="AU347" i="7" s="1"/>
  <c r="AV347" i="7" s="1"/>
  <c r="AT398" i="7"/>
  <c r="AU398" i="7" s="1"/>
  <c r="AV398" i="7" s="1"/>
  <c r="AT437" i="7"/>
  <c r="AU437" i="7" s="1"/>
  <c r="AV437" i="7" s="1"/>
  <c r="AT293" i="7"/>
  <c r="AU293" i="7" s="1"/>
  <c r="AV293" i="7" s="1"/>
  <c r="BE100" i="25"/>
  <c r="BG100" i="7" s="1"/>
  <c r="BA100" i="7" s="1"/>
  <c r="BD100" i="7" s="1"/>
  <c r="AT100" i="7"/>
  <c r="AU100" i="7" s="1"/>
  <c r="AV100" i="7" s="1"/>
  <c r="AT30" i="7"/>
  <c r="AU30" i="7" s="1"/>
  <c r="AV30" i="7" s="1"/>
  <c r="AT288" i="7"/>
  <c r="AU288" i="7" s="1"/>
  <c r="AV288" i="7" s="1"/>
  <c r="BE133" i="25"/>
  <c r="BG133" i="7" s="1"/>
  <c r="BA133" i="7" s="1"/>
  <c r="AT133" i="7"/>
  <c r="AU133" i="7" s="1"/>
  <c r="AV133" i="7" s="1"/>
  <c r="BE30" i="25"/>
  <c r="BG30" i="7" s="1"/>
  <c r="BA30" i="7" s="1"/>
  <c r="BE33" i="25"/>
  <c r="BG33" i="7" s="1"/>
  <c r="BA33" i="7" s="1"/>
  <c r="BD33" i="7" s="1"/>
  <c r="AT33" i="7"/>
  <c r="AU33" i="7" s="1"/>
  <c r="AV33" i="7" s="1"/>
  <c r="BE139" i="25"/>
  <c r="BG139" i="7" s="1"/>
  <c r="BA139" i="7" s="1"/>
  <c r="BD139" i="7" s="1"/>
  <c r="AT139" i="7"/>
  <c r="AU139" i="7" s="1"/>
  <c r="AV139" i="7" s="1"/>
  <c r="BE113" i="25"/>
  <c r="BG113" i="7" s="1"/>
  <c r="BA113" i="7" s="1"/>
  <c r="BD113" i="7" s="1"/>
  <c r="AT113" i="7"/>
  <c r="AU113" i="7" s="1"/>
  <c r="AV113" i="7" s="1"/>
  <c r="BE533" i="25"/>
  <c r="BG533" i="7" s="1"/>
  <c r="BA533" i="7" s="1"/>
  <c r="BD533" i="7" s="1"/>
  <c r="AT533" i="7"/>
  <c r="AU533" i="7" s="1"/>
  <c r="AV533" i="7" s="1"/>
  <c r="BE70" i="25"/>
  <c r="BG70" i="7" s="1"/>
  <c r="BA70" i="7" s="1"/>
  <c r="BD70" i="7" s="1"/>
  <c r="AT70" i="7"/>
  <c r="AU70" i="7" s="1"/>
  <c r="AV70" i="7" s="1"/>
  <c r="AT77" i="7"/>
  <c r="AU77" i="7" s="1"/>
  <c r="AV77" i="7" s="1"/>
  <c r="BE77" i="25"/>
  <c r="BG77" i="7" s="1"/>
  <c r="BA77" i="7" s="1"/>
  <c r="BD77" i="7" s="1"/>
  <c r="BE327" i="25"/>
  <c r="BG327" i="7" s="1"/>
  <c r="BA327" i="7" s="1"/>
  <c r="BD327" i="7" s="1"/>
  <c r="AT327" i="7"/>
  <c r="AU327" i="7" s="1"/>
  <c r="AV327" i="7" s="1"/>
  <c r="BG280" i="7"/>
  <c r="BA280" i="7" s="1"/>
  <c r="BD280" i="7" s="1"/>
  <c r="BG405" i="7"/>
  <c r="BA405" i="7" s="1"/>
  <c r="BG435" i="7"/>
  <c r="BA435" i="7" s="1"/>
  <c r="BG575" i="7"/>
  <c r="BA575" i="7" s="1"/>
  <c r="BG342" i="7"/>
  <c r="BA342" i="7" s="1"/>
  <c r="BG579" i="7"/>
  <c r="BA579" i="7" s="1"/>
  <c r="BG101" i="7"/>
  <c r="BA101" i="7" s="1"/>
  <c r="BD101" i="7" s="1"/>
  <c r="BG8" i="7"/>
  <c r="BA8" i="7" s="1"/>
  <c r="BD8" i="7" s="1"/>
  <c r="BG565" i="7"/>
  <c r="BA565" i="7" s="1"/>
  <c r="BD565" i="7" s="1"/>
  <c r="BG38" i="7"/>
  <c r="BA38" i="7" s="1"/>
  <c r="BD38" i="7" s="1"/>
  <c r="BG35" i="7"/>
  <c r="BA35" i="7" s="1"/>
  <c r="BD35" i="7" s="1"/>
  <c r="BG469" i="7"/>
  <c r="BA469" i="7" s="1"/>
  <c r="BD469" i="7" s="1"/>
  <c r="BG278" i="7"/>
  <c r="BA278" i="7" s="1"/>
  <c r="BD278" i="7" s="1"/>
  <c r="BG262" i="7"/>
  <c r="BA262" i="7" s="1"/>
  <c r="BD262" i="7" s="1"/>
  <c r="BG226" i="7"/>
  <c r="BA226" i="7" s="1"/>
  <c r="BD226" i="7" s="1"/>
  <c r="BG34" i="7"/>
  <c r="BA34" i="7" s="1"/>
  <c r="BD34" i="7" s="1"/>
  <c r="BG233" i="7"/>
  <c r="BA233" i="7" s="1"/>
  <c r="BG398" i="7"/>
  <c r="BA398" i="7" s="1"/>
  <c r="BG294" i="7"/>
  <c r="BA294" i="7" s="1"/>
  <c r="BG510" i="7"/>
  <c r="BA510" i="7" s="1"/>
  <c r="BG83" i="7"/>
  <c r="BA83" i="7" s="1"/>
  <c r="BG205" i="7"/>
  <c r="BA205" i="7" s="1"/>
  <c r="BG450" i="7"/>
  <c r="BA450" i="7" s="1"/>
  <c r="BG277" i="7"/>
  <c r="BA277" i="7" s="1"/>
  <c r="BG379" i="7"/>
  <c r="BA379" i="7" s="1"/>
  <c r="BG500" i="7"/>
  <c r="BA500" i="7" s="1"/>
  <c r="BG212" i="7"/>
  <c r="BA212" i="7" s="1"/>
  <c r="BG347" i="7"/>
  <c r="BA347" i="7" s="1"/>
  <c r="BG76" i="7"/>
  <c r="BA76" i="7" s="1"/>
  <c r="AT328" i="7"/>
  <c r="AU328" i="7" s="1"/>
  <c r="AV328" i="7" s="1"/>
  <c r="BE84" i="25"/>
  <c r="BE288" i="25"/>
  <c r="BG79" i="7"/>
  <c r="BA79" i="7" s="1"/>
  <c r="BG457" i="7"/>
  <c r="BA457" i="7" s="1"/>
  <c r="BG191" i="7"/>
  <c r="BA191" i="7" s="1"/>
  <c r="BG293" i="7"/>
  <c r="BA293" i="7" s="1"/>
  <c r="BG555" i="7"/>
  <c r="BA555" i="7" s="1"/>
  <c r="BG567" i="7"/>
  <c r="BA567" i="7" s="1"/>
  <c r="BG541" i="7"/>
  <c r="BA541" i="7" s="1"/>
  <c r="BG282" i="7"/>
  <c r="BA282" i="7" s="1"/>
  <c r="BG429" i="7"/>
  <c r="BA429" i="7" s="1"/>
  <c r="BG493" i="7"/>
  <c r="BA493" i="7" s="1"/>
  <c r="BG150" i="7"/>
  <c r="BA150" i="7" s="1"/>
  <c r="BG275" i="7"/>
  <c r="BA275" i="7" s="1"/>
  <c r="BG185" i="7"/>
  <c r="BA185" i="7" s="1"/>
  <c r="BG346" i="7"/>
  <c r="BA346" i="7" s="1"/>
  <c r="BD346" i="7" s="1"/>
  <c r="BG175" i="7"/>
  <c r="BA175" i="7" s="1"/>
  <c r="BG220" i="7"/>
  <c r="BA220" i="7" s="1"/>
  <c r="BG73" i="7"/>
  <c r="BA73" i="7" s="1"/>
  <c r="BG15" i="7"/>
  <c r="BA15" i="7" s="1"/>
  <c r="BG66" i="7"/>
  <c r="BA66" i="7" s="1"/>
  <c r="BG437" i="7"/>
  <c r="BA437" i="7" s="1"/>
  <c r="BG364" i="7"/>
  <c r="BA364" i="7" s="1"/>
  <c r="BE328" i="25"/>
  <c r="BG322" i="7"/>
  <c r="BA322" i="7" s="1"/>
  <c r="BG9" i="7"/>
  <c r="BA9" i="7" s="1"/>
  <c r="BG502" i="7"/>
  <c r="BA502" i="7" s="1"/>
  <c r="BE180" i="25"/>
  <c r="AT180" i="7"/>
  <c r="AU180" i="7" s="1"/>
  <c r="AV180" i="7" s="1"/>
  <c r="BG531" i="7"/>
  <c r="BA531" i="7" s="1"/>
  <c r="BD531" i="7" s="1"/>
  <c r="BG14" i="7"/>
  <c r="BA14" i="7" s="1"/>
  <c r="BD14" i="7" s="1"/>
  <c r="BG515" i="7"/>
  <c r="BA515" i="7" s="1"/>
  <c r="BD515" i="7" s="1"/>
  <c r="BG236" i="7"/>
  <c r="BA236" i="7" s="1"/>
  <c r="BD236" i="7" s="1"/>
  <c r="BE388" i="25"/>
  <c r="BG208" i="7"/>
  <c r="BA208" i="7" s="1"/>
  <c r="BD208" i="7" s="1"/>
  <c r="BG506" i="7"/>
  <c r="BA506" i="7" s="1"/>
  <c r="BD506" i="7" s="1"/>
  <c r="BG135" i="7"/>
  <c r="BA135" i="7" s="1"/>
  <c r="BG475" i="7"/>
  <c r="BA475" i="7" s="1"/>
  <c r="BD475" i="7" s="1"/>
  <c r="BG217" i="7"/>
  <c r="BA217" i="7" s="1"/>
  <c r="BD217" i="7" s="1"/>
  <c r="BG560" i="7"/>
  <c r="BA560" i="7" s="1"/>
  <c r="BD560" i="7" s="1"/>
  <c r="BG129" i="7"/>
  <c r="BA129" i="7" s="1"/>
  <c r="BD129" i="7" s="1"/>
  <c r="BG570" i="7"/>
  <c r="BA570" i="7" s="1"/>
  <c r="BD570" i="7" s="1"/>
  <c r="BG454" i="7"/>
  <c r="BA454" i="7" s="1"/>
  <c r="BD454" i="7" s="1"/>
  <c r="BG465" i="7"/>
  <c r="BA465" i="7" s="1"/>
  <c r="BG444" i="7"/>
  <c r="BA444" i="7" s="1"/>
  <c r="BG266" i="7"/>
  <c r="BA266" i="7" s="1"/>
  <c r="BG467" i="7"/>
  <c r="BA467" i="7" s="1"/>
  <c r="BG505" i="7"/>
  <c r="BA505" i="7" s="1"/>
  <c r="BG124" i="7"/>
  <c r="BA124" i="7" s="1"/>
  <c r="BG537" i="7"/>
  <c r="BA537" i="7" s="1"/>
  <c r="BG195" i="7"/>
  <c r="BA195" i="7" s="1"/>
  <c r="BG283" i="7"/>
  <c r="BA283" i="7" s="1"/>
  <c r="BG562" i="7"/>
  <c r="BA562" i="7" s="1"/>
  <c r="BG522" i="7"/>
  <c r="BA522" i="7" s="1"/>
  <c r="BG401" i="7"/>
  <c r="BA401" i="7" s="1"/>
  <c r="BG178" i="7"/>
  <c r="BA178" i="7" s="1"/>
  <c r="BG362" i="7"/>
  <c r="BA362" i="7" s="1"/>
  <c r="BG569" i="7"/>
  <c r="BA569" i="7" s="1"/>
  <c r="BG221" i="7"/>
  <c r="BA221" i="7" s="1"/>
  <c r="BG479" i="7"/>
  <c r="BA479" i="7" s="1"/>
  <c r="BG10" i="7"/>
  <c r="BA10" i="7" s="1"/>
  <c r="BG171" i="7"/>
  <c r="BA171" i="7" s="1"/>
  <c r="BG349" i="7"/>
  <c r="BA349" i="7" s="1"/>
  <c r="BG561" i="7"/>
  <c r="BA561" i="7" s="1"/>
  <c r="BG189" i="7"/>
  <c r="BA189" i="7" s="1"/>
  <c r="BG586" i="7"/>
  <c r="BA586" i="7" s="1"/>
  <c r="AT373" i="7"/>
  <c r="AU373" i="7" s="1"/>
  <c r="AV373" i="7" s="1"/>
  <c r="BE373" i="25"/>
  <c r="AT146" i="7"/>
  <c r="AU146" i="7" s="1"/>
  <c r="AV146" i="7" s="1"/>
  <c r="BE146" i="25"/>
  <c r="AT222" i="7"/>
  <c r="AU222" i="7" s="1"/>
  <c r="AV222" i="7" s="1"/>
  <c r="BE222" i="25"/>
  <c r="BG501" i="7"/>
  <c r="BA501" i="7" s="1"/>
  <c r="BD501" i="7" s="1"/>
  <c r="BE151" i="25"/>
  <c r="AU396" i="7"/>
  <c r="AV396" i="7" s="1"/>
  <c r="AU44" i="7"/>
  <c r="AV44" i="7" s="1"/>
  <c r="AU463" i="7"/>
  <c r="AV463" i="7" s="1"/>
  <c r="AU292" i="7"/>
  <c r="AV292" i="7" s="1"/>
  <c r="AU430" i="7"/>
  <c r="AV430" i="7" s="1"/>
  <c r="AU326" i="7"/>
  <c r="AV326" i="7" s="1"/>
  <c r="AU116" i="7"/>
  <c r="AV116" i="7" s="1"/>
  <c r="AU392" i="7"/>
  <c r="AV392" i="7" s="1"/>
  <c r="AU395" i="7"/>
  <c r="AV395" i="7" s="1"/>
  <c r="AU85" i="7"/>
  <c r="AV85" i="7" s="1"/>
  <c r="BE440" i="25"/>
  <c r="AT440" i="7"/>
  <c r="BE558" i="25"/>
  <c r="AT558" i="7"/>
  <c r="AU181" i="7"/>
  <c r="AV181" i="7" s="1"/>
  <c r="AU554" i="7"/>
  <c r="AV554" i="7" s="1"/>
  <c r="AU495" i="7"/>
  <c r="AV495" i="7" s="1"/>
  <c r="AU571" i="7"/>
  <c r="AV571" i="7" s="1"/>
  <c r="AU175" i="7"/>
  <c r="AV175" i="7" s="1"/>
  <c r="BD445" i="7"/>
  <c r="BD174" i="7"/>
  <c r="BD173" i="7"/>
  <c r="AU151" i="7"/>
  <c r="AV151" i="7" s="1"/>
  <c r="BE230" i="25"/>
  <c r="AT230" i="7"/>
  <c r="AU298" i="7"/>
  <c r="AV298" i="7" s="1"/>
  <c r="AU66" i="7"/>
  <c r="AV66" i="7" s="1"/>
  <c r="AU150" i="7"/>
  <c r="AV150" i="7" s="1"/>
  <c r="BD193" i="7"/>
  <c r="BE367" i="25"/>
  <c r="AT367" i="7"/>
  <c r="BE281" i="25"/>
  <c r="AT281" i="7"/>
  <c r="AU212" i="7"/>
  <c r="AV212" i="7" s="1"/>
  <c r="BE530" i="25"/>
  <c r="AT530" i="7"/>
  <c r="AU195" i="7"/>
  <c r="AV195" i="7" s="1"/>
  <c r="BD351" i="7"/>
  <c r="AU342" i="7"/>
  <c r="AV342" i="7" s="1"/>
  <c r="AU283" i="7"/>
  <c r="AV283" i="7" s="1"/>
  <c r="AU401" i="7"/>
  <c r="AV401" i="7" s="1"/>
  <c r="AU178" i="7"/>
  <c r="AV178" i="7" s="1"/>
  <c r="AU362" i="7"/>
  <c r="AV362" i="7" s="1"/>
  <c r="AU221" i="7"/>
  <c r="AV221" i="7" s="1"/>
  <c r="BD593" i="7"/>
  <c r="BD416" i="7"/>
  <c r="BD97" i="7"/>
  <c r="BD59" i="7"/>
  <c r="BD459" i="7"/>
  <c r="BD249" i="7"/>
  <c r="AU171" i="7"/>
  <c r="AV171" i="7" s="1"/>
  <c r="AU487" i="7"/>
  <c r="AV487" i="7" s="1"/>
  <c r="AU498" i="7"/>
  <c r="AV498" i="7" s="1"/>
  <c r="AU546" i="7"/>
  <c r="AV546" i="7" s="1"/>
  <c r="AU229" i="7"/>
  <c r="AV229" i="7" s="1"/>
  <c r="AU466" i="7"/>
  <c r="AV466" i="7" s="1"/>
  <c r="AU273" i="7"/>
  <c r="AV273" i="7" s="1"/>
  <c r="AU512" i="7"/>
  <c r="AV512" i="7" s="1"/>
  <c r="AU384" i="7"/>
  <c r="AV384" i="7" s="1"/>
  <c r="AU356" i="7"/>
  <c r="AV356" i="7" s="1"/>
  <c r="AU152" i="7"/>
  <c r="AV152" i="7" s="1"/>
  <c r="AU11" i="7"/>
  <c r="AV11" i="7" s="1"/>
  <c r="AU596" i="7"/>
  <c r="AV596" i="7" s="1"/>
  <c r="AU536" i="7"/>
  <c r="AV536" i="7" s="1"/>
  <c r="AU55" i="7"/>
  <c r="AV55" i="7" s="1"/>
  <c r="BE305" i="25"/>
  <c r="AT305" i="7"/>
  <c r="BE240" i="25"/>
  <c r="AT240" i="7"/>
  <c r="AU415" i="7"/>
  <c r="AV415" i="7" s="1"/>
  <c r="AU161" i="7"/>
  <c r="AV161" i="7" s="1"/>
  <c r="AU473" i="7"/>
  <c r="AV473" i="7" s="1"/>
  <c r="AU121" i="7"/>
  <c r="AV121" i="7" s="1"/>
  <c r="AU58" i="7"/>
  <c r="AV58" i="7" s="1"/>
  <c r="BD425" i="7"/>
  <c r="AU220" i="7"/>
  <c r="AV220" i="7" s="1"/>
  <c r="AU73" i="7"/>
  <c r="AV73" i="7" s="1"/>
  <c r="AU15" i="7"/>
  <c r="AV15" i="7" s="1"/>
  <c r="BE295" i="25"/>
  <c r="AT295" i="7"/>
  <c r="AU267" i="7"/>
  <c r="AV267" i="7" s="1"/>
  <c r="AU266" i="7"/>
  <c r="AV266" i="7" s="1"/>
  <c r="AU467" i="7"/>
  <c r="AV467" i="7" s="1"/>
  <c r="BD197" i="7"/>
  <c r="BD363" i="7"/>
  <c r="AU366" i="7"/>
  <c r="AV366" i="7" s="1"/>
  <c r="AU549" i="7"/>
  <c r="AV549" i="7" s="1"/>
  <c r="BD166" i="7"/>
  <c r="BD456" i="7"/>
  <c r="BD518" i="7"/>
  <c r="BE188" i="25"/>
  <c r="AT188" i="7"/>
  <c r="BE168" i="25"/>
  <c r="AT168" i="7"/>
  <c r="AU91" i="7"/>
  <c r="AV91" i="7" s="1"/>
  <c r="AU277" i="7"/>
  <c r="AV277" i="7" s="1"/>
  <c r="AU500" i="7"/>
  <c r="AV500" i="7" s="1"/>
  <c r="AU404" i="7"/>
  <c r="AV404" i="7" s="1"/>
  <c r="AU364" i="7"/>
  <c r="AV364" i="7" s="1"/>
  <c r="AU88" i="7"/>
  <c r="AV88" i="7" s="1"/>
  <c r="BE118" i="25"/>
  <c r="AT118" i="7"/>
  <c r="BD5" i="7"/>
  <c r="AU575" i="7"/>
  <c r="AV575" i="7" s="1"/>
  <c r="AU562" i="7"/>
  <c r="AV562" i="7" s="1"/>
  <c r="AU322" i="7"/>
  <c r="AV322" i="7" s="1"/>
  <c r="AU579" i="7"/>
  <c r="AV579" i="7" s="1"/>
  <c r="AU448" i="7"/>
  <c r="AV448" i="7" s="1"/>
  <c r="BD464" i="7"/>
  <c r="BD137" i="7"/>
  <c r="BD417" i="7"/>
  <c r="BD344" i="7"/>
  <c r="BD556" i="7"/>
  <c r="AT402" i="7"/>
  <c r="AU107" i="7"/>
  <c r="AV107" i="7" s="1"/>
  <c r="AU16" i="7"/>
  <c r="AV16" i="7" s="1"/>
  <c r="AU578" i="7"/>
  <c r="AV578" i="7" s="1"/>
  <c r="AU36" i="7"/>
  <c r="AV36" i="7" s="1"/>
  <c r="AU237" i="7"/>
  <c r="AV237" i="7" s="1"/>
  <c r="AU543" i="7"/>
  <c r="AV543" i="7" s="1"/>
  <c r="AU192" i="7"/>
  <c r="AV192" i="7" s="1"/>
  <c r="AU2" i="7"/>
  <c r="AV2" i="7" s="1"/>
  <c r="AU250" i="7"/>
  <c r="AV250" i="7" s="1"/>
  <c r="AU503" i="7"/>
  <c r="AV503" i="7" s="1"/>
  <c r="AU574" i="7"/>
  <c r="AV574" i="7" s="1"/>
  <c r="AU69" i="7"/>
  <c r="AV69" i="7" s="1"/>
  <c r="AU234" i="7"/>
  <c r="AV234" i="7" s="1"/>
  <c r="BE563" i="25"/>
  <c r="AT563" i="7"/>
  <c r="AU37" i="7"/>
  <c r="AV37" i="7" s="1"/>
  <c r="AU504" i="7"/>
  <c r="AV504" i="7" s="1"/>
  <c r="AU158" i="7"/>
  <c r="AV158" i="7" s="1"/>
  <c r="AU276" i="7"/>
  <c r="AV276" i="7" s="1"/>
  <c r="BD108" i="7"/>
  <c r="AU465" i="7"/>
  <c r="AV465" i="7" s="1"/>
  <c r="BE378" i="25"/>
  <c r="AT378" i="7"/>
  <c r="BD300" i="7"/>
  <c r="BD350" i="7"/>
  <c r="BD484" i="7"/>
  <c r="BD18" i="7"/>
  <c r="AU126" i="7"/>
  <c r="AV126" i="7" s="1"/>
  <c r="AU102" i="7"/>
  <c r="AV102" i="7" s="1"/>
  <c r="AU124" i="7"/>
  <c r="AV124" i="7" s="1"/>
  <c r="AU537" i="7"/>
  <c r="AV537" i="7" s="1"/>
  <c r="BD361" i="7"/>
  <c r="BD206" i="7"/>
  <c r="AU79" i="7"/>
  <c r="AV79" i="7" s="1"/>
  <c r="AU542" i="7"/>
  <c r="AV542" i="7" s="1"/>
  <c r="AU491" i="7"/>
  <c r="AV491" i="7" s="1"/>
  <c r="BE525" i="25"/>
  <c r="AT525" i="7"/>
  <c r="BD80" i="7"/>
  <c r="BD93" i="7"/>
  <c r="BD576" i="7"/>
  <c r="AU489" i="7"/>
  <c r="AV489" i="7" s="1"/>
  <c r="AU541" i="7"/>
  <c r="AV541" i="7" s="1"/>
  <c r="AU282" i="7"/>
  <c r="AV282" i="7" s="1"/>
  <c r="AU511" i="7"/>
  <c r="AV511" i="7" s="1"/>
  <c r="AU581" i="7"/>
  <c r="AV581" i="7" s="1"/>
  <c r="AU452" i="7"/>
  <c r="AV452" i="7" s="1"/>
  <c r="AU12" i="7"/>
  <c r="AV12" i="7" s="1"/>
  <c r="AU81" i="7"/>
  <c r="AV81" i="7" s="1"/>
  <c r="AU144" i="7"/>
  <c r="AV144" i="7" s="1"/>
  <c r="AU28" i="7"/>
  <c r="AV28" i="7" s="1"/>
  <c r="AU106" i="7"/>
  <c r="AV106" i="7" s="1"/>
  <c r="AU103" i="7"/>
  <c r="AV103" i="7" s="1"/>
  <c r="AU157" i="7"/>
  <c r="AV157" i="7" s="1"/>
  <c r="AU289" i="7"/>
  <c r="AV289" i="7" s="1"/>
  <c r="AU227" i="7"/>
  <c r="AV227" i="7" s="1"/>
  <c r="AU263" i="7"/>
  <c r="AV263" i="7" s="1"/>
  <c r="AU207" i="7"/>
  <c r="AV207" i="7" s="1"/>
  <c r="AU320" i="7"/>
  <c r="AV320" i="7" s="1"/>
  <c r="AU439" i="7"/>
  <c r="AV439" i="7" s="1"/>
  <c r="AU204" i="7"/>
  <c r="AV204" i="7" s="1"/>
  <c r="AU29" i="7"/>
  <c r="AV29" i="7" s="1"/>
  <c r="AU431" i="7"/>
  <c r="AV431" i="7" s="1"/>
  <c r="AU140" i="7"/>
  <c r="AV140" i="7" s="1"/>
  <c r="AU488" i="7"/>
  <c r="AV488" i="7" s="1"/>
  <c r="AU31" i="7"/>
  <c r="AV31" i="7" s="1"/>
  <c r="BE544" i="25"/>
  <c r="AT544" i="7"/>
  <c r="BD254" i="7"/>
  <c r="BD345" i="7"/>
  <c r="BD135" i="7"/>
  <c r="AU493" i="7"/>
  <c r="AV493" i="7" s="1"/>
  <c r="AU83" i="7"/>
  <c r="AV83" i="7" s="1"/>
  <c r="BD385" i="7"/>
  <c r="BD591" i="7"/>
  <c r="BD224" i="7"/>
  <c r="BD216" i="7"/>
  <c r="AU205" i="7"/>
  <c r="AV205" i="7" s="1"/>
  <c r="AU450" i="7"/>
  <c r="AV450" i="7" s="1"/>
  <c r="AU13" i="7"/>
  <c r="AV13" i="7" s="1"/>
  <c r="BE400" i="25"/>
  <c r="AT400" i="7"/>
  <c r="AU330" i="7"/>
  <c r="AV330" i="7" s="1"/>
  <c r="AU323" i="7"/>
  <c r="AV323" i="7" s="1"/>
  <c r="BE336" i="25"/>
  <c r="AT336" i="7"/>
  <c r="BD389" i="7"/>
  <c r="BD233" i="7"/>
  <c r="AU185" i="7"/>
  <c r="AV185" i="7" s="1"/>
  <c r="BD78" i="7"/>
  <c r="BD177" i="7"/>
  <c r="AU191" i="7"/>
  <c r="AV191" i="7" s="1"/>
  <c r="AU270" i="7"/>
  <c r="AV270" i="7" s="1"/>
  <c r="AU502" i="7"/>
  <c r="AV502" i="7" s="1"/>
  <c r="AU429" i="7"/>
  <c r="AV429" i="7" s="1"/>
  <c r="BE498" i="25"/>
  <c r="BE546" i="25"/>
  <c r="BE229" i="25"/>
  <c r="BE466" i="25"/>
  <c r="BE273" i="25"/>
  <c r="BE512" i="25"/>
  <c r="BE384" i="25"/>
  <c r="BE356" i="25"/>
  <c r="BE152" i="25"/>
  <c r="BE11" i="25"/>
  <c r="BE596" i="25"/>
  <c r="BE536" i="25"/>
  <c r="BE55" i="25"/>
  <c r="BE29" i="25"/>
  <c r="BE37" i="25"/>
  <c r="BE504" i="25"/>
  <c r="BE31" i="25"/>
  <c r="BE107" i="25"/>
  <c r="BE16" i="25"/>
  <c r="BE578" i="25"/>
  <c r="BE36" i="25"/>
  <c r="BE237" i="25"/>
  <c r="BE543" i="25"/>
  <c r="BE192" i="25"/>
  <c r="BE250" i="25"/>
  <c r="BE503" i="25"/>
  <c r="BE574" i="25"/>
  <c r="BE69" i="25"/>
  <c r="BE234" i="25"/>
  <c r="BE181" i="25"/>
  <c r="BE431" i="25"/>
  <c r="BE140" i="25"/>
  <c r="BE161" i="25"/>
  <c r="BE488" i="25"/>
  <c r="BE511" i="25"/>
  <c r="BE581" i="25"/>
  <c r="BE452" i="25"/>
  <c r="BE12" i="25"/>
  <c r="BE81" i="25"/>
  <c r="BE144" i="25"/>
  <c r="BE28" i="25"/>
  <c r="BE106" i="25"/>
  <c r="BE103" i="25"/>
  <c r="BE157" i="25"/>
  <c r="BE289" i="25"/>
  <c r="BE227" i="25"/>
  <c r="BE263" i="25"/>
  <c r="BE207" i="25"/>
  <c r="BE320" i="25"/>
  <c r="BE439" i="25"/>
  <c r="BE204" i="25"/>
  <c r="BE415" i="25"/>
  <c r="BE554" i="25"/>
  <c r="BE473" i="25"/>
  <c r="BE158" i="25"/>
  <c r="BE571" i="25"/>
  <c r="BE58" i="25"/>
  <c r="BE396" i="25"/>
  <c r="BE44" i="25"/>
  <c r="BE463" i="25"/>
  <c r="BE292" i="25"/>
  <c r="BE430" i="25"/>
  <c r="BE326" i="25"/>
  <c r="BE116" i="25"/>
  <c r="BE392" i="25"/>
  <c r="BE395" i="25"/>
  <c r="BE85" i="25"/>
  <c r="BE495" i="25"/>
  <c r="BE121" i="25"/>
  <c r="BE276" i="25"/>
  <c r="BE410" i="25" l="1"/>
  <c r="BG410" i="7" s="1"/>
  <c r="BA410" i="7" s="1"/>
  <c r="BD410" i="7" s="1"/>
  <c r="BE381" i="25"/>
  <c r="BG381" i="7" s="1"/>
  <c r="BA381" i="7" s="1"/>
  <c r="BE413" i="25"/>
  <c r="BG413" i="7" s="1"/>
  <c r="BA413" i="7" s="1"/>
  <c r="BD413" i="7" s="1"/>
  <c r="BD403" i="25"/>
  <c r="BE409" i="25"/>
  <c r="BG409" i="7" s="1"/>
  <c r="BA409" i="7" s="1"/>
  <c r="BD409" i="7" s="1"/>
  <c r="BE368" i="25"/>
  <c r="BG368" i="7" s="1"/>
  <c r="BA368" i="7" s="1"/>
  <c r="BD368" i="7" s="1"/>
  <c r="BD381" i="25"/>
  <c r="BD299" i="25"/>
  <c r="BD252" i="25"/>
  <c r="BD475" i="25"/>
  <c r="AT475" i="7"/>
  <c r="AU475" i="7" s="1"/>
  <c r="AV475" i="7" s="1"/>
  <c r="AT423" i="7"/>
  <c r="AU423" i="7" s="1"/>
  <c r="AV423" i="7" s="1"/>
  <c r="BD484" i="25"/>
  <c r="BD423" i="25"/>
  <c r="AT413" i="7"/>
  <c r="AU413" i="7" s="1"/>
  <c r="AV413" i="7" s="1"/>
  <c r="AT379" i="7"/>
  <c r="AU379" i="7" s="1"/>
  <c r="AV379" i="7" s="1"/>
  <c r="BD404" i="25"/>
  <c r="BE403" i="25"/>
  <c r="BE402" i="25"/>
  <c r="AT252" i="7"/>
  <c r="AU252" i="7" s="1"/>
  <c r="AV252" i="7" s="1"/>
  <c r="BD461" i="25"/>
  <c r="AT527" i="7"/>
  <c r="AU527" i="7" s="1"/>
  <c r="AV527" i="7" s="1"/>
  <c r="BD527" i="25"/>
  <c r="BD368" i="25"/>
  <c r="AT409" i="7"/>
  <c r="AU409" i="7" s="1"/>
  <c r="AV409" i="7" s="1"/>
  <c r="BD488" i="25"/>
  <c r="BD543" i="25"/>
  <c r="BE404" i="25"/>
  <c r="BG404" i="7" s="1"/>
  <c r="BA404" i="7" s="1"/>
  <c r="AT461" i="7"/>
  <c r="AU461" i="7" s="1"/>
  <c r="AV461" i="7" s="1"/>
  <c r="BD388" i="25"/>
  <c r="BD379" i="25"/>
  <c r="BD555" i="25"/>
  <c r="BE380" i="25"/>
  <c r="BG380" i="7" s="1"/>
  <c r="BA380" i="7" s="1"/>
  <c r="BD380" i="7" s="1"/>
  <c r="AT484" i="7"/>
  <c r="AU484" i="7" s="1"/>
  <c r="AV484" i="7" s="1"/>
  <c r="BE301" i="25"/>
  <c r="BG301" i="7" s="1"/>
  <c r="BA301" i="7" s="1"/>
  <c r="BD301" i="7" s="1"/>
  <c r="BD301" i="25"/>
  <c r="AT312" i="7"/>
  <c r="AU312" i="7" s="1"/>
  <c r="AV312" i="7" s="1"/>
  <c r="BD312" i="25"/>
  <c r="BE312" i="25"/>
  <c r="BG312" i="7" s="1"/>
  <c r="BA312" i="7" s="1"/>
  <c r="BD312" i="7" s="1"/>
  <c r="BD53" i="25"/>
  <c r="AT53" i="7"/>
  <c r="AU53" i="7" s="1"/>
  <c r="AV53" i="7" s="1"/>
  <c r="BE53" i="25"/>
  <c r="BG53" i="7" s="1"/>
  <c r="BA53" i="7" s="1"/>
  <c r="AT43" i="7"/>
  <c r="AU43" i="7" s="1"/>
  <c r="AV43" i="7" s="1"/>
  <c r="BE43" i="25"/>
  <c r="BG43" i="7" s="1"/>
  <c r="BA43" i="7" s="1"/>
  <c r="BD106" i="25"/>
  <c r="BD99" i="25"/>
  <c r="AT99" i="7"/>
  <c r="AU99" i="7" s="1"/>
  <c r="AV99" i="7" s="1"/>
  <c r="BE47" i="25"/>
  <c r="BG47" i="7" s="1"/>
  <c r="BA47" i="7" s="1"/>
  <c r="BD47" i="25"/>
  <c r="AT47" i="7"/>
  <c r="AU47" i="7" s="1"/>
  <c r="AV47" i="7" s="1"/>
  <c r="AT49" i="7"/>
  <c r="AU49" i="7" s="1"/>
  <c r="AV49" i="7" s="1"/>
  <c r="BE49" i="25"/>
  <c r="BG49" i="7" s="1"/>
  <c r="BA49" i="7" s="1"/>
  <c r="AT548" i="7"/>
  <c r="AU548" i="7" s="1"/>
  <c r="AV548" i="7" s="1"/>
  <c r="BE548" i="25"/>
  <c r="BG548" i="7" s="1"/>
  <c r="BA548" i="7" s="1"/>
  <c r="BD548" i="7" s="1"/>
  <c r="BE117" i="25"/>
  <c r="BG117" i="7" s="1"/>
  <c r="BA117" i="7" s="1"/>
  <c r="BD117" i="7" s="1"/>
  <c r="AT117" i="7"/>
  <c r="AU117" i="7" s="1"/>
  <c r="AV117" i="7" s="1"/>
  <c r="BD117" i="25"/>
  <c r="BE545" i="25"/>
  <c r="BG545" i="7" s="1"/>
  <c r="BA545" i="7" s="1"/>
  <c r="BD545" i="7" s="1"/>
  <c r="AT545" i="7"/>
  <c r="AU545" i="7" s="1"/>
  <c r="AV545" i="7" s="1"/>
  <c r="BD538" i="25"/>
  <c r="AT538" i="7"/>
  <c r="AU538" i="7" s="1"/>
  <c r="AV538" i="7" s="1"/>
  <c r="BE538" i="25"/>
  <c r="BG538" i="7" s="1"/>
  <c r="BA538" i="7" s="1"/>
  <c r="BE239" i="25"/>
  <c r="BG239" i="7" s="1"/>
  <c r="BA239" i="7" s="1"/>
  <c r="BD239" i="7" s="1"/>
  <c r="BD239" i="25"/>
  <c r="AT239" i="7"/>
  <c r="AU239" i="7" s="1"/>
  <c r="AV239" i="7" s="1"/>
  <c r="AT256" i="7"/>
  <c r="AU256" i="7" s="1"/>
  <c r="AV256" i="7" s="1"/>
  <c r="BE256" i="25"/>
  <c r="BG256" i="7" s="1"/>
  <c r="BA256" i="7" s="1"/>
  <c r="BD256" i="7" s="1"/>
  <c r="BE412" i="25"/>
  <c r="BG412" i="7" s="1"/>
  <c r="BA412" i="7" s="1"/>
  <c r="AT412" i="7"/>
  <c r="AU412" i="7" s="1"/>
  <c r="AV412" i="7" s="1"/>
  <c r="BD310" i="25"/>
  <c r="AT310" i="7"/>
  <c r="AU310" i="7" s="1"/>
  <c r="AV310" i="7" s="1"/>
  <c r="BE310" i="25"/>
  <c r="BG310" i="7" s="1"/>
  <c r="BA310" i="7" s="1"/>
  <c r="BD310" i="7" s="1"/>
  <c r="AT296" i="7"/>
  <c r="AU296" i="7" s="1"/>
  <c r="AV296" i="7" s="1"/>
  <c r="BE296" i="25"/>
  <c r="BG296" i="7" s="1"/>
  <c r="BA296" i="7" s="1"/>
  <c r="BD296" i="7" s="1"/>
  <c r="AT477" i="7"/>
  <c r="AU477" i="7" s="1"/>
  <c r="AV477" i="7" s="1"/>
  <c r="BD477" i="25"/>
  <c r="BE477" i="25"/>
  <c r="BG477" i="7" s="1"/>
  <c r="BA477" i="7" s="1"/>
  <c r="AT52" i="7"/>
  <c r="AU52" i="7" s="1"/>
  <c r="AV52" i="7" s="1"/>
  <c r="BE52" i="25"/>
  <c r="BG52" i="7" s="1"/>
  <c r="BA52" i="7" s="1"/>
  <c r="BD42" i="25"/>
  <c r="AT42" i="7"/>
  <c r="AU42" i="7" s="1"/>
  <c r="AV42" i="7" s="1"/>
  <c r="BE42" i="25"/>
  <c r="BG42" i="7" s="1"/>
  <c r="BA42" i="7" s="1"/>
  <c r="AT539" i="7"/>
  <c r="AU539" i="7" s="1"/>
  <c r="AV539" i="7" s="1"/>
  <c r="BE539" i="25"/>
  <c r="BG539" i="7" s="1"/>
  <c r="BA539" i="7" s="1"/>
  <c r="BD539" i="7" s="1"/>
  <c r="AT547" i="7"/>
  <c r="AU547" i="7" s="1"/>
  <c r="AV547" i="7" s="1"/>
  <c r="BE547" i="25"/>
  <c r="BG547" i="7" s="1"/>
  <c r="BA547" i="7" s="1"/>
  <c r="BD119" i="25"/>
  <c r="BD383" i="25"/>
  <c r="BE383" i="25"/>
  <c r="BG383" i="7" s="1"/>
  <c r="BA383" i="7" s="1"/>
  <c r="BD383" i="7" s="1"/>
  <c r="AT383" i="7"/>
  <c r="AU383" i="7" s="1"/>
  <c r="AV383" i="7" s="1"/>
  <c r="BD419" i="25"/>
  <c r="BE419" i="25"/>
  <c r="BG419" i="7" s="1"/>
  <c r="BA419" i="7" s="1"/>
  <c r="BD419" i="7" s="1"/>
  <c r="AT419" i="7"/>
  <c r="AU419" i="7" s="1"/>
  <c r="AV419" i="7" s="1"/>
  <c r="BE478" i="25"/>
  <c r="BG478" i="7" s="1"/>
  <c r="BA478" i="7" s="1"/>
  <c r="AT478" i="7"/>
  <c r="AU478" i="7" s="1"/>
  <c r="AV478" i="7" s="1"/>
  <c r="BD478" i="25"/>
  <c r="BE486" i="25"/>
  <c r="BG486" i="7" s="1"/>
  <c r="BA486" i="7" s="1"/>
  <c r="BD486" i="7" s="1"/>
  <c r="AT486" i="7"/>
  <c r="AU486" i="7" s="1"/>
  <c r="AV486" i="7" s="1"/>
  <c r="BD107" i="25"/>
  <c r="BE260" i="25"/>
  <c r="BG260" i="7" s="1"/>
  <c r="BA260" i="7" s="1"/>
  <c r="BD260" i="7" s="1"/>
  <c r="BD260" i="25"/>
  <c r="AT260" i="7"/>
  <c r="AU260" i="7" s="1"/>
  <c r="AV260" i="7" s="1"/>
  <c r="BE225" i="25"/>
  <c r="BG225" i="7" s="1"/>
  <c r="BA225" i="7" s="1"/>
  <c r="AT225" i="7"/>
  <c r="AU225" i="7" s="1"/>
  <c r="AV225" i="7" s="1"/>
  <c r="AT241" i="7"/>
  <c r="AU241" i="7" s="1"/>
  <c r="AV241" i="7" s="1"/>
  <c r="BD241" i="25"/>
  <c r="BE241" i="25"/>
  <c r="BG241" i="7" s="1"/>
  <c r="BA241" i="7" s="1"/>
  <c r="BE376" i="25"/>
  <c r="BG376" i="7" s="1"/>
  <c r="BA376" i="7" s="1"/>
  <c r="AT376" i="7"/>
  <c r="AU376" i="7" s="1"/>
  <c r="AV376" i="7" s="1"/>
  <c r="BD376" i="25"/>
  <c r="BD370" i="25"/>
  <c r="AT370" i="7"/>
  <c r="AU370" i="7" s="1"/>
  <c r="AV370" i="7" s="1"/>
  <c r="BE370" i="25"/>
  <c r="BG370" i="7" s="1"/>
  <c r="BA370" i="7" s="1"/>
  <c r="BE387" i="25"/>
  <c r="BG387" i="7" s="1"/>
  <c r="BA387" i="7" s="1"/>
  <c r="AT387" i="7"/>
  <c r="AU387" i="7" s="1"/>
  <c r="AV387" i="7" s="1"/>
  <c r="BE307" i="25"/>
  <c r="BG307" i="7" s="1"/>
  <c r="BA307" i="7" s="1"/>
  <c r="BD307" i="25"/>
  <c r="AT307" i="7"/>
  <c r="AU307" i="7" s="1"/>
  <c r="AV307" i="7" s="1"/>
  <c r="BE482" i="25"/>
  <c r="BG482" i="7" s="1"/>
  <c r="BA482" i="7" s="1"/>
  <c r="AT482" i="7"/>
  <c r="AU482" i="7" s="1"/>
  <c r="AV482" i="7" s="1"/>
  <c r="BD482" i="25"/>
  <c r="BD486" i="25"/>
  <c r="BE243" i="25"/>
  <c r="BG243" i="7" s="1"/>
  <c r="BA243" i="7" s="1"/>
  <c r="BD243" i="7" s="1"/>
  <c r="BD243" i="25"/>
  <c r="AT243" i="7"/>
  <c r="AU243" i="7" s="1"/>
  <c r="AV243" i="7" s="1"/>
  <c r="AT248" i="7"/>
  <c r="AU248" i="7" s="1"/>
  <c r="AV248" i="7" s="1"/>
  <c r="BE248" i="25"/>
  <c r="BG248" i="7" s="1"/>
  <c r="BA248" i="7" s="1"/>
  <c r="AT249" i="7"/>
  <c r="AU249" i="7" s="1"/>
  <c r="AV249" i="7" s="1"/>
  <c r="BE249" i="25"/>
  <c r="BG249" i="7" s="1"/>
  <c r="BA249" i="7" s="1"/>
  <c r="AT382" i="7"/>
  <c r="AU382" i="7" s="1"/>
  <c r="AV382" i="7" s="1"/>
  <c r="BD382" i="25"/>
  <c r="BE303" i="25"/>
  <c r="BG303" i="7" s="1"/>
  <c r="BA303" i="7" s="1"/>
  <c r="AT303" i="7"/>
  <c r="AU303" i="7" s="1"/>
  <c r="AV303" i="7" s="1"/>
  <c r="AT306" i="7"/>
  <c r="AU306" i="7" s="1"/>
  <c r="AV306" i="7" s="1"/>
  <c r="BE306" i="25"/>
  <c r="BG306" i="7" s="1"/>
  <c r="BA306" i="7" s="1"/>
  <c r="BD483" i="25"/>
  <c r="BE483" i="25"/>
  <c r="BG483" i="7" s="1"/>
  <c r="BA483" i="7" s="1"/>
  <c r="AT483" i="7"/>
  <c r="AU483" i="7" s="1"/>
  <c r="AV483" i="7" s="1"/>
  <c r="AT110" i="7"/>
  <c r="AU110" i="7" s="1"/>
  <c r="AV110" i="7" s="1"/>
  <c r="BE110" i="25"/>
  <c r="BG110" i="7" s="1"/>
  <c r="BA110" i="7" s="1"/>
  <c r="BD110" i="7" s="1"/>
  <c r="BD392" i="25"/>
  <c r="AT300" i="7"/>
  <c r="AU300" i="7" s="1"/>
  <c r="AV300" i="7" s="1"/>
  <c r="BE300" i="25"/>
  <c r="BG300" i="7" s="1"/>
  <c r="BA300" i="7" s="1"/>
  <c r="BD114" i="25"/>
  <c r="AT114" i="7"/>
  <c r="AU114" i="7" s="1"/>
  <c r="AV114" i="7" s="1"/>
  <c r="BE114" i="25"/>
  <c r="BG114" i="7" s="1"/>
  <c r="BA114" i="7" s="1"/>
  <c r="AT115" i="7"/>
  <c r="AU115" i="7" s="1"/>
  <c r="AV115" i="7" s="1"/>
  <c r="BE115" i="25"/>
  <c r="BG115" i="7" s="1"/>
  <c r="BA115" i="7" s="1"/>
  <c r="BD115" i="7" s="1"/>
  <c r="AT54" i="7"/>
  <c r="AU54" i="7" s="1"/>
  <c r="AV54" i="7" s="1"/>
  <c r="BE54" i="25"/>
  <c r="BG54" i="7" s="1"/>
  <c r="BA54" i="7" s="1"/>
  <c r="BD54" i="7" s="1"/>
  <c r="BE65" i="25"/>
  <c r="BG65" i="7" s="1"/>
  <c r="BA65" i="7" s="1"/>
  <c r="BD65" i="7" s="1"/>
  <c r="BD65" i="25"/>
  <c r="AT65" i="7"/>
  <c r="AU65" i="7" s="1"/>
  <c r="AV65" i="7" s="1"/>
  <c r="AT550" i="7"/>
  <c r="AU550" i="7" s="1"/>
  <c r="AV550" i="7" s="1"/>
  <c r="BE550" i="25"/>
  <c r="BG550" i="7" s="1"/>
  <c r="BA550" i="7" s="1"/>
  <c r="BD546" i="25"/>
  <c r="BE111" i="25"/>
  <c r="BG111" i="7" s="1"/>
  <c r="BA111" i="7" s="1"/>
  <c r="AT111" i="7"/>
  <c r="AU111" i="7" s="1"/>
  <c r="AV111" i="7" s="1"/>
  <c r="BD111" i="25"/>
  <c r="AT112" i="7"/>
  <c r="AU112" i="7" s="1"/>
  <c r="AV112" i="7" s="1"/>
  <c r="BE112" i="25"/>
  <c r="BG112" i="7" s="1"/>
  <c r="BA112" i="7" s="1"/>
  <c r="BD112" i="7" s="1"/>
  <c r="BD112" i="25"/>
  <c r="BE46" i="25"/>
  <c r="BG46" i="7" s="1"/>
  <c r="BA46" i="7" s="1"/>
  <c r="AT46" i="7"/>
  <c r="AU46" i="7" s="1"/>
  <c r="AV46" i="7" s="1"/>
  <c r="BD46" i="25"/>
  <c r="BD57" i="25"/>
  <c r="AT57" i="7"/>
  <c r="AU57" i="7" s="1"/>
  <c r="AV57" i="7" s="1"/>
  <c r="BE57" i="25"/>
  <c r="BG57" i="7" s="1"/>
  <c r="BA57" i="7" s="1"/>
  <c r="BD51" i="25"/>
  <c r="BE51" i="25"/>
  <c r="BG51" i="7" s="1"/>
  <c r="BA51" i="7" s="1"/>
  <c r="AT51" i="7"/>
  <c r="AU51" i="7" s="1"/>
  <c r="AV51" i="7" s="1"/>
  <c r="AT551" i="7"/>
  <c r="AU551" i="7" s="1"/>
  <c r="AV551" i="7" s="1"/>
  <c r="BE551" i="25"/>
  <c r="BG551" i="7" s="1"/>
  <c r="BA551" i="7" s="1"/>
  <c r="BD551" i="25"/>
  <c r="BD548" i="25"/>
  <c r="BD63" i="25"/>
  <c r="BE63" i="25"/>
  <c r="BG63" i="7" s="1"/>
  <c r="BA63" i="7" s="1"/>
  <c r="BD63" i="7" s="1"/>
  <c r="AT63" i="7"/>
  <c r="AU63" i="7" s="1"/>
  <c r="AV63" i="7" s="1"/>
  <c r="BD245" i="25"/>
  <c r="BE245" i="25"/>
  <c r="BG245" i="7" s="1"/>
  <c r="BA245" i="7" s="1"/>
  <c r="BD245" i="7" s="1"/>
  <c r="AT245" i="7"/>
  <c r="AU245" i="7" s="1"/>
  <c r="AV245" i="7" s="1"/>
  <c r="BD247" i="25"/>
  <c r="BE247" i="25"/>
  <c r="BG247" i="7" s="1"/>
  <c r="BA247" i="7" s="1"/>
  <c r="BD247" i="7" s="1"/>
  <c r="AT247" i="7"/>
  <c r="AU247" i="7" s="1"/>
  <c r="AV247" i="7" s="1"/>
  <c r="AT391" i="7"/>
  <c r="AU391" i="7" s="1"/>
  <c r="AV391" i="7" s="1"/>
  <c r="BE391" i="25"/>
  <c r="BG391" i="7" s="1"/>
  <c r="BA391" i="7" s="1"/>
  <c r="BD391" i="7" s="1"/>
  <c r="BD391" i="25"/>
  <c r="BD369" i="25"/>
  <c r="BE369" i="25"/>
  <c r="BG369" i="7" s="1"/>
  <c r="BA369" i="7" s="1"/>
  <c r="AT369" i="7"/>
  <c r="AU369" i="7" s="1"/>
  <c r="AV369" i="7" s="1"/>
  <c r="BD393" i="25"/>
  <c r="BE393" i="25"/>
  <c r="BG393" i="7" s="1"/>
  <c r="BA393" i="7" s="1"/>
  <c r="BD393" i="7" s="1"/>
  <c r="AT393" i="7"/>
  <c r="AU393" i="7" s="1"/>
  <c r="AV393" i="7" s="1"/>
  <c r="BE297" i="25"/>
  <c r="BG297" i="7" s="1"/>
  <c r="BA297" i="7" s="1"/>
  <c r="BD297" i="7" s="1"/>
  <c r="AT297" i="7"/>
  <c r="AU297" i="7" s="1"/>
  <c r="AV297" i="7" s="1"/>
  <c r="BE308" i="25"/>
  <c r="BG308" i="7" s="1"/>
  <c r="BA308" i="7" s="1"/>
  <c r="BD308" i="7" s="1"/>
  <c r="BD308" i="25"/>
  <c r="AT308" i="7"/>
  <c r="AU308" i="7" s="1"/>
  <c r="AV308" i="7" s="1"/>
  <c r="AT492" i="7"/>
  <c r="AU492" i="7" s="1"/>
  <c r="AV492" i="7" s="1"/>
  <c r="BD492" i="25"/>
  <c r="BE492" i="25"/>
  <c r="BG492" i="7" s="1"/>
  <c r="BA492" i="7" s="1"/>
  <c r="BD492" i="7" s="1"/>
  <c r="AT48" i="7"/>
  <c r="AU48" i="7" s="1"/>
  <c r="AV48" i="7" s="1"/>
  <c r="BE48" i="25"/>
  <c r="BG48" i="7" s="1"/>
  <c r="BA48" i="7" s="1"/>
  <c r="BD48" i="7" s="1"/>
  <c r="BD48" i="25"/>
  <c r="BD61" i="25"/>
  <c r="BE61" i="25"/>
  <c r="BG61" i="7" s="1"/>
  <c r="BA61" i="7" s="1"/>
  <c r="AT61" i="7"/>
  <c r="AU61" i="7" s="1"/>
  <c r="AV61" i="7" s="1"/>
  <c r="BD116" i="25"/>
  <c r="BE235" i="25"/>
  <c r="BG235" i="7" s="1"/>
  <c r="BA235" i="7" s="1"/>
  <c r="AT235" i="7"/>
  <c r="AU235" i="7" s="1"/>
  <c r="AV235" i="7" s="1"/>
  <c r="BD235" i="25"/>
  <c r="AT242" i="7"/>
  <c r="AU242" i="7" s="1"/>
  <c r="AV242" i="7" s="1"/>
  <c r="BD242" i="25"/>
  <c r="BE242" i="25"/>
  <c r="BG242" i="7" s="1"/>
  <c r="BA242" i="7" s="1"/>
  <c r="AT374" i="7"/>
  <c r="AU374" i="7" s="1"/>
  <c r="AV374" i="7" s="1"/>
  <c r="BE374" i="25"/>
  <c r="BG374" i="7" s="1"/>
  <c r="BA374" i="7" s="1"/>
  <c r="BD377" i="25"/>
  <c r="BE377" i="25"/>
  <c r="BG377" i="7" s="1"/>
  <c r="BA377" i="7" s="1"/>
  <c r="AT377" i="7"/>
  <c r="AU377" i="7" s="1"/>
  <c r="AV377" i="7" s="1"/>
  <c r="BD407" i="25"/>
  <c r="BE407" i="25"/>
  <c r="BG407" i="7" s="1"/>
  <c r="BA407" i="7" s="1"/>
  <c r="AT407" i="7"/>
  <c r="AU407" i="7" s="1"/>
  <c r="AV407" i="7" s="1"/>
  <c r="BE480" i="25"/>
  <c r="BG480" i="7" s="1"/>
  <c r="BA480" i="7" s="1"/>
  <c r="BD480" i="7" s="1"/>
  <c r="BD480" i="25"/>
  <c r="AT480" i="7"/>
  <c r="AU480" i="7" s="1"/>
  <c r="AV480" i="7" s="1"/>
  <c r="AT244" i="7"/>
  <c r="AU244" i="7" s="1"/>
  <c r="AV244" i="7" s="1"/>
  <c r="BD244" i="25"/>
  <c r="BE244" i="25"/>
  <c r="BG244" i="7" s="1"/>
  <c r="BA244" i="7" s="1"/>
  <c r="BD244" i="7" s="1"/>
  <c r="BD238" i="25"/>
  <c r="BE238" i="25"/>
  <c r="BG238" i="7" s="1"/>
  <c r="BA238" i="7" s="1"/>
  <c r="BD238" i="7" s="1"/>
  <c r="AT238" i="7"/>
  <c r="AU238" i="7" s="1"/>
  <c r="AV238" i="7" s="1"/>
  <c r="BE259" i="25"/>
  <c r="BG259" i="7" s="1"/>
  <c r="BA259" i="7" s="1"/>
  <c r="BD259" i="7" s="1"/>
  <c r="BD259" i="25"/>
  <c r="AT259" i="7"/>
  <c r="AU259" i="7" s="1"/>
  <c r="AV259" i="7" s="1"/>
  <c r="BE476" i="25"/>
  <c r="BG476" i="7" s="1"/>
  <c r="BA476" i="7" s="1"/>
  <c r="AT476" i="7"/>
  <c r="AU476" i="7" s="1"/>
  <c r="AV476" i="7" s="1"/>
  <c r="BD476" i="25"/>
  <c r="BE474" i="25"/>
  <c r="BG474" i="7" s="1"/>
  <c r="BA474" i="7" s="1"/>
  <c r="AT474" i="7"/>
  <c r="AU474" i="7" s="1"/>
  <c r="AV474" i="7" s="1"/>
  <c r="BD474" i="25"/>
  <c r="AT460" i="7"/>
  <c r="AU460" i="7" s="1"/>
  <c r="AV460" i="7" s="1"/>
  <c r="BD460" i="25"/>
  <c r="BE460" i="25"/>
  <c r="BG460" i="7" s="1"/>
  <c r="BA460" i="7" s="1"/>
  <c r="BD251" i="25"/>
  <c r="AT251" i="7"/>
  <c r="AU251" i="7" s="1"/>
  <c r="AV251" i="7" s="1"/>
  <c r="BE251" i="25"/>
  <c r="BG251" i="7" s="1"/>
  <c r="BA251" i="7" s="1"/>
  <c r="AT390" i="7"/>
  <c r="AU390" i="7" s="1"/>
  <c r="AV390" i="7" s="1"/>
  <c r="BD390" i="25"/>
  <c r="AT414" i="7"/>
  <c r="AU414" i="7" s="1"/>
  <c r="AV414" i="7" s="1"/>
  <c r="BD414" i="25"/>
  <c r="BE414" i="25"/>
  <c r="BG414" i="7" s="1"/>
  <c r="BA414" i="7" s="1"/>
  <c r="BD304" i="25"/>
  <c r="AT304" i="7"/>
  <c r="AU304" i="7" s="1"/>
  <c r="AV304" i="7" s="1"/>
  <c r="BE304" i="25"/>
  <c r="BG304" i="7" s="1"/>
  <c r="BA304" i="7" s="1"/>
  <c r="BD304" i="7" s="1"/>
  <c r="BE481" i="25"/>
  <c r="BG481" i="7" s="1"/>
  <c r="BA481" i="7" s="1"/>
  <c r="AT481" i="7"/>
  <c r="AU481" i="7" s="1"/>
  <c r="AV481" i="7" s="1"/>
  <c r="BD481" i="25"/>
  <c r="BE485" i="25"/>
  <c r="BG485" i="7" s="1"/>
  <c r="BA485" i="7" s="1"/>
  <c r="AT485" i="7"/>
  <c r="AU485" i="7" s="1"/>
  <c r="AV485" i="7" s="1"/>
  <c r="BD115" i="25"/>
  <c r="BD36" i="25"/>
  <c r="BD375" i="7"/>
  <c r="AU375" i="7"/>
  <c r="AV375" i="7" s="1"/>
  <c r="BG163" i="25"/>
  <c r="BB163" i="7" s="1"/>
  <c r="BC163" i="7" s="1"/>
  <c r="BG482" i="25"/>
  <c r="BB482" i="7" s="1"/>
  <c r="BG116" i="25"/>
  <c r="BB116" i="7" s="1"/>
  <c r="BG116" i="7"/>
  <c r="BA116" i="7" s="1"/>
  <c r="BD116" i="7" s="1"/>
  <c r="BG351" i="25"/>
  <c r="BB351" i="7" s="1"/>
  <c r="BG93" i="25"/>
  <c r="BB93" i="7" s="1"/>
  <c r="BG484" i="25"/>
  <c r="BB484" i="7" s="1"/>
  <c r="BG396" i="25"/>
  <c r="BB396" i="7" s="1"/>
  <c r="BC396" i="7" s="1"/>
  <c r="BG396" i="7"/>
  <c r="BA396" i="7" s="1"/>
  <c r="BG263" i="25"/>
  <c r="BB263" i="7" s="1"/>
  <c r="BC263" i="7" s="1"/>
  <c r="BG263" i="7"/>
  <c r="BA263" i="7" s="1"/>
  <c r="BG103" i="25"/>
  <c r="BB103" i="7" s="1"/>
  <c r="BC103" i="7" s="1"/>
  <c r="BG103" i="7"/>
  <c r="BA103" i="7" s="1"/>
  <c r="BG452" i="25"/>
  <c r="BB452" i="7" s="1"/>
  <c r="BG452" i="7"/>
  <c r="BA452" i="7" s="1"/>
  <c r="BG511" i="25"/>
  <c r="BB511" i="7" s="1"/>
  <c r="BG511" i="7"/>
  <c r="BA511" i="7" s="1"/>
  <c r="BG234" i="25"/>
  <c r="BB234" i="7" s="1"/>
  <c r="BC234" i="7" s="1"/>
  <c r="BG234" i="7"/>
  <c r="BA234" i="7" s="1"/>
  <c r="BG192" i="25"/>
  <c r="BB192" i="7" s="1"/>
  <c r="BC192" i="7" s="1"/>
  <c r="BG192" i="7"/>
  <c r="BA192" i="7" s="1"/>
  <c r="BG356" i="25"/>
  <c r="BB356" i="7" s="1"/>
  <c r="BG356" i="7"/>
  <c r="BA356" i="7" s="1"/>
  <c r="BG402" i="25"/>
  <c r="BB402" i="7" s="1"/>
  <c r="BG402" i="7"/>
  <c r="BA402" i="7" s="1"/>
  <c r="BG305" i="25"/>
  <c r="BB305" i="7" s="1"/>
  <c r="BG305" i="7"/>
  <c r="BA305" i="7" s="1"/>
  <c r="BG230" i="25"/>
  <c r="BB230" i="7" s="1"/>
  <c r="BG230" i="7"/>
  <c r="BA230" i="7" s="1"/>
  <c r="BG70" i="25"/>
  <c r="BB70" i="7" s="1"/>
  <c r="BG183" i="25"/>
  <c r="BB183" i="7" s="1"/>
  <c r="BG25" i="25"/>
  <c r="BB25" i="7" s="1"/>
  <c r="BG391" i="25"/>
  <c r="BB391" i="7" s="1"/>
  <c r="BG197" i="25"/>
  <c r="BB197" i="7" s="1"/>
  <c r="BC197" i="7" s="1"/>
  <c r="BG206" i="25"/>
  <c r="BB206" i="7" s="1"/>
  <c r="BG325" i="25"/>
  <c r="BB325" i="7" s="1"/>
  <c r="BG199" i="25"/>
  <c r="BB199" i="7" s="1"/>
  <c r="BG499" i="25"/>
  <c r="BB499" i="7" s="1"/>
  <c r="BG397" i="25"/>
  <c r="BB397" i="7" s="1"/>
  <c r="BG64" i="25"/>
  <c r="BB64" i="7" s="1"/>
  <c r="BG324" i="25"/>
  <c r="BB324" i="7" s="1"/>
  <c r="BG133" i="25"/>
  <c r="BB133" i="7" s="1"/>
  <c r="BG248" i="25"/>
  <c r="BB248" i="7" s="1"/>
  <c r="BG489" i="25"/>
  <c r="BB489" i="7" s="1"/>
  <c r="BG491" i="25"/>
  <c r="BB491" i="7" s="1"/>
  <c r="BG19" i="25"/>
  <c r="BB19" i="7" s="1"/>
  <c r="BG309" i="25"/>
  <c r="BB309" i="7" s="1"/>
  <c r="BG451" i="25"/>
  <c r="BB451" i="7" s="1"/>
  <c r="BG516" i="25"/>
  <c r="BB516" i="7" s="1"/>
  <c r="BG355" i="25"/>
  <c r="BB355" i="7" s="1"/>
  <c r="BG492" i="25"/>
  <c r="BB492" i="7" s="1"/>
  <c r="BG368" i="25"/>
  <c r="BB368" i="7" s="1"/>
  <c r="BG495" i="25"/>
  <c r="BB495" i="7" s="1"/>
  <c r="BC495" i="7" s="1"/>
  <c r="BG495" i="7"/>
  <c r="BA495" i="7" s="1"/>
  <c r="BD495" i="7" s="1"/>
  <c r="BG29" i="25"/>
  <c r="BB29" i="7" s="1"/>
  <c r="BG29" i="7"/>
  <c r="BA29" i="7" s="1"/>
  <c r="BD29" i="7" s="1"/>
  <c r="BG544" i="25"/>
  <c r="BB544" i="7" s="1"/>
  <c r="BG544" i="7"/>
  <c r="BA544" i="7" s="1"/>
  <c r="BG563" i="25"/>
  <c r="BB563" i="7" s="1"/>
  <c r="BG563" i="7"/>
  <c r="BA563" i="7" s="1"/>
  <c r="BG281" i="25"/>
  <c r="BB281" i="7" s="1"/>
  <c r="BG281" i="7"/>
  <c r="BA281" i="7" s="1"/>
  <c r="BG501" i="25"/>
  <c r="BB501" i="7" s="1"/>
  <c r="BG200" i="25"/>
  <c r="BB200" i="7" s="1"/>
  <c r="BG148" i="25"/>
  <c r="BB148" i="7" s="1"/>
  <c r="BG545" i="25"/>
  <c r="BB545" i="7" s="1"/>
  <c r="BG586" i="25"/>
  <c r="BB586" i="7" s="1"/>
  <c r="BG423" i="25"/>
  <c r="BB423" i="7" s="1"/>
  <c r="BC423" i="7" s="1"/>
  <c r="BG374" i="25"/>
  <c r="BB374" i="7" s="1"/>
  <c r="BC374" i="7" s="1"/>
  <c r="BG20" i="25"/>
  <c r="BB20" i="7" s="1"/>
  <c r="BG485" i="25"/>
  <c r="BB485" i="7" s="1"/>
  <c r="BG479" i="25"/>
  <c r="BB479" i="7" s="1"/>
  <c r="BG221" i="25"/>
  <c r="BB221" i="7" s="1"/>
  <c r="BG569" i="25"/>
  <c r="BB569" i="7" s="1"/>
  <c r="BG178" i="25"/>
  <c r="BB178" i="7" s="1"/>
  <c r="BG522" i="25"/>
  <c r="BB522" i="7" s="1"/>
  <c r="BG562" i="25"/>
  <c r="BB562" i="7" s="1"/>
  <c r="BC562" i="7" s="1"/>
  <c r="BG195" i="25"/>
  <c r="BB195" i="7" s="1"/>
  <c r="BG124" i="25"/>
  <c r="BB124" i="7" s="1"/>
  <c r="BG49" i="25"/>
  <c r="BB49" i="7" s="1"/>
  <c r="BG56" i="25"/>
  <c r="BB56" i="7" s="1"/>
  <c r="BG366" i="25"/>
  <c r="BB366" i="7" s="1"/>
  <c r="BG551" i="25"/>
  <c r="BB551" i="7" s="1"/>
  <c r="BG266" i="25"/>
  <c r="BB266" i="7" s="1"/>
  <c r="BG444" i="25"/>
  <c r="BB444" i="7" s="1"/>
  <c r="BG465" i="25"/>
  <c r="BB465" i="7" s="1"/>
  <c r="BG570" i="25"/>
  <c r="BB570" i="7" s="1"/>
  <c r="BG129" i="25"/>
  <c r="BB129" i="7" s="1"/>
  <c r="BG560" i="25"/>
  <c r="BB560" i="7" s="1"/>
  <c r="BG217" i="25"/>
  <c r="BB217" i="7" s="1"/>
  <c r="BG50" i="25"/>
  <c r="BB50" i="7" s="1"/>
  <c r="BG160" i="25"/>
  <c r="BB160" i="7" s="1"/>
  <c r="BG219" i="25"/>
  <c r="BB219" i="7" s="1"/>
  <c r="BG57" i="25"/>
  <c r="BB57" i="7" s="1"/>
  <c r="BG182" i="25"/>
  <c r="BB182" i="7" s="1"/>
  <c r="BG89" i="25"/>
  <c r="BB89" i="7" s="1"/>
  <c r="BG453" i="25"/>
  <c r="BB453" i="7" s="1"/>
  <c r="BG339" i="25"/>
  <c r="BB339" i="7" s="1"/>
  <c r="BG455" i="25"/>
  <c r="BB455" i="7" s="1"/>
  <c r="BG236" i="25"/>
  <c r="BB236" i="7" s="1"/>
  <c r="BG357" i="25"/>
  <c r="BB357" i="7" s="1"/>
  <c r="BG515" i="25"/>
  <c r="BB515" i="7" s="1"/>
  <c r="BG394" i="25"/>
  <c r="BB394" i="7" s="1"/>
  <c r="BG173" i="25"/>
  <c r="BB173" i="7" s="1"/>
  <c r="BG33" i="25"/>
  <c r="BB33" i="7" s="1"/>
  <c r="BG113" i="25"/>
  <c r="BB113" i="7" s="1"/>
  <c r="BG108" i="25"/>
  <c r="BB108" i="7" s="1"/>
  <c r="BG72" i="25"/>
  <c r="BB72" i="7" s="1"/>
  <c r="BC72" i="7" s="1"/>
  <c r="BG433" i="25"/>
  <c r="BB433" i="7" s="1"/>
  <c r="BG166" i="25"/>
  <c r="BB166" i="7" s="1"/>
  <c r="BC166" i="7" s="1"/>
  <c r="BG123" i="25"/>
  <c r="BB123" i="7" s="1"/>
  <c r="BG438" i="25"/>
  <c r="BB438" i="7" s="1"/>
  <c r="BG306" i="25"/>
  <c r="BB306" i="7" s="1"/>
  <c r="BG568" i="25"/>
  <c r="BB568" i="7" s="1"/>
  <c r="BG164" i="25"/>
  <c r="BB164" i="7" s="1"/>
  <c r="BG127" i="25"/>
  <c r="BB127" i="7" s="1"/>
  <c r="BG271" i="25"/>
  <c r="BB271" i="7" s="1"/>
  <c r="BG312" i="25"/>
  <c r="BB312" i="7" s="1"/>
  <c r="BC312" i="7" s="1"/>
  <c r="BG421" i="25"/>
  <c r="BB421" i="7" s="1"/>
  <c r="BG71" i="25"/>
  <c r="BB71" i="7" s="1"/>
  <c r="BG61" i="25"/>
  <c r="BB61" i="7" s="1"/>
  <c r="BG364" i="25"/>
  <c r="BB364" i="7" s="1"/>
  <c r="BG481" i="25"/>
  <c r="BB481" i="7" s="1"/>
  <c r="BG66" i="25"/>
  <c r="BB66" i="7" s="1"/>
  <c r="BC66" i="7" s="1"/>
  <c r="BG15" i="25"/>
  <c r="BB15" i="7" s="1"/>
  <c r="BG442" i="25"/>
  <c r="BB442" i="7" s="1"/>
  <c r="BG175" i="25"/>
  <c r="BB175" i="7" s="1"/>
  <c r="BG410" i="25"/>
  <c r="BB410" i="7" s="1"/>
  <c r="BG346" i="25"/>
  <c r="BB346" i="7" s="1"/>
  <c r="BG588" i="25"/>
  <c r="BB588" i="7" s="1"/>
  <c r="BG538" i="25"/>
  <c r="BB538" i="7" s="1"/>
  <c r="BG275" i="25"/>
  <c r="BB275" i="7" s="1"/>
  <c r="BG150" i="25"/>
  <c r="BB150" i="7" s="1"/>
  <c r="BG493" i="25"/>
  <c r="BB493" i="7" s="1"/>
  <c r="BG62" i="25"/>
  <c r="BB62" i="7" s="1"/>
  <c r="BG363" i="25"/>
  <c r="BB363" i="7" s="1"/>
  <c r="BG417" i="25"/>
  <c r="BB417" i="7" s="1"/>
  <c r="BC417" i="7" s="1"/>
  <c r="BG39" i="25"/>
  <c r="BB39" i="7" s="1"/>
  <c r="BG582" i="25"/>
  <c r="BB582" i="7" s="1"/>
  <c r="BG272" i="25"/>
  <c r="BB272" i="7" s="1"/>
  <c r="BG255" i="25"/>
  <c r="BB255" i="7" s="1"/>
  <c r="BC255" i="7" s="1"/>
  <c r="BG212" i="25"/>
  <c r="BB212" i="7" s="1"/>
  <c r="BG500" i="25"/>
  <c r="BB500" i="7" s="1"/>
  <c r="BG331" i="25"/>
  <c r="BB331" i="7" s="1"/>
  <c r="BG450" i="25"/>
  <c r="BB450" i="7" s="1"/>
  <c r="BG83" i="25"/>
  <c r="BB83" i="7" s="1"/>
  <c r="BG294" i="25"/>
  <c r="BB294" i="7" s="1"/>
  <c r="BG529" i="25"/>
  <c r="BB529" i="7" s="1"/>
  <c r="BG233" i="25"/>
  <c r="BB233" i="7" s="1"/>
  <c r="BG17" i="25"/>
  <c r="BB17" i="7" s="1"/>
  <c r="BG226" i="25"/>
  <c r="BB226" i="7" s="1"/>
  <c r="BG165" i="25"/>
  <c r="BB165" i="7" s="1"/>
  <c r="BG411" i="25"/>
  <c r="BB411" i="7" s="1"/>
  <c r="BG52" i="25"/>
  <c r="BB52" i="7" s="1"/>
  <c r="BG35" i="25"/>
  <c r="BB35" i="7" s="1"/>
  <c r="BG38" i="25"/>
  <c r="BB38" i="7" s="1"/>
  <c r="BC38" i="7" s="1"/>
  <c r="BG471" i="25"/>
  <c r="BB471" i="7" s="1"/>
  <c r="BG110" i="25"/>
  <c r="BB110" i="7" s="1"/>
  <c r="BG572" i="25"/>
  <c r="BB572" i="7" s="1"/>
  <c r="BG520" i="25"/>
  <c r="BB520" i="7" s="1"/>
  <c r="BG65" i="25"/>
  <c r="BB65" i="7" s="1"/>
  <c r="BG24" i="25"/>
  <c r="BB24" i="7" s="1"/>
  <c r="BG377" i="25"/>
  <c r="BB377" i="7" s="1"/>
  <c r="BG112" i="25"/>
  <c r="BB112" i="7" s="1"/>
  <c r="BG311" i="25"/>
  <c r="BB311" i="7" s="1"/>
  <c r="BG418" i="25"/>
  <c r="BB418" i="7" s="1"/>
  <c r="BG517" i="25"/>
  <c r="BB517" i="7" s="1"/>
  <c r="BG337" i="25"/>
  <c r="BB337" i="7" s="1"/>
  <c r="BG382" i="25"/>
  <c r="BB382" i="7" s="1"/>
  <c r="BG241" i="25"/>
  <c r="BB241" i="7" s="1"/>
  <c r="BG279" i="25"/>
  <c r="BB279" i="7" s="1"/>
  <c r="BG577" i="25"/>
  <c r="BB577" i="7" s="1"/>
  <c r="BG333" i="25"/>
  <c r="BB333" i="7" s="1"/>
  <c r="BG449" i="25"/>
  <c r="BB449" i="7" s="1"/>
  <c r="BG409" i="25"/>
  <c r="BB409" i="7" s="1"/>
  <c r="BG490" i="25"/>
  <c r="BB490" i="7" s="1"/>
  <c r="BG354" i="25"/>
  <c r="BB354" i="7" s="1"/>
  <c r="BG242" i="25"/>
  <c r="BB242" i="7" s="1"/>
  <c r="BG243" i="25"/>
  <c r="BB243" i="7" s="1"/>
  <c r="BG540" i="25"/>
  <c r="BB540" i="7" s="1"/>
  <c r="BG235" i="25"/>
  <c r="BB235" i="7" s="1"/>
  <c r="BG386" i="25"/>
  <c r="BB386" i="7" s="1"/>
  <c r="BG8" i="25"/>
  <c r="BB8" i="7" s="1"/>
  <c r="BG101" i="25"/>
  <c r="BB101" i="7" s="1"/>
  <c r="BG99" i="25"/>
  <c r="BB99" i="7" s="1"/>
  <c r="BG169" i="25"/>
  <c r="BB169" i="7" s="1"/>
  <c r="BG579" i="25"/>
  <c r="BB579" i="7" s="1"/>
  <c r="BG575" i="25"/>
  <c r="BB575" i="7" s="1"/>
  <c r="BG435" i="25"/>
  <c r="BB435" i="7" s="1"/>
  <c r="BC435" i="7" s="1"/>
  <c r="BG387" i="25"/>
  <c r="BB387" i="7" s="1"/>
  <c r="BG45" i="25"/>
  <c r="BB45" i="7" s="1"/>
  <c r="BG343" i="25"/>
  <c r="BB343" i="7" s="1"/>
  <c r="BG395" i="25"/>
  <c r="BB395" i="7" s="1"/>
  <c r="BC395" i="7" s="1"/>
  <c r="BG395" i="7"/>
  <c r="BA395" i="7" s="1"/>
  <c r="BG463" i="25"/>
  <c r="BB463" i="7" s="1"/>
  <c r="BG463" i="7"/>
  <c r="BA463" i="7" s="1"/>
  <c r="BD463" i="7" s="1"/>
  <c r="BG403" i="25"/>
  <c r="BB403" i="7" s="1"/>
  <c r="BG403" i="7"/>
  <c r="BA403" i="7" s="1"/>
  <c r="BD403" i="7" s="1"/>
  <c r="BG289" i="25"/>
  <c r="BB289" i="7" s="1"/>
  <c r="BG289" i="7"/>
  <c r="BA289" i="7" s="1"/>
  <c r="BD289" i="7" s="1"/>
  <c r="BG81" i="25"/>
  <c r="BB81" i="7" s="1"/>
  <c r="BG81" i="7"/>
  <c r="BA81" i="7" s="1"/>
  <c r="BD81" i="7" s="1"/>
  <c r="BG574" i="25"/>
  <c r="BB574" i="7" s="1"/>
  <c r="BG574" i="7"/>
  <c r="BA574" i="7" s="1"/>
  <c r="BG237" i="25"/>
  <c r="BB237" i="7" s="1"/>
  <c r="BG237" i="7"/>
  <c r="BA237" i="7" s="1"/>
  <c r="BD237" i="7" s="1"/>
  <c r="BG107" i="25"/>
  <c r="BB107" i="7" s="1"/>
  <c r="BG107" i="7"/>
  <c r="BA107" i="7" s="1"/>
  <c r="BD107" i="7" s="1"/>
  <c r="BG536" i="25"/>
  <c r="BB536" i="7" s="1"/>
  <c r="BG536" i="7"/>
  <c r="BA536" i="7" s="1"/>
  <c r="BD536" i="7" s="1"/>
  <c r="BG512" i="25"/>
  <c r="BB512" i="7" s="1"/>
  <c r="BG512" i="7"/>
  <c r="BA512" i="7" s="1"/>
  <c r="BD512" i="7" s="1"/>
  <c r="BG546" i="25"/>
  <c r="BB546" i="7" s="1"/>
  <c r="BG546" i="7"/>
  <c r="BA546" i="7" s="1"/>
  <c r="BD546" i="7" s="1"/>
  <c r="BG137" i="25"/>
  <c r="BB137" i="7" s="1"/>
  <c r="BG222" i="25"/>
  <c r="BB222" i="7" s="1"/>
  <c r="BG222" i="7"/>
  <c r="BA222" i="7" s="1"/>
  <c r="BD222" i="7" s="1"/>
  <c r="BG92" i="25"/>
  <c r="BB92" i="7" s="1"/>
  <c r="BG523" i="25"/>
  <c r="BB523" i="7" s="1"/>
  <c r="BG375" i="25"/>
  <c r="BB375" i="7" s="1"/>
  <c r="BG27" i="25"/>
  <c r="BB27" i="7" s="1"/>
  <c r="BG506" i="25"/>
  <c r="BB506" i="7" s="1"/>
  <c r="BG350" i="25"/>
  <c r="BB350" i="7" s="1"/>
  <c r="BG115" i="25"/>
  <c r="BB115" i="7" s="1"/>
  <c r="BG213" i="25"/>
  <c r="BB213" i="7" s="1"/>
  <c r="BG258" i="25"/>
  <c r="BB258" i="7" s="1"/>
  <c r="BG74" i="25"/>
  <c r="BB74" i="7" s="1"/>
  <c r="BC74" i="7" s="1"/>
  <c r="BG9" i="25"/>
  <c r="BB9" i="7" s="1"/>
  <c r="BG5" i="25"/>
  <c r="BB5" i="7" s="1"/>
  <c r="BG282" i="25"/>
  <c r="BB282" i="7" s="1"/>
  <c r="BG270" i="25"/>
  <c r="BB270" i="7" s="1"/>
  <c r="BC270" i="7" s="1"/>
  <c r="BG225" i="25"/>
  <c r="BB225" i="7" s="1"/>
  <c r="BG23" i="25"/>
  <c r="BB23" i="7" s="1"/>
  <c r="BG209" i="25"/>
  <c r="BB209" i="7" s="1"/>
  <c r="BG142" i="25"/>
  <c r="BB142" i="7" s="1"/>
  <c r="BG329" i="25"/>
  <c r="BB329" i="7" s="1"/>
  <c r="BG131" i="25"/>
  <c r="BB131" i="7" s="1"/>
  <c r="BG46" i="25"/>
  <c r="BB46" i="7" s="1"/>
  <c r="BG138" i="25"/>
  <c r="BB138" i="7" s="1"/>
  <c r="BG211" i="25"/>
  <c r="BB211" i="7" s="1"/>
  <c r="BG247" i="25"/>
  <c r="BB247" i="7" s="1"/>
  <c r="BG415" i="25"/>
  <c r="BB415" i="7" s="1"/>
  <c r="BC415" i="7" s="1"/>
  <c r="BG415" i="7"/>
  <c r="BA415" i="7" s="1"/>
  <c r="BD415" i="7" s="1"/>
  <c r="BG431" i="25"/>
  <c r="BB431" i="7" s="1"/>
  <c r="BG431" i="7"/>
  <c r="BA431" i="7" s="1"/>
  <c r="BD431" i="7" s="1"/>
  <c r="BG525" i="25"/>
  <c r="BB525" i="7" s="1"/>
  <c r="BG525" i="7"/>
  <c r="BA525" i="7" s="1"/>
  <c r="BG118" i="25"/>
  <c r="BB118" i="7" s="1"/>
  <c r="BG118" i="7"/>
  <c r="BA118" i="7" s="1"/>
  <c r="BG188" i="25"/>
  <c r="BB188" i="7" s="1"/>
  <c r="BG188" i="7"/>
  <c r="BA188" i="7" s="1"/>
  <c r="BG558" i="25"/>
  <c r="BB558" i="7" s="1"/>
  <c r="BG558" i="7"/>
  <c r="BA558" i="7" s="1"/>
  <c r="BG80" i="25"/>
  <c r="BB80" i="7" s="1"/>
  <c r="BG576" i="25"/>
  <c r="BB576" i="7" s="1"/>
  <c r="BG40" i="25"/>
  <c r="BB40" i="7" s="1"/>
  <c r="BG566" i="25"/>
  <c r="BB566" i="7" s="1"/>
  <c r="BG85" i="25"/>
  <c r="BB85" i="7" s="1"/>
  <c r="BG85" i="7"/>
  <c r="BA85" i="7" s="1"/>
  <c r="BD85" i="7" s="1"/>
  <c r="BG392" i="25"/>
  <c r="BB392" i="7" s="1"/>
  <c r="BG392" i="7"/>
  <c r="BA392" i="7" s="1"/>
  <c r="BD392" i="7" s="1"/>
  <c r="BG326" i="25"/>
  <c r="BB326" i="7" s="1"/>
  <c r="BG326" i="7"/>
  <c r="BA326" i="7" s="1"/>
  <c r="BD326" i="7" s="1"/>
  <c r="BG292" i="25"/>
  <c r="BB292" i="7" s="1"/>
  <c r="BG292" i="7"/>
  <c r="BA292" i="7" s="1"/>
  <c r="BD292" i="7" s="1"/>
  <c r="BG44" i="25"/>
  <c r="BB44" i="7" s="1"/>
  <c r="BG44" i="7"/>
  <c r="BA44" i="7" s="1"/>
  <c r="BD44" i="7" s="1"/>
  <c r="BG204" i="25"/>
  <c r="BB204" i="7" s="1"/>
  <c r="BG204" i="7"/>
  <c r="BA204" i="7" s="1"/>
  <c r="BD204" i="7" s="1"/>
  <c r="BG439" i="25"/>
  <c r="BB439" i="7" s="1"/>
  <c r="BG439" i="7"/>
  <c r="BA439" i="7" s="1"/>
  <c r="BD439" i="7" s="1"/>
  <c r="BG207" i="25"/>
  <c r="BB207" i="7" s="1"/>
  <c r="BG207" i="7"/>
  <c r="BA207" i="7" s="1"/>
  <c r="BD207" i="7" s="1"/>
  <c r="BG227" i="25"/>
  <c r="BB227" i="7" s="1"/>
  <c r="BC227" i="7" s="1"/>
  <c r="BG227" i="7"/>
  <c r="BA227" i="7" s="1"/>
  <c r="BD227" i="7" s="1"/>
  <c r="BG157" i="25"/>
  <c r="BB157" i="7" s="1"/>
  <c r="BC157" i="7" s="1"/>
  <c r="BG157" i="7"/>
  <c r="BA157" i="7" s="1"/>
  <c r="BD157" i="7" s="1"/>
  <c r="BG106" i="25"/>
  <c r="BB106" i="7" s="1"/>
  <c r="BG106" i="7"/>
  <c r="BA106" i="7" s="1"/>
  <c r="BD106" i="7" s="1"/>
  <c r="BG144" i="25"/>
  <c r="BB144" i="7" s="1"/>
  <c r="BG144" i="7"/>
  <c r="BA144" i="7" s="1"/>
  <c r="BD144" i="7" s="1"/>
  <c r="BG12" i="25"/>
  <c r="BB12" i="7" s="1"/>
  <c r="BG12" i="7"/>
  <c r="BA12" i="7" s="1"/>
  <c r="BG581" i="25"/>
  <c r="BB581" i="7" s="1"/>
  <c r="BG581" i="7"/>
  <c r="BA581" i="7" s="1"/>
  <c r="BD581" i="7" s="1"/>
  <c r="BG69" i="25"/>
  <c r="BB69" i="7" s="1"/>
  <c r="BG69" i="7"/>
  <c r="BA69" i="7" s="1"/>
  <c r="BD69" i="7" s="1"/>
  <c r="BG503" i="25"/>
  <c r="BB503" i="7" s="1"/>
  <c r="BG503" i="7"/>
  <c r="BA503" i="7" s="1"/>
  <c r="BD503" i="7" s="1"/>
  <c r="BF390" i="25"/>
  <c r="BE390" i="7" s="1"/>
  <c r="BG2" i="25"/>
  <c r="BB2" i="7" s="1"/>
  <c r="BG2" i="7"/>
  <c r="BA2" i="7" s="1"/>
  <c r="BD2" i="7" s="1"/>
  <c r="BG424" i="25"/>
  <c r="BB424" i="7" s="1"/>
  <c r="BC424" i="7" s="1"/>
  <c r="BG94" i="25"/>
  <c r="BB94" i="7" s="1"/>
  <c r="BC94" i="7" s="1"/>
  <c r="BG359" i="25"/>
  <c r="BB359" i="7" s="1"/>
  <c r="BC359" i="7" s="1"/>
  <c r="BG592" i="25"/>
  <c r="BB592" i="7" s="1"/>
  <c r="BC592" i="7" s="1"/>
  <c r="BG427" i="25"/>
  <c r="BB427" i="7" s="1"/>
  <c r="BC427" i="7" s="1"/>
  <c r="BG360" i="25"/>
  <c r="BB360" i="7" s="1"/>
  <c r="BC360" i="7" s="1"/>
  <c r="BG314" i="25"/>
  <c r="BB314" i="7" s="1"/>
  <c r="BC314" i="7" s="1"/>
  <c r="BG3" i="25"/>
  <c r="BB3" i="7" s="1"/>
  <c r="BC3" i="7" s="1"/>
  <c r="BG67" i="25"/>
  <c r="BB67" i="7" s="1"/>
  <c r="BC67" i="7" s="1"/>
  <c r="BG96" i="25"/>
  <c r="BB96" i="7" s="1"/>
  <c r="BC96" i="7" s="1"/>
  <c r="BG589" i="25"/>
  <c r="BB589" i="7" s="1"/>
  <c r="BC589" i="7" s="1"/>
  <c r="BG315" i="25"/>
  <c r="BB315" i="7" s="1"/>
  <c r="BC315" i="7" s="1"/>
  <c r="BG286" i="25"/>
  <c r="BB286" i="7" s="1"/>
  <c r="BC286" i="7" s="1"/>
  <c r="BG186" i="25"/>
  <c r="BB186" i="7" s="1"/>
  <c r="BC186" i="7" s="1"/>
  <c r="BG68" i="25"/>
  <c r="BB68" i="7" s="1"/>
  <c r="BC68" i="7" s="1"/>
  <c r="BG420" i="25"/>
  <c r="BB420" i="7" s="1"/>
  <c r="BC420" i="7" s="1"/>
  <c r="BG462" i="25"/>
  <c r="BB462" i="7" s="1"/>
  <c r="BC462" i="7" s="1"/>
  <c r="BG316" i="25"/>
  <c r="BB316" i="7" s="1"/>
  <c r="BC316" i="7" s="1"/>
  <c r="BG496" i="25"/>
  <c r="BB496" i="7" s="1"/>
  <c r="BC496" i="7" s="1"/>
  <c r="BG486" i="25"/>
  <c r="BB486" i="7" s="1"/>
  <c r="BC486" i="7" s="1"/>
  <c r="BG590" i="25"/>
  <c r="BB590" i="7" s="1"/>
  <c r="BC590" i="7" s="1"/>
  <c r="BG228" i="25"/>
  <c r="BB228" i="7" s="1"/>
  <c r="BC228" i="7" s="1"/>
  <c r="BG287" i="25"/>
  <c r="BB287" i="7" s="1"/>
  <c r="BC287" i="7" s="1"/>
  <c r="BG497" i="25"/>
  <c r="BB497" i="7" s="1"/>
  <c r="BC497" i="7" s="1"/>
  <c r="BG122" i="25"/>
  <c r="BB122" i="7" s="1"/>
  <c r="BC122" i="7" s="1"/>
  <c r="BG583" i="25"/>
  <c r="BB583" i="7" s="1"/>
  <c r="BC583" i="7" s="1"/>
  <c r="BG419" i="25"/>
  <c r="BB419" i="7" s="1"/>
  <c r="BC419" i="7" s="1"/>
  <c r="BG162" i="25"/>
  <c r="BB162" i="7" s="1"/>
  <c r="BC162" i="7" s="1"/>
  <c r="BG557" i="25"/>
  <c r="BB557" i="7" s="1"/>
  <c r="BC557" i="7" s="1"/>
  <c r="BG426" i="25"/>
  <c r="BB426" i="7" s="1"/>
  <c r="BC426" i="7" s="1"/>
  <c r="BG4" i="25"/>
  <c r="BB4" i="7" s="1"/>
  <c r="BC4" i="7" s="1"/>
  <c r="BG494" i="25"/>
  <c r="BB494" i="7" s="1"/>
  <c r="BC494" i="7" s="1"/>
  <c r="BG428" i="25"/>
  <c r="BB428" i="7" s="1"/>
  <c r="BC428" i="7" s="1"/>
  <c r="BG358" i="25"/>
  <c r="BB358" i="7" s="1"/>
  <c r="BC358" i="7" s="1"/>
  <c r="BG528" i="25"/>
  <c r="BB528" i="7" s="1"/>
  <c r="BC528" i="7" s="1"/>
  <c r="BG383" i="25"/>
  <c r="BB383" i="7" s="1"/>
  <c r="BC383" i="7" s="1"/>
  <c r="BG393" i="25"/>
  <c r="BB393" i="7" s="1"/>
  <c r="BC393" i="7" s="1"/>
  <c r="BG526" i="25"/>
  <c r="BB526" i="7" s="1"/>
  <c r="BC526" i="7" s="1"/>
  <c r="BG527" i="25"/>
  <c r="BB527" i="7" s="1"/>
  <c r="BC527" i="7" s="1"/>
  <c r="BG253" i="25"/>
  <c r="BB253" i="7" s="1"/>
  <c r="BC253" i="7" s="1"/>
  <c r="BG194" i="25"/>
  <c r="BB194" i="7" s="1"/>
  <c r="BC194" i="7" s="1"/>
  <c r="BG264" i="25"/>
  <c r="BB264" i="7" s="1"/>
  <c r="BC264" i="7" s="1"/>
  <c r="BG317" i="25"/>
  <c r="BB317" i="7" s="1"/>
  <c r="BC317" i="7" s="1"/>
  <c r="BG285" i="25"/>
  <c r="BB285" i="7" s="1"/>
  <c r="BC285" i="7" s="1"/>
  <c r="BG425" i="25"/>
  <c r="BB425" i="7" s="1"/>
  <c r="BC425" i="7" s="1"/>
  <c r="BG193" i="25"/>
  <c r="BB193" i="7" s="1"/>
  <c r="BC193" i="7" s="1"/>
  <c r="BG265" i="25"/>
  <c r="BB265" i="7" s="1"/>
  <c r="BC265" i="7" s="1"/>
  <c r="BG95" i="25"/>
  <c r="BB95" i="7" s="1"/>
  <c r="BC95" i="7" s="1"/>
  <c r="BG556" i="25"/>
  <c r="BB556" i="7" s="1"/>
  <c r="BC556" i="7" s="1"/>
  <c r="BG224" i="25"/>
  <c r="BB224" i="7" s="1"/>
  <c r="BC224" i="7" s="1"/>
  <c r="BG59" i="25"/>
  <c r="BB59" i="7" s="1"/>
  <c r="BC59" i="7" s="1"/>
  <c r="BG591" i="25"/>
  <c r="BB591" i="7" s="1"/>
  <c r="BC591" i="7" s="1"/>
  <c r="BG344" i="25"/>
  <c r="BB344" i="7" s="1"/>
  <c r="BC344" i="7" s="1"/>
  <c r="BG385" i="25"/>
  <c r="BB385" i="7" s="1"/>
  <c r="BC385" i="7" s="1"/>
  <c r="BG543" i="25"/>
  <c r="BB543" i="7" s="1"/>
  <c r="BG543" i="7"/>
  <c r="BA543" i="7" s="1"/>
  <c r="BD543" i="7" s="1"/>
  <c r="BG36" i="25"/>
  <c r="BB36" i="7" s="1"/>
  <c r="BG36" i="7"/>
  <c r="BA36" i="7" s="1"/>
  <c r="BD36" i="7" s="1"/>
  <c r="BG16" i="25"/>
  <c r="BB16" i="7" s="1"/>
  <c r="BG16" i="7"/>
  <c r="BA16" i="7" s="1"/>
  <c r="BD16" i="7" s="1"/>
  <c r="BG78" i="25"/>
  <c r="BB78" i="7" s="1"/>
  <c r="BG389" i="25"/>
  <c r="BB389" i="7" s="1"/>
  <c r="BG244" i="25"/>
  <c r="BB244" i="7" s="1"/>
  <c r="BG445" i="25"/>
  <c r="BB445" i="7" s="1"/>
  <c r="BG518" i="25"/>
  <c r="BB518" i="7" s="1"/>
  <c r="BG345" i="25"/>
  <c r="BB345" i="7" s="1"/>
  <c r="BG300" i="25"/>
  <c r="BB300" i="7" s="1"/>
  <c r="BG408" i="25"/>
  <c r="BB408" i="7" s="1"/>
  <c r="BG55" i="25"/>
  <c r="BB55" i="7" s="1"/>
  <c r="BG55" i="7"/>
  <c r="BA55" i="7" s="1"/>
  <c r="BD55" i="7" s="1"/>
  <c r="BG596" i="25"/>
  <c r="BB596" i="7" s="1"/>
  <c r="BG596" i="7"/>
  <c r="BA596" i="7" s="1"/>
  <c r="BD596" i="7" s="1"/>
  <c r="BG152" i="25"/>
  <c r="BB152" i="7" s="1"/>
  <c r="BG152" i="7"/>
  <c r="BA152" i="7" s="1"/>
  <c r="BD152" i="7" s="1"/>
  <c r="BG384" i="25"/>
  <c r="BB384" i="7" s="1"/>
  <c r="BG384" i="7"/>
  <c r="BA384" i="7" s="1"/>
  <c r="BD384" i="7" s="1"/>
  <c r="BG273" i="25"/>
  <c r="BB273" i="7" s="1"/>
  <c r="BG273" i="7"/>
  <c r="BA273" i="7" s="1"/>
  <c r="BD273" i="7" s="1"/>
  <c r="BG229" i="25"/>
  <c r="BB229" i="7" s="1"/>
  <c r="BG229" i="7"/>
  <c r="BA229" i="7" s="1"/>
  <c r="BD229" i="7" s="1"/>
  <c r="BG498" i="25"/>
  <c r="BB498" i="7" s="1"/>
  <c r="BG498" i="7"/>
  <c r="BA498" i="7" s="1"/>
  <c r="BD498" i="7" s="1"/>
  <c r="BG378" i="25"/>
  <c r="BB378" i="7" s="1"/>
  <c r="BG378" i="7"/>
  <c r="BA378" i="7" s="1"/>
  <c r="BG168" i="25"/>
  <c r="BB168" i="7" s="1"/>
  <c r="BG168" i="7"/>
  <c r="BA168" i="7" s="1"/>
  <c r="BG295" i="25"/>
  <c r="BB295" i="7" s="1"/>
  <c r="BG295" i="7"/>
  <c r="BA295" i="7" s="1"/>
  <c r="BG240" i="25"/>
  <c r="BB240" i="7" s="1"/>
  <c r="BG240" i="7"/>
  <c r="BA240" i="7" s="1"/>
  <c r="BG530" i="25"/>
  <c r="BB530" i="7" s="1"/>
  <c r="BG530" i="7"/>
  <c r="BA530" i="7" s="1"/>
  <c r="BG367" i="25"/>
  <c r="BB367" i="7" s="1"/>
  <c r="BG367" i="7"/>
  <c r="BA367" i="7" s="1"/>
  <c r="BG210" i="25"/>
  <c r="BB210" i="7" s="1"/>
  <c r="BG321" i="25"/>
  <c r="BB321" i="7" s="1"/>
  <c r="BG274" i="25"/>
  <c r="BB274" i="7" s="1"/>
  <c r="BG308" i="25"/>
  <c r="BB308" i="7" s="1"/>
  <c r="BC308" i="7" s="1"/>
  <c r="BG468" i="25"/>
  <c r="BB468" i="7" s="1"/>
  <c r="BG146" i="25"/>
  <c r="BB146" i="7" s="1"/>
  <c r="BG146" i="7"/>
  <c r="BA146" i="7" s="1"/>
  <c r="BD146" i="7" s="1"/>
  <c r="BG373" i="25"/>
  <c r="BB373" i="7" s="1"/>
  <c r="BG373" i="7"/>
  <c r="BA373" i="7" s="1"/>
  <c r="BD373" i="7" s="1"/>
  <c r="BG304" i="25"/>
  <c r="BB304" i="7" s="1"/>
  <c r="BG352" i="25"/>
  <c r="BB352" i="7" s="1"/>
  <c r="BG414" i="25"/>
  <c r="BB414" i="7" s="1"/>
  <c r="BG223" i="25"/>
  <c r="BB223" i="7" s="1"/>
  <c r="BG380" i="25"/>
  <c r="BB380" i="7" s="1"/>
  <c r="BG218" i="25"/>
  <c r="BB218" i="7" s="1"/>
  <c r="BG548" i="25"/>
  <c r="BB548" i="7" s="1"/>
  <c r="BG53" i="25"/>
  <c r="BB53" i="7" s="1"/>
  <c r="BG249" i="25"/>
  <c r="BB249" i="7" s="1"/>
  <c r="BG208" i="25"/>
  <c r="BB208" i="7" s="1"/>
  <c r="BG174" i="25"/>
  <c r="BB174" i="7" s="1"/>
  <c r="BG459" i="25"/>
  <c r="BB459" i="7" s="1"/>
  <c r="BG268" i="25"/>
  <c r="BB268" i="7" s="1"/>
  <c r="BG256" i="25"/>
  <c r="BB256" i="7" s="1"/>
  <c r="BG105" i="25"/>
  <c r="BB105" i="7" s="1"/>
  <c r="BG153" i="25"/>
  <c r="BB153" i="7" s="1"/>
  <c r="BC153" i="7" s="1"/>
  <c r="BG297" i="25"/>
  <c r="BB297" i="7" s="1"/>
  <c r="BG109" i="25"/>
  <c r="BB109" i="7" s="1"/>
  <c r="BG201" i="25"/>
  <c r="BB201" i="7" s="1"/>
  <c r="BG434" i="25"/>
  <c r="BB434" i="7" s="1"/>
  <c r="BG559" i="25"/>
  <c r="BB559" i="7" s="1"/>
  <c r="BG257" i="25"/>
  <c r="BB257" i="7" s="1"/>
  <c r="BG203" i="25"/>
  <c r="BB203" i="7" s="1"/>
  <c r="BG585" i="25"/>
  <c r="BB585" i="7" s="1"/>
  <c r="BG399" i="25"/>
  <c r="BB399" i="7" s="1"/>
  <c r="BG90" i="25"/>
  <c r="BB90" i="7" s="1"/>
  <c r="BG348" i="25"/>
  <c r="BB348" i="7" s="1"/>
  <c r="BC348" i="7" s="1"/>
  <c r="BG296" i="25"/>
  <c r="BB296" i="7" s="1"/>
  <c r="BG587" i="25"/>
  <c r="BB587" i="7" s="1"/>
  <c r="BG97" i="25"/>
  <c r="BB97" i="7" s="1"/>
  <c r="BG167" i="25"/>
  <c r="BB167" i="7" s="1"/>
  <c r="BG319" i="25"/>
  <c r="BB319" i="7" s="1"/>
  <c r="BC319" i="7" s="1"/>
  <c r="BG172" i="25"/>
  <c r="BB172" i="7" s="1"/>
  <c r="BG429" i="25"/>
  <c r="BB429" i="7" s="1"/>
  <c r="BG190" i="25"/>
  <c r="BB190" i="7" s="1"/>
  <c r="BG541" i="25"/>
  <c r="BB541" i="7" s="1"/>
  <c r="BG555" i="25"/>
  <c r="BB555" i="7" s="1"/>
  <c r="BC555" i="7" s="1"/>
  <c r="BG293" i="25"/>
  <c r="BB293" i="7" s="1"/>
  <c r="BC293" i="7" s="1"/>
  <c r="BG191" i="25"/>
  <c r="BB191" i="7" s="1"/>
  <c r="BC191" i="7" s="1"/>
  <c r="BG457" i="25"/>
  <c r="BB457" i="7" s="1"/>
  <c r="BG542" i="25"/>
  <c r="BB542" i="7" s="1"/>
  <c r="BG307" i="25"/>
  <c r="BB307" i="7" s="1"/>
  <c r="BG261" i="25"/>
  <c r="BB261" i="7" s="1"/>
  <c r="BG136" i="25"/>
  <c r="BB136" i="7" s="1"/>
  <c r="BG447" i="25"/>
  <c r="BB447" i="7" s="1"/>
  <c r="BG143" i="25"/>
  <c r="BB143" i="7" s="1"/>
  <c r="BG47" i="25"/>
  <c r="BB47" i="7" s="1"/>
  <c r="BG155" i="25"/>
  <c r="BB155" i="7" s="1"/>
  <c r="BG477" i="25"/>
  <c r="BB477" i="7" s="1"/>
  <c r="BG114" i="25"/>
  <c r="BB114" i="7" s="1"/>
  <c r="BG51" i="25"/>
  <c r="BB51" i="7" s="1"/>
  <c r="BG443" i="25"/>
  <c r="BB443" i="7" s="1"/>
  <c r="BG458" i="25"/>
  <c r="BB458" i="7" s="1"/>
  <c r="BG332" i="25"/>
  <c r="BB332" i="7" s="1"/>
  <c r="BG48" i="25"/>
  <c r="BB48" i="7" s="1"/>
  <c r="BG480" i="25"/>
  <c r="BB480" i="7" s="1"/>
  <c r="BG376" i="25"/>
  <c r="BB376" i="7" s="1"/>
  <c r="BG513" i="25"/>
  <c r="BB513" i="7" s="1"/>
  <c r="BG214" i="25"/>
  <c r="BB214" i="7" s="1"/>
  <c r="BG238" i="25"/>
  <c r="BB238" i="7" s="1"/>
  <c r="BG63" i="25"/>
  <c r="BB63" i="7" s="1"/>
  <c r="BG260" i="25"/>
  <c r="BB260" i="7" s="1"/>
  <c r="BG370" i="25"/>
  <c r="BB370" i="7" s="1"/>
  <c r="BG111" i="25"/>
  <c r="BB111" i="7" s="1"/>
  <c r="BG87" i="25"/>
  <c r="BB87" i="7" s="1"/>
  <c r="BG239" i="25"/>
  <c r="BB239" i="7" s="1"/>
  <c r="BG430" i="25"/>
  <c r="BB430" i="7" s="1"/>
  <c r="BC430" i="7" s="1"/>
  <c r="BG430" i="7"/>
  <c r="BA430" i="7" s="1"/>
  <c r="BD430" i="7" s="1"/>
  <c r="BG320" i="25"/>
  <c r="BB320" i="7" s="1"/>
  <c r="BC320" i="7" s="1"/>
  <c r="BG320" i="7"/>
  <c r="BA320" i="7" s="1"/>
  <c r="BD320" i="7" s="1"/>
  <c r="BG28" i="25"/>
  <c r="BB28" i="7" s="1"/>
  <c r="BC28" i="7" s="1"/>
  <c r="BG28" i="7"/>
  <c r="BA28" i="7" s="1"/>
  <c r="BD28" i="7" s="1"/>
  <c r="BG250" i="25"/>
  <c r="BB250" i="7" s="1"/>
  <c r="BG250" i="7"/>
  <c r="BA250" i="7" s="1"/>
  <c r="BD250" i="7" s="1"/>
  <c r="BG578" i="25"/>
  <c r="BB578" i="7" s="1"/>
  <c r="BG578" i="7"/>
  <c r="BA578" i="7" s="1"/>
  <c r="BD578" i="7" s="1"/>
  <c r="BG11" i="25"/>
  <c r="BB11" i="7" s="1"/>
  <c r="BC11" i="7" s="1"/>
  <c r="BG11" i="7"/>
  <c r="BA11" i="7" s="1"/>
  <c r="BD11" i="7" s="1"/>
  <c r="BG246" i="25"/>
  <c r="BB246" i="7" s="1"/>
  <c r="BG291" i="25"/>
  <c r="BB291" i="7" s="1"/>
  <c r="BG60" i="25"/>
  <c r="BB60" i="7" s="1"/>
  <c r="BC60" i="7" s="1"/>
  <c r="BG361" i="25"/>
  <c r="BB361" i="7" s="1"/>
  <c r="BC361" i="7" s="1"/>
  <c r="BG564" i="25"/>
  <c r="BB564" i="7" s="1"/>
  <c r="BG594" i="25"/>
  <c r="BB594" i="7" s="1"/>
  <c r="BG128" i="25"/>
  <c r="BB128" i="7" s="1"/>
  <c r="BC128" i="7" s="1"/>
  <c r="BG284" i="25"/>
  <c r="BB284" i="7" s="1"/>
  <c r="BG170" i="25"/>
  <c r="BB170" i="7" s="1"/>
  <c r="BG100" i="25"/>
  <c r="BB100" i="7" s="1"/>
  <c r="BC100" i="7" s="1"/>
  <c r="BG416" i="25"/>
  <c r="BB416" i="7" s="1"/>
  <c r="BG365" i="25"/>
  <c r="BB365" i="7" s="1"/>
  <c r="BG254" i="25"/>
  <c r="BB254" i="7" s="1"/>
  <c r="BC254" i="7" s="1"/>
  <c r="BG104" i="25"/>
  <c r="BB104" i="7" s="1"/>
  <c r="BG533" i="25"/>
  <c r="BB533" i="7" s="1"/>
  <c r="BG552" i="25"/>
  <c r="BB552" i="7" s="1"/>
  <c r="BG508" i="25"/>
  <c r="BB508" i="7" s="1"/>
  <c r="BG232" i="25"/>
  <c r="BB232" i="7" s="1"/>
  <c r="BC232" i="7" s="1"/>
  <c r="BG466" i="25"/>
  <c r="BB466" i="7" s="1"/>
  <c r="BG466" i="7"/>
  <c r="BA466" i="7" s="1"/>
  <c r="BD466" i="7" s="1"/>
  <c r="BG336" i="25"/>
  <c r="BB336" i="7" s="1"/>
  <c r="BG336" i="7"/>
  <c r="BA336" i="7" s="1"/>
  <c r="BG400" i="25"/>
  <c r="BB400" i="7" s="1"/>
  <c r="BG400" i="7"/>
  <c r="BA400" i="7" s="1"/>
  <c r="BG120" i="25"/>
  <c r="BB120" i="7" s="1"/>
  <c r="BG215" i="25"/>
  <c r="BB215" i="7" s="1"/>
  <c r="BG145" i="25"/>
  <c r="BB145" i="7" s="1"/>
  <c r="BG26" i="25"/>
  <c r="BB26" i="7" s="1"/>
  <c r="BG18" i="25"/>
  <c r="BB18" i="7" s="1"/>
  <c r="BG456" i="25"/>
  <c r="BB456" i="7" s="1"/>
  <c r="BG532" i="25"/>
  <c r="BB532" i="7" s="1"/>
  <c r="BC532" i="7" s="1"/>
  <c r="BG196" i="25"/>
  <c r="BB196" i="7" s="1"/>
  <c r="BG322" i="25"/>
  <c r="BB322" i="7" s="1"/>
  <c r="BG341" i="25"/>
  <c r="BB341" i="7" s="1"/>
  <c r="BG507" i="25"/>
  <c r="BB507" i="7" s="1"/>
  <c r="BG75" i="25"/>
  <c r="BB75" i="7" s="1"/>
  <c r="BC75" i="7" s="1"/>
  <c r="BG432" i="25"/>
  <c r="BB432" i="7" s="1"/>
  <c r="BG567" i="25"/>
  <c r="BB567" i="7" s="1"/>
  <c r="BC567" i="7" s="1"/>
  <c r="BG79" i="25"/>
  <c r="BB79" i="7" s="1"/>
  <c r="BG84" i="25"/>
  <c r="BB84" i="7" s="1"/>
  <c r="BG84" i="7"/>
  <c r="BA84" i="7" s="1"/>
  <c r="BD84" i="7" s="1"/>
  <c r="BG132" i="25"/>
  <c r="BB132" i="7" s="1"/>
  <c r="BG156" i="25"/>
  <c r="BB156" i="7" s="1"/>
  <c r="BG21" i="25"/>
  <c r="BB21" i="7" s="1"/>
  <c r="BG369" i="25"/>
  <c r="BB369" i="7" s="1"/>
  <c r="BG483" i="25"/>
  <c r="BB483" i="7" s="1"/>
  <c r="BG338" i="25"/>
  <c r="BB338" i="7" s="1"/>
  <c r="BG521" i="25"/>
  <c r="BB521" i="7" s="1"/>
  <c r="BG276" i="25"/>
  <c r="BB276" i="7" s="1"/>
  <c r="BG276" i="7"/>
  <c r="BA276" i="7" s="1"/>
  <c r="BD276" i="7" s="1"/>
  <c r="BG571" i="25"/>
  <c r="BB571" i="7" s="1"/>
  <c r="BG571" i="7"/>
  <c r="BA571" i="7" s="1"/>
  <c r="BD571" i="7" s="1"/>
  <c r="BG473" i="25"/>
  <c r="BB473" i="7" s="1"/>
  <c r="BG473" i="7"/>
  <c r="BA473" i="7" s="1"/>
  <c r="BD473" i="7" s="1"/>
  <c r="BG161" i="25"/>
  <c r="BB161" i="7" s="1"/>
  <c r="BC161" i="7" s="1"/>
  <c r="BG161" i="7"/>
  <c r="BA161" i="7" s="1"/>
  <c r="BG504" i="25"/>
  <c r="BB504" i="7" s="1"/>
  <c r="BG504" i="7"/>
  <c r="BA504" i="7" s="1"/>
  <c r="BD504" i="7" s="1"/>
  <c r="BG121" i="25"/>
  <c r="BB121" i="7" s="1"/>
  <c r="BC121" i="7" s="1"/>
  <c r="BG121" i="7"/>
  <c r="BA121" i="7" s="1"/>
  <c r="BD121" i="7" s="1"/>
  <c r="BG58" i="25"/>
  <c r="BB58" i="7" s="1"/>
  <c r="BC58" i="7" s="1"/>
  <c r="BG58" i="7"/>
  <c r="BA58" i="7" s="1"/>
  <c r="BD58" i="7" s="1"/>
  <c r="BG158" i="25"/>
  <c r="BB158" i="7" s="1"/>
  <c r="BG158" i="7"/>
  <c r="BA158" i="7" s="1"/>
  <c r="BD158" i="7" s="1"/>
  <c r="BG554" i="25"/>
  <c r="BB554" i="7" s="1"/>
  <c r="BG554" i="7"/>
  <c r="BA554" i="7" s="1"/>
  <c r="BD554" i="7" s="1"/>
  <c r="BG488" i="25"/>
  <c r="BB488" i="7" s="1"/>
  <c r="BG488" i="7"/>
  <c r="BA488" i="7" s="1"/>
  <c r="BD488" i="7" s="1"/>
  <c r="BG140" i="25"/>
  <c r="BB140" i="7" s="1"/>
  <c r="BG140" i="7"/>
  <c r="BA140" i="7" s="1"/>
  <c r="BG181" i="25"/>
  <c r="BB181" i="7" s="1"/>
  <c r="BG181" i="7"/>
  <c r="BA181" i="7" s="1"/>
  <c r="BD181" i="7" s="1"/>
  <c r="BG31" i="25"/>
  <c r="BB31" i="7" s="1"/>
  <c r="BC31" i="7" s="1"/>
  <c r="BG31" i="7"/>
  <c r="BA31" i="7" s="1"/>
  <c r="BD31" i="7" s="1"/>
  <c r="BG37" i="25"/>
  <c r="BB37" i="7" s="1"/>
  <c r="BC37" i="7" s="1"/>
  <c r="BG37" i="7"/>
  <c r="BA37" i="7" s="1"/>
  <c r="BD37" i="7" s="1"/>
  <c r="BG440" i="25"/>
  <c r="BB440" i="7" s="1"/>
  <c r="BG440" i="7"/>
  <c r="BA440" i="7" s="1"/>
  <c r="BG151" i="25"/>
  <c r="BB151" i="7" s="1"/>
  <c r="BG151" i="7"/>
  <c r="BA151" i="7" s="1"/>
  <c r="BD151" i="7" s="1"/>
  <c r="BG371" i="25"/>
  <c r="BB371" i="7" s="1"/>
  <c r="BG139" i="25"/>
  <c r="BB139" i="7" s="1"/>
  <c r="BG6" i="25"/>
  <c r="BB6" i="7" s="1"/>
  <c r="BG130" i="25"/>
  <c r="BB130" i="7" s="1"/>
  <c r="BG412" i="25"/>
  <c r="BB412" i="7" s="1"/>
  <c r="BG487" i="25"/>
  <c r="BB487" i="7" s="1"/>
  <c r="BG189" i="25"/>
  <c r="BB189" i="7" s="1"/>
  <c r="BC189" i="7" s="1"/>
  <c r="BG561" i="25"/>
  <c r="BB561" i="7" s="1"/>
  <c r="BC561" i="7" s="1"/>
  <c r="BG349" i="25"/>
  <c r="BB349" i="7" s="1"/>
  <c r="BG171" i="25"/>
  <c r="BB171" i="7" s="1"/>
  <c r="BC171" i="7" s="1"/>
  <c r="BG10" i="25"/>
  <c r="BB10" i="7" s="1"/>
  <c r="BG381" i="25"/>
  <c r="BB381" i="7" s="1"/>
  <c r="BG550" i="25"/>
  <c r="BB550" i="7" s="1"/>
  <c r="BC550" i="7" s="1"/>
  <c r="BG362" i="25"/>
  <c r="BB362" i="7" s="1"/>
  <c r="BC362" i="7" s="1"/>
  <c r="BG401" i="25"/>
  <c r="BB401" i="7" s="1"/>
  <c r="BG472" i="25"/>
  <c r="BB472" i="7" s="1"/>
  <c r="BG283" i="25"/>
  <c r="BB283" i="7" s="1"/>
  <c r="BG537" i="25"/>
  <c r="BB537" i="7" s="1"/>
  <c r="BG102" i="25"/>
  <c r="BB102" i="7" s="1"/>
  <c r="BG13" i="25"/>
  <c r="BB13" i="7" s="1"/>
  <c r="BG91" i="25"/>
  <c r="BB91" i="7" s="1"/>
  <c r="BC91" i="7" s="1"/>
  <c r="BG505" i="25"/>
  <c r="BB505" i="7" s="1"/>
  <c r="BG467" i="25"/>
  <c r="BB467" i="7" s="1"/>
  <c r="BG267" i="25"/>
  <c r="BB267" i="7" s="1"/>
  <c r="BG43" i="25"/>
  <c r="BB43" i="7" s="1"/>
  <c r="BG454" i="25"/>
  <c r="BB454" i="7" s="1"/>
  <c r="BG54" i="25"/>
  <c r="BB54" i="7" s="1"/>
  <c r="BG119" i="25"/>
  <c r="BB119" i="7" s="1"/>
  <c r="BG41" i="25"/>
  <c r="BB41" i="7" s="1"/>
  <c r="BG475" i="25"/>
  <c r="BB475" i="7" s="1"/>
  <c r="BG135" i="25"/>
  <c r="BB135" i="7" s="1"/>
  <c r="BG251" i="25"/>
  <c r="BB251" i="7" s="1"/>
  <c r="BG184" i="25"/>
  <c r="BB184" i="7" s="1"/>
  <c r="BG524" i="25"/>
  <c r="BB524" i="7" s="1"/>
  <c r="BG553" i="25"/>
  <c r="BB553" i="7" s="1"/>
  <c r="BG117" i="25"/>
  <c r="BB117" i="7" s="1"/>
  <c r="BG147" i="25"/>
  <c r="BB147" i="7" s="1"/>
  <c r="BG340" i="25"/>
  <c r="BB340" i="7" s="1"/>
  <c r="BG388" i="25"/>
  <c r="BB388" i="7" s="1"/>
  <c r="BG388" i="7"/>
  <c r="BA388" i="7" s="1"/>
  <c r="BD388" i="7" s="1"/>
  <c r="BG313" i="25"/>
  <c r="BB313" i="7" s="1"/>
  <c r="BG318" i="25"/>
  <c r="BB318" i="7" s="1"/>
  <c r="BG14" i="25"/>
  <c r="BB14" i="7" s="1"/>
  <c r="BG531" i="25"/>
  <c r="BB531" i="7" s="1"/>
  <c r="BG77" i="25"/>
  <c r="BB77" i="7" s="1"/>
  <c r="BG180" i="25"/>
  <c r="BB180" i="7" s="1"/>
  <c r="BG180" i="7"/>
  <c r="BA180" i="7" s="1"/>
  <c r="BD180" i="7" s="1"/>
  <c r="BG177" i="25"/>
  <c r="BB177" i="7" s="1"/>
  <c r="BG595" i="25"/>
  <c r="BB595" i="7" s="1"/>
  <c r="BG464" i="25"/>
  <c r="BB464" i="7" s="1"/>
  <c r="BG32" i="25"/>
  <c r="BB32" i="7" s="1"/>
  <c r="BG216" i="25"/>
  <c r="BB216" i="7" s="1"/>
  <c r="BG125" i="25"/>
  <c r="BB125" i="7" s="1"/>
  <c r="BC125" i="7" s="1"/>
  <c r="BG198" i="25"/>
  <c r="BB198" i="7" s="1"/>
  <c r="BG502" i="25"/>
  <c r="BB502" i="7" s="1"/>
  <c r="BC502" i="7" s="1"/>
  <c r="BG460" i="25"/>
  <c r="BB460" i="7" s="1"/>
  <c r="BG353" i="25"/>
  <c r="BB353" i="7" s="1"/>
  <c r="BG98" i="25"/>
  <c r="BB98" i="7" s="1"/>
  <c r="BG535" i="25"/>
  <c r="BB535" i="7" s="1"/>
  <c r="BG534" i="25"/>
  <c r="BB534" i="7" s="1"/>
  <c r="BG436" i="25"/>
  <c r="BB436" i="7" s="1"/>
  <c r="BC436" i="7" s="1"/>
  <c r="BG187" i="25"/>
  <c r="BB187" i="7" s="1"/>
  <c r="BG328" i="25"/>
  <c r="BB328" i="7" s="1"/>
  <c r="BG328" i="7"/>
  <c r="BA328" i="7" s="1"/>
  <c r="BD328" i="7" s="1"/>
  <c r="BG88" i="25"/>
  <c r="BB88" i="7" s="1"/>
  <c r="BG437" i="25"/>
  <c r="BB437" i="7" s="1"/>
  <c r="BG549" i="25"/>
  <c r="BB549" i="7" s="1"/>
  <c r="BG298" i="25"/>
  <c r="BB298" i="7" s="1"/>
  <c r="BG73" i="25"/>
  <c r="BB73" i="7" s="1"/>
  <c r="BG220" i="25"/>
  <c r="BB220" i="7" s="1"/>
  <c r="BG404" i="25"/>
  <c r="BB404" i="7" s="1"/>
  <c r="BG126" i="25"/>
  <c r="BB126" i="7" s="1"/>
  <c r="BG476" i="25"/>
  <c r="BB476" i="7" s="1"/>
  <c r="BG448" i="25"/>
  <c r="BB448" i="7" s="1"/>
  <c r="BG185" i="25"/>
  <c r="BB185" i="7" s="1"/>
  <c r="BG134" i="25"/>
  <c r="BB134" i="7" s="1"/>
  <c r="BG474" i="25"/>
  <c r="BB474" i="7" s="1"/>
  <c r="BG303" i="25"/>
  <c r="BB303" i="7" s="1"/>
  <c r="BG593" i="25"/>
  <c r="BB593" i="7" s="1"/>
  <c r="BC593" i="7" s="1"/>
  <c r="BG269" i="25"/>
  <c r="BB269" i="7" s="1"/>
  <c r="BG327" i="25"/>
  <c r="BB327" i="7" s="1"/>
  <c r="BG7" i="25"/>
  <c r="BB7" i="7" s="1"/>
  <c r="BG202" i="25"/>
  <c r="BB202" i="7" s="1"/>
  <c r="BC202" i="7" s="1"/>
  <c r="BG470" i="25"/>
  <c r="BB470" i="7" s="1"/>
  <c r="BG288" i="25"/>
  <c r="BB288" i="7" s="1"/>
  <c r="BG288" i="7"/>
  <c r="BA288" i="7" s="1"/>
  <c r="BD288" i="7" s="1"/>
  <c r="BG76" i="25"/>
  <c r="BB76" i="7" s="1"/>
  <c r="BG347" i="25"/>
  <c r="BB347" i="7" s="1"/>
  <c r="BG30" i="25"/>
  <c r="BB30" i="7" s="1"/>
  <c r="BG379" i="25"/>
  <c r="BB379" i="7" s="1"/>
  <c r="BG277" i="25"/>
  <c r="BB277" i="7" s="1"/>
  <c r="BG205" i="25"/>
  <c r="BB205" i="7" s="1"/>
  <c r="BG510" i="25"/>
  <c r="BB510" i="7" s="1"/>
  <c r="BG252" i="25"/>
  <c r="BB252" i="7" s="1"/>
  <c r="BG398" i="25"/>
  <c r="BB398" i="7" s="1"/>
  <c r="BC398" i="7" s="1"/>
  <c r="BG509" i="25"/>
  <c r="BB509" i="7" s="1"/>
  <c r="BG82" i="25"/>
  <c r="BB82" i="7" s="1"/>
  <c r="BG34" i="25"/>
  <c r="BB34" i="7" s="1"/>
  <c r="BG262" i="25"/>
  <c r="BB262" i="7" s="1"/>
  <c r="BG278" i="25"/>
  <c r="BB278" i="7" s="1"/>
  <c r="BG469" i="25"/>
  <c r="BB469" i="7" s="1"/>
  <c r="BC469" i="7" s="1"/>
  <c r="BG301" i="25"/>
  <c r="BB301" i="7" s="1"/>
  <c r="BG539" i="25"/>
  <c r="BB539" i="7" s="1"/>
  <c r="BG290" i="25"/>
  <c r="BB290" i="7" s="1"/>
  <c r="BG565" i="25"/>
  <c r="BB565" i="7" s="1"/>
  <c r="BG584" i="25"/>
  <c r="BB584" i="7" s="1"/>
  <c r="BC584" i="7" s="1"/>
  <c r="BG573" i="25"/>
  <c r="BB573" i="7" s="1"/>
  <c r="BG176" i="25"/>
  <c r="BB176" i="7" s="1"/>
  <c r="BG154" i="25"/>
  <c r="BB154" i="7" s="1"/>
  <c r="BG302" i="25"/>
  <c r="BB302" i="7" s="1"/>
  <c r="BG141" i="25"/>
  <c r="BB141" i="7" s="1"/>
  <c r="BG446" i="25"/>
  <c r="BB446" i="7" s="1"/>
  <c r="BG42" i="25"/>
  <c r="BB42" i="7" s="1"/>
  <c r="BG519" i="25"/>
  <c r="BB519" i="7" s="1"/>
  <c r="BG372" i="25"/>
  <c r="BB372" i="7" s="1"/>
  <c r="BG86" i="25"/>
  <c r="BB86" i="7" s="1"/>
  <c r="BG299" i="25"/>
  <c r="BB299" i="7" s="1"/>
  <c r="BG245" i="25"/>
  <c r="BB245" i="7" s="1"/>
  <c r="BG259" i="25"/>
  <c r="BB259" i="7" s="1"/>
  <c r="BG478" i="25"/>
  <c r="BB478" i="7" s="1"/>
  <c r="BG422" i="25"/>
  <c r="BB422" i="7" s="1"/>
  <c r="BG335" i="25"/>
  <c r="BB335" i="7" s="1"/>
  <c r="BG159" i="25"/>
  <c r="BB159" i="7" s="1"/>
  <c r="BG407" i="25"/>
  <c r="BB407" i="7" s="1"/>
  <c r="BG334" i="25"/>
  <c r="BB334" i="7" s="1"/>
  <c r="BG22" i="25"/>
  <c r="BB22" i="7" s="1"/>
  <c r="BG310" i="25"/>
  <c r="BB310" i="7" s="1"/>
  <c r="BG514" i="25"/>
  <c r="BB514" i="7" s="1"/>
  <c r="BG406" i="25"/>
  <c r="BB406" i="7" s="1"/>
  <c r="BG179" i="25"/>
  <c r="BB179" i="7" s="1"/>
  <c r="BG149" i="25"/>
  <c r="BB149" i="7" s="1"/>
  <c r="BG390" i="25"/>
  <c r="BB390" i="7" s="1"/>
  <c r="BG441" i="25"/>
  <c r="BB441" i="7" s="1"/>
  <c r="BG547" i="25"/>
  <c r="BB547" i="7" s="1"/>
  <c r="BG342" i="25"/>
  <c r="BB342" i="7" s="1"/>
  <c r="BG323" i="25"/>
  <c r="BB323" i="7" s="1"/>
  <c r="BG330" i="25"/>
  <c r="BB330" i="7" s="1"/>
  <c r="BG405" i="25"/>
  <c r="BB405" i="7" s="1"/>
  <c r="BG231" i="25"/>
  <c r="BB231" i="7" s="1"/>
  <c r="BG580" i="25"/>
  <c r="BB580" i="7" s="1"/>
  <c r="BC580" i="7" s="1"/>
  <c r="BG413" i="25"/>
  <c r="BB413" i="7" s="1"/>
  <c r="BF484" i="7"/>
  <c r="BF34" i="25"/>
  <c r="BE34" i="7" s="1"/>
  <c r="BF500" i="7"/>
  <c r="BF93" i="7"/>
  <c r="BF262" i="25"/>
  <c r="BE262" i="7" s="1"/>
  <c r="BF276" i="25"/>
  <c r="BE276" i="7" s="1"/>
  <c r="BF278" i="25"/>
  <c r="BE278" i="7" s="1"/>
  <c r="BF495" i="25"/>
  <c r="BE495" i="7" s="1"/>
  <c r="BF29" i="7"/>
  <c r="BD429" i="7"/>
  <c r="BF248" i="7"/>
  <c r="BF485" i="7"/>
  <c r="BD588" i="7"/>
  <c r="BD9" i="7"/>
  <c r="BF491" i="7"/>
  <c r="BD387" i="7"/>
  <c r="AU400" i="7"/>
  <c r="AV400" i="7" s="1"/>
  <c r="BD13" i="7"/>
  <c r="BD45" i="7"/>
  <c r="AU544" i="7"/>
  <c r="AV544" i="7" s="1"/>
  <c r="BF570" i="7"/>
  <c r="BF50" i="7"/>
  <c r="BF455" i="7"/>
  <c r="BF391" i="7"/>
  <c r="BD190" i="7"/>
  <c r="BD541" i="7"/>
  <c r="BD476" i="7"/>
  <c r="BF579" i="7"/>
  <c r="BD491" i="7"/>
  <c r="BD79" i="7"/>
  <c r="BD537" i="7"/>
  <c r="BD126" i="7"/>
  <c r="BD134" i="7"/>
  <c r="BD465" i="7"/>
  <c r="AU563" i="7"/>
  <c r="AV563" i="7" s="1"/>
  <c r="AU402" i="7"/>
  <c r="AV402" i="7" s="1"/>
  <c r="BF586" i="7"/>
  <c r="BD10" i="7"/>
  <c r="BD437" i="7"/>
  <c r="BF481" i="7"/>
  <c r="BD549" i="7"/>
  <c r="BD551" i="7"/>
  <c r="BD266" i="7"/>
  <c r="BD442" i="7"/>
  <c r="BF175" i="7"/>
  <c r="BF517" i="7"/>
  <c r="BF243" i="7"/>
  <c r="BF8" i="7"/>
  <c r="BD356" i="7"/>
  <c r="BD349" i="7"/>
  <c r="BF324" i="7"/>
  <c r="BD550" i="7"/>
  <c r="BD342" i="7"/>
  <c r="BD195" i="7"/>
  <c r="BD347" i="7"/>
  <c r="BD212" i="7"/>
  <c r="AU281" i="7"/>
  <c r="AV281" i="7" s="1"/>
  <c r="BD66" i="7"/>
  <c r="AU230" i="7"/>
  <c r="AV230" i="7" s="1"/>
  <c r="BF45" i="7"/>
  <c r="AU558" i="7"/>
  <c r="AV558" i="7" s="1"/>
  <c r="BD294" i="7"/>
  <c r="BF116" i="7"/>
  <c r="BF463" i="7"/>
  <c r="BF82" i="25"/>
  <c r="BE82" i="7" s="1"/>
  <c r="BF110" i="25"/>
  <c r="BE110" i="7" s="1"/>
  <c r="BF121" i="25"/>
  <c r="BE121" i="7" s="1"/>
  <c r="BF305" i="25"/>
  <c r="BE305" i="7" s="1"/>
  <c r="BD191" i="7"/>
  <c r="AU336" i="7"/>
  <c r="AV336" i="7" s="1"/>
  <c r="BD323" i="7"/>
  <c r="BF351" i="7"/>
  <c r="BD510" i="7"/>
  <c r="BD252" i="7"/>
  <c r="BD493" i="7"/>
  <c r="BD303" i="7"/>
  <c r="BF394" i="7"/>
  <c r="BD12" i="7"/>
  <c r="BD248" i="7"/>
  <c r="BD489" i="7"/>
  <c r="BD225" i="7"/>
  <c r="BF538" i="7"/>
  <c r="BD102" i="7"/>
  <c r="BF551" i="7"/>
  <c r="BD474" i="7"/>
  <c r="AU378" i="7"/>
  <c r="AV378" i="7" s="1"/>
  <c r="BF563" i="7"/>
  <c r="BD579" i="7"/>
  <c r="BF178" i="7"/>
  <c r="BD322" i="7"/>
  <c r="AU118" i="7"/>
  <c r="AV118" i="7" s="1"/>
  <c r="BD404" i="7"/>
  <c r="AU188" i="7"/>
  <c r="AV188" i="7" s="1"/>
  <c r="BD366" i="7"/>
  <c r="BD505" i="7"/>
  <c r="BD467" i="7"/>
  <c r="BD267" i="7"/>
  <c r="AU295" i="7"/>
  <c r="AV295" i="7" s="1"/>
  <c r="BD73" i="7"/>
  <c r="BD62" i="7"/>
  <c r="BF377" i="7"/>
  <c r="BF482" i="7"/>
  <c r="AU240" i="7"/>
  <c r="AV240" i="7" s="1"/>
  <c r="BD586" i="7"/>
  <c r="BD423" i="7"/>
  <c r="BF582" i="7"/>
  <c r="BF397" i="7"/>
  <c r="BD221" i="7"/>
  <c r="BD178" i="7"/>
  <c r="BD522" i="7"/>
  <c r="AU530" i="7"/>
  <c r="AV530" i="7" s="1"/>
  <c r="BD30" i="7"/>
  <c r="BD529" i="7"/>
  <c r="BD140" i="7"/>
  <c r="BD412" i="7"/>
  <c r="AU525" i="7"/>
  <c r="AV525" i="7" s="1"/>
  <c r="BD542" i="7"/>
  <c r="BD444" i="7"/>
  <c r="BD574" i="7"/>
  <c r="BD547" i="7"/>
  <c r="BF108" i="7"/>
  <c r="BD472" i="7"/>
  <c r="BD364" i="7"/>
  <c r="BD500" i="7"/>
  <c r="BD331" i="7"/>
  <c r="AU168" i="7"/>
  <c r="AV168" i="7" s="1"/>
  <c r="BD220" i="7"/>
  <c r="BF279" i="7"/>
  <c r="BD374" i="7"/>
  <c r="BD20" i="7"/>
  <c r="BF421" i="7"/>
  <c r="BF199" i="7"/>
  <c r="BD569" i="7"/>
  <c r="BD175" i="7"/>
  <c r="AU440" i="7"/>
  <c r="AV440" i="7" s="1"/>
  <c r="BD395" i="7"/>
  <c r="BD502" i="7"/>
  <c r="BD457" i="7"/>
  <c r="BD460" i="7"/>
  <c r="BD185" i="7"/>
  <c r="BD76" i="7"/>
  <c r="BF183" i="7"/>
  <c r="BD567" i="7"/>
  <c r="BF289" i="7"/>
  <c r="BF511" i="7"/>
  <c r="BF501" i="7"/>
  <c r="BF164" i="7"/>
  <c r="BF123" i="7"/>
  <c r="BD270" i="7"/>
  <c r="BD90" i="7"/>
  <c r="BD275" i="7"/>
  <c r="BF124" i="7"/>
  <c r="BD435" i="7"/>
  <c r="BD49" i="7"/>
  <c r="BD56" i="7"/>
  <c r="BD450" i="7"/>
  <c r="BD205" i="7"/>
  <c r="BD83" i="7"/>
  <c r="BD461" i="7"/>
  <c r="BD398" i="7"/>
  <c r="BF182" i="7"/>
  <c r="BF27" i="7"/>
  <c r="BD263" i="7"/>
  <c r="BD103" i="7"/>
  <c r="BD452" i="7"/>
  <c r="BD511" i="7"/>
  <c r="BD555" i="7"/>
  <c r="BD293" i="7"/>
  <c r="BD485" i="7"/>
  <c r="BD306" i="7"/>
  <c r="BD307" i="7"/>
  <c r="BD255" i="7"/>
  <c r="BD124" i="7"/>
  <c r="BC124" i="7"/>
  <c r="BF206" i="7"/>
  <c r="BD405" i="7"/>
  <c r="BD43" i="7"/>
  <c r="BF62" i="7"/>
  <c r="BD234" i="7"/>
  <c r="BD192" i="7"/>
  <c r="BD479" i="7"/>
  <c r="BD448" i="7"/>
  <c r="BD538" i="7"/>
  <c r="BD348" i="7"/>
  <c r="BD562" i="7"/>
  <c r="BD575" i="7"/>
  <c r="BD61" i="7"/>
  <c r="BD88" i="7"/>
  <c r="BD379" i="7"/>
  <c r="BD277" i="7"/>
  <c r="BD91" i="7"/>
  <c r="BD15" i="7"/>
  <c r="BF226" i="7"/>
  <c r="BF35" i="7"/>
  <c r="BF309" i="7"/>
  <c r="BF138" i="7"/>
  <c r="BF572" i="7"/>
  <c r="BF516" i="7"/>
  <c r="BF492" i="7"/>
  <c r="BF136" i="7"/>
  <c r="BF409" i="7"/>
  <c r="BD161" i="7"/>
  <c r="AU305" i="7"/>
  <c r="AV305" i="7" s="1"/>
  <c r="BD487" i="7"/>
  <c r="BD189" i="7"/>
  <c r="BD561" i="7"/>
  <c r="BD171" i="7"/>
  <c r="BC35" i="7"/>
  <c r="BD381" i="7"/>
  <c r="BD362" i="7"/>
  <c r="BD401" i="7"/>
  <c r="BD283" i="7"/>
  <c r="AU367" i="7"/>
  <c r="AV367" i="7" s="1"/>
  <c r="BD150" i="7"/>
  <c r="BF294" i="7"/>
  <c r="BD298" i="7"/>
  <c r="BD509" i="7"/>
  <c r="BC463" i="7"/>
  <c r="BD396" i="7"/>
  <c r="BF99" i="25"/>
  <c r="BE99" i="7" s="1"/>
  <c r="BF392" i="25"/>
  <c r="BE392" i="7" s="1"/>
  <c r="BF292" i="25"/>
  <c r="BE292" i="7" s="1"/>
  <c r="BF44" i="25"/>
  <c r="BE44" i="7" s="1"/>
  <c r="BF469" i="25"/>
  <c r="BE469" i="7" s="1"/>
  <c r="BF539" i="25"/>
  <c r="BE539" i="7" s="1"/>
  <c r="BF236" i="25"/>
  <c r="BE236" i="7" s="1"/>
  <c r="BF571" i="25"/>
  <c r="BE571" i="7" s="1"/>
  <c r="BF473" i="25"/>
  <c r="BE473" i="7" s="1"/>
  <c r="BF415" i="25"/>
  <c r="BE415" i="7" s="1"/>
  <c r="BF129" i="25"/>
  <c r="BE129" i="7" s="1"/>
  <c r="BF217" i="25"/>
  <c r="BE217" i="7" s="1"/>
  <c r="BF149" i="25"/>
  <c r="BE149" i="7" s="1"/>
  <c r="BF346" i="25"/>
  <c r="BE346" i="7" s="1"/>
  <c r="BF140" i="25"/>
  <c r="BE140" i="7" s="1"/>
  <c r="BF151" i="25"/>
  <c r="BE151" i="7" s="1"/>
  <c r="BF234" i="25"/>
  <c r="BE234" i="7" s="1"/>
  <c r="BF574" i="25"/>
  <c r="BE574" i="7" s="1"/>
  <c r="BF250" i="25"/>
  <c r="BE250" i="7" s="1"/>
  <c r="BF192" i="25"/>
  <c r="BE192" i="7" s="1"/>
  <c r="BF237" i="25"/>
  <c r="BE237" i="7" s="1"/>
  <c r="BF578" i="25"/>
  <c r="BE578" i="7" s="1"/>
  <c r="BF107" i="25"/>
  <c r="BE107" i="7" s="1"/>
  <c r="BF50" i="25"/>
  <c r="BE50" i="7" s="1"/>
  <c r="BF506" i="25"/>
  <c r="BE506" i="7" s="1"/>
  <c r="BF343" i="25"/>
  <c r="BE343" i="7" s="1"/>
  <c r="BF240" i="25"/>
  <c r="BE240" i="7" s="1"/>
  <c r="BF536" i="25"/>
  <c r="BE536" i="7" s="1"/>
  <c r="BF11" i="25"/>
  <c r="BE11" i="7" s="1"/>
  <c r="BF356" i="25"/>
  <c r="BE356" i="7" s="1"/>
  <c r="BF512" i="25"/>
  <c r="BE512" i="7" s="1"/>
  <c r="BF466" i="25"/>
  <c r="BE466" i="7" s="1"/>
  <c r="BF546" i="25"/>
  <c r="BE546" i="7" s="1"/>
  <c r="BF85" i="25"/>
  <c r="BE85" i="7" s="1"/>
  <c r="BF326" i="25"/>
  <c r="BE326" i="7" s="1"/>
  <c r="BF17" i="25"/>
  <c r="BE17" i="7" s="1"/>
  <c r="BF165" i="25"/>
  <c r="BE165" i="7" s="1"/>
  <c r="BF357" i="25"/>
  <c r="BE357" i="7" s="1"/>
  <c r="BF441" i="25"/>
  <c r="BE441" i="7" s="1"/>
  <c r="BF52" i="25"/>
  <c r="BE52" i="7" s="1"/>
  <c r="BF38" i="25"/>
  <c r="BE38" i="7" s="1"/>
  <c r="BF404" i="25"/>
  <c r="BE404" i="7" s="1"/>
  <c r="BF554" i="25"/>
  <c r="BE554" i="7" s="1"/>
  <c r="BF204" i="25"/>
  <c r="BE204" i="7" s="1"/>
  <c r="BF439" i="25"/>
  <c r="BE439" i="7" s="1"/>
  <c r="BF207" i="25"/>
  <c r="BE207" i="7" s="1"/>
  <c r="BF227" i="25"/>
  <c r="BE227" i="7" s="1"/>
  <c r="BF157" i="25"/>
  <c r="BE157" i="7" s="1"/>
  <c r="BF106" i="25"/>
  <c r="BE106" i="7" s="1"/>
  <c r="BF144" i="25"/>
  <c r="BE144" i="7" s="1"/>
  <c r="BF12" i="25"/>
  <c r="BE12" i="7" s="1"/>
  <c r="BF581" i="25"/>
  <c r="BE581" i="7" s="1"/>
  <c r="BF454" i="25"/>
  <c r="BE454" i="7" s="1"/>
  <c r="BF119" i="25"/>
  <c r="BE119" i="7" s="1"/>
  <c r="BF313" i="25"/>
  <c r="BE313" i="7" s="1"/>
  <c r="BF14" i="25"/>
  <c r="BE14" i="7" s="1"/>
  <c r="BF135" i="25"/>
  <c r="BE135" i="7" s="1"/>
  <c r="BF290" i="25"/>
  <c r="BE290" i="7" s="1"/>
  <c r="BF31" i="25"/>
  <c r="BE31" i="7" s="1"/>
  <c r="BF580" i="25"/>
  <c r="BE580" i="7" s="1"/>
  <c r="BF37" i="25"/>
  <c r="BE37" i="7" s="1"/>
  <c r="BF318" i="25"/>
  <c r="BE318" i="7" s="1"/>
  <c r="BF558" i="25"/>
  <c r="BE558" i="7" s="1"/>
  <c r="BF395" i="25"/>
  <c r="BE395" i="7" s="1"/>
  <c r="BF116" i="25"/>
  <c r="BE116" i="7" s="1"/>
  <c r="BF430" i="25"/>
  <c r="BE430" i="7" s="1"/>
  <c r="BF463" i="25"/>
  <c r="BE463" i="7" s="1"/>
  <c r="BF396" i="25"/>
  <c r="BE396" i="7" s="1"/>
  <c r="BF301" i="25"/>
  <c r="BE301" i="7" s="1"/>
  <c r="BF208" i="25"/>
  <c r="BE208" i="7" s="1"/>
  <c r="BF58" i="25"/>
  <c r="BE58" i="7" s="1"/>
  <c r="BF158" i="25"/>
  <c r="BE158" i="7" s="1"/>
  <c r="BF410" i="25"/>
  <c r="BE410" i="7" s="1"/>
  <c r="BF531" i="25"/>
  <c r="BE531" i="7" s="1"/>
  <c r="BF570" i="25"/>
  <c r="BE570" i="7" s="1"/>
  <c r="BF560" i="25"/>
  <c r="BE560" i="7" s="1"/>
  <c r="BF584" i="25"/>
  <c r="BE584" i="7" s="1"/>
  <c r="BF161" i="25"/>
  <c r="BE161" i="7" s="1"/>
  <c r="BF431" i="25"/>
  <c r="BE431" i="7" s="1"/>
  <c r="BF181" i="25"/>
  <c r="BE181" i="7" s="1"/>
  <c r="BF69" i="25"/>
  <c r="BE69" i="7" s="1"/>
  <c r="BF503" i="25"/>
  <c r="BE503" i="7" s="1"/>
  <c r="BF2" i="25"/>
  <c r="BE2" i="7" s="1"/>
  <c r="BF167" i="25"/>
  <c r="BE167" i="7" s="1"/>
  <c r="BF409" i="25"/>
  <c r="BE409" i="7" s="1"/>
  <c r="BF104" i="25"/>
  <c r="BE104" i="7" s="1"/>
  <c r="BF397" i="25"/>
  <c r="BE397" i="7" s="1"/>
  <c r="BF179" i="25"/>
  <c r="BE179" i="7" s="1"/>
  <c r="BF219" i="25"/>
  <c r="BE219" i="7" s="1"/>
  <c r="BF432" i="25"/>
  <c r="BE432" i="7" s="1"/>
  <c r="BF520" i="25"/>
  <c r="BE520" i="7" s="1"/>
  <c r="BF3" i="25"/>
  <c r="BE3" i="7" s="1"/>
  <c r="BF96" i="25"/>
  <c r="BE96" i="7" s="1"/>
  <c r="BF468" i="25"/>
  <c r="BE468" i="7" s="1"/>
  <c r="BF360" i="25"/>
  <c r="BE360" i="7" s="1"/>
  <c r="BF583" i="25"/>
  <c r="BE583" i="7" s="1"/>
  <c r="BF218" i="25"/>
  <c r="BE218" i="7" s="1"/>
  <c r="BF235" i="25"/>
  <c r="BE235" i="7" s="1"/>
  <c r="BF436" i="25"/>
  <c r="BE436" i="7" s="1"/>
  <c r="BF422" i="25"/>
  <c r="BE422" i="7" s="1"/>
  <c r="BF130" i="25"/>
  <c r="BE130" i="7" s="1"/>
  <c r="BF264" i="25"/>
  <c r="BE264" i="7" s="1"/>
  <c r="BF352" i="25"/>
  <c r="BE352" i="7" s="1"/>
  <c r="BF310" i="25"/>
  <c r="BE310" i="7" s="1"/>
  <c r="BF359" i="25"/>
  <c r="BE359" i="7" s="1"/>
  <c r="BF595" i="25"/>
  <c r="BE595" i="7" s="1"/>
  <c r="BF420" i="25"/>
  <c r="BE420" i="7" s="1"/>
  <c r="BF521" i="25"/>
  <c r="BE521" i="7" s="1"/>
  <c r="BF89" i="25"/>
  <c r="BE89" i="7" s="1"/>
  <c r="BF453" i="25"/>
  <c r="BE453" i="7" s="1"/>
  <c r="BF391" i="25"/>
  <c r="BE391" i="7" s="1"/>
  <c r="BF201" i="25"/>
  <c r="BE201" i="7" s="1"/>
  <c r="BF514" i="25"/>
  <c r="BE514" i="7" s="1"/>
  <c r="BF370" i="25"/>
  <c r="BE370" i="7" s="1"/>
  <c r="BF154" i="25"/>
  <c r="BE154" i="7" s="1"/>
  <c r="BF304" i="25"/>
  <c r="BE304" i="7" s="1"/>
  <c r="BF114" i="25"/>
  <c r="BE114" i="7" s="1"/>
  <c r="BF199" i="25"/>
  <c r="BE199" i="7" s="1"/>
  <c r="BF247" i="25"/>
  <c r="BE247" i="7" s="1"/>
  <c r="BF122" i="25"/>
  <c r="BE122" i="7" s="1"/>
  <c r="BF268" i="25"/>
  <c r="BE268" i="7" s="1"/>
  <c r="BF117" i="25"/>
  <c r="BE117" i="7" s="1"/>
  <c r="BF386" i="25"/>
  <c r="BE386" i="7" s="1"/>
  <c r="BF64" i="25"/>
  <c r="BE64" i="7" s="1"/>
  <c r="BF424" i="25"/>
  <c r="BE424" i="7" s="1"/>
  <c r="BF380" i="25"/>
  <c r="BE380" i="7" s="1"/>
  <c r="BF27" i="25"/>
  <c r="BE27" i="7" s="1"/>
  <c r="BF148" i="25"/>
  <c r="BE148" i="7" s="1"/>
  <c r="BF513" i="25"/>
  <c r="BE513" i="7" s="1"/>
  <c r="BF147" i="25"/>
  <c r="BE147" i="7" s="1"/>
  <c r="BF159" i="25"/>
  <c r="BE159" i="7" s="1"/>
  <c r="BF131" i="25"/>
  <c r="BE131" i="7" s="1"/>
  <c r="BF239" i="25"/>
  <c r="BE239" i="7" s="1"/>
  <c r="BF406" i="25"/>
  <c r="BE406" i="7" s="1"/>
  <c r="BF540" i="25"/>
  <c r="BE540" i="7" s="1"/>
  <c r="BF111" i="25"/>
  <c r="BE111" i="7" s="1"/>
  <c r="BF128" i="25"/>
  <c r="BE128" i="7" s="1"/>
  <c r="BF286" i="25"/>
  <c r="BE286" i="7" s="1"/>
  <c r="BF496" i="25"/>
  <c r="BE496" i="7" s="1"/>
  <c r="BF299" i="25"/>
  <c r="BE299" i="7" s="1"/>
  <c r="BF40" i="25"/>
  <c r="BE40" i="7" s="1"/>
  <c r="BF369" i="25"/>
  <c r="BE369" i="7" s="1"/>
  <c r="BF67" i="25"/>
  <c r="BE67" i="7" s="1"/>
  <c r="BF186" i="25"/>
  <c r="BE186" i="7" s="1"/>
  <c r="BF309" i="25"/>
  <c r="BE309" i="7" s="1"/>
  <c r="BF196" i="25"/>
  <c r="BE196" i="7" s="1"/>
  <c r="BF6" i="25"/>
  <c r="BE6" i="7" s="1"/>
  <c r="BF339" i="25"/>
  <c r="BE339" i="7" s="1"/>
  <c r="BF451" i="25"/>
  <c r="BE451" i="7" s="1"/>
  <c r="BF548" i="25"/>
  <c r="BE548" i="7" s="1"/>
  <c r="BF314" i="25"/>
  <c r="BE314" i="7" s="1"/>
  <c r="BF455" i="25"/>
  <c r="BE455" i="7" s="1"/>
  <c r="BF269" i="25"/>
  <c r="BE269" i="7" s="1"/>
  <c r="BF482" i="25"/>
  <c r="BE482" i="7" s="1"/>
  <c r="BF86" i="25"/>
  <c r="BE86" i="7" s="1"/>
  <c r="BF214" i="25"/>
  <c r="BE214" i="7" s="1"/>
  <c r="BF427" i="25"/>
  <c r="BE427" i="7" s="1"/>
  <c r="BF340" i="25"/>
  <c r="BE340" i="7" s="1"/>
  <c r="BF120" i="25"/>
  <c r="BE120" i="7" s="1"/>
  <c r="BF170" i="25"/>
  <c r="BE170" i="7" s="1"/>
  <c r="BF245" i="25"/>
  <c r="BE245" i="7" s="1"/>
  <c r="BF251" i="25"/>
  <c r="BE251" i="7" s="1"/>
  <c r="BF53" i="25"/>
  <c r="BE53" i="7" s="1"/>
  <c r="BF238" i="25"/>
  <c r="BE238" i="7" s="1"/>
  <c r="BF257" i="25"/>
  <c r="BE257" i="7" s="1"/>
  <c r="BF319" i="25"/>
  <c r="BE319" i="7" s="1"/>
  <c r="BF587" i="25"/>
  <c r="BE587" i="7" s="1"/>
  <c r="BF507" i="25"/>
  <c r="BE507" i="7" s="1"/>
  <c r="BF329" i="25"/>
  <c r="BE329" i="7" s="1"/>
  <c r="BF87" i="25"/>
  <c r="BE87" i="7" s="1"/>
  <c r="BF39" i="25"/>
  <c r="BE39" i="7" s="1"/>
  <c r="BF592" i="25"/>
  <c r="BE592" i="7" s="1"/>
  <c r="BF25" i="25"/>
  <c r="BE25" i="7" s="1"/>
  <c r="BF215" i="25"/>
  <c r="BE215" i="7" s="1"/>
  <c r="BF308" i="25"/>
  <c r="BE308" i="7" s="1"/>
  <c r="BF94" i="25"/>
  <c r="BE94" i="7" s="1"/>
  <c r="BF302" i="25"/>
  <c r="BE302" i="7" s="1"/>
  <c r="BF526" i="25"/>
  <c r="BE526" i="7" s="1"/>
  <c r="BF156" i="25"/>
  <c r="BE156" i="7" s="1"/>
  <c r="BF393" i="25"/>
  <c r="BE393" i="7" s="1"/>
  <c r="BF377" i="25"/>
  <c r="BE377" i="7" s="1"/>
  <c r="BF246" i="25"/>
  <c r="BE246" i="7" s="1"/>
  <c r="BF383" i="25"/>
  <c r="BE383" i="7" s="1"/>
  <c r="BF413" i="25"/>
  <c r="BE413" i="7" s="1"/>
  <c r="BF24" i="25"/>
  <c r="BE24" i="7" s="1"/>
  <c r="BF426" i="25"/>
  <c r="BE426" i="7" s="1"/>
  <c r="BF399" i="25"/>
  <c r="BE399" i="7" s="1"/>
  <c r="BF253" i="25"/>
  <c r="BE253" i="7" s="1"/>
  <c r="BF458" i="25"/>
  <c r="BE458" i="7" s="1"/>
  <c r="BF523" i="25"/>
  <c r="BE523" i="7" s="1"/>
  <c r="BF19" i="25"/>
  <c r="BE19" i="7" s="1"/>
  <c r="BF71" i="25"/>
  <c r="BE71" i="7" s="1"/>
  <c r="BF589" i="25"/>
  <c r="BE589" i="7" s="1"/>
  <c r="BF47" i="25"/>
  <c r="BE47" i="7" s="1"/>
  <c r="BF470" i="25"/>
  <c r="BE470" i="7" s="1"/>
  <c r="BF141" i="25"/>
  <c r="BE141" i="7" s="1"/>
  <c r="BF22" i="25"/>
  <c r="BE22" i="7" s="1"/>
  <c r="BF142" i="25"/>
  <c r="BE142" i="7" s="1"/>
  <c r="BF368" i="25"/>
  <c r="BE368" i="7" s="1"/>
  <c r="BF112" i="25"/>
  <c r="BE112" i="7" s="1"/>
  <c r="BF243" i="25"/>
  <c r="BE243" i="7" s="1"/>
  <c r="BF155" i="25"/>
  <c r="BE155" i="7" s="1"/>
  <c r="BF232" i="25"/>
  <c r="BE232" i="7" s="1"/>
  <c r="BF332" i="25"/>
  <c r="BE332" i="7" s="1"/>
  <c r="BF446" i="25"/>
  <c r="BE446" i="7" s="1"/>
  <c r="BF486" i="25"/>
  <c r="BE486" i="7" s="1"/>
  <c r="BF334" i="25"/>
  <c r="BE334" i="7" s="1"/>
  <c r="BF497" i="25"/>
  <c r="BE497" i="7" s="1"/>
  <c r="BF228" i="25"/>
  <c r="BE228" i="7" s="1"/>
  <c r="BF105" i="25"/>
  <c r="BE105" i="7" s="1"/>
  <c r="BF279" i="25"/>
  <c r="BE279" i="7" s="1"/>
  <c r="BF582" i="25"/>
  <c r="BE582" i="7" s="1"/>
  <c r="BF48" i="25"/>
  <c r="BE48" i="7" s="1"/>
  <c r="BF259" i="25"/>
  <c r="BE259" i="7" s="1"/>
  <c r="BF552" i="25"/>
  <c r="BE552" i="7" s="1"/>
  <c r="BF355" i="25"/>
  <c r="BE355" i="7" s="1"/>
  <c r="BF92" i="25"/>
  <c r="BE92" i="7" s="1"/>
  <c r="BF590" i="25"/>
  <c r="BE590" i="7" s="1"/>
  <c r="BF577" i="25"/>
  <c r="BE577" i="7" s="1"/>
  <c r="BF480" i="25"/>
  <c r="BE480" i="7" s="1"/>
  <c r="BF434" i="25"/>
  <c r="BE434" i="7" s="1"/>
  <c r="BF72" i="25"/>
  <c r="BE72" i="7" s="1"/>
  <c r="BF183" i="25"/>
  <c r="BE183" i="7" s="1"/>
  <c r="BF57" i="25"/>
  <c r="BE57" i="7" s="1"/>
  <c r="BF477" i="25"/>
  <c r="BE477" i="7" s="1"/>
  <c r="BF312" i="25"/>
  <c r="BE312" i="7" s="1"/>
  <c r="BF23" i="25"/>
  <c r="BE23" i="7" s="1"/>
  <c r="BF532" i="25"/>
  <c r="BE532" i="7" s="1"/>
  <c r="BF223" i="25"/>
  <c r="BE223" i="7" s="1"/>
  <c r="BF572" i="25"/>
  <c r="BE572" i="7" s="1"/>
  <c r="BF358" i="25"/>
  <c r="BE358" i="7" s="1"/>
  <c r="BF428" i="25"/>
  <c r="BE428" i="7" s="1"/>
  <c r="BF203" i="25"/>
  <c r="BE203" i="7" s="1"/>
  <c r="BF261" i="25"/>
  <c r="BE261" i="7" s="1"/>
  <c r="BF127" i="25"/>
  <c r="BE127" i="7" s="1"/>
  <c r="BF573" i="25"/>
  <c r="BE573" i="7" s="1"/>
  <c r="BF42" i="25"/>
  <c r="BE42" i="7" s="1"/>
  <c r="BF492" i="25"/>
  <c r="BE492" i="7" s="1"/>
  <c r="BF132" i="25"/>
  <c r="BE132" i="7" s="1"/>
  <c r="BF559" i="25"/>
  <c r="BE559" i="7" s="1"/>
  <c r="BF213" i="25"/>
  <c r="BE213" i="7" s="1"/>
  <c r="BF153" i="25"/>
  <c r="BE153" i="7" s="1"/>
  <c r="BF211" i="25"/>
  <c r="BE211" i="7" s="1"/>
  <c r="BF242" i="25"/>
  <c r="BE242" i="7" s="1"/>
  <c r="BF260" i="25"/>
  <c r="BE260" i="7" s="1"/>
  <c r="BF499" i="25"/>
  <c r="BE499" i="7" s="1"/>
  <c r="BF553" i="25"/>
  <c r="BE553" i="7" s="1"/>
  <c r="BF172" i="25"/>
  <c r="BE172" i="7" s="1"/>
  <c r="BF365" i="25"/>
  <c r="BE365" i="7" s="1"/>
  <c r="BF315" i="25"/>
  <c r="BE315" i="7" s="1"/>
  <c r="BF508" i="25"/>
  <c r="BE508" i="7" s="1"/>
  <c r="BF462" i="25"/>
  <c r="BE462" i="7" s="1"/>
  <c r="BF335" i="25"/>
  <c r="BE335" i="7" s="1"/>
  <c r="BF138" i="25"/>
  <c r="BE138" i="7" s="1"/>
  <c r="BF32" i="25"/>
  <c r="BE32" i="7" s="1"/>
  <c r="BF483" i="25"/>
  <c r="BE483" i="7" s="1"/>
  <c r="BF316" i="25"/>
  <c r="BE316" i="7" s="1"/>
  <c r="BF311" i="25"/>
  <c r="BE311" i="7" s="1"/>
  <c r="BF389" i="25"/>
  <c r="BE389" i="7" s="1"/>
  <c r="BF68" i="25"/>
  <c r="BE68" i="7" s="1"/>
  <c r="BF478" i="25"/>
  <c r="BE478" i="7" s="1"/>
  <c r="BF65" i="25"/>
  <c r="BE65" i="7" s="1"/>
  <c r="BF46" i="25"/>
  <c r="BE46" i="7" s="1"/>
  <c r="BF4" i="25"/>
  <c r="BE4" i="7" s="1"/>
  <c r="BF524" i="25"/>
  <c r="BE524" i="7" s="1"/>
  <c r="BF447" i="25"/>
  <c r="BE447" i="7" s="1"/>
  <c r="BF333" i="25"/>
  <c r="BE333" i="7" s="1"/>
  <c r="BF63" i="25"/>
  <c r="BE63" i="7" s="1"/>
  <c r="BF433" i="25"/>
  <c r="BE433" i="7" s="1"/>
  <c r="BF534" i="25"/>
  <c r="BE534" i="7" s="1"/>
  <c r="BF75" i="25"/>
  <c r="BE75" i="7" s="1"/>
  <c r="BF376" i="25"/>
  <c r="BE376" i="7" s="1"/>
  <c r="BF164" i="25"/>
  <c r="BE164" i="7" s="1"/>
  <c r="BF566" i="25"/>
  <c r="BE566" i="7" s="1"/>
  <c r="BF528" i="25"/>
  <c r="BE528" i="7" s="1"/>
  <c r="BF136" i="25"/>
  <c r="BE136" i="7" s="1"/>
  <c r="BF519" i="25"/>
  <c r="BE519" i="7" s="1"/>
  <c r="BF585" i="25"/>
  <c r="BE585" i="7" s="1"/>
  <c r="BF74" i="25"/>
  <c r="BE74" i="7" s="1"/>
  <c r="BF160" i="25"/>
  <c r="BE160" i="7" s="1"/>
  <c r="BF407" i="25"/>
  <c r="BE407" i="7" s="1"/>
  <c r="BF494" i="25"/>
  <c r="BE494" i="7" s="1"/>
  <c r="BF187" i="25"/>
  <c r="BE187" i="7" s="1"/>
  <c r="BF353" i="25"/>
  <c r="BE353" i="7" s="1"/>
  <c r="BF271" i="25"/>
  <c r="BE271" i="7" s="1"/>
  <c r="BF176" i="25"/>
  <c r="BE176" i="7" s="1"/>
  <c r="BF338" i="25"/>
  <c r="BE338" i="7" s="1"/>
  <c r="BF324" i="25"/>
  <c r="BE324" i="7" s="1"/>
  <c r="BF418" i="25"/>
  <c r="BE418" i="7" s="1"/>
  <c r="BF421" i="25"/>
  <c r="BE421" i="7" s="1"/>
  <c r="BF568" i="25"/>
  <c r="BE568" i="7" s="1"/>
  <c r="BF535" i="25"/>
  <c r="BE535" i="7" s="1"/>
  <c r="BF527" i="25"/>
  <c r="BE527" i="7" s="1"/>
  <c r="BF51" i="25"/>
  <c r="BE51" i="7" s="1"/>
  <c r="BF162" i="25"/>
  <c r="BE162" i="7" s="1"/>
  <c r="BF372" i="25"/>
  <c r="BE372" i="7" s="1"/>
  <c r="BF184" i="25"/>
  <c r="BE184" i="7" s="1"/>
  <c r="BF291" i="25"/>
  <c r="BE291" i="7" s="1"/>
  <c r="BF419" i="25"/>
  <c r="BE419" i="7" s="1"/>
  <c r="BF21" i="25"/>
  <c r="BE21" i="7" s="1"/>
  <c r="BF200" i="25"/>
  <c r="BE200" i="7" s="1"/>
  <c r="BF325" i="25"/>
  <c r="BE325" i="7" s="1"/>
  <c r="BF7" i="25"/>
  <c r="BE7" i="7" s="1"/>
  <c r="BF337" i="25"/>
  <c r="BE337" i="7" s="1"/>
  <c r="BF443" i="25"/>
  <c r="BE443" i="7" s="1"/>
  <c r="BF438" i="25"/>
  <c r="BE438" i="7" s="1"/>
  <c r="BF284" i="25"/>
  <c r="BE284" i="7" s="1"/>
  <c r="BF209" i="25"/>
  <c r="BE209" i="7" s="1"/>
  <c r="BF516" i="25"/>
  <c r="BE516" i="7" s="1"/>
  <c r="BF382" i="25"/>
  <c r="BE382" i="7" s="1"/>
  <c r="BF205" i="25"/>
  <c r="BE205" i="7" s="1"/>
  <c r="BF556" i="25"/>
  <c r="BE556" i="7" s="1"/>
  <c r="BF457" i="25"/>
  <c r="BE457" i="7" s="1"/>
  <c r="BF367" i="25"/>
  <c r="BE367" i="7" s="1"/>
  <c r="BF169" i="25"/>
  <c r="BE169" i="7" s="1"/>
  <c r="BF373" i="25"/>
  <c r="BE373" i="7" s="1"/>
  <c r="BF255" i="25"/>
  <c r="BE255" i="7" s="1"/>
  <c r="BF97" i="25"/>
  <c r="BE97" i="7" s="1"/>
  <c r="BF62" i="25"/>
  <c r="BE62" i="7" s="1"/>
  <c r="BF416" i="25"/>
  <c r="BE416" i="7" s="1"/>
  <c r="BF113" i="25"/>
  <c r="BE113" i="7" s="1"/>
  <c r="BF77" i="25"/>
  <c r="BE77" i="7" s="1"/>
  <c r="BF297" i="25"/>
  <c r="BE297" i="7" s="1"/>
  <c r="BF300" i="25"/>
  <c r="BE300" i="7" s="1"/>
  <c r="BF174" i="25"/>
  <c r="BE174" i="7" s="1"/>
  <c r="BF173" i="25"/>
  <c r="BE173" i="7" s="1"/>
  <c r="BF166" i="25"/>
  <c r="BE166" i="7" s="1"/>
  <c r="BF593" i="25"/>
  <c r="BE593" i="7" s="1"/>
  <c r="BF501" i="25"/>
  <c r="BE501" i="7" s="1"/>
  <c r="BF557" i="25"/>
  <c r="BE557" i="7" s="1"/>
  <c r="BF150" i="25"/>
  <c r="BE150" i="7" s="1"/>
  <c r="BF287" i="25"/>
  <c r="BE287" i="7" s="1"/>
  <c r="BF241" i="25"/>
  <c r="BE241" i="7" s="1"/>
  <c r="BF272" i="25"/>
  <c r="BE272" i="7" s="1"/>
  <c r="BF115" i="25"/>
  <c r="BE115" i="7" s="1"/>
  <c r="BF344" i="25"/>
  <c r="BE344" i="7" s="1"/>
  <c r="BF459" i="25"/>
  <c r="BE459" i="7" s="1"/>
  <c r="BF197" i="25"/>
  <c r="BE197" i="7" s="1"/>
  <c r="BF137" i="25"/>
  <c r="BE137" i="7" s="1"/>
  <c r="BF93" i="25"/>
  <c r="BE93" i="7" s="1"/>
  <c r="BF59" i="25"/>
  <c r="BE59" i="7" s="1"/>
  <c r="BF296" i="25"/>
  <c r="BE296" i="7" s="1"/>
  <c r="BF363" i="25"/>
  <c r="BE363" i="7" s="1"/>
  <c r="BF533" i="25"/>
  <c r="BE533" i="7" s="1"/>
  <c r="BF125" i="25"/>
  <c r="BE125" i="7" s="1"/>
  <c r="BF175" i="25"/>
  <c r="BE175" i="7" s="1"/>
  <c r="BF123" i="25"/>
  <c r="BE123" i="7" s="1"/>
  <c r="BF100" i="25"/>
  <c r="BE100" i="7" s="1"/>
  <c r="BF518" i="25"/>
  <c r="BE518" i="7" s="1"/>
  <c r="BF256" i="25"/>
  <c r="BE256" i="7" s="1"/>
  <c r="BF95" i="25"/>
  <c r="BE95" i="7" s="1"/>
  <c r="BF517" i="25"/>
  <c r="BE517" i="7" s="1"/>
  <c r="BF449" i="25"/>
  <c r="BE449" i="7" s="1"/>
  <c r="BF385" i="25"/>
  <c r="BE385" i="7" s="1"/>
  <c r="BF193" i="25"/>
  <c r="BE193" i="7" s="1"/>
  <c r="BF198" i="25"/>
  <c r="BE198" i="7" s="1"/>
  <c r="BF145" i="25"/>
  <c r="BE145" i="7" s="1"/>
  <c r="BF202" i="25"/>
  <c r="BE202" i="7" s="1"/>
  <c r="BF258" i="25"/>
  <c r="BE258" i="7" s="1"/>
  <c r="BF456" i="25"/>
  <c r="BE456" i="7" s="1"/>
  <c r="BF98" i="25"/>
  <c r="BE98" i="7" s="1"/>
  <c r="BF445" i="25"/>
  <c r="BE445" i="7" s="1"/>
  <c r="BF177" i="25"/>
  <c r="BE177" i="7" s="1"/>
  <c r="BF188" i="25"/>
  <c r="BE188" i="7" s="1"/>
  <c r="BF78" i="25"/>
  <c r="BE78" i="7" s="1"/>
  <c r="BF350" i="25"/>
  <c r="BE350" i="7" s="1"/>
  <c r="BF544" i="25"/>
  <c r="BE544" i="7" s="1"/>
  <c r="BF588" i="25"/>
  <c r="BE588" i="7" s="1"/>
  <c r="BF139" i="25"/>
  <c r="BE139" i="7" s="1"/>
  <c r="BF321" i="25"/>
  <c r="BE321" i="7" s="1"/>
  <c r="BF133" i="25"/>
  <c r="BE133" i="7" s="1"/>
  <c r="BF549" i="25"/>
  <c r="BE549" i="7" s="1"/>
  <c r="BF371" i="25"/>
  <c r="BE371" i="7" s="1"/>
  <c r="BF254" i="25"/>
  <c r="BE254" i="7" s="1"/>
  <c r="BF274" i="25"/>
  <c r="BE274" i="7" s="1"/>
  <c r="BF594" i="25"/>
  <c r="BE594" i="7" s="1"/>
  <c r="BF146" i="25"/>
  <c r="BE146" i="7" s="1"/>
  <c r="BF70" i="25"/>
  <c r="BE70" i="7" s="1"/>
  <c r="BF195" i="25"/>
  <c r="BE195" i="7" s="1"/>
  <c r="BF33" i="25"/>
  <c r="BE33" i="7" s="1"/>
  <c r="BF484" i="25"/>
  <c r="BE484" i="7" s="1"/>
  <c r="BF345" i="25"/>
  <c r="BE345" i="7" s="1"/>
  <c r="BF476" i="25"/>
  <c r="BE476" i="7" s="1"/>
  <c r="BF366" i="25"/>
  <c r="BE366" i="7" s="1"/>
  <c r="BF182" i="25"/>
  <c r="BE182" i="7" s="1"/>
  <c r="BF354" i="25"/>
  <c r="BE354" i="7" s="1"/>
  <c r="BF60" i="25"/>
  <c r="BE60" i="7" s="1"/>
  <c r="BF417" i="25"/>
  <c r="BE417" i="7" s="1"/>
  <c r="BF210" i="25"/>
  <c r="BE210" i="7" s="1"/>
  <c r="BF222" i="25"/>
  <c r="BE222" i="7" s="1"/>
  <c r="BF163" i="25"/>
  <c r="BE163" i="7" s="1"/>
  <c r="BF591" i="25"/>
  <c r="BE591" i="7" s="1"/>
  <c r="BF180" i="25"/>
  <c r="BE180" i="7" s="1"/>
  <c r="BF408" i="25"/>
  <c r="BE408" i="7" s="1"/>
  <c r="BF108" i="25"/>
  <c r="BE108" i="7" s="1"/>
  <c r="BF361" i="25"/>
  <c r="BE361" i="7" s="1"/>
  <c r="BF109" i="25"/>
  <c r="BE109" i="7" s="1"/>
  <c r="BF224" i="25"/>
  <c r="BE224" i="7" s="1"/>
  <c r="BF206" i="25"/>
  <c r="BE206" i="7" s="1"/>
  <c r="BF5" i="25"/>
  <c r="BE5" i="7" s="1"/>
  <c r="BF216" i="25"/>
  <c r="BE216" i="7" s="1"/>
  <c r="BF80" i="25"/>
  <c r="BE80" i="7" s="1"/>
  <c r="BF464" i="25"/>
  <c r="BE464" i="7" s="1"/>
  <c r="BF18" i="25"/>
  <c r="BE18" i="7" s="1"/>
  <c r="BF576" i="25"/>
  <c r="BE576" i="7" s="1"/>
  <c r="BF327" i="25"/>
  <c r="BE327" i="7" s="1"/>
  <c r="BF375" i="25"/>
  <c r="BE375" i="7" s="1"/>
  <c r="BF425" i="25"/>
  <c r="BE425" i="7" s="1"/>
  <c r="BF285" i="25"/>
  <c r="BE285" i="7" s="1"/>
  <c r="BF351" i="25"/>
  <c r="BE351" i="7" s="1"/>
  <c r="BF414" i="25"/>
  <c r="BE414" i="7" s="1"/>
  <c r="BF194" i="25"/>
  <c r="BE194" i="7" s="1"/>
  <c r="BF143" i="25"/>
  <c r="BE143" i="7" s="1"/>
  <c r="BF490" i="25"/>
  <c r="BE490" i="7" s="1"/>
  <c r="BF461" i="25"/>
  <c r="BE461" i="7" s="1"/>
  <c r="BF586" i="25"/>
  <c r="BE586" i="7" s="1"/>
  <c r="BF423" i="25"/>
  <c r="BE423" i="7" s="1"/>
  <c r="BF374" i="25"/>
  <c r="BE374" i="7" s="1"/>
  <c r="BF378" i="25"/>
  <c r="BE378" i="7" s="1"/>
  <c r="BF275" i="25"/>
  <c r="BE275" i="7" s="1"/>
  <c r="BF303" i="25"/>
  <c r="BE303" i="7" s="1"/>
  <c r="BF381" i="25"/>
  <c r="BE381" i="7" s="1"/>
  <c r="BF252" i="25"/>
  <c r="BE252" i="7" s="1"/>
  <c r="BF538" i="25"/>
  <c r="BE538" i="7" s="1"/>
  <c r="BF491" i="25"/>
  <c r="BE491" i="7" s="1"/>
  <c r="BF79" i="25"/>
  <c r="BE79" i="7" s="1"/>
  <c r="BF288" i="25"/>
  <c r="BE288" i="7" s="1"/>
  <c r="BF20" i="25"/>
  <c r="BE20" i="7" s="1"/>
  <c r="BF322" i="25"/>
  <c r="BE322" i="7" s="1"/>
  <c r="BF73" i="25"/>
  <c r="BE73" i="7" s="1"/>
  <c r="BF191" i="25"/>
  <c r="BE191" i="7" s="1"/>
  <c r="BF91" i="25"/>
  <c r="BE91" i="7" s="1"/>
  <c r="BF537" i="25"/>
  <c r="BE537" i="7" s="1"/>
  <c r="BF530" i="25"/>
  <c r="BE530" i="7" s="1"/>
  <c r="BF118" i="25"/>
  <c r="BE118" i="7" s="1"/>
  <c r="BF364" i="25"/>
  <c r="BE364" i="7" s="1"/>
  <c r="BF30" i="25"/>
  <c r="BE30" i="7" s="1"/>
  <c r="BF348" i="25"/>
  <c r="BE348" i="7" s="1"/>
  <c r="BF244" i="25"/>
  <c r="BE244" i="7" s="1"/>
  <c r="BF575" i="25"/>
  <c r="BE575" i="7" s="1"/>
  <c r="BF412" i="25"/>
  <c r="BE412" i="7" s="1"/>
  <c r="BF298" i="25"/>
  <c r="BE298" i="7" s="1"/>
  <c r="BF387" i="25"/>
  <c r="BE387" i="7" s="1"/>
  <c r="BF481" i="25"/>
  <c r="BE481" i="7" s="1"/>
  <c r="BF76" i="25"/>
  <c r="BE76" i="7" s="1"/>
  <c r="BF502" i="25"/>
  <c r="BE502" i="7" s="1"/>
  <c r="BF465" i="25"/>
  <c r="BE465" i="7" s="1"/>
  <c r="BF267" i="25"/>
  <c r="BE267" i="7" s="1"/>
  <c r="BF190" i="25"/>
  <c r="BE190" i="7" s="1"/>
  <c r="BF541" i="25"/>
  <c r="BE541" i="7" s="1"/>
  <c r="BF555" i="25"/>
  <c r="BE555" i="7" s="1"/>
  <c r="BF45" i="25"/>
  <c r="BE45" i="7" s="1"/>
  <c r="BF331" i="25"/>
  <c r="BE331" i="7" s="1"/>
  <c r="BF225" i="25"/>
  <c r="BE225" i="7" s="1"/>
  <c r="BF460" i="25"/>
  <c r="BE460" i="7" s="1"/>
  <c r="BF90" i="25"/>
  <c r="BE90" i="7" s="1"/>
  <c r="BF550" i="25"/>
  <c r="BE550" i="7" s="1"/>
  <c r="BF362" i="25"/>
  <c r="BE362" i="7" s="1"/>
  <c r="BF401" i="25"/>
  <c r="BE401" i="7" s="1"/>
  <c r="BF185" i="25"/>
  <c r="BE185" i="7" s="1"/>
  <c r="BF400" i="25"/>
  <c r="BE400" i="7" s="1"/>
  <c r="BF83" i="25"/>
  <c r="BE83" i="7" s="1"/>
  <c r="BF347" i="25"/>
  <c r="BE347" i="7" s="1"/>
  <c r="BF124" i="25"/>
  <c r="BE124" i="7" s="1"/>
  <c r="BF323" i="25"/>
  <c r="BE323" i="7" s="1"/>
  <c r="BF330" i="25"/>
  <c r="BE330" i="7" s="1"/>
  <c r="BF472" i="25"/>
  <c r="BE472" i="7" s="1"/>
  <c r="BF479" i="25"/>
  <c r="BE479" i="7" s="1"/>
  <c r="BF551" i="25"/>
  <c r="BE551" i="7" s="1"/>
  <c r="BF66" i="25"/>
  <c r="BE66" i="7" s="1"/>
  <c r="BF405" i="25"/>
  <c r="BE405" i="7" s="1"/>
  <c r="BF293" i="25"/>
  <c r="BE293" i="7" s="1"/>
  <c r="BF317" i="25"/>
  <c r="BE317" i="7" s="1"/>
  <c r="BF328" i="25"/>
  <c r="BE328" i="7" s="1"/>
  <c r="BF265" i="25"/>
  <c r="BE265" i="7" s="1"/>
  <c r="BF450" i="25"/>
  <c r="BE450" i="7" s="1"/>
  <c r="BF168" i="25"/>
  <c r="BE168" i="7" s="1"/>
  <c r="BF15" i="25"/>
  <c r="BE15" i="7" s="1"/>
  <c r="BF487" i="25"/>
  <c r="BE487" i="7" s="1"/>
  <c r="BF189" i="25"/>
  <c r="BE189" i="7" s="1"/>
  <c r="BF561" i="25"/>
  <c r="BE561" i="7" s="1"/>
  <c r="BF349" i="25"/>
  <c r="BE349" i="7" s="1"/>
  <c r="BF485" i="25"/>
  <c r="BE485" i="7" s="1"/>
  <c r="BF379" i="25"/>
  <c r="BE379" i="7" s="1"/>
  <c r="BF283" i="25"/>
  <c r="BE283" i="7" s="1"/>
  <c r="BF341" i="25"/>
  <c r="BE341" i="7" s="1"/>
  <c r="BF505" i="25"/>
  <c r="BE505" i="7" s="1"/>
  <c r="BF579" i="25"/>
  <c r="BE579" i="7" s="1"/>
  <c r="BF525" i="25"/>
  <c r="BE525" i="7" s="1"/>
  <c r="BF542" i="25"/>
  <c r="BE542" i="7" s="1"/>
  <c r="BF307" i="25"/>
  <c r="BE307" i="7" s="1"/>
  <c r="BF84" i="25"/>
  <c r="BE84" i="7" s="1"/>
  <c r="BF10" i="25"/>
  <c r="BE10" i="7" s="1"/>
  <c r="BF277" i="25"/>
  <c r="BE277" i="7" s="1"/>
  <c r="BF529" i="25"/>
  <c r="BE529" i="7" s="1"/>
  <c r="BF266" i="25"/>
  <c r="BE266" i="7" s="1"/>
  <c r="BF336" i="25"/>
  <c r="BE336" i="7" s="1"/>
  <c r="BF212" i="25"/>
  <c r="BE212" i="7" s="1"/>
  <c r="BF88" i="25"/>
  <c r="BE88" i="7" s="1"/>
  <c r="BF437" i="25"/>
  <c r="BE437" i="7" s="1"/>
  <c r="BF467" i="25"/>
  <c r="BE467" i="7" s="1"/>
  <c r="BF474" i="25"/>
  <c r="BE474" i="7" s="1"/>
  <c r="BF295" i="25"/>
  <c r="BE295" i="7" s="1"/>
  <c r="BF398" i="25"/>
  <c r="BE398" i="7" s="1"/>
  <c r="BF429" i="25"/>
  <c r="BE429" i="7" s="1"/>
  <c r="BF442" i="25"/>
  <c r="BE442" i="7" s="1"/>
  <c r="BF56" i="25"/>
  <c r="BE56" i="7" s="1"/>
  <c r="BF43" i="25"/>
  <c r="BE43" i="7" s="1"/>
  <c r="BF545" i="25"/>
  <c r="BE545" i="7" s="1"/>
  <c r="BF248" i="25"/>
  <c r="BE248" i="7" s="1"/>
  <c r="BF282" i="25"/>
  <c r="BE282" i="7" s="1"/>
  <c r="BF567" i="25"/>
  <c r="BE567" i="7" s="1"/>
  <c r="BF489" i="25"/>
  <c r="BE489" i="7" s="1"/>
  <c r="BF306" i="25"/>
  <c r="BE306" i="7" s="1"/>
  <c r="BF493" i="25"/>
  <c r="BE493" i="7" s="1"/>
  <c r="BF510" i="25"/>
  <c r="BE510" i="7" s="1"/>
  <c r="BF9" i="25"/>
  <c r="BE9" i="7" s="1"/>
  <c r="BF221" i="25"/>
  <c r="BE221" i="7" s="1"/>
  <c r="BF569" i="25"/>
  <c r="BE569" i="7" s="1"/>
  <c r="BF178" i="25"/>
  <c r="BE178" i="7" s="1"/>
  <c r="BF522" i="25"/>
  <c r="BE522" i="7" s="1"/>
  <c r="BF270" i="25"/>
  <c r="BE270" i="7" s="1"/>
  <c r="BF49" i="25"/>
  <c r="BE49" i="7" s="1"/>
  <c r="BF342" i="25"/>
  <c r="BE342" i="7" s="1"/>
  <c r="BF509" i="25"/>
  <c r="BE509" i="7" s="1"/>
  <c r="BF448" i="25"/>
  <c r="BE448" i="7" s="1"/>
  <c r="BF61" i="25"/>
  <c r="BE61" i="7" s="1"/>
  <c r="BF102" i="25"/>
  <c r="BE102" i="7" s="1"/>
  <c r="BF435" i="25"/>
  <c r="BE435" i="7" s="1"/>
  <c r="BF171" i="25"/>
  <c r="BE171" i="7" s="1"/>
  <c r="BF562" i="25"/>
  <c r="BE562" i="7" s="1"/>
  <c r="BF564" i="25"/>
  <c r="BE564" i="7" s="1"/>
  <c r="BF294" i="25"/>
  <c r="BE294" i="7" s="1"/>
  <c r="BF547" i="25"/>
  <c r="BE547" i="7" s="1"/>
  <c r="BF230" i="25"/>
  <c r="BE230" i="7" s="1"/>
  <c r="BF444" i="25"/>
  <c r="BE444" i="7" s="1"/>
  <c r="BF281" i="25"/>
  <c r="BE281" i="7" s="1"/>
  <c r="BF500" i="25"/>
  <c r="BE500" i="7" s="1"/>
  <c r="BF13" i="25"/>
  <c r="BE13" i="7" s="1"/>
  <c r="BF220" i="25"/>
  <c r="BE220" i="7" s="1"/>
  <c r="BF134" i="25"/>
  <c r="BE134" i="7" s="1"/>
  <c r="BF543" i="25"/>
  <c r="BE543" i="7" s="1"/>
  <c r="BF36" i="25"/>
  <c r="BE36" i="7" s="1"/>
  <c r="BF16" i="25"/>
  <c r="BE16" i="7" s="1"/>
  <c r="BF402" i="25"/>
  <c r="BE402" i="7" s="1"/>
  <c r="BF26" i="25"/>
  <c r="BE26" i="7" s="1"/>
  <c r="BF471" i="25"/>
  <c r="BE471" i="7" s="1"/>
  <c r="BF101" i="25"/>
  <c r="BE101" i="7" s="1"/>
  <c r="BF55" i="25"/>
  <c r="BE55" i="7" s="1"/>
  <c r="BF596" i="25"/>
  <c r="BE596" i="7" s="1"/>
  <c r="BF152" i="25"/>
  <c r="BE152" i="7" s="1"/>
  <c r="BF384" i="25"/>
  <c r="BE384" i="7" s="1"/>
  <c r="BF273" i="25"/>
  <c r="BE273" i="7" s="1"/>
  <c r="BF229" i="25"/>
  <c r="BE229" i="7" s="1"/>
  <c r="BF498" i="25"/>
  <c r="BE498" i="7" s="1"/>
  <c r="BF233" i="25"/>
  <c r="BE233" i="7" s="1"/>
  <c r="BF226" i="25"/>
  <c r="BE226" i="7" s="1"/>
  <c r="BF411" i="25"/>
  <c r="BE411" i="7" s="1"/>
  <c r="BF515" i="25"/>
  <c r="BE515" i="7" s="1"/>
  <c r="BF280" i="25"/>
  <c r="BE280" i="7" s="1"/>
  <c r="BF440" i="25"/>
  <c r="BE440" i="7" s="1"/>
  <c r="BF35" i="25"/>
  <c r="BE35" i="7" s="1"/>
  <c r="BF388" i="25"/>
  <c r="BE388" i="7" s="1"/>
  <c r="BF126" i="25"/>
  <c r="BE126" i="7" s="1"/>
  <c r="BF403" i="25"/>
  <c r="BE403" i="7" s="1"/>
  <c r="BF320" i="25"/>
  <c r="BE320" i="7" s="1"/>
  <c r="BF263" i="25"/>
  <c r="BE263" i="7" s="1"/>
  <c r="BF289" i="25"/>
  <c r="BE289" i="7" s="1"/>
  <c r="BF103" i="25"/>
  <c r="BE103" i="7" s="1"/>
  <c r="BF28" i="25"/>
  <c r="BE28" i="7" s="1"/>
  <c r="BF81" i="25"/>
  <c r="BE81" i="7" s="1"/>
  <c r="BF452" i="25"/>
  <c r="BE452" i="7" s="1"/>
  <c r="BF511" i="25"/>
  <c r="BE511" i="7" s="1"/>
  <c r="BF54" i="25"/>
  <c r="BE54" i="7" s="1"/>
  <c r="BF41" i="25"/>
  <c r="BE41" i="7" s="1"/>
  <c r="BF8" i="25"/>
  <c r="BE8" i="7" s="1"/>
  <c r="BF488" i="25"/>
  <c r="BE488" i="7" s="1"/>
  <c r="BF394" i="25"/>
  <c r="BE394" i="7" s="1"/>
  <c r="BF563" i="25"/>
  <c r="BE563" i="7" s="1"/>
  <c r="BF475" i="25"/>
  <c r="BE475" i="7" s="1"/>
  <c r="BF249" i="25"/>
  <c r="BE249" i="7" s="1"/>
  <c r="BF565" i="25"/>
  <c r="BE565" i="7" s="1"/>
  <c r="BF231" i="25"/>
  <c r="BE231" i="7" s="1"/>
  <c r="BF504" i="25"/>
  <c r="BE504" i="7" s="1"/>
  <c r="BF29" i="25"/>
  <c r="BE29" i="7" s="1"/>
  <c r="BF495" i="7" l="1"/>
  <c r="BF255" i="7"/>
  <c r="BF546" i="7"/>
  <c r="BG461" i="25"/>
  <c r="BG280" i="25"/>
  <c r="BB280" i="7" s="1"/>
  <c r="BC280" i="7" s="1"/>
  <c r="BF66" i="7"/>
  <c r="BF522" i="7"/>
  <c r="BF89" i="7"/>
  <c r="BF363" i="7"/>
  <c r="BF25" i="7"/>
  <c r="BF368" i="7"/>
  <c r="BF423" i="7"/>
  <c r="BF540" i="7"/>
  <c r="BF311" i="7"/>
  <c r="BF286" i="7"/>
  <c r="BF247" i="7"/>
  <c r="BF61" i="7"/>
  <c r="BF21" i="7"/>
  <c r="BF444" i="7"/>
  <c r="BF23" i="7"/>
  <c r="BF435" i="7"/>
  <c r="BF433" i="7"/>
  <c r="BF434" i="7"/>
  <c r="BF378" i="7"/>
  <c r="BF229" i="7"/>
  <c r="BF321" i="7"/>
  <c r="BF103" i="7"/>
  <c r="BF129" i="7"/>
  <c r="BF49" i="7"/>
  <c r="BF101" i="7"/>
  <c r="BF479" i="7"/>
  <c r="BF343" i="7"/>
  <c r="BF64" i="7"/>
  <c r="BF160" i="7"/>
  <c r="BF266" i="7"/>
  <c r="BF163" i="7"/>
  <c r="BF489" i="7"/>
  <c r="BF115" i="7"/>
  <c r="BF173" i="7"/>
  <c r="BF486" i="7"/>
  <c r="BF72" i="7"/>
  <c r="BF236" i="7"/>
  <c r="BF192" i="7"/>
  <c r="BF451" i="7"/>
  <c r="BF230" i="7"/>
  <c r="BF325" i="7"/>
  <c r="BF402" i="7"/>
  <c r="BF396" i="7"/>
  <c r="BF200" i="7"/>
  <c r="BF188" i="7"/>
  <c r="BF168" i="7"/>
  <c r="BF387" i="7"/>
  <c r="BF414" i="7"/>
  <c r="BF39" i="7"/>
  <c r="BF234" i="7"/>
  <c r="BF19" i="7"/>
  <c r="BF133" i="7"/>
  <c r="BF46" i="7"/>
  <c r="BF24" i="7"/>
  <c r="BF258" i="7"/>
  <c r="BF20" i="7"/>
  <c r="BF224" i="7"/>
  <c r="BF439" i="7"/>
  <c r="BF212" i="7"/>
  <c r="BF566" i="7"/>
  <c r="BF78" i="7"/>
  <c r="BF267" i="7"/>
  <c r="BF75" i="7"/>
  <c r="BF127" i="7"/>
  <c r="BF490" i="7"/>
  <c r="BF222" i="7"/>
  <c r="BF118" i="7"/>
  <c r="BF38" i="7"/>
  <c r="BF410" i="7"/>
  <c r="BF292" i="7"/>
  <c r="BF375" i="7"/>
  <c r="BF577" i="7"/>
  <c r="BF575" i="7"/>
  <c r="BF225" i="7"/>
  <c r="BF40" i="7"/>
  <c r="BF272" i="7"/>
  <c r="BF337" i="7"/>
  <c r="BF558" i="7"/>
  <c r="BF438" i="7"/>
  <c r="BF329" i="7"/>
  <c r="BF165" i="7"/>
  <c r="BF420" i="7"/>
  <c r="BF144" i="7"/>
  <c r="BF392" i="7"/>
  <c r="BF275" i="7"/>
  <c r="BF520" i="7"/>
  <c r="BF331" i="7"/>
  <c r="BF431" i="7"/>
  <c r="BF9" i="7"/>
  <c r="BF172" i="7"/>
  <c r="BF71" i="7"/>
  <c r="BF445" i="7"/>
  <c r="BF112" i="7"/>
  <c r="BF529" i="7"/>
  <c r="BF592" i="7"/>
  <c r="BF204" i="7"/>
  <c r="BF211" i="7"/>
  <c r="BF594" i="7"/>
  <c r="BF53" i="7"/>
  <c r="BF543" i="7"/>
  <c r="BF287" i="7"/>
  <c r="BF359" i="7"/>
  <c r="BF512" i="7"/>
  <c r="BF585" i="7"/>
  <c r="BF350" i="7"/>
  <c r="BF265" i="7"/>
  <c r="BF468" i="7"/>
  <c r="BF137" i="7"/>
  <c r="BF457" i="7"/>
  <c r="BF4" i="7"/>
  <c r="BF559" i="7"/>
  <c r="BF151" i="7"/>
  <c r="BF304" i="7"/>
  <c r="BF542" i="7"/>
  <c r="BF555" i="7"/>
  <c r="BF95" i="7"/>
  <c r="BF3" i="7"/>
  <c r="BF503" i="7"/>
  <c r="BF207" i="7"/>
  <c r="BF399" i="7"/>
  <c r="BF458" i="7"/>
  <c r="BF253" i="7"/>
  <c r="BF581" i="7"/>
  <c r="BF408" i="7"/>
  <c r="BF249" i="7"/>
  <c r="BF268" i="7"/>
  <c r="BF477" i="7"/>
  <c r="BF591" i="7"/>
  <c r="BF162" i="7"/>
  <c r="BF315" i="7"/>
  <c r="BF494" i="7"/>
  <c r="BF157" i="7"/>
  <c r="BF487" i="7"/>
  <c r="BF456" i="7"/>
  <c r="BF524" i="7"/>
  <c r="BF104" i="7"/>
  <c r="BF530" i="7"/>
  <c r="BF270" i="7"/>
  <c r="BF142" i="7"/>
  <c r="BF223" i="7"/>
  <c r="BF384" i="7"/>
  <c r="BF419" i="7"/>
  <c r="BF528" i="7"/>
  <c r="BF187" i="7"/>
  <c r="BF574" i="7"/>
  <c r="BF215" i="7"/>
  <c r="BF523" i="7"/>
  <c r="BF100" i="7"/>
  <c r="BF107" i="7"/>
  <c r="BF153" i="7"/>
  <c r="BF132" i="7"/>
  <c r="BF295" i="7"/>
  <c r="BF576" i="7"/>
  <c r="BF300" i="7"/>
  <c r="BF480" i="7"/>
  <c r="BF596" i="7"/>
  <c r="BF317" i="7"/>
  <c r="BF314" i="7"/>
  <c r="BF2" i="7"/>
  <c r="BF362" i="7"/>
  <c r="BF567" i="7"/>
  <c r="BF74" i="7"/>
  <c r="BF111" i="7"/>
  <c r="BF244" i="7"/>
  <c r="BF319" i="7"/>
  <c r="BF459" i="7"/>
  <c r="BF210" i="7"/>
  <c r="BF16" i="7"/>
  <c r="BF59" i="7"/>
  <c r="BF589" i="7"/>
  <c r="BF496" i="7"/>
  <c r="BF68" i="7"/>
  <c r="BF527" i="7"/>
  <c r="BF483" i="7"/>
  <c r="BF505" i="7"/>
  <c r="BF122" i="7"/>
  <c r="BF13" i="7"/>
  <c r="BF552" i="7"/>
  <c r="BF143" i="7"/>
  <c r="BF498" i="7"/>
  <c r="BF36" i="7"/>
  <c r="BF557" i="7"/>
  <c r="BF208" i="7"/>
  <c r="BF152" i="7"/>
  <c r="BF28" i="7"/>
  <c r="BF54" i="7"/>
  <c r="BF533" i="7"/>
  <c r="BF121" i="7"/>
  <c r="BF161" i="7"/>
  <c r="BF416" i="7"/>
  <c r="BF87" i="7"/>
  <c r="BF400" i="7"/>
  <c r="BF238" i="7"/>
  <c r="BF537" i="7"/>
  <c r="BF155" i="7"/>
  <c r="BF171" i="7"/>
  <c r="BF454" i="7"/>
  <c r="BF541" i="7"/>
  <c r="BF34" i="7"/>
  <c r="BF232" i="7"/>
  <c r="BF139" i="7"/>
  <c r="BF291" i="7"/>
  <c r="BF443" i="7"/>
  <c r="BF296" i="7"/>
  <c r="BF341" i="7"/>
  <c r="BF549" i="7"/>
  <c r="BF18" i="7"/>
  <c r="BF277" i="7"/>
  <c r="BF88" i="7"/>
  <c r="BF464" i="7"/>
  <c r="BF288" i="7"/>
  <c r="BF125" i="7"/>
  <c r="BF98" i="7"/>
  <c r="BF303" i="7"/>
  <c r="BF429" i="7"/>
  <c r="BF446" i="7"/>
  <c r="BF471" i="7"/>
  <c r="BF233" i="7"/>
  <c r="BF357" i="7"/>
  <c r="BF148" i="7"/>
  <c r="BF536" i="7"/>
  <c r="BF395" i="7"/>
  <c r="BF240" i="7"/>
  <c r="BF354" i="7"/>
  <c r="BF126" i="7"/>
  <c r="BF562" i="7"/>
  <c r="BF544" i="7"/>
  <c r="BF194" i="7"/>
  <c r="BF424" i="7"/>
  <c r="BF67" i="7"/>
  <c r="BF56" i="7"/>
  <c r="BF365" i="7"/>
  <c r="BF99" i="7"/>
  <c r="BF239" i="7"/>
  <c r="BF382" i="7"/>
  <c r="BF381" i="7"/>
  <c r="BF117" i="7"/>
  <c r="BF560" i="7"/>
  <c r="BF219" i="7"/>
  <c r="BF256" i="7"/>
  <c r="BF411" i="7"/>
  <c r="BF518" i="7"/>
  <c r="BF150" i="7"/>
  <c r="BF561" i="7"/>
  <c r="BF346" i="7"/>
  <c r="BF5" i="7"/>
  <c r="BF361" i="7"/>
  <c r="BF237" i="7"/>
  <c r="BF196" i="7"/>
  <c r="BF33" i="7"/>
  <c r="BF218" i="7"/>
  <c r="BF450" i="7"/>
  <c r="BF213" i="7"/>
  <c r="BF284" i="7"/>
  <c r="BF514" i="7"/>
  <c r="BF352" i="7"/>
  <c r="BF84" i="7"/>
  <c r="BF556" i="7"/>
  <c r="BF344" i="7"/>
  <c r="BF590" i="7"/>
  <c r="BF428" i="7"/>
  <c r="BF177" i="7"/>
  <c r="BF90" i="7"/>
  <c r="BF332" i="7"/>
  <c r="BF131" i="7"/>
  <c r="BF274" i="7"/>
  <c r="BF374" i="7"/>
  <c r="BF216" i="7"/>
  <c r="BF472" i="7"/>
  <c r="BF307" i="7"/>
  <c r="BF293" i="7"/>
  <c r="BF97" i="7"/>
  <c r="BF417" i="7"/>
  <c r="BF81" i="7"/>
  <c r="BF403" i="7"/>
  <c r="BF130" i="7"/>
  <c r="BF257" i="7"/>
  <c r="BF235" i="7"/>
  <c r="BF114" i="7"/>
  <c r="BF281" i="7"/>
  <c r="BF271" i="7"/>
  <c r="BF513" i="7"/>
  <c r="BF260" i="7"/>
  <c r="BF65" i="7"/>
  <c r="BF221" i="7"/>
  <c r="BF15" i="7"/>
  <c r="BF453" i="7"/>
  <c r="BF306" i="7"/>
  <c r="BF273" i="7"/>
  <c r="BF55" i="7"/>
  <c r="BF425" i="7"/>
  <c r="BF462" i="7"/>
  <c r="BF393" i="7"/>
  <c r="BF427" i="7"/>
  <c r="BF367" i="7"/>
  <c r="BF521" i="7"/>
  <c r="BF333" i="7"/>
  <c r="BF109" i="7"/>
  <c r="BF26" i="7"/>
  <c r="BF379" i="7"/>
  <c r="BF448" i="7"/>
  <c r="BF198" i="7"/>
  <c r="BF519" i="7"/>
  <c r="BF584" i="7"/>
  <c r="BF7" i="7"/>
  <c r="BF437" i="7"/>
  <c r="BF220" i="7"/>
  <c r="BF547" i="7"/>
  <c r="BF318" i="7"/>
  <c r="BF475" i="7"/>
  <c r="BF252" i="7"/>
  <c r="BF179" i="7"/>
  <c r="BF301" i="7"/>
  <c r="BF340" i="7"/>
  <c r="BF180" i="7"/>
  <c r="BF302" i="7"/>
  <c r="BF147" i="7"/>
  <c r="BF550" i="7"/>
  <c r="BF353" i="7"/>
  <c r="BF436" i="7"/>
  <c r="BF474" i="7"/>
  <c r="BF470" i="7"/>
  <c r="BF347" i="7"/>
  <c r="BF269" i="7"/>
  <c r="BF466" i="7"/>
  <c r="BF250" i="7"/>
  <c r="BF320" i="7"/>
  <c r="BF37" i="7"/>
  <c r="BF60" i="7"/>
  <c r="BF376" i="7"/>
  <c r="BF278" i="7"/>
  <c r="BF401" i="7"/>
  <c r="BF14" i="7"/>
  <c r="BF488" i="7"/>
  <c r="BF573" i="7"/>
  <c r="BF328" i="7"/>
  <c r="BF532" i="7"/>
  <c r="BF338" i="7"/>
  <c r="BF251" i="7"/>
  <c r="BF134" i="7"/>
  <c r="BF102" i="7"/>
  <c r="BF205" i="7"/>
  <c r="BF531" i="7"/>
  <c r="BF509" i="7"/>
  <c r="BF119" i="7"/>
  <c r="BF185" i="7"/>
  <c r="BF535" i="7"/>
  <c r="BF297" i="7"/>
  <c r="BF63" i="7"/>
  <c r="BF128" i="7"/>
  <c r="BF6" i="7"/>
  <c r="BF534" i="7"/>
  <c r="BF11" i="7"/>
  <c r="BF380" i="7"/>
  <c r="BF460" i="7"/>
  <c r="BF334" i="7"/>
  <c r="BF447" i="7"/>
  <c r="BF146" i="7"/>
  <c r="BF507" i="7"/>
  <c r="BF587" i="7"/>
  <c r="BF478" i="7"/>
  <c r="BF285" i="7"/>
  <c r="BF383" i="7"/>
  <c r="BF497" i="7"/>
  <c r="BF79" i="7"/>
  <c r="BF262" i="7"/>
  <c r="BF298" i="7"/>
  <c r="BF404" i="7"/>
  <c r="BF571" i="7"/>
  <c r="BF158" i="7"/>
  <c r="BF30" i="7"/>
  <c r="BF569" i="7"/>
  <c r="BF545" i="7"/>
  <c r="BF57" i="7"/>
  <c r="BF564" i="7"/>
  <c r="BF242" i="7"/>
  <c r="BF508" i="7"/>
  <c r="BF17" i="7"/>
  <c r="BF349" i="7"/>
  <c r="BF515" i="7"/>
  <c r="BF548" i="7"/>
  <c r="BF526" i="7"/>
  <c r="BF228" i="7"/>
  <c r="BF358" i="7"/>
  <c r="BF106" i="7"/>
  <c r="BF339" i="7"/>
  <c r="BF82" i="7"/>
  <c r="BF195" i="7"/>
  <c r="BF366" i="7"/>
  <c r="BF364" i="7"/>
  <c r="BF415" i="7"/>
  <c r="BF282" i="7"/>
  <c r="BF440" i="7"/>
  <c r="BF371" i="7"/>
  <c r="BF406" i="7"/>
  <c r="BF113" i="7"/>
  <c r="BF476" i="7"/>
  <c r="BF70" i="7"/>
  <c r="BF169" i="7"/>
  <c r="BF167" i="7"/>
  <c r="BF452" i="7"/>
  <c r="BF373" i="7"/>
  <c r="BF568" i="7"/>
  <c r="BF386" i="7"/>
  <c r="BF418" i="7"/>
  <c r="BF209" i="7"/>
  <c r="BF110" i="7"/>
  <c r="BF41" i="7"/>
  <c r="BF77" i="7"/>
  <c r="BF190" i="7"/>
  <c r="BF94" i="7"/>
  <c r="BF69" i="7"/>
  <c r="BF370" i="7"/>
  <c r="BF355" i="7"/>
  <c r="BF565" i="7"/>
  <c r="BF465" i="7"/>
  <c r="BF140" i="7"/>
  <c r="BF31" i="7"/>
  <c r="BF83" i="7"/>
  <c r="BF312" i="7"/>
  <c r="BF310" i="7"/>
  <c r="BF51" i="7"/>
  <c r="BF442" i="7"/>
  <c r="BF525" i="7"/>
  <c r="BF412" i="7"/>
  <c r="BF356" i="7"/>
  <c r="BF120" i="7"/>
  <c r="BF166" i="7"/>
  <c r="BF197" i="7"/>
  <c r="BF578" i="7"/>
  <c r="BF263" i="7"/>
  <c r="BF336" i="7"/>
  <c r="BF246" i="7"/>
  <c r="BF499" i="7"/>
  <c r="BF174" i="7"/>
  <c r="BF91" i="7"/>
  <c r="BF369" i="7"/>
  <c r="BF299" i="7"/>
  <c r="BF42" i="7"/>
  <c r="BF389" i="7"/>
  <c r="BF80" i="7"/>
  <c r="BF186" i="7"/>
  <c r="BF326" i="7"/>
  <c r="BF217" i="7"/>
  <c r="BF510" i="7"/>
  <c r="BF92" i="7"/>
  <c r="BF588" i="7"/>
  <c r="BF305" i="7"/>
  <c r="BF241" i="7"/>
  <c r="BF141" i="7"/>
  <c r="BF469" i="7"/>
  <c r="BF283" i="7"/>
  <c r="BF313" i="7"/>
  <c r="BF432" i="7"/>
  <c r="BF58" i="7"/>
  <c r="BF413" i="7"/>
  <c r="BF335" i="7"/>
  <c r="BF554" i="7"/>
  <c r="BF390" i="7"/>
  <c r="BF245" i="7"/>
  <c r="BF22" i="7"/>
  <c r="BF405" i="7"/>
  <c r="BF330" i="7"/>
  <c r="BF154" i="7"/>
  <c r="BF48" i="7"/>
  <c r="BF254" i="7"/>
  <c r="BF43" i="7"/>
  <c r="BF595" i="7"/>
  <c r="BF308" i="7"/>
  <c r="BF170" i="7"/>
  <c r="BF502" i="7"/>
  <c r="BF449" i="7"/>
  <c r="BF214" i="7"/>
  <c r="BF290" i="7"/>
  <c r="BF322" i="7"/>
  <c r="BF345" i="7"/>
  <c r="BF76" i="7"/>
  <c r="BF441" i="7"/>
  <c r="BF422" i="7"/>
  <c r="BF52" i="7"/>
  <c r="BF342" i="7"/>
  <c r="BF189" i="7"/>
  <c r="BF135" i="7"/>
  <c r="BF96" i="7"/>
  <c r="BF426" i="7"/>
  <c r="BF360" i="7"/>
  <c r="BF264" i="7"/>
  <c r="BF12" i="7"/>
  <c r="BF227" i="7"/>
  <c r="BF44" i="7"/>
  <c r="BF85" i="7"/>
  <c r="BF231" i="7"/>
  <c r="BF105" i="7"/>
  <c r="BF176" i="7"/>
  <c r="BF372" i="7"/>
  <c r="BF156" i="7"/>
  <c r="BF539" i="7"/>
  <c r="BF348" i="7"/>
  <c r="BF506" i="7"/>
  <c r="BF145" i="7"/>
  <c r="BF327" i="7"/>
  <c r="BF504" i="7"/>
  <c r="BF473" i="7"/>
  <c r="BF184" i="7"/>
  <c r="BF73" i="7"/>
  <c r="BF181" i="7"/>
  <c r="BF493" i="7"/>
  <c r="BF47" i="7"/>
  <c r="BF407" i="7"/>
  <c r="BF259" i="7"/>
  <c r="BF593" i="7"/>
  <c r="BF430" i="7"/>
  <c r="BF580" i="7"/>
  <c r="BF203" i="7"/>
  <c r="BF191" i="7"/>
  <c r="BF467" i="7"/>
  <c r="BF323" i="7"/>
  <c r="BF202" i="7"/>
  <c r="BF32" i="7"/>
  <c r="BF201" i="7"/>
  <c r="BF149" i="7"/>
  <c r="BF159" i="7"/>
  <c r="BF86" i="7"/>
  <c r="BF10" i="7"/>
  <c r="BF553" i="7"/>
  <c r="BF385" i="7"/>
  <c r="BF193" i="7"/>
  <c r="BF583" i="7"/>
  <c r="BF316" i="7"/>
  <c r="BF388" i="7"/>
  <c r="BF261" i="7"/>
  <c r="BF276" i="7"/>
  <c r="BF398" i="7"/>
  <c r="BC116" i="7"/>
  <c r="BC397" i="7"/>
  <c r="BC268" i="7"/>
  <c r="BC350" i="7"/>
  <c r="BC533" i="7"/>
  <c r="BC114" i="7"/>
  <c r="BC143" i="7"/>
  <c r="BC99" i="7"/>
  <c r="BC364" i="7"/>
  <c r="BC6" i="7"/>
  <c r="BC196" i="7"/>
  <c r="BC531" i="7"/>
  <c r="BC149" i="7"/>
  <c r="BC388" i="7"/>
  <c r="BC174" i="7"/>
  <c r="BC151" i="7"/>
  <c r="BC487" i="7"/>
  <c r="BC269" i="7"/>
  <c r="BC57" i="7"/>
  <c r="BC509" i="7"/>
  <c r="BC61" i="7"/>
  <c r="BC113" i="7"/>
  <c r="BC391" i="7"/>
  <c r="BC472" i="7"/>
  <c r="BC485" i="7"/>
  <c r="BC523" i="7"/>
  <c r="BC76" i="7"/>
  <c r="BC460" i="7"/>
  <c r="BD440" i="7"/>
  <c r="BC440" i="7"/>
  <c r="BC475" i="7"/>
  <c r="BC481" i="7"/>
  <c r="BC351" i="7"/>
  <c r="BC517" i="7"/>
  <c r="BC569" i="7"/>
  <c r="BC132" i="7"/>
  <c r="BC331" i="7"/>
  <c r="BC158" i="7"/>
  <c r="BC444" i="7"/>
  <c r="BC346" i="7"/>
  <c r="BC84" i="7"/>
  <c r="BC445" i="7"/>
  <c r="BC30" i="7"/>
  <c r="BC87" i="7"/>
  <c r="BC572" i="7"/>
  <c r="BC313" i="7"/>
  <c r="BC123" i="7"/>
  <c r="BD118" i="7"/>
  <c r="BC118" i="7"/>
  <c r="BC182" i="7"/>
  <c r="BC339" i="7"/>
  <c r="BC455" i="7"/>
  <c r="BC27" i="7"/>
  <c r="BC145" i="7"/>
  <c r="BC553" i="7"/>
  <c r="BC93" i="7"/>
  <c r="BC183" i="7"/>
  <c r="BC223" i="7"/>
  <c r="BC54" i="7"/>
  <c r="BC5" i="7"/>
  <c r="BC327" i="7"/>
  <c r="BC375" i="7"/>
  <c r="BC184" i="7"/>
  <c r="BC80" i="7"/>
  <c r="BC63" i="7"/>
  <c r="BC252" i="7"/>
  <c r="BC501" i="7"/>
  <c r="BC294" i="7"/>
  <c r="BD558" i="7"/>
  <c r="BC558" i="7"/>
  <c r="BC373" i="7"/>
  <c r="BC370" i="7"/>
  <c r="BC459" i="7"/>
  <c r="BC546" i="7"/>
  <c r="BC356" i="7"/>
  <c r="BC258" i="7"/>
  <c r="BC454" i="7"/>
  <c r="BC585" i="7"/>
  <c r="BC208" i="7"/>
  <c r="BC69" i="7"/>
  <c r="BC504" i="7"/>
  <c r="BC89" i="7"/>
  <c r="BC134" i="7"/>
  <c r="BC129" i="7"/>
  <c r="BC537" i="7"/>
  <c r="BC432" i="7"/>
  <c r="BC288" i="7"/>
  <c r="BC491" i="7"/>
  <c r="BC115" i="7"/>
  <c r="BC190" i="7"/>
  <c r="BC394" i="7"/>
  <c r="BC296" i="7"/>
  <c r="BC119" i="7"/>
  <c r="BC154" i="7"/>
  <c r="BC51" i="7"/>
  <c r="BC407" i="7"/>
  <c r="BC443" i="7"/>
  <c r="BC311" i="7"/>
  <c r="BC309" i="7"/>
  <c r="BC492" i="7"/>
  <c r="BC279" i="7"/>
  <c r="BC516" i="7"/>
  <c r="BC299" i="7"/>
  <c r="BC422" i="7"/>
  <c r="BC243" i="7"/>
  <c r="BC483" i="7"/>
  <c r="BC47" i="7"/>
  <c r="BC477" i="7"/>
  <c r="BD400" i="7"/>
  <c r="BC400" i="7"/>
  <c r="BC233" i="7"/>
  <c r="BC582" i="7"/>
  <c r="BC172" i="7"/>
  <c r="BC534" i="7"/>
  <c r="BC552" i="7"/>
  <c r="BC564" i="7"/>
  <c r="BC507" i="7"/>
  <c r="BC325" i="7"/>
  <c r="BC566" i="7"/>
  <c r="BC438" i="7"/>
  <c r="BC136" i="7"/>
  <c r="BC471" i="7"/>
  <c r="BC330" i="7"/>
  <c r="BC300" i="7"/>
  <c r="BD367" i="7"/>
  <c r="BC367" i="7"/>
  <c r="BD305" i="7"/>
  <c r="BC305" i="7"/>
  <c r="BC15" i="7"/>
  <c r="BC578" i="7"/>
  <c r="BC26" i="7"/>
  <c r="BC53" i="7"/>
  <c r="BC405" i="7"/>
  <c r="BC307" i="7"/>
  <c r="BC576" i="7"/>
  <c r="BC452" i="7"/>
  <c r="BC50" i="7"/>
  <c r="BC205" i="7"/>
  <c r="BC413" i="7"/>
  <c r="BC56" i="7"/>
  <c r="BC389" i="7"/>
  <c r="BC78" i="7"/>
  <c r="BC181" i="7"/>
  <c r="BC82" i="7"/>
  <c r="BC310" i="7"/>
  <c r="BC152" i="7"/>
  <c r="BC547" i="7"/>
  <c r="BC574" i="7"/>
  <c r="BC18" i="7"/>
  <c r="BC410" i="7"/>
  <c r="BD525" i="7"/>
  <c r="BC525" i="7"/>
  <c r="BC412" i="7"/>
  <c r="BC85" i="7"/>
  <c r="BC571" i="7"/>
  <c r="BC173" i="7"/>
  <c r="BC210" i="7"/>
  <c r="BD530" i="7"/>
  <c r="BC530" i="7"/>
  <c r="BC482" i="7"/>
  <c r="BC587" i="7"/>
  <c r="BC178" i="7"/>
  <c r="BC416" i="7"/>
  <c r="BC506" i="7"/>
  <c r="BC229" i="7"/>
  <c r="BC384" i="7"/>
  <c r="BC467" i="7"/>
  <c r="BC363" i="7"/>
  <c r="BC456" i="7"/>
  <c r="BC278" i="7"/>
  <c r="BC39" i="7"/>
  <c r="BC328" i="7"/>
  <c r="BC464" i="7"/>
  <c r="BC274" i="7"/>
  <c r="BC36" i="7"/>
  <c r="BC108" i="7"/>
  <c r="BC147" i="7"/>
  <c r="BD378" i="7"/>
  <c r="BC378" i="7"/>
  <c r="BC198" i="7"/>
  <c r="BC559" i="7"/>
  <c r="BC14" i="7"/>
  <c r="BC248" i="7"/>
  <c r="BC12" i="7"/>
  <c r="BC207" i="7"/>
  <c r="BC345" i="7"/>
  <c r="BC493" i="7"/>
  <c r="BD336" i="7"/>
  <c r="BC336" i="7"/>
  <c r="BC44" i="7"/>
  <c r="BC392" i="7"/>
  <c r="BC554" i="7"/>
  <c r="BD281" i="7"/>
  <c r="BC281" i="7"/>
  <c r="BC347" i="7"/>
  <c r="BC490" i="7"/>
  <c r="BC24" i="7"/>
  <c r="BC349" i="7"/>
  <c r="BC266" i="7"/>
  <c r="BC437" i="7"/>
  <c r="BC167" i="7"/>
  <c r="BC318" i="7"/>
  <c r="BD402" i="7"/>
  <c r="BC402" i="7"/>
  <c r="BC2" i="7"/>
  <c r="BC321" i="7"/>
  <c r="BC25" i="7"/>
  <c r="BC218" i="7"/>
  <c r="BC126" i="7"/>
  <c r="BC341" i="7"/>
  <c r="BC573" i="7"/>
  <c r="BC289" i="7"/>
  <c r="BC29" i="7"/>
  <c r="BC216" i="7"/>
  <c r="BC238" i="7"/>
  <c r="BC376" i="7"/>
  <c r="BC242" i="7"/>
  <c r="BC519" i="7"/>
  <c r="BC21" i="7"/>
  <c r="BC112" i="7"/>
  <c r="BC409" i="7"/>
  <c r="BC23" i="7"/>
  <c r="BC65" i="7"/>
  <c r="BC260" i="7"/>
  <c r="BC86" i="7"/>
  <c r="BC480" i="7"/>
  <c r="BC22" i="7"/>
  <c r="BC329" i="7"/>
  <c r="BC42" i="7"/>
  <c r="BC13" i="7"/>
  <c r="BC387" i="7"/>
  <c r="BC421" i="7"/>
  <c r="BC499" i="7"/>
  <c r="BC291" i="7"/>
  <c r="BC468" i="7"/>
  <c r="BC399" i="7"/>
  <c r="BC365" i="7"/>
  <c r="BC201" i="7"/>
  <c r="BC433" i="7"/>
  <c r="BC130" i="7"/>
  <c r="BC588" i="7"/>
  <c r="BC594" i="7"/>
  <c r="BC247" i="7"/>
  <c r="BC401" i="7"/>
  <c r="BC381" i="7"/>
  <c r="BC236" i="7"/>
  <c r="BC277" i="7"/>
  <c r="BC448" i="7"/>
  <c r="BC298" i="7"/>
  <c r="BC150" i="7"/>
  <c r="BC239" i="7"/>
  <c r="BC386" i="7"/>
  <c r="BC88" i="7"/>
  <c r="BC479" i="7"/>
  <c r="BC380" i="7"/>
  <c r="BC334" i="7"/>
  <c r="BC306" i="7"/>
  <c r="BC411" i="7"/>
  <c r="BC524" i="7"/>
  <c r="BC90" i="7"/>
  <c r="BC176" i="7"/>
  <c r="BC282" i="7"/>
  <c r="BC371" i="7"/>
  <c r="BC185" i="7"/>
  <c r="BC457" i="7"/>
  <c r="BC175" i="7"/>
  <c r="BC8" i="7"/>
  <c r="BC406" i="7"/>
  <c r="BC159" i="7"/>
  <c r="BC20" i="7"/>
  <c r="BC220" i="7"/>
  <c r="BD168" i="7"/>
  <c r="BC168" i="7"/>
  <c r="BC560" i="7"/>
  <c r="BC565" i="7"/>
  <c r="BC187" i="7"/>
  <c r="BC500" i="7"/>
  <c r="BC272" i="7"/>
  <c r="BC390" i="7"/>
  <c r="BC542" i="7"/>
  <c r="BC446" i="7"/>
  <c r="BC529" i="7"/>
  <c r="BC343" i="7"/>
  <c r="BC354" i="7"/>
  <c r="BC449" i="7"/>
  <c r="BC97" i="7"/>
  <c r="BD240" i="7"/>
  <c r="BC240" i="7"/>
  <c r="BC62" i="7"/>
  <c r="BC73" i="7"/>
  <c r="BD295" i="7"/>
  <c r="BC295" i="7"/>
  <c r="BC366" i="7"/>
  <c r="BC518" i="7"/>
  <c r="BC404" i="7"/>
  <c r="BC470" i="7"/>
  <c r="BC109" i="7"/>
  <c r="BC215" i="7"/>
  <c r="BC548" i="7"/>
  <c r="BC251" i="7"/>
  <c r="BC520" i="7"/>
  <c r="BC225" i="7"/>
  <c r="BC290" i="7"/>
  <c r="BC135" i="7"/>
  <c r="BC510" i="7"/>
  <c r="BC231" i="7"/>
  <c r="BC160" i="7"/>
  <c r="BC106" i="7"/>
  <c r="BC256" i="7"/>
  <c r="BD230" i="7"/>
  <c r="BC230" i="7"/>
  <c r="BC342" i="7"/>
  <c r="BC521" i="7"/>
  <c r="BC540" i="7"/>
  <c r="BC324" i="7"/>
  <c r="BC466" i="7"/>
  <c r="BC473" i="7"/>
  <c r="BC442" i="7"/>
  <c r="BC549" i="7"/>
  <c r="BC595" i="7"/>
  <c r="BC203" i="7"/>
  <c r="BC10" i="7"/>
  <c r="BC543" i="7"/>
  <c r="BC503" i="7"/>
  <c r="BC297" i="7"/>
  <c r="BC117" i="7"/>
  <c r="BC453" i="7"/>
  <c r="BC165" i="7"/>
  <c r="BC79" i="7"/>
  <c r="BC19" i="7"/>
  <c r="BC541" i="7"/>
  <c r="BC45" i="7"/>
  <c r="BC245" i="7"/>
  <c r="BC418" i="7"/>
  <c r="BC451" i="7"/>
  <c r="BC46" i="7"/>
  <c r="BC577" i="7"/>
  <c r="BC141" i="7"/>
  <c r="BC369" i="7"/>
  <c r="BC377" i="7"/>
  <c r="BC335" i="7"/>
  <c r="BC211" i="7"/>
  <c r="BC337" i="7"/>
  <c r="BC355" i="7"/>
  <c r="BC138" i="7"/>
  <c r="BC155" i="7"/>
  <c r="BC34" i="7"/>
  <c r="BC535" i="7"/>
  <c r="BC170" i="7"/>
  <c r="BC434" i="7"/>
  <c r="BC7" i="7"/>
  <c r="BC40" i="7"/>
  <c r="BC568" i="7"/>
  <c r="BC64" i="7"/>
  <c r="BC105" i="7"/>
  <c r="BC199" i="7"/>
  <c r="BC352" i="7"/>
  <c r="BC283" i="7"/>
  <c r="BC514" i="7"/>
  <c r="BC111" i="7"/>
  <c r="BC249" i="7"/>
  <c r="BC512" i="7"/>
  <c r="BC536" i="7"/>
  <c r="BC441" i="7"/>
  <c r="BC379" i="7"/>
  <c r="BC575" i="7"/>
  <c r="BC538" i="7"/>
  <c r="BC137" i="7"/>
  <c r="BC107" i="7"/>
  <c r="BC237" i="7"/>
  <c r="BC43" i="7"/>
  <c r="BC414" i="7"/>
  <c r="BC217" i="7"/>
  <c r="BC511" i="7"/>
  <c r="BC488" i="7"/>
  <c r="BC83" i="7"/>
  <c r="BC450" i="7"/>
  <c r="BC304" i="7"/>
  <c r="BC49" i="7"/>
  <c r="BC275" i="7"/>
  <c r="BC139" i="7"/>
  <c r="BC439" i="7"/>
  <c r="BC179" i="7"/>
  <c r="BC513" i="7"/>
  <c r="BC498" i="7"/>
  <c r="BC55" i="7"/>
  <c r="BC180" i="7"/>
  <c r="BC104" i="7"/>
  <c r="BC515" i="7"/>
  <c r="BC250" i="7"/>
  <c r="BC301" i="7"/>
  <c r="BC262" i="7"/>
  <c r="BC206" i="7"/>
  <c r="BC169" i="7"/>
  <c r="BC140" i="7"/>
  <c r="BC326" i="7"/>
  <c r="BC33" i="7"/>
  <c r="BC241" i="7"/>
  <c r="BC522" i="7"/>
  <c r="BC221" i="7"/>
  <c r="BC133" i="7"/>
  <c r="BC333" i="7"/>
  <c r="BC110" i="7"/>
  <c r="BC586" i="7"/>
  <c r="BC273" i="7"/>
  <c r="BC596" i="7"/>
  <c r="BC267" i="7"/>
  <c r="BC505" i="7"/>
  <c r="BD188" i="7"/>
  <c r="BC188" i="7"/>
  <c r="BC213" i="7"/>
  <c r="BC177" i="7"/>
  <c r="BC539" i="7"/>
  <c r="BC98" i="7"/>
  <c r="BC127" i="7"/>
  <c r="BC322" i="7"/>
  <c r="BC579" i="7"/>
  <c r="BC353" i="7"/>
  <c r="BC131" i="7"/>
  <c r="BC16" i="7"/>
  <c r="BC219" i="7"/>
  <c r="BC52" i="7"/>
  <c r="BC474" i="7"/>
  <c r="BC222" i="7"/>
  <c r="BC102" i="7"/>
  <c r="BC70" i="7"/>
  <c r="BC489" i="7"/>
  <c r="BC581" i="7"/>
  <c r="BC144" i="7"/>
  <c r="BC204" i="7"/>
  <c r="BC303" i="7"/>
  <c r="BC323" i="7"/>
  <c r="BC408" i="7"/>
  <c r="BC302" i="7"/>
  <c r="BC292" i="7"/>
  <c r="BC146" i="7"/>
  <c r="BC226" i="7"/>
  <c r="BC212" i="7"/>
  <c r="BC195" i="7"/>
  <c r="BC235" i="7"/>
  <c r="BC71" i="7"/>
  <c r="BC101" i="7"/>
  <c r="BC551" i="7"/>
  <c r="BC120" i="7"/>
  <c r="BC77" i="7"/>
  <c r="BC545" i="7"/>
  <c r="BD563" i="7"/>
  <c r="BC563" i="7"/>
  <c r="BC276" i="7"/>
  <c r="BC465" i="7"/>
  <c r="BC340" i="7"/>
  <c r="BC484" i="7"/>
  <c r="BC271" i="7"/>
  <c r="BC357" i="7"/>
  <c r="BC476" i="7"/>
  <c r="BC447" i="7"/>
  <c r="BC81" i="7"/>
  <c r="BC403" i="7"/>
  <c r="BC431" i="7"/>
  <c r="BD544" i="7"/>
  <c r="BC544" i="7"/>
  <c r="BC41" i="7"/>
  <c r="BC478" i="7"/>
  <c r="BC382" i="7"/>
  <c r="BC338" i="7"/>
  <c r="BC458" i="7"/>
  <c r="BC48" i="7"/>
  <c r="BC244" i="7"/>
  <c r="BC368" i="7"/>
  <c r="BC156" i="7"/>
  <c r="BC332" i="7"/>
  <c r="BC209" i="7"/>
  <c r="BC372" i="7"/>
  <c r="BC259" i="7"/>
  <c r="BC214" i="7"/>
  <c r="BC142" i="7"/>
  <c r="BC261" i="7"/>
  <c r="BC570" i="7"/>
  <c r="BC246" i="7"/>
  <c r="BC200" i="7"/>
  <c r="BC164" i="7"/>
  <c r="BC92" i="7"/>
  <c r="BC508" i="7"/>
  <c r="BC257" i="7"/>
  <c r="BC284" i="7"/>
  <c r="BC32" i="7"/>
  <c r="BC148" i="7"/>
  <c r="BC9" i="7"/>
  <c r="BC429" i="7"/>
  <c r="BC17" i="7"/>
  <c r="BF280" i="7" l="1"/>
  <c r="BB461" i="7"/>
  <c r="BF461" i="7"/>
  <c r="C112" i="21" a="1"/>
  <c r="C112" i="21" s="1"/>
  <c r="J112" i="21" s="1"/>
  <c r="C98" i="21" a="1"/>
  <c r="C98" i="21" s="1"/>
  <c r="J98" i="21" s="1"/>
  <c r="C141" i="21" a="1"/>
  <c r="C141" i="21" s="1"/>
  <c r="J141" i="21" s="1"/>
  <c r="C20" i="21" a="1"/>
  <c r="C20" i="21" s="1"/>
  <c r="J20" i="21" s="1"/>
  <c r="C104" i="21" a="1"/>
  <c r="C104" i="21" s="1"/>
  <c r="J104" i="21" s="1"/>
  <c r="C73" i="21" a="1"/>
  <c r="C73" i="21" s="1"/>
  <c r="J73" i="21" s="1"/>
  <c r="C38" i="21" a="1"/>
  <c r="C38" i="21" s="1"/>
  <c r="J38" i="21" s="1"/>
  <c r="C153" i="21" a="1"/>
  <c r="C153" i="21" s="1"/>
  <c r="J153" i="21" s="1"/>
  <c r="C133" i="21" a="1"/>
  <c r="C133" i="21" s="1"/>
  <c r="J133" i="21" s="1"/>
  <c r="C95" i="21" a="1"/>
  <c r="C95" i="21" s="1"/>
  <c r="J95" i="21" s="1"/>
  <c r="C49" i="21" a="1"/>
  <c r="C49" i="21" s="1"/>
  <c r="J49" i="21" s="1"/>
  <c r="C25" i="21" a="1"/>
  <c r="C25" i="21" s="1"/>
  <c r="J25" i="21" s="1"/>
  <c r="C92" i="21" a="1"/>
  <c r="C92" i="21" s="1"/>
  <c r="J92" i="21" s="1"/>
  <c r="C122" i="21" a="1"/>
  <c r="C122" i="21" s="1"/>
  <c r="J122" i="21" s="1"/>
  <c r="C159" i="21" a="1"/>
  <c r="C159" i="21" s="1"/>
  <c r="J159" i="21" s="1"/>
  <c r="C79" i="21" a="1"/>
  <c r="C79" i="21" s="1"/>
  <c r="J79" i="21" s="1"/>
  <c r="C40" i="21" a="1"/>
  <c r="C40" i="21" s="1"/>
  <c r="J40" i="21" s="1"/>
  <c r="C131" i="21" a="1"/>
  <c r="C131" i="21" s="1"/>
  <c r="J131" i="21" s="1"/>
  <c r="C18" i="21" a="1"/>
  <c r="C18" i="21" s="1"/>
  <c r="J18" i="21" s="1"/>
  <c r="C103" i="21" a="1"/>
  <c r="C103" i="21" s="1"/>
  <c r="J103" i="21" s="1"/>
  <c r="C90" i="21" a="1"/>
  <c r="C90" i="21" s="1"/>
  <c r="J90" i="21" s="1"/>
  <c r="C101" i="21" a="1"/>
  <c r="C101" i="21" s="1"/>
  <c r="J101" i="21" s="1"/>
  <c r="C58" i="21" a="1"/>
  <c r="C58" i="21" s="1"/>
  <c r="J58" i="21" s="1"/>
  <c r="C109" i="21" a="1"/>
  <c r="C109" i="21" s="1"/>
  <c r="J109" i="21" s="1"/>
  <c r="C30" i="21" a="1"/>
  <c r="C30" i="21" s="1"/>
  <c r="J30" i="21" s="1"/>
  <c r="C32" i="21" a="1"/>
  <c r="C32" i="21" s="1"/>
  <c r="J32" i="21" s="1"/>
  <c r="C10" i="21" a="1"/>
  <c r="C10" i="21" s="1"/>
  <c r="J10" i="21" s="1"/>
  <c r="C82" i="21" a="1"/>
  <c r="C82" i="21" s="1"/>
  <c r="J82" i="21" s="1"/>
  <c r="C55" i="21" a="1"/>
  <c r="C55" i="21" s="1"/>
  <c r="J55" i="21" s="1"/>
  <c r="C87" i="21" a="1"/>
  <c r="C87" i="21" s="1"/>
  <c r="J87" i="21" s="1"/>
  <c r="C134" i="21" a="1"/>
  <c r="C134" i="21" s="1"/>
  <c r="J134" i="21" s="1"/>
  <c r="C145" i="21" a="1"/>
  <c r="C145" i="21" s="1"/>
  <c r="J145" i="21" s="1"/>
  <c r="C120" i="21" a="1"/>
  <c r="C120" i="21" s="1"/>
  <c r="J120" i="21" s="1"/>
  <c r="C107" i="21" a="1"/>
  <c r="C107" i="21" s="1"/>
  <c r="J107" i="21" s="1"/>
  <c r="C27" i="21" a="1"/>
  <c r="C27" i="21" s="1"/>
  <c r="J27" i="21" s="1"/>
  <c r="C151" i="21" a="1"/>
  <c r="C151" i="21" s="1"/>
  <c r="J151" i="21" s="1"/>
  <c r="C127" i="21" a="1"/>
  <c r="C127" i="21" s="1"/>
  <c r="J127" i="21" s="1"/>
  <c r="C23" i="21" a="1"/>
  <c r="C23" i="21" s="1"/>
  <c r="J23" i="21" s="1"/>
  <c r="C60" i="21" a="1"/>
  <c r="C60" i="21" s="1"/>
  <c r="J60" i="21" s="1"/>
  <c r="C93" i="21" a="1"/>
  <c r="C93" i="21" s="1"/>
  <c r="J93" i="21" s="1"/>
  <c r="C144" i="21" a="1"/>
  <c r="C144" i="21" s="1"/>
  <c r="J144" i="21" s="1"/>
  <c r="C31" i="21" a="1"/>
  <c r="C31" i="21" s="1"/>
  <c r="J31" i="21" s="1"/>
  <c r="C154" i="21" a="1"/>
  <c r="C154" i="21" s="1"/>
  <c r="J154" i="21" s="1"/>
  <c r="C156" i="21" a="1"/>
  <c r="C156" i="21" s="1"/>
  <c r="J156" i="21" s="1"/>
  <c r="C24" i="21" a="1"/>
  <c r="C24" i="21" s="1"/>
  <c r="J24" i="21" s="1"/>
  <c r="C16" i="21" a="1"/>
  <c r="C16" i="21" s="1"/>
  <c r="J16" i="21" s="1"/>
  <c r="C106" i="21" a="1"/>
  <c r="C106" i="21" s="1"/>
  <c r="J106" i="21" s="1"/>
  <c r="C142" i="21" a="1"/>
  <c r="C142" i="21" s="1"/>
  <c r="J142" i="21" s="1"/>
  <c r="C53" i="21" a="1"/>
  <c r="C53" i="21" s="1"/>
  <c r="J53" i="21" s="1"/>
  <c r="C114" i="21" a="1"/>
  <c r="C114" i="21" s="1"/>
  <c r="J114" i="21" s="1"/>
  <c r="C61" i="21" a="1"/>
  <c r="C61" i="21" s="1"/>
  <c r="J61" i="21" s="1"/>
  <c r="C81" i="21" a="1"/>
  <c r="C81" i="21" s="1"/>
  <c r="J81" i="21" s="1"/>
  <c r="C26" i="21" a="1"/>
  <c r="C26" i="21" s="1"/>
  <c r="J26" i="21" s="1"/>
  <c r="C160" i="21" a="1"/>
  <c r="C160" i="21" s="1"/>
  <c r="J160" i="21" s="1"/>
  <c r="C147" i="21" a="1"/>
  <c r="C147" i="21" s="1"/>
  <c r="J147" i="21" s="1"/>
  <c r="C42" i="21" a="1"/>
  <c r="C42" i="21" s="1"/>
  <c r="J42" i="21" s="1"/>
  <c r="C54" i="21" a="1"/>
  <c r="C54" i="21" s="1"/>
  <c r="J54" i="21" s="1"/>
  <c r="C118" i="21" a="1"/>
  <c r="C118" i="21" s="1"/>
  <c r="J118" i="21" s="1"/>
  <c r="C115" i="21" a="1"/>
  <c r="C115" i="21" s="1"/>
  <c r="J115" i="21" s="1"/>
  <c r="C150" i="21" a="1"/>
  <c r="C150" i="21" s="1"/>
  <c r="J150" i="21" s="1"/>
  <c r="C136" i="21" a="1"/>
  <c r="C136" i="21" s="1"/>
  <c r="J136" i="21" s="1"/>
  <c r="C123" i="21" a="1"/>
  <c r="C123" i="21" s="1"/>
  <c r="J123" i="21" s="1"/>
  <c r="C69" i="21" a="1"/>
  <c r="C69" i="21" s="1"/>
  <c r="J69" i="21" s="1"/>
  <c r="C78" i="21" a="1"/>
  <c r="C78" i="21" s="1"/>
  <c r="J78" i="21" s="1"/>
  <c r="C84" i="21" a="1"/>
  <c r="C84" i="21" s="1"/>
  <c r="J84" i="21" s="1"/>
  <c r="C85" i="21" a="1"/>
  <c r="C85" i="21" s="1"/>
  <c r="J85" i="21" s="1"/>
  <c r="C22" i="21" a="1"/>
  <c r="C22" i="21" s="1"/>
  <c r="J22" i="21" s="1"/>
  <c r="C116" i="21" a="1"/>
  <c r="C116" i="21" s="1"/>
  <c r="J116" i="21" s="1"/>
  <c r="C66" i="21" a="1"/>
  <c r="C66" i="21" s="1"/>
  <c r="J66" i="21" s="1"/>
  <c r="C97" i="21" a="1"/>
  <c r="C97" i="21" s="1"/>
  <c r="J97" i="21" s="1"/>
  <c r="C148" i="21" a="1"/>
  <c r="C148" i="21" s="1"/>
  <c r="J148" i="21" s="1"/>
  <c r="C119" i="21" a="1"/>
  <c r="C119" i="21" s="1"/>
  <c r="J119" i="21" s="1"/>
  <c r="C72" i="21" a="1"/>
  <c r="C72" i="21" s="1"/>
  <c r="J72" i="21" s="1"/>
  <c r="C130" i="21" a="1"/>
  <c r="C130" i="21" s="1"/>
  <c r="J130" i="21" s="1"/>
  <c r="C12" i="21" a="1"/>
  <c r="C12" i="21" s="1"/>
  <c r="J12" i="21" s="1"/>
  <c r="C41" i="21" a="1"/>
  <c r="C41" i="21" s="1"/>
  <c r="J41" i="21" s="1"/>
  <c r="C21" i="21" a="1"/>
  <c r="C21" i="21" s="1"/>
  <c r="J21" i="21" s="1"/>
  <c r="C17" i="21" a="1"/>
  <c r="C17" i="21" s="1"/>
  <c r="J17" i="21" s="1"/>
  <c r="C62" i="21" a="1"/>
  <c r="C62" i="21" s="1"/>
  <c r="J62" i="21" s="1"/>
  <c r="C96" i="21" a="1"/>
  <c r="C96" i="21" s="1"/>
  <c r="J96" i="21" s="1"/>
  <c r="C77" i="21" a="1"/>
  <c r="C77" i="21" s="1"/>
  <c r="J77" i="21" s="1"/>
  <c r="C74" i="21" a="1"/>
  <c r="C74" i="21" s="1"/>
  <c r="J74" i="21" s="1"/>
  <c r="C152" i="21" a="1"/>
  <c r="C152" i="21" s="1"/>
  <c r="J152" i="21" s="1"/>
  <c r="C132" i="21" a="1"/>
  <c r="C132" i="21" s="1"/>
  <c r="J132" i="21" s="1"/>
  <c r="C50" i="21" a="1"/>
  <c r="C50" i="21" s="1"/>
  <c r="J50" i="21" s="1"/>
  <c r="C121" i="21" a="1"/>
  <c r="C121" i="21" s="1"/>
  <c r="J121" i="21" s="1"/>
  <c r="C94" i="21" a="1"/>
  <c r="C94" i="21" s="1"/>
  <c r="J94" i="21" s="1"/>
  <c r="C137" i="21" a="1"/>
  <c r="C137" i="21" s="1"/>
  <c r="J137" i="21" s="1"/>
  <c r="C47" i="21" a="1"/>
  <c r="C47" i="21" s="1"/>
  <c r="J47" i="21" s="1"/>
  <c r="C113" i="21" a="1"/>
  <c r="C113" i="21" s="1"/>
  <c r="J113" i="21" s="1"/>
  <c r="C158" i="21" a="1"/>
  <c r="C158" i="21" s="1"/>
  <c r="J158" i="21" s="1"/>
  <c r="C128" i="21" a="1"/>
  <c r="C128" i="21" s="1"/>
  <c r="J128" i="21" s="1"/>
  <c r="C13" i="21" a="1"/>
  <c r="C13" i="21" s="1"/>
  <c r="J13" i="21" s="1"/>
  <c r="C9" i="21" a="1"/>
  <c r="C9" i="21" s="1"/>
  <c r="J9" i="21" s="1"/>
  <c r="C83" i="21" a="1"/>
  <c r="C83" i="21" s="1"/>
  <c r="J83" i="21" s="1"/>
  <c r="C139" i="21" a="1"/>
  <c r="C139" i="21" s="1"/>
  <c r="J139" i="21" s="1"/>
  <c r="C46" i="21" a="1"/>
  <c r="C46" i="21" s="1"/>
  <c r="J46" i="21" s="1"/>
  <c r="C48" i="21" a="1"/>
  <c r="C48" i="21" s="1"/>
  <c r="J48" i="21" s="1"/>
  <c r="C108" i="21" a="1"/>
  <c r="C108" i="21" s="1"/>
  <c r="J108" i="21" s="1"/>
  <c r="C88" i="21" a="1"/>
  <c r="C88" i="21" s="1"/>
  <c r="J88" i="21" s="1"/>
  <c r="C33" i="21" a="1"/>
  <c r="C33" i="21" s="1"/>
  <c r="J33" i="21" s="1"/>
  <c r="C80" i="21" a="1"/>
  <c r="C80" i="21" s="1"/>
  <c r="J80" i="21" s="1"/>
  <c r="C125" i="21" a="1"/>
  <c r="C125" i="21" s="1"/>
  <c r="J125" i="21" s="1"/>
  <c r="C63" i="21" a="1"/>
  <c r="C63" i="21" s="1"/>
  <c r="J63" i="21" s="1"/>
  <c r="C43" i="21" a="1"/>
  <c r="C43" i="21" s="1"/>
  <c r="J43" i="21" s="1"/>
  <c r="C51" i="21" a="1"/>
  <c r="C51" i="21" s="1"/>
  <c r="J51" i="21" s="1"/>
  <c r="C111" i="21" a="1"/>
  <c r="C111" i="21" s="1"/>
  <c r="J111" i="21" s="1"/>
  <c r="C65" i="21" a="1"/>
  <c r="C65" i="21" s="1"/>
  <c r="J65" i="21" s="1"/>
  <c r="C100" i="21" a="1"/>
  <c r="C100" i="21" s="1"/>
  <c r="J100" i="21" s="1"/>
  <c r="C34" i="21" a="1"/>
  <c r="C34" i="21" s="1"/>
  <c r="J34" i="21" s="1"/>
  <c r="C36" i="21" a="1"/>
  <c r="C36" i="21" s="1"/>
  <c r="J36" i="21" s="1"/>
  <c r="C126" i="21" a="1"/>
  <c r="C126" i="21" s="1"/>
  <c r="J126" i="21" s="1"/>
  <c r="C99" i="21" a="1"/>
  <c r="C99" i="21" s="1"/>
  <c r="J99" i="21" s="1"/>
  <c r="C146" i="21" a="1"/>
  <c r="C146" i="21" s="1"/>
  <c r="J146" i="21" s="1"/>
  <c r="C56" i="21" a="1"/>
  <c r="C56" i="21" s="1"/>
  <c r="J56" i="21" s="1"/>
  <c r="C117" i="21" a="1"/>
  <c r="C117" i="21" s="1"/>
  <c r="J117" i="21" s="1"/>
  <c r="C64" i="21" a="1"/>
  <c r="C64" i="21" s="1"/>
  <c r="J64" i="21" s="1"/>
  <c r="C157" i="21" a="1"/>
  <c r="C157" i="21" s="1"/>
  <c r="J157" i="21" s="1"/>
  <c r="C155" i="21" a="1"/>
  <c r="C155" i="21" s="1"/>
  <c r="J155" i="21" s="1"/>
  <c r="C76" i="21" a="1"/>
  <c r="C76" i="21" s="1"/>
  <c r="J76" i="21" s="1"/>
  <c r="C19" i="21" a="1"/>
  <c r="C19" i="21" s="1"/>
  <c r="J19" i="21" s="1"/>
  <c r="C143" i="21" a="1"/>
  <c r="C143" i="21" s="1"/>
  <c r="J143" i="21" s="1"/>
  <c r="C52" i="21" a="1"/>
  <c r="C52" i="21" s="1"/>
  <c r="J52" i="21" s="1"/>
  <c r="C102" i="21" a="1"/>
  <c r="C102" i="21" s="1"/>
  <c r="J102" i="21" s="1"/>
  <c r="C89" i="21" a="1"/>
  <c r="C89" i="21" s="1"/>
  <c r="J89" i="21" s="1"/>
  <c r="C140" i="21" a="1"/>
  <c r="C140" i="21" s="1"/>
  <c r="J140" i="21" s="1"/>
  <c r="C75" i="21" a="1"/>
  <c r="C75" i="21" s="1"/>
  <c r="J75" i="21" s="1"/>
  <c r="C29" i="21" a="1"/>
  <c r="C29" i="21" s="1"/>
  <c r="J29" i="21" s="1"/>
  <c r="C35" i="21" a="1"/>
  <c r="C35" i="21" s="1"/>
  <c r="J35" i="21" s="1"/>
  <c r="C11" i="21" a="1"/>
  <c r="C11" i="21" s="1"/>
  <c r="J11" i="21" s="1"/>
  <c r="C15" i="21" a="1"/>
  <c r="C15" i="21" s="1"/>
  <c r="J15" i="21" s="1"/>
  <c r="C44" i="21" a="1"/>
  <c r="C44" i="21" s="1"/>
  <c r="J44" i="21" s="1"/>
  <c r="C91" i="21" a="1"/>
  <c r="C91" i="21" s="1"/>
  <c r="J91" i="21" s="1"/>
  <c r="C138" i="21" a="1"/>
  <c r="C138" i="21" s="1"/>
  <c r="J138" i="21" s="1"/>
  <c r="C149" i="21" a="1"/>
  <c r="C149" i="21" s="1"/>
  <c r="J149" i="21" s="1"/>
  <c r="C110" i="21" a="1"/>
  <c r="C110" i="21" s="1"/>
  <c r="J110" i="21" s="1"/>
  <c r="C68" i="21" a="1"/>
  <c r="C68" i="21" s="1"/>
  <c r="J68" i="21" s="1"/>
  <c r="C124" i="21" a="1"/>
  <c r="C124" i="21" s="1"/>
  <c r="J124" i="21" s="1"/>
  <c r="C70" i="21" a="1"/>
  <c r="C70" i="21" s="1"/>
  <c r="J70" i="21" s="1"/>
  <c r="C28" i="21" a="1"/>
  <c r="C28" i="21" s="1"/>
  <c r="J28" i="21" s="1"/>
  <c r="C39" i="21" a="1"/>
  <c r="C39" i="21" s="1"/>
  <c r="J39" i="21" s="1"/>
  <c r="C86" i="21" a="1"/>
  <c r="C86" i="21" s="1"/>
  <c r="C135" i="21" a="1"/>
  <c r="C135" i="21" s="1"/>
  <c r="J135" i="21" s="1"/>
  <c r="C57" i="21" a="1"/>
  <c r="C57" i="21" s="1"/>
  <c r="J57" i="21" s="1"/>
  <c r="C45" i="21" a="1"/>
  <c r="C45" i="21" s="1"/>
  <c r="J45" i="21" s="1"/>
  <c r="C105" i="21" a="1"/>
  <c r="C105" i="21" s="1"/>
  <c r="J105" i="21" s="1"/>
  <c r="C67" i="21" a="1"/>
  <c r="C67" i="21" s="1"/>
  <c r="J67" i="21" s="1"/>
  <c r="C71" i="21" a="1"/>
  <c r="C71" i="21" s="1"/>
  <c r="J71" i="21" s="1"/>
  <c r="C129" i="21" a="1"/>
  <c r="C129" i="21" s="1"/>
  <c r="J129" i="21" s="1"/>
  <c r="C37" i="21" a="1"/>
  <c r="C37" i="21" s="1"/>
  <c r="J37" i="21" s="1"/>
  <c r="BC461" i="7" l="1"/>
  <c r="C14" i="21" a="1"/>
  <c r="C14" i="21" s="1"/>
  <c r="C59" i="21" a="1"/>
  <c r="C59" i="21" s="1"/>
  <c r="J86" i="21"/>
  <c r="B13" i="24"/>
  <c r="H37" i="21"/>
  <c r="F37" i="21"/>
  <c r="F124" i="21"/>
  <c r="H124" i="21"/>
  <c r="H11" i="21"/>
  <c r="F11" i="21"/>
  <c r="H143" i="21"/>
  <c r="F143" i="21"/>
  <c r="H157" i="21"/>
  <c r="F157" i="21"/>
  <c r="H146" i="21"/>
  <c r="F146" i="21"/>
  <c r="H34" i="21"/>
  <c r="F34" i="21"/>
  <c r="H43" i="21"/>
  <c r="F43" i="21"/>
  <c r="H33" i="21"/>
  <c r="F33" i="21"/>
  <c r="H46" i="21"/>
  <c r="F46" i="21"/>
  <c r="H13" i="21"/>
  <c r="F13" i="21"/>
  <c r="H47" i="21"/>
  <c r="F47" i="21"/>
  <c r="H50" i="21"/>
  <c r="F50" i="21"/>
  <c r="H77" i="21"/>
  <c r="F77" i="21"/>
  <c r="H21" i="21"/>
  <c r="F21" i="21"/>
  <c r="F72" i="21"/>
  <c r="H72" i="21"/>
  <c r="H66" i="21"/>
  <c r="F66" i="21"/>
  <c r="F84" i="21"/>
  <c r="H84" i="21"/>
  <c r="F136" i="21"/>
  <c r="H136" i="21"/>
  <c r="H54" i="21"/>
  <c r="F54" i="21"/>
  <c r="H26" i="21"/>
  <c r="F26" i="21"/>
  <c r="H53" i="21"/>
  <c r="F53" i="21"/>
  <c r="F24" i="21"/>
  <c r="H24" i="21"/>
  <c r="F144" i="21"/>
  <c r="H144" i="21"/>
  <c r="H127" i="21"/>
  <c r="F127" i="21"/>
  <c r="F120" i="21"/>
  <c r="H120" i="21"/>
  <c r="H55" i="21"/>
  <c r="F55" i="21"/>
  <c r="H30" i="21"/>
  <c r="F30" i="21"/>
  <c r="H90" i="21"/>
  <c r="F90" i="21"/>
  <c r="F40" i="21"/>
  <c r="H40" i="21"/>
  <c r="F92" i="21"/>
  <c r="H92" i="21"/>
  <c r="H25" i="21"/>
  <c r="F25" i="21"/>
  <c r="H153" i="21"/>
  <c r="F153" i="21"/>
  <c r="F20" i="21"/>
  <c r="H20" i="21"/>
  <c r="H67" i="21"/>
  <c r="F67" i="21"/>
  <c r="H86" i="21"/>
  <c r="F86" i="21"/>
  <c r="H138" i="21"/>
  <c r="F138" i="21"/>
  <c r="F140" i="21"/>
  <c r="H140" i="21"/>
  <c r="H129" i="21"/>
  <c r="F129" i="21"/>
  <c r="H45" i="21"/>
  <c r="F45" i="21"/>
  <c r="H39" i="21"/>
  <c r="F39" i="21"/>
  <c r="F68" i="21"/>
  <c r="H68" i="21"/>
  <c r="H91" i="21"/>
  <c r="F91" i="21"/>
  <c r="H35" i="21"/>
  <c r="F35" i="21"/>
  <c r="H89" i="21"/>
  <c r="F89" i="21"/>
  <c r="H19" i="21"/>
  <c r="F19" i="21"/>
  <c r="F64" i="21"/>
  <c r="H64" i="21"/>
  <c r="H99" i="21"/>
  <c r="F99" i="21"/>
  <c r="F100" i="21"/>
  <c r="H100" i="21"/>
  <c r="H63" i="21"/>
  <c r="F63" i="21"/>
  <c r="F88" i="21"/>
  <c r="H88" i="21"/>
  <c r="H139" i="21"/>
  <c r="F139" i="21"/>
  <c r="F128" i="21"/>
  <c r="H128" i="21"/>
  <c r="H137" i="21"/>
  <c r="F137" i="21"/>
  <c r="F132" i="21"/>
  <c r="H132" i="21"/>
  <c r="F96" i="21"/>
  <c r="H96" i="21"/>
  <c r="H41" i="21"/>
  <c r="F41" i="21"/>
  <c r="H119" i="21"/>
  <c r="F119" i="21"/>
  <c r="F116" i="21"/>
  <c r="H116" i="21"/>
  <c r="H78" i="21"/>
  <c r="F78" i="21"/>
  <c r="H150" i="21"/>
  <c r="F150" i="21"/>
  <c r="H42" i="21"/>
  <c r="F42" i="21"/>
  <c r="H81" i="21"/>
  <c r="F81" i="21"/>
  <c r="H142" i="21"/>
  <c r="F142" i="21"/>
  <c r="F156" i="21"/>
  <c r="H156" i="21"/>
  <c r="H93" i="21"/>
  <c r="F93" i="21"/>
  <c r="H151" i="21"/>
  <c r="F151" i="21"/>
  <c r="H145" i="21"/>
  <c r="F145" i="21"/>
  <c r="H82" i="21"/>
  <c r="F82" i="21"/>
  <c r="H109" i="21"/>
  <c r="F109" i="21"/>
  <c r="H103" i="21"/>
  <c r="F103" i="21"/>
  <c r="H79" i="21"/>
  <c r="F79" i="21"/>
  <c r="H49" i="21"/>
  <c r="F49" i="21"/>
  <c r="H38" i="21"/>
  <c r="F38" i="21"/>
  <c r="H141" i="21"/>
  <c r="F141" i="21"/>
  <c r="H105" i="21"/>
  <c r="F105" i="21"/>
  <c r="H71" i="21"/>
  <c r="F71" i="21"/>
  <c r="H57" i="21"/>
  <c r="F57" i="21"/>
  <c r="F28" i="21"/>
  <c r="H28" i="21"/>
  <c r="H110" i="21"/>
  <c r="F110" i="21"/>
  <c r="F44" i="21"/>
  <c r="H44" i="21"/>
  <c r="H29" i="21"/>
  <c r="F29" i="21"/>
  <c r="H102" i="21"/>
  <c r="F102" i="21"/>
  <c r="F76" i="21"/>
  <c r="H76" i="21"/>
  <c r="H117" i="21"/>
  <c r="F117" i="21"/>
  <c r="H126" i="21"/>
  <c r="F126" i="21"/>
  <c r="H65" i="21"/>
  <c r="F65" i="21"/>
  <c r="H125" i="21"/>
  <c r="F125" i="21"/>
  <c r="F108" i="21"/>
  <c r="H108" i="21"/>
  <c r="H83" i="21"/>
  <c r="F83" i="21"/>
  <c r="H158" i="21"/>
  <c r="F158" i="21"/>
  <c r="H94" i="21"/>
  <c r="F94" i="21"/>
  <c r="F152" i="21"/>
  <c r="H152" i="21"/>
  <c r="H62" i="21"/>
  <c r="F62" i="21"/>
  <c r="F12" i="21"/>
  <c r="H12" i="21"/>
  <c r="F148" i="21"/>
  <c r="H148" i="21"/>
  <c r="H22" i="21"/>
  <c r="F22" i="21"/>
  <c r="H69" i="21"/>
  <c r="F69" i="21"/>
  <c r="H115" i="21"/>
  <c r="F115" i="21"/>
  <c r="H147" i="21"/>
  <c r="F147" i="21"/>
  <c r="H61" i="21"/>
  <c r="F61" i="21"/>
  <c r="H106" i="21"/>
  <c r="F106" i="21"/>
  <c r="H154" i="21"/>
  <c r="F154" i="21"/>
  <c r="F60" i="21"/>
  <c r="H60" i="21"/>
  <c r="H27" i="21"/>
  <c r="F27" i="21"/>
  <c r="H134" i="21"/>
  <c r="F134" i="21"/>
  <c r="H10" i="21"/>
  <c r="F10" i="21"/>
  <c r="H58" i="21"/>
  <c r="F58" i="21"/>
  <c r="H18" i="21"/>
  <c r="F18" i="21"/>
  <c r="H159" i="21"/>
  <c r="F159" i="21"/>
  <c r="H95" i="21"/>
  <c r="F95" i="21"/>
  <c r="H73" i="21"/>
  <c r="F73" i="21"/>
  <c r="H98" i="21"/>
  <c r="F98" i="21"/>
  <c r="H135" i="21"/>
  <c r="F135" i="21"/>
  <c r="H70" i="21"/>
  <c r="F70" i="21"/>
  <c r="H149" i="21"/>
  <c r="F149" i="21"/>
  <c r="H15" i="21"/>
  <c r="F15" i="21"/>
  <c r="H75" i="21"/>
  <c r="F75" i="21"/>
  <c r="F52" i="21"/>
  <c r="H52" i="21"/>
  <c r="H155" i="21"/>
  <c r="F155" i="21"/>
  <c r="F56" i="21"/>
  <c r="H56" i="21"/>
  <c r="F36" i="21"/>
  <c r="H36" i="21"/>
  <c r="H111" i="21"/>
  <c r="F111" i="21"/>
  <c r="H51" i="21"/>
  <c r="F51" i="21"/>
  <c r="F80" i="21"/>
  <c r="H80" i="21"/>
  <c r="F48" i="21"/>
  <c r="H48" i="21"/>
  <c r="H9" i="21"/>
  <c r="F9" i="21"/>
  <c r="H113" i="21"/>
  <c r="F113" i="21"/>
  <c r="H121" i="21"/>
  <c r="F121" i="21"/>
  <c r="H74" i="21"/>
  <c r="F74" i="21"/>
  <c r="H17" i="21"/>
  <c r="F17" i="21"/>
  <c r="H130" i="21"/>
  <c r="F130" i="21"/>
  <c r="H97" i="21"/>
  <c r="F97" i="21"/>
  <c r="H85" i="21"/>
  <c r="F85" i="21"/>
  <c r="H123" i="21"/>
  <c r="F123" i="21"/>
  <c r="H118" i="21"/>
  <c r="F118" i="21"/>
  <c r="F160" i="21"/>
  <c r="H160" i="21"/>
  <c r="H114" i="21"/>
  <c r="F114" i="21"/>
  <c r="F16" i="21"/>
  <c r="H16" i="21"/>
  <c r="H31" i="21"/>
  <c r="F31" i="21"/>
  <c r="H23" i="21"/>
  <c r="F23" i="21"/>
  <c r="H107" i="21"/>
  <c r="F107" i="21"/>
  <c r="H87" i="21"/>
  <c r="F87" i="21"/>
  <c r="F32" i="21"/>
  <c r="H32" i="21"/>
  <c r="H101" i="21"/>
  <c r="F101" i="21"/>
  <c r="H131" i="21"/>
  <c r="F131" i="21"/>
  <c r="H122" i="21"/>
  <c r="F122" i="21"/>
  <c r="H133" i="21"/>
  <c r="F133" i="21"/>
  <c r="F104" i="21"/>
  <c r="H104" i="21"/>
  <c r="F112" i="21"/>
  <c r="H112" i="21"/>
  <c r="D86" i="21"/>
  <c r="E86" i="21"/>
  <c r="D71" i="21"/>
  <c r="E71" i="21"/>
  <c r="E57" i="21"/>
  <c r="D57" i="21"/>
  <c r="D28" i="21"/>
  <c r="E28" i="21"/>
  <c r="B12" i="24"/>
  <c r="E110" i="21"/>
  <c r="D110" i="21"/>
  <c r="E44" i="21"/>
  <c r="B7" i="24"/>
  <c r="D44" i="21"/>
  <c r="E29" i="21"/>
  <c r="D29" i="21"/>
  <c r="E102" i="21"/>
  <c r="D102" i="21"/>
  <c r="E76" i="21"/>
  <c r="D76" i="21"/>
  <c r="E117" i="21"/>
  <c r="D117" i="21"/>
  <c r="D126" i="21"/>
  <c r="E126" i="21"/>
  <c r="E65" i="21"/>
  <c r="D65" i="21"/>
  <c r="E63" i="21"/>
  <c r="D63" i="21"/>
  <c r="E88" i="21"/>
  <c r="D88" i="21"/>
  <c r="E139" i="21"/>
  <c r="D139" i="21"/>
  <c r="E128" i="21"/>
  <c r="D128" i="21"/>
  <c r="E137" i="21"/>
  <c r="D137" i="21"/>
  <c r="E132" i="21"/>
  <c r="D132" i="21"/>
  <c r="E96" i="21"/>
  <c r="D96" i="21"/>
  <c r="B5" i="24"/>
  <c r="D41" i="21"/>
  <c r="E41" i="21"/>
  <c r="E119" i="21"/>
  <c r="D119" i="21"/>
  <c r="E116" i="21"/>
  <c r="D116" i="21"/>
  <c r="D78" i="21"/>
  <c r="E78" i="21"/>
  <c r="E150" i="21"/>
  <c r="D150" i="21"/>
  <c r="B6" i="24"/>
  <c r="E42" i="21"/>
  <c r="D42" i="21"/>
  <c r="D81" i="21"/>
  <c r="E81" i="21"/>
  <c r="E142" i="21"/>
  <c r="D142" i="21"/>
  <c r="D156" i="21"/>
  <c r="E156" i="21"/>
  <c r="E93" i="21"/>
  <c r="D93" i="21"/>
  <c r="D151" i="21"/>
  <c r="E151" i="21"/>
  <c r="D145" i="21"/>
  <c r="E145" i="21"/>
  <c r="B9" i="24"/>
  <c r="D82" i="21"/>
  <c r="E82" i="21"/>
  <c r="D109" i="21"/>
  <c r="E109" i="21"/>
  <c r="E103" i="21"/>
  <c r="D103" i="21"/>
  <c r="D79" i="21"/>
  <c r="E79" i="21"/>
  <c r="E25" i="21"/>
  <c r="D25" i="21"/>
  <c r="D153" i="21"/>
  <c r="E153" i="21"/>
  <c r="D20" i="21"/>
  <c r="E20" i="21"/>
  <c r="E105" i="21"/>
  <c r="D105" i="21"/>
  <c r="D67" i="21"/>
  <c r="E67" i="21"/>
  <c r="E135" i="21"/>
  <c r="D135" i="21"/>
  <c r="E70" i="21"/>
  <c r="D70" i="21"/>
  <c r="E149" i="21"/>
  <c r="D149" i="21"/>
  <c r="E15" i="21"/>
  <c r="D15" i="21"/>
  <c r="E75" i="21"/>
  <c r="D75" i="21"/>
  <c r="E52" i="21"/>
  <c r="D52" i="21"/>
  <c r="D155" i="21"/>
  <c r="E155" i="21"/>
  <c r="E56" i="21"/>
  <c r="D56" i="21"/>
  <c r="D36" i="21"/>
  <c r="E36" i="21"/>
  <c r="D111" i="21"/>
  <c r="E111" i="21"/>
  <c r="E125" i="21"/>
  <c r="D125" i="21"/>
  <c r="E108" i="21"/>
  <c r="D108" i="21"/>
  <c r="E83" i="21"/>
  <c r="D83" i="21"/>
  <c r="B10" i="24"/>
  <c r="D158" i="21"/>
  <c r="E158" i="21"/>
  <c r="E94" i="21"/>
  <c r="D94" i="21"/>
  <c r="E152" i="21"/>
  <c r="D152" i="21"/>
  <c r="E62" i="21"/>
  <c r="D62" i="21"/>
  <c r="E12" i="21"/>
  <c r="D12" i="21"/>
  <c r="B2" i="24"/>
  <c r="D148" i="21"/>
  <c r="E148" i="21"/>
  <c r="D22" i="21"/>
  <c r="E22" i="21"/>
  <c r="D69" i="21"/>
  <c r="E69" i="21"/>
  <c r="E115" i="21"/>
  <c r="D115" i="21"/>
  <c r="E147" i="21"/>
  <c r="D147" i="21"/>
  <c r="D61" i="21"/>
  <c r="E61" i="21"/>
  <c r="D106" i="21"/>
  <c r="E106" i="21"/>
  <c r="E154" i="21"/>
  <c r="D154" i="21"/>
  <c r="D60" i="21"/>
  <c r="E60" i="21"/>
  <c r="E27" i="21"/>
  <c r="D27" i="21"/>
  <c r="B16" i="24"/>
  <c r="E134" i="21"/>
  <c r="D134" i="21"/>
  <c r="D10" i="21"/>
  <c r="E10" i="21"/>
  <c r="D58" i="21"/>
  <c r="E58" i="21"/>
  <c r="E18" i="21"/>
  <c r="D18" i="21"/>
  <c r="E159" i="21"/>
  <c r="D159" i="21"/>
  <c r="D49" i="21"/>
  <c r="E49" i="21"/>
  <c r="D38" i="21"/>
  <c r="E38" i="21"/>
  <c r="D141" i="21"/>
  <c r="E141" i="21"/>
  <c r="D37" i="21"/>
  <c r="E37" i="21"/>
  <c r="D124" i="21"/>
  <c r="E124" i="21"/>
  <c r="E138" i="21"/>
  <c r="D138" i="21"/>
  <c r="E11" i="21"/>
  <c r="D11" i="21"/>
  <c r="D140" i="21"/>
  <c r="E140" i="21"/>
  <c r="D143" i="21"/>
  <c r="E143" i="21"/>
  <c r="E157" i="21"/>
  <c r="D157" i="21"/>
  <c r="E146" i="21"/>
  <c r="D146" i="21"/>
  <c r="D34" i="21"/>
  <c r="E34" i="21"/>
  <c r="D51" i="21"/>
  <c r="E51" i="21"/>
  <c r="E80" i="21"/>
  <c r="D80" i="21"/>
  <c r="E48" i="21"/>
  <c r="D48" i="21"/>
  <c r="E9" i="21"/>
  <c r="D9" i="21"/>
  <c r="A2" i="24"/>
  <c r="E113" i="21"/>
  <c r="D113" i="21"/>
  <c r="D121" i="21"/>
  <c r="E121" i="21"/>
  <c r="E74" i="21"/>
  <c r="D74" i="21"/>
  <c r="B3" i="24"/>
  <c r="E3" i="24" s="1"/>
  <c r="D17" i="21"/>
  <c r="E17" i="21"/>
  <c r="E130" i="21"/>
  <c r="D130" i="21"/>
  <c r="E97" i="21"/>
  <c r="D97" i="21"/>
  <c r="B11" i="24"/>
  <c r="D85" i="21"/>
  <c r="E85" i="21"/>
  <c r="D123" i="21"/>
  <c r="E123" i="21"/>
  <c r="D118" i="21"/>
  <c r="E118" i="21"/>
  <c r="E160" i="21"/>
  <c r="D160" i="21"/>
  <c r="D114" i="21"/>
  <c r="E114" i="21"/>
  <c r="E16" i="21"/>
  <c r="D16" i="21"/>
  <c r="D31" i="21"/>
  <c r="E31" i="21"/>
  <c r="D23" i="21"/>
  <c r="E23" i="21"/>
  <c r="E107" i="21"/>
  <c r="D107" i="21"/>
  <c r="E87" i="21"/>
  <c r="D87" i="21"/>
  <c r="E32" i="21"/>
  <c r="D32" i="21"/>
  <c r="D101" i="21"/>
  <c r="E101" i="21"/>
  <c r="D131" i="21"/>
  <c r="B14" i="24"/>
  <c r="E14" i="24" s="1"/>
  <c r="E131" i="21"/>
  <c r="D122" i="21"/>
  <c r="E122" i="21"/>
  <c r="E95" i="21"/>
  <c r="D95" i="21"/>
  <c r="E73" i="21"/>
  <c r="D73" i="21"/>
  <c r="E98" i="21"/>
  <c r="D98" i="21"/>
  <c r="E129" i="21"/>
  <c r="D129" i="21"/>
  <c r="E45" i="21"/>
  <c r="D45" i="21"/>
  <c r="B4" i="24"/>
  <c r="E4" i="24" s="1"/>
  <c r="E39" i="21"/>
  <c r="D39" i="21"/>
  <c r="D68" i="21"/>
  <c r="E68" i="21"/>
  <c r="D91" i="21"/>
  <c r="E91" i="21"/>
  <c r="E35" i="21"/>
  <c r="D35" i="21"/>
  <c r="D89" i="21"/>
  <c r="E89" i="21"/>
  <c r="E19" i="21"/>
  <c r="D19" i="21"/>
  <c r="E64" i="21"/>
  <c r="D64" i="21"/>
  <c r="E99" i="21"/>
  <c r="D99" i="21"/>
  <c r="E100" i="21"/>
  <c r="D100" i="21"/>
  <c r="E43" i="21"/>
  <c r="D43" i="21"/>
  <c r="E33" i="21"/>
  <c r="D33" i="21"/>
  <c r="E46" i="21"/>
  <c r="D46" i="21"/>
  <c r="D13" i="21"/>
  <c r="E13" i="21"/>
  <c r="B8" i="24"/>
  <c r="E47" i="21"/>
  <c r="D47" i="21"/>
  <c r="E50" i="21"/>
  <c r="D50" i="21"/>
  <c r="E77" i="21"/>
  <c r="D77" i="21"/>
  <c r="E21" i="21"/>
  <c r="D21" i="21"/>
  <c r="D72" i="21"/>
  <c r="E72" i="21"/>
  <c r="E66" i="21"/>
  <c r="D66" i="21"/>
  <c r="E84" i="21"/>
  <c r="D84" i="21"/>
  <c r="E136" i="21"/>
  <c r="D136" i="21"/>
  <c r="D54" i="21"/>
  <c r="E54" i="21"/>
  <c r="D26" i="21"/>
  <c r="E26" i="21"/>
  <c r="D53" i="21"/>
  <c r="E53" i="21"/>
  <c r="D24" i="21"/>
  <c r="E24" i="21"/>
  <c r="D144" i="21"/>
  <c r="E144" i="21"/>
  <c r="D127" i="21"/>
  <c r="E127" i="21"/>
  <c r="D120" i="21"/>
  <c r="E120" i="21"/>
  <c r="D55" i="21"/>
  <c r="E55" i="21"/>
  <c r="D30" i="21"/>
  <c r="E30" i="21"/>
  <c r="E90" i="21"/>
  <c r="D90" i="21"/>
  <c r="D40" i="21"/>
  <c r="E40" i="21"/>
  <c r="D92" i="21"/>
  <c r="E92" i="21"/>
  <c r="E133" i="21"/>
  <c r="B15" i="24"/>
  <c r="D133" i="21"/>
  <c r="D104" i="21"/>
  <c r="E104" i="21"/>
  <c r="D112" i="21"/>
  <c r="E112" i="21"/>
  <c r="J59" i="21" l="1"/>
  <c r="H59" i="21"/>
  <c r="D59" i="21"/>
  <c r="F59" i="21"/>
  <c r="E59" i="21"/>
  <c r="J14" i="21"/>
  <c r="M15" i="21" s="1"/>
  <c r="H14" i="21"/>
  <c r="M7" i="21" s="1"/>
  <c r="F14" i="21"/>
  <c r="E14" i="21"/>
  <c r="D14" i="21"/>
  <c r="E15" i="24"/>
  <c r="E11" i="24"/>
  <c r="E7" i="24"/>
  <c r="E12" i="24"/>
  <c r="E8" i="24"/>
  <c r="E10" i="24"/>
  <c r="E6" i="24"/>
  <c r="E16" i="24"/>
  <c r="E9" i="24"/>
  <c r="E5" i="24"/>
  <c r="E2" i="24"/>
  <c r="E13" i="24"/>
  <c r="D13" i="24"/>
  <c r="C13" i="24"/>
  <c r="M6" i="21"/>
  <c r="C15" i="24"/>
  <c r="D15" i="24"/>
  <c r="C8" i="24"/>
  <c r="D8" i="24"/>
  <c r="C4" i="24"/>
  <c r="D4" i="24"/>
  <c r="D14" i="24"/>
  <c r="C14" i="24"/>
  <c r="C3" i="24"/>
  <c r="D3" i="24"/>
  <c r="A5" i="24"/>
  <c r="A7" i="24"/>
  <c r="A16" i="24"/>
  <c r="A4" i="24"/>
  <c r="A13" i="24"/>
  <c r="A6" i="24"/>
  <c r="C2" i="24"/>
  <c r="A15" i="24"/>
  <c r="A8" i="24"/>
  <c r="A11" i="24"/>
  <c r="D2" i="24"/>
  <c r="A10" i="24"/>
  <c r="A3" i="24"/>
  <c r="A12" i="24"/>
  <c r="A14" i="24"/>
  <c r="A9" i="24"/>
  <c r="D5" i="24"/>
  <c r="C5" i="24"/>
  <c r="C7" i="24"/>
  <c r="D7" i="24"/>
  <c r="D10" i="24"/>
  <c r="C10" i="24"/>
  <c r="C11" i="24"/>
  <c r="D11" i="24"/>
  <c r="D9" i="24"/>
  <c r="C9" i="24"/>
  <c r="D6" i="24"/>
  <c r="C6" i="24"/>
  <c r="C12" i="24"/>
  <c r="D12" i="24"/>
  <c r="C16" i="24"/>
  <c r="D16" i="24"/>
  <c r="O11" i="21" l="1"/>
  <c r="P11" i="21" s="1"/>
  <c r="O10" i="21"/>
  <c r="P10" i="21" s="1"/>
  <c r="O6" i="21"/>
  <c r="P6" i="21" s="1"/>
  <c r="O16" i="21"/>
  <c r="P16" i="21" s="1"/>
  <c r="O3" i="21"/>
  <c r="P3" i="21" s="1"/>
  <c r="O4" i="21"/>
  <c r="P4" i="21" s="1"/>
  <c r="O7" i="21"/>
  <c r="P7" i="21" s="1"/>
  <c r="O21" i="21"/>
  <c r="P21" i="21" s="1"/>
  <c r="O18" i="21"/>
  <c r="P18" i="21" s="1"/>
  <c r="O13" i="21"/>
  <c r="P13" i="21" s="1"/>
  <c r="O14" i="21"/>
  <c r="P14" i="21" s="1"/>
  <c r="O9" i="21"/>
  <c r="P9" i="21" s="1"/>
  <c r="O5" i="21"/>
  <c r="P5" i="21" s="1"/>
  <c r="O12" i="21"/>
  <c r="P12" i="21" s="1"/>
  <c r="O22" i="21"/>
  <c r="P22" i="21" s="1"/>
  <c r="O15" i="21"/>
  <c r="P15" i="21" s="1"/>
  <c r="O8" i="21"/>
  <c r="P8" i="21" s="1"/>
  <c r="O19" i="21"/>
  <c r="P19" i="21" s="1"/>
  <c r="O20" i="21"/>
  <c r="P20" i="21" s="1"/>
  <c r="O17" i="21"/>
  <c r="P17" i="21" s="1"/>
  <c r="M8" i="21"/>
  <c r="D18" i="24"/>
  <c r="M17" i="2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3F9740-4A48-4303-A5C1-82B38F8D652C}" keepAlive="1" name="Query - 2023/24" description="Connection to the '2023/24' query in the workbook." type="5" refreshedVersion="8" background="1" saveData="1">
    <dbPr connection="Provider=Microsoft.Mashup.OleDb.1;Data Source=$Workbook$;Location=2023/24;Extended Properties=&quot;&quot;" command="SELECT * FROM [2023/24]"/>
  </connection>
  <connection id="2" xr16:uid="{705087CF-AE82-40D9-B0AB-9E47488C63A2}" keepAlive="1" name="Query - 2024/25" description="Connection to the '2024/25' query in the workbook." type="5" refreshedVersion="8" background="1" saveData="1">
    <dbPr connection="Provider=Microsoft.Mashup.OleDb.1;Data Source=$Workbook$;Location=2024/25;Extended Properties=&quot;&quot;" command="SELECT * FROM [2024/25]"/>
  </connection>
  <connection id="3" xr16:uid="{3718E58D-143E-4846-B687-46FD81F35726}" keepAlive="1" name="Query - 2025/26" description="Connection to the '2025/26' query in the workbook." type="5" refreshedVersion="8" background="1" saveData="1">
    <dbPr connection="Provider=Microsoft.Mashup.OleDb.1;Data Source=$Workbook$;Location=2025/26;Extended Properties=&quot;&quot;" command="SELECT * FROM [2025/26]"/>
  </connection>
  <connection id="4" xr16:uid="{57D0EF62-4E1E-4ACA-9993-7A4A245D7361}" keepAlive="1" name="Query - AWAY_FIXTURES" description="Connection to the 'AWAY_FIXTURES' query in the workbook." type="5" refreshedVersion="8" background="1" saveData="1">
    <dbPr connection="Provider=Microsoft.Mashup.OleDb.1;Data Source=$Workbook$;Location=AWAY_FIXTURES;Extended Properties=&quot;&quot;" command="SELECT * FROM [AWAY_FIXTURES]"/>
  </connection>
  <connection id="5" xr16:uid="{FA8DE4A6-08D3-4498-AD84-7376F4C03A34}" keepAlive="1" name="Query - FPL_Raw_Data" description="Connection to the 'FPL_Raw_Data' query in the workbook." type="5" refreshedVersion="8" background="1" saveData="1">
    <dbPr connection="Provider=Microsoft.Mashup.OleDb.1;Data Source=$Workbook$;Location=FPL_Raw_Data;Extended Properties=&quot;&quot;" command="SELECT * FROM [FPL_Raw_Data]"/>
  </connection>
  <connection id="6" xr16:uid="{750FB462-C3A7-4CC3-B4D7-CEAB736463F4}" keepAlive="1" name="Query - Gameweek_Raw" description="Connection to the 'Gameweek_Raw' query in the workbook." type="5" refreshedVersion="8" background="1" saveData="1">
    <dbPr connection="Provider=Microsoft.Mashup.OleDb.1;Data Source=$Workbook$;Location=Gameweek_Raw;Extended Properties=&quot;&quot;" command="SELECT * FROM [Gameweek_Raw]"/>
  </connection>
  <connection id="7" xr16:uid="{EE302214-B791-4EA6-8980-76BBFA86AFC4}" keepAlive="1" name="Query - HOME_FIXTURES" description="Connection to the 'HOME_FIXTURES' query in the workbook." type="5" refreshedVersion="8" background="1" saveData="1">
    <dbPr connection="Provider=Microsoft.Mashup.OleDb.1;Data Source=$Workbook$;Location=HOME_FIXTURES;Extended Properties=&quot;&quot;" command="SELECT * FROM [HOME_FIXTURES]"/>
  </connection>
  <connection id="8" xr16:uid="{A0D7680B-CED3-4E0C-B0C9-F56F6B4FFBC2}" keepAlive="1" name="Query - Premier League 25/26 Most yellow cards" description="Connection to the 'Premier League 25/26 Most yellow cards' query in the workbook." type="5" refreshedVersion="0" background="1">
    <dbPr connection="Provider=Microsoft.Mashup.OleDb.1;Data Source=$Workbook$;Location=&quot;Premier League 25/26 Most yellow cards&quot;;Extended Properties=&quot;&quot;" command="SELECT * FROM [Premier League 25/26 Most yellow cards]"/>
  </connection>
  <connection id="9" xr16:uid="{68E72D73-5D1D-40D7-AEF4-7759C0EF1083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10" xr16:uid="{B22032CD-CBFE-4068-A288-2572CB40F5B5}" keepAlive="1" name="Query - RAW_FIXTURES" description="Connection to the 'RAW_FIXTURES' query in the workbook." type="5" refreshedVersion="8" background="1" saveData="1">
    <dbPr connection="Provider=Microsoft.Mashup.OleDb.1;Data Source=$Workbook$;Location=RAW_FIXTURES;Extended Properties=&quot;&quot;" command="SELECT * FROM [RAW_FIXTURES]"/>
  </connection>
  <connection id="11" xr16:uid="{5DE781B9-D6A1-431E-B831-320838F353CB}" keepAlive="1" name="Query - Raw_Teams" description="Connection to the 'Raw_Teams' query in the workbook." type="5" refreshedVersion="8" background="1" saveData="1">
    <dbPr connection="Provider=Microsoft.Mashup.OleDb.1;Data Source=$Workbook$;Location=Raw_Teams;Extended Properties=&quot;&quot;" command="SELECT * FROM [Raw_Teams]"/>
  </connection>
  <connection id="12" xr16:uid="{051D7924-5933-48CC-87E8-420B25BEEC99}" keepAlive="1" name="Query - TEAM_FIXTURES" description="Connection to the 'TEAM_FIXTURES' query in the workbook." type="5" refreshedVersion="8" background="1" saveData="1">
    <dbPr connection="Provider=Microsoft.Mashup.OleDb.1;Data Source=$Workbook$;Location=TEAM_FIXTURES;Extended Properties=&quot;&quot;" command="SELECT * FROM [TEAM_FIXTURES]"/>
  </connection>
</connections>
</file>

<file path=xl/sharedStrings.xml><?xml version="1.0" encoding="utf-8"?>
<sst xmlns="http://schemas.openxmlformats.org/spreadsheetml/2006/main" count="11403" uniqueCount="2844">
  <si>
    <t>Price</t>
  </si>
  <si>
    <t>Goals</t>
  </si>
  <si>
    <t>BPS</t>
  </si>
  <si>
    <t>Arsenal</t>
  </si>
  <si>
    <t>first_name</t>
  </si>
  <si>
    <t>now_cost</t>
  </si>
  <si>
    <t>points_per_game</t>
  </si>
  <si>
    <t>second_name</t>
  </si>
  <si>
    <t>team</t>
  </si>
  <si>
    <t>total_points</t>
  </si>
  <si>
    <t>minutes</t>
  </si>
  <si>
    <t>goals_scored</t>
  </si>
  <si>
    <t>assists</t>
  </si>
  <si>
    <t>clean_sheets</t>
  </si>
  <si>
    <t>goals_conceded</t>
  </si>
  <si>
    <t>bonus</t>
  </si>
  <si>
    <t>bps</t>
  </si>
  <si>
    <t>expected_goals</t>
  </si>
  <si>
    <t>expected_assists</t>
  </si>
  <si>
    <t>expected_goals_conceded</t>
  </si>
  <si>
    <t>David</t>
  </si>
  <si>
    <t>Raya Martín</t>
  </si>
  <si>
    <t>Kepa</t>
  </si>
  <si>
    <t>Arrizabalaga Revuelta</t>
  </si>
  <si>
    <t>Illan</t>
  </si>
  <si>
    <t>Meslier</t>
  </si>
  <si>
    <t>Gabriel</t>
  </si>
  <si>
    <t>dos Santos Magalhães</t>
  </si>
  <si>
    <t>Jurriën</t>
  </si>
  <si>
    <t>Timber</t>
  </si>
  <si>
    <t>William</t>
  </si>
  <si>
    <t>Saliba</t>
  </si>
  <si>
    <t>Myles</t>
  </si>
  <si>
    <t>Lewis-Skelly</t>
  </si>
  <si>
    <t>Riccardo</t>
  </si>
  <si>
    <t>Calafiori</t>
  </si>
  <si>
    <t>Piero</t>
  </si>
  <si>
    <t>Hincapié</t>
  </si>
  <si>
    <t>Benjamin</t>
  </si>
  <si>
    <t>White</t>
  </si>
  <si>
    <t>Cristhian</t>
  </si>
  <si>
    <t>Mosquera</t>
  </si>
  <si>
    <t>Bukayo</t>
  </si>
  <si>
    <t>Saka</t>
  </si>
  <si>
    <t>Declan</t>
  </si>
  <si>
    <t>Rice</t>
  </si>
  <si>
    <t>Eberechi</t>
  </si>
  <si>
    <t>Eze</t>
  </si>
  <si>
    <t>Martin</t>
  </si>
  <si>
    <t>Ødegaard</t>
  </si>
  <si>
    <t>Noni</t>
  </si>
  <si>
    <t>Madueke</t>
  </si>
  <si>
    <t>Mikel</t>
  </si>
  <si>
    <t>Merino Zazón</t>
  </si>
  <si>
    <t>Martinelli Silva</t>
  </si>
  <si>
    <t>Martín</t>
  </si>
  <si>
    <t>Zubimendi Ibáñez</t>
  </si>
  <si>
    <t>Max</t>
  </si>
  <si>
    <t>Dowman</t>
  </si>
  <si>
    <t>Ethan</t>
  </si>
  <si>
    <t>Nwaneri</t>
  </si>
  <si>
    <t>Fábio</t>
  </si>
  <si>
    <t>Ferreira Vieira</t>
  </si>
  <si>
    <t>Reiss</t>
  </si>
  <si>
    <t>Nelson</t>
  </si>
  <si>
    <t>Viktor</t>
  </si>
  <si>
    <t>Gyökeres</t>
  </si>
  <si>
    <t>Kai</t>
  </si>
  <si>
    <t>Havertz</t>
  </si>
  <si>
    <t>Fernando de Jesus</t>
  </si>
  <si>
    <t>Bruno</t>
  </si>
  <si>
    <t>Guimarães Rodriguez Moura</t>
  </si>
  <si>
    <t>Christos</t>
  </si>
  <si>
    <t>Tzolis</t>
  </si>
  <si>
    <t>Emiliano</t>
  </si>
  <si>
    <t>Martínez Romero</t>
  </si>
  <si>
    <t>Marco</t>
  </si>
  <si>
    <t>Bizot</t>
  </si>
  <si>
    <t>Lucas</t>
  </si>
  <si>
    <t>Digne</t>
  </si>
  <si>
    <t>Ezri</t>
  </si>
  <si>
    <t>Konsa Ngoyo</t>
  </si>
  <si>
    <t>Matty</t>
  </si>
  <si>
    <t>Cash</t>
  </si>
  <si>
    <t>Tyrone</t>
  </si>
  <si>
    <t>Mings</t>
  </si>
  <si>
    <t>Pau</t>
  </si>
  <si>
    <t>Torres</t>
  </si>
  <si>
    <t>Lamare</t>
  </si>
  <si>
    <t>Bogarde</t>
  </si>
  <si>
    <t>Ian</t>
  </si>
  <si>
    <t>Maatsen</t>
  </si>
  <si>
    <t>Victor</t>
  </si>
  <si>
    <t>Lindelöf</t>
  </si>
  <si>
    <t>Andrés</t>
  </si>
  <si>
    <t>García</t>
  </si>
  <si>
    <t>Kosta</t>
  </si>
  <si>
    <t>Nedeljkovic</t>
  </si>
  <si>
    <t>Buendía Stati</t>
  </si>
  <si>
    <t>Leon</t>
  </si>
  <si>
    <t>Bailey</t>
  </si>
  <si>
    <t>John</t>
  </si>
  <si>
    <t>McGinn</t>
  </si>
  <si>
    <t>Ross</t>
  </si>
  <si>
    <t>Barkley</t>
  </si>
  <si>
    <t>Boubacar</t>
  </si>
  <si>
    <t>Kamara</t>
  </si>
  <si>
    <t>Amadou</t>
  </si>
  <si>
    <t>Onana</t>
  </si>
  <si>
    <t>Samuel</t>
  </si>
  <si>
    <t>Iling-Junior</t>
  </si>
  <si>
    <t>Bradley</t>
  </si>
  <si>
    <t>Burrowes</t>
  </si>
  <si>
    <t>George</t>
  </si>
  <si>
    <t>Hemmings</t>
  </si>
  <si>
    <t>Alysson Edward Franco</t>
  </si>
  <si>
    <t>da Rocha dos Santos</t>
  </si>
  <si>
    <t>Johan</t>
  </si>
  <si>
    <t>Manzambi</t>
  </si>
  <si>
    <t>Joao</t>
  </si>
  <si>
    <t>Gomes</t>
  </si>
  <si>
    <t>Ollie</t>
  </si>
  <si>
    <t>Watkins</t>
  </si>
  <si>
    <t>Tammy</t>
  </si>
  <si>
    <t>Abraham</t>
  </si>
  <si>
    <t>Alejandro</t>
  </si>
  <si>
    <t>Garnacho Ferreyra</t>
  </si>
  <si>
    <t>Brian</t>
  </si>
  <si>
    <t>Madjo</t>
  </si>
  <si>
    <t>Đorđe</t>
  </si>
  <si>
    <t>Petrović</t>
  </si>
  <si>
    <t>Fraser</t>
  </si>
  <si>
    <t>Forster</t>
  </si>
  <si>
    <t>Will</t>
  </si>
  <si>
    <t>Dennis</t>
  </si>
  <si>
    <t>James</t>
  </si>
  <si>
    <t>Hill</t>
  </si>
  <si>
    <t>Adrien</t>
  </si>
  <si>
    <t>Truffert</t>
  </si>
  <si>
    <t>Bafodé</t>
  </si>
  <si>
    <t>Diakité</t>
  </si>
  <si>
    <t>Veljko</t>
  </si>
  <si>
    <t>Milosavljevic</t>
  </si>
  <si>
    <t>Adam</t>
  </si>
  <si>
    <t>Smith</t>
  </si>
  <si>
    <t>Julián</t>
  </si>
  <si>
    <t>Araujo Zúñiga</t>
  </si>
  <si>
    <t>Julio</t>
  </si>
  <si>
    <t>Soler Barreto</t>
  </si>
  <si>
    <t>Rayan Vitor</t>
  </si>
  <si>
    <t>Simplício Rocha</t>
  </si>
  <si>
    <t>Marcus</t>
  </si>
  <si>
    <t>Tavernier</t>
  </si>
  <si>
    <t>Alex</t>
  </si>
  <si>
    <t>Scott</t>
  </si>
  <si>
    <t>Justin</t>
  </si>
  <si>
    <t>Kluivert</t>
  </si>
  <si>
    <t>Lewis</t>
  </si>
  <si>
    <t>Cook</t>
  </si>
  <si>
    <t>Ben</t>
  </si>
  <si>
    <t>Gannon-Doak</t>
  </si>
  <si>
    <t>Tyler</t>
  </si>
  <si>
    <t>Adams</t>
  </si>
  <si>
    <t>Brooks</t>
  </si>
  <si>
    <t>Ryan</t>
  </si>
  <si>
    <t>Christie</t>
  </si>
  <si>
    <t>Tóth</t>
  </si>
  <si>
    <t>Amine</t>
  </si>
  <si>
    <t>Adli</t>
  </si>
  <si>
    <t>Junior</t>
  </si>
  <si>
    <t>Kroupi</t>
  </si>
  <si>
    <t>Francisco Evanilson</t>
  </si>
  <si>
    <t>de Lima Barbosa</t>
  </si>
  <si>
    <t>Enes</t>
  </si>
  <si>
    <t>Ünal</t>
  </si>
  <si>
    <t>Álvaro</t>
  </si>
  <si>
    <t>Rodríguez</t>
  </si>
  <si>
    <t>António João</t>
  </si>
  <si>
    <t>Pereira de Albuquerque Tavares da Silva</t>
  </si>
  <si>
    <t>Juanlu</t>
  </si>
  <si>
    <t>Sánchez</t>
  </si>
  <si>
    <t>Caoimhín</t>
  </si>
  <si>
    <t>Kelleher</t>
  </si>
  <si>
    <t>Hákon Rafn</t>
  </si>
  <si>
    <t>Valdimarsson</t>
  </si>
  <si>
    <t>Nathan</t>
  </si>
  <si>
    <t>Collins</t>
  </si>
  <si>
    <t>Sepp</t>
  </si>
  <si>
    <t>van den Berg</t>
  </si>
  <si>
    <t>Keane</t>
  </si>
  <si>
    <t>Lewis-Potter</t>
  </si>
  <si>
    <t>Kristoffer</t>
  </si>
  <si>
    <t>Ajer</t>
  </si>
  <si>
    <t>Michael</t>
  </si>
  <si>
    <t>Kayode</t>
  </si>
  <si>
    <t>Rico</t>
  </si>
  <si>
    <t>Henry</t>
  </si>
  <si>
    <t>Aaron</t>
  </si>
  <si>
    <t>Hickey</t>
  </si>
  <si>
    <t>Pinnock</t>
  </si>
  <si>
    <t>Kim</t>
  </si>
  <si>
    <t>Ji-soo</t>
  </si>
  <si>
    <t>Jannik</t>
  </si>
  <si>
    <t>Schuster</t>
  </si>
  <si>
    <t>Kevin</t>
  </si>
  <si>
    <t>Schade</t>
  </si>
  <si>
    <t>Dango</t>
  </si>
  <si>
    <t>Ouattara</t>
  </si>
  <si>
    <t>Mikkel</t>
  </si>
  <si>
    <t>Damsgaard</t>
  </si>
  <si>
    <t>Mathias</t>
  </si>
  <si>
    <t>Jensen</t>
  </si>
  <si>
    <t>Vitaly</t>
  </si>
  <si>
    <t>Janelt</t>
  </si>
  <si>
    <t>Antoni</t>
  </si>
  <si>
    <t>Milambo</t>
  </si>
  <si>
    <t>Freitas Gouveia Carvalho</t>
  </si>
  <si>
    <t>Yehor</t>
  </si>
  <si>
    <t>Yarmoliuk</t>
  </si>
  <si>
    <t>Josh</t>
  </si>
  <si>
    <t>Dasilva</t>
  </si>
  <si>
    <t>Jaidon</t>
  </si>
  <si>
    <t>Anthony</t>
  </si>
  <si>
    <t>Igor Thiago</t>
  </si>
  <si>
    <t>Nascimento Rodrigues</t>
  </si>
  <si>
    <t>Kaye</t>
  </si>
  <si>
    <t>Furo</t>
  </si>
  <si>
    <t>Callum</t>
  </si>
  <si>
    <t>Wilson</t>
  </si>
  <si>
    <t>Mamadou</t>
  </si>
  <si>
    <t>Sangaré</t>
  </si>
  <si>
    <t>Bart</t>
  </si>
  <si>
    <t>Verbruggen</t>
  </si>
  <si>
    <t>Jason</t>
  </si>
  <si>
    <t>Steele</t>
  </si>
  <si>
    <t>Ferdi</t>
  </si>
  <si>
    <t>Kadıoğlu</t>
  </si>
  <si>
    <t>Olivier</t>
  </si>
  <si>
    <t>Boscagli</t>
  </si>
  <si>
    <t>Maxim</t>
  </si>
  <si>
    <t>De Cuyper</t>
  </si>
  <si>
    <t>Dunk</t>
  </si>
  <si>
    <t>Diego</t>
  </si>
  <si>
    <t>Coppola</t>
  </si>
  <si>
    <t>Igor Julio</t>
  </si>
  <si>
    <t>dos Santos de Paulo</t>
  </si>
  <si>
    <t>João Pedro</t>
  </si>
  <si>
    <t>Loureiro da Costa</t>
  </si>
  <si>
    <t>Svoboda</t>
  </si>
  <si>
    <t>Mitoma</t>
  </si>
  <si>
    <t>Kaoru</t>
  </si>
  <si>
    <t>Yankuba</t>
  </si>
  <si>
    <t>Minteh</t>
  </si>
  <si>
    <t>Jack</t>
  </si>
  <si>
    <t>Hinshelwood</t>
  </si>
  <si>
    <t>Pascal</t>
  </si>
  <si>
    <t>Groß</t>
  </si>
  <si>
    <t>Georginio</t>
  </si>
  <si>
    <t>Rutter</t>
  </si>
  <si>
    <t>Matt</t>
  </si>
  <si>
    <t>O'Riley</t>
  </si>
  <si>
    <t>Gómez Amarilla</t>
  </si>
  <si>
    <t>Facundo</t>
  </si>
  <si>
    <t>Buonanotte</t>
  </si>
  <si>
    <t>Yasin</t>
  </si>
  <si>
    <t>Ayari</t>
  </si>
  <si>
    <t>Mats</t>
  </si>
  <si>
    <t>Wieffer</t>
  </si>
  <si>
    <t>Carlos</t>
  </si>
  <si>
    <t>Baleba</t>
  </si>
  <si>
    <t>Harry</t>
  </si>
  <si>
    <t>Howell</t>
  </si>
  <si>
    <t>Tom</t>
  </si>
  <si>
    <t>Watson</t>
  </si>
  <si>
    <t>Nehemiah</t>
  </si>
  <si>
    <t>Oriola</t>
  </si>
  <si>
    <t>Zadok</t>
  </si>
  <si>
    <t>Yohanna</t>
  </si>
  <si>
    <t>Stefanos</t>
  </si>
  <si>
    <t>Tzimas</t>
  </si>
  <si>
    <t>Charalampos</t>
  </si>
  <si>
    <t>Kostoulas</t>
  </si>
  <si>
    <t>Evan</t>
  </si>
  <si>
    <t>Ferguson</t>
  </si>
  <si>
    <t>Struijk</t>
  </si>
  <si>
    <t>Luka</t>
  </si>
  <si>
    <t>Vušković</t>
  </si>
  <si>
    <t>Morgan</t>
  </si>
  <si>
    <t>Rogers</t>
  </si>
  <si>
    <t>Jordan</t>
  </si>
  <si>
    <t>Henderson</t>
  </si>
  <si>
    <t>Danny</t>
  </si>
  <si>
    <t>Welbeck</t>
  </si>
  <si>
    <t>Robert</t>
  </si>
  <si>
    <t>Lynch Sánchez</t>
  </si>
  <si>
    <t>Filip</t>
  </si>
  <si>
    <t>Jörgensen</t>
  </si>
  <si>
    <t>Reece</t>
  </si>
  <si>
    <t>Trevoh</t>
  </si>
  <si>
    <t>Chalobah</t>
  </si>
  <si>
    <t>Malo</t>
  </si>
  <si>
    <t>Gusto</t>
  </si>
  <si>
    <t>Wesley</t>
  </si>
  <si>
    <t>Fofana</t>
  </si>
  <si>
    <t>Benoît</t>
  </si>
  <si>
    <t>Badiashile Mukinayi</t>
  </si>
  <si>
    <t>Tosin</t>
  </si>
  <si>
    <t>Adarabioyo</t>
  </si>
  <si>
    <t>Jorrel</t>
  </si>
  <si>
    <t>Hato</t>
  </si>
  <si>
    <t>Levi</t>
  </si>
  <si>
    <t>Samuels Colwill</t>
  </si>
  <si>
    <t>Sarr</t>
  </si>
  <si>
    <t>Acheampong</t>
  </si>
  <si>
    <t>Palestra</t>
  </si>
  <si>
    <t>Axel</t>
  </si>
  <si>
    <t>Disasi</t>
  </si>
  <si>
    <t>Cole</t>
  </si>
  <si>
    <t>Palmer</t>
  </si>
  <si>
    <t>Enzo</t>
  </si>
  <si>
    <t>Fernández</t>
  </si>
  <si>
    <t>Pedro</t>
  </si>
  <si>
    <t>Lomba Neto</t>
  </si>
  <si>
    <t>Estêvão</t>
  </si>
  <si>
    <t>Almeida de Oliveira Gonçalves</t>
  </si>
  <si>
    <t>Jamie</t>
  </si>
  <si>
    <t>Bynoe-Gittens</t>
  </si>
  <si>
    <t>Moisés</t>
  </si>
  <si>
    <t>Caicedo Corozo</t>
  </si>
  <si>
    <t>Roméo</t>
  </si>
  <si>
    <t>Lavia</t>
  </si>
  <si>
    <t>Dário</t>
  </si>
  <si>
    <t>Luís Essugo</t>
  </si>
  <si>
    <t>Geovany</t>
  </si>
  <si>
    <t>Quenda</t>
  </si>
  <si>
    <t>Junqueira de Jesus</t>
  </si>
  <si>
    <t>Nicolas</t>
  </si>
  <si>
    <t>Jackson</t>
  </si>
  <si>
    <t>Liam</t>
  </si>
  <si>
    <t>Delap</t>
  </si>
  <si>
    <t>Marc</t>
  </si>
  <si>
    <t>Guiu Paz</t>
  </si>
  <si>
    <t>Shumaira</t>
  </si>
  <si>
    <t>Mheuka</t>
  </si>
  <si>
    <t>Emmanuel</t>
  </si>
  <si>
    <t>Emegha</t>
  </si>
  <si>
    <t>Maxence</t>
  </si>
  <si>
    <t>Lacroix</t>
  </si>
  <si>
    <t>Mike</t>
  </si>
  <si>
    <t>Penders</t>
  </si>
  <si>
    <t>Anselmino</t>
  </si>
  <si>
    <t>Valentín</t>
  </si>
  <si>
    <t>Barco</t>
  </si>
  <si>
    <t>Mykhailo</t>
  </si>
  <si>
    <t>Mudryk</t>
  </si>
  <si>
    <t>Pep</t>
  </si>
  <si>
    <t>Chavarría</t>
  </si>
  <si>
    <t>Frank</t>
  </si>
  <si>
    <t>Onyeka</t>
  </si>
  <si>
    <t>Carl</t>
  </si>
  <si>
    <t>Rushworth</t>
  </si>
  <si>
    <t>Oliver</t>
  </si>
  <si>
    <t>Dovin</t>
  </si>
  <si>
    <t>Bobby</t>
  </si>
  <si>
    <t>Thomas</t>
  </si>
  <si>
    <t>Kitching</t>
  </si>
  <si>
    <t>Milan</t>
  </si>
  <si>
    <t>van Ewijk</t>
  </si>
  <si>
    <t>Jay</t>
  </si>
  <si>
    <t>Kaine</t>
  </si>
  <si>
    <t>Kesler-Hayden</t>
  </si>
  <si>
    <t>Jake</t>
  </si>
  <si>
    <t>Bidwell</t>
  </si>
  <si>
    <t>Joel</t>
  </si>
  <si>
    <t>Latibeaudiere</t>
  </si>
  <si>
    <t>Luke</t>
  </si>
  <si>
    <t>Woolfenden</t>
  </si>
  <si>
    <t>Miguel</t>
  </si>
  <si>
    <t>Brau</t>
  </si>
  <si>
    <t>Aurèle</t>
  </si>
  <si>
    <t>Amenda</t>
  </si>
  <si>
    <t>Rudoni</t>
  </si>
  <si>
    <t>Grimes</t>
  </si>
  <si>
    <t>Tatsuhiro</t>
  </si>
  <si>
    <t>Sakamoto</t>
  </si>
  <si>
    <t>Ephron</t>
  </si>
  <si>
    <t>Mason-Clark</t>
  </si>
  <si>
    <t>Eccles</t>
  </si>
  <si>
    <t>Torp</t>
  </si>
  <si>
    <t>Shepherd</t>
  </si>
  <si>
    <t>Loum</t>
  </si>
  <si>
    <t>Tchaouna</t>
  </si>
  <si>
    <t>Raphael</t>
  </si>
  <si>
    <t>Borges Rodrigues</t>
  </si>
  <si>
    <t>Andrews</t>
  </si>
  <si>
    <t>Haji</t>
  </si>
  <si>
    <t>Wright</t>
  </si>
  <si>
    <t>Brandon</t>
  </si>
  <si>
    <t>Thomas-Asante</t>
  </si>
  <si>
    <t>Ellis</t>
  </si>
  <si>
    <t>Simms</t>
  </si>
  <si>
    <t>Jahnoah</t>
  </si>
  <si>
    <t>Markelo</t>
  </si>
  <si>
    <t>Norman</t>
  </si>
  <si>
    <t>Bassette</t>
  </si>
  <si>
    <t>Taiwo</t>
  </si>
  <si>
    <t>Awoniyi</t>
  </si>
  <si>
    <t>Caleb</t>
  </si>
  <si>
    <t>Yirenkyi</t>
  </si>
  <si>
    <t>Gustavo</t>
  </si>
  <si>
    <t>Hamer</t>
  </si>
  <si>
    <t>Evann</t>
  </si>
  <si>
    <t>Guessand</t>
  </si>
  <si>
    <t>Dean</t>
  </si>
  <si>
    <t>Walter</t>
  </si>
  <si>
    <t>Benítez</t>
  </si>
  <si>
    <t>Daniel</t>
  </si>
  <si>
    <t>Muñoz Mejía</t>
  </si>
  <si>
    <t>Chris</t>
  </si>
  <si>
    <t>Richards</t>
  </si>
  <si>
    <t>Jaydee</t>
  </si>
  <si>
    <t>Canvot</t>
  </si>
  <si>
    <t>Tyrick</t>
  </si>
  <si>
    <t>Mitchell</t>
  </si>
  <si>
    <t>Borna</t>
  </si>
  <si>
    <t>Sosa</t>
  </si>
  <si>
    <t>Chadi</t>
  </si>
  <si>
    <t>Riad Dnanou</t>
  </si>
  <si>
    <t>Oscar</t>
  </si>
  <si>
    <t>Mingueza</t>
  </si>
  <si>
    <t>Ismaïla</t>
  </si>
  <si>
    <t>Wharton</t>
  </si>
  <si>
    <t>Yéremy</t>
  </si>
  <si>
    <t>Pino Santos</t>
  </si>
  <si>
    <t>Hughes</t>
  </si>
  <si>
    <t>Jefferson</t>
  </si>
  <si>
    <t>Lerma Solís</t>
  </si>
  <si>
    <t>Daichi</t>
  </si>
  <si>
    <t>Kamada</t>
  </si>
  <si>
    <t>Devenny</t>
  </si>
  <si>
    <t>Romain</t>
  </si>
  <si>
    <t>Esse</t>
  </si>
  <si>
    <t>Matheus</t>
  </si>
  <si>
    <t>França de Oliveira</t>
  </si>
  <si>
    <t>Cheick</t>
  </si>
  <si>
    <t>Doucouré</t>
  </si>
  <si>
    <t>Jesurun</t>
  </si>
  <si>
    <t>Rak-Sakyi</t>
  </si>
  <si>
    <t>Rio</t>
  </si>
  <si>
    <t>Cardines</t>
  </si>
  <si>
    <t>Joél</t>
  </si>
  <si>
    <t>Drakes-Thomas</t>
  </si>
  <si>
    <t>Jørgen</t>
  </si>
  <si>
    <t>Strand Larsen</t>
  </si>
  <si>
    <t>Jean-Philippe</t>
  </si>
  <si>
    <t>Mateta</t>
  </si>
  <si>
    <t>Eddie</t>
  </si>
  <si>
    <t>Nketiah</t>
  </si>
  <si>
    <t>Christantus</t>
  </si>
  <si>
    <t>Uche</t>
  </si>
  <si>
    <t>Dwight</t>
  </si>
  <si>
    <t>McNeil</t>
  </si>
  <si>
    <t>Remi</t>
  </si>
  <si>
    <t>Matthews</t>
  </si>
  <si>
    <t>Takehiro</t>
  </si>
  <si>
    <t>Tomiyasu</t>
  </si>
  <si>
    <t>Anan</t>
  </si>
  <si>
    <t>Khalaili</t>
  </si>
  <si>
    <t>Christian</t>
  </si>
  <si>
    <t>Nørgaard</t>
  </si>
  <si>
    <t>Brennan</t>
  </si>
  <si>
    <t>Johnson</t>
  </si>
  <si>
    <t>Pickford</t>
  </si>
  <si>
    <t>Mark</t>
  </si>
  <si>
    <t>Travers</t>
  </si>
  <si>
    <t>King</t>
  </si>
  <si>
    <t>Tarkowski</t>
  </si>
  <si>
    <t>Jarrad</t>
  </si>
  <si>
    <t>Branthwaite</t>
  </si>
  <si>
    <t>O'Brien</t>
  </si>
  <si>
    <t>Vitalii</t>
  </si>
  <si>
    <t>Mykolenko</t>
  </si>
  <si>
    <t>Patterson</t>
  </si>
  <si>
    <t>Aznou</t>
  </si>
  <si>
    <t>Kiernan</t>
  </si>
  <si>
    <t>Dewsbury-Hall</t>
  </si>
  <si>
    <t>Iliman</t>
  </si>
  <si>
    <t>Ndiaye</t>
  </si>
  <si>
    <t>Garner</t>
  </si>
  <si>
    <t>Tim</t>
  </si>
  <si>
    <t>Iroegbunam</t>
  </si>
  <si>
    <t>Tyrique</t>
  </si>
  <si>
    <t>Alcaraz Durán</t>
  </si>
  <si>
    <t>Harrison</t>
  </si>
  <si>
    <t>Armstrong</t>
  </si>
  <si>
    <t>Dibling</t>
  </si>
  <si>
    <t>Merlin</t>
  </si>
  <si>
    <t>Röhl</t>
  </si>
  <si>
    <t>Hayden</t>
  </si>
  <si>
    <t>Hackney</t>
  </si>
  <si>
    <t>Norberto Bercique</t>
  </si>
  <si>
    <t>Gomes Betuncal</t>
  </si>
  <si>
    <t>Thierno</t>
  </si>
  <si>
    <t>Barry</t>
  </si>
  <si>
    <t>Bernd</t>
  </si>
  <si>
    <t>Leno</t>
  </si>
  <si>
    <t>Lecomte</t>
  </si>
  <si>
    <t>Alfie</t>
  </si>
  <si>
    <t>McNally</t>
  </si>
  <si>
    <t>Joachim</t>
  </si>
  <si>
    <t>Andersen</t>
  </si>
  <si>
    <t>Antonee</t>
  </si>
  <si>
    <t>Robinson</t>
  </si>
  <si>
    <t>Jorge</t>
  </si>
  <si>
    <t>Cuenca Barreno</t>
  </si>
  <si>
    <t>Kenny</t>
  </si>
  <si>
    <t>Tete</t>
  </si>
  <si>
    <t>Calvin</t>
  </si>
  <si>
    <t>Bassey</t>
  </si>
  <si>
    <t>Timothy</t>
  </si>
  <si>
    <t>Castagne</t>
  </si>
  <si>
    <t>Iwobi</t>
  </si>
  <si>
    <t>Emile</t>
  </si>
  <si>
    <t>Smith Rowe</t>
  </si>
  <si>
    <t>Santos Lopes de Macedo</t>
  </si>
  <si>
    <t>Bobb</t>
  </si>
  <si>
    <t>Sander</t>
  </si>
  <si>
    <t>Berge</t>
  </si>
  <si>
    <t>Cairney</t>
  </si>
  <si>
    <t>Sessegnon</t>
  </si>
  <si>
    <t>Reed</t>
  </si>
  <si>
    <t>Rodrigo</t>
  </si>
  <si>
    <t>Muniz Carvalho</t>
  </si>
  <si>
    <t>Jonah</t>
  </si>
  <si>
    <t>Kusi-Asare</t>
  </si>
  <si>
    <t>Gonzalo</t>
  </si>
  <si>
    <t>César</t>
  </si>
  <si>
    <t>Palacios</t>
  </si>
  <si>
    <t>Shea</t>
  </si>
  <si>
    <t>Charles</t>
  </si>
  <si>
    <t>Dillon</t>
  </si>
  <si>
    <t>Phillips</t>
  </si>
  <si>
    <t>Butland</t>
  </si>
  <si>
    <t>Harvey</t>
  </si>
  <si>
    <t>Cartwright</t>
  </si>
  <si>
    <t>Thimothée</t>
  </si>
  <si>
    <t>Lo-Tutala</t>
  </si>
  <si>
    <t>Egan</t>
  </si>
  <si>
    <t>Charlie</t>
  </si>
  <si>
    <t>Semi</t>
  </si>
  <si>
    <t>Ajayi</t>
  </si>
  <si>
    <t>Lewie</t>
  </si>
  <si>
    <t>Coyle</t>
  </si>
  <si>
    <t>Cody</t>
  </si>
  <si>
    <t>Drameh</t>
  </si>
  <si>
    <t>Giles</t>
  </si>
  <si>
    <t>Jacob</t>
  </si>
  <si>
    <t>Cathal</t>
  </si>
  <si>
    <t>McCarthy</t>
  </si>
  <si>
    <t>Paddy</t>
  </si>
  <si>
    <t>McNair</t>
  </si>
  <si>
    <t>Mohamed</t>
  </si>
  <si>
    <t>Belloumi</t>
  </si>
  <si>
    <t>Millar</t>
  </si>
  <si>
    <t>Kieran</t>
  </si>
  <si>
    <t>Dowell</t>
  </si>
  <si>
    <t>Crooks</t>
  </si>
  <si>
    <t>Regan</t>
  </si>
  <si>
    <t>Slater</t>
  </si>
  <si>
    <t>Eliot</t>
  </si>
  <si>
    <t>Matazo</t>
  </si>
  <si>
    <t>Abdülkadir</t>
  </si>
  <si>
    <t>Ömür</t>
  </si>
  <si>
    <t>Abu</t>
  </si>
  <si>
    <t>Óscar</t>
  </si>
  <si>
    <t>Zambrano</t>
  </si>
  <si>
    <t>Oli</t>
  </si>
  <si>
    <t>McBurnie</t>
  </si>
  <si>
    <t>Akintola</t>
  </si>
  <si>
    <t>Darko</t>
  </si>
  <si>
    <t>Gyabi</t>
  </si>
  <si>
    <t>Enis</t>
  </si>
  <si>
    <t>Destan</t>
  </si>
  <si>
    <t>Mason</t>
  </si>
  <si>
    <t>Burstow</t>
  </si>
  <si>
    <t>Joe</t>
  </si>
  <si>
    <t>Gelhardt</t>
  </si>
  <si>
    <t>Targett</t>
  </si>
  <si>
    <t>Hidemasa</t>
  </si>
  <si>
    <t>Morita</t>
  </si>
  <si>
    <t>Konstantinos</t>
  </si>
  <si>
    <t>Tzolakis</t>
  </si>
  <si>
    <t>Jens</t>
  </si>
  <si>
    <t>Hjertø-Dahl</t>
  </si>
  <si>
    <t>Elliot</t>
  </si>
  <si>
    <t>Stroud</t>
  </si>
  <si>
    <t>Herrington</t>
  </si>
  <si>
    <t>Nobel</t>
  </si>
  <si>
    <t>Mendy</t>
  </si>
  <si>
    <t>Gourna-Douath</t>
  </si>
  <si>
    <t>Issa</t>
  </si>
  <si>
    <t>Diop</t>
  </si>
  <si>
    <t>Saša</t>
  </si>
  <si>
    <t>Lukić</t>
  </si>
  <si>
    <t>Walton</t>
  </si>
  <si>
    <t>Button</t>
  </si>
  <si>
    <t>Cédric</t>
  </si>
  <si>
    <t>Kipré</t>
  </si>
  <si>
    <t>Dara</t>
  </si>
  <si>
    <t>O'Shea</t>
  </si>
  <si>
    <t>Leif</t>
  </si>
  <si>
    <t>Davis</t>
  </si>
  <si>
    <t>Greaves</t>
  </si>
  <si>
    <t>Darnell</t>
  </si>
  <si>
    <t>Furlong</t>
  </si>
  <si>
    <t>Marcelino</t>
  </si>
  <si>
    <t>Núñez</t>
  </si>
  <si>
    <t>Azor</t>
  </si>
  <si>
    <t>Matusiwa</t>
  </si>
  <si>
    <t>Wes</t>
  </si>
  <si>
    <t>Burns</t>
  </si>
  <si>
    <t>Taylor</t>
  </si>
  <si>
    <t>Clarke</t>
  </si>
  <si>
    <t>Chiedozie</t>
  </si>
  <si>
    <t>Ogbene</t>
  </si>
  <si>
    <t>Abdul</t>
  </si>
  <si>
    <t>Fatawu</t>
  </si>
  <si>
    <t>Emersonn</t>
  </si>
  <si>
    <t>Correia da Silva</t>
  </si>
  <si>
    <t>Hirst</t>
  </si>
  <si>
    <t>Jaden</t>
  </si>
  <si>
    <t>Philogene</t>
  </si>
  <si>
    <t>Sam</t>
  </si>
  <si>
    <t>Szmodics</t>
  </si>
  <si>
    <t>Chuba</t>
  </si>
  <si>
    <t>Akpom</t>
  </si>
  <si>
    <t>Sindre</t>
  </si>
  <si>
    <t>Walle Egeli</t>
  </si>
  <si>
    <t>Ali</t>
  </si>
  <si>
    <t>Al-Hamadi</t>
  </si>
  <si>
    <t>Kasey</t>
  </si>
  <si>
    <t>McAteer</t>
  </si>
  <si>
    <t>Anis</t>
  </si>
  <si>
    <t>Mehmeti</t>
  </si>
  <si>
    <t>Kayne</t>
  </si>
  <si>
    <t>van Oevelen</t>
  </si>
  <si>
    <t>Daizen</t>
  </si>
  <si>
    <t>Maeda</t>
  </si>
  <si>
    <t>Kjell</t>
  </si>
  <si>
    <t>Scherpen</t>
  </si>
  <si>
    <t>Florentino Ibrain</t>
  </si>
  <si>
    <t>Morris Luís</t>
  </si>
  <si>
    <t>Enciso</t>
  </si>
  <si>
    <t>Abdoul</t>
  </si>
  <si>
    <t>Lucas Estella</t>
  </si>
  <si>
    <t>Perri</t>
  </si>
  <si>
    <t>Jaka</t>
  </si>
  <si>
    <t>Bijol</t>
  </si>
  <si>
    <t>Rodon</t>
  </si>
  <si>
    <t>Jayden</t>
  </si>
  <si>
    <t>Bogle</t>
  </si>
  <si>
    <t>Gudmundsson</t>
  </si>
  <si>
    <t>Sebastiaan</t>
  </si>
  <si>
    <t>Bornauw</t>
  </si>
  <si>
    <t>Tarik</t>
  </si>
  <si>
    <t>Muharemović</t>
  </si>
  <si>
    <t>Anton</t>
  </si>
  <si>
    <t>Stach</t>
  </si>
  <si>
    <t>Noah</t>
  </si>
  <si>
    <t>Okafor</t>
  </si>
  <si>
    <t>Brenden</t>
  </si>
  <si>
    <t>Aaronson</t>
  </si>
  <si>
    <t>Ampadu</t>
  </si>
  <si>
    <t>Sean</t>
  </si>
  <si>
    <t>Longstaff</t>
  </si>
  <si>
    <t>Wilfried</t>
  </si>
  <si>
    <t>Gnonto</t>
  </si>
  <si>
    <t>Ilia</t>
  </si>
  <si>
    <t>Gruev</t>
  </si>
  <si>
    <t>Tanaka</t>
  </si>
  <si>
    <t>Ao</t>
  </si>
  <si>
    <t>Dominic</t>
  </si>
  <si>
    <t>Calvert-Lewin</t>
  </si>
  <si>
    <t>Lukas</t>
  </si>
  <si>
    <t>Nmecha</t>
  </si>
  <si>
    <t>Joël</t>
  </si>
  <si>
    <t>Piroe</t>
  </si>
  <si>
    <t>Mateo</t>
  </si>
  <si>
    <t>Joseph Fernández-Regatillo</t>
  </si>
  <si>
    <t>Trafford</t>
  </si>
  <si>
    <t>Alisson</t>
  </si>
  <si>
    <t>Becker</t>
  </si>
  <si>
    <t>Giorgi</t>
  </si>
  <si>
    <t>Mamardashvili</t>
  </si>
  <si>
    <t>Freddie</t>
  </si>
  <si>
    <t>Woodman</t>
  </si>
  <si>
    <t>Armin</t>
  </si>
  <si>
    <t>Pecsi</t>
  </si>
  <si>
    <t>Vitezslav</t>
  </si>
  <si>
    <t>Jaros</t>
  </si>
  <si>
    <t>Davies</t>
  </si>
  <si>
    <t>Virgil</t>
  </si>
  <si>
    <t>van Dijk</t>
  </si>
  <si>
    <t>Jeremie</t>
  </si>
  <si>
    <t>Frimpong</t>
  </si>
  <si>
    <t>Milos</t>
  </si>
  <si>
    <t>Kerkez</t>
  </si>
  <si>
    <t>Gomez</t>
  </si>
  <si>
    <t>Conor</t>
  </si>
  <si>
    <t>Wellity</t>
  </si>
  <si>
    <t>Lucky</t>
  </si>
  <si>
    <t>Jeremy</t>
  </si>
  <si>
    <t>Jacquet</t>
  </si>
  <si>
    <t>Giovanni</t>
  </si>
  <si>
    <t>Leoni</t>
  </si>
  <si>
    <t>Kostas</t>
  </si>
  <si>
    <t>Tsimikas</t>
  </si>
  <si>
    <t>Ramsay</t>
  </si>
  <si>
    <t>Florian</t>
  </si>
  <si>
    <t>Wirtz</t>
  </si>
  <si>
    <t>Gakpo</t>
  </si>
  <si>
    <t>Dominik</t>
  </si>
  <si>
    <t>Szoboszlai</t>
  </si>
  <si>
    <t>Ngumoha</t>
  </si>
  <si>
    <t>Federico</t>
  </si>
  <si>
    <t>Chiesa</t>
  </si>
  <si>
    <t>Gravenberch</t>
  </si>
  <si>
    <t>Alexis</t>
  </si>
  <si>
    <t>Mac Allister</t>
  </si>
  <si>
    <t>Curtis</t>
  </si>
  <si>
    <t>Jones</t>
  </si>
  <si>
    <t>Endo</t>
  </si>
  <si>
    <t>Wataru</t>
  </si>
  <si>
    <t>Trey</t>
  </si>
  <si>
    <t>Nyoni</t>
  </si>
  <si>
    <t>Stefan</t>
  </si>
  <si>
    <t>Bajčetić Maquieira</t>
  </si>
  <si>
    <t>Munoz</t>
  </si>
  <si>
    <t>McConnell</t>
  </si>
  <si>
    <t>Alexander</t>
  </si>
  <si>
    <t>Isak</t>
  </si>
  <si>
    <t>Hugo</t>
  </si>
  <si>
    <t>Ekitiké</t>
  </si>
  <si>
    <t>Koumas</t>
  </si>
  <si>
    <t>Danns</t>
  </si>
  <si>
    <t>Elliott</t>
  </si>
  <si>
    <t>Ronald</t>
  </si>
  <si>
    <t>Araujo</t>
  </si>
  <si>
    <t>Grealish</t>
  </si>
  <si>
    <t>Gianluigi</t>
  </si>
  <si>
    <t>Donnarumma</t>
  </si>
  <si>
    <t>Bettinelli</t>
  </si>
  <si>
    <t>Nico</t>
  </si>
  <si>
    <t>O'Reilly</t>
  </si>
  <si>
    <t>Guéhi</t>
  </si>
  <si>
    <t>Nunes</t>
  </si>
  <si>
    <t>Rúben</t>
  </si>
  <si>
    <t>dos Santos Gato Alves Dias</t>
  </si>
  <si>
    <t>Joško</t>
  </si>
  <si>
    <t>Gvardiol</t>
  </si>
  <si>
    <t>Rayan</t>
  </si>
  <si>
    <t>Aït-Nouri</t>
  </si>
  <si>
    <t>Abdukodir</t>
  </si>
  <si>
    <t>Khusanov</t>
  </si>
  <si>
    <t>Alleyne</t>
  </si>
  <si>
    <t>Vitor</t>
  </si>
  <si>
    <t>de Oliveira Nunes dos Reis</t>
  </si>
  <si>
    <t>Antoine</t>
  </si>
  <si>
    <t>Semenyo</t>
  </si>
  <si>
    <t>Phil</t>
  </si>
  <si>
    <t>Foden</t>
  </si>
  <si>
    <t>Cherki</t>
  </si>
  <si>
    <t>Jérémy</t>
  </si>
  <si>
    <t>Doku</t>
  </si>
  <si>
    <t>Omar</t>
  </si>
  <si>
    <t>Marmoush</t>
  </si>
  <si>
    <t>Rodrigo 'Rodri'</t>
  </si>
  <si>
    <t>Hernandez Cascante</t>
  </si>
  <si>
    <t>Sávio</t>
  </si>
  <si>
    <t>Moreira de Oliveira</t>
  </si>
  <si>
    <t>Tijjani</t>
  </si>
  <si>
    <t>Reijnders</t>
  </si>
  <si>
    <t>González Iglesias</t>
  </si>
  <si>
    <t>Kovačić</t>
  </si>
  <si>
    <t>Claudio</t>
  </si>
  <si>
    <t>Echeverri</t>
  </si>
  <si>
    <t>Kalvin</t>
  </si>
  <si>
    <t>Divine</t>
  </si>
  <si>
    <t>Mukasa</t>
  </si>
  <si>
    <t>Monga</t>
  </si>
  <si>
    <t>Erling</t>
  </si>
  <si>
    <t>Haaland</t>
  </si>
  <si>
    <t>Anderson</t>
  </si>
  <si>
    <t>Gerónimo</t>
  </si>
  <si>
    <t>Rulli</t>
  </si>
  <si>
    <t>Youri</t>
  </si>
  <si>
    <t>Tielemans</t>
  </si>
  <si>
    <t>Andrey</t>
  </si>
  <si>
    <t>Nascimento dos Santos</t>
  </si>
  <si>
    <t>Karl</t>
  </si>
  <si>
    <t>Darlow</t>
  </si>
  <si>
    <t>Senne</t>
  </si>
  <si>
    <t>Lammens</t>
  </si>
  <si>
    <t>Altay</t>
  </si>
  <si>
    <t>Bayındır</t>
  </si>
  <si>
    <t>Heaton</t>
  </si>
  <si>
    <t>Patrick</t>
  </si>
  <si>
    <t>Dorgu</t>
  </si>
  <si>
    <t>Matthijs</t>
  </si>
  <si>
    <t>de Ligt</t>
  </si>
  <si>
    <t>Diogo</t>
  </si>
  <si>
    <t>Dalot Teixeira</t>
  </si>
  <si>
    <t>Maguire</t>
  </si>
  <si>
    <t>Lisandro</t>
  </si>
  <si>
    <t>Martínez</t>
  </si>
  <si>
    <t>Leny</t>
  </si>
  <si>
    <t>Yoro</t>
  </si>
  <si>
    <t>Ayden</t>
  </si>
  <si>
    <t>Heaven</t>
  </si>
  <si>
    <t>Noussair</t>
  </si>
  <si>
    <t>Mazraoui</t>
  </si>
  <si>
    <t>Shaw</t>
  </si>
  <si>
    <t>Amass</t>
  </si>
  <si>
    <t>Fredricson</t>
  </si>
  <si>
    <t>Borges Fernandes</t>
  </si>
  <si>
    <t>Bryan</t>
  </si>
  <si>
    <t>Mbeumo</t>
  </si>
  <si>
    <t>Santos Carneiro da Cunha</t>
  </si>
  <si>
    <t>Rashford</t>
  </si>
  <si>
    <t>Mount</t>
  </si>
  <si>
    <t>Amad</t>
  </si>
  <si>
    <t>Diallo</t>
  </si>
  <si>
    <t>Kobbie</t>
  </si>
  <si>
    <t>Mainoo</t>
  </si>
  <si>
    <t>Manuel</t>
  </si>
  <si>
    <t>Ugarte Ribeiro</t>
  </si>
  <si>
    <t>Fletcher</t>
  </si>
  <si>
    <t>Lacey</t>
  </si>
  <si>
    <t>Toby</t>
  </si>
  <si>
    <t>Collyer</t>
  </si>
  <si>
    <t>Bendito</t>
  </si>
  <si>
    <t>Mantato</t>
  </si>
  <si>
    <t>Sesko</t>
  </si>
  <si>
    <t>Joshua</t>
  </si>
  <si>
    <t>Zirkzee</t>
  </si>
  <si>
    <t>Chido</t>
  </si>
  <si>
    <t>Obi</t>
  </si>
  <si>
    <t>Nick</t>
  </si>
  <si>
    <t>Pope</t>
  </si>
  <si>
    <t>Gillespie</t>
  </si>
  <si>
    <t>Ewen</t>
  </si>
  <si>
    <t>Jaouen</t>
  </si>
  <si>
    <t>Malick</t>
  </si>
  <si>
    <t>Thiaw</t>
  </si>
  <si>
    <t>Fabian</t>
  </si>
  <si>
    <t>Schär</t>
  </si>
  <si>
    <t>Sven</t>
  </si>
  <si>
    <t>Botman</t>
  </si>
  <si>
    <t>Dan</t>
  </si>
  <si>
    <t>Burn</t>
  </si>
  <si>
    <t>Hall</t>
  </si>
  <si>
    <t>Tino</t>
  </si>
  <si>
    <t>Livramento</t>
  </si>
  <si>
    <t>Murphy</t>
  </si>
  <si>
    <t>Barnes</t>
  </si>
  <si>
    <t>Elanga</t>
  </si>
  <si>
    <t>Ramsey</t>
  </si>
  <si>
    <t>Joelinton Cássio</t>
  </si>
  <si>
    <t>Apolinário de Lira</t>
  </si>
  <si>
    <t>Miley</t>
  </si>
  <si>
    <t>Willock</t>
  </si>
  <si>
    <t>Bazoumana</t>
  </si>
  <si>
    <t>Touré</t>
  </si>
  <si>
    <t>Steur</t>
  </si>
  <si>
    <t>Woltemade</t>
  </si>
  <si>
    <t>Yoane</t>
  </si>
  <si>
    <t>Wissa</t>
  </si>
  <si>
    <t>Osula</t>
  </si>
  <si>
    <t>Neave</t>
  </si>
  <si>
    <t>Aladji</t>
  </si>
  <si>
    <t>Bamba</t>
  </si>
  <si>
    <t>Lukás</t>
  </si>
  <si>
    <t>Hornícek</t>
  </si>
  <si>
    <t>Matz</t>
  </si>
  <si>
    <t>Sels</t>
  </si>
  <si>
    <t>John Victor</t>
  </si>
  <si>
    <t>Maciel Furtado</t>
  </si>
  <si>
    <t>Neco</t>
  </si>
  <si>
    <t>Williams</t>
  </si>
  <si>
    <t>Felipe</t>
  </si>
  <si>
    <t>Rodrigues da Silva</t>
  </si>
  <si>
    <t>Nikola</t>
  </si>
  <si>
    <t>Milenković</t>
  </si>
  <si>
    <t>Murillo</t>
  </si>
  <si>
    <t>Costa dos Santos</t>
  </si>
  <si>
    <t>Ola</t>
  </si>
  <si>
    <t>Aina</t>
  </si>
  <si>
    <t>Jair</t>
  </si>
  <si>
    <t>Paula da Cunha Filho</t>
  </si>
  <si>
    <t>Nicolò</t>
  </si>
  <si>
    <t>Savona</t>
  </si>
  <si>
    <t>Zach</t>
  </si>
  <si>
    <t>Abbott</t>
  </si>
  <si>
    <t>Luca</t>
  </si>
  <si>
    <t>Netz</t>
  </si>
  <si>
    <t>Bindon</t>
  </si>
  <si>
    <t>Gibbs-White</t>
  </si>
  <si>
    <t>Hudson-Odoi</t>
  </si>
  <si>
    <t>Ndoye</t>
  </si>
  <si>
    <t>Omari</t>
  </si>
  <si>
    <t>Hutchinson</t>
  </si>
  <si>
    <t>Dilane</t>
  </si>
  <si>
    <t>Bakwa</t>
  </si>
  <si>
    <t>McAtee</t>
  </si>
  <si>
    <t>Nicolás</t>
  </si>
  <si>
    <t>Domínguez</t>
  </si>
  <si>
    <t>Ibrahim</t>
  </si>
  <si>
    <t>Yates</t>
  </si>
  <si>
    <t>Wood</t>
  </si>
  <si>
    <t>Igor Jesus</t>
  </si>
  <si>
    <t>Maciel da Cruz</t>
  </si>
  <si>
    <t>Arnaud</t>
  </si>
  <si>
    <t>Kalimuendo</t>
  </si>
  <si>
    <t>Xaver</t>
  </si>
  <si>
    <t>Schlager</t>
  </si>
  <si>
    <t>Ousmane</t>
  </si>
  <si>
    <t>Diomande</t>
  </si>
  <si>
    <t>Steven</t>
  </si>
  <si>
    <t>Benda</t>
  </si>
  <si>
    <t>Jan Paul</t>
  </si>
  <si>
    <t>van Hecke</t>
  </si>
  <si>
    <t>Sandro</t>
  </si>
  <si>
    <t>Tonali</t>
  </si>
  <si>
    <t>Guglielmo</t>
  </si>
  <si>
    <t>Vicario</t>
  </si>
  <si>
    <t>Austin</t>
  </si>
  <si>
    <t>Antonín</t>
  </si>
  <si>
    <t>Kinský</t>
  </si>
  <si>
    <t>Dubravka</t>
  </si>
  <si>
    <t>Marcos</t>
  </si>
  <si>
    <t>Senesi Barón</t>
  </si>
  <si>
    <t>Porro Sauceda</t>
  </si>
  <si>
    <t>Cristian</t>
  </si>
  <si>
    <t>Romero</t>
  </si>
  <si>
    <t>Danso</t>
  </si>
  <si>
    <t>Andrew</t>
  </si>
  <si>
    <t>Robertson</t>
  </si>
  <si>
    <t>Micky</t>
  </si>
  <si>
    <t>van de Ven</t>
  </si>
  <si>
    <t>Djed</t>
  </si>
  <si>
    <t>Spence</t>
  </si>
  <si>
    <t>Destiny</t>
  </si>
  <si>
    <t>Udogie</t>
  </si>
  <si>
    <t>Ashley</t>
  </si>
  <si>
    <t>Jun'ai</t>
  </si>
  <si>
    <t>Byfield</t>
  </si>
  <si>
    <t>Rowswell</t>
  </si>
  <si>
    <t>João Victor</t>
  </si>
  <si>
    <t>de Souza Menezes</t>
  </si>
  <si>
    <t>Mohammed</t>
  </si>
  <si>
    <t>Kudus</t>
  </si>
  <si>
    <t>Xavi</t>
  </si>
  <si>
    <t>Simons</t>
  </si>
  <si>
    <t>Mathys</t>
  </si>
  <si>
    <t>Tel</t>
  </si>
  <si>
    <t>Maddison</t>
  </si>
  <si>
    <t>Bentancur</t>
  </si>
  <si>
    <t>Odobert</t>
  </si>
  <si>
    <t>Pape Matar</t>
  </si>
  <si>
    <t>Gallagher</t>
  </si>
  <si>
    <t>Bergvall</t>
  </si>
  <si>
    <t>Dejan</t>
  </si>
  <si>
    <t>Kulusevski</t>
  </si>
  <si>
    <t>Archie</t>
  </si>
  <si>
    <t>Gray</t>
  </si>
  <si>
    <t>Mikey</t>
  </si>
  <si>
    <t>Moore</t>
  </si>
  <si>
    <t>Olusesi</t>
  </si>
  <si>
    <t>Mateus</t>
  </si>
  <si>
    <t>Fernandes</t>
  </si>
  <si>
    <t>Solanke-Mitchell</t>
  </si>
  <si>
    <t>Richarlison</t>
  </si>
  <si>
    <t>de Andrade</t>
  </si>
  <si>
    <t>Dane</t>
  </si>
  <si>
    <t>Scarlett</t>
  </si>
  <si>
    <t>Robin</t>
  </si>
  <si>
    <t>Roefs</t>
  </si>
  <si>
    <t>Melker</t>
  </si>
  <si>
    <t>Ellborg</t>
  </si>
  <si>
    <t>Ballard</t>
  </si>
  <si>
    <t>Nordi</t>
  </si>
  <si>
    <t>Mukiele</t>
  </si>
  <si>
    <t>Trai</t>
  </si>
  <si>
    <t>Hume</t>
  </si>
  <si>
    <t>Alderete</t>
  </si>
  <si>
    <t>Reinildo</t>
  </si>
  <si>
    <t>Mandava</t>
  </si>
  <si>
    <t>Jenson</t>
  </si>
  <si>
    <t>Seelt</t>
  </si>
  <si>
    <t>Leo Fuhr</t>
  </si>
  <si>
    <t>Hjelde</t>
  </si>
  <si>
    <t>O'Nien</t>
  </si>
  <si>
    <t>Arthur</t>
  </si>
  <si>
    <t>Masuaku</t>
  </si>
  <si>
    <t>Meunier</t>
  </si>
  <si>
    <t>Le Fée</t>
  </si>
  <si>
    <t>Habib</t>
  </si>
  <si>
    <t>Diarra</t>
  </si>
  <si>
    <t>Granit</t>
  </si>
  <si>
    <t>Xhaka</t>
  </si>
  <si>
    <t>Sadiki</t>
  </si>
  <si>
    <t>Simon</t>
  </si>
  <si>
    <t>Adingra</t>
  </si>
  <si>
    <t>Romaine</t>
  </si>
  <si>
    <t>Mundle</t>
  </si>
  <si>
    <t>Rigg</t>
  </si>
  <si>
    <t>Chemsdine</t>
  </si>
  <si>
    <t>Talbi</t>
  </si>
  <si>
    <t>Djiamgone Jocelin Ta</t>
  </si>
  <si>
    <t>Bi</t>
  </si>
  <si>
    <t>Nilson</t>
  </si>
  <si>
    <t>Angulo</t>
  </si>
  <si>
    <t>Brobbey</t>
  </si>
  <si>
    <t>Isidor</t>
  </si>
  <si>
    <t>form</t>
  </si>
  <si>
    <t>selected_by_percent</t>
  </si>
  <si>
    <t>saves</t>
  </si>
  <si>
    <t>defensive_contribution</t>
  </si>
  <si>
    <t>starts</t>
  </si>
  <si>
    <t>expected_goal_involvements</t>
  </si>
  <si>
    <t>element_type</t>
  </si>
  <si>
    <t>Promise</t>
  </si>
  <si>
    <t>Zavier</t>
  </si>
  <si>
    <t>Gozo</t>
  </si>
  <si>
    <t>Amar</t>
  </si>
  <si>
    <t>Dedic</t>
  </si>
  <si>
    <t>Player</t>
  </si>
  <si>
    <t>Position</t>
  </si>
  <si>
    <t>PPG</t>
  </si>
  <si>
    <t>Minutes</t>
  </si>
  <si>
    <t>Points/£m</t>
  </si>
  <si>
    <t>Team</t>
  </si>
  <si>
    <t>Total Points</t>
  </si>
  <si>
    <t xml:space="preserve">Form </t>
  </si>
  <si>
    <t xml:space="preserve">xG </t>
  </si>
  <si>
    <t>xA</t>
  </si>
  <si>
    <t>xGI</t>
  </si>
  <si>
    <t>Points/90</t>
  </si>
  <si>
    <t>xG/90</t>
  </si>
  <si>
    <t xml:space="preserve">xA/90 </t>
  </si>
  <si>
    <t>xGI/90</t>
  </si>
  <si>
    <t>xGI/£m</t>
  </si>
  <si>
    <t>Column1.team_a</t>
  </si>
  <si>
    <t>Column1.team_h</t>
  </si>
  <si>
    <t>Column1.team_h_difficulty</t>
  </si>
  <si>
    <t>Column1.team_a_difficulty</t>
  </si>
  <si>
    <t>Column1.event</t>
  </si>
  <si>
    <t>Column1.finished</t>
  </si>
  <si>
    <t>Column1.kickoff_time</t>
  </si>
  <si>
    <t>GW</t>
  </si>
  <si>
    <t>Opponent</t>
  </si>
  <si>
    <t>H/A</t>
  </si>
  <si>
    <t>Difficulty</t>
  </si>
  <si>
    <t>Column1.started</t>
  </si>
  <si>
    <t>Column1.team_a_score</t>
  </si>
  <si>
    <t>Column1.team_h_score</t>
  </si>
  <si>
    <t>Column1.code</t>
  </si>
  <si>
    <t>Column1.name</t>
  </si>
  <si>
    <t>ARS</t>
  </si>
  <si>
    <t>Aston Villa</t>
  </si>
  <si>
    <t>AVL</t>
  </si>
  <si>
    <t>Bournemouth</t>
  </si>
  <si>
    <t>BOU</t>
  </si>
  <si>
    <t>Brentford</t>
  </si>
  <si>
    <t>BRE</t>
  </si>
  <si>
    <t>Brighton</t>
  </si>
  <si>
    <t>BHA</t>
  </si>
  <si>
    <t>Chelsea</t>
  </si>
  <si>
    <t>CHE</t>
  </si>
  <si>
    <t>Coventry City</t>
  </si>
  <si>
    <t>COV</t>
  </si>
  <si>
    <t>Crystal Palace</t>
  </si>
  <si>
    <t>CRY</t>
  </si>
  <si>
    <t>Everton</t>
  </si>
  <si>
    <t>EVE</t>
  </si>
  <si>
    <t>Fulham</t>
  </si>
  <si>
    <t>FUL</t>
  </si>
  <si>
    <t>Hull City</t>
  </si>
  <si>
    <t>HUL</t>
  </si>
  <si>
    <t>Ipswich Town</t>
  </si>
  <si>
    <t>IPS</t>
  </si>
  <si>
    <t>Leeds</t>
  </si>
  <si>
    <t>LEE</t>
  </si>
  <si>
    <t>Liverpool</t>
  </si>
  <si>
    <t>LIV</t>
  </si>
  <si>
    <t>Man City</t>
  </si>
  <si>
    <t>MCI</t>
  </si>
  <si>
    <t>Man Utd</t>
  </si>
  <si>
    <t>MUN</t>
  </si>
  <si>
    <t>Newcastle</t>
  </si>
  <si>
    <t>NEW</t>
  </si>
  <si>
    <t>Nott'm Forest</t>
  </si>
  <si>
    <t>NFO</t>
  </si>
  <si>
    <t>Spurs</t>
  </si>
  <si>
    <t>TOT</t>
  </si>
  <si>
    <t>Sunderland</t>
  </si>
  <si>
    <t>SUN</t>
  </si>
  <si>
    <t>home_away</t>
  </si>
  <si>
    <t>Team_name</t>
  </si>
  <si>
    <t>Opponent_name</t>
  </si>
  <si>
    <t>H</t>
  </si>
  <si>
    <t>A</t>
  </si>
  <si>
    <t>Current GW</t>
  </si>
  <si>
    <t>Fixture 1</t>
  </si>
  <si>
    <t>Fixture 2</t>
  </si>
  <si>
    <t>Fixture 3</t>
  </si>
  <si>
    <t>Fixture 4</t>
  </si>
  <si>
    <t>Fixture 5</t>
  </si>
  <si>
    <t>Fixture Score</t>
  </si>
  <si>
    <t>Lookup</t>
  </si>
  <si>
    <t>Team Code</t>
  </si>
  <si>
    <t>id</t>
  </si>
  <si>
    <t>Minutes / 90</t>
  </si>
  <si>
    <t>Start %</t>
  </si>
  <si>
    <t>Matteo</t>
  </si>
  <si>
    <t>Ruggeri</t>
  </si>
  <si>
    <t>Zion</t>
  </si>
  <si>
    <t>Suzuki</t>
  </si>
  <si>
    <t>Sidiki</t>
  </si>
  <si>
    <t>Cherif</t>
  </si>
  <si>
    <t>Elvedi</t>
  </si>
  <si>
    <t>Starts</t>
  </si>
  <si>
    <t>Points/90 score</t>
  </si>
  <si>
    <t>xGI/90 Score</t>
  </si>
  <si>
    <t>Points/£m Score</t>
  </si>
  <si>
    <t>xGI/£m Score</t>
  </si>
  <si>
    <t>Start Score</t>
  </si>
  <si>
    <t>Defensive Contributions</t>
  </si>
  <si>
    <t>DC Potential</t>
  </si>
  <si>
    <t>Bonus</t>
  </si>
  <si>
    <t>Clean Sheets</t>
  </si>
  <si>
    <t>Assists</t>
  </si>
  <si>
    <t>Expected Goal Points / 90</t>
  </si>
  <si>
    <t>Expected Assist Points / 90</t>
  </si>
  <si>
    <t>Expected Appearance Points / 90</t>
  </si>
  <si>
    <t>Expected DC Points / 90</t>
  </si>
  <si>
    <t>Clean Sheet Rate</t>
  </si>
  <si>
    <t>Expected Clean Sheet Points / 90</t>
  </si>
  <si>
    <t>Bonus / Start</t>
  </si>
  <si>
    <t>Team ID</t>
  </si>
  <si>
    <t>Team Name</t>
  </si>
  <si>
    <t>Games Played</t>
  </si>
  <si>
    <t>Goals Scored</t>
  </si>
  <si>
    <t>Goals Conceded</t>
  </si>
  <si>
    <t>Goals/Game</t>
  </si>
  <si>
    <t>Goals Conceded/Game</t>
  </si>
  <si>
    <t>Attacking Score</t>
  </si>
  <si>
    <t>Defensive Score</t>
  </si>
  <si>
    <t>Overall Team Score</t>
  </si>
  <si>
    <t>Clean Sheet %</t>
  </si>
  <si>
    <t>Column1.id</t>
  </si>
  <si>
    <t>Column1.short_name</t>
  </si>
  <si>
    <t>Column1.strength_attack_away</t>
  </si>
  <si>
    <t>Column1.strength_attack_home</t>
  </si>
  <si>
    <t>Column1.strength_defence_away</t>
  </si>
  <si>
    <t>Column1.strength_defence_home</t>
  </si>
  <si>
    <t>Column1.strength_overall_away</t>
  </si>
  <si>
    <t>Column1.strength_overall_home</t>
  </si>
  <si>
    <t>FPL Attack Home</t>
  </si>
  <si>
    <t>FPL Attack Away</t>
  </si>
  <si>
    <t>FPL Defence Home</t>
  </si>
  <si>
    <t>FPL Defence Away</t>
  </si>
  <si>
    <t>FPL Overall Home</t>
  </si>
  <si>
    <t>FPL Overall Away</t>
  </si>
  <si>
    <t>Preseason Attack Score</t>
  </si>
  <si>
    <t>Preseason Defence Score</t>
  </si>
  <si>
    <t>Preseason Overall Score</t>
  </si>
  <si>
    <t>Attacking score</t>
  </si>
  <si>
    <t>Defensive score</t>
  </si>
  <si>
    <t>Reliability Score</t>
  </si>
  <si>
    <t>Fixture Adjusted Score</t>
  </si>
  <si>
    <t>Position Rank</t>
  </si>
  <si>
    <t>Recommendation</t>
  </si>
  <si>
    <t>FPL TEAM BUILDER</t>
  </si>
  <si>
    <t>Budget</t>
  </si>
  <si>
    <t>Squad Cost</t>
  </si>
  <si>
    <t>Remaining Budget</t>
  </si>
  <si>
    <t>Squad Players</t>
  </si>
  <si>
    <t>GK</t>
  </si>
  <si>
    <t>DEF</t>
  </si>
  <si>
    <t>MID</t>
  </si>
  <si>
    <t>FWD</t>
  </si>
  <si>
    <t>Players</t>
  </si>
  <si>
    <t>rank</t>
  </si>
  <si>
    <t>Club</t>
  </si>
  <si>
    <t xml:space="preserve">selected </t>
  </si>
  <si>
    <t>Metric</t>
  </si>
  <si>
    <t>Value</t>
  </si>
  <si>
    <t>Fixture Adjustment</t>
  </si>
  <si>
    <t>Fixture Adjusted Points / 90</t>
  </si>
  <si>
    <t>Expected Points / £m</t>
  </si>
  <si>
    <t>Column1.is_current</t>
  </si>
  <si>
    <t>Column1.is_next</t>
  </si>
  <si>
    <t>Availability Status</t>
  </si>
  <si>
    <t>Can Select</t>
  </si>
  <si>
    <t>Player Eligible</t>
  </si>
  <si>
    <t>status</t>
  </si>
  <si>
    <t>can_select</t>
  </si>
  <si>
    <t>a</t>
  </si>
  <si>
    <t>i</t>
  </si>
  <si>
    <t>d</t>
  </si>
  <si>
    <t>u</t>
  </si>
  <si>
    <t>s</t>
  </si>
  <si>
    <t>Osman</t>
  </si>
  <si>
    <t>Solver Score</t>
  </si>
  <si>
    <t>Price (m)</t>
  </si>
  <si>
    <t>Triston</t>
  </si>
  <si>
    <t>Rowe</t>
  </si>
  <si>
    <t>Lynch</t>
  </si>
  <si>
    <t>Wan-Bissaka</t>
  </si>
  <si>
    <t>Jebbison</t>
  </si>
  <si>
    <t>Yalcouyé</t>
  </si>
  <si>
    <t>Hadjam</t>
  </si>
  <si>
    <t>Luc</t>
  </si>
  <si>
    <t>De Fougerolles</t>
  </si>
  <si>
    <t>Cameron</t>
  </si>
  <si>
    <t>Humphreys</t>
  </si>
  <si>
    <t>Lienou</t>
  </si>
  <si>
    <t>Cresswell</t>
  </si>
  <si>
    <t>Leo</t>
  </si>
  <si>
    <t>Shahar</t>
  </si>
  <si>
    <t>Williams-Barnett</t>
  </si>
  <si>
    <t>Dayann</t>
  </si>
  <si>
    <t>Méthalie</t>
  </si>
  <si>
    <t>Jules</t>
  </si>
  <si>
    <t>Ahoka</t>
  </si>
  <si>
    <t>Expected Points</t>
  </si>
  <si>
    <t>Goretzka</t>
  </si>
  <si>
    <t>Michele</t>
  </si>
  <si>
    <t>Di Gregorio</t>
  </si>
  <si>
    <t>El Hadji Malick</t>
  </si>
  <si>
    <t>Diouf</t>
  </si>
  <si>
    <t>Amario</t>
  </si>
  <si>
    <t>Cozier-Duberry</t>
  </si>
  <si>
    <t>Bentley</t>
  </si>
  <si>
    <t>Macauley</t>
  </si>
  <si>
    <t>Zepa</t>
  </si>
  <si>
    <t>Mohamed-Ali</t>
  </si>
  <si>
    <t>Cho</t>
  </si>
  <si>
    <t>Exequiel</t>
  </si>
  <si>
    <t>Cairns</t>
  </si>
  <si>
    <t>Zetterer</t>
  </si>
  <si>
    <t>Barcola</t>
  </si>
  <si>
    <t>Ayyoub</t>
  </si>
  <si>
    <t>Bouaddi</t>
  </si>
  <si>
    <t>McAidoo</t>
  </si>
  <si>
    <t>Kaden</t>
  </si>
  <si>
    <t>Braithwaite</t>
  </si>
  <si>
    <t>Allan</t>
  </si>
  <si>
    <t>Andrade Elias</t>
  </si>
  <si>
    <t>Expected Minutes</t>
  </si>
  <si>
    <t>xG</t>
  </si>
  <si>
    <t>xA/90</t>
  </si>
  <si>
    <t>BPS/90</t>
  </si>
  <si>
    <t>DC/90</t>
  </si>
  <si>
    <t>Historical xG/90 prior</t>
  </si>
  <si>
    <t>Historical xA/90 prior</t>
  </si>
  <si>
    <t>Historical Points/90 prior</t>
  </si>
  <si>
    <t>Minutes prior</t>
  </si>
  <si>
    <t>Max xG/90</t>
  </si>
  <si>
    <t>Max xA/90</t>
  </si>
  <si>
    <t>Current season starting weight</t>
  </si>
  <si>
    <t>Historical weight</t>
  </si>
  <si>
    <t>Folarin</t>
  </si>
  <si>
    <t>Balogun</t>
  </si>
  <si>
    <t>Alves Soares</t>
  </si>
  <si>
    <t>Elneny</t>
  </si>
  <si>
    <t>Jorge Luiz</t>
  </si>
  <si>
    <t>Frello Filho</t>
  </si>
  <si>
    <t>Jakub</t>
  </si>
  <si>
    <t>Kiwior</t>
  </si>
  <si>
    <t>Oliveira Alencar</t>
  </si>
  <si>
    <t>Partey</t>
  </si>
  <si>
    <t>Pépé</t>
  </si>
  <si>
    <t>Ramsdale</t>
  </si>
  <si>
    <t>Rúnar Alex</t>
  </si>
  <si>
    <t>Rúnarsson</t>
  </si>
  <si>
    <t>Tierney</t>
  </si>
  <si>
    <t>Leandro</t>
  </si>
  <si>
    <t>Trossard</t>
  </si>
  <si>
    <t>Oleksandr</t>
  </si>
  <si>
    <t>Zinchenko</t>
  </si>
  <si>
    <t>Raya Martin</t>
  </si>
  <si>
    <t>Hein</t>
  </si>
  <si>
    <t>Sagoe</t>
  </si>
  <si>
    <t>Reuell</t>
  </si>
  <si>
    <t>Walters</t>
  </si>
  <si>
    <t>Mauro</t>
  </si>
  <si>
    <t>Bandeira</t>
  </si>
  <si>
    <t>Sweet</t>
  </si>
  <si>
    <t>Alexandre</t>
  </si>
  <si>
    <t>Moreno Lopera</t>
  </si>
  <si>
    <t>Calum</t>
  </si>
  <si>
    <t>Chambers</t>
  </si>
  <si>
    <t>Philippe</t>
  </si>
  <si>
    <t>Coutinho Correia</t>
  </si>
  <si>
    <t>Keinan</t>
  </si>
  <si>
    <t>Leander</t>
  </si>
  <si>
    <t>Dendoncker</t>
  </si>
  <si>
    <t>Diego Carlos</t>
  </si>
  <si>
    <t>Santos Silva</t>
  </si>
  <si>
    <t>Douglas Luiz</t>
  </si>
  <si>
    <t>Soares de Paulo</t>
  </si>
  <si>
    <t>Jhon</t>
  </si>
  <si>
    <t>Durán</t>
  </si>
  <si>
    <t>Kortney</t>
  </si>
  <si>
    <t>Hause</t>
  </si>
  <si>
    <t>Olsen</t>
  </si>
  <si>
    <t>Philogene-Bidace</t>
  </si>
  <si>
    <t>Sanson</t>
  </si>
  <si>
    <t>Viljami</t>
  </si>
  <si>
    <t>Sinisalo</t>
  </si>
  <si>
    <t>Bertrand</t>
  </si>
  <si>
    <t>Traoré</t>
  </si>
  <si>
    <t>Moraes Ferreira da Silva</t>
  </si>
  <si>
    <t>Moussa</t>
  </si>
  <si>
    <t>Diaby</t>
  </si>
  <si>
    <t>Kellyman</t>
  </si>
  <si>
    <t>Marschall</t>
  </si>
  <si>
    <t>Zaniolo</t>
  </si>
  <si>
    <t>Oliwier</t>
  </si>
  <si>
    <t>Zych</t>
  </si>
  <si>
    <t>Clément</t>
  </si>
  <si>
    <t>Lenglet</t>
  </si>
  <si>
    <t>Proctor</t>
  </si>
  <si>
    <t>Tommi</t>
  </si>
  <si>
    <t>Gauci</t>
  </si>
  <si>
    <t>Finley</t>
  </si>
  <si>
    <t>Munroe</t>
  </si>
  <si>
    <t>Kadan</t>
  </si>
  <si>
    <t>Young</t>
  </si>
  <si>
    <t>Lander</t>
  </si>
  <si>
    <t>Emery</t>
  </si>
  <si>
    <t>Philip</t>
  </si>
  <si>
    <t>Billing</t>
  </si>
  <si>
    <t>Siriki</t>
  </si>
  <si>
    <t>Dembélé</t>
  </si>
  <si>
    <t>Fredericks</t>
  </si>
  <si>
    <t>Lloyd</t>
  </si>
  <si>
    <t>Kelly</t>
  </si>
  <si>
    <t>Gavin</t>
  </si>
  <si>
    <t>Kilkenny</t>
  </si>
  <si>
    <t>Jamal</t>
  </si>
  <si>
    <t>Lowe</t>
  </si>
  <si>
    <t>Marcondes</t>
  </si>
  <si>
    <t>Mepham</t>
  </si>
  <si>
    <t>Kieffer</t>
  </si>
  <si>
    <t>Norberto</t>
  </si>
  <si>
    <t>Murara Neto</t>
  </si>
  <si>
    <t>Pearson</t>
  </si>
  <si>
    <t>Darren</t>
  </si>
  <si>
    <t>Randolph</t>
  </si>
  <si>
    <t>Rothwell</t>
  </si>
  <si>
    <t>Senesi</t>
  </si>
  <si>
    <t>Solanke</t>
  </si>
  <si>
    <t>Hamed</t>
  </si>
  <si>
    <t>Traorè</t>
  </si>
  <si>
    <t>Illia</t>
  </si>
  <si>
    <t>Zabarnyi</t>
  </si>
  <si>
    <t>Ionuț</t>
  </si>
  <si>
    <t>Radu</t>
  </si>
  <si>
    <t>Greenwood</t>
  </si>
  <si>
    <t>Aarons</t>
  </si>
  <si>
    <t>Luis</t>
  </si>
  <si>
    <t>Sinisterra</t>
  </si>
  <si>
    <t>Faivre</t>
  </si>
  <si>
    <t>Kinsey</t>
  </si>
  <si>
    <t>Sadi</t>
  </si>
  <si>
    <t>Dacosta Gonzalez</t>
  </si>
  <si>
    <t>Callan</t>
  </si>
  <si>
    <t>McKenna</t>
  </si>
  <si>
    <t>Ellery</t>
  </si>
  <si>
    <t>Balcombe</t>
  </si>
  <si>
    <t>Shandon</t>
  </si>
  <si>
    <t>Baptiste</t>
  </si>
  <si>
    <t>Mads</t>
  </si>
  <si>
    <t>Bech Sørensen</t>
  </si>
  <si>
    <t>Bidstrup</t>
  </si>
  <si>
    <t>Sergi</t>
  </si>
  <si>
    <t>Canós Tenés</t>
  </si>
  <si>
    <t>Matthew</t>
  </si>
  <si>
    <t>Cox</t>
  </si>
  <si>
    <t>Halil</t>
  </si>
  <si>
    <t>Dervişoğlu</t>
  </si>
  <si>
    <t>Flekken</t>
  </si>
  <si>
    <t>Goode</t>
  </si>
  <si>
    <t>Mee</t>
  </si>
  <si>
    <t>Roerslev Rasmussen</t>
  </si>
  <si>
    <t>Strakosha</t>
  </si>
  <si>
    <t>Ivan</t>
  </si>
  <si>
    <t>Toney</t>
  </si>
  <si>
    <t>Trevitt</t>
  </si>
  <si>
    <t>Yegor</t>
  </si>
  <si>
    <t>Jorgensen</t>
  </si>
  <si>
    <t>Neal</t>
  </si>
  <si>
    <t>Maupay</t>
  </si>
  <si>
    <t>Sergio</t>
  </si>
  <si>
    <t>Reguilón</t>
  </si>
  <si>
    <t>Olakigbe</t>
  </si>
  <si>
    <t>Brierley</t>
  </si>
  <si>
    <t>Saman</t>
  </si>
  <si>
    <t>Ghoddos</t>
  </si>
  <si>
    <t>Ji-Soo</t>
  </si>
  <si>
    <t>Valintino</t>
  </si>
  <si>
    <t>Adedokun</t>
  </si>
  <si>
    <t>Peart-Harris</t>
  </si>
  <si>
    <t>Vincent</t>
  </si>
  <si>
    <t>Angelini</t>
  </si>
  <si>
    <t>Hákon</t>
  </si>
  <si>
    <t>Fredrick</t>
  </si>
  <si>
    <t>Yunus</t>
  </si>
  <si>
    <t>Konak</t>
  </si>
  <si>
    <t>Alzate</t>
  </si>
  <si>
    <t>Connolly</t>
  </si>
  <si>
    <t>Mahmoud</t>
  </si>
  <si>
    <t>Dahoud</t>
  </si>
  <si>
    <t>Pervis</t>
  </si>
  <si>
    <t>Estupiñán</t>
  </si>
  <si>
    <t>Billy</t>
  </si>
  <si>
    <t>Gilmour</t>
  </si>
  <si>
    <t>Michał</t>
  </si>
  <si>
    <t>Karbownik</t>
  </si>
  <si>
    <t>Kacper</t>
  </si>
  <si>
    <t>Kozłowski</t>
  </si>
  <si>
    <t>Lallana</t>
  </si>
  <si>
    <t>Tariq</t>
  </si>
  <si>
    <t>Lamptey</t>
  </si>
  <si>
    <t>Solly</t>
  </si>
  <si>
    <t>March</t>
  </si>
  <si>
    <t>McGill</t>
  </si>
  <si>
    <t>Milner</t>
  </si>
  <si>
    <t>Moder</t>
  </si>
  <si>
    <t>Sarmiento Morante</t>
  </si>
  <si>
    <t>Deniz</t>
  </si>
  <si>
    <t>Undav</t>
  </si>
  <si>
    <t>Veltman</t>
  </si>
  <si>
    <t>Webster</t>
  </si>
  <si>
    <t>Andi</t>
  </si>
  <si>
    <t>Zeqiri</t>
  </si>
  <si>
    <t>Anssumane</t>
  </si>
  <si>
    <t>Fati Vieira</t>
  </si>
  <si>
    <t>O’Mahony</t>
  </si>
  <si>
    <t>Benicio</t>
  </si>
  <si>
    <t>Baker-Boaitey</t>
  </si>
  <si>
    <t>Duffus</t>
  </si>
  <si>
    <t>Leigh</t>
  </si>
  <si>
    <t>Kavanagh</t>
  </si>
  <si>
    <t>Barrington</t>
  </si>
  <si>
    <t>Peupion</t>
  </si>
  <si>
    <t>Samy</t>
  </si>
  <si>
    <t>Chouchane</t>
  </si>
  <si>
    <t>Odeluga</t>
  </si>
  <si>
    <t>Offiah</t>
  </si>
  <si>
    <t>Noël</t>
  </si>
  <si>
    <t>Atom</t>
  </si>
  <si>
    <t>Enock</t>
  </si>
  <si>
    <t>Agyei</t>
  </si>
  <si>
    <t>Ameen</t>
  </si>
  <si>
    <t>Al-Dakhil</t>
  </si>
  <si>
    <t>Bastien</t>
  </si>
  <si>
    <t>Manuel Benson</t>
  </si>
  <si>
    <t>Hedilazio</t>
  </si>
  <si>
    <t>Beyer</t>
  </si>
  <si>
    <t>Brownhill</t>
  </si>
  <si>
    <t>Churlinov</t>
  </si>
  <si>
    <t>Cork</t>
  </si>
  <si>
    <t>Costelloe</t>
  </si>
  <si>
    <t>Cullen</t>
  </si>
  <si>
    <t>CJ</t>
  </si>
  <si>
    <t>Egan-Riley</t>
  </si>
  <si>
    <t>Hjalmar</t>
  </si>
  <si>
    <t>Ekdal</t>
  </si>
  <si>
    <t>Lyle</t>
  </si>
  <si>
    <t>Foster</t>
  </si>
  <si>
    <t>Denis</t>
  </si>
  <si>
    <t>Franchi</t>
  </si>
  <si>
    <t>Jóhann Berg</t>
  </si>
  <si>
    <t>Arijanet</t>
  </si>
  <si>
    <t>Muric</t>
  </si>
  <si>
    <t>Obafemi</t>
  </si>
  <si>
    <t>Peacock-Farrell</t>
  </si>
  <si>
    <t>Connor</t>
  </si>
  <si>
    <t>Roberts</t>
  </si>
  <si>
    <t>Rodriguez</t>
  </si>
  <si>
    <t>Twine</t>
  </si>
  <si>
    <t>Lawrence</t>
  </si>
  <si>
    <t>Vigouroux</t>
  </si>
  <si>
    <t>da Silva</t>
  </si>
  <si>
    <t>Wout</t>
  </si>
  <si>
    <t>Weghorst</t>
  </si>
  <si>
    <t>Anass</t>
  </si>
  <si>
    <t>Zaroury</t>
  </si>
  <si>
    <t>David Datro</t>
  </si>
  <si>
    <t>Zeki</t>
  </si>
  <si>
    <t>Amdouni</t>
  </si>
  <si>
    <t>Redmond</t>
  </si>
  <si>
    <t>Koleosho</t>
  </si>
  <si>
    <t>Bruun Larsen</t>
  </si>
  <si>
    <t>Owen</t>
  </si>
  <si>
    <t>Dodgson</t>
  </si>
  <si>
    <t>Hannes</t>
  </si>
  <si>
    <t>Delcroix</t>
  </si>
  <si>
    <t>Han-Noah</t>
  </si>
  <si>
    <t>Massengo</t>
  </si>
  <si>
    <t>Trésor</t>
  </si>
  <si>
    <t>Lorenz</t>
  </si>
  <si>
    <t>Assignon</t>
  </si>
  <si>
    <t>Maxime</t>
  </si>
  <si>
    <t>Esteve</t>
  </si>
  <si>
    <t>Estève</t>
  </si>
  <si>
    <t>Arrizabalaga</t>
  </si>
  <si>
    <t>Pierre-Emerick</t>
  </si>
  <si>
    <t>Aubameyang</t>
  </si>
  <si>
    <t>Azpilicueta</t>
  </si>
  <si>
    <t>Abdul Rahman</t>
  </si>
  <si>
    <t>Baba</t>
  </si>
  <si>
    <t>Badiashile</t>
  </si>
  <si>
    <t>Chilwell</t>
  </si>
  <si>
    <t>Carney</t>
  </si>
  <si>
    <t>Chukwuemeka</t>
  </si>
  <si>
    <t>Colwill</t>
  </si>
  <si>
    <t>Cucurella Saseta</t>
  </si>
  <si>
    <t>Romelu</t>
  </si>
  <si>
    <t>Lukaku Bolingoli</t>
  </si>
  <si>
    <t>Christopher</t>
  </si>
  <si>
    <t>Nkunku</t>
  </si>
  <si>
    <t>Pulisic</t>
  </si>
  <si>
    <t>Malang</t>
  </si>
  <si>
    <t>Słonina</t>
  </si>
  <si>
    <t>Raheem</t>
  </si>
  <si>
    <t>Sterling</t>
  </si>
  <si>
    <t>Thiago</t>
  </si>
  <si>
    <t>Emiliano da Silva</t>
  </si>
  <si>
    <t>Hakim</t>
  </si>
  <si>
    <t>Ziyech</t>
  </si>
  <si>
    <t>Ângelo Gabriel</t>
  </si>
  <si>
    <t>Borges Damaceno</t>
  </si>
  <si>
    <t>Lesley</t>
  </si>
  <si>
    <t>Ugochukwu</t>
  </si>
  <si>
    <t>Bergström</t>
  </si>
  <si>
    <t>Bashir</t>
  </si>
  <si>
    <t>Deivid Washington</t>
  </si>
  <si>
    <t>de Souza Eugênio</t>
  </si>
  <si>
    <t>Beach</t>
  </si>
  <si>
    <t>Diego Manuel Jadon</t>
  </si>
  <si>
    <t>da Silva Moreira</t>
  </si>
  <si>
    <t>Gilchrist</t>
  </si>
  <si>
    <t>Ronnie</t>
  </si>
  <si>
    <t>Stutter</t>
  </si>
  <si>
    <t>Matos</t>
  </si>
  <si>
    <t>Brooking</t>
  </si>
  <si>
    <t>Castledine</t>
  </si>
  <si>
    <t>Cesare</t>
  </si>
  <si>
    <t>Casadei</t>
  </si>
  <si>
    <t>Ishé</t>
  </si>
  <si>
    <t>Samuels-Smith</t>
  </si>
  <si>
    <t>Jimi</t>
  </si>
  <si>
    <t>Tauriainen</t>
  </si>
  <si>
    <t>Teddy</t>
  </si>
  <si>
    <t>Sharman-Lowe</t>
  </si>
  <si>
    <t>Kiano</t>
  </si>
  <si>
    <t>Dyer</t>
  </si>
  <si>
    <t>Ted</t>
  </si>
  <si>
    <t>Curd</t>
  </si>
  <si>
    <t>Zak</t>
  </si>
  <si>
    <t>Sturge</t>
  </si>
  <si>
    <t>Rob</t>
  </si>
  <si>
    <t>Holding</t>
  </si>
  <si>
    <t>Naouirou</t>
  </si>
  <si>
    <t>Ahamada</t>
  </si>
  <si>
    <t>Ayew</t>
  </si>
  <si>
    <t>Nathaniel</t>
  </si>
  <si>
    <t>Clyne</t>
  </si>
  <si>
    <t>Malcolm</t>
  </si>
  <si>
    <t>Ebiowei</t>
  </si>
  <si>
    <t>Odsonne</t>
  </si>
  <si>
    <t>Edouard</t>
  </si>
  <si>
    <t>Vicente</t>
  </si>
  <si>
    <t>Guaita</t>
  </si>
  <si>
    <t>Johnstone</t>
  </si>
  <si>
    <t>Olise</t>
  </si>
  <si>
    <t>Plange</t>
  </si>
  <si>
    <t>Jairo</t>
  </si>
  <si>
    <t>Riedewald</t>
  </si>
  <si>
    <t>Jeffrey</t>
  </si>
  <si>
    <t>Schlupp</t>
  </si>
  <si>
    <t>Tomkins</t>
  </si>
  <si>
    <t>Ward</t>
  </si>
  <si>
    <t>Whitworth</t>
  </si>
  <si>
    <t>John-Kymani</t>
  </si>
  <si>
    <t>Gordon</t>
  </si>
  <si>
    <t>Ademola</t>
  </si>
  <si>
    <t>Ola-Adebomi</t>
  </si>
  <si>
    <t>Ozoh</t>
  </si>
  <si>
    <t>Jadan</t>
  </si>
  <si>
    <t>Raymond</t>
  </si>
  <si>
    <t>Tayo</t>
  </si>
  <si>
    <t>Adaramola</t>
  </si>
  <si>
    <t>Muñoz</t>
  </si>
  <si>
    <t>Franco</t>
  </si>
  <si>
    <t>Umeh-Chibueze</t>
  </si>
  <si>
    <t>Rodney</t>
  </si>
  <si>
    <t>Roshaun</t>
  </si>
  <si>
    <t>Mathurin</t>
  </si>
  <si>
    <t>André</t>
  </si>
  <si>
    <t>Tavares Gomes</t>
  </si>
  <si>
    <t>Seamus</t>
  </si>
  <si>
    <t>Coleman</t>
  </si>
  <si>
    <t>Dele</t>
  </si>
  <si>
    <t>Alli</t>
  </si>
  <si>
    <t>Abdoulaye</t>
  </si>
  <si>
    <t>Gbamin</t>
  </si>
  <si>
    <t>Godfrey</t>
  </si>
  <si>
    <t>Demarai</t>
  </si>
  <si>
    <t>Idrissa</t>
  </si>
  <si>
    <t>Gueye</t>
  </si>
  <si>
    <t>João</t>
  </si>
  <si>
    <t>Neves Virgínia</t>
  </si>
  <si>
    <t>Andy</t>
  </si>
  <si>
    <t>Lonergan</t>
  </si>
  <si>
    <t>Arnaut</t>
  </si>
  <si>
    <t>Danjuma Groeneveld</t>
  </si>
  <si>
    <t>Dobbin</t>
  </si>
  <si>
    <t>Youssef</t>
  </si>
  <si>
    <t>Ramalho Chermiti</t>
  </si>
  <si>
    <t>Cannon</t>
  </si>
  <si>
    <t>Onyango</t>
  </si>
  <si>
    <t>Mackenzie</t>
  </si>
  <si>
    <t>Hunt</t>
  </si>
  <si>
    <t>Metcalfe</t>
  </si>
  <si>
    <t>Elijah</t>
  </si>
  <si>
    <t>Campbell</t>
  </si>
  <si>
    <t>Warrington</t>
  </si>
  <si>
    <t>Crellin</t>
  </si>
  <si>
    <t>Armando</t>
  </si>
  <si>
    <t>Broja</t>
  </si>
  <si>
    <t>Andreas</t>
  </si>
  <si>
    <t>Hoelgebaum Pereira</t>
  </si>
  <si>
    <t>Neves Abreu Cavaleiro</t>
  </si>
  <si>
    <t>De Cordova-Reid</t>
  </si>
  <si>
    <t>Tyrese</t>
  </si>
  <si>
    <t>Francois</t>
  </si>
  <si>
    <t>Knockaert</t>
  </si>
  <si>
    <t>Terence</t>
  </si>
  <si>
    <t>Kongolo</t>
  </si>
  <si>
    <t>Mbabu</t>
  </si>
  <si>
    <t>Aleksandar</t>
  </si>
  <si>
    <t>Mitrović</t>
  </si>
  <si>
    <t>Palhinha Gonçalves</t>
  </si>
  <si>
    <t>Ream</t>
  </si>
  <si>
    <t>Marek</t>
  </si>
  <si>
    <t>Rodák</t>
  </si>
  <si>
    <t>Carlos Vinícius</t>
  </si>
  <si>
    <t>Alves Morais</t>
  </si>
  <si>
    <t>Raúl</t>
  </si>
  <si>
    <t>Jiménez</t>
  </si>
  <si>
    <t>Willian</t>
  </si>
  <si>
    <t>Borges da Silva</t>
  </si>
  <si>
    <t>Stansfield</t>
  </si>
  <si>
    <t>Dibley-Dias</t>
  </si>
  <si>
    <t>Adama</t>
  </si>
  <si>
    <t>Harris</t>
  </si>
  <si>
    <t>Fodé</t>
  </si>
  <si>
    <t>Ballo-Touré</t>
  </si>
  <si>
    <t>Devan</t>
  </si>
  <si>
    <t>Tanton</t>
  </si>
  <si>
    <t>Kristian</t>
  </si>
  <si>
    <t>Sekularac</t>
  </si>
  <si>
    <t>Adrián</t>
  </si>
  <si>
    <t>San Miguel del Castillo</t>
  </si>
  <si>
    <t>Trent</t>
  </si>
  <si>
    <t>Alexander-Arnold</t>
  </si>
  <si>
    <t>Ramses Becker</t>
  </si>
  <si>
    <t>Bajcetic</t>
  </si>
  <si>
    <t>Darwin</t>
  </si>
  <si>
    <t>Núñez Ribeiro</t>
  </si>
  <si>
    <t>Teixeira da Silva</t>
  </si>
  <si>
    <t>Fabio Henrique</t>
  </si>
  <si>
    <t>Tavares</t>
  </si>
  <si>
    <t>Caoimhin</t>
  </si>
  <si>
    <t>Ibrahima</t>
  </si>
  <si>
    <t>Konaté</t>
  </si>
  <si>
    <t>Díaz</t>
  </si>
  <si>
    <t>Matip</t>
  </si>
  <si>
    <t>Salah</t>
  </si>
  <si>
    <t>Alcántara do Nascimento</t>
  </si>
  <si>
    <t>Jarell</t>
  </si>
  <si>
    <t>Quansah</t>
  </si>
  <si>
    <t>Clark</t>
  </si>
  <si>
    <t>Doak</t>
  </si>
  <si>
    <t>Scanlon</t>
  </si>
  <si>
    <t>Treymaurice</t>
  </si>
  <si>
    <t>Marcelo</t>
  </si>
  <si>
    <t>de Araújo Pitaluga Filho</t>
  </si>
  <si>
    <t>Beck</t>
  </si>
  <si>
    <t>Kaide</t>
  </si>
  <si>
    <t>Mrozek</t>
  </si>
  <si>
    <t>Amara</t>
  </si>
  <si>
    <t>Nallo</t>
  </si>
  <si>
    <t>Albert</t>
  </si>
  <si>
    <t>Sambi Lokonga</t>
  </si>
  <si>
    <t>Marvelous</t>
  </si>
  <si>
    <t>Nakamba</t>
  </si>
  <si>
    <t>Adebayo</t>
  </si>
  <si>
    <t>Mads Juel</t>
  </si>
  <si>
    <t>Amari'i</t>
  </si>
  <si>
    <t>Bell</t>
  </si>
  <si>
    <t>Berry</t>
  </si>
  <si>
    <t>Burke</t>
  </si>
  <si>
    <t>Doughty</t>
  </si>
  <si>
    <t>Freeman</t>
  </si>
  <si>
    <t>Macey</t>
  </si>
  <si>
    <t>Mendes Gomes</t>
  </si>
  <si>
    <t>Carlton</t>
  </si>
  <si>
    <t>Morris</t>
  </si>
  <si>
    <t>Admiral</t>
  </si>
  <si>
    <t>Muskwe</t>
  </si>
  <si>
    <t>Fred</t>
  </si>
  <si>
    <t>Onyedinma</t>
  </si>
  <si>
    <t>Osho</t>
  </si>
  <si>
    <t>Aribim</t>
  </si>
  <si>
    <t>Pepple</t>
  </si>
  <si>
    <t>Dion</t>
  </si>
  <si>
    <t>Pereira</t>
  </si>
  <si>
    <t>Potts</t>
  </si>
  <si>
    <t>Glen</t>
  </si>
  <si>
    <t>Rea</t>
  </si>
  <si>
    <t>Thorpe</t>
  </si>
  <si>
    <t>Louie</t>
  </si>
  <si>
    <t>Cauley</t>
  </si>
  <si>
    <t>Woodrow</t>
  </si>
  <si>
    <t>Teden</t>
  </si>
  <si>
    <t>Mengi</t>
  </si>
  <si>
    <t>Lockyer</t>
  </si>
  <si>
    <t>Pelly Ruddock</t>
  </si>
  <si>
    <t>Mpanzu</t>
  </si>
  <si>
    <t>Tahith</t>
  </si>
  <si>
    <t>Chong</t>
  </si>
  <si>
    <t>Kaboré</t>
  </si>
  <si>
    <t>Kaminski</t>
  </si>
  <si>
    <t>Brown</t>
  </si>
  <si>
    <t>Aidan</t>
  </si>
  <si>
    <t>Francis-Clarke</t>
  </si>
  <si>
    <t>Krul</t>
  </si>
  <si>
    <t>Joseph</t>
  </si>
  <si>
    <t>Andros</t>
  </si>
  <si>
    <t>Townsend</t>
  </si>
  <si>
    <t>Luker</t>
  </si>
  <si>
    <t>Zack</t>
  </si>
  <si>
    <t>Daiki</t>
  </si>
  <si>
    <t>Hashioka</t>
  </si>
  <si>
    <t>Piesold</t>
  </si>
  <si>
    <t>Dos Santos Martins</t>
  </si>
  <si>
    <t>Chigozie</t>
  </si>
  <si>
    <t>Taylan</t>
  </si>
  <si>
    <t>Akanji</t>
  </si>
  <si>
    <t>Aké</t>
  </si>
  <si>
    <t>Álvarez</t>
  </si>
  <si>
    <t>Bernardo</t>
  </si>
  <si>
    <t>Veiga de Carvalho e Silva</t>
  </si>
  <si>
    <t>Cancelo</t>
  </si>
  <si>
    <t>Carson</t>
  </si>
  <si>
    <t>De Bruyne</t>
  </si>
  <si>
    <t>Gato Alves Dias</t>
  </si>
  <si>
    <t>Ederson</t>
  </si>
  <si>
    <t>Santana de Moraes</t>
  </si>
  <si>
    <t>Aymeric</t>
  </si>
  <si>
    <t>Laporte</t>
  </si>
  <si>
    <t>Riyad</t>
  </si>
  <si>
    <t>Mahrez</t>
  </si>
  <si>
    <t>Ortega Moreno</t>
  </si>
  <si>
    <t>Máximo</t>
  </si>
  <si>
    <t>Perrone</t>
  </si>
  <si>
    <t>Hernandez</t>
  </si>
  <si>
    <t>Gómez</t>
  </si>
  <si>
    <t>Steffen</t>
  </si>
  <si>
    <t>Stones</t>
  </si>
  <si>
    <t>Kyle</t>
  </si>
  <si>
    <t>Walker</t>
  </si>
  <si>
    <t>Matheus Luiz</t>
  </si>
  <si>
    <t>Mahamadou</t>
  </si>
  <si>
    <t>Susoho</t>
  </si>
  <si>
    <t>Micah</t>
  </si>
  <si>
    <t>Hamilton</t>
  </si>
  <si>
    <t>Telles</t>
  </si>
  <si>
    <t>Antony Matheus</t>
  </si>
  <si>
    <t>dos Santos</t>
  </si>
  <si>
    <t>Antony</t>
  </si>
  <si>
    <t>Eric</t>
  </si>
  <si>
    <t>Bailly</t>
  </si>
  <si>
    <t>Carlos Henrique</t>
  </si>
  <si>
    <t>Casimiro</t>
  </si>
  <si>
    <t>Eriksen</t>
  </si>
  <si>
    <t>Fernández Carreras</t>
  </si>
  <si>
    <t>Frederico</t>
  </si>
  <si>
    <t>Rodrigues de Paula Santos</t>
  </si>
  <si>
    <t>Garnacho</t>
  </si>
  <si>
    <t>Hannibal</t>
  </si>
  <si>
    <t>Mejbri</t>
  </si>
  <si>
    <t>Tyrell</t>
  </si>
  <si>
    <t>Malacia</t>
  </si>
  <si>
    <t>Martial</t>
  </si>
  <si>
    <t>McTominay</t>
  </si>
  <si>
    <t>Pellistri Rebollo</t>
  </si>
  <si>
    <t>Raphaël</t>
  </si>
  <si>
    <t>Varane</t>
  </si>
  <si>
    <t>Jadon</t>
  </si>
  <si>
    <t>Sancho</t>
  </si>
  <si>
    <t>Shola</t>
  </si>
  <si>
    <t>Shoretire</t>
  </si>
  <si>
    <t>Donny</t>
  </si>
  <si>
    <t>van de Beek</t>
  </si>
  <si>
    <t>Rasmus</t>
  </si>
  <si>
    <t>Højlund</t>
  </si>
  <si>
    <t>Forson</t>
  </si>
  <si>
    <t>Radek</t>
  </si>
  <si>
    <t>Vítek</t>
  </si>
  <si>
    <t>Gore</t>
  </si>
  <si>
    <t>Bayindir</t>
  </si>
  <si>
    <t>Jonny</t>
  </si>
  <si>
    <t>Evans</t>
  </si>
  <si>
    <t>Sofyan</t>
  </si>
  <si>
    <t>Amrabat</t>
  </si>
  <si>
    <t>Hugill</t>
  </si>
  <si>
    <t>Willy</t>
  </si>
  <si>
    <t>Kambwala</t>
  </si>
  <si>
    <t>Rhys</t>
  </si>
  <si>
    <t>Bennett</t>
  </si>
  <si>
    <t>Habeeb</t>
  </si>
  <si>
    <t>Ogunneye</t>
  </si>
  <si>
    <t>Dermot</t>
  </si>
  <si>
    <t>Wheatley</t>
  </si>
  <si>
    <t>Louis</t>
  </si>
  <si>
    <t>Almirón Rejala</t>
  </si>
  <si>
    <t>Ashby</t>
  </si>
  <si>
    <t>Isaac</t>
  </si>
  <si>
    <t>Jeff</t>
  </si>
  <si>
    <t>Hendrick</t>
  </si>
  <si>
    <t>Emil</t>
  </si>
  <si>
    <t>Krafth</t>
  </si>
  <si>
    <t>Garang</t>
  </si>
  <si>
    <t>Kuol</t>
  </si>
  <si>
    <t>Jamaal</t>
  </si>
  <si>
    <t>Lascelles</t>
  </si>
  <si>
    <t>Javier</t>
  </si>
  <si>
    <t>Manquillo Gaitán</t>
  </si>
  <si>
    <t>Ritchie</t>
  </si>
  <si>
    <t>Saint-Maximin</t>
  </si>
  <si>
    <t>Trippier</t>
  </si>
  <si>
    <t>Kell</t>
  </si>
  <si>
    <t>Watts</t>
  </si>
  <si>
    <t>Loris</t>
  </si>
  <si>
    <t>Karius</t>
  </si>
  <si>
    <t>Paul</t>
  </si>
  <si>
    <t>Dummett</t>
  </si>
  <si>
    <t>Parkinson</t>
  </si>
  <si>
    <t>Ndiweni</t>
  </si>
  <si>
    <t>Travis</t>
  </si>
  <si>
    <t>Hernes</t>
  </si>
  <si>
    <t>Nuno</t>
  </si>
  <si>
    <t>Varela Tavares</t>
  </si>
  <si>
    <t>Turner</t>
  </si>
  <si>
    <t>Aguilera Zamora</t>
  </si>
  <si>
    <t>Arter</t>
  </si>
  <si>
    <t>Serge</t>
  </si>
  <si>
    <t>Aurier</t>
  </si>
  <si>
    <t>Giulian</t>
  </si>
  <si>
    <t>Biancone</t>
  </si>
  <si>
    <t>Boly</t>
  </si>
  <si>
    <t>Bowler</t>
  </si>
  <si>
    <t>Steve</t>
  </si>
  <si>
    <t>Danilo</t>
  </si>
  <si>
    <t>dos Santos de Oliveira</t>
  </si>
  <si>
    <t>Dräger</t>
  </si>
  <si>
    <t>Felipe Augusto</t>
  </si>
  <si>
    <t>de Almeida Monteiro</t>
  </si>
  <si>
    <t>Remo</t>
  </si>
  <si>
    <t>Freuler</t>
  </si>
  <si>
    <t>Wayne</t>
  </si>
  <si>
    <t>Hennessey</t>
  </si>
  <si>
    <t>Horvath</t>
  </si>
  <si>
    <t>Cheikhou</t>
  </si>
  <si>
    <t>Kouyaté</t>
  </si>
  <si>
    <t>Richie</t>
  </si>
  <si>
    <t>Laryea</t>
  </si>
  <si>
    <t>Orel</t>
  </si>
  <si>
    <t>Mangala</t>
  </si>
  <si>
    <t>Loïc</t>
  </si>
  <si>
    <t>Mbe Soh</t>
  </si>
  <si>
    <t>Mighten</t>
  </si>
  <si>
    <t>Niakhaté</t>
  </si>
  <si>
    <t>Braian</t>
  </si>
  <si>
    <t>Ojeda Rodríguez</t>
  </si>
  <si>
    <t>Jonathan</t>
  </si>
  <si>
    <t>Panzo</t>
  </si>
  <si>
    <t>Gustavo Henrique</t>
  </si>
  <si>
    <t>Furtado Scarpa</t>
  </si>
  <si>
    <t>Jonjo</t>
  </si>
  <si>
    <t>Shelvey</t>
  </si>
  <si>
    <t>Surridge</t>
  </si>
  <si>
    <t>Toffolo</t>
  </si>
  <si>
    <t>Hwang</t>
  </si>
  <si>
    <t>Ui-jo</t>
  </si>
  <si>
    <t>Worrall</t>
  </si>
  <si>
    <t>Olu</t>
  </si>
  <si>
    <t>Powell</t>
  </si>
  <si>
    <t>Montiel</t>
  </si>
  <si>
    <t>Santiago Costa dos Santos</t>
  </si>
  <si>
    <t>Odysseas</t>
  </si>
  <si>
    <t>Vlachodimos</t>
  </si>
  <si>
    <t>Omobamidele</t>
  </si>
  <si>
    <t>Divock</t>
  </si>
  <si>
    <t>Origi</t>
  </si>
  <si>
    <t>McDonnell</t>
  </si>
  <si>
    <t>Detlef Esapa</t>
  </si>
  <si>
    <t>Osong</t>
  </si>
  <si>
    <t>Gardner</t>
  </si>
  <si>
    <t>Reyna</t>
  </si>
  <si>
    <t>Duarte Ribeiro</t>
  </si>
  <si>
    <t>Auston</t>
  </si>
  <si>
    <t>Trusty</t>
  </si>
  <si>
    <t>Archer</t>
  </si>
  <si>
    <t>Holgate</t>
  </si>
  <si>
    <t>Anel</t>
  </si>
  <si>
    <t>Ahmedhodžić</t>
  </si>
  <si>
    <t>Amissah</t>
  </si>
  <si>
    <t>Baldock</t>
  </si>
  <si>
    <t>Basham</t>
  </si>
  <si>
    <t>Rhian</t>
  </si>
  <si>
    <t>Brewster</t>
  </si>
  <si>
    <t>Ismaila</t>
  </si>
  <si>
    <t>Coulibaly</t>
  </si>
  <si>
    <t>Fleck</t>
  </si>
  <si>
    <t>Foderingham</t>
  </si>
  <si>
    <t>Norrington-Davies</t>
  </si>
  <si>
    <t>Norwood</t>
  </si>
  <si>
    <t>Osborn</t>
  </si>
  <si>
    <t>Slimane</t>
  </si>
  <si>
    <t>Yasser</t>
  </si>
  <si>
    <t>Larouci</t>
  </si>
  <si>
    <t>Bénie</t>
  </si>
  <si>
    <t>Vini</t>
  </si>
  <si>
    <t>de Souza Costa</t>
  </si>
  <si>
    <t>Femi</t>
  </si>
  <si>
    <t>Seriki</t>
  </si>
  <si>
    <t>Marsh</t>
  </si>
  <si>
    <t>Andre</t>
  </si>
  <si>
    <t>Antwoine</t>
  </si>
  <si>
    <t>Hackford</t>
  </si>
  <si>
    <t>Oné</t>
  </si>
  <si>
    <t>Jili</t>
  </si>
  <si>
    <t>Buyabu</t>
  </si>
  <si>
    <t>Sydie</t>
  </si>
  <si>
    <t>Peck</t>
  </si>
  <si>
    <t>Brereton</t>
  </si>
  <si>
    <t>Brereton Díaz</t>
  </si>
  <si>
    <t>Ivo</t>
  </si>
  <si>
    <t>Grbic</t>
  </si>
  <si>
    <t>Blacker</t>
  </si>
  <si>
    <t>Arblaster</t>
  </si>
  <si>
    <t>Dovydas</t>
  </si>
  <si>
    <t>Sasnauskas</t>
  </si>
  <si>
    <t>Hampson</t>
  </si>
  <si>
    <t>Yves</t>
  </si>
  <si>
    <t>Bissouma</t>
  </si>
  <si>
    <t>Gil Salvatierra</t>
  </si>
  <si>
    <t>Dier</t>
  </si>
  <si>
    <t>Emerson</t>
  </si>
  <si>
    <t>Leite de Souza Junior</t>
  </si>
  <si>
    <t>Pierre-Emile</t>
  </si>
  <si>
    <t>Højbjerg</t>
  </si>
  <si>
    <t>Kane</t>
  </si>
  <si>
    <t>Lloris</t>
  </si>
  <si>
    <t>Giovani</t>
  </si>
  <si>
    <t>Lo Celso</t>
  </si>
  <si>
    <t>Tanguy</t>
  </si>
  <si>
    <t>Ndombélé Alvaro</t>
  </si>
  <si>
    <t>Porro</t>
  </si>
  <si>
    <t>Perišić</t>
  </si>
  <si>
    <t>Davinson</t>
  </si>
  <si>
    <t>Skipp</t>
  </si>
  <si>
    <t>Son</t>
  </si>
  <si>
    <t>Heung-min</t>
  </si>
  <si>
    <t>Japhet</t>
  </si>
  <si>
    <t>Tanganga</t>
  </si>
  <si>
    <t>Whiteman</t>
  </si>
  <si>
    <t>Manor</t>
  </si>
  <si>
    <t>Solomon</t>
  </si>
  <si>
    <t>Alejo</t>
  </si>
  <si>
    <t>Véliz</t>
  </si>
  <si>
    <t>Donley</t>
  </si>
  <si>
    <t>Dorrington</t>
  </si>
  <si>
    <t>Yago</t>
  </si>
  <si>
    <t>de Santiago Alonso</t>
  </si>
  <si>
    <t>Timo</t>
  </si>
  <si>
    <t>Werner</t>
  </si>
  <si>
    <t>Dragusin</t>
  </si>
  <si>
    <t>Drăgușin</t>
  </si>
  <si>
    <t>Nayef</t>
  </si>
  <si>
    <t>Aguerd</t>
  </si>
  <si>
    <t>Michail</t>
  </si>
  <si>
    <t>Antonio</t>
  </si>
  <si>
    <t>Alphonse</t>
  </si>
  <si>
    <t>Areola</t>
  </si>
  <si>
    <t>Saïd</t>
  </si>
  <si>
    <t>Benrahma</t>
  </si>
  <si>
    <t>Jarrod</t>
  </si>
  <si>
    <t>Bowen</t>
  </si>
  <si>
    <t>Maxwel</t>
  </si>
  <si>
    <t>Cornet</t>
  </si>
  <si>
    <t>Vladimír</t>
  </si>
  <si>
    <t>Coufal</t>
  </si>
  <si>
    <t>Coventry</t>
  </si>
  <si>
    <t>Flynn</t>
  </si>
  <si>
    <t>Downes</t>
  </si>
  <si>
    <t>Palmieri dos Santos</t>
  </si>
  <si>
    <t>Lukasz</t>
  </si>
  <si>
    <t>Fabianski</t>
  </si>
  <si>
    <t>Pablo</t>
  </si>
  <si>
    <t>Fornals Malla</t>
  </si>
  <si>
    <t>Ings</t>
  </si>
  <si>
    <t>Thilo</t>
  </si>
  <si>
    <t>Kehrer</t>
  </si>
  <si>
    <t>Divin</t>
  </si>
  <si>
    <t>Mubama</t>
  </si>
  <si>
    <t>Tolentino Coelho de Lima</t>
  </si>
  <si>
    <t>Gianluca</t>
  </si>
  <si>
    <t>Scamacca</t>
  </si>
  <si>
    <t>Tomáš</t>
  </si>
  <si>
    <t>Souček</t>
  </si>
  <si>
    <t>Vlašić</t>
  </si>
  <si>
    <t>Kurt</t>
  </si>
  <si>
    <t>Zouma</t>
  </si>
  <si>
    <t>Angelo</t>
  </si>
  <si>
    <t>Ogbonna</t>
  </si>
  <si>
    <t>Edson</t>
  </si>
  <si>
    <t>Álvarez Velázquez</t>
  </si>
  <si>
    <t>Anang</t>
  </si>
  <si>
    <t>Ward-Prowse</t>
  </si>
  <si>
    <t>Mavropanos</t>
  </si>
  <si>
    <t>Orford</t>
  </si>
  <si>
    <t>Kaelan</t>
  </si>
  <si>
    <t>Casey</t>
  </si>
  <si>
    <t>Scarles</t>
  </si>
  <si>
    <t>Marshall</t>
  </si>
  <si>
    <t>Earthy</t>
  </si>
  <si>
    <t>Tommy</t>
  </si>
  <si>
    <t>Doyle</t>
  </si>
  <si>
    <t>Bendegúz</t>
  </si>
  <si>
    <t>Bolla</t>
  </si>
  <si>
    <t>Bueno López</t>
  </si>
  <si>
    <t>Francisco Jorge</t>
  </si>
  <si>
    <t>Tomás Oliveira</t>
  </si>
  <si>
    <t>Cundle</t>
  </si>
  <si>
    <t>Craig</t>
  </si>
  <si>
    <t>Dawson</t>
  </si>
  <si>
    <t>Silva</t>
  </si>
  <si>
    <t>Gonçalo Manuel</t>
  </si>
  <si>
    <t>Ganchinho Guedes</t>
  </si>
  <si>
    <t>Hodge</t>
  </si>
  <si>
    <t>Ki-Jana</t>
  </si>
  <si>
    <t>Hoever</t>
  </si>
  <si>
    <t>Hee-chan</t>
  </si>
  <si>
    <t>Gomes da Silva</t>
  </si>
  <si>
    <t>Castro Otto</t>
  </si>
  <si>
    <t>Cavaco Jordão</t>
  </si>
  <si>
    <t>Sasa</t>
  </si>
  <si>
    <t>Kalajdzic</t>
  </si>
  <si>
    <t>Kalajdžić</t>
  </si>
  <si>
    <t>Kilman</t>
  </si>
  <si>
    <t>Mario</t>
  </si>
  <si>
    <t>Lemina</t>
  </si>
  <si>
    <t>Castelo Podence</t>
  </si>
  <si>
    <t>José</t>
  </si>
  <si>
    <t>Malheiro de Sá</t>
  </si>
  <si>
    <t>Sarabia</t>
  </si>
  <si>
    <t>Matija</t>
  </si>
  <si>
    <t>Šarkić</t>
  </si>
  <si>
    <t>Nélson</t>
  </si>
  <si>
    <t>Cabral Semedo</t>
  </si>
  <si>
    <t>Toti António</t>
  </si>
  <si>
    <t>Toti</t>
  </si>
  <si>
    <t>Santos Carneiro Da Cunha</t>
  </si>
  <si>
    <t>Doherty</t>
  </si>
  <si>
    <t>Santiago</t>
  </si>
  <si>
    <t>Bueno</t>
  </si>
  <si>
    <t>Enso</t>
  </si>
  <si>
    <t>González</t>
  </si>
  <si>
    <t>Jean-Ricner</t>
  </si>
  <si>
    <t>Bellegarde</t>
  </si>
  <si>
    <t>Whittingham</t>
  </si>
  <si>
    <t>Tawanda</t>
  </si>
  <si>
    <t>Chirewa</t>
  </si>
  <si>
    <t>Hubner</t>
  </si>
  <si>
    <t>Hesketh</t>
  </si>
  <si>
    <t>Ty</t>
  </si>
  <si>
    <t>Barnett</t>
  </si>
  <si>
    <t>Griffiths</t>
  </si>
  <si>
    <t>Yerson</t>
  </si>
  <si>
    <t>Noha</t>
  </si>
  <si>
    <t>Okoduwa</t>
  </si>
  <si>
    <t>Chiwome</t>
  </si>
  <si>
    <t>Holman</t>
  </si>
  <si>
    <t>Temple</t>
  </si>
  <si>
    <t>Ojinnaka</t>
  </si>
  <si>
    <t>Merino</t>
  </si>
  <si>
    <t>Salah-Eddine</t>
  </si>
  <si>
    <t>Oulad M'hand</t>
  </si>
  <si>
    <t>Setford</t>
  </si>
  <si>
    <t>Maldini</t>
  </si>
  <si>
    <t>Kacurri</t>
  </si>
  <si>
    <t>Ismeal</t>
  </si>
  <si>
    <t>Kabia</t>
  </si>
  <si>
    <t>Nichols</t>
  </si>
  <si>
    <t>Butler-Oyedeji</t>
  </si>
  <si>
    <t>Arteta</t>
  </si>
  <si>
    <t>Porter</t>
  </si>
  <si>
    <t>Gower</t>
  </si>
  <si>
    <t>Henry-Francis</t>
  </si>
  <si>
    <t>Brayden</t>
  </si>
  <si>
    <t>Barrenechea</t>
  </si>
  <si>
    <t>Nedeljković</t>
  </si>
  <si>
    <t>Lino</t>
  </si>
  <si>
    <t>da Cruz Sousa</t>
  </si>
  <si>
    <t>Sil</t>
  </si>
  <si>
    <t>Swinkels</t>
  </si>
  <si>
    <t>Broggio</t>
  </si>
  <si>
    <t>Jamaldeen</t>
  </si>
  <si>
    <t>Jimoh</t>
  </si>
  <si>
    <t>Donyell</t>
  </si>
  <si>
    <t>Malen</t>
  </si>
  <si>
    <t>Unai</t>
  </si>
  <si>
    <t>Asensio</t>
  </si>
  <si>
    <t>Paulsen</t>
  </si>
  <si>
    <t>Huijsen</t>
  </si>
  <si>
    <t>Winterburn</t>
  </si>
  <si>
    <t>Remy</t>
  </si>
  <si>
    <t>Rees-Dottin</t>
  </si>
  <si>
    <t>Matai</t>
  </si>
  <si>
    <t>Akinmboni</t>
  </si>
  <si>
    <t>Soler</t>
  </si>
  <si>
    <t>Adu-Adjei</t>
  </si>
  <si>
    <t>Zain</t>
  </si>
  <si>
    <t>Silcott-Duberry</t>
  </si>
  <si>
    <t>Andoni</t>
  </si>
  <si>
    <t>Iraola</t>
  </si>
  <si>
    <t>Yunus Emre</t>
  </si>
  <si>
    <t>Nunes Fernandes Gomes</t>
  </si>
  <si>
    <t>Meghoma</t>
  </si>
  <si>
    <t>Tony</t>
  </si>
  <si>
    <t>Yogane</t>
  </si>
  <si>
    <t>Paris</t>
  </si>
  <si>
    <t>Maghoma</t>
  </si>
  <si>
    <t>Julian</t>
  </si>
  <si>
    <t>Eyestone</t>
  </si>
  <si>
    <t>Iwan</t>
  </si>
  <si>
    <t>Adrian</t>
  </si>
  <si>
    <t>Mazilu</t>
  </si>
  <si>
    <t>Brajan</t>
  </si>
  <si>
    <t>Gruda</t>
  </si>
  <si>
    <t>Moran</t>
  </si>
  <si>
    <t>Kadioglu</t>
  </si>
  <si>
    <t>Imari</t>
  </si>
  <si>
    <t>Samuels</t>
  </si>
  <si>
    <t>Killian</t>
  </si>
  <si>
    <t>Cahill</t>
  </si>
  <si>
    <t>Ruairi</t>
  </si>
  <si>
    <t>McConville</t>
  </si>
  <si>
    <t>Hürzeler</t>
  </si>
  <si>
    <t>Knight</t>
  </si>
  <si>
    <t>Eiran</t>
  </si>
  <si>
    <t>Cashin</t>
  </si>
  <si>
    <t>Tasker</t>
  </si>
  <si>
    <t>Simmonds</t>
  </si>
  <si>
    <t>Renato</t>
  </si>
  <si>
    <t>Palma Veiga</t>
  </si>
  <si>
    <t>Wiley</t>
  </si>
  <si>
    <t>Jørgensen</t>
  </si>
  <si>
    <t>Félix Sequeira</t>
  </si>
  <si>
    <t>Maresca</t>
  </si>
  <si>
    <t>Mathis</t>
  </si>
  <si>
    <t>Amougou</t>
  </si>
  <si>
    <t>Genesis</t>
  </si>
  <si>
    <t>Antwi</t>
  </si>
  <si>
    <t>Asher</t>
  </si>
  <si>
    <t>Agbinone</t>
  </si>
  <si>
    <t>Kporha</t>
  </si>
  <si>
    <t>Glasner</t>
  </si>
  <si>
    <t>Séamus</t>
  </si>
  <si>
    <t>Jesper</t>
  </si>
  <si>
    <t>Lindstrøm</t>
  </si>
  <si>
    <t>Asmir</t>
  </si>
  <si>
    <t>Begovic</t>
  </si>
  <si>
    <t>Roman</t>
  </si>
  <si>
    <t>Dixon</t>
  </si>
  <si>
    <t>Bates</t>
  </si>
  <si>
    <t>Sherif</t>
  </si>
  <si>
    <t>Moyes</t>
  </si>
  <si>
    <t>Heath</t>
  </si>
  <si>
    <t>Coby</t>
  </si>
  <si>
    <t>Ebere</t>
  </si>
  <si>
    <t>Welch</t>
  </si>
  <si>
    <t>Godo</t>
  </si>
  <si>
    <t>Marco Alexandre</t>
  </si>
  <si>
    <t>Saraiva da Silva</t>
  </si>
  <si>
    <t>Elkan</t>
  </si>
  <si>
    <t>Baggott</t>
  </si>
  <si>
    <t>Broadhead</t>
  </si>
  <si>
    <t>Burgess</t>
  </si>
  <si>
    <t>Chaplin</t>
  </si>
  <si>
    <t>Edmundson</t>
  </si>
  <si>
    <t>Myers-Harness</t>
  </si>
  <si>
    <t>Giraud-Hutchinson</t>
  </si>
  <si>
    <t>Ladapo</t>
  </si>
  <si>
    <t>Massimo</t>
  </si>
  <si>
    <t>Luongo</t>
  </si>
  <si>
    <t>Morsy</t>
  </si>
  <si>
    <t>Corrie</t>
  </si>
  <si>
    <t>Ndaba</t>
  </si>
  <si>
    <t>Cieran</t>
  </si>
  <si>
    <t>Slicker</t>
  </si>
  <si>
    <t>Tuanzebe</t>
  </si>
  <si>
    <t>Cajuste</t>
  </si>
  <si>
    <t>Somto</t>
  </si>
  <si>
    <t>Boniface</t>
  </si>
  <si>
    <t>Boubakary</t>
  </si>
  <si>
    <t>Soumaré</t>
  </si>
  <si>
    <t>Hamza</t>
  </si>
  <si>
    <t>Choudhury</t>
  </si>
  <si>
    <t>Coady</t>
  </si>
  <si>
    <t>Patson</t>
  </si>
  <si>
    <t>Daka</t>
  </si>
  <si>
    <t>Faes</t>
  </si>
  <si>
    <t>Golding</t>
  </si>
  <si>
    <t>Hermansen</t>
  </si>
  <si>
    <t>Iversen</t>
  </si>
  <si>
    <t>Kristiansen</t>
  </si>
  <si>
    <t>Wanya</t>
  </si>
  <si>
    <t>Marçal-Madivádua</t>
  </si>
  <si>
    <t>Stephy</t>
  </si>
  <si>
    <t>Mavididi</t>
  </si>
  <si>
    <t>Wilfred</t>
  </si>
  <si>
    <t>Ndidi</t>
  </si>
  <si>
    <t>Okoli</t>
  </si>
  <si>
    <t>Ricardo</t>
  </si>
  <si>
    <t>Barbosa Pereira</t>
  </si>
  <si>
    <t>Souttar</t>
  </si>
  <si>
    <t>Stolarczyk</t>
  </si>
  <si>
    <t>Vardy</t>
  </si>
  <si>
    <t>Vestergaard</t>
  </si>
  <si>
    <t>Winks</t>
  </si>
  <si>
    <t>Alves</t>
  </si>
  <si>
    <t>Bilal</t>
  </si>
  <si>
    <t>El Khannouss</t>
  </si>
  <si>
    <t>Wilson-Brown</t>
  </si>
  <si>
    <t>Woyo</t>
  </si>
  <si>
    <t>Ruud</t>
  </si>
  <si>
    <t>van Nistelrooij</t>
  </si>
  <si>
    <t>Olabade</t>
  </si>
  <si>
    <t>Aluko</t>
  </si>
  <si>
    <t>Sammy</t>
  </si>
  <si>
    <t>Braybrooke</t>
  </si>
  <si>
    <t>Morton</t>
  </si>
  <si>
    <t>Vítezslav</t>
  </si>
  <si>
    <t>Arne</t>
  </si>
  <si>
    <t>Slot</t>
  </si>
  <si>
    <t>Cavaco Cancelo</t>
  </si>
  <si>
    <t>Sávio 'Savinho'</t>
  </si>
  <si>
    <t>Ilkay</t>
  </si>
  <si>
    <t>Gündogan</t>
  </si>
  <si>
    <t>Jahmai</t>
  </si>
  <si>
    <t>Simpson-Pusey</t>
  </si>
  <si>
    <t>Wilson-Esbrand</t>
  </si>
  <si>
    <t>Spike</t>
  </si>
  <si>
    <t>Brits</t>
  </si>
  <si>
    <t>Guardiola</t>
  </si>
  <si>
    <t>Ugarte</t>
  </si>
  <si>
    <t>Jayce</t>
  </si>
  <si>
    <t>Fitzgerald</t>
  </si>
  <si>
    <t>Godwill</t>
  </si>
  <si>
    <t>Kukonki</t>
  </si>
  <si>
    <t>Ruben Filipe</t>
  </si>
  <si>
    <t>Marques Diogo Amorim</t>
  </si>
  <si>
    <t>Elyh</t>
  </si>
  <si>
    <t>Obi-Martin</t>
  </si>
  <si>
    <t>Moorhouse</t>
  </si>
  <si>
    <t>Sékou</t>
  </si>
  <si>
    <t>Koné</t>
  </si>
  <si>
    <t>Hubert</t>
  </si>
  <si>
    <t>Graczyk</t>
  </si>
  <si>
    <t>Dúbravka</t>
  </si>
  <si>
    <t>Ruddy</t>
  </si>
  <si>
    <t>Miodrag</t>
  </si>
  <si>
    <t>Pivaš</t>
  </si>
  <si>
    <t>Howe</t>
  </si>
  <si>
    <t>Álex</t>
  </si>
  <si>
    <t>Carlos Miguel</t>
  </si>
  <si>
    <t>dos Santos Pereira</t>
  </si>
  <si>
    <t>Ferreira Silva</t>
  </si>
  <si>
    <t>Ramón</t>
  </si>
  <si>
    <t>Nuno Herlander</t>
  </si>
  <si>
    <t>Simões Espírito Santo</t>
  </si>
  <si>
    <t>Amo-Ameyaw</t>
  </si>
  <si>
    <t>Aribo</t>
  </si>
  <si>
    <t>Bazunu</t>
  </si>
  <si>
    <t>Jan</t>
  </si>
  <si>
    <t>Bednarek</t>
  </si>
  <si>
    <t>Armel</t>
  </si>
  <si>
    <t>Bella-Kotchap</t>
  </si>
  <si>
    <t>Bree</t>
  </si>
  <si>
    <t>Edozie</t>
  </si>
  <si>
    <t>Edwards</t>
  </si>
  <si>
    <t>Harwood-Bellis</t>
  </si>
  <si>
    <t>Kamaldeen</t>
  </si>
  <si>
    <t>Sulemana</t>
  </si>
  <si>
    <t>Juan</t>
  </si>
  <si>
    <t>Larios López</t>
  </si>
  <si>
    <t>Mateusz</t>
  </si>
  <si>
    <t>Lis</t>
  </si>
  <si>
    <t>Lumley</t>
  </si>
  <si>
    <t>Manning</t>
  </si>
  <si>
    <t>Mara</t>
  </si>
  <si>
    <t>Onuachu</t>
  </si>
  <si>
    <t>Smallbone</t>
  </si>
  <si>
    <t>Stephens</t>
  </si>
  <si>
    <t>Stewart</t>
  </si>
  <si>
    <t>Sugawara</t>
  </si>
  <si>
    <t>Yukinari</t>
  </si>
  <si>
    <t>Walker-Peters</t>
  </si>
  <si>
    <t>Wood-Gordon</t>
  </si>
  <si>
    <t>Mateus Gonçalo</t>
  </si>
  <si>
    <t>Espanha Fernandes</t>
  </si>
  <si>
    <t>O'Brien-Whitmarsh</t>
  </si>
  <si>
    <t>Welington Damascena</t>
  </si>
  <si>
    <t>Santos</t>
  </si>
  <si>
    <t>Kayi-Sanda</t>
  </si>
  <si>
    <t>Grønbæk</t>
  </si>
  <si>
    <t>Rusk</t>
  </si>
  <si>
    <t>Devine</t>
  </si>
  <si>
    <t>Lankshear</t>
  </si>
  <si>
    <t>Malachi</t>
  </si>
  <si>
    <t>Hardy</t>
  </si>
  <si>
    <t>Maeson</t>
  </si>
  <si>
    <t>Kinsky</t>
  </si>
  <si>
    <t>Min-Hyeok</t>
  </si>
  <si>
    <t>Yang</t>
  </si>
  <si>
    <t>Damola</t>
  </si>
  <si>
    <t>Ange</t>
  </si>
  <si>
    <t>Postecoglou</t>
  </si>
  <si>
    <t>Dante</t>
  </si>
  <si>
    <t>Cassanova</t>
  </si>
  <si>
    <t>Łukasz</t>
  </si>
  <si>
    <t>Fabiański</t>
  </si>
  <si>
    <t>Luis Guilherme</t>
  </si>
  <si>
    <t>Lira dos Santos</t>
  </si>
  <si>
    <t>Irving</t>
  </si>
  <si>
    <t>Crysencio</t>
  </si>
  <si>
    <t>Summerville</t>
  </si>
  <si>
    <t>Guido</t>
  </si>
  <si>
    <t>Niclas</t>
  </si>
  <si>
    <t>Füllkrug</t>
  </si>
  <si>
    <t>Jean-Clair</t>
  </si>
  <si>
    <t>Todibo</t>
  </si>
  <si>
    <t>Ezra</t>
  </si>
  <si>
    <t>Mayers</t>
  </si>
  <si>
    <t>Graham</t>
  </si>
  <si>
    <t>Potter</t>
  </si>
  <si>
    <t>Cardoso de Lima</t>
  </si>
  <si>
    <t>Martins Gomes</t>
  </si>
  <si>
    <t>Meupiyou</t>
  </si>
  <si>
    <t>Trindade da Costa Neto</t>
  </si>
  <si>
    <t>Carlos Roberto</t>
  </si>
  <si>
    <t>Forbs Borges</t>
  </si>
  <si>
    <t>Pond</t>
  </si>
  <si>
    <t>Agbadou</t>
  </si>
  <si>
    <t>Vítor Manuel</t>
  </si>
  <si>
    <t>de Oliveira Lopes Pereira</t>
  </si>
  <si>
    <t>Nasser</t>
  </si>
  <si>
    <t>Djiga</t>
  </si>
  <si>
    <t>Munetsi</t>
  </si>
  <si>
    <t>Mané</t>
  </si>
  <si>
    <t>Harriman-Annous</t>
  </si>
  <si>
    <t>Marli</t>
  </si>
  <si>
    <t>Salmon</t>
  </si>
  <si>
    <t>Özcan</t>
  </si>
  <si>
    <t>Jimoh-Aloba</t>
  </si>
  <si>
    <t>Zépiqueno</t>
  </si>
  <si>
    <t>Hollingshead</t>
  </si>
  <si>
    <t>Routh</t>
  </si>
  <si>
    <t>TJ</t>
  </si>
  <si>
    <t>Carroll</t>
  </si>
  <si>
    <t>Weiß</t>
  </si>
  <si>
    <t>Etienne</t>
  </si>
  <si>
    <t>Green</t>
  </si>
  <si>
    <t>Václav</t>
  </si>
  <si>
    <t>Hladký</t>
  </si>
  <si>
    <t>Quilindschy</t>
  </si>
  <si>
    <t>Hartman</t>
  </si>
  <si>
    <t>Pires Silva</t>
  </si>
  <si>
    <t>Shurandy</t>
  </si>
  <si>
    <t>Sambo</t>
  </si>
  <si>
    <t>Sonne</t>
  </si>
  <si>
    <t>Benson Hedilazio</t>
  </si>
  <si>
    <t>Laurent</t>
  </si>
  <si>
    <t>Oluwaseun</t>
  </si>
  <si>
    <t>Adewumi</t>
  </si>
  <si>
    <t>Jaydon</t>
  </si>
  <si>
    <t>Banel</t>
  </si>
  <si>
    <t>Trésor Ndayishimiye</t>
  </si>
  <si>
    <t>Zian</t>
  </si>
  <si>
    <t>Flemming</t>
  </si>
  <si>
    <t>Pimlott</t>
  </si>
  <si>
    <t>Kian</t>
  </si>
  <si>
    <t>McMahon-Brown</t>
  </si>
  <si>
    <t>Bevan</t>
  </si>
  <si>
    <t>Sinisterra Lucumí</t>
  </si>
  <si>
    <t>Jiménez Sánchez</t>
  </si>
  <si>
    <t>Malcom</t>
  </si>
  <si>
    <t>DaCosta</t>
  </si>
  <si>
    <t>Stevens</t>
  </si>
  <si>
    <t>Mandas</t>
  </si>
  <si>
    <t>Romelle</t>
  </si>
  <si>
    <t>Donovan</t>
  </si>
  <si>
    <t>Bentt</t>
  </si>
  <si>
    <t>Shield</t>
  </si>
  <si>
    <t>Stephenson</t>
  </si>
  <si>
    <t>McManus</t>
  </si>
  <si>
    <t>Riley</t>
  </si>
  <si>
    <t>Estupiñán Tenorio</t>
  </si>
  <si>
    <t>Enciso Espínola</t>
  </si>
  <si>
    <t>Abdallah</t>
  </si>
  <si>
    <t>Sima</t>
  </si>
  <si>
    <t>Aarón</t>
  </si>
  <si>
    <t>Kendry</t>
  </si>
  <si>
    <t>Páez Andrade</t>
  </si>
  <si>
    <t>Landon</t>
  </si>
  <si>
    <t>Emenalo</t>
  </si>
  <si>
    <t>Merrick</t>
  </si>
  <si>
    <t>Jesse</t>
  </si>
  <si>
    <t>Derry</t>
  </si>
  <si>
    <t>Eboué</t>
  </si>
  <si>
    <t>Kavuma-McQueen</t>
  </si>
  <si>
    <t>Édouard</t>
  </si>
  <si>
    <t>Benamar</t>
  </si>
  <si>
    <t>Imray</t>
  </si>
  <si>
    <t>Tyrer</t>
  </si>
  <si>
    <t>Idrissa Gana</t>
  </si>
  <si>
    <t>Braiden</t>
  </si>
  <si>
    <t>Jiménez Rodríguez</t>
  </si>
  <si>
    <t>Chukwueze</t>
  </si>
  <si>
    <t>Seth</t>
  </si>
  <si>
    <t>Ridgeon</t>
  </si>
  <si>
    <t>Byram</t>
  </si>
  <si>
    <t>Schmidt</t>
  </si>
  <si>
    <t>Largie</t>
  </si>
  <si>
    <t>Ramazani</t>
  </si>
  <si>
    <t>Crew</t>
  </si>
  <si>
    <t>Bamford</t>
  </si>
  <si>
    <t>Chadwick</t>
  </si>
  <si>
    <t>Ármin</t>
  </si>
  <si>
    <t>Pécsi</t>
  </si>
  <si>
    <t>Díaz Marulanda</t>
  </si>
  <si>
    <t>Morrison</t>
  </si>
  <si>
    <t>Talla</t>
  </si>
  <si>
    <t>Mota Veiga de Carvalho e Silva</t>
  </si>
  <si>
    <t>İlkay</t>
  </si>
  <si>
    <t>Gündoğan</t>
  </si>
  <si>
    <t>Sverre</t>
  </si>
  <si>
    <t>Nypan</t>
  </si>
  <si>
    <t>Stephen</t>
  </si>
  <si>
    <t>Mfuni</t>
  </si>
  <si>
    <t>Reigan</t>
  </si>
  <si>
    <t>Heskey</t>
  </si>
  <si>
    <t>León Blanco</t>
  </si>
  <si>
    <t>Jim</t>
  </si>
  <si>
    <t>Thwaites</t>
  </si>
  <si>
    <t>Antoñito</t>
  </si>
  <si>
    <t>Cordero Campillo</t>
  </si>
  <si>
    <t>Seung-Soo</t>
  </si>
  <si>
    <t>Park</t>
  </si>
  <si>
    <t>Alabi</t>
  </si>
  <si>
    <t>Mota Veiga Teixeira do Carmo</t>
  </si>
  <si>
    <t>Ferreira da Silva</t>
  </si>
  <si>
    <t>Marko</t>
  </si>
  <si>
    <t>Stamenić</t>
  </si>
  <si>
    <t>Angus</t>
  </si>
  <si>
    <t>Gunn</t>
  </si>
  <si>
    <t>Luis Eduardo</t>
  </si>
  <si>
    <t>Soares da Silva</t>
  </si>
  <si>
    <t>Lorenzo</t>
  </si>
  <si>
    <t>Lucca</t>
  </si>
  <si>
    <t>Whitehall</t>
  </si>
  <si>
    <t>Jimmy</t>
  </si>
  <si>
    <t>Sinclair</t>
  </si>
  <si>
    <t>Lamin</t>
  </si>
  <si>
    <t>Sillah</t>
  </si>
  <si>
    <t>Blondy</t>
  </si>
  <si>
    <t>Nna Noukeu</t>
  </si>
  <si>
    <t>Aji</t>
  </si>
  <si>
    <t>Alese</t>
  </si>
  <si>
    <t>Cirkin</t>
  </si>
  <si>
    <t>Niall</t>
  </si>
  <si>
    <t>Huggins</t>
  </si>
  <si>
    <t>Timothée</t>
  </si>
  <si>
    <t>Pembélé</t>
  </si>
  <si>
    <t>Aleksić</t>
  </si>
  <si>
    <t>Neil</t>
  </si>
  <si>
    <t>Poveda-Ocampo</t>
  </si>
  <si>
    <t>Abdoullah</t>
  </si>
  <si>
    <t>Ba</t>
  </si>
  <si>
    <t>Alan</t>
  </si>
  <si>
    <t>Browne</t>
  </si>
  <si>
    <t>Pierre</t>
  </si>
  <si>
    <t>Ekwah Elimby</t>
  </si>
  <si>
    <t>Matete</t>
  </si>
  <si>
    <t>Nectarios</t>
  </si>
  <si>
    <t>Triantis</t>
  </si>
  <si>
    <t>Eliezer</t>
  </si>
  <si>
    <t>Mayenda Dossou</t>
  </si>
  <si>
    <t>Ahmed</t>
  </si>
  <si>
    <t>Abdullahi</t>
  </si>
  <si>
    <t>Luís Hemir</t>
  </si>
  <si>
    <t>Silva Semedo</t>
  </si>
  <si>
    <t>Nazarii</t>
  </si>
  <si>
    <t>Rusyn</t>
  </si>
  <si>
    <t>Lutsharel</t>
  </si>
  <si>
    <t>Geertruida</t>
  </si>
  <si>
    <t>Tymur</t>
  </si>
  <si>
    <t>Tutierov</t>
  </si>
  <si>
    <t>Whittaker</t>
  </si>
  <si>
    <t>Takai</t>
  </si>
  <si>
    <t>Kōta</t>
  </si>
  <si>
    <t>Min-hyeok</t>
  </si>
  <si>
    <t>João Maria</t>
  </si>
  <si>
    <t>Lobo Alves Palhares Costa Palhinha Gonçalves</t>
  </si>
  <si>
    <t>Randal</t>
  </si>
  <si>
    <t>Kolo Muani</t>
  </si>
  <si>
    <t>Yusuf</t>
  </si>
  <si>
    <t>Akhamrich</t>
  </si>
  <si>
    <t>Lucá</t>
  </si>
  <si>
    <t>Kyerematen</t>
  </si>
  <si>
    <t>Traoré Diarra</t>
  </si>
  <si>
    <t>Krisztián</t>
  </si>
  <si>
    <t>Hegyi</t>
  </si>
  <si>
    <t>Maximilian</t>
  </si>
  <si>
    <t>Soungoutou</t>
  </si>
  <si>
    <t>Magassa</t>
  </si>
  <si>
    <t>Airidas</t>
  </si>
  <si>
    <t>Golambeckis</t>
  </si>
  <si>
    <t>Mohamadou</t>
  </si>
  <si>
    <t>Kanté</t>
  </si>
  <si>
    <t>Pablo Felipe</t>
  </si>
  <si>
    <t>Pereira de Jesus</t>
  </si>
  <si>
    <t>Castellanos</t>
  </si>
  <si>
    <t>Keiber</t>
  </si>
  <si>
    <t>Lamadrid</t>
  </si>
  <si>
    <t>Finlay</t>
  </si>
  <si>
    <t>Herrick</t>
  </si>
  <si>
    <t>Mosquera Valdelamar</t>
  </si>
  <si>
    <t>Ignacio Bueno</t>
  </si>
  <si>
    <t>Meupiyou Menadjou</t>
  </si>
  <si>
    <t>Fer</t>
  </si>
  <si>
    <t>López González</t>
  </si>
  <si>
    <t>González Medina</t>
  </si>
  <si>
    <t>Soares Silva</t>
  </si>
  <si>
    <t>Arias</t>
  </si>
  <si>
    <t>Møller Wolfe</t>
  </si>
  <si>
    <t>Tchatchoua</t>
  </si>
  <si>
    <t>Ladislav</t>
  </si>
  <si>
    <t>Krejcí</t>
  </si>
  <si>
    <t>Tolu</t>
  </si>
  <si>
    <t>Arokodare</t>
  </si>
  <si>
    <t>Saheed</t>
  </si>
  <si>
    <t>Olagunju</t>
  </si>
  <si>
    <t>Rawlings</t>
  </si>
  <si>
    <t>Sutherland</t>
  </si>
  <si>
    <t>Jerome</t>
  </si>
  <si>
    <t>Abbey</t>
  </si>
  <si>
    <t>Angel</t>
  </si>
  <si>
    <t>Gracey</t>
  </si>
  <si>
    <t>xG_per_90</t>
  </si>
  <si>
    <t>xA_per_90</t>
  </si>
  <si>
    <t>23/24 xG/90</t>
  </si>
  <si>
    <t>24/25 xG/90</t>
  </si>
  <si>
    <t>25/26 xG/90</t>
  </si>
  <si>
    <t>23/24 xA/90</t>
  </si>
  <si>
    <t>24/25 xA/90</t>
  </si>
  <si>
    <t>25/26 xA/90</t>
  </si>
  <si>
    <t>Weighted_xG90</t>
  </si>
  <si>
    <t>Weighted_xA90</t>
  </si>
  <si>
    <t>Historical Seasons</t>
  </si>
  <si>
    <t>Smoothed xG/90</t>
  </si>
  <si>
    <t>Smoothed Points/90</t>
  </si>
  <si>
    <t>Minutes Reliability</t>
  </si>
  <si>
    <t>Smoothed xA/90</t>
  </si>
  <si>
    <t>23/24 Points/90</t>
  </si>
  <si>
    <t>24/25 Points/90</t>
  </si>
  <si>
    <t>25/26 Points/90</t>
  </si>
  <si>
    <t>Weighted Historical Points/90</t>
  </si>
  <si>
    <t>New PL Player</t>
  </si>
  <si>
    <t>Mbaye</t>
  </si>
  <si>
    <t>José María</t>
  </si>
  <si>
    <t>Andrés Baixauli</t>
  </si>
  <si>
    <t>Azeez</t>
  </si>
  <si>
    <t>Honest</t>
  </si>
  <si>
    <t>Ahanor</t>
  </si>
  <si>
    <t>Quinten</t>
  </si>
  <si>
    <t>Darío</t>
  </si>
  <si>
    <t>Osorio</t>
  </si>
  <si>
    <t>Ainsley</t>
  </si>
  <si>
    <t>Maitland-Niles</t>
  </si>
  <si>
    <t>Larsson</t>
  </si>
  <si>
    <t>Manuel Ángel</t>
  </si>
  <si>
    <t>Morán Ibáñez</t>
  </si>
  <si>
    <t>Affengruber</t>
  </si>
  <si>
    <t>Ilyas</t>
  </si>
  <si>
    <t>Ansah</t>
  </si>
  <si>
    <t>Robinio</t>
  </si>
  <si>
    <t>Vaz</t>
  </si>
  <si>
    <t>Brooke</t>
  </si>
  <si>
    <t>Norton-Cuffy</t>
  </si>
  <si>
    <t>Sorba</t>
  </si>
  <si>
    <t>Mouzakitis</t>
  </si>
  <si>
    <t>Melvin</t>
  </si>
  <si>
    <t>Bard</t>
  </si>
  <si>
    <t>Jean-Mattéo</t>
  </si>
  <si>
    <t>Bahoya</t>
  </si>
  <si>
    <t>Matias</t>
  </si>
  <si>
    <t>Fernandez-Pardo</t>
  </si>
  <si>
    <t>web_name</t>
  </si>
  <si>
    <t>Fábio Vieira</t>
  </si>
  <si>
    <t>G.Jesus</t>
  </si>
  <si>
    <t>J.Timber</t>
  </si>
  <si>
    <t>Jorginho</t>
  </si>
  <si>
    <t>Martinelli</t>
  </si>
  <si>
    <t>Raya</t>
  </si>
  <si>
    <t>Neto</t>
  </si>
  <si>
    <t>Jack Henry-Francis</t>
  </si>
  <si>
    <t>Buendia</t>
  </si>
  <si>
    <t>Duran</t>
  </si>
  <si>
    <t>Iling Jr</t>
  </si>
  <si>
    <t>Konsa</t>
  </si>
  <si>
    <t>Martinez</t>
  </si>
  <si>
    <t>Sousa</t>
  </si>
  <si>
    <t>A. Garcia</t>
  </si>
  <si>
    <t>M.Asensio</t>
  </si>
  <si>
    <t>Enes Ünal</t>
  </si>
  <si>
    <t>H.Traorè</t>
  </si>
  <si>
    <t>O.Dango</t>
  </si>
  <si>
    <t>J.Araujo</t>
  </si>
  <si>
    <t>Evanilson</t>
  </si>
  <si>
    <t>Roerslev</t>
  </si>
  <si>
    <t>Zanka</t>
  </si>
  <si>
    <t>Carvalho</t>
  </si>
  <si>
    <t>Van den Berg</t>
  </si>
  <si>
    <t>G.Nunes</t>
  </si>
  <si>
    <t>Benjamin Fredrick</t>
  </si>
  <si>
    <t>Estupiñan</t>
  </si>
  <si>
    <t>Gross</t>
  </si>
  <si>
    <t>I.Osman</t>
  </si>
  <si>
    <t>Igor</t>
  </si>
  <si>
    <t>Kozlowski</t>
  </si>
  <si>
    <t>Sarmiento</t>
  </si>
  <si>
    <t>Van Hecke</t>
  </si>
  <si>
    <t>F.Kadıoğlu</t>
  </si>
  <si>
    <t>Charlie Tasker</t>
  </si>
  <si>
    <t>Freddie Simmonds</t>
  </si>
  <si>
    <t>Harry Howell</t>
  </si>
  <si>
    <t>Andrey Santos</t>
  </si>
  <si>
    <t>Ângelo</t>
  </si>
  <si>
    <t>B.Badiashile</t>
  </si>
  <si>
    <t>Caicedo</t>
  </si>
  <si>
    <t>Cucurella</t>
  </si>
  <si>
    <t>D.D.Fofana</t>
  </si>
  <si>
    <t>Deivid</t>
  </si>
  <si>
    <t>Lukaku</t>
  </si>
  <si>
    <t>M.Sarr</t>
  </si>
  <si>
    <t>Marc Guiu</t>
  </si>
  <si>
    <t>N.Jackson</t>
  </si>
  <si>
    <t>Renato Veiga</t>
  </si>
  <si>
    <t>W.Fofana</t>
  </si>
  <si>
    <t>João Félix</t>
  </si>
  <si>
    <t>Genesis Antwi</t>
  </si>
  <si>
    <t>C.Doucouré</t>
  </si>
  <si>
    <t>C.Richards</t>
  </si>
  <si>
    <t>Chadi Riad</t>
  </si>
  <si>
    <t>Lerma</t>
  </si>
  <si>
    <t>M.França</t>
  </si>
  <si>
    <t>I.Sarr</t>
  </si>
  <si>
    <t>A.Doucoure</t>
  </si>
  <si>
    <t>Beto</t>
  </si>
  <si>
    <t>Gana</t>
  </si>
  <si>
    <t>J.Virginia</t>
  </si>
  <si>
    <t>Y. Chermiti</t>
  </si>
  <si>
    <t>Alcaraz</t>
  </si>
  <si>
    <t>Coby Ebere</t>
  </si>
  <si>
    <t>Muniz</t>
  </si>
  <si>
    <t>Vinicius</t>
  </si>
  <si>
    <t>J.Cuenca</t>
  </si>
  <si>
    <t>H.Clarke</t>
  </si>
  <si>
    <t>Harness</t>
  </si>
  <si>
    <t>J.Clarke</t>
  </si>
  <si>
    <t>Tom Taylor</t>
  </si>
  <si>
    <t>J.Ayew</t>
  </si>
  <si>
    <t>B.Soumaré</t>
  </si>
  <si>
    <t>Marcal</t>
  </si>
  <si>
    <t>A.Fatawu</t>
  </si>
  <si>
    <t>Van Nistelrooy</t>
  </si>
  <si>
    <t>Olabade Aluko</t>
  </si>
  <si>
    <t>Jake Evans</t>
  </si>
  <si>
    <t>A.Becker</t>
  </si>
  <si>
    <t>Diogo J.</t>
  </si>
  <si>
    <t>Luis Díaz</t>
  </si>
  <si>
    <t>M.Salah</t>
  </si>
  <si>
    <t>N.Phillips</t>
  </si>
  <si>
    <t>R.Williams</t>
  </si>
  <si>
    <t>Ederson M.</t>
  </si>
  <si>
    <t>J.Alvarez</t>
  </si>
  <si>
    <t>João Cancelo</t>
  </si>
  <si>
    <t>Matheus N.</t>
  </si>
  <si>
    <t>Savinho</t>
  </si>
  <si>
    <t>O’Reilly</t>
  </si>
  <si>
    <t>Vitor Reis</t>
  </si>
  <si>
    <t>N.Gonzalez</t>
  </si>
  <si>
    <t>B.Fernandes</t>
  </si>
  <si>
    <t>Casemiro</t>
  </si>
  <si>
    <t>Dalot</t>
  </si>
  <si>
    <t>Lindelof</t>
  </si>
  <si>
    <t>Pellistri</t>
  </si>
  <si>
    <t>De Ligt</t>
  </si>
  <si>
    <t>Amorim</t>
  </si>
  <si>
    <t>Dermot Mee</t>
  </si>
  <si>
    <t>A.Murphy</t>
  </si>
  <si>
    <t>Almirón</t>
  </si>
  <si>
    <t>Bruno G.</t>
  </si>
  <si>
    <t>J.Murphy</t>
  </si>
  <si>
    <t>Joelinton</t>
  </si>
  <si>
    <t>Pivas</t>
  </si>
  <si>
    <t>Alex Moreno</t>
  </si>
  <si>
    <t>C.Miguel</t>
  </si>
  <si>
    <t>Da Silva Moreira</t>
  </si>
  <si>
    <t>Dominguez</t>
  </si>
  <si>
    <t>N.Williams</t>
  </si>
  <si>
    <t>O.Richards</t>
  </si>
  <si>
    <t>Jota Silva</t>
  </si>
  <si>
    <t>Morato</t>
  </si>
  <si>
    <t>Larios</t>
  </si>
  <si>
    <t>M.Fernandes</t>
  </si>
  <si>
    <t>Welington</t>
  </si>
  <si>
    <t>Kayi Sanda</t>
  </si>
  <si>
    <t>Jay Robinson</t>
  </si>
  <si>
    <t>A.Phillips</t>
  </si>
  <si>
    <t>E.Royal</t>
  </si>
  <si>
    <t>Pedro Porro</t>
  </si>
  <si>
    <t>P.M.Sarr</t>
  </si>
  <si>
    <t>Van de Ven</t>
  </si>
  <si>
    <t>Veliz</t>
  </si>
  <si>
    <t>L.Guilherme</t>
  </si>
  <si>
    <t>L.Paquetá</t>
  </si>
  <si>
    <t>N.Aguerd</t>
  </si>
  <si>
    <t>G.Rodríguez</t>
  </si>
  <si>
    <t>C.Soler</t>
  </si>
  <si>
    <t>B.Traore</t>
  </si>
  <si>
    <t>Chiquinho</t>
  </si>
  <si>
    <t>Cunha</t>
  </si>
  <si>
    <t>Fábio Silva</t>
  </si>
  <si>
    <t>Gonzalez</t>
  </si>
  <si>
    <t>Guedes</t>
  </si>
  <si>
    <t>H.Bueno</t>
  </si>
  <si>
    <t>Hee Chan</t>
  </si>
  <si>
    <t>J.Gomes</t>
  </si>
  <si>
    <t>José Sá</t>
  </si>
  <si>
    <t>Mario Jr.</t>
  </si>
  <si>
    <t>N.Semedo</t>
  </si>
  <si>
    <t>Pedro Lima</t>
  </si>
  <si>
    <t>Podence</t>
  </si>
  <si>
    <t>R.Gomes</t>
  </si>
  <si>
    <t>S.Bueno</t>
  </si>
  <si>
    <t>Forbs</t>
  </si>
  <si>
    <t>Expected xG</t>
  </si>
  <si>
    <t>Expected xA</t>
  </si>
  <si>
    <t>Expected Goals</t>
  </si>
  <si>
    <t>Expected Assists</t>
  </si>
  <si>
    <t xml:space="preserve">Avg Minutes </t>
  </si>
  <si>
    <t>Expected Goal Points</t>
  </si>
  <si>
    <t>Expected Assist Points</t>
  </si>
  <si>
    <t>Expected Appearance Points</t>
  </si>
  <si>
    <t>Expected Clean Sheet Points</t>
  </si>
  <si>
    <t>Expected DC Points</t>
  </si>
  <si>
    <t>Expected Bonus Points</t>
  </si>
  <si>
    <t>Predicted FPL Points</t>
  </si>
  <si>
    <t>Predicted Points/£m</t>
  </si>
  <si>
    <t>Fixture Adjusted Points</t>
  </si>
  <si>
    <t>Fixture Adjusted Points/£m</t>
  </si>
  <si>
    <t>Model Score</t>
  </si>
  <si>
    <t>Overall Rank</t>
  </si>
  <si>
    <t>Model Expected Points</t>
  </si>
  <si>
    <t>Model Overall Rank</t>
  </si>
  <si>
    <t>Model Position Rank</t>
  </si>
  <si>
    <t>Model Score2</t>
  </si>
  <si>
    <t>Eligible</t>
  </si>
  <si>
    <t>Selection Order</t>
  </si>
  <si>
    <t>Eligibility check</t>
  </si>
  <si>
    <t>Squad Valid</t>
  </si>
  <si>
    <t>Expected Saves</t>
  </si>
  <si>
    <t>Expected Save Points</t>
  </si>
  <si>
    <t>Expected Goals Conceded</t>
  </si>
  <si>
    <t>Expected GC Points</t>
  </si>
  <si>
    <t>Smoothed Goals/Game</t>
  </si>
  <si>
    <t>Smoothed Goals Conceded/Game</t>
  </si>
  <si>
    <t>Attack Strength</t>
  </si>
  <si>
    <t>Defence Weakness</t>
  </si>
  <si>
    <t>Team Attack Strength</t>
  </si>
  <si>
    <t>Team Defence Weakness</t>
  </si>
  <si>
    <t>Opponent Attack Strength</t>
  </si>
  <si>
    <t>Opponent Defence Weakness</t>
  </si>
  <si>
    <t>Expected Team Goals</t>
  </si>
  <si>
    <t>Expected Opponent Goals</t>
  </si>
  <si>
    <t>Attack Fixture Multiplier</t>
  </si>
  <si>
    <t>Defence Fixture Multiplier</t>
  </si>
  <si>
    <t>Overall Fixture Multiplier</t>
  </si>
  <si>
    <t>Attack Mult 1</t>
  </si>
  <si>
    <t>Defence Mult 1</t>
  </si>
  <si>
    <t>Attack Mult 2</t>
  </si>
  <si>
    <t>Attack Mult 3</t>
  </si>
  <si>
    <t>Defence Mult 2</t>
  </si>
  <si>
    <t>Defence Mult 3</t>
  </si>
  <si>
    <t>Defence Mult 4</t>
  </si>
  <si>
    <t>Attack Mult 4</t>
  </si>
  <si>
    <t>Attack Mult 5</t>
  </si>
  <si>
    <t>Defence Mult 5</t>
  </si>
  <si>
    <t>Floyd</t>
  </si>
  <si>
    <t>Samba</t>
  </si>
  <si>
    <t>Gameweek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</si>
</sst>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£&quot;#,##0.0"/>
    <numFmt numFmtId="166" formatCode="0.000"/>
    <numFmt numFmtId="167" formatCode="_-[$£-809]* #,##0.0_-;\-[$£-809]* #,##0.0_-;_-[$£-809]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2" fontId="0" fillId="0" borderId="0" xfId="0" applyNumberFormat="1"/>
    <xf numFmtId="0" fontId="2" fillId="0" borderId="0" xfId="0" applyFont="1" applyAlignment="1">
      <alignment horizontal="right" vertical="center" wrapText="1"/>
    </xf>
    <xf numFmtId="1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167" fontId="0" fillId="0" borderId="0" xfId="0" applyNumberFormat="1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9" fontId="0" fillId="0" borderId="0" xfId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220">
    <dxf>
      <numFmt numFmtId="27" formatCode="dd/mm/yyyy\ hh:mm"/>
    </dxf>
    <dxf>
      <numFmt numFmtId="0" formatCode="General"/>
      <alignment horizontal="center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66" formatCode="0.000"/>
    </dxf>
    <dxf>
      <numFmt numFmtId="166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3" formatCode="0%"/>
    </dxf>
    <dxf>
      <numFmt numFmtId="1" formatCode="0"/>
    </dxf>
    <dxf>
      <numFmt numFmtId="0" formatCode="General"/>
    </dxf>
    <dxf>
      <numFmt numFmtId="167" formatCode="_-[$£-809]* #,##0.0_-;\-[$£-809]* #,##0.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0.000"/>
    </dxf>
    <dxf>
      <numFmt numFmtId="164" formatCode="0.0"/>
    </dxf>
    <dxf>
      <numFmt numFmtId="166" formatCode="0.000"/>
    </dxf>
    <dxf>
      <numFmt numFmtId="166" formatCode="0.000"/>
    </dxf>
    <dxf>
      <numFmt numFmtId="166" formatCode="0.000"/>
    </dxf>
    <dxf>
      <numFmt numFmtId="2" formatCode="0.00"/>
    </dxf>
    <dxf>
      <numFmt numFmtId="166" formatCode="0.000"/>
    </dxf>
    <dxf>
      <numFmt numFmtId="2" formatCode="0.00"/>
    </dxf>
    <dxf>
      <numFmt numFmtId="0" formatCode="General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9C1267A-5BF1-471D-A4F6-35CF71E1F508}" autoFormatId="16" applyNumberFormats="0" applyBorderFormats="0" applyFontFormats="0" applyPatternFormats="0" applyAlignmentFormats="0" applyWidthHeightFormats="0">
  <queryTableRefresh nextId="43" unboundColumnsRight="1">
    <queryTableFields count="27">
      <queryTableField id="32" name="element_type" tableColumnId="23"/>
      <queryTableField id="2" name="first_name" tableColumnId="2"/>
      <queryTableField id="5" name="second_name" tableColumnId="5"/>
      <queryTableField id="38" name="id" tableColumnId="24"/>
      <queryTableField id="18" name="form" tableColumnId="1"/>
      <queryTableField id="3" name="now_cost" tableColumnId="3"/>
      <queryTableField id="4" name="points_per_game" tableColumnId="4"/>
      <queryTableField id="19" name="selected_by_percent" tableColumnId="18"/>
      <queryTableField id="6" name="team" tableColumnId="6"/>
      <queryTableField id="7" name="total_points" tableColumnId="7"/>
      <queryTableField id="8" name="minutes" tableColumnId="8"/>
      <queryTableField id="9" name="goals_scored" tableColumnId="9"/>
      <queryTableField id="10" name="assists" tableColumnId="10"/>
      <queryTableField id="11" name="clean_sheets" tableColumnId="11"/>
      <queryTableField id="12" name="goals_conceded" tableColumnId="12"/>
      <queryTableField id="20" name="saves" tableColumnId="19"/>
      <queryTableField id="13" name="bonus" tableColumnId="13"/>
      <queryTableField id="14" name="bps" tableColumnId="14"/>
      <queryTableField id="21" name="defensive_contribution" tableColumnId="20"/>
      <queryTableField id="22" name="starts" tableColumnId="21"/>
      <queryTableField id="15" name="expected_goals" tableColumnId="15"/>
      <queryTableField id="16" name="expected_assists" tableColumnId="16"/>
      <queryTableField id="23" name="expected_goal_involvements" tableColumnId="22"/>
      <queryTableField id="17" name="expected_goals_conceded" tableColumnId="17"/>
      <queryTableField id="41" name="status" tableColumnId="26"/>
      <queryTableField id="42" name="can_select" tableColumnId="27"/>
      <queryTableField id="40" dataBound="0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44A20E-C253-42E4-BCA3-E7416D632F73}" autoFormatId="16" applyNumberFormats="0" applyBorderFormats="0" applyFontFormats="0" applyPatternFormats="0" applyAlignmentFormats="0" applyWidthHeightFormats="0">
  <queryTableRefresh nextId="17" unboundColumnsLeft="1" unboundColumnsRight="2">
    <queryTableFields count="16">
      <queryTableField id="16" dataBound="0" tableColumnId="16"/>
      <queryTableField id="1" name="first_name" tableColumnId="1"/>
      <queryTableField id="2" name="second_name" tableColumnId="2"/>
      <queryTableField id="3" name="team" tableColumnId="3"/>
      <queryTableField id="4" name="element_type" tableColumnId="4"/>
      <queryTableField id="5" name="now_cost" tableColumnId="5"/>
      <queryTableField id="6" name="minutes" tableColumnId="6"/>
      <queryTableField id="7" name="starts" tableColumnId="7"/>
      <queryTableField id="8" name="goals_scored" tableColumnId="8"/>
      <queryTableField id="9" name="assists" tableColumnId="9"/>
      <queryTableField id="10" name="expected_goals" tableColumnId="10"/>
      <queryTableField id="11" name="expected_assists" tableColumnId="11"/>
      <queryTableField id="12" name="total_points" tableColumnId="12"/>
      <queryTableField id="13" name="bps" tableColumnId="13"/>
      <queryTableField id="14" dataBound="0" tableColumnId="14"/>
      <queryTableField id="15" dataBound="0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852B39-8027-4CB3-A209-A9CEC415DD51}" autoFormatId="16" applyNumberFormats="0" applyBorderFormats="0" applyFontFormats="0" applyPatternFormats="0" applyAlignmentFormats="0" applyWidthHeightFormats="0">
  <queryTableRefresh nextId="19" unboundColumnsLeft="1" unboundColumnsRight="2">
    <queryTableFields count="17">
      <queryTableField id="17" dataBound="0" tableColumnId="17"/>
      <queryTableField id="1" name="first_name" tableColumnId="1"/>
      <queryTableField id="2" name="second_name" tableColumnId="2"/>
      <queryTableField id="3" name="team" tableColumnId="3"/>
      <queryTableField id="4" name="element_type" tableColumnId="4"/>
      <queryTableField id="5" name="now_cost" tableColumnId="5"/>
      <queryTableField id="6" name="minutes" tableColumnId="6"/>
      <queryTableField id="7" name="starts" tableColumnId="7"/>
      <queryTableField id="8" name="goals_scored" tableColumnId="8"/>
      <queryTableField id="9" name="assists" tableColumnId="9"/>
      <queryTableField id="10" name="expected_goals" tableColumnId="10"/>
      <queryTableField id="11" name="expected_assists" tableColumnId="11"/>
      <queryTableField id="12" name="total_points" tableColumnId="12"/>
      <queryTableField id="13" name="bps" tableColumnId="13"/>
      <queryTableField id="18" name="web_name" tableColumnId="14"/>
      <queryTableField id="15" dataBound="0" tableColumnId="15"/>
      <queryTableField id="16" dataBound="0" tableColumnId="16"/>
    </queryTableFields>
    <queryTableDeletedFields count="1">
      <deletedField name="web_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85F5BA0-85AA-4ED9-AB5A-2429F381D15F}" autoFormatId="16" applyNumberFormats="0" applyBorderFormats="0" applyFontFormats="0" applyPatternFormats="0" applyAlignmentFormats="0" applyWidthHeightFormats="0">
  <queryTableRefresh nextId="19" unboundColumnsLeft="1" unboundColumnsRight="2">
    <queryTableFields count="17">
      <queryTableField id="17" dataBound="0" tableColumnId="17"/>
      <queryTableField id="1" name="first_name" tableColumnId="1"/>
      <queryTableField id="2" name="second_name" tableColumnId="2"/>
      <queryTableField id="3" name="team" tableColumnId="3"/>
      <queryTableField id="4" name="element_type" tableColumnId="4"/>
      <queryTableField id="5" name="now_cost" tableColumnId="5"/>
      <queryTableField id="6" name="minutes" tableColumnId="6"/>
      <queryTableField id="7" name="starts" tableColumnId="7"/>
      <queryTableField id="8" name="goals_scored" tableColumnId="8"/>
      <queryTableField id="9" name="assists" tableColumnId="9"/>
      <queryTableField id="10" name="expected_goals" tableColumnId="10"/>
      <queryTableField id="11" name="expected_assists" tableColumnId="11"/>
      <queryTableField id="12" name="total_points" tableColumnId="12"/>
      <queryTableField id="13" name="bps" tableColumnId="13"/>
      <queryTableField id="18" name="defensive_contribution" tableColumnId="14"/>
      <queryTableField id="15" dataBound="0" tableColumnId="15"/>
      <queryTableField id="16" dataBound="0" tableColumnId="16"/>
    </queryTableFields>
    <queryTableDeletedFields count="1">
      <deletedField name="defensive_contribution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204F580-3906-47BB-8E6A-333F70DE1A78}" autoFormatId="16" applyNumberFormats="0" applyBorderFormats="0" applyFontFormats="0" applyPatternFormats="0" applyAlignmentFormats="0" applyWidthHeightFormats="0">
  <queryTableRefresh nextId="20">
    <queryTableFields count="10">
      <queryTableField id="8" name="Column1.event" tableColumnId="2"/>
      <queryTableField id="9" name="Column1.finished" tableColumnId="4"/>
      <queryTableField id="10" name="Column1.kickoff_time" tableColumnId="5"/>
      <queryTableField id="14" name="Column1.started" tableColumnId="8"/>
      <queryTableField id="1" name="Column1.team_a" tableColumnId="1"/>
      <queryTableField id="15" name="Column1.team_a_score" tableColumnId="9"/>
      <queryTableField id="3" name="Column1.team_h" tableColumnId="3"/>
      <queryTableField id="16" name="Column1.team_h_score" tableColumnId="10"/>
      <queryTableField id="6" name="Column1.team_h_difficulty" tableColumnId="6"/>
      <queryTableField id="7" name="Column1.team_a_difficulty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9B4BE66-11EF-4673-9F7D-2FC140FA9BCC}" autoFormatId="16" applyNumberFormats="0" applyBorderFormats="0" applyFontFormats="0" applyPatternFormats="0" applyAlignmentFormats="0" applyWidthHeightFormats="0">
  <queryTableRefresh nextId="11">
    <queryTableFields count="10">
      <queryTableField id="1" name="Column1.code" tableColumnId="1"/>
      <queryTableField id="2" name="Column1.id" tableColumnId="2"/>
      <queryTableField id="3" name="Column1.name" tableColumnId="3"/>
      <queryTableField id="4" name="Column1.short_name" tableColumnId="4"/>
      <queryTableField id="5" name="Column1.strength_attack_away" tableColumnId="5"/>
      <queryTableField id="6" name="Column1.strength_attack_home" tableColumnId="6"/>
      <queryTableField id="7" name="Column1.strength_defence_away" tableColumnId="7"/>
      <queryTableField id="8" name="Column1.strength_defence_home" tableColumnId="8"/>
      <queryTableField id="9" name="Column1.strength_overall_away" tableColumnId="9"/>
      <queryTableField id="10" name="Column1.strength_overall_home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AB57A47C-4CDA-49FE-A25C-98CC6D615282}" autoFormatId="16" applyNumberFormats="0" applyBorderFormats="0" applyFontFormats="0" applyPatternFormats="0" applyAlignmentFormats="0" applyWidthHeightFormats="0">
  <queryTableRefresh nextId="25" unboundColumnsRight="10">
    <queryTableFields count="20">
      <queryTableField id="11" name="GW" tableColumnId="11"/>
      <queryTableField id="2" name="Column1.finished" tableColumnId="2"/>
      <queryTableField id="3" name="Column1.kickoff_time" tableColumnId="3"/>
      <queryTableField id="4" name="Column1.started" tableColumnId="4"/>
      <queryTableField id="5" name="Team" tableColumnId="5"/>
      <queryTableField id="6" name="Opponent" tableColumnId="6"/>
      <queryTableField id="7" name="Difficulty" tableColumnId="7"/>
      <queryTableField id="12" name="H/A" tableColumnId="12"/>
      <queryTableField id="9" name="Team_name" tableColumnId="9"/>
      <queryTableField id="10" name="Opponent_name" tableColumnId="10"/>
      <queryTableField id="15" dataBound="0" tableColumnId="13"/>
      <queryTableField id="16" dataBound="0" tableColumnId="1"/>
      <queryTableField id="17" dataBound="0" tableColumnId="8"/>
      <queryTableField id="18" dataBound="0" tableColumnId="14"/>
      <queryTableField id="19" dataBound="0" tableColumnId="15"/>
      <queryTableField id="20" dataBound="0" tableColumnId="16"/>
      <queryTableField id="21" dataBound="0" tableColumnId="17"/>
      <queryTableField id="22" dataBound="0" tableColumnId="18"/>
      <queryTableField id="23" dataBound="0" tableColumnId="19"/>
      <queryTableField id="24" dataBound="0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D7E9E8D-456A-44F8-AAA5-25C75097B728}" autoFormatId="16" applyNumberFormats="0" applyBorderFormats="0" applyFontFormats="0" applyPatternFormats="0" applyAlignmentFormats="0" applyWidthHeightFormats="0">
  <queryTableRefresh nextId="6">
    <queryTableFields count="5">
      <queryTableField id="1" name="Column1.id" tableColumnId="1"/>
      <queryTableField id="2" name="Column1.name" tableColumnId="2"/>
      <queryTableField id="3" name="Column1.finished" tableColumnId="3"/>
      <queryTableField id="4" name="Column1.is_current" tableColumnId="4"/>
      <queryTableField id="5" name="Column1.is_nex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9B411D2-C4A2-4C4D-A56D-7992C4DA12CE}" autoFormatId="16" applyNumberFormats="0" applyBorderFormats="0" applyFontFormats="0" applyPatternFormats="0" applyAlignmentFormats="0" applyWidthHeightFormats="0">
  <queryTableRefresh nextId="9">
    <queryTableFields count="8">
      <queryTableField id="1" name="Column1.event" tableColumnId="1"/>
      <queryTableField id="2" name="Column1.finished" tableColumnId="2"/>
      <queryTableField id="3" name="Column1.kickoff_time" tableColumnId="3"/>
      <queryTableField id="4" name="Column1.started" tableColumnId="4"/>
      <queryTableField id="5" name="Team" tableColumnId="5"/>
      <queryTableField id="6" name="Opponent" tableColumnId="6"/>
      <queryTableField id="7" name="Difficulty" tableColumnId="7"/>
      <queryTableField id="8" name="home_away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01872CB-5CD0-49F7-9B1B-117AD85A2926}" autoFormatId="16" applyNumberFormats="0" applyBorderFormats="0" applyFontFormats="0" applyPatternFormats="0" applyAlignmentFormats="0" applyWidthHeightFormats="0">
  <queryTableRefresh nextId="9">
    <queryTableFields count="8">
      <queryTableField id="1" name="Column1.event" tableColumnId="1"/>
      <queryTableField id="2" name="Column1.finished" tableColumnId="2"/>
      <queryTableField id="3" name="Column1.kickoff_time" tableColumnId="3"/>
      <queryTableField id="4" name="Column1.started" tableColumnId="4"/>
      <queryTableField id="5" name="Team" tableColumnId="5"/>
      <queryTableField id="6" name="Opponent" tableColumnId="6"/>
      <queryTableField id="7" name="Difficulty" tableColumnId="7"/>
      <queryTableField id="8" name="home_awa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38882-F76D-4C77-8E00-3920B14F062D}" name="tblPlayers" displayName="tblPlayers" ref="A1:AA655" tableType="queryTable" totalsRowShown="0">
  <autoFilter ref="A1:AA655" xr:uid="{05738882-F76D-4C77-8E00-3920B14F062D}"/>
  <tableColumns count="27">
    <tableColumn id="23" xr3:uid="{C4E653F5-921E-4873-876D-654B2407A539}" uniqueName="23" name="element_type" queryTableFieldId="32" dataDxfId="28"/>
    <tableColumn id="2" xr3:uid="{ADE4AE3F-B3CE-4A9A-971C-7450CDE17C85}" uniqueName="2" name="first_name" queryTableFieldId="2" dataDxfId="27"/>
    <tableColumn id="5" xr3:uid="{084C0DA7-6A84-477C-8B11-8A33AE62D394}" uniqueName="5" name="second_name" queryTableFieldId="5" dataDxfId="26"/>
    <tableColumn id="24" xr3:uid="{B1EB9B95-492A-4A0C-81FB-CC32CA9CF562}" uniqueName="24" name="id" queryTableFieldId="38"/>
    <tableColumn id="1" xr3:uid="{E7A5DBE7-4145-4ECC-BFB2-1218A45A4315}" uniqueName="1" name="form" queryTableFieldId="18" dataDxfId="25"/>
    <tableColumn id="3" xr3:uid="{1DBB36E5-0AE1-4B43-AE40-17A1FE342E6A}" uniqueName="3" name="now_cost" queryTableFieldId="3" dataDxfId="24"/>
    <tableColumn id="4" xr3:uid="{54B48DA2-C936-4AFD-AE6C-59CE2C7F13D0}" uniqueName="4" name="points_per_game" queryTableFieldId="4" dataDxfId="23"/>
    <tableColumn id="18" xr3:uid="{4B18F4B5-7763-476F-A566-3567D8EB4E6A}" uniqueName="18" name="selected_by_percent" queryTableFieldId="19" dataDxfId="22"/>
    <tableColumn id="6" xr3:uid="{1D1F2E08-7CB2-4A16-BE7F-B2D65AA0CB09}" uniqueName="6" name="team" queryTableFieldId="6" dataDxfId="21"/>
    <tableColumn id="7" xr3:uid="{78DA20EF-A884-4BDC-8327-5A34B50EC87E}" uniqueName="7" name="total_points" queryTableFieldId="7" dataDxfId="20"/>
    <tableColumn id="8" xr3:uid="{248936A9-BD4F-4141-A371-997634B1480E}" uniqueName="8" name="minutes" queryTableFieldId="8" dataDxfId="19"/>
    <tableColumn id="9" xr3:uid="{49B79395-22ED-4B5D-8A17-92AADDC4C15F}" uniqueName="9" name="goals_scored" queryTableFieldId="9" dataDxfId="18"/>
    <tableColumn id="10" xr3:uid="{D89C573E-6711-4432-8B2E-5D5223C9CA5A}" uniqueName="10" name="assists" queryTableFieldId="10" dataDxfId="17"/>
    <tableColumn id="11" xr3:uid="{EDFB0C53-8DA0-43B9-8E25-F1CA75AA65C7}" uniqueName="11" name="clean_sheets" queryTableFieldId="11" dataDxfId="16"/>
    <tableColumn id="12" xr3:uid="{21AC58C3-9739-4C5B-8CC4-440516813CCD}" uniqueName="12" name="goals_conceded" queryTableFieldId="12" dataDxfId="15"/>
    <tableColumn id="19" xr3:uid="{CA61C88D-0244-46BC-AD8E-87345D456C02}" uniqueName="19" name="saves" queryTableFieldId="20" dataDxfId="14"/>
    <tableColumn id="13" xr3:uid="{38DAB5A8-636D-401C-B2DB-3A37D12F344D}" uniqueName="13" name="bonus" queryTableFieldId="13" dataDxfId="13"/>
    <tableColumn id="14" xr3:uid="{61FFAA9A-D7C1-4C9C-AA3F-2978714081C6}" uniqueName="14" name="bps" queryTableFieldId="14" dataDxfId="12"/>
    <tableColumn id="20" xr3:uid="{B40D909C-13DF-42B7-8789-45870EB38F6B}" uniqueName="20" name="defensive_contribution" queryTableFieldId="21" dataDxfId="11"/>
    <tableColumn id="21" xr3:uid="{9FB97624-3711-4695-B304-7FC1359F039B}" uniqueName="21" name="starts" queryTableFieldId="22" dataDxfId="10"/>
    <tableColumn id="15" xr3:uid="{65F16141-753D-4D55-A3B8-BEA92FA8D190}" uniqueName="15" name="expected_goals" queryTableFieldId="15" dataDxfId="9"/>
    <tableColumn id="16" xr3:uid="{53F514AC-DCE0-40F6-931D-D5119D500FF6}" uniqueName="16" name="expected_assists" queryTableFieldId="16" dataDxfId="8"/>
    <tableColumn id="22" xr3:uid="{9CB8C302-EF80-4A06-A7C7-598534D37421}" uniqueName="22" name="expected_goal_involvements" queryTableFieldId="23" dataDxfId="7"/>
    <tableColumn id="17" xr3:uid="{B966BF4E-12E3-4772-B43E-F99C180AD4DD}" uniqueName="17" name="expected_goals_conceded" queryTableFieldId="17" dataDxfId="6"/>
    <tableColumn id="26" xr3:uid="{2BD0999F-F338-4CB2-B4CB-4A5530F52842}" uniqueName="26" name="status" queryTableFieldId="41"/>
    <tableColumn id="27" xr3:uid="{F267F0BA-64DC-45E4-B942-09D2353C816E}" uniqueName="27" name="can_select" queryTableFieldId="42"/>
    <tableColumn id="25" xr3:uid="{CBD17E5D-F47E-43E3-A93D-E4A40207F860}" uniqueName="25" name="Player" queryTableFieldId="40" dataDxfId="5">
      <calculatedColumnFormula>B2&amp;" "&amp;C2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110276-E4AF-4F8C-A2D6-B048BD36FC7E}" name="Table8" displayName="Table8" ref="A1:BG596" totalsRowShown="0">
  <autoFilter ref="A1:BG596" xr:uid="{5B110276-E4AF-4F8C-A2D6-B048BD36FC7E}"/>
  <sortState xmlns:xlrd2="http://schemas.microsoft.com/office/spreadsheetml/2017/richdata2" ref="A2:BC596">
    <sortCondition ref="BB2:BB596"/>
  </sortState>
  <tableColumns count="59">
    <tableColumn id="1" xr3:uid="{4360B47E-DE1D-4F2A-9C15-48C3264D2164}" name="Player">
      <calculatedColumnFormula>tblPlayers[first_name]&amp;" "&amp;tblPlayers[second_name]</calculatedColumnFormula>
    </tableColumn>
    <tableColumn id="2" xr3:uid="{D3B5DE64-4AB3-4E7C-B00B-D2B4B213614C}" name="Position">
      <calculatedColumnFormula>_xlfn.SWITCH(tblPlayers[element_type],1,"GK",2,"DEF",3,"MID",4,"FWD")</calculatedColumnFormula>
    </tableColumn>
    <tableColumn id="3" xr3:uid="{4BC7978E-DCDE-44A3-9CB3-BB6C6C37D5C2}" name="Team">
      <calculatedColumnFormula>tblPlayers[team]</calculatedColumnFormula>
    </tableColumn>
    <tableColumn id="20" xr3:uid="{E933EE96-0D1D-4D0A-9242-CB3CDF8DC2CC}" name="Team Code" dataDxfId="219">
      <calculatedColumnFormula>INDEX(tblTeams[Column1.short_name],MATCH(C2,tblTeams[Column1.id],0))</calculatedColumnFormula>
    </tableColumn>
    <tableColumn id="4" xr3:uid="{7FA29100-4D18-4DD8-9AAF-01EE9A56AC5C}" name="Price" dataDxfId="218">
      <calculatedColumnFormula>INDEX(FPL_Raw_Data!$F:$F,MATCH(A2,FPL_Raw_Data!$AA:$AA,0))/10</calculatedColumnFormula>
    </tableColumn>
    <tableColumn id="56" xr3:uid="{7E2FD8B4-0980-475B-AD50-9CE8FED7D4D5}" name="Availability Status" dataDxfId="217">
      <calculatedColumnFormula>tblPlayers[[#This Row],[status]]</calculatedColumnFormula>
    </tableColumn>
    <tableColumn id="58" xr3:uid="{8E1A71B5-06B6-4889-BCA7-9452E7DC1E1B}" name="Can Select" dataDxfId="216">
      <calculatedColumnFormula>tblPlayers[[#This Row],[can_select]]</calculatedColumnFormula>
    </tableColumn>
    <tableColumn id="57" xr3:uid="{AC016D99-31A2-420E-AD6C-9E87EC6C0CCE}" name="Player Eligible" dataDxfId="215">
      <calculatedColumnFormula>IF(AND(Table8[[#This Row],[Availability Status]]="a",Table8[[#This Row],[Can Select]]=TRUE),1,0)</calculatedColumnFormula>
    </tableColumn>
    <tableColumn id="5" xr3:uid="{5AEB1AF1-6139-438A-B5BA-3584C50B23A6}" name="Minutes">
      <calculatedColumnFormula>tblPlayers[minutes]</calculatedColumnFormula>
    </tableColumn>
    <tableColumn id="24" xr3:uid="{7643653B-523D-42A4-87ED-F5F44A33A8B8}" name="Minutes / 90" dataDxfId="214">
      <calculatedColumnFormula>Table8[[#This Row],[Minutes]]/90</calculatedColumnFormula>
    </tableColumn>
    <tableColumn id="25" xr3:uid="{9E12EE87-4AFB-4AF1-A938-9849D77B08F2}" name="Start %" dataDxfId="213">
      <calculatedColumnFormula>IFERROR(Z2/(FIXTURE_ANALYSIS!$B$1-1),0)</calculatedColumnFormula>
    </tableColumn>
    <tableColumn id="6" xr3:uid="{A375E577-5E24-4C61-9079-1092DBCA849D}" name="Total Points">
      <calculatedColumnFormula>tblPlayers[total_points]</calculatedColumnFormula>
    </tableColumn>
    <tableColumn id="7" xr3:uid="{31DE595E-019A-4010-A4BE-777210935FE0}" name="PPG">
      <calculatedColumnFormula>tblPlayers[points_per_game]</calculatedColumnFormula>
    </tableColumn>
    <tableColumn id="8" xr3:uid="{E8E65071-E9C7-4135-8C06-AA59CC0389F9}" name="Form ">
      <calculatedColumnFormula>tblPlayers[form]</calculatedColumnFormula>
    </tableColumn>
    <tableColumn id="9" xr3:uid="{5357500B-B471-4B07-B6E6-D363863FA799}" name="xG ">
      <calculatedColumnFormula>tblPlayers[expected_goals]</calculatedColumnFormula>
    </tableColumn>
    <tableColumn id="10" xr3:uid="{2A5A7AC4-BE4E-4DB5-8F71-9F7A54AFF7F8}" name="xA">
      <calculatedColumnFormula>tblPlayers[expected_assists]</calculatedColumnFormula>
    </tableColumn>
    <tableColumn id="11" xr3:uid="{158914D9-016B-44D9-8439-B523358661EC}" name="xGI">
      <calculatedColumnFormula>tblPlayers[expected_goal_involvements]</calculatedColumnFormula>
    </tableColumn>
    <tableColumn id="12" xr3:uid="{B99CD757-6F61-4F1B-B8CF-B395A34F37A3}" name="Points/90" dataDxfId="212">
      <calculatedColumnFormula>IF(I2=0,0,L2/I2*90)</calculatedColumnFormula>
    </tableColumn>
    <tableColumn id="13" xr3:uid="{D0B60221-6F90-4824-B934-84DDBE41820F}" name="xG/90" dataDxfId="211">
      <calculatedColumnFormula>IF(I2=0,0,O2/I2*90)</calculatedColumnFormula>
    </tableColumn>
    <tableColumn id="14" xr3:uid="{1F1CE021-442B-428E-AD25-E4EC52E9071B}" name="xA/90 " dataDxfId="210">
      <calculatedColumnFormula>IF(I2=0,0,P2/I2*90)</calculatedColumnFormula>
    </tableColumn>
    <tableColumn id="15" xr3:uid="{F5EF5E7C-AA6F-40CD-A21F-4B3087DB574C}" name="xGI/90" dataDxfId="209">
      <calculatedColumnFormula>IF(I2=0,0,Q2/I2*90)</calculatedColumnFormula>
    </tableColumn>
    <tableColumn id="16" xr3:uid="{E0AD023E-F47B-4810-A07E-70886731E2FC}" name="Points/£m" dataDxfId="208">
      <calculatedColumnFormula>IF(E2=0,0,L2/E2)</calculatedColumnFormula>
    </tableColumn>
    <tableColumn id="17" xr3:uid="{88DF8A73-DAC3-4A24-AF4F-43D7A7F89BEA}" name="xGI/£m" dataDxfId="207">
      <calculatedColumnFormula>IF(E2=0,0,Q2/E2)</calculatedColumnFormula>
    </tableColumn>
    <tableColumn id="18" xr3:uid="{08F7BA69-819D-4CF7-8EBE-E6FACDBC38AE}" name="Fixture Score" dataDxfId="35">
      <calculatedColumnFormula>IFERROR(IF(OR($B2="MID",$B2="FWD"),INDEX(FIXTURE_ANALYSIS!$Q:$Q,MATCH($D2,FIXTURE_ANALYSIS!$A:$A,0)),INDEX(FIXTURE_ANALYSIS!$R:$R,MATCH($D2,FIXTURE_ANALYSIS!$A:$A,0))),1)</calculatedColumnFormula>
    </tableColumn>
    <tableColumn id="36" xr3:uid="{C74EF9C3-27A6-4B3D-B512-799157F0C132}" name="Fixture Adjustment" dataDxfId="34">
      <calculatedColumnFormula>X2</calculatedColumnFormula>
    </tableColumn>
    <tableColumn id="26" xr3:uid="{DEE80410-3E9F-46CB-BE9D-82160531974A}" name="Starts" dataDxfId="206">
      <calculatedColumnFormula>INDEX(FPL_Raw_Data!$T:$T,MATCH(A2,FPL_Raw_Data!$AA:$AA,0))</calculatedColumnFormula>
    </tableColumn>
    <tableColumn id="37" xr3:uid="{FF0D768E-818E-4D53-9260-CF3D60914C61}" name="Defensive Contributions" dataDxfId="205">
      <calculatedColumnFormula>INDEX(FPL_Raw_Data!$S:$S,MATCH(A2,FPL_Raw_Data!$AA:$AA,0))</calculatedColumnFormula>
    </tableColumn>
    <tableColumn id="38" xr3:uid="{577E92CA-F1C7-43A7-B11C-53DB08D5C2D4}" name="DC Potential" dataDxfId="204">
      <calculatedColumnFormula>IF(B2="DEF",MIN(AA2/10,1),IF(OR(B2="MID",B2="FWD"),MIN(AA2/12,1),0))</calculatedColumnFormula>
    </tableColumn>
    <tableColumn id="39" xr3:uid="{67641004-8CB8-42C9-A8A5-FAB87991A4D0}" name="Bonus" dataDxfId="203">
      <calculatedColumnFormula>INDEX(FPL_Raw_Data!$Q:$Q,MATCH(A2,FPL_Raw_Data!$AA:$AA,0))</calculatedColumnFormula>
    </tableColumn>
    <tableColumn id="40" xr3:uid="{94B4C889-FA5F-40E2-8D61-9734BBCF51A1}" name="BPS" dataDxfId="202">
      <calculatedColumnFormula>INDEX(FPL_Raw_Data!$R:$R,MATCH(A2,FPL_Raw_Data!$AA:$AA,0))</calculatedColumnFormula>
    </tableColumn>
    <tableColumn id="41" xr3:uid="{40F1FABD-7E3B-488D-81E7-1595341D4C0A}" name="Clean Sheets" dataDxfId="201">
      <calculatedColumnFormula>INDEX(FPL_Raw_Data!$N:$N,MATCH(A2,FPL_Raw_Data!$AA:$AA,0))</calculatedColumnFormula>
    </tableColumn>
    <tableColumn id="42" xr3:uid="{77A7297C-94B5-4151-AF2F-C3607887F65C}" name="Goals" dataDxfId="200">
      <calculatedColumnFormula>INDEX(FPL_Raw_Data!$L:$L,MATCH(A2,FPL_Raw_Data!$AA:$AA,0))</calculatedColumnFormula>
    </tableColumn>
    <tableColumn id="43" xr3:uid="{3AA02255-1703-4375-BAA9-30C6728250A6}" name="Assists" dataDxfId="199">
      <calculatedColumnFormula>INDEX(FPL_Raw_Data!$M:$M,MATCH(A2,FPL_Raw_Data!$AA:$AA,0))</calculatedColumnFormula>
    </tableColumn>
    <tableColumn id="44" xr3:uid="{66B7799E-23E5-489B-A52A-1CCB7ADE6B5C}" name="Expected Goal Points / 90" dataDxfId="198">
      <calculatedColumnFormula>IF(B2="GK",S2*10,IF(B2="DEF",S2*6,IF(B2="MID",S2*5,S2*4)))</calculatedColumnFormula>
    </tableColumn>
    <tableColumn id="45" xr3:uid="{092B6E45-DE14-47D4-AAFE-62B52336837A}" name="Expected Assist Points / 90" dataDxfId="197">
      <calculatedColumnFormula>T2*3</calculatedColumnFormula>
    </tableColumn>
    <tableColumn id="46" xr3:uid="{E2477933-6283-4276-AD4F-5B8F8EF73458}" name="Expected Appearance Points / 90" dataDxfId="196">
      <calculatedColumnFormula>K2*2</calculatedColumnFormula>
    </tableColumn>
    <tableColumn id="47" xr3:uid="{ADBA7D66-3E96-4A55-AFB4-32E496C1AB11}" name="Expected DC Points / 90" dataDxfId="195">
      <calculatedColumnFormula>AB2*2</calculatedColumnFormula>
    </tableColumn>
    <tableColumn id="48" xr3:uid="{5A476C72-F370-4506-AEF3-F57D29DCCFCD}" name="Clean Sheet Rate" dataDxfId="194">
      <calculatedColumnFormula>IFERROR(AE2/Z2,0)</calculatedColumnFormula>
    </tableColumn>
    <tableColumn id="49" xr3:uid="{9859898D-B56D-4B27-A787-4F1DA2DF1E1C}" name="Expected Clean Sheet Points / 90" dataDxfId="193">
      <calculatedColumnFormula>IF(OR(B2="GK",B2="DEF"),AL2*4,IF(B2="MID",AL2*1,0))</calculatedColumnFormula>
    </tableColumn>
    <tableColumn id="50" xr3:uid="{1B2E8918-A3A3-4186-9E0D-660587716EE4}" name="Bonus / Start" dataDxfId="192">
      <calculatedColumnFormula>IFERROR(AC2/Z2,0)</calculatedColumnFormula>
    </tableColumn>
    <tableColumn id="27" xr3:uid="{D41F08A2-FBF5-460E-BC03-803FB087BF08}" name="Points/90 score" dataDxfId="191">
      <calculatedColumnFormula>IFERROR(_xlfn.PERCENTRANK.INC($R$2:$R$700,R2)*100,0)</calculatedColumnFormula>
    </tableColumn>
    <tableColumn id="28" xr3:uid="{8AA0ED83-785B-45E1-8646-2FF49B3FAA5F}" name="xGI/90 Score" dataDxfId="190">
      <calculatedColumnFormula>IFERROR(_xlfn.PERCENTRANK.INC($U$2:$U$700,U2)*100,0)</calculatedColumnFormula>
    </tableColumn>
    <tableColumn id="29" xr3:uid="{77CD6498-1FC3-4153-ABCE-038483C499B7}" name="Points/£m Score" dataDxfId="189">
      <calculatedColumnFormula>IFERROR(_xlfn.PERCENTRANK.INC($V$2:$V$700,V2)*100,0)</calculatedColumnFormula>
    </tableColumn>
    <tableColumn id="30" xr3:uid="{6F4D64E2-3C6F-4574-9C1F-8AAAE0A486A6}" name="xGI/£m Score" dataDxfId="188">
      <calculatedColumnFormula>IFERROR(_xlfn.PERCENTRANK.INC($W$2:$W$700,W2)*100,0)</calculatedColumnFormula>
    </tableColumn>
    <tableColumn id="31" xr3:uid="{56FAF185-BF55-4743-8C53-FE6E31530E00}" name="Start Score" dataDxfId="187">
      <calculatedColumnFormula>K2*100</calculatedColumnFormula>
    </tableColumn>
    <tableColumn id="51" xr3:uid="{4A34F417-FA6A-4F56-BF7D-B6180A434567}" name="Model Expected Points" dataDxfId="186">
      <calculatedColumnFormula>IFERROR(INDEX(Player_Model!$BC$2:$BC$596,MATCH($A2,Player_Model!$A$2:$A$596,0)),0)</calculatedColumnFormula>
    </tableColumn>
    <tableColumn id="54" xr3:uid="{0A940DA9-52DA-41B5-A482-70DE294A46C9}" name="Fixture Adjusted Points / 90" dataDxfId="185">
      <calculatedColumnFormula>Table8[[#This Row],[Model Expected Points]]*Table8[[#This Row],[Fixture Adjustment]]</calculatedColumnFormula>
    </tableColumn>
    <tableColumn id="55" xr3:uid="{9199D83D-4916-4F9C-BDDB-75A886FB3020}" name="Expected Points / £m" dataDxfId="184">
      <calculatedColumnFormula>Table8[[#This Row],[Fixture Adjusted Points / 90]]/Table8[[#This Row],[Price]]</calculatedColumnFormula>
    </tableColumn>
    <tableColumn id="19" xr3:uid="{40646176-CF01-48A1-8E99-B1D637371FDE}" name="Attacking score" dataDxfId="183">
      <calculatedColumnFormula>IF(OR(B2="MID",B2="FWD"),AVERAGE(AO2,AP2),IF(B2="DEF",AP2,0))</calculatedColumnFormula>
    </tableColumn>
    <tableColumn id="21" xr3:uid="{5AF0B388-31D8-4E13-B4A0-54F96AF38CA1}" name="Defensive score" dataDxfId="182">
      <calculatedColumnFormula>IF(B2="GK",AVERAGE(AS2,X2),IF(B2="DEF",AVERAGE(AB2,X2),IF(B2="MID",AB2,0)))</calculatedColumnFormula>
    </tableColumn>
    <tableColumn id="23" xr3:uid="{98AC91D3-E9DA-4BB0-8000-CBC915CA287D}" name="Reliability Score" dataDxfId="181">
      <calculatedColumnFormula>AS2</calculatedColumnFormula>
    </tableColumn>
    <tableColumn id="33" xr3:uid="{6769BB54-E195-42DE-A652-C3804E93A4B7}" name="Fixture Adjusted Score" dataDxfId="180">
      <calculatedColumnFormula>X2</calculatedColumnFormula>
    </tableColumn>
    <tableColumn id="34" xr3:uid="{78D92965-62B4-4D4A-9E4C-46772E1A12F0}" name="Model Score" dataDxfId="179">
      <calculatedColumnFormula>Table8[[#This Row],[Model Score2]]</calculatedColumnFormula>
    </tableColumn>
    <tableColumn id="32" xr3:uid="{67712784-5D72-46AE-A437-967155E03B10}" name="Position Rank" dataDxfId="178">
      <calculatedColumnFormula>IFERROR(INDEX(Player_Model!$BG$2:$BG$596,MATCH($A2,Player_Model!$A$2:$A$596,0)),"")</calculatedColumnFormula>
    </tableColumn>
    <tableColumn id="35" xr3:uid="{BDD18260-93CD-4F68-BCAA-0C142A497B08}" name="Recommendation" dataDxfId="177">
      <calculatedColumnFormula>IF(BB2=1,"TOP PICK",IF(BB2&lt;=5,"STRONG PICK",IF(BB2&lt;=10,"CONSIDER","AVOID")))</calculatedColumnFormula>
    </tableColumn>
    <tableColumn id="53" xr3:uid="{6567E493-C8E3-4978-A106-9920F4430D5C}" name="Solver Score" dataDxfId="176">
      <calculatedColumnFormula>IF(H2=1,Table8[[#This Row],[Model Score]],-10000)</calculatedColumnFormula>
    </tableColumn>
    <tableColumn id="22" xr3:uid="{A8B1B400-19AD-4B27-94BE-7B3036DB7EA7}" name="Model Overall Rank" dataDxfId="175">
      <calculatedColumnFormula>IFERROR(INDEX(Player_Model!$BF$2:$BF$596,MATCH($A2,Player_Model!$A$2:$A$596,0)),"")</calculatedColumnFormula>
    </tableColumn>
    <tableColumn id="52" xr3:uid="{62D55573-6361-434C-8E17-D90FB7A10769}" name="Model Position Rank" dataDxfId="174">
      <calculatedColumnFormula>IFERROR(INDEX(Player_Model!$BG$2:$BG$596,MATCH($A2,Player_Model!$A$2:$A$596,0)),"")</calculatedColumnFormula>
    </tableColumn>
    <tableColumn id="61" xr3:uid="{9A9BBF16-C99B-4E03-B516-F5AB21A2BD6A}" name="Model Score2" dataDxfId="173">
      <calculatedColumnFormula>IFERROR(INDEX(Player_Model!$BE$2:$BE$596,MATCH($A2,Player_Model!$A$2:$A$596,0)),0)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B034C-D24E-4463-95E4-7444E42822B7}" name="Table11" displayName="Table11" ref="A1:BG596" totalsRowShown="0">
  <autoFilter ref="A1:BG596" xr:uid="{000B034C-D24E-4463-95E4-7444E42822B7}"/>
  <tableColumns count="59">
    <tableColumn id="1" xr3:uid="{9D56017B-C52B-4ABE-88C0-5C5BEE9653FA}" name="Player">
      <calculatedColumnFormula>Player_Analysis!A2</calculatedColumnFormula>
    </tableColumn>
    <tableColumn id="2" xr3:uid="{906914CA-6388-405D-8783-C18CDD6F7003}" name="Team" dataDxfId="172">
      <calculatedColumnFormula>Player_Analysis!C2</calculatedColumnFormula>
    </tableColumn>
    <tableColumn id="3" xr3:uid="{6587F615-ACB6-4C15-A6D0-B60C8440F9A4}" name="Position" dataDxfId="171">
      <calculatedColumnFormula>Player_Analysis!B2</calculatedColumnFormula>
    </tableColumn>
    <tableColumn id="4" xr3:uid="{CC67DDB7-DDCE-4FE7-92BE-B993B7A6E0F2}" name="Price" dataDxfId="170">
      <calculatedColumnFormula>Player_Analysis!E2</calculatedColumnFormula>
    </tableColumn>
    <tableColumn id="5" xr3:uid="{09B025FD-95CE-40F0-8B55-95DA9CBE9CA4}" name="Minutes" dataDxfId="169">
      <calculatedColumnFormula>Player_Analysis!I2</calculatedColumnFormula>
    </tableColumn>
    <tableColumn id="6" xr3:uid="{EB61FBAC-722B-455C-949D-FC2AC33AF17E}" name="Starts" dataDxfId="168">
      <calculatedColumnFormula>Player_Analysis!Z2</calculatedColumnFormula>
    </tableColumn>
    <tableColumn id="7" xr3:uid="{EFC31285-5202-4D28-80EC-1C5A3A9BD865}" name="Start %" dataDxfId="167" dataCellStyle="Percent">
      <calculatedColumnFormula>IF(E2=0,0,MIN(1,F2/(E2/90)))</calculatedColumnFormula>
    </tableColumn>
    <tableColumn id="8" xr3:uid="{B9713992-DEBD-4087-B8F5-876E4C6302AD}" name="Expected Minutes" dataDxfId="166">
      <calculatedColumnFormula>IF($E2=0,0,MIN(90,$G2*90))</calculatedColumnFormula>
    </tableColumn>
    <tableColumn id="9" xr3:uid="{3C5EA629-1938-43C6-8FA4-0F10F7C57D37}" name="Goals" dataDxfId="165">
      <calculatedColumnFormula>Player_Analysis!AF2</calculatedColumnFormula>
    </tableColumn>
    <tableColumn id="10" xr3:uid="{6BDF83CD-5293-433C-B5A9-8E3DA70DEA89}" name="Assists" dataDxfId="164">
      <calculatedColumnFormula>Player_Analysis!AG2</calculatedColumnFormula>
    </tableColumn>
    <tableColumn id="11" xr3:uid="{E2F7B054-EDF9-4FE2-8CFA-D5EA742BE4C8}" name="xG" dataDxfId="163">
      <calculatedColumnFormula>Player_Analysis!O2</calculatedColumnFormula>
    </tableColumn>
    <tableColumn id="12" xr3:uid="{AC001105-8453-4488-811B-2458B971B35B}" name="xA" dataDxfId="162">
      <calculatedColumnFormula>Player_Analysis!P2</calculatedColumnFormula>
    </tableColumn>
    <tableColumn id="13" xr3:uid="{51224961-1DD2-40D2-8199-F25944E96C69}" name="xG/90" dataDxfId="161">
      <calculatedColumnFormula>IF(E2=0,"",K2/E2*90)</calculatedColumnFormula>
    </tableColumn>
    <tableColumn id="14" xr3:uid="{82BCC1EC-6B27-4124-AD5B-154501A4E5BA}" name="xA/90" dataDxfId="160">
      <calculatedColumnFormula>IF(E2=0,"",L2/E2*90)</calculatedColumnFormula>
    </tableColumn>
    <tableColumn id="15" xr3:uid="{7F6B2F4D-657A-4072-8823-8B6899729EEA}" name="Points/90" dataDxfId="159">
      <calculatedColumnFormula>IF(E2=0,"",Player_Analysis!L2/E2*90)</calculatedColumnFormula>
    </tableColumn>
    <tableColumn id="16" xr3:uid="{4FF9BCC5-C4F7-4396-B4A3-8C37B544F440}" name="xGI/90" dataDxfId="158">
      <calculatedColumnFormula>IF(E2=0,"",Player_Analysis!Q2/E2*90)</calculatedColumnFormula>
    </tableColumn>
    <tableColumn id="17" xr3:uid="{67BD84EF-6153-4AA4-B908-107D1CD7AC11}" name="BPS/90" dataDxfId="157">
      <calculatedColumnFormula>IF(E2=0,"",(Player_Analysis!AD2/E2)*90)</calculatedColumnFormula>
    </tableColumn>
    <tableColumn id="18" xr3:uid="{5CB83A89-6AC9-42CA-87F7-1CD993C51C2A}" name="DC/90" dataDxfId="156">
      <calculatedColumnFormula>IF(E2=0,"",Player_Analysis!AA2/E2*90)</calculatedColumnFormula>
    </tableColumn>
    <tableColumn id="32" xr3:uid="{94834413-B946-443A-A706-10A7BC6D00D8}" name="23/24 xG/90" dataDxfId="155">
      <calculatedColumnFormula array="1">IFERROR(INDEX('2023_24'!$O:$O,MATCH($A2,'2023_24'!$A:$A,0)),"")</calculatedColumnFormula>
    </tableColumn>
    <tableColumn id="33" xr3:uid="{FFDFB47E-5AFD-440F-96C8-03492B38A54E}" name="24/25 xG/90" dataDxfId="154">
      <calculatedColumnFormula>IFERROR(INDEX('2024_25'!$P:$P,MATCH($A2,'2024_25'!$A:$A,0)),"")</calculatedColumnFormula>
    </tableColumn>
    <tableColumn id="34" xr3:uid="{B8DD65F6-096F-4E69-B07D-94D3C625B4D7}" name="25/26 xG/90" dataDxfId="153">
      <calculatedColumnFormula>IFERROR(INDEX('2025_26'!$P:$P,MATCH($A2,'2025_26'!$A:$A,0)),"")</calculatedColumnFormula>
    </tableColumn>
    <tableColumn id="35" xr3:uid="{ED682D5E-2153-4599-BCA4-12411995EA66}" name="23/24 xA/90" dataDxfId="152">
      <calculatedColumnFormula>IFERROR(INDEX('2023_24'!$P:$P,MATCH($A2,'2023_24'!$A:$A,0)),"")</calculatedColumnFormula>
    </tableColumn>
    <tableColumn id="36" xr3:uid="{3654F58D-DEB2-4229-AE20-1A6529595325}" name="24/25 xA/90" dataDxfId="151">
      <calculatedColumnFormula>IFERROR(INDEX('2024_25'!$Q:$Q,MATCH($A2,'2024_25'!$A:$A,0)),"")</calculatedColumnFormula>
    </tableColumn>
    <tableColumn id="37" xr3:uid="{6F5A576F-7BB9-40A7-8638-FA93A6B29784}" name="25/26 xA/90" dataDxfId="150">
      <calculatedColumnFormula>IFERROR(INDEX('2025_26'!$Q:$Q,MATCH($A2,'2025_26'!$A:$A,0)),"")</calculatedColumnFormula>
    </tableColumn>
    <tableColumn id="21" xr3:uid="{F9460552-363E-4EBE-AB00-37A8D4273B43}" name="23/24 Points/90" dataDxfId="149">
      <calculatedColumnFormula>IFERROR(INDEX('2023_24'!$M:$M,MATCH($A2,'2023_24'!$A:$A,0))/INDEX('2023_24'!$G:$G,MATCH($A2,'2023_24'!$A:$A,0))*90,"")</calculatedColumnFormula>
    </tableColumn>
    <tableColumn id="22" xr3:uid="{DA15143A-049E-47F6-824C-300BE22A81FA}" name="24/25 Points/90" dataDxfId="148">
      <calculatedColumnFormula>IFERROR(INDEX('2024_25'!$M:$M,MATCH($A2,'2024_25'!$A:$A,0))/INDEX('2024_25'!$G:$G,MATCH($A2,'2024_25'!$A:$A,0))*90,"")</calculatedColumnFormula>
    </tableColumn>
    <tableColumn id="20" xr3:uid="{B8706231-B8BD-42B7-83B7-A5ABD3C98512}" name="25/26 Points/90" dataDxfId="147">
      <calculatedColumnFormula>IFERROR(INDEX('2025_26'!$M:$M,MATCH($A2,'2025_26'!$A:$A,0))/INDEX('2025_26'!$G:$G,MATCH($A2,'2025_26'!$A:$A,0))*90,"")</calculatedColumnFormula>
    </tableColumn>
    <tableColumn id="38" xr3:uid="{ADDE9DE4-3043-47CB-AF4A-0682691C31E1}" name="Weighted_xG90" dataDxfId="146">
      <calculatedColumnFormula>IFERROR(SUMPRODUCT(S2:U2,{0.2,0.3,0.5})/SUMPRODUCT(--(S2:U2&lt;&gt;""),{0.2,0.3,0.5}),"")</calculatedColumnFormula>
    </tableColumn>
    <tableColumn id="39" xr3:uid="{9ED80128-50E4-43E3-9A8F-40967B45CEAA}" name="Weighted_xA90" dataDxfId="145">
      <calculatedColumnFormula>IFERROR(SUMPRODUCT(V2:X2,{0.2,0.3,0.5})/SUMPRODUCT(--(V2:X2&lt;&gt;""),{0.2,0.3,0.5}),"")</calculatedColumnFormula>
    </tableColumn>
    <tableColumn id="23" xr3:uid="{92BAD0E3-26E4-4CFC-B962-DDE7B3611E59}" name="Weighted Historical Points/90" dataDxfId="144">
      <calculatedColumnFormula>IFERROR(SUMPRODUCT(Y2:AA2,{0.2,0.3,0.5})/SUMPRODUCT((Y2:AA2&lt;&gt;"")*{0.2,0.3,0.5}),O2)</calculatedColumnFormula>
    </tableColumn>
    <tableColumn id="40" xr3:uid="{A54E9CBB-1DBF-4965-83BE-D05E02C8F7EE}" name="Historical Seasons" dataDxfId="143">
      <calculatedColumnFormula>COUNT(S2:U2)</calculatedColumnFormula>
    </tableColumn>
    <tableColumn id="41" xr3:uid="{7EE88904-9DE7-44DD-9642-92508ED636FC}" name="Avg Minutes " dataDxfId="142">
      <calculatedColumnFormula>IF(F2=0,"",E2/F2)</calculatedColumnFormula>
    </tableColumn>
    <tableColumn id="44" xr3:uid="{38E9008A-3E9C-4059-9469-12DCE4AE1175}" name="Smoothed xG/90" dataDxfId="141">
      <calculatedColumnFormula>IF(AND(M2="",AB2=""),0,IF(M2="",AB2,IF(AB2="",M2,M2*AJ2+AB2*(1-AJ2))))</calculatedColumnFormula>
    </tableColumn>
    <tableColumn id="19" xr3:uid="{7AE0D126-2B28-49AA-9CC7-715A8DF18F1F}" name="Smoothed xA/90" dataDxfId="140">
      <calculatedColumnFormula>IF(AND(N2="",AC2=""),0,IF(N2="",AC2,IF(AC2="",N2,N2*AJ2+AC2*(1-AJ2))))</calculatedColumnFormula>
    </tableColumn>
    <tableColumn id="46" xr3:uid="{296C6791-4BCE-4042-9336-7453A112230E}" name="Smoothed Points/90" dataDxfId="139">
      <calculatedColumnFormula>IF(AND(O2="",AD2=""),0,IF(O2="",AD2,IF(AD2="",O2,O2*AJ2+AD2*(1-AJ2))))</calculatedColumnFormula>
    </tableColumn>
    <tableColumn id="47" xr3:uid="{74F3A7C4-D752-445D-8B33-BD9954301EB6}" name="Minutes Reliability" dataDxfId="138">
      <calculatedColumnFormula>IF($E2=0,0,MIN(0.9,$E2/300))</calculatedColumnFormula>
    </tableColumn>
    <tableColumn id="24" xr3:uid="{224529E2-1588-46D2-939F-3C56B13ABB27}" name="New PL Player" dataDxfId="137">
      <calculatedColumnFormula>IF(AE2=0,"YES","NO")</calculatedColumnFormula>
    </tableColumn>
    <tableColumn id="25" xr3:uid="{E0AF53F8-17B4-476F-B18F-0CB2443798F3}" name="Expected xG" dataDxfId="136">
      <calculatedColumnFormula>IF($H2=0,0,$AG2*$H2/90)</calculatedColumnFormula>
    </tableColumn>
    <tableColumn id="26" xr3:uid="{77338B0B-97B7-4D86-80F7-644DDE75047B}" name="Expected xA" dataDxfId="135">
      <calculatedColumnFormula>IF($H2=0,0,$AH2*$H2/90)</calculatedColumnFormula>
    </tableColumn>
    <tableColumn id="27" xr3:uid="{B660E935-0798-47C8-821B-A7A09031BE9E}" name="Expected Goals" dataDxfId="134">
      <calculatedColumnFormula>AL2</calculatedColumnFormula>
    </tableColumn>
    <tableColumn id="28" xr3:uid="{981FBBA2-6444-45D9-882E-7FD9501007A3}" name="Expected Assists" dataDxfId="133">
      <calculatedColumnFormula>AM2</calculatedColumnFormula>
    </tableColumn>
    <tableColumn id="29" xr3:uid="{08C0923F-BFAD-413F-9415-05382ECC66C3}" name="Expected Goal Points" dataDxfId="132">
      <calculatedColumnFormula array="1">AL2*IF($C2="GKP",10,IF($C2="DEF",6,IF($C2="MID",5,4)))</calculatedColumnFormula>
    </tableColumn>
    <tableColumn id="30" xr3:uid="{41540D7A-C1B2-4933-B688-318B26044F3D}" name="Expected Assist Points" dataDxfId="131">
      <calculatedColumnFormula>AM2*3</calculatedColumnFormula>
    </tableColumn>
    <tableColumn id="31" xr3:uid="{06C2AD5F-81BE-4055-91B3-ED9E4B78AD5C}" name="Expected Appearance Points" dataDxfId="130">
      <calculatedColumnFormula>$G2*2</calculatedColumnFormula>
    </tableColumn>
    <tableColumn id="48" xr3:uid="{84217B78-31ED-4B9C-88F7-6E5171492DA1}" name="Expected Clean Sheet Points" dataDxfId="129">
      <calculatedColumnFormula>IF($H2=0,0,Player_Analysis!$AM2*$H2/90)</calculatedColumnFormula>
    </tableColumn>
    <tableColumn id="42" xr3:uid="{AB729C1B-CA85-457F-B97A-BAD390BDFDFA}" name="Expected DC Points" dataDxfId="128">
      <calculatedColumnFormula>IF($H2=0,0,$R2*$H2/90*2/IF(OR($C2="GKP",$C2="DEF"),10,12))</calculatedColumnFormula>
    </tableColumn>
    <tableColumn id="43" xr3:uid="{CE18E62F-9C18-4667-A93E-64B4D60132F1}" name="Expected Bonus Points" dataDxfId="127">
      <calculatedColumnFormula>0</calculatedColumnFormula>
    </tableColumn>
    <tableColumn id="58" xr3:uid="{52B2217A-B26A-409E-8EFD-D18CD4E1DE24}" name="Expected Saves" dataDxfId="126">
      <calculatedColumnFormula>IF(INDEX(FPL_Raw_Data!K:K,MATCH(A2,FPL_Raw_Data!AA:AA,0))=0,"",INDEX(FPL_Raw_Data!P:P,MATCH(A2,FPL_Raw_Data!AA:AA,0))/INDEX(FPL_Raw_Data!K:K,MATCH(A2,FPL_Raw_Data!AA:AA,0))*90)</calculatedColumnFormula>
    </tableColumn>
    <tableColumn id="59" xr3:uid="{A7F4D8BD-25D2-44EA-8B58-74EEFF1F2AF2}" name="Expected Save Points" dataDxfId="125">
      <calculatedColumnFormula>IF(AV2="",0,AV2/3)</calculatedColumnFormula>
    </tableColumn>
    <tableColumn id="57" xr3:uid="{954EA9B8-AB21-49ED-80E9-EB38D283709D}" name="Expected Goals Conceded" dataDxfId="124">
      <calculatedColumnFormula>IFERROR(INDEX(TEAM_ANALYSIS!$H$2:$H$21,MATCH($B2,TEAM_ANALYSIS!$A$2:$A$21,0)),0)</calculatedColumnFormula>
    </tableColumn>
    <tableColumn id="56" xr3:uid="{F118FF03-C066-481A-89D5-7AF4E7B2878E}" name="Expected GC Points" dataDxfId="123">
      <calculatedColumnFormula>IF(OR($C2="GKP",$C2="DEF"),-($AX2/2),0)</calculatedColumnFormula>
    </tableColumn>
    <tableColumn id="45" xr3:uid="{DEC9379D-766F-46E3-9AEB-E5502FB12A55}" name="Predicted FPL Points" dataDxfId="122">
      <calculatedColumnFormula>SUM(AP2:AU2)+AW2+AY2</calculatedColumnFormula>
    </tableColumn>
    <tableColumn id="49" xr3:uid="{F8B56938-726C-4CCB-9562-B54308E65DC1}" name="Predicted Points/£m" dataDxfId="121">
      <calculatedColumnFormula>IF($D2=0,0,$AZ2/$D2)</calculatedColumnFormula>
    </tableColumn>
    <tableColumn id="50" xr3:uid="{01C56926-709B-4F7B-A490-A7FF40AAA8CD}" name="Fixture Adjustment" dataDxfId="120">
      <calculatedColumnFormula>IFERROR(Player_Analysis!$Y2,1)</calculatedColumnFormula>
    </tableColumn>
    <tableColumn id="51" xr3:uid="{0135AD41-2203-45FC-8AFF-934452F95238}" name="Fixture Adjusted Points" dataDxfId="32">
      <calculatedColumnFormula>BB2*AZ2</calculatedColumnFormula>
    </tableColumn>
    <tableColumn id="52" xr3:uid="{8218DE22-62D1-43C1-95BB-0C9A0DF0353E}" name="Fixture Adjusted Points/£m" dataDxfId="33">
      <calculatedColumnFormula>BA2*BC2</calculatedColumnFormula>
    </tableColumn>
    <tableColumn id="53" xr3:uid="{C51B2E4B-380B-46F9-A8B5-C19410851493}" name="Model Score" dataDxfId="119">
      <calculatedColumnFormula>BC2</calculatedColumnFormula>
    </tableColumn>
    <tableColumn id="54" xr3:uid="{94231314-23BD-456E-9180-9B1BFBDEBB1F}" name="Overall Rank" dataDxfId="118">
      <calculatedColumnFormula>IF($BE2="","",_xlfn.RANK.EQ($BE2,$BE$2:$BE$596,0))</calculatedColumnFormula>
    </tableColumn>
    <tableColumn id="55" xr3:uid="{659DC7E3-0026-4559-A8B3-47EA9C960804}" name="Position Rank" dataDxfId="117">
      <calculatedColumnFormula>IF($BE2="","",COUNTIFS($C$2:$C$596,$C2,$BE$2:$BE$596,"&gt;"&amp;$BE2)+COUNTIFS($C$2:$C2,$C2,$BE$2:$BE2,$BE2))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DBB489-6AAA-48D7-A825-06F3675BB2CA}" name="_2023_24" displayName="_2023_24" ref="A1:P866" tableType="queryTable" totalsRowShown="0">
  <autoFilter ref="A1:P866" xr:uid="{5EDBB489-6AAA-48D7-A825-06F3675BB2CA}"/>
  <tableColumns count="16">
    <tableColumn id="16" xr3:uid="{0614035B-FDD0-4990-B781-3FA76B53EA3F}" uniqueName="16" name="Player" queryTableFieldId="16" dataDxfId="116">
      <calculatedColumnFormula>_xlfn.CONCAT(B2, " ", C2)</calculatedColumnFormula>
    </tableColumn>
    <tableColumn id="1" xr3:uid="{73789F6B-E448-4443-AC5A-B709D16E58AA}" uniqueName="1" name="first_name" queryTableFieldId="1" dataDxfId="115"/>
    <tableColumn id="2" xr3:uid="{3A023AF3-1880-490D-BDB6-7CF514EBA4B8}" uniqueName="2" name="second_name" queryTableFieldId="2" dataDxfId="114"/>
    <tableColumn id="3" xr3:uid="{15D54382-2E19-49E2-B500-457950718352}" uniqueName="3" name="team" queryTableFieldId="3"/>
    <tableColumn id="4" xr3:uid="{BBD511BF-EC02-45EC-BAEA-C0A25B073D22}" uniqueName="4" name="element_type" queryTableFieldId="4"/>
    <tableColumn id="5" xr3:uid="{D3AFC501-297D-4A83-974C-748D048B5810}" uniqueName="5" name="now_cost" queryTableFieldId="5"/>
    <tableColumn id="6" xr3:uid="{F190D005-4430-4865-A401-1AEAF34BC937}" uniqueName="6" name="minutes" queryTableFieldId="6"/>
    <tableColumn id="7" xr3:uid="{0BBD4900-C271-4D0C-A04D-439E2877F6F3}" uniqueName="7" name="starts" queryTableFieldId="7"/>
    <tableColumn id="8" xr3:uid="{4A0F879C-7DFB-46BD-AD5D-78310FA83554}" uniqueName="8" name="goals_scored" queryTableFieldId="8"/>
    <tableColumn id="9" xr3:uid="{E1B29D2A-A243-40B4-B7D0-1159FBFA44FE}" uniqueName="9" name="assists" queryTableFieldId="9"/>
    <tableColumn id="10" xr3:uid="{684593FC-1571-45C8-8459-A0ADC9FF58E0}" uniqueName="10" name="expected_goals" queryTableFieldId="10"/>
    <tableColumn id="11" xr3:uid="{87F1AE24-573A-4B13-91E6-1BD49CF0D8DE}" uniqueName="11" name="expected_assists" queryTableFieldId="11"/>
    <tableColumn id="12" xr3:uid="{D08CC1C0-2435-4892-82B0-25494F2FF320}" uniqueName="12" name="total_points" queryTableFieldId="12"/>
    <tableColumn id="13" xr3:uid="{AC43F257-AA50-4A16-A4FD-7269A4FFE2DC}" uniqueName="13" name="bps" queryTableFieldId="13"/>
    <tableColumn id="14" xr3:uid="{54C4E4C8-5C27-4212-B7C4-6227108654B9}" uniqueName="14" name="xG_per_90" queryTableFieldId="14" dataDxfId="113">
      <calculatedColumnFormula>IFERROR(K2/G2*90,0)</calculatedColumnFormula>
    </tableColumn>
    <tableColumn id="15" xr3:uid="{88BA26AE-17FC-4139-B384-93AB9B599E7C}" uniqueName="15" name="xA_per_90" queryTableFieldId="15" dataDxfId="112">
      <calculatedColumnFormula>IFERROR(L2/G2*90,0)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335463-3EF9-4F65-A777-627ADB0AB9DD}" name="_2024_25" displayName="_2024_25" ref="A1:Q805" tableType="queryTable" totalsRowShown="0">
  <autoFilter ref="A1:Q805" xr:uid="{E0335463-3EF9-4F65-A777-627ADB0AB9DD}"/>
  <tableColumns count="17">
    <tableColumn id="17" xr3:uid="{CFD78ED3-36AC-46CA-8102-A49C6DC2BC5D}" uniqueName="17" name="Player" queryTableFieldId="17">
      <calculatedColumnFormula>_xlfn.CONCAT(B2, " ", C2)</calculatedColumnFormula>
    </tableColumn>
    <tableColumn id="1" xr3:uid="{98A4D40E-8AB1-495E-9843-8B007AAE6C55}" uniqueName="1" name="first_name" queryTableFieldId="1" dataDxfId="111"/>
    <tableColumn id="2" xr3:uid="{1550D90D-7A29-4169-B594-8825D3690771}" uniqueName="2" name="second_name" queryTableFieldId="2" dataDxfId="110"/>
    <tableColumn id="3" xr3:uid="{F13AFC61-B101-4DDD-8E21-DA5DA86CB950}" uniqueName="3" name="team" queryTableFieldId="3" dataDxfId="109"/>
    <tableColumn id="4" xr3:uid="{C33BF7B3-0135-4F76-82B6-EBDA0685B724}" uniqueName="4" name="element_type" queryTableFieldId="4" dataDxfId="108"/>
    <tableColumn id="5" xr3:uid="{48210973-F905-4D59-8B31-356672C907A8}" uniqueName="5" name="now_cost" queryTableFieldId="5"/>
    <tableColumn id="6" xr3:uid="{3EE24E6F-E82E-465B-9301-F5AD2FE12272}" uniqueName="6" name="minutes" queryTableFieldId="6"/>
    <tableColumn id="7" xr3:uid="{ABD8905B-81FD-4629-A687-53F87925CDDE}" uniqueName="7" name="starts" queryTableFieldId="7" dataDxfId="107"/>
    <tableColumn id="8" xr3:uid="{C8EFA496-D692-494E-B0DA-6D620160FB0D}" uniqueName="8" name="goals_scored" queryTableFieldId="8"/>
    <tableColumn id="9" xr3:uid="{E3E26760-931D-48B7-B3E9-2FE199AB942F}" uniqueName="9" name="assists" queryTableFieldId="9"/>
    <tableColumn id="10" xr3:uid="{4BE64AD3-6D01-41B5-81D2-92B9243B932C}" uniqueName="10" name="expected_goals" queryTableFieldId="10" dataDxfId="106"/>
    <tableColumn id="11" xr3:uid="{1D34B4B1-F9D9-4ED0-86B4-727932B797B6}" uniqueName="11" name="expected_assists" queryTableFieldId="11" dataDxfId="105"/>
    <tableColumn id="12" xr3:uid="{A250B43A-1F8B-4471-AE71-FA008E073CB0}" uniqueName="12" name="total_points" queryTableFieldId="12"/>
    <tableColumn id="13" xr3:uid="{7380D799-2A58-45CA-A892-485A351B4DE9}" uniqueName="13" name="bps" queryTableFieldId="13"/>
    <tableColumn id="14" xr3:uid="{8D5ACA2A-C6E1-41D0-9837-D97FB0DDE579}" uniqueName="14" name="web_name" queryTableFieldId="18" dataDxfId="104"/>
    <tableColumn id="15" xr3:uid="{1765A773-877B-4C64-A301-587EDA1BD24C}" uniqueName="15" name="xG_per_90" queryTableFieldId="15" dataDxfId="103">
      <calculatedColumnFormula>IFERROR(K2/G2*90,0)</calculatedColumnFormula>
    </tableColumn>
    <tableColumn id="16" xr3:uid="{076F6B66-0735-4C18-9B87-784181601C22}" uniqueName="16" name="xA_per_90" queryTableFieldId="16" dataDxfId="102">
      <calculatedColumnFormula>IFERROR(L2/G2*90,0)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D8BA943-E9B3-491C-BBA0-67B73E616DD8}" name="_2025_26" displayName="_2025_26" ref="A1:Q842" tableType="queryTable" totalsRowShown="0">
  <autoFilter ref="A1:Q842" xr:uid="{5D8BA943-E9B3-491C-BBA0-67B73E616DD8}"/>
  <tableColumns count="17">
    <tableColumn id="17" xr3:uid="{6191CF3F-041D-4009-A7C6-79D31FC721FF}" uniqueName="17" name="Player" queryTableFieldId="17">
      <calculatedColumnFormula>_xlfn.CONCAT(B2, " ", C2)</calculatedColumnFormula>
    </tableColumn>
    <tableColumn id="1" xr3:uid="{26F21A28-EAA1-4600-8288-5A678AEDE4B1}" uniqueName="1" name="first_name" queryTableFieldId="1" dataDxfId="101"/>
    <tableColumn id="2" xr3:uid="{868070EE-6F6C-4CA6-93A9-C2B1AD829395}" uniqueName="2" name="second_name" queryTableFieldId="2" dataDxfId="100"/>
    <tableColumn id="3" xr3:uid="{97BB6FE4-7E43-48B4-893A-16964DF43704}" uniqueName="3" name="team" queryTableFieldId="3"/>
    <tableColumn id="4" xr3:uid="{345B2EB6-68AE-4998-B7EA-0F4E7C808235}" uniqueName="4" name="element_type" queryTableFieldId="4"/>
    <tableColumn id="5" xr3:uid="{86C03C10-AE11-4449-8DC0-B3D52633F185}" uniqueName="5" name="now_cost" queryTableFieldId="5"/>
    <tableColumn id="6" xr3:uid="{3D57FA3B-22C3-4974-831A-2E4E922B797F}" uniqueName="6" name="minutes" queryTableFieldId="6"/>
    <tableColumn id="7" xr3:uid="{D5853212-24E1-4BFA-908E-7074F774F44F}" uniqueName="7" name="starts" queryTableFieldId="7"/>
    <tableColumn id="8" xr3:uid="{158F9650-F16D-4BA1-95D3-C5FF5C8FF997}" uniqueName="8" name="goals_scored" queryTableFieldId="8"/>
    <tableColumn id="9" xr3:uid="{0054173B-AA38-4888-970D-46E96883C4E5}" uniqueName="9" name="assists" queryTableFieldId="9"/>
    <tableColumn id="10" xr3:uid="{9D934829-0CE6-4490-9E47-3C397EAD24BE}" uniqueName="10" name="expected_goals" queryTableFieldId="10"/>
    <tableColumn id="11" xr3:uid="{8CCA1F95-4077-42E1-86B4-DFECF69D4CE0}" uniqueName="11" name="expected_assists" queryTableFieldId="11"/>
    <tableColumn id="12" xr3:uid="{07A1F735-A95B-4412-A8A7-4BA2128D9D17}" uniqueName="12" name="total_points" queryTableFieldId="12"/>
    <tableColumn id="13" xr3:uid="{20A0B345-B925-40B6-B565-84EA09FD8079}" uniqueName="13" name="bps" queryTableFieldId="13"/>
    <tableColumn id="14" xr3:uid="{6F24393B-324A-4009-AD8F-9A626FDA5592}" uniqueName="14" name="defensive_contribution" queryTableFieldId="18"/>
    <tableColumn id="15" xr3:uid="{86C627AA-F2C8-487D-BD2F-F1FA0026B67A}" uniqueName="15" name="xG_per_90" queryTableFieldId="15" dataDxfId="99">
      <calculatedColumnFormula>IFERROR(K2/G2*90,0)</calculatedColumnFormula>
    </tableColumn>
    <tableColumn id="16" xr3:uid="{E754FBD7-4B8C-471A-81EA-E943C05D9128}" uniqueName="16" name="xA_per_90" queryTableFieldId="16" dataDxfId="98">
      <calculatedColumnFormula>IFERROR(L2/G2*90,0)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C702F0-E694-4686-A7BC-A368966F5AE9}" name="Table9" displayName="Table9" ref="A1:Z21" totalsRowShown="0" headerRowDxfId="97">
  <autoFilter ref="A1:Z21" xr:uid="{CEC702F0-E694-4686-A7BC-A368966F5AE9}"/>
  <tableColumns count="26">
    <tableColumn id="1" xr3:uid="{C7D1D47B-35A5-401D-BA2E-F98DDCEFBB3E}" name="Team ID" dataDxfId="96">
      <calculatedColumnFormula>Raw_Teams!B2</calculatedColumnFormula>
    </tableColumn>
    <tableColumn id="2" xr3:uid="{65AF6059-6819-48B4-8AE2-A7174B72CA7C}" name="Team Code">
      <calculatedColumnFormula>INDEX(Raw_Teams!$D:$D,MATCH(A2,Raw_Teams!$B:$B,0))</calculatedColumnFormula>
    </tableColumn>
    <tableColumn id="3" xr3:uid="{E165A5F5-1DE8-428F-A3CD-1F3D65CAB8DB}" name="Team Name"/>
    <tableColumn id="4" xr3:uid="{82A56BF3-1E3B-4386-B921-F7C362D4F4AC}" name="Games Played" dataDxfId="95">
      <calculatedColumnFormula>COUNTIFS(Fixture_Raw!$B:$B,TRUE,Fixture_Raw!$E:$E,$A2)+COUNTIFS(Fixture_Raw!$B:$B,TRUE,Fixture_Raw!$G:$G,$A2)</calculatedColumnFormula>
    </tableColumn>
    <tableColumn id="5" xr3:uid="{C7306416-0E1E-4AC9-A050-C26F77E0AED6}" name="Goals Scored" dataDxfId="94">
      <calculatedColumnFormula>SUMIFS(Fixture_Raw!$H:$H,Fixture_Raw!$B:$B,TRUE,Fixture_Raw!$G:$G,$A2)+SUMIFS(Fixture_Raw!$F:$F,Fixture_Raw!$B:$B,TRUE,Fixture_Raw!$E:$E,$A2)</calculatedColumnFormula>
    </tableColumn>
    <tableColumn id="6" xr3:uid="{C2D1C2CC-664B-4E8B-B440-9A8D02D82A63}" name="Goals Conceded" dataDxfId="93">
      <calculatedColumnFormula>SUMIFS(Fixture_Raw!$F:$F,Fixture_Raw!$B:$B,TRUE,Fixture_Raw!$G:$G,$A2)+SUMIFS(Fixture_Raw!$H:$H,Fixture_Raw!$B:$B,TRUE,Fixture_Raw!$E:$E,$A2)</calculatedColumnFormula>
    </tableColumn>
    <tableColumn id="10" xr3:uid="{160F48E9-3492-4517-9516-05C1654A651B}" name="Goals/Game" dataDxfId="92">
      <calculatedColumnFormula>IFERROR(E2/D2,0)</calculatedColumnFormula>
    </tableColumn>
    <tableColumn id="7" xr3:uid="{8C8A5B5B-483B-4CBE-9A3D-735D55F764F5}" name="Goals Conceded/Game" dataDxfId="91">
      <calculatedColumnFormula>IFERROR(F2/D2,0)</calculatedColumnFormula>
    </tableColumn>
    <tableColumn id="9" xr3:uid="{2BB311C0-4E75-446B-92AF-24BBFC2610F8}" name="Clean Sheets" dataDxfId="90">
      <calculatedColumnFormula>COUNTIFS(Fixture_Raw!$B:$B,TRUE,Fixture_Raw!$G:$G,$A2,Fixture_Raw!$F:$F,0)+COUNTIFS(Fixture_Raw!$B:$B,TRUE,Fixture_Raw!$E:$E,$A2,Fixture_Raw!$H:$H,0)</calculatedColumnFormula>
    </tableColumn>
    <tableColumn id="14" xr3:uid="{FF4F170D-CD6C-4A00-9E63-200B85BE0CA1}" name="Clean Sheet %" dataDxfId="89">
      <calculatedColumnFormula>IFERROR(I2/D2,0)</calculatedColumnFormula>
    </tableColumn>
    <tableColumn id="15" xr3:uid="{C105DB08-4E53-4DC0-8EC6-9DB990F75285}" name="Attacking Score" dataDxfId="88">
      <calculatedColumnFormula>IFERROR(G2/MAX($G$2:$G$21)*100,0)</calculatedColumnFormula>
    </tableColumn>
    <tableColumn id="16" xr3:uid="{DC7D9942-FB65-495E-BC92-4FF02B7573F5}" name="Defensive Score" dataDxfId="87">
      <calculatedColumnFormula>IFERROR(MIN($H$2:$H$21)/H2*100,0)</calculatedColumnFormula>
    </tableColumn>
    <tableColumn id="17" xr3:uid="{3A7CEE49-A51E-4C81-9188-153962837C5E}" name="Overall Team Score" dataDxfId="86">
      <calculatedColumnFormula>K2*50%+L2*50%</calculatedColumnFormula>
    </tableColumn>
    <tableColumn id="8" xr3:uid="{3F744115-8ECB-4771-8B5B-F9074B2DA9BF}" name="FPL Attack Home" dataDxfId="85">
      <calculatedColumnFormula>IFERROR(INDEX(Raw_Teams!$E:$E,MATCH($A2,Raw_Teams!$A:$A,0)),0)</calculatedColumnFormula>
    </tableColumn>
    <tableColumn id="11" xr3:uid="{AF0EB89A-C821-4529-BC0E-787A78996499}" name="FPL Attack Away" dataDxfId="84">
      <calculatedColumnFormula>IFERROR(INDEX(Raw_Teams!$D:$D,MATCH($D2,Raw_Teams!$A:$A,0)),0)</calculatedColumnFormula>
    </tableColumn>
    <tableColumn id="12" xr3:uid="{2BBBC70B-FC3A-414D-A1C9-C00CCA964686}" name="FPL Defence Home" dataDxfId="83">
      <calculatedColumnFormula>IFERROR(INDEX(Raw_Teams!$G:$G,MATCH($A2,Raw_Teams!$A:$A,0)),0)</calculatedColumnFormula>
    </tableColumn>
    <tableColumn id="13" xr3:uid="{6B96D6F4-9247-4DD8-825C-D86E9A48A78C}" name="FPL Defence Away" dataDxfId="82"/>
    <tableColumn id="18" xr3:uid="{6AFBA520-F9FB-43BB-A552-78389895ED2C}" name="FPL Overall Home" dataDxfId="81"/>
    <tableColumn id="19" xr3:uid="{F23B6B89-3A17-46F8-A253-0C4C5A10DB3C}" name="FPL Overall Away" dataDxfId="80"/>
    <tableColumn id="20" xr3:uid="{0408453B-FCBF-475C-B977-57A2E4C03F34}" name="Preseason Attack Score" dataDxfId="79"/>
    <tableColumn id="21" xr3:uid="{3FF2BD5F-6273-4AA3-A1B2-D49B05BC3FDB}" name="Preseason Defence Score" dataDxfId="78"/>
    <tableColumn id="22" xr3:uid="{DD7CB23E-EF56-48BE-AFB6-23BDC633D2E2}" name="Preseason Overall Score" dataDxfId="77"/>
    <tableColumn id="23" xr3:uid="{C9C2CEA7-8855-4F26-850D-D08BFE3889AE}" name="Smoothed Goals/Game" dataDxfId="76">
      <calculatedColumnFormula>IFERROR((E2+AVERAGE($E$2:$E$21))/(D2+1),AVERAGE($E$2:$E$21))</calculatedColumnFormula>
    </tableColumn>
    <tableColumn id="24" xr3:uid="{0BD80E31-8F2E-4013-93A7-13B930101352}" name="Smoothed Goals Conceded/Game" dataDxfId="75">
      <calculatedColumnFormula>IFERROR((F2+AVERAGE($F$2:$F$21))/(D2+1),AVERAGE($F$2:$F$21))</calculatedColumnFormula>
    </tableColumn>
    <tableColumn id="25" xr3:uid="{1E93C2E8-B848-4178-BD4F-3C52DF85A535}" name="Attack Strength" dataDxfId="74">
      <calculatedColumnFormula>IFERROR(W2/AVERAGE($W$2:$W$21),1)</calculatedColumnFormula>
    </tableColumn>
    <tableColumn id="26" xr3:uid="{3B6D107E-38F4-479F-81E0-26B4B24AC4E1}" name="Defence Weakness" dataDxfId="73">
      <calculatedColumnFormula>IFERROR(X2/AVERAGE($X$2:$X$21),1)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ECA0C-C1CE-4427-9D92-50210E38CE27}" name="tblFixtures" displayName="tblFixtures" ref="A1:J381" tableType="queryTable" totalsRowShown="0">
  <autoFilter ref="A1:J381" xr:uid="{C96ECA0C-C1CE-4427-9D92-50210E38CE27}"/>
  <tableColumns count="10">
    <tableColumn id="2" xr3:uid="{2B556031-7E3D-4D09-932A-EC8CBDF46B57}" uniqueName="2" name="Column1.event" queryTableFieldId="8" dataDxfId="72"/>
    <tableColumn id="4" xr3:uid="{02FA9425-5FAA-4AF7-AFD9-C5C133ED6DC8}" uniqueName="4" name="Column1.finished" queryTableFieldId="9" dataDxfId="71"/>
    <tableColumn id="5" xr3:uid="{C4F0727C-B19F-467C-9689-A85BE0361FF2}" uniqueName="5" name="Column1.kickoff_time" queryTableFieldId="10" dataDxfId="4"/>
    <tableColumn id="8" xr3:uid="{FE7C680A-33A6-4331-B28A-6A2C5C1D51F4}" uniqueName="8" name="Column1.started" queryTableFieldId="14" dataDxfId="70"/>
    <tableColumn id="1" xr3:uid="{1ED25CB5-1D64-48B7-9666-41F0F800D992}" uniqueName="1" name="Column1.team_a" queryTableFieldId="1" dataDxfId="69"/>
    <tableColumn id="9" xr3:uid="{AFDC341B-ADF5-4446-B2F2-B3AB2EF7DAB3}" uniqueName="9" name="Column1.team_a_score" queryTableFieldId="15" dataDxfId="68"/>
    <tableColumn id="3" xr3:uid="{F5EFA8E7-4D93-4B72-BB26-E59960200A9D}" uniqueName="3" name="Column1.team_h" queryTableFieldId="3" dataDxfId="67"/>
    <tableColumn id="10" xr3:uid="{9E052067-5713-4324-AD8A-2503B0E0055C}" uniqueName="10" name="Column1.team_h_score" queryTableFieldId="16" dataDxfId="66"/>
    <tableColumn id="6" xr3:uid="{77128147-FCC5-4E08-B163-7CA18C2BD3BE}" uniqueName="6" name="Column1.team_h_difficulty" queryTableFieldId="6" dataDxfId="65"/>
    <tableColumn id="7" xr3:uid="{E4B1E75F-63A7-48B0-BDEF-27A5655E0F9A}" uniqueName="7" name="Column1.team_a_difficulty" queryTableFieldId="7" dataDxfId="6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AC2CBB-55C3-4FC9-B9A5-DE7F72372B6D}" name="tblTeams" displayName="tblTeams" ref="A1:J21" tableType="queryTable" totalsRowShown="0">
  <autoFilter ref="A1:J21" xr:uid="{C1AC2CBB-55C3-4FC9-B9A5-DE7F72372B6D}"/>
  <tableColumns count="10">
    <tableColumn id="1" xr3:uid="{D174933E-38FB-48C2-84E2-6894D4636AF5}" uniqueName="1" name="Column1.code" queryTableFieldId="1"/>
    <tableColumn id="2" xr3:uid="{50C54FCD-6F60-427D-8577-ECCFE126993B}" uniqueName="2" name="Column1.id" queryTableFieldId="2"/>
    <tableColumn id="3" xr3:uid="{2E344FE4-30FC-4307-85F5-0CCF63EECA02}" uniqueName="3" name="Column1.name" queryTableFieldId="3"/>
    <tableColumn id="4" xr3:uid="{0E21B5D7-7041-4324-B6FE-3540B0A14CE7}" uniqueName="4" name="Column1.short_name" queryTableFieldId="4"/>
    <tableColumn id="5" xr3:uid="{F5A25987-FA65-4DBB-9E7C-FA06F74A55F3}" uniqueName="5" name="Column1.strength_attack_away" queryTableFieldId="5"/>
    <tableColumn id="6" xr3:uid="{05EB002A-3408-4737-AD69-90A7EF6080E4}" uniqueName="6" name="Column1.strength_attack_home" queryTableFieldId="6"/>
    <tableColumn id="7" xr3:uid="{E022071B-54B4-425D-8100-18CC384BDFFF}" uniqueName="7" name="Column1.strength_defence_away" queryTableFieldId="7"/>
    <tableColumn id="8" xr3:uid="{380A5C99-F2CC-45F8-9E1D-373B5880B955}" uniqueName="8" name="Column1.strength_defence_home" queryTableFieldId="8"/>
    <tableColumn id="9" xr3:uid="{A6A1CC30-CD6A-495D-B212-0A77CB5A233D}" uniqueName="9" name="Column1.strength_overall_away" queryTableFieldId="9"/>
    <tableColumn id="10" xr3:uid="{8B5C99BB-FEC1-4D84-8E17-85F4E5679D90}" uniqueName="10" name="Column1.strength_overall_home" queryTableField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92B47A-22EF-4611-9693-8A894CF7B84A}" name="tblAnalysisTeams" displayName="tblAnalysisTeams" ref="A4:S24" totalsRowShown="0" headerRowDxfId="63">
  <autoFilter ref="A4:S24" xr:uid="{0692B47A-22EF-4611-9693-8A894CF7B84A}"/>
  <sortState xmlns:xlrd2="http://schemas.microsoft.com/office/spreadsheetml/2017/richdata2" ref="A5:S24">
    <sortCondition ref="A4:A24"/>
  </sortState>
  <tableColumns count="19">
    <tableColumn id="1" xr3:uid="{AAE14FB9-9A9A-45F9-A088-3A1D344043AD}" name="Team"/>
    <tableColumn id="2" xr3:uid="{E26AB6F9-3836-4F0D-B959-ACE3DBB79B9F}" name="Fixture 1" dataDxfId="62">
      <calculatedColumnFormula>INDEX(tblTeamFixtures[Opponent_name],MATCH(A5&amp;"_"&amp;$B$1,tblTeamFixtures[Lookup],0))</calculatedColumnFormula>
    </tableColumn>
    <tableColumn id="3" xr3:uid="{3630AB64-21E8-4EC8-932E-002319C9C2B2}" name="Attack Mult 1" dataDxfId="48">
      <calculatedColumnFormula>IFERROR(INDEX(tblTeamFixtures[Attack Fixture Multiplier],MATCH(A5&amp;"_"&amp;$B$1,tblTeamFixtures[Lookup],0)),1)</calculatedColumnFormula>
    </tableColumn>
    <tableColumn id="9" xr3:uid="{D96CFCCE-01F6-4897-A13D-EA2E7792DB9E}" name="Defence Mult 1" dataDxfId="47">
      <calculatedColumnFormula>IFERROR(INDEX(tblTeamFixtures[Defence Fixture Multiplier],MATCH(A5&amp;"_"&amp;$B$1,tblTeamFixtures[Lookup],0)),1)</calculatedColumnFormula>
    </tableColumn>
    <tableColumn id="4" xr3:uid="{DCBF354B-5EDA-41CC-AF7A-1847412F62DA}" name="Fixture 2" dataDxfId="61">
      <calculatedColumnFormula>INDEX(tblTeamFixtures[Opponent_name],MATCH(A5&amp;"_"&amp;($B$1+1),tblTeamFixtures[Lookup],0))</calculatedColumnFormula>
    </tableColumn>
    <tableColumn id="5" xr3:uid="{CA7073A2-A5F4-4CF7-979E-D5A25572F8AA}" name="Attack Mult 2" dataDxfId="46">
      <calculatedColumnFormula>IFERROR(INDEX(tblTeamFixtures[Attack Fixture Multiplier],MATCH(A5&amp;"_"&amp;($B$1+1),tblTeamFixtures[Lookup],0)),1)</calculatedColumnFormula>
    </tableColumn>
    <tableColumn id="15" xr3:uid="{A97449D8-3F94-454C-80DD-9FBED2BB47CA}" name="Defence Mult 2" dataDxfId="45">
      <calculatedColumnFormula>IFERROR(INDEX(tblTeamFixtures[Defence Fixture Multiplier],MATCH(A5&amp;"_"&amp;($B$1+1),tblTeamFixtures[Lookup],0)),1)</calculatedColumnFormula>
    </tableColumn>
    <tableColumn id="6" xr3:uid="{9576FBA9-0C71-45A0-9163-6E177466CC05}" name="Fixture 3" dataDxfId="60">
      <calculatedColumnFormula>INDEX(tblTeamFixtures[Opponent_name],MATCH(A5&amp;"_"&amp;($B$1+2),tblTeamFixtures[Lookup],0))</calculatedColumnFormula>
    </tableColumn>
    <tableColumn id="10" xr3:uid="{180CBA95-C055-488E-A8CA-BF4E3269E9CC}" name="Attack Mult 3" dataDxfId="44">
      <calculatedColumnFormula>IFERROR(INDEX(tblTeamFixtures[Attack Fixture Multiplier],MATCH(A5&amp;"_"&amp;($B$1+2),tblTeamFixtures[Lookup],0)),1)</calculatedColumnFormula>
    </tableColumn>
    <tableColumn id="16" xr3:uid="{88F6D094-E362-4436-B65A-381B9350B6BB}" name="Defence Mult 3" dataDxfId="43">
      <calculatedColumnFormula>IFERROR(INDEX(tblTeamFixtures[Defence Fixture Multiplier],MATCH(A5&amp;"_"&amp;($B$1+2),tblTeamFixtures[Lookup],0)),1)</calculatedColumnFormula>
    </tableColumn>
    <tableColumn id="11" xr3:uid="{9F545BF8-8464-483D-AA71-96D980185212}" name="Fixture 4" dataDxfId="59">
      <calculatedColumnFormula>INDEX(tblTeamFixtures[Opponent_name],MATCH(A5&amp;"_"&amp;($B$1+3),tblTeamFixtures[Lookup],0))</calculatedColumnFormula>
    </tableColumn>
    <tableColumn id="13" xr3:uid="{B6403CB1-332E-4F4C-925E-BD48B0751E5E}" name="Attack Mult 4" dataDxfId="42">
      <calculatedColumnFormula>IFERROR(INDEX(tblTeamFixtures[Attack Fixture Multiplier],MATCH(A5&amp;"_"&amp;($B$1+3),tblTeamFixtures[Lookup],0)),1)</calculatedColumnFormula>
    </tableColumn>
    <tableColumn id="20" xr3:uid="{4115FDCE-908F-4842-97D0-F609677497DE}" name="Defence Mult 4" dataDxfId="41">
      <calculatedColumnFormula>IFERROR(INDEX(tblTeamFixtures[Defence Fixture Multiplier],MATCH(A5&amp;"_"&amp;($B$1+3),tblTeamFixtures[Lookup],0)),1)</calculatedColumnFormula>
    </tableColumn>
    <tableColumn id="12" xr3:uid="{9D1D29E3-E7E5-423A-A22C-DAB64566C475}" name="Fixture 5" dataDxfId="58">
      <calculatedColumnFormula>INDEX(tblTeamFixtures[Opponent_name],MATCH(A5&amp;"_"&amp;($B$1+4),tblTeamFixtures[Lookup],0))</calculatedColumnFormula>
    </tableColumn>
    <tableColumn id="7" xr3:uid="{AF6D84CE-BCFA-4051-9143-66E5B2915B53}" name="Attack Mult 5" dataDxfId="40">
      <calculatedColumnFormula>IFERROR(INDEX(tblTeamFixtures[Attack Fixture Multiplier],MATCH(A5&amp;"_"&amp;($B$1+4),tblTeamFixtures[Lookup],0)),1)</calculatedColumnFormula>
    </tableColumn>
    <tableColumn id="21" xr3:uid="{2FA54E81-F20C-4A74-99BB-F2026B17364E}" name="Defence Mult 5" dataDxfId="39">
      <calculatedColumnFormula>IFERROR(INDEX(tblTeamFixtures[Defence Fixture Multiplier],MATCH(A5&amp;"_"&amp;($B$1+4),tblTeamFixtures[Lookup],0)),1)</calculatedColumnFormula>
    </tableColumn>
    <tableColumn id="8" xr3:uid="{5C2C15C6-61B6-4319-9D11-BE5AA4DAA22B}" name="Attack Fixture Multiplier" dataDxfId="38">
      <calculatedColumnFormula>C5*30%+F5*25%+I5*20%+L5*15%+O5*10%</calculatedColumnFormula>
    </tableColumn>
    <tableColumn id="22" xr3:uid="{5B7A7707-6A51-4CED-B786-27CCB645E97B}" name="Defence Fixture Multiplier" dataDxfId="37">
      <calculatedColumnFormula>D5*30%+G5*25%+J5*20%+M5*15%+P5*10%</calculatedColumnFormula>
    </tableColumn>
    <tableColumn id="23" xr3:uid="{1E54EED1-779A-42F9-AB9D-B2554D3420BF}" name="Overall Fixture Multiplier" dataDxfId="36">
      <calculatedColumnFormula>AVERAGE(Q5,R5)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7865EA-B345-4C08-A0BD-9B58A8C11B5F}" name="tblTeamFixtures" displayName="tblTeamFixtures" ref="A1:T761" tableType="queryTable" totalsRowShown="0">
  <autoFilter ref="A1:T761" xr:uid="{247865EA-B345-4C08-A0BD-9B58A8C11B5F}"/>
  <sortState xmlns:xlrd2="http://schemas.microsoft.com/office/spreadsheetml/2017/richdata2" ref="A2:T761">
    <sortCondition ref="A1:A761"/>
  </sortState>
  <tableColumns count="20">
    <tableColumn id="11" xr3:uid="{EF5EAB28-1CD2-4349-9ECB-CAD92A13F07D}" uniqueName="11" name="GW" queryTableFieldId="11"/>
    <tableColumn id="2" xr3:uid="{6C8AAB46-E702-4228-9817-3A0930F7010E}" uniqueName="2" name="Column1.finished" queryTableFieldId="2"/>
    <tableColumn id="3" xr3:uid="{BE747FE3-52EE-4B75-8111-9DBC00BDE804}" uniqueName="3" name="Column1.kickoff_time" queryTableFieldId="3" dataDxfId="2"/>
    <tableColumn id="4" xr3:uid="{FD9765B4-CFF8-4058-98B7-49B018FAE979}" uniqueName="4" name="Column1.started" queryTableFieldId="4"/>
    <tableColumn id="5" xr3:uid="{EC8E8792-BBB5-4767-85CC-1A65CDDAD3DC}" uniqueName="5" name="Team" queryTableFieldId="5"/>
    <tableColumn id="6" xr3:uid="{5A32B4DE-40ED-4BBC-817D-9276EADF3882}" uniqueName="6" name="Opponent" queryTableFieldId="6"/>
    <tableColumn id="7" xr3:uid="{CBA89A37-391C-4644-B5B3-5898A7182CB4}" uniqueName="7" name="Difficulty" queryTableFieldId="7"/>
    <tableColumn id="12" xr3:uid="{108E2D03-0A1E-4268-9CF2-5667F98BA5A8}" uniqueName="12" name="H/A" queryTableFieldId="12"/>
    <tableColumn id="9" xr3:uid="{33DD8C13-ED36-4B1A-8584-3B9789CD8139}" uniqueName="9" name="Team_name" queryTableFieldId="9"/>
    <tableColumn id="10" xr3:uid="{44D7D40B-1527-4B23-8B7D-92F8599F39AC}" uniqueName="10" name="Opponent_name" queryTableFieldId="10"/>
    <tableColumn id="13" xr3:uid="{4084FF82-D7D7-40DF-BA85-32EE127626B7}" uniqueName="13" name="Lookup" queryTableFieldId="15" dataDxfId="57">
      <calculatedColumnFormula>tblTeamFixtures[[#This Row],[Team_name]]&amp;"_"&amp;tblTeamFixtures[[#This Row],[GW]]</calculatedColumnFormula>
    </tableColumn>
    <tableColumn id="1" xr3:uid="{A09777FF-87C2-4F04-A49D-5503A626390B}" uniqueName="1" name="Team Attack Strength" queryTableFieldId="16" dataDxfId="56">
      <calculatedColumnFormula>IFERROR(INDEX(TEAM_ANALYSIS!$Y:$Y,MATCH($E2,TEAM_ANALYSIS!$A:$A,0)),1)</calculatedColumnFormula>
    </tableColumn>
    <tableColumn id="8" xr3:uid="{14DF56EC-B5F5-4C5E-A217-0969B86197DA}" uniqueName="8" name="Team Defence Weakness" queryTableFieldId="17" dataDxfId="55">
      <calculatedColumnFormula>IFERROR(INDEX(TEAM_ANALYSIS!$Z:$Z,MATCH($E2,TEAM_ANALYSIS!$A:$A,0)),1)</calculatedColumnFormula>
    </tableColumn>
    <tableColumn id="14" xr3:uid="{BC4D2371-0EF7-4E14-B47D-8D2F3C905B7E}" uniqueName="14" name="Opponent Attack Strength" queryTableFieldId="18" dataDxfId="54">
      <calculatedColumnFormula>IFERROR(INDEX(TEAM_ANALYSIS!$Y:$Y,MATCH($F2,TEAM_ANALYSIS!$A:$A,0)),1)</calculatedColumnFormula>
    </tableColumn>
    <tableColumn id="15" xr3:uid="{A5D4A668-9F2D-49F2-B026-80853E6F1C63}" uniqueName="15" name="Opponent Defence Weakness" queryTableFieldId="19" dataDxfId="53">
      <calculatedColumnFormula>IFERROR(INDEX(TEAM_ANALYSIS!$Z:$Z,MATCH($F2,TEAM_ANALYSIS!$A:$A,0)),1)</calculatedColumnFormula>
    </tableColumn>
    <tableColumn id="16" xr3:uid="{49F8D3EE-8B01-42E3-AACE-AE02367428C4}" uniqueName="16" name="Expected Team Goals" queryTableFieldId="20" dataDxfId="52">
      <calculatedColumnFormula>MAX(0.05,AVERAGE(TEAM_ANALYSIS!$W$2:$W$21)*L2*O2)</calculatedColumnFormula>
    </tableColumn>
    <tableColumn id="17" xr3:uid="{6DF90FE0-3031-4184-BE24-2128928AA549}" uniqueName="17" name="Expected Opponent Goals" queryTableFieldId="21" dataDxfId="51">
      <calculatedColumnFormula>MAX(0.05,AVERAGE(TEAM_ANALYSIS!$W$2:$W$21)*N2*M2)</calculatedColumnFormula>
    </tableColumn>
    <tableColumn id="18" xr3:uid="{CE542E4F-6E20-4B74-BC35-ACDB40BFF062}" uniqueName="18" name="Attack Fixture Multiplier" queryTableFieldId="22" dataDxfId="1">
      <calculatedColumnFormula>MAX(0.8,MIN(1.2,P2/AVERAGE(TEAM_ANALYSIS!$W$2:$W$21)))</calculatedColumnFormula>
    </tableColumn>
    <tableColumn id="19" xr3:uid="{38A4A5DF-2D5F-448F-B9B4-51E8998DD0FE}" uniqueName="19" name="Defence Fixture Multiplier" queryTableFieldId="23" dataDxfId="49">
      <calculatedColumnFormula>MAX(0.8,MIN(1.2,AVERAGE(TEAM_ANALYSIS!$W$2:$W$21)/Q2))</calculatedColumnFormula>
    </tableColumn>
    <tableColumn id="20" xr3:uid="{5247BD79-686D-4C0E-B3DD-018593C112C2}" uniqueName="20" name="Overall Fixture Multiplier" queryTableFieldId="24" dataDxfId="50">
      <calculatedColumnFormula>AVERAGE(R2,S2)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DD148A-B80E-4820-A6AF-A70634192010}" name="Gameweek_Raw" displayName="Gameweek_Raw" ref="A1:E2" tableType="queryTable" totalsRowShown="0">
  <autoFilter ref="A1:E2" xr:uid="{69DD148A-B80E-4820-A6AF-A70634192010}"/>
  <tableColumns count="5">
    <tableColumn id="1" xr3:uid="{7B3879FF-A079-4529-9E9E-E01B391C7EF9}" uniqueName="1" name="Column1.id" queryTableFieldId="1"/>
    <tableColumn id="2" xr3:uid="{9FBF39B7-CD79-4273-8028-4C27FFB7CA2D}" uniqueName="2" name="Column1.name" queryTableFieldId="2"/>
    <tableColumn id="3" xr3:uid="{A3AE68F8-AE67-4C25-9688-1BA184CCBC7B}" uniqueName="3" name="Column1.finished" queryTableFieldId="3"/>
    <tableColumn id="4" xr3:uid="{17A0B83C-D649-436F-ABCB-086AC74808FF}" uniqueName="4" name="Column1.is_current" queryTableFieldId="4"/>
    <tableColumn id="5" xr3:uid="{125D2D07-5BB4-40D1-851A-959BCF2E052C}" uniqueName="5" name="Column1.is_next" queryTableField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832739-9EEE-40A7-9D25-B508F1FB0883}" name="AWAY_FIXTURES" displayName="AWAY_FIXTURES" ref="A1:H381" tableType="queryTable" totalsRowShown="0">
  <autoFilter ref="A1:H381" xr:uid="{60832739-9EEE-40A7-9D25-B508F1FB0883}"/>
  <tableColumns count="8">
    <tableColumn id="1" xr3:uid="{1A344233-A14F-4725-861A-DD7164DAFF08}" uniqueName="1" name="Column1.event" queryTableFieldId="1"/>
    <tableColumn id="2" xr3:uid="{39859EAE-344B-4D83-873D-E04EC1B6A29D}" uniqueName="2" name="Column1.finished" queryTableFieldId="2"/>
    <tableColumn id="3" xr3:uid="{6C1E20C0-2F8D-4A80-9AFF-C2F2C57AF76B}" uniqueName="3" name="Column1.kickoff_time" queryTableFieldId="3" dataDxfId="3"/>
    <tableColumn id="4" xr3:uid="{3DD34769-D80B-4EC2-ACF0-2AC4EC1D72C1}" uniqueName="4" name="Column1.started" queryTableFieldId="4"/>
    <tableColumn id="5" xr3:uid="{2F12625C-268B-4B13-A3AA-95C5BB2AFAE2}" uniqueName="5" name="Team" queryTableFieldId="5"/>
    <tableColumn id="6" xr3:uid="{39FC18A6-7DD5-4F05-B023-B749578CE728}" uniqueName="6" name="Opponent" queryTableFieldId="6"/>
    <tableColumn id="7" xr3:uid="{DEB74E2A-1DDE-48DD-B1CB-E82FD9F96E53}" uniqueName="7" name="Difficulty" queryTableFieldId="7"/>
    <tableColumn id="8" xr3:uid="{64529B1C-0658-4E05-9EE7-BFD57B9847FE}" uniqueName="8" name="home_away" queryTableFieldId="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C85816-2F1B-4ED9-B51D-019408E009D3}" name="HOME_FIXTURES" displayName="HOME_FIXTURES" ref="A1:H381" tableType="queryTable" totalsRowShown="0">
  <autoFilter ref="A1:H381" xr:uid="{6FC85816-2F1B-4ED9-B51D-019408E009D3}"/>
  <tableColumns count="8">
    <tableColumn id="1" xr3:uid="{7FE83DC2-07FD-4E0F-9D56-814E44852391}" uniqueName="1" name="Column1.event" queryTableFieldId="1"/>
    <tableColumn id="2" xr3:uid="{A6767D2E-8751-4C49-B4CD-E2CDCB2DF0B1}" uniqueName="2" name="Column1.finished" queryTableFieldId="2"/>
    <tableColumn id="3" xr3:uid="{162F5849-80EC-4C2F-A5AB-C47CE32D335C}" uniqueName="3" name="Column1.kickoff_time" queryTableFieldId="3" dataDxfId="0"/>
    <tableColumn id="4" xr3:uid="{2A5CC8F5-C6CF-49CA-8885-60EB0001295B}" uniqueName="4" name="Column1.started" queryTableFieldId="4"/>
    <tableColumn id="5" xr3:uid="{FB404BE1-4ED8-4878-8C24-B740FB3F5FB3}" uniqueName="5" name="Team" queryTableFieldId="5"/>
    <tableColumn id="6" xr3:uid="{5C39E0ED-A238-43F2-BEC1-DBC4FAFA0A9D}" uniqueName="6" name="Opponent" queryTableFieldId="6"/>
    <tableColumn id="7" xr3:uid="{E00EBA19-AB1D-4503-AF13-2DEA3FA733CD}" uniqueName="7" name="Difficulty" queryTableFieldId="7"/>
    <tableColumn id="8" xr3:uid="{3518110D-E932-4602-AF60-B99691154435}" uniqueName="8" name="home_away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02D-6CC8-4D25-9C0E-19CB72C1608E}">
  <dimension ref="A1:H18"/>
  <sheetViews>
    <sheetView tabSelected="1" workbookViewId="0">
      <selection activeCell="G6" sqref="G6"/>
    </sheetView>
  </sheetViews>
  <sheetFormatPr defaultRowHeight="15" x14ac:dyDescent="0.25"/>
  <cols>
    <col min="2" max="2" width="31.7109375" bestFit="1" customWidth="1"/>
    <col min="5" max="5" width="15.28515625" bestFit="1" customWidth="1"/>
  </cols>
  <sheetData>
    <row r="1" spans="1:8" x14ac:dyDescent="0.25">
      <c r="A1" s="9" t="s">
        <v>1037</v>
      </c>
      <c r="B1" s="9" t="s">
        <v>1036</v>
      </c>
      <c r="C1" s="9" t="s">
        <v>1041</v>
      </c>
      <c r="D1" s="9" t="s">
        <v>1215</v>
      </c>
      <c r="E1" s="11" t="s">
        <v>1236</v>
      </c>
      <c r="F1" s="9"/>
    </row>
    <row r="2" spans="1:8" x14ac:dyDescent="0.25">
      <c r="A2" t="str">
        <f>IFERROR(INDEX(TEAM_BUILDER!$A$6:$A$201,MATCH(1,INDEX((TEAM_BUILDER!$G$6:$G$201=1)*(COUNTIF($B$1:B1,TEAM_BUILDER!$C$6:$C$201)=0),0),0)),"")</f>
        <v>GK</v>
      </c>
      <c r="B2" t="str">
        <f>IFERROR(INDEX(TEAM_BUILDER!$C$6:$C$201,MATCH(ROWS($B$2:B2),TEAM_BUILDER!$I$6:$I$201,0)),"")</f>
        <v>Konstantinos Tzolakis</v>
      </c>
      <c r="C2" t="str">
        <f>IFERROR(INDEX(TEAM_BUILDER!$D$6:$D$201,MATCH($B2,TEAM_BUILDER!$C$6:$C$201,0)),"")</f>
        <v>HUL</v>
      </c>
      <c r="D2" s="13">
        <f>IFERROR(INDEX(TEAM_BUILDER!$E$6:$E$201,MATCH($B2,TEAM_BUILDER!$C$6:$C$201,0)),"")</f>
        <v>4.5999999999999996</v>
      </c>
      <c r="E2" s="2">
        <f>IFERROR(INDEX(TEAM_BUILDER!$H$6:$H$201,MATCH($B2,TEAM_BUILDER!$C$6:$C$201,0)),"")</f>
        <v>8.3999999999999986</v>
      </c>
    </row>
    <row r="3" spans="1:8" x14ac:dyDescent="0.25">
      <c r="A3" t="str">
        <f>IFERROR(INDEX(TEAM_BUILDER!$A$6:$A$201,MATCH(1,INDEX((TEAM_BUILDER!$G$6:$G$201=1)*(COUNTIF($B$1:B2,TEAM_BUILDER!$C$6:$C$201)=0),0),0)),"")</f>
        <v>GK</v>
      </c>
      <c r="B3" t="str">
        <f>IFERROR(INDEX(TEAM_BUILDER!$C$6:$C$201,MATCH(ROWS($B$2:B3),TEAM_BUILDER!$I$6:$I$201,0)),"")</f>
        <v>David Raya Martín</v>
      </c>
      <c r="C3" t="str">
        <f>IFERROR(INDEX(TEAM_BUILDER!$D$6:$D$201,MATCH($B3,TEAM_BUILDER!$C$6:$C$201,0)),"")</f>
        <v>ARS</v>
      </c>
      <c r="D3" s="13">
        <f>IFERROR(INDEX(TEAM_BUILDER!$E$6:$E$201,MATCH($B3,TEAM_BUILDER!$C$6:$C$201,0)),"")</f>
        <v>6</v>
      </c>
      <c r="E3" s="2">
        <f>IFERROR(INDEX(TEAM_BUILDER!$H$6:$H$201,MATCH($B3,TEAM_BUILDER!$C$6:$C$201,0)),"")</f>
        <v>6.1779861745127054</v>
      </c>
    </row>
    <row r="4" spans="1:8" x14ac:dyDescent="0.25">
      <c r="A4" t="str">
        <f>IFERROR(INDEX(TEAM_BUILDER!$A$6:$A$201,MATCH(1,INDEX((TEAM_BUILDER!$G$6:$G$201=1)*(COUNTIF($B$1:B3,TEAM_BUILDER!$C$6:$C$201)=0),0),0)),"")</f>
        <v>DEF</v>
      </c>
      <c r="B4" t="str">
        <f>IFERROR(INDEX(TEAM_BUILDER!$C$6:$C$201,MATCH(ROWS($B$2:B4),TEAM_BUILDER!$I$6:$I$201,0)),"")</f>
        <v>John Egan</v>
      </c>
      <c r="C4" t="str">
        <f>IFERROR(INDEX(TEAM_BUILDER!$D$6:$D$201,MATCH($B4,TEAM_BUILDER!$C$6:$C$201,0)),"")</f>
        <v>HUL</v>
      </c>
      <c r="D4" s="13">
        <f>IFERROR(INDEX(TEAM_BUILDER!$E$6:$E$201,MATCH($B4,TEAM_BUILDER!$C$6:$C$201,0)),"")</f>
        <v>4.0999999999999996</v>
      </c>
      <c r="E4" s="2">
        <f>IFERROR(INDEX(TEAM_BUILDER!$H$6:$H$201,MATCH($B4,TEAM_BUILDER!$C$6:$C$201,0)),"")</f>
        <v>10.502854771784229</v>
      </c>
    </row>
    <row r="5" spans="1:8" x14ac:dyDescent="0.25">
      <c r="A5" t="str">
        <f>IFERROR(INDEX(TEAM_BUILDER!$A$6:$A$201,MATCH(1,INDEX((TEAM_BUILDER!$G$6:$G$201=1)*(COUNTIF($B$1:B4,TEAM_BUILDER!$C$6:$C$201)=0),0),0)),"")</f>
        <v>DEF</v>
      </c>
      <c r="B5" t="str">
        <f>IFERROR(INDEX(TEAM_BUILDER!$C$6:$C$201,MATCH(ROWS($B$2:B5),TEAM_BUILDER!$I$6:$I$201,0)),"")</f>
        <v>Semi Ajayi</v>
      </c>
      <c r="C5" t="str">
        <f>IFERROR(INDEX(TEAM_BUILDER!$D$6:$D$201,MATCH($B5,TEAM_BUILDER!$C$6:$C$201,0)),"")</f>
        <v>HUL</v>
      </c>
      <c r="D5" s="13">
        <f>IFERROR(INDEX(TEAM_BUILDER!$E$6:$E$201,MATCH($B5,TEAM_BUILDER!$C$6:$C$201,0)),"")</f>
        <v>4.0999999999999996</v>
      </c>
      <c r="E5" s="2">
        <f>IFERROR(INDEX(TEAM_BUILDER!$H$6:$H$201,MATCH($B5,TEAM_BUILDER!$C$6:$C$201,0)),"")</f>
        <v>10.364444444444441</v>
      </c>
    </row>
    <row r="6" spans="1:8" x14ac:dyDescent="0.25">
      <c r="A6" t="str">
        <f>IFERROR(INDEX(TEAM_BUILDER!$A$6:$A$201,MATCH(1,INDEX((TEAM_BUILDER!$G$6:$G$201=1)*(COUNTIF($B$1:B5,TEAM_BUILDER!$C$6:$C$201)=0),0),0)),"")</f>
        <v>DEF</v>
      </c>
      <c r="B6" t="str">
        <f>IFERROR(INDEX(TEAM_BUILDER!$C$6:$C$201,MATCH(ROWS($B$2:B6),TEAM_BUILDER!$I$6:$I$201,0)),"")</f>
        <v>Gabriel dos Santos Magalhães</v>
      </c>
      <c r="C6" t="str">
        <f>IFERROR(INDEX(TEAM_BUILDER!$D$6:$D$201,MATCH($B6,TEAM_BUILDER!$C$6:$C$201,0)),"")</f>
        <v>ARS</v>
      </c>
      <c r="D6" s="13">
        <f>IFERROR(INDEX(TEAM_BUILDER!$E$6:$E$201,MATCH($B6,TEAM_BUILDER!$C$6:$C$201,0)),"")</f>
        <v>8</v>
      </c>
      <c r="E6" s="2">
        <f>IFERROR(INDEX(TEAM_BUILDER!$H$6:$H$201,MATCH($B6,TEAM_BUILDER!$C$6:$C$201,0)),"")</f>
        <v>8.1528292883759335</v>
      </c>
      <c r="H6" t="str">
        <f>IF(G6=1,COUNTIF($G$6:G6,1),"")</f>
        <v/>
      </c>
    </row>
    <row r="7" spans="1:8" x14ac:dyDescent="0.25">
      <c r="A7" t="str">
        <f>IFERROR(INDEX(TEAM_BUILDER!$A$6:$A$201,MATCH(1,INDEX((TEAM_BUILDER!$G$6:$G$201=1)*(COUNTIF($B$1:B6,TEAM_BUILDER!$C$6:$C$201)=0),0),0)),"")</f>
        <v>DEF</v>
      </c>
      <c r="B7" t="str">
        <f>IFERROR(INDEX(TEAM_BUILDER!$C$6:$C$201,MATCH(ROWS($B$2:B7),TEAM_BUILDER!$I$6:$I$201,0)),"")</f>
        <v>Jayden Bogle</v>
      </c>
      <c r="C7" t="str">
        <f>IFERROR(INDEX(TEAM_BUILDER!$D$6:$D$201,MATCH($B7,TEAM_BUILDER!$C$6:$C$201,0)),"")</f>
        <v>LEE</v>
      </c>
      <c r="D7" s="13">
        <f>IFERROR(INDEX(TEAM_BUILDER!$E$6:$E$201,MATCH($B7,TEAM_BUILDER!$C$6:$C$201,0)),"")</f>
        <v>4.5</v>
      </c>
      <c r="E7" s="2">
        <f>IFERROR(INDEX(TEAM_BUILDER!$H$6:$H$201,MATCH($B7,TEAM_BUILDER!$C$6:$C$201,0)),"")</f>
        <v>8.1476382682193957</v>
      </c>
    </row>
    <row r="8" spans="1:8" x14ac:dyDescent="0.25">
      <c r="A8" t="str">
        <f>IFERROR(INDEX(TEAM_BUILDER!$A$6:$A$201,MATCH(1,INDEX((TEAM_BUILDER!$G$6:$G$201=1)*(COUNTIF($B$1:B7,TEAM_BUILDER!$C$6:$C$201)=0),0),0)),"")</f>
        <v>DEF</v>
      </c>
      <c r="B8" t="str">
        <f>IFERROR(INDEX(TEAM_BUILDER!$C$6:$C$201,MATCH(ROWS($B$2:B8),TEAM_BUILDER!$I$6:$I$201,0)),"")</f>
        <v>Riccardo Calafiori</v>
      </c>
      <c r="C8" t="str">
        <f>IFERROR(INDEX(TEAM_BUILDER!$D$6:$D$201,MATCH($B8,TEAM_BUILDER!$C$6:$C$201,0)),"")</f>
        <v>ARS</v>
      </c>
      <c r="D8" s="13">
        <f>IFERROR(INDEX(TEAM_BUILDER!$E$6:$E$201,MATCH($B8,TEAM_BUILDER!$C$6:$C$201,0)),"")</f>
        <v>5.7</v>
      </c>
      <c r="E8" s="2">
        <f>IFERROR(INDEX(TEAM_BUILDER!$H$6:$H$201,MATCH($B8,TEAM_BUILDER!$C$6:$C$201,0)),"")</f>
        <v>8.1388646109651503</v>
      </c>
    </row>
    <row r="9" spans="1:8" x14ac:dyDescent="0.25">
      <c r="A9" t="str">
        <f>IFERROR(INDEX(TEAM_BUILDER!$A$6:$A$201,MATCH(1,INDEX((TEAM_BUILDER!$G$6:$G$201=1)*(COUNTIF($B$1:B8,TEAM_BUILDER!$C$6:$C$201)=0),0),0)),"")</f>
        <v>MID</v>
      </c>
      <c r="B9" t="str">
        <f>IFERROR(INDEX(TEAM_BUILDER!$C$6:$C$201,MATCH(ROWS($B$2:B9),TEAM_BUILDER!$I$6:$I$201,0)),"")</f>
        <v>Bryan Mbeumo</v>
      </c>
      <c r="C9" t="str">
        <f>IFERROR(INDEX(TEAM_BUILDER!$D$6:$D$201,MATCH($B9,TEAM_BUILDER!$C$6:$C$201,0)),"")</f>
        <v>MUN</v>
      </c>
      <c r="D9" s="13">
        <f>IFERROR(INDEX(TEAM_BUILDER!$E$6:$E$201,MATCH($B9,TEAM_BUILDER!$C$6:$C$201,0)),"")</f>
        <v>7.9</v>
      </c>
      <c r="E9" s="2">
        <f>IFERROR(INDEX(TEAM_BUILDER!$H$6:$H$201,MATCH($B9,TEAM_BUILDER!$C$6:$C$201,0)),"")</f>
        <v>7.7877949870553209</v>
      </c>
    </row>
    <row r="10" spans="1:8" x14ac:dyDescent="0.25">
      <c r="A10" t="str">
        <f>IFERROR(INDEX(TEAM_BUILDER!$A$6:$A$201,MATCH(1,INDEX((TEAM_BUILDER!$G$6:$G$201=1)*(COUNTIF($B$1:B9,TEAM_BUILDER!$C$6:$C$201)=0),0),0)),"")</f>
        <v>MID</v>
      </c>
      <c r="B10" t="str">
        <f>IFERROR(INDEX(TEAM_BUILDER!$C$6:$C$201,MATCH(ROWS($B$2:B10),TEAM_BUILDER!$I$6:$I$201,0)),"")</f>
        <v>Phil Foden</v>
      </c>
      <c r="C10" t="str">
        <f>IFERROR(INDEX(TEAM_BUILDER!$D$6:$D$201,MATCH($B10,TEAM_BUILDER!$C$6:$C$201,0)),"")</f>
        <v>MCI</v>
      </c>
      <c r="D10" s="13">
        <f>IFERROR(INDEX(TEAM_BUILDER!$E$6:$E$201,MATCH($B10,TEAM_BUILDER!$C$6:$C$201,0)),"")</f>
        <v>7</v>
      </c>
      <c r="E10" s="2">
        <f>IFERROR(INDEX(TEAM_BUILDER!$H$6:$H$201,MATCH($B10,TEAM_BUILDER!$C$6:$C$201,0)),"")</f>
        <v>7.621381930638468</v>
      </c>
    </row>
    <row r="11" spans="1:8" x14ac:dyDescent="0.25">
      <c r="A11" t="str">
        <f>IFERROR(INDEX(TEAM_BUILDER!$A$6:$A$201,MATCH(1,INDEX((TEAM_BUILDER!$G$6:$G$201=1)*(COUNTIF($B$1:B10,TEAM_BUILDER!$C$6:$C$201)=0),0),0)),"")</f>
        <v>MID</v>
      </c>
      <c r="B11" t="str">
        <f>IFERROR(INDEX(TEAM_BUILDER!$C$6:$C$201,MATCH(ROWS($B$2:B11),TEAM_BUILDER!$I$6:$I$201,0)),"")</f>
        <v>Dango Ouattara</v>
      </c>
      <c r="C11" t="str">
        <f>IFERROR(INDEX(TEAM_BUILDER!$D$6:$D$201,MATCH($B11,TEAM_BUILDER!$C$6:$C$201,0)),"")</f>
        <v>BRE</v>
      </c>
      <c r="D11" s="13">
        <f>IFERROR(INDEX(TEAM_BUILDER!$E$6:$E$201,MATCH($B11,TEAM_BUILDER!$C$6:$C$201,0)),"")</f>
        <v>6.4</v>
      </c>
      <c r="E11" s="2">
        <f>IFERROR(INDEX(TEAM_BUILDER!$H$6:$H$201,MATCH($B11,TEAM_BUILDER!$C$6:$C$201,0)),"")</f>
        <v>7.4311304098396649</v>
      </c>
    </row>
    <row r="12" spans="1:8" x14ac:dyDescent="0.25">
      <c r="A12" t="str">
        <f>IFERROR(INDEX(TEAM_BUILDER!$A$6:$A$201,MATCH(1,INDEX((TEAM_BUILDER!$G$6:$G$201=1)*(COUNTIF($B$1:B11,TEAM_BUILDER!$C$6:$C$201)=0),0),0)),"")</f>
        <v>MID</v>
      </c>
      <c r="B12" t="str">
        <f>IFERROR(INDEX(TEAM_BUILDER!$C$6:$C$201,MATCH(ROWS($B$2:B12),TEAM_BUILDER!$I$6:$I$201,0)),"")</f>
        <v>Rayan Cherki</v>
      </c>
      <c r="C12" t="str">
        <f>IFERROR(INDEX(TEAM_BUILDER!$D$6:$D$201,MATCH($B12,TEAM_BUILDER!$C$6:$C$201,0)),"")</f>
        <v>MCI</v>
      </c>
      <c r="D12" s="13">
        <f>IFERROR(INDEX(TEAM_BUILDER!$E$6:$E$201,MATCH($B12,TEAM_BUILDER!$C$6:$C$201,0)),"")</f>
        <v>7.8</v>
      </c>
      <c r="E12" s="2">
        <f>IFERROR(INDEX(TEAM_BUILDER!$H$6:$H$201,MATCH($B12,TEAM_BUILDER!$C$6:$C$201,0)),"")</f>
        <v>7.220428566906028</v>
      </c>
    </row>
    <row r="13" spans="1:8" x14ac:dyDescent="0.25">
      <c r="A13" t="str">
        <f>IFERROR(INDEX(TEAM_BUILDER!$A$6:$A$201,MATCH(1,INDEX((TEAM_BUILDER!$G$6:$G$201=1)*(COUNTIF($B$1:B12,TEAM_BUILDER!$C$6:$C$201)=0),0),0)),"")</f>
        <v>MID</v>
      </c>
      <c r="B13" t="str">
        <f>IFERROR(INDEX(TEAM_BUILDER!$C$6:$C$201,MATCH(ROWS($B$2:B13),TEAM_BUILDER!$I$6:$I$201,0)),"")</f>
        <v>Andrey Nascimento dos Santos</v>
      </c>
      <c r="C13" t="str">
        <f>IFERROR(INDEX(TEAM_BUILDER!$D$6:$D$201,MATCH($B13,TEAM_BUILDER!$C$6:$C$201,0)),"")</f>
        <v>MUN</v>
      </c>
      <c r="D13" s="13">
        <f>IFERROR(INDEX(TEAM_BUILDER!$E$6:$E$201,MATCH($B13,TEAM_BUILDER!$C$6:$C$201,0)),"")</f>
        <v>4.9000000000000004</v>
      </c>
      <c r="E13" s="2">
        <f>IFERROR(INDEX(TEAM_BUILDER!$H$6:$H$201,MATCH($B13,TEAM_BUILDER!$C$6:$C$201,0)),"")</f>
        <v>7.0275501733165786</v>
      </c>
    </row>
    <row r="14" spans="1:8" x14ac:dyDescent="0.25">
      <c r="A14" t="str">
        <f>IFERROR(INDEX(TEAM_BUILDER!$A$6:$A$201,MATCH(1,INDEX((TEAM_BUILDER!$G$6:$G$201=1)*(COUNTIF($B$1:B13,TEAM_BUILDER!$C$6:$C$201)=0),0),0)),"")</f>
        <v>FWD</v>
      </c>
      <c r="B14" t="str">
        <f>IFERROR(INDEX(TEAM_BUILDER!$C$6:$C$201,MATCH(ROWS($B$2:B14),TEAM_BUILDER!$I$6:$I$201,0)),"")</f>
        <v>Erling Haaland</v>
      </c>
      <c r="C14" t="str">
        <f>IFERROR(INDEX(TEAM_BUILDER!$D$6:$D$201,MATCH($B14,TEAM_BUILDER!$C$6:$C$201,0)),"")</f>
        <v>MCI</v>
      </c>
      <c r="D14" s="13">
        <f>IFERROR(INDEX(TEAM_BUILDER!$E$6:$E$201,MATCH($B14,TEAM_BUILDER!$C$6:$C$201,0)),"")</f>
        <v>15.5</v>
      </c>
      <c r="E14" s="2">
        <f>IFERROR(INDEX(TEAM_BUILDER!$H$6:$H$201,MATCH($B14,TEAM_BUILDER!$C$6:$C$201,0)),"")</f>
        <v>7.7831264366143147</v>
      </c>
    </row>
    <row r="15" spans="1:8" x14ac:dyDescent="0.25">
      <c r="A15" t="str">
        <f>IFERROR(INDEX(TEAM_BUILDER!$A$6:$A$201,MATCH(1,INDEX((TEAM_BUILDER!$G$6:$G$201=1)*(COUNTIF($B$1:B14,TEAM_BUILDER!$C$6:$C$201)=0),0),0)),"")</f>
        <v>FWD</v>
      </c>
      <c r="B15" t="str">
        <f>IFERROR(INDEX(TEAM_BUILDER!$C$6:$C$201,MATCH(ROWS($B$2:B15),TEAM_BUILDER!$I$6:$I$201,0)),"")</f>
        <v>Igor Thiago Nascimento Rodrigues</v>
      </c>
      <c r="C15" t="str">
        <f>IFERROR(INDEX(TEAM_BUILDER!$D$6:$D$201,MATCH($B15,TEAM_BUILDER!$C$6:$C$201,0)),"")</f>
        <v>BRE</v>
      </c>
      <c r="D15" s="13">
        <f>IFERROR(INDEX(TEAM_BUILDER!$E$6:$E$201,MATCH($B15,TEAM_BUILDER!$C$6:$C$201,0)),"")</f>
        <v>7.9</v>
      </c>
      <c r="E15" s="2">
        <f>IFERROR(INDEX(TEAM_BUILDER!$H$6:$H$201,MATCH($B15,TEAM_BUILDER!$C$6:$C$201,0)),"")</f>
        <v>6.688367019006515</v>
      </c>
    </row>
    <row r="16" spans="1:8" x14ac:dyDescent="0.25">
      <c r="A16" t="str">
        <f>IFERROR(INDEX(TEAM_BUILDER!$A$6:$A$201,MATCH(1,INDEX((TEAM_BUILDER!$G$6:$G$201=1)*(COUNTIF($B$1:B15,TEAM_BUILDER!$C$6:$C$201)=0),0),0)),"")</f>
        <v>FWD</v>
      </c>
      <c r="B16" t="str">
        <f>IFERROR(INDEX(TEAM_BUILDER!$C$6:$C$201,MATCH(ROWS($B$2:B16),TEAM_BUILDER!$I$6:$I$201,0)),"")</f>
        <v>Thierno Barry</v>
      </c>
      <c r="C16" t="str">
        <f>IFERROR(INDEX(TEAM_BUILDER!$D$6:$D$201,MATCH($B16,TEAM_BUILDER!$C$6:$C$201,0)),"")</f>
        <v>EVE</v>
      </c>
      <c r="D16" s="13">
        <f>IFERROR(INDEX(TEAM_BUILDER!$E$6:$E$201,MATCH($B16,TEAM_BUILDER!$C$6:$C$201,0)),"")</f>
        <v>5.6</v>
      </c>
      <c r="E16" s="2">
        <f>IFERROR(INDEX(TEAM_BUILDER!$H$6:$H$201,MATCH($B16,TEAM_BUILDER!$C$6:$C$201,0)),"")</f>
        <v>6.2822814728479317</v>
      </c>
    </row>
    <row r="18" spans="4:4" x14ac:dyDescent="0.25">
      <c r="D18" s="13">
        <f>SUM(D2:D16)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5EA8-F269-44E0-96B1-61C3EB511AD4}">
  <dimension ref="A1:P160"/>
  <sheetViews>
    <sheetView topLeftCell="A4" workbookViewId="0">
      <selection activeCell="C11" sqref="C11"/>
    </sheetView>
  </sheetViews>
  <sheetFormatPr defaultRowHeight="15" x14ac:dyDescent="0.25"/>
  <cols>
    <col min="1" max="1" width="10.28515625" customWidth="1"/>
    <col min="2" max="2" width="6" customWidth="1"/>
    <col min="3" max="3" width="36.140625" bestFit="1" customWidth="1"/>
    <col min="6" max="6" width="12.7109375" bestFit="1" customWidth="1"/>
    <col min="8" max="8" width="15.28515625" style="2" bestFit="1" customWidth="1"/>
    <col min="9" max="9" width="15" bestFit="1" customWidth="1"/>
    <col min="12" max="12" width="17.42578125" bestFit="1" customWidth="1"/>
    <col min="13" max="13" width="11.5703125" bestFit="1" customWidth="1"/>
  </cols>
  <sheetData>
    <row r="1" spans="1:16" x14ac:dyDescent="0.25">
      <c r="A1" t="s">
        <v>1183</v>
      </c>
      <c r="N1" s="10"/>
      <c r="O1" s="7"/>
    </row>
    <row r="2" spans="1:16" x14ac:dyDescent="0.25">
      <c r="G2" s="10"/>
      <c r="H2" s="14"/>
      <c r="I2" s="10"/>
      <c r="J2" s="10"/>
      <c r="K2" s="10"/>
      <c r="N2" s="9" t="s">
        <v>1194</v>
      </c>
      <c r="O2" s="12" t="s">
        <v>1192</v>
      </c>
    </row>
    <row r="3" spans="1:16" x14ac:dyDescent="0.25">
      <c r="A3" t="s">
        <v>1184</v>
      </c>
      <c r="B3">
        <v>100</v>
      </c>
      <c r="G3" s="9"/>
      <c r="H3" s="15"/>
      <c r="I3" s="9"/>
      <c r="J3" s="9"/>
      <c r="K3" s="9"/>
      <c r="N3" s="9" t="s">
        <v>1068</v>
      </c>
      <c r="O3" s="12">
        <f>SUMPRODUCT((D9:D598=N3)*G9:G598)</f>
        <v>3</v>
      </c>
      <c r="P3" t="str">
        <f>IF(O3&gt;3,"TOO MANY","OK")</f>
        <v>OK</v>
      </c>
    </row>
    <row r="4" spans="1:16" x14ac:dyDescent="0.25">
      <c r="A4" t="s">
        <v>1185</v>
      </c>
      <c r="G4" s="9"/>
      <c r="H4" s="15"/>
      <c r="I4" s="9"/>
      <c r="J4" s="9"/>
      <c r="K4" s="9"/>
      <c r="N4" s="9" t="s">
        <v>1070</v>
      </c>
      <c r="O4" s="12">
        <f>SUMPRODUCT((D9:D598=N4)*G9:G598)</f>
        <v>0</v>
      </c>
      <c r="P4" t="str">
        <f t="shared" ref="P4:P22" si="0">IF(O4&gt;3,"TOO MANY","OK")</f>
        <v>OK</v>
      </c>
    </row>
    <row r="5" spans="1:16" ht="30" x14ac:dyDescent="0.25">
      <c r="A5" s="9" t="s">
        <v>1186</v>
      </c>
      <c r="G5" s="9"/>
      <c r="H5" s="15"/>
      <c r="I5" s="9"/>
      <c r="J5" s="9"/>
      <c r="K5" s="9"/>
      <c r="L5" s="10" t="s">
        <v>1196</v>
      </c>
      <c r="M5" s="7" t="s">
        <v>1197</v>
      </c>
      <c r="N5" s="9" t="s">
        <v>1076</v>
      </c>
      <c r="O5" s="12">
        <f>SUMPRODUCT((D9:D598=N5)*G9:G598)</f>
        <v>0</v>
      </c>
      <c r="P5" t="str">
        <f t="shared" si="0"/>
        <v>OK</v>
      </c>
    </row>
    <row r="6" spans="1:16" ht="30" x14ac:dyDescent="0.25">
      <c r="A6" s="9" t="s">
        <v>1187</v>
      </c>
      <c r="B6" s="10"/>
      <c r="G6" s="9"/>
      <c r="H6" s="15"/>
      <c r="I6" s="9"/>
      <c r="J6" s="9"/>
      <c r="K6" s="9"/>
      <c r="L6" s="9" t="s">
        <v>1185</v>
      </c>
      <c r="M6" s="12">
        <f>SUMPRODUCT($E$9:$E$160,$G$9:$G$160)</f>
        <v>100</v>
      </c>
      <c r="N6" s="9" t="s">
        <v>1072</v>
      </c>
      <c r="O6" s="12">
        <f>SUMPRODUCT((D9:D598=N6)*G9:G598)</f>
        <v>0</v>
      </c>
      <c r="P6" t="str">
        <f t="shared" si="0"/>
        <v>OK</v>
      </c>
    </row>
    <row r="7" spans="1:16" x14ac:dyDescent="0.25">
      <c r="A7" s="10"/>
      <c r="B7" s="10"/>
      <c r="C7" s="10"/>
      <c r="D7" s="10"/>
      <c r="E7" s="10"/>
      <c r="F7" s="10"/>
      <c r="G7" s="9"/>
      <c r="H7" s="15"/>
      <c r="I7" s="9"/>
      <c r="J7" s="9"/>
      <c r="K7" s="9"/>
      <c r="L7" s="9" t="s">
        <v>1236</v>
      </c>
      <c r="M7" s="12">
        <f>SUMPRODUCT($H$9:$H$160,$G$9:$G$160)</f>
        <v>117.72667855452667</v>
      </c>
      <c r="N7" s="9" t="s">
        <v>1074</v>
      </c>
      <c r="O7" s="12">
        <f>SUMPRODUCT((D9:D598=N7)*G9:G598)</f>
        <v>2</v>
      </c>
      <c r="P7" t="str">
        <f t="shared" si="0"/>
        <v>OK</v>
      </c>
    </row>
    <row r="8" spans="1:16" x14ac:dyDescent="0.25">
      <c r="A8" s="10" t="s">
        <v>1037</v>
      </c>
      <c r="B8" t="s">
        <v>1193</v>
      </c>
      <c r="C8" s="11" t="s">
        <v>1036</v>
      </c>
      <c r="D8" s="11" t="s">
        <v>1041</v>
      </c>
      <c r="E8" s="11" t="s">
        <v>0</v>
      </c>
      <c r="F8" t="s">
        <v>2804</v>
      </c>
      <c r="G8" s="11" t="s">
        <v>1195</v>
      </c>
      <c r="H8" s="16" t="s">
        <v>1236</v>
      </c>
      <c r="I8" s="11" t="s">
        <v>2811</v>
      </c>
      <c r="J8" s="11" t="s">
        <v>2810</v>
      </c>
      <c r="K8" s="11"/>
      <c r="L8" t="s">
        <v>1186</v>
      </c>
      <c r="M8" s="12">
        <f>$B$3-$M$6</f>
        <v>0</v>
      </c>
      <c r="N8" s="9" t="s">
        <v>1080</v>
      </c>
      <c r="O8" s="12">
        <f>SUMPRODUCT((D9:D598=N8)*G9:G598)</f>
        <v>0</v>
      </c>
      <c r="P8" t="str">
        <f t="shared" ref="P8" si="1">IF(O8&gt;3,"TOO MANY","OK")</f>
        <v>OK</v>
      </c>
    </row>
    <row r="9" spans="1:16" x14ac:dyDescent="0.25">
      <c r="A9" s="9" t="s">
        <v>1188</v>
      </c>
      <c r="B9" s="9">
        <v>1</v>
      </c>
      <c r="C9" s="11" t="str">
        <f t="array" ref="C9">INDEX(Player_Analysis!$A$2:$A$700,MATCH(1,(Player_Analysis!$B$2:$B$700=A9)*(Player_Analysis!$BB$2:$BB$700=B9),0))</f>
        <v>Konstantinos Tzolakis</v>
      </c>
      <c r="D9" s="9" t="str">
        <f>INDEX(Player_Analysis!$D$2:$D$700,MATCH(C9,Player_Analysis!$A$2:$A$700,0))</f>
        <v>HUL</v>
      </c>
      <c r="E9">
        <f>INDEX(Player_Analysis!$E$2:$E$700,MATCH(C9,Player_Analysis!$A$2:$A$700,0))</f>
        <v>4.5999999999999996</v>
      </c>
      <c r="F9" s="2">
        <f>INDEX(Player_Analysis!$BA$2:$BA$700,MATCH(C9,Player_Analysis!$A$2:$A$700,0))</f>
        <v>8.3999999999999986</v>
      </c>
      <c r="G9">
        <v>1</v>
      </c>
      <c r="H9" s="2">
        <f>INDEX(Player_Analysis!$AT$2:$AT$700,MATCH(C9,Player_Analysis!$A$2:$A$700,0))</f>
        <v>8.3999999999999986</v>
      </c>
      <c r="I9" s="9">
        <f>IF($G9=1,COUNTIF($G$9:G9,1),"")</f>
        <v>1</v>
      </c>
      <c r="J9">
        <f>IFERROR(INDEX(Player_Analysis!$H$2:$H$596,MATCH($C9,Player_Analysis!$A$2:$A$596,0)),0)</f>
        <v>1</v>
      </c>
      <c r="L9" s="9" t="s">
        <v>1192</v>
      </c>
      <c r="M9" s="12">
        <f>SUM($G$9:$G$160)</f>
        <v>15</v>
      </c>
      <c r="N9" s="9" t="s">
        <v>1078</v>
      </c>
      <c r="O9" s="12">
        <f>SUMPRODUCT((D9:D598=N9)*G9:G598)</f>
        <v>0</v>
      </c>
      <c r="P9" t="str">
        <f t="shared" si="0"/>
        <v>OK</v>
      </c>
    </row>
    <row r="10" spans="1:16" x14ac:dyDescent="0.25">
      <c r="A10" s="9" t="s">
        <v>1188</v>
      </c>
      <c r="B10" s="9">
        <v>2</v>
      </c>
      <c r="C10" s="11" t="str">
        <f t="array" ref="C10">INDEX(Player_Analysis!$A$2:$A$700,MATCH(1,(Player_Analysis!$B$2:$B$700=A10)*(Player_Analysis!$BB$2:$BB$700=B10),0))</f>
        <v>David Raya Martín</v>
      </c>
      <c r="D10" s="9" t="str">
        <f>INDEX(Player_Analysis!$D$2:$D$700,MATCH(C10,Player_Analysis!$A$2:$A$700,0))</f>
        <v>ARS</v>
      </c>
      <c r="E10">
        <f>INDEX(Player_Analysis!$E$2:$E$700,MATCH(C10,Player_Analysis!$A$2:$A$700,0))</f>
        <v>6</v>
      </c>
      <c r="F10" s="2">
        <f>INDEX(Player_Analysis!$BA$2:$BA$700,MATCH(C10,Player_Analysis!$A$2:$A$700,0))</f>
        <v>6.1779861745127054</v>
      </c>
      <c r="G10">
        <v>1</v>
      </c>
      <c r="H10" s="2">
        <f>INDEX(Player_Analysis!$AT$2:$AT$700,MATCH(C10,Player_Analysis!$A$2:$A$700,0))</f>
        <v>6.1779861745127054</v>
      </c>
      <c r="I10">
        <f>IF(G10=1,COUNTIF($G$9:G10,1),"")</f>
        <v>2</v>
      </c>
      <c r="J10">
        <f>IFERROR(INDEX(Player_Analysis!$H$2:$H$596,MATCH($C10,Player_Analysis!$A$2:$A$596,0)),0)</f>
        <v>1</v>
      </c>
      <c r="L10" s="9" t="s">
        <v>1188</v>
      </c>
      <c r="M10" s="12">
        <f>SUMPRODUCT((A9:A598="GK")*G9:G598)</f>
        <v>2</v>
      </c>
      <c r="N10" s="9" t="s">
        <v>1082</v>
      </c>
      <c r="O10" s="12">
        <f>SUMPRODUCT((D9:D598=N10)*G9:G598)</f>
        <v>0</v>
      </c>
      <c r="P10" t="str">
        <f t="shared" si="0"/>
        <v>OK</v>
      </c>
    </row>
    <row r="11" spans="1:16" x14ac:dyDescent="0.25">
      <c r="A11" s="9" t="s">
        <v>1188</v>
      </c>
      <c r="B11">
        <v>3</v>
      </c>
      <c r="C11" s="11" t="str">
        <f t="array" ref="C11">INDEX(Player_Analysis!$A$2:$A$700,MATCH(1,(Player_Analysis!$B$2:$B$700=A11)*(Player_Analysis!$BB$2:$BB$700=B11),0))</f>
        <v>Lukás Hornícek</v>
      </c>
      <c r="D11" s="9" t="str">
        <f>INDEX(Player_Analysis!$D$2:$D$700,MATCH(C11,Player_Analysis!$A$2:$A$700,0))</f>
        <v>NEW</v>
      </c>
      <c r="E11">
        <f>INDEX(Player_Analysis!$E$2:$E$700,MATCH(C11,Player_Analysis!$A$2:$A$700,0))</f>
        <v>5</v>
      </c>
      <c r="F11" s="2">
        <f>INDEX(Player_Analysis!$BA$2:$BA$700,MATCH(C11,Player_Analysis!$A$2:$A$700,0))</f>
        <v>5.6671727374757666</v>
      </c>
      <c r="G11">
        <v>0</v>
      </c>
      <c r="H11" s="2">
        <f>INDEX(Player_Analysis!$AT$2:$AT$700,MATCH(C11,Player_Analysis!$A$2:$A$700,0))</f>
        <v>5.6671727374757666</v>
      </c>
      <c r="I11" t="str">
        <f>IF(G11=1,COUNTIF($G$9:G11,1),"")</f>
        <v/>
      </c>
      <c r="J11">
        <f>IFERROR(INDEX(Player_Analysis!$H$2:$H$596,MATCH($C11,Player_Analysis!$A$2:$A$596,0)),0)</f>
        <v>1</v>
      </c>
      <c r="L11" s="9" t="s">
        <v>1189</v>
      </c>
      <c r="M11" s="12">
        <f>SUMPRODUCT((A9:A605="DEF")*G9:G605)</f>
        <v>5</v>
      </c>
      <c r="N11" s="9" t="s">
        <v>1084</v>
      </c>
      <c r="O11" s="12">
        <f>SUMPRODUCT((D9:D598=N11)*G9:G598)</f>
        <v>1</v>
      </c>
      <c r="P11" t="str">
        <f t="shared" si="0"/>
        <v>OK</v>
      </c>
    </row>
    <row r="12" spans="1:16" x14ac:dyDescent="0.25">
      <c r="A12" s="9" t="s">
        <v>1188</v>
      </c>
      <c r="B12">
        <v>4</v>
      </c>
      <c r="C12" s="11" t="str">
        <f t="array" ref="C12">INDEX(Player_Analysis!$A$2:$A$700,MATCH(1,(Player_Analysis!$B$2:$B$700=A12)*(Player_Analysis!$BB$2:$BB$700=B12),0))</f>
        <v>James Trafford</v>
      </c>
      <c r="D12" s="9" t="str">
        <f>INDEX(Player_Analysis!$D$2:$D$700,MATCH(C12,Player_Analysis!$A$2:$A$700,0))</f>
        <v>LEE</v>
      </c>
      <c r="E12">
        <f>INDEX(Player_Analysis!$E$2:$E$700,MATCH(C12,Player_Analysis!$A$2:$A$700,0))</f>
        <v>5</v>
      </c>
      <c r="F12" s="2">
        <f>INDEX(Player_Analysis!$BA$2:$BA$700,MATCH(C12,Player_Analysis!$A$2:$A$700,0))</f>
        <v>5.1845245365042496</v>
      </c>
      <c r="G12">
        <v>0</v>
      </c>
      <c r="H12" s="2">
        <f>INDEX(Player_Analysis!$AT$2:$AT$700,MATCH(C12,Player_Analysis!$A$2:$A$700,0))</f>
        <v>5.1845245365042496</v>
      </c>
      <c r="I12" t="str">
        <f>IF(G12=1,COUNTIF($G$9:G12,1),"")</f>
        <v/>
      </c>
      <c r="J12">
        <f>IFERROR(INDEX(Player_Analysis!$H$2:$H$596,MATCH($C12,Player_Analysis!$A$2:$A$596,0)),0)</f>
        <v>1</v>
      </c>
      <c r="L12" s="9" t="s">
        <v>1190</v>
      </c>
      <c r="M12" s="12">
        <f>SUMPRODUCT((A9:A605="MID")*G9:G605)</f>
        <v>5</v>
      </c>
      <c r="N12" s="9" t="s">
        <v>1086</v>
      </c>
      <c r="O12" s="12">
        <f>SUMPRODUCT((D9:D598=N12)*G9:G598)</f>
        <v>0</v>
      </c>
      <c r="P12" t="str">
        <f t="shared" si="0"/>
        <v>OK</v>
      </c>
    </row>
    <row r="13" spans="1:16" x14ac:dyDescent="0.25">
      <c r="A13" s="9" t="s">
        <v>1188</v>
      </c>
      <c r="B13">
        <v>5</v>
      </c>
      <c r="C13" s="11" t="str">
        <f t="array" ref="C13">INDEX(Player_Analysis!$A$2:$A$700,MATCH(1,(Player_Analysis!$B$2:$B$700=A13)*(Player_Analysis!$BB$2:$BB$700=B13),0))</f>
        <v>Zion Suzuki</v>
      </c>
      <c r="D13" s="9" t="str">
        <f>INDEX(Player_Analysis!$D$2:$D$700,MATCH(C13,Player_Analysis!$A$2:$A$700,0))</f>
        <v>AVL</v>
      </c>
      <c r="E13">
        <f>INDEX(Player_Analysis!$E$2:$E$700,MATCH(C13,Player_Analysis!$A$2:$A$700,0))</f>
        <v>5</v>
      </c>
      <c r="F13" s="2">
        <f>INDEX(Player_Analysis!$BA$2:$BA$700,MATCH(C13,Player_Analysis!$A$2:$A$700,0))</f>
        <v>4.9729315802288765</v>
      </c>
      <c r="G13">
        <v>0</v>
      </c>
      <c r="H13" s="2">
        <f>INDEX(Player_Analysis!$AT$2:$AT$700,MATCH(C13,Player_Analysis!$A$2:$A$700,0))</f>
        <v>4.9729315802288765</v>
      </c>
      <c r="I13" t="str">
        <f>IF(G13=1,COUNTIF($G$9:G13,1),"")</f>
        <v/>
      </c>
      <c r="J13">
        <f>IFERROR(INDEX(Player_Analysis!$H$2:$H$596,MATCH($C13,Player_Analysis!$A$2:$A$596,0)),0)</f>
        <v>1</v>
      </c>
      <c r="L13" s="9" t="s">
        <v>1191</v>
      </c>
      <c r="M13" s="12">
        <f>SUMPRODUCT((A9:A605="FWD")*G9:G605)</f>
        <v>3</v>
      </c>
      <c r="N13" s="9" t="s">
        <v>1088</v>
      </c>
      <c r="O13" s="12">
        <f>SUMPRODUCT((D9:D598=N13)*G9:G598)</f>
        <v>3</v>
      </c>
      <c r="P13" t="str">
        <f t="shared" si="0"/>
        <v>OK</v>
      </c>
    </row>
    <row r="14" spans="1:16" x14ac:dyDescent="0.25">
      <c r="A14" s="9" t="s">
        <v>1188</v>
      </c>
      <c r="B14">
        <v>6</v>
      </c>
      <c r="C14" s="11" t="str">
        <f t="array" ref="C14">INDEX(Player_Analysis!$A$2:$A$700,MATCH(1,(Player_Analysis!$B$2:$B$700=A14)*(Player_Analysis!$BB$2:$BB$700=B14),0))</f>
        <v>Jordan Pickford</v>
      </c>
      <c r="D14" s="9" t="str">
        <f>INDEX(Player_Analysis!$D$2:$D$700,MATCH(C14,Player_Analysis!$A$2:$A$700,0))</f>
        <v>EVE</v>
      </c>
      <c r="E14">
        <f>INDEX(Player_Analysis!$E$2:$E$700,MATCH(C14,Player_Analysis!$A$2:$A$700,0))</f>
        <v>5.5</v>
      </c>
      <c r="F14" s="2">
        <f>INDEX(Player_Analysis!$BA$2:$BA$700,MATCH(C14,Player_Analysis!$A$2:$A$700,0))</f>
        <v>4.8725152290403999</v>
      </c>
      <c r="G14">
        <v>0</v>
      </c>
      <c r="H14" s="2">
        <f>INDEX(Player_Analysis!$AT$2:$AT$700,MATCH(C14,Player_Analysis!$A$2:$A$700,0))</f>
        <v>4.8725152290403999</v>
      </c>
      <c r="I14" t="str">
        <f>IF(G14=1,COUNTIF($G$9:G14,1),"")</f>
        <v/>
      </c>
      <c r="J14">
        <f>IFERROR(INDEX(Player_Analysis!$H$2:$H$596,MATCH($C14,Player_Analysis!$A$2:$A$596,0)),0)</f>
        <v>1</v>
      </c>
      <c r="N14" s="9" t="s">
        <v>1090</v>
      </c>
      <c r="O14" s="12">
        <f>SUMPRODUCT((D9:D598=N14)*G9:G598)</f>
        <v>0</v>
      </c>
      <c r="P14" t="str">
        <f t="shared" ref="P14" si="2">IF(O14&gt;3,"TOO MANY","OK")</f>
        <v>OK</v>
      </c>
    </row>
    <row r="15" spans="1:16" x14ac:dyDescent="0.25">
      <c r="A15" s="9" t="s">
        <v>1188</v>
      </c>
      <c r="B15">
        <v>7</v>
      </c>
      <c r="C15" s="11" t="str">
        <f t="array" ref="C15">INDEX(Player_Analysis!$A$2:$A$700,MATCH(1,(Player_Analysis!$B$2:$B$700=A15)*(Player_Analysis!$BB$2:$BB$700=B15),0))</f>
        <v>Gianluigi Donnarumma</v>
      </c>
      <c r="D15" s="9" t="str">
        <f>INDEX(Player_Analysis!$D$2:$D$700,MATCH(C15,Player_Analysis!$A$2:$A$700,0))</f>
        <v>MCI</v>
      </c>
      <c r="E15">
        <f>INDEX(Player_Analysis!$E$2:$E$700,MATCH(C15,Player_Analysis!$A$2:$A$700,0))</f>
        <v>5.5</v>
      </c>
      <c r="F15" s="2">
        <f>INDEX(Player_Analysis!$BA$2:$BA$700,MATCH(C15,Player_Analysis!$A$2:$A$700,0))</f>
        <v>4.662591985248949</v>
      </c>
      <c r="G15">
        <v>0</v>
      </c>
      <c r="H15" s="2">
        <f>INDEX(Player_Analysis!$AT$2:$AT$700,MATCH(C15,Player_Analysis!$A$2:$A$700,0))</f>
        <v>4.662591985248949</v>
      </c>
      <c r="I15" t="str">
        <f>IF(G15=1,COUNTIF($G$9:G15,1),"")</f>
        <v/>
      </c>
      <c r="J15">
        <f>IFERROR(INDEX(Player_Analysis!$H$2:$H$596,MATCH($C15,Player_Analysis!$A$2:$A$596,0)),0)</f>
        <v>1</v>
      </c>
      <c r="L15" s="9" t="s">
        <v>2812</v>
      </c>
      <c r="M15">
        <f>SUMPRODUCT(($G$9:$G$160)*(1-$J$9:$J$160))</f>
        <v>0</v>
      </c>
      <c r="N15" s="9" t="s">
        <v>1092</v>
      </c>
      <c r="O15" s="12">
        <f>SUMPRODUCT((D9:D598=N15)*G9:G598)</f>
        <v>1</v>
      </c>
      <c r="P15" t="str">
        <f t="shared" si="0"/>
        <v>OK</v>
      </c>
    </row>
    <row r="16" spans="1:16" x14ac:dyDescent="0.25">
      <c r="A16" s="9" t="s">
        <v>1188</v>
      </c>
      <c r="B16">
        <v>8</v>
      </c>
      <c r="C16" s="11" t="str">
        <f t="array" ref="C16">INDEX(Player_Analysis!$A$2:$A$700,MATCH(1,(Player_Analysis!$B$2:$B$700=A16)*(Player_Analysis!$BB$2:$BB$700=B16),0))</f>
        <v>Caoimhín Kelleher</v>
      </c>
      <c r="D16" s="9" t="str">
        <f>INDEX(Player_Analysis!$D$2:$D$700,MATCH(C16,Player_Analysis!$A$2:$A$700,0))</f>
        <v>BRE</v>
      </c>
      <c r="E16">
        <f>INDEX(Player_Analysis!$E$2:$E$700,MATCH(C16,Player_Analysis!$A$2:$A$700,0))</f>
        <v>5</v>
      </c>
      <c r="F16" s="2">
        <f>INDEX(Player_Analysis!$BA$2:$BA$700,MATCH(C16,Player_Analysis!$A$2:$A$700,0))</f>
        <v>4.6374990136936338</v>
      </c>
      <c r="G16">
        <v>0</v>
      </c>
      <c r="H16" s="2">
        <f>INDEX(Player_Analysis!$AT$2:$AT$700,MATCH(C16,Player_Analysis!$A$2:$A$700,0))</f>
        <v>4.6374990136936338</v>
      </c>
      <c r="I16" t="str">
        <f>IF(G16=1,COUNTIF($G$9:G16,1),"")</f>
        <v/>
      </c>
      <c r="J16">
        <f>IFERROR(INDEX(Player_Analysis!$H$2:$H$596,MATCH($C16,Player_Analysis!$A$2:$A$596,0)),0)</f>
        <v>1</v>
      </c>
      <c r="N16" s="9" t="s">
        <v>1094</v>
      </c>
      <c r="O16" s="12">
        <f>SUMPRODUCT((D9:D598=N16)*G9:G598)</f>
        <v>0</v>
      </c>
      <c r="P16" t="str">
        <f t="shared" si="0"/>
        <v>OK</v>
      </c>
    </row>
    <row r="17" spans="1:16" x14ac:dyDescent="0.25">
      <c r="A17" s="9" t="s">
        <v>1188</v>
      </c>
      <c r="B17">
        <v>9</v>
      </c>
      <c r="C17" s="11" t="str">
        <f t="array" ref="C17">INDEX(Player_Analysis!$A$2:$A$700,MATCH(1,(Player_Analysis!$B$2:$B$700=A17)*(Player_Analysis!$BB$2:$BB$700=B17),0))</f>
        <v>Matz Sels</v>
      </c>
      <c r="D17" s="9" t="str">
        <f>INDEX(Player_Analysis!$D$2:$D$700,MATCH(C17,Player_Analysis!$A$2:$A$700,0))</f>
        <v>NFO</v>
      </c>
      <c r="E17">
        <f>INDEX(Player_Analysis!$E$2:$E$700,MATCH(C17,Player_Analysis!$A$2:$A$700,0))</f>
        <v>5</v>
      </c>
      <c r="F17" s="2">
        <f>INDEX(Player_Analysis!$BA$2:$BA$700,MATCH(C17,Player_Analysis!$A$2:$A$700,0))</f>
        <v>4.4162304881015038</v>
      </c>
      <c r="G17">
        <v>0</v>
      </c>
      <c r="H17" s="2">
        <f>INDEX(Player_Analysis!$AT$2:$AT$700,MATCH(C17,Player_Analysis!$A$2:$A$700,0))</f>
        <v>4.4162304881015038</v>
      </c>
      <c r="I17" t="str">
        <f>IF(G17=1,COUNTIF($G$9:G17,1),"")</f>
        <v/>
      </c>
      <c r="J17">
        <f>IFERROR(INDEX(Player_Analysis!$H$2:$H$596,MATCH($C17,Player_Analysis!$A$2:$A$596,0)),0)</f>
        <v>1</v>
      </c>
      <c r="L17" t="s">
        <v>2813</v>
      </c>
      <c r="M17" t="str">
        <f>IF(AND(M9=15,M10=2,M11=5,M12=5,M13=3,M6&lt;=B3,M15=0,MAX(O3:O23)&lt;=3),"YES","NO")</f>
        <v>YES</v>
      </c>
      <c r="N17" s="9" t="s">
        <v>1096</v>
      </c>
      <c r="O17" s="12">
        <f>SUMPRODUCT((D9:D598=N17)*G9:G598)</f>
        <v>3</v>
      </c>
      <c r="P17" t="str">
        <f t="shared" si="0"/>
        <v>OK</v>
      </c>
    </row>
    <row r="18" spans="1:16" x14ac:dyDescent="0.25">
      <c r="A18" s="9" t="s">
        <v>1188</v>
      </c>
      <c r="B18">
        <v>10</v>
      </c>
      <c r="C18" s="11" t="str">
        <f t="array" ref="C18">INDEX(Player_Analysis!$A$2:$A$700,MATCH(1,(Player_Analysis!$B$2:$B$700=A18)*(Player_Analysis!$BB$2:$BB$700=B18),0))</f>
        <v>Alisson Becker</v>
      </c>
      <c r="D18" s="9" t="str">
        <f>INDEX(Player_Analysis!$D$2:$D$700,MATCH(C18,Player_Analysis!$A$2:$A$700,0))</f>
        <v>LIV</v>
      </c>
      <c r="E18">
        <f>INDEX(Player_Analysis!$E$2:$E$700,MATCH(C18,Player_Analysis!$A$2:$A$700,0))</f>
        <v>5.5</v>
      </c>
      <c r="F18" s="2">
        <f>INDEX(Player_Analysis!$BA$2:$BA$700,MATCH(C18,Player_Analysis!$A$2:$A$700,0))</f>
        <v>4.1856978791378792</v>
      </c>
      <c r="G18">
        <v>0</v>
      </c>
      <c r="H18" s="2">
        <f>INDEX(Player_Analysis!$AT$2:$AT$700,MATCH(C18,Player_Analysis!$A$2:$A$700,0))</f>
        <v>4.1856978791378792</v>
      </c>
      <c r="I18" t="str">
        <f>IF(G18=1,COUNTIF($G$9:G18,1),"")</f>
        <v/>
      </c>
      <c r="J18">
        <f>IFERROR(INDEX(Player_Analysis!$H$2:$H$596,MATCH($C18,Player_Analysis!$A$2:$A$596,0)),0)</f>
        <v>1</v>
      </c>
      <c r="N18" s="9" t="s">
        <v>1098</v>
      </c>
      <c r="O18" s="12">
        <f>SUMPRODUCT((D9:D598=N18)*G9:G598)</f>
        <v>2</v>
      </c>
      <c r="P18" t="str">
        <f t="shared" si="0"/>
        <v>OK</v>
      </c>
    </row>
    <row r="19" spans="1:16" x14ac:dyDescent="0.25">
      <c r="A19" s="9" t="s">
        <v>1188</v>
      </c>
      <c r="B19">
        <v>11</v>
      </c>
      <c r="C19" s="11" t="str">
        <f t="array" ref="C19">INDEX(Player_Analysis!$A$2:$A$700,MATCH(1,(Player_Analysis!$B$2:$B$700=A19)*(Player_Analysis!$BB$2:$BB$700=B19),0))</f>
        <v>Bart Verbruggen</v>
      </c>
      <c r="D19" s="9" t="str">
        <f>INDEX(Player_Analysis!$D$2:$D$700,MATCH(C19,Player_Analysis!$A$2:$A$700,0))</f>
        <v>BHA</v>
      </c>
      <c r="E19">
        <f>INDEX(Player_Analysis!$E$2:$E$700,MATCH(C19,Player_Analysis!$A$2:$A$700,0))</f>
        <v>4.5</v>
      </c>
      <c r="F19" s="2">
        <f>INDEX(Player_Analysis!$BA$2:$BA$700,MATCH(C19,Player_Analysis!$A$2:$A$700,0))</f>
        <v>3.9480866743676533</v>
      </c>
      <c r="G19">
        <v>0</v>
      </c>
      <c r="H19" s="2">
        <f>INDEX(Player_Analysis!$AT$2:$AT$700,MATCH(C19,Player_Analysis!$A$2:$A$700,0))</f>
        <v>3.9480866743676533</v>
      </c>
      <c r="I19" t="str">
        <f>IF(G19=1,COUNTIF($G$9:G19,1),"")</f>
        <v/>
      </c>
      <c r="J19">
        <f>IFERROR(INDEX(Player_Analysis!$H$2:$H$596,MATCH($C19,Player_Analysis!$A$2:$A$596,0)),0)</f>
        <v>1</v>
      </c>
      <c r="N19" s="9" t="s">
        <v>1100</v>
      </c>
      <c r="O19" s="12">
        <f>SUMPRODUCT((D9:D598=N19)*G9:G598)</f>
        <v>0</v>
      </c>
      <c r="P19" t="str">
        <f t="shared" si="0"/>
        <v>OK</v>
      </c>
    </row>
    <row r="20" spans="1:16" x14ac:dyDescent="0.25">
      <c r="A20" s="9" t="s">
        <v>1188</v>
      </c>
      <c r="B20">
        <v>12</v>
      </c>
      <c r="C20" s="11" t="str">
        <f t="array" ref="C20">INDEX(Player_Analysis!$A$2:$A$700,MATCH(1,(Player_Analysis!$B$2:$B$700=A20)*(Player_Analysis!$BB$2:$BB$700=B20),0))</f>
        <v>Antonín Kinský</v>
      </c>
      <c r="D20" s="9" t="str">
        <f>INDEX(Player_Analysis!$D$2:$D$700,MATCH(C20,Player_Analysis!$A$2:$A$700,0))</f>
        <v>TOT</v>
      </c>
      <c r="E20">
        <f>INDEX(Player_Analysis!$E$2:$E$700,MATCH(C20,Player_Analysis!$A$2:$A$700,0))</f>
        <v>4.5</v>
      </c>
      <c r="F20" s="2">
        <f>INDEX(Player_Analysis!$BA$2:$BA$700,MATCH(C20,Player_Analysis!$A$2:$A$700,0))</f>
        <v>3.8932943754565374</v>
      </c>
      <c r="G20">
        <v>0</v>
      </c>
      <c r="H20" s="2">
        <f>INDEX(Player_Analysis!$AT$2:$AT$700,MATCH(C20,Player_Analysis!$A$2:$A$700,0))</f>
        <v>3.8932943754565374</v>
      </c>
      <c r="I20" t="str">
        <f>IF(G20=1,COUNTIF($G$9:G20,1),"")</f>
        <v/>
      </c>
      <c r="J20">
        <f>IFERROR(INDEX(Player_Analysis!$H$2:$H$596,MATCH($C20,Player_Analysis!$A$2:$A$596,0)),0)</f>
        <v>1</v>
      </c>
      <c r="N20" s="9" t="s">
        <v>1102</v>
      </c>
      <c r="O20" s="12">
        <f>SUMPRODUCT((D9:D598=N20)*G9:G598)</f>
        <v>0</v>
      </c>
      <c r="P20" t="str">
        <f t="shared" si="0"/>
        <v>OK</v>
      </c>
    </row>
    <row r="21" spans="1:16" x14ac:dyDescent="0.25">
      <c r="A21" s="9" t="s">
        <v>1188</v>
      </c>
      <c r="B21">
        <v>13</v>
      </c>
      <c r="C21" s="11" t="str">
        <f t="array" ref="C21">INDEX(Player_Analysis!$A$2:$A$700,MATCH(1,(Player_Analysis!$B$2:$B$700=A21)*(Player_Analysis!$BB$2:$BB$700=B21),0))</f>
        <v>Emiliano Martínez Romero</v>
      </c>
      <c r="D21" s="9" t="str">
        <f>INDEX(Player_Analysis!$D$2:$D$700,MATCH(C21,Player_Analysis!$A$2:$A$700,0))</f>
        <v>CHE</v>
      </c>
      <c r="E21">
        <f>INDEX(Player_Analysis!$E$2:$E$700,MATCH(C21,Player_Analysis!$A$2:$A$700,0))</f>
        <v>5</v>
      </c>
      <c r="F21" s="2">
        <f>INDEX(Player_Analysis!$BA$2:$BA$700,MATCH(C21,Player_Analysis!$A$2:$A$700,0))</f>
        <v>3.4723370754258496</v>
      </c>
      <c r="G21">
        <v>0</v>
      </c>
      <c r="H21" s="2">
        <f>INDEX(Player_Analysis!$AT$2:$AT$700,MATCH(C21,Player_Analysis!$A$2:$A$700,0))</f>
        <v>3.4723370754258496</v>
      </c>
      <c r="I21" t="str">
        <f>IF(G21=1,COUNTIF($G$9:G21,1),"")</f>
        <v/>
      </c>
      <c r="J21">
        <f>IFERROR(INDEX(Player_Analysis!$H$2:$H$596,MATCH($C21,Player_Analysis!$A$2:$A$596,0)),0)</f>
        <v>1</v>
      </c>
      <c r="N21" s="9" t="s">
        <v>1106</v>
      </c>
      <c r="O21" s="12">
        <f>SUMPRODUCT((D9:D598=N21)*G9:G598)</f>
        <v>0</v>
      </c>
      <c r="P21" t="str">
        <f t="shared" si="0"/>
        <v>OK</v>
      </c>
    </row>
    <row r="22" spans="1:16" x14ac:dyDescent="0.25">
      <c r="A22" s="9" t="s">
        <v>1188</v>
      </c>
      <c r="B22">
        <v>14</v>
      </c>
      <c r="C22" s="11" t="str">
        <f t="array" ref="C22">INDEX(Player_Analysis!$A$2:$A$700,MATCH(1,(Player_Analysis!$B$2:$B$700=A22)*(Player_Analysis!$BB$2:$BB$700=B22),0))</f>
        <v>Marco Bizot</v>
      </c>
      <c r="D22" s="9" t="str">
        <f>INDEX(Player_Analysis!$D$2:$D$700,MATCH(C22,Player_Analysis!$A$2:$A$700,0))</f>
        <v>AVL</v>
      </c>
      <c r="E22">
        <f>INDEX(Player_Analysis!$E$2:$E$700,MATCH(C22,Player_Analysis!$A$2:$A$700,0))</f>
        <v>4.5</v>
      </c>
      <c r="F22" s="2">
        <f>INDEX(Player_Analysis!$BA$2:$BA$700,MATCH(C22,Player_Analysis!$A$2:$A$700,0))</f>
        <v>3.0866471877282686</v>
      </c>
      <c r="G22">
        <v>0</v>
      </c>
      <c r="H22" s="2">
        <f>INDEX(Player_Analysis!$AT$2:$AT$700,MATCH(C22,Player_Analysis!$A$2:$A$700,0))</f>
        <v>3.0866471877282686</v>
      </c>
      <c r="I22" t="str">
        <f>IF(G22=1,COUNTIF($G$9:G22,1),"")</f>
        <v/>
      </c>
      <c r="J22">
        <f>IFERROR(INDEX(Player_Analysis!$H$2:$H$596,MATCH($C22,Player_Analysis!$A$2:$A$596,0)),0)</f>
        <v>1</v>
      </c>
      <c r="N22" s="9" t="s">
        <v>1104</v>
      </c>
      <c r="O22" s="12">
        <f>SUMPRODUCT((D9:D598=N22)*G9:G598)</f>
        <v>0</v>
      </c>
      <c r="P22" t="str">
        <f t="shared" si="0"/>
        <v>OK</v>
      </c>
    </row>
    <row r="23" spans="1:16" x14ac:dyDescent="0.25">
      <c r="A23" s="9" t="s">
        <v>1188</v>
      </c>
      <c r="B23">
        <v>15</v>
      </c>
      <c r="C23" s="11" t="str">
        <f t="array" ref="C23">INDEX(Player_Analysis!$A$2:$A$700,MATCH(1,(Player_Analysis!$B$2:$B$700=A23)*(Player_Analysis!$BB$2:$BB$700=B23),0))</f>
        <v>Robert Lynch Sánchez</v>
      </c>
      <c r="D23" s="9" t="str">
        <f>INDEX(Player_Analysis!$D$2:$D$700,MATCH(C23,Player_Analysis!$A$2:$A$700,0))</f>
        <v>CHE</v>
      </c>
      <c r="E23">
        <f>INDEX(Player_Analysis!$E$2:$E$700,MATCH(C23,Player_Analysis!$A$2:$A$700,0))</f>
        <v>4.9000000000000004</v>
      </c>
      <c r="F23" s="2">
        <f>INDEX(Player_Analysis!$BA$2:$BA$700,MATCH(C23,Player_Analysis!$A$2:$A$700,0))</f>
        <v>2.8957684553337368</v>
      </c>
      <c r="G23">
        <v>0</v>
      </c>
      <c r="H23" s="2">
        <f>INDEX(Player_Analysis!$AT$2:$AT$700,MATCH(C23,Player_Analysis!$A$2:$A$700,0))</f>
        <v>2.8957684553337368</v>
      </c>
      <c r="I23" t="str">
        <f>IF(G23=1,COUNTIF($G$9:G23,1),"")</f>
        <v/>
      </c>
      <c r="J23">
        <f>IFERROR(INDEX(Player_Analysis!$H$2:$H$596,MATCH($C23,Player_Analysis!$A$2:$A$596,0)),0)</f>
        <v>0</v>
      </c>
    </row>
    <row r="24" spans="1:16" x14ac:dyDescent="0.25">
      <c r="A24" s="9" t="s">
        <v>1188</v>
      </c>
      <c r="B24">
        <v>16</v>
      </c>
      <c r="C24" s="11" t="str">
        <f t="array" ref="C24">INDEX(Player_Analysis!$A$2:$A$700,MATCH(1,(Player_Analysis!$B$2:$B$700=A24)*(Player_Analysis!$BB$2:$BB$700=B24),0))</f>
        <v>Kjell Scherpen</v>
      </c>
      <c r="D24" s="9" t="str">
        <f>INDEX(Player_Analysis!$D$2:$D$700,MATCH(C24,Player_Analysis!$A$2:$A$700,0))</f>
        <v>IPS</v>
      </c>
      <c r="E24">
        <f>INDEX(Player_Analysis!$E$2:$E$700,MATCH(C24,Player_Analysis!$A$2:$A$700,0))</f>
        <v>4.5</v>
      </c>
      <c r="F24" s="2">
        <f>INDEX(Player_Analysis!$BA$2:$BA$700,MATCH(C24,Player_Analysis!$A$2:$A$700,0))</f>
        <v>2.8123723900226758</v>
      </c>
      <c r="G24">
        <v>0</v>
      </c>
      <c r="H24" s="2">
        <f>INDEX(Player_Analysis!$AT$2:$AT$700,MATCH(C24,Player_Analysis!$A$2:$A$700,0))</f>
        <v>2.8123723900226758</v>
      </c>
      <c r="I24" t="str">
        <f>IF(G24=1,COUNTIF($G$9:G24,1),"")</f>
        <v/>
      </c>
      <c r="J24">
        <f>IFERROR(INDEX(Player_Analysis!$H$2:$H$596,MATCH($C24,Player_Analysis!$A$2:$A$596,0)),0)</f>
        <v>1</v>
      </c>
    </row>
    <row r="25" spans="1:16" x14ac:dyDescent="0.25">
      <c r="A25" s="9" t="s">
        <v>1188</v>
      </c>
      <c r="B25">
        <v>17</v>
      </c>
      <c r="C25" s="11" t="str">
        <f t="array" ref="C25">INDEX(Player_Analysis!$A$2:$A$700,MATCH(1,(Player_Analysis!$B$2:$B$700=A25)*(Player_Analysis!$BB$2:$BB$700=B25),0))</f>
        <v>Senne Lammens</v>
      </c>
      <c r="D25" s="9" t="str">
        <f>INDEX(Player_Analysis!$D$2:$D$700,MATCH(C25,Player_Analysis!$A$2:$A$700,0))</f>
        <v>MUN</v>
      </c>
      <c r="E25">
        <f>INDEX(Player_Analysis!$E$2:$E$700,MATCH(C25,Player_Analysis!$A$2:$A$700,0))</f>
        <v>5</v>
      </c>
      <c r="F25" s="2">
        <f>INDEX(Player_Analysis!$BA$2:$BA$700,MATCH(C25,Player_Analysis!$A$2:$A$700,0))</f>
        <v>2.7746280296658767</v>
      </c>
      <c r="G25">
        <v>0</v>
      </c>
      <c r="H25" s="2">
        <f>INDEX(Player_Analysis!$AT$2:$AT$700,MATCH(C25,Player_Analysis!$A$2:$A$700,0))</f>
        <v>2.7746280296658767</v>
      </c>
      <c r="I25" t="str">
        <f>IF(G25=1,COUNTIF($G$9:G25,1),"")</f>
        <v/>
      </c>
      <c r="J25">
        <f>IFERROR(INDEX(Player_Analysis!$H$2:$H$596,MATCH($C25,Player_Analysis!$A$2:$A$596,0)),0)</f>
        <v>1</v>
      </c>
    </row>
    <row r="26" spans="1:16" x14ac:dyDescent="0.25">
      <c r="A26" s="9" t="s">
        <v>1188</v>
      </c>
      <c r="B26">
        <v>18</v>
      </c>
      <c r="C26" s="11" t="str">
        <f t="array" ref="C26">INDEX(Player_Analysis!$A$2:$A$700,MATCH(1,(Player_Analysis!$B$2:$B$700=A26)*(Player_Analysis!$BB$2:$BB$700=B26),0))</f>
        <v>Dean Henderson</v>
      </c>
      <c r="D26" s="9" t="str">
        <f>INDEX(Player_Analysis!$D$2:$D$700,MATCH(C26,Player_Analysis!$A$2:$A$700,0))</f>
        <v>CRY</v>
      </c>
      <c r="E26">
        <f>INDEX(Player_Analysis!$E$2:$E$700,MATCH(C26,Player_Analysis!$A$2:$A$700,0))</f>
        <v>5</v>
      </c>
      <c r="F26" s="2">
        <f>INDEX(Player_Analysis!$BA$2:$BA$700,MATCH(C26,Player_Analysis!$A$2:$A$700,0))</f>
        <v>2.7741731633015436</v>
      </c>
      <c r="G26">
        <v>0</v>
      </c>
      <c r="H26" s="2">
        <f>INDEX(Player_Analysis!$AT$2:$AT$700,MATCH(C26,Player_Analysis!$A$2:$A$700,0))</f>
        <v>2.7741731633015436</v>
      </c>
      <c r="J26">
        <f>IFERROR(INDEX(Player_Analysis!$H$2:$H$596,MATCH($C26,Player_Analysis!$A$2:$A$596,0)),0)</f>
        <v>1</v>
      </c>
    </row>
    <row r="27" spans="1:16" x14ac:dyDescent="0.25">
      <c r="A27" s="9" t="s">
        <v>1188</v>
      </c>
      <c r="B27">
        <v>19</v>
      </c>
      <c r="C27" s="11" t="str">
        <f t="array" ref="C27">INDEX(Player_Analysis!$A$2:$A$700,MATCH(1,(Player_Analysis!$B$2:$B$700=A27)*(Player_Analysis!$BB$2:$BB$700=B27),0))</f>
        <v>Đorđe Petrović</v>
      </c>
      <c r="D27" s="9" t="str">
        <f>INDEX(Player_Analysis!$D$2:$D$700,MATCH(C27,Player_Analysis!$A$2:$A$700,0))</f>
        <v>BOU</v>
      </c>
      <c r="E27">
        <f>INDEX(Player_Analysis!$E$2:$E$700,MATCH(C27,Player_Analysis!$A$2:$A$700,0))</f>
        <v>4.5</v>
      </c>
      <c r="F27" s="2">
        <f>INDEX(Player_Analysis!$BA$2:$BA$700,MATCH(C27,Player_Analysis!$A$2:$A$700,0))</f>
        <v>2.5647797284703158</v>
      </c>
      <c r="G27">
        <v>0</v>
      </c>
      <c r="H27" s="2">
        <f>INDEX(Player_Analysis!$AT$2:$AT$700,MATCH(C27,Player_Analysis!$A$2:$A$700,0))</f>
        <v>2.5647797284703158</v>
      </c>
      <c r="J27">
        <f>IFERROR(INDEX(Player_Analysis!$H$2:$H$596,MATCH($C27,Player_Analysis!$A$2:$A$596,0)),0)</f>
        <v>1</v>
      </c>
    </row>
    <row r="28" spans="1:16" x14ac:dyDescent="0.25">
      <c r="A28" s="9" t="s">
        <v>1188</v>
      </c>
      <c r="B28">
        <v>20</v>
      </c>
      <c r="C28" s="11" t="str">
        <f t="array" ref="C28">INDEX(Player_Analysis!$A$2:$A$700,MATCH(1,(Player_Analysis!$B$2:$B$700=A28)*(Player_Analysis!$BB$2:$BB$700=B28),0))</f>
        <v>Carl Rushworth</v>
      </c>
      <c r="D28" s="9" t="str">
        <f>INDEX(Player_Analysis!$D$2:$D$700,MATCH(C28,Player_Analysis!$A$2:$A$700,0))</f>
        <v>COV</v>
      </c>
      <c r="E28">
        <f>INDEX(Player_Analysis!$E$2:$E$700,MATCH(C28,Player_Analysis!$A$2:$A$700,0))</f>
        <v>4.5</v>
      </c>
      <c r="F28" s="2">
        <f>INDEX(Player_Analysis!$BA$2:$BA$700,MATCH(C28,Player_Analysis!$A$2:$A$700,0))</f>
        <v>2.499612019292019</v>
      </c>
      <c r="G28">
        <v>0</v>
      </c>
      <c r="H28" s="2">
        <f>INDEX(Player_Analysis!$AT$2:$AT$700,MATCH(C28,Player_Analysis!$A$2:$A$700,0))</f>
        <v>2.499612019292019</v>
      </c>
      <c r="J28">
        <f>IFERROR(INDEX(Player_Analysis!$H$2:$H$596,MATCH($C28,Player_Analysis!$A$2:$A$596,0)),0)</f>
        <v>1</v>
      </c>
    </row>
    <row r="29" spans="1:16" x14ac:dyDescent="0.25">
      <c r="A29" s="9" t="s">
        <v>1188</v>
      </c>
      <c r="B29">
        <v>21</v>
      </c>
      <c r="C29" s="11" t="str">
        <f t="array" ref="C29">INDEX(Player_Analysis!$A$2:$A$700,MATCH(1,(Player_Analysis!$B$2:$B$700=A29)*(Player_Analysis!$BB$2:$BB$700=B29),0))</f>
        <v>Bernd Leno</v>
      </c>
      <c r="D29" s="9" t="str">
        <f>INDEX(Player_Analysis!$D$2:$D$700,MATCH(C29,Player_Analysis!$A$2:$A$700,0))</f>
        <v>FUL</v>
      </c>
      <c r="E29">
        <f>INDEX(Player_Analysis!$E$2:$E$700,MATCH(C29,Player_Analysis!$A$2:$A$700,0))</f>
        <v>4.5</v>
      </c>
      <c r="F29" s="2">
        <f>INDEX(Player_Analysis!$BA$2:$BA$700,MATCH(C29,Player_Analysis!$A$2:$A$700,0))</f>
        <v>2.4639848914431677</v>
      </c>
      <c r="G29">
        <v>0</v>
      </c>
      <c r="H29" s="2">
        <f>INDEX(Player_Analysis!$AT$2:$AT$700,MATCH(C29,Player_Analysis!$A$2:$A$700,0))</f>
        <v>2.4639848914431677</v>
      </c>
      <c r="J29">
        <f>IFERROR(INDEX(Player_Analysis!$H$2:$H$596,MATCH($C29,Player_Analysis!$A$2:$A$596,0)),0)</f>
        <v>1</v>
      </c>
    </row>
    <row r="30" spans="1:16" x14ac:dyDescent="0.25">
      <c r="A30" s="9" t="s">
        <v>1188</v>
      </c>
      <c r="B30">
        <v>22</v>
      </c>
      <c r="C30" s="11" t="str">
        <f t="array" ref="C30">INDEX(Player_Analysis!$A$2:$A$700,MATCH(1,(Player_Analysis!$B$2:$B$700=A30)*(Player_Analysis!$BB$2:$BB$700=B30),0))</f>
        <v>Kepa Arrizabalaga Revuelta</v>
      </c>
      <c r="D30" s="9" t="str">
        <f>INDEX(Player_Analysis!$D$2:$D$700,MATCH(C30,Player_Analysis!$A$2:$A$700,0))</f>
        <v>ARS</v>
      </c>
      <c r="E30">
        <f>INDEX(Player_Analysis!$E$2:$E$700,MATCH(C30,Player_Analysis!$A$2:$A$700,0))</f>
        <v>4.9000000000000004</v>
      </c>
      <c r="F30" s="2">
        <f>INDEX(Player_Analysis!$BA$2:$BA$700,MATCH(C30,Player_Analysis!$A$2:$A$700,0))</f>
        <v>0</v>
      </c>
      <c r="G30">
        <v>0</v>
      </c>
      <c r="H30" s="2">
        <f>INDEX(Player_Analysis!$AT$2:$AT$700,MATCH(C30,Player_Analysis!$A$2:$A$700,0))</f>
        <v>0</v>
      </c>
      <c r="J30">
        <f>IFERROR(INDEX(Player_Analysis!$H$2:$H$596,MATCH($C30,Player_Analysis!$A$2:$A$596,0)),0)</f>
        <v>1</v>
      </c>
    </row>
    <row r="31" spans="1:16" x14ac:dyDescent="0.25">
      <c r="A31" s="9" t="s">
        <v>1188</v>
      </c>
      <c r="B31">
        <v>23</v>
      </c>
      <c r="C31" s="11" t="str">
        <f t="array" ref="C31">INDEX(Player_Analysis!$A$2:$A$700,MATCH(1,(Player_Analysis!$B$2:$B$700=A31)*(Player_Analysis!$BB$2:$BB$700=B31),0))</f>
        <v>Illan Meslier</v>
      </c>
      <c r="D31" s="9" t="str">
        <f>INDEX(Player_Analysis!$D$2:$D$700,MATCH(C31,Player_Analysis!$A$2:$A$700,0))</f>
        <v>ARS</v>
      </c>
      <c r="E31">
        <f>INDEX(Player_Analysis!$E$2:$E$700,MATCH(C31,Player_Analysis!$A$2:$A$700,0))</f>
        <v>4.9000000000000004</v>
      </c>
      <c r="F31" s="2">
        <f>INDEX(Player_Analysis!$BA$2:$BA$700,MATCH(C31,Player_Analysis!$A$2:$A$700,0))</f>
        <v>0</v>
      </c>
      <c r="G31">
        <v>0</v>
      </c>
      <c r="H31" s="2">
        <f>INDEX(Player_Analysis!$AT$2:$AT$700,MATCH(C31,Player_Analysis!$A$2:$A$700,0))</f>
        <v>0</v>
      </c>
      <c r="J31">
        <f>IFERROR(INDEX(Player_Analysis!$H$2:$H$596,MATCH($C31,Player_Analysis!$A$2:$A$596,0)),0)</f>
        <v>1</v>
      </c>
    </row>
    <row r="32" spans="1:16" x14ac:dyDescent="0.25">
      <c r="A32" s="9" t="s">
        <v>1188</v>
      </c>
      <c r="B32">
        <v>24</v>
      </c>
      <c r="C32" s="11" t="str">
        <f t="array" ref="C32">INDEX(Player_Analysis!$A$2:$A$700,MATCH(1,(Player_Analysis!$B$2:$B$700=A32)*(Player_Analysis!$BB$2:$BB$700=B32),0))</f>
        <v>Fraser Forster</v>
      </c>
      <c r="D32" s="9" t="str">
        <f>INDEX(Player_Analysis!$D$2:$D$700,MATCH(C32,Player_Analysis!$A$2:$A$700,0))</f>
        <v>BOU</v>
      </c>
      <c r="E32">
        <f>INDEX(Player_Analysis!$E$2:$E$700,MATCH(C32,Player_Analysis!$A$2:$A$700,0))</f>
        <v>4</v>
      </c>
      <c r="F32" s="2">
        <f>INDEX(Player_Analysis!$BA$2:$BA$700,MATCH(C32,Player_Analysis!$A$2:$A$700,0))</f>
        <v>0</v>
      </c>
      <c r="G32">
        <v>0</v>
      </c>
      <c r="H32" s="2">
        <f>INDEX(Player_Analysis!$AT$2:$AT$700,MATCH(C32,Player_Analysis!$A$2:$A$700,0))</f>
        <v>0</v>
      </c>
      <c r="J32">
        <f>IFERROR(INDEX(Player_Analysis!$H$2:$H$596,MATCH($C32,Player_Analysis!$A$2:$A$596,0)),0)</f>
        <v>1</v>
      </c>
    </row>
    <row r="33" spans="1:10" x14ac:dyDescent="0.25">
      <c r="A33" s="9" t="s">
        <v>1188</v>
      </c>
      <c r="B33">
        <v>25</v>
      </c>
      <c r="C33" s="11" t="str">
        <f t="array" ref="C33">INDEX(Player_Analysis!$A$2:$A$700,MATCH(1,(Player_Analysis!$B$2:$B$700=A33)*(Player_Analysis!$BB$2:$BB$700=B33),0))</f>
        <v>Will Dennis</v>
      </c>
      <c r="D33" s="9" t="str">
        <f>INDEX(Player_Analysis!$D$2:$D$700,MATCH(C33,Player_Analysis!$A$2:$A$700,0))</f>
        <v>BOU</v>
      </c>
      <c r="E33">
        <f>INDEX(Player_Analysis!$E$2:$E$700,MATCH(C33,Player_Analysis!$A$2:$A$700,0))</f>
        <v>4</v>
      </c>
      <c r="F33" s="2">
        <f>INDEX(Player_Analysis!$BA$2:$BA$700,MATCH(C33,Player_Analysis!$A$2:$A$700,0))</f>
        <v>0</v>
      </c>
      <c r="G33">
        <v>0</v>
      </c>
      <c r="H33" s="2">
        <f>INDEX(Player_Analysis!$AT$2:$AT$700,MATCH(C33,Player_Analysis!$A$2:$A$700,0))</f>
        <v>0</v>
      </c>
      <c r="J33">
        <f>IFERROR(INDEX(Player_Analysis!$H$2:$H$596,MATCH($C33,Player_Analysis!$A$2:$A$596,0)),0)</f>
        <v>0</v>
      </c>
    </row>
    <row r="34" spans="1:10" x14ac:dyDescent="0.25">
      <c r="A34" s="9" t="s">
        <v>1188</v>
      </c>
      <c r="B34">
        <v>26</v>
      </c>
      <c r="C34" s="11" t="str">
        <f t="array" ref="C34">INDEX(Player_Analysis!$A$2:$A$700,MATCH(1,(Player_Analysis!$B$2:$B$700=A34)*(Player_Analysis!$BB$2:$BB$700=B34),0))</f>
        <v>Michele Di Gregorio</v>
      </c>
      <c r="D34" s="9" t="str">
        <f>INDEX(Player_Analysis!$D$2:$D$700,MATCH(C34,Player_Analysis!$A$2:$A$700,0))</f>
        <v>BOU</v>
      </c>
      <c r="E34">
        <f>INDEX(Player_Analysis!$E$2:$E$700,MATCH(C34,Player_Analysis!$A$2:$A$700,0))</f>
        <v>4.5</v>
      </c>
      <c r="F34" s="2">
        <f>INDEX(Player_Analysis!$BA$2:$BA$700,MATCH(C34,Player_Analysis!$A$2:$A$700,0))</f>
        <v>0</v>
      </c>
      <c r="G34">
        <v>0</v>
      </c>
      <c r="H34" s="2">
        <f>INDEX(Player_Analysis!$AT$2:$AT$700,MATCH(C34,Player_Analysis!$A$2:$A$700,0))</f>
        <v>0</v>
      </c>
      <c r="J34">
        <f>IFERROR(INDEX(Player_Analysis!$H$2:$H$596,MATCH($C34,Player_Analysis!$A$2:$A$596,0)),0)</f>
        <v>1</v>
      </c>
    </row>
    <row r="35" spans="1:10" x14ac:dyDescent="0.25">
      <c r="A35" s="9" t="s">
        <v>1188</v>
      </c>
      <c r="B35">
        <v>27</v>
      </c>
      <c r="C35" s="11" t="str">
        <f t="array" ref="C35">INDEX(Player_Analysis!$A$2:$A$700,MATCH(1,(Player_Analysis!$B$2:$B$700=A35)*(Player_Analysis!$BB$2:$BB$700=B35),0))</f>
        <v>Hákon Rafn Valdimarsson</v>
      </c>
      <c r="D35" s="9" t="str">
        <f>INDEX(Player_Analysis!$D$2:$D$700,MATCH(C35,Player_Analysis!$A$2:$A$700,0))</f>
        <v>BRE</v>
      </c>
      <c r="E35">
        <f>INDEX(Player_Analysis!$E$2:$E$700,MATCH(C35,Player_Analysis!$A$2:$A$700,0))</f>
        <v>4.5</v>
      </c>
      <c r="F35" s="2">
        <f>INDEX(Player_Analysis!$BA$2:$BA$700,MATCH(C35,Player_Analysis!$A$2:$A$700,0))</f>
        <v>0</v>
      </c>
      <c r="G35">
        <v>0</v>
      </c>
      <c r="H35" s="2">
        <f>INDEX(Player_Analysis!$AT$2:$AT$700,MATCH(C35,Player_Analysis!$A$2:$A$700,0))</f>
        <v>0</v>
      </c>
      <c r="J35">
        <f>IFERROR(INDEX(Player_Analysis!$H$2:$H$596,MATCH($C35,Player_Analysis!$A$2:$A$596,0)),0)</f>
        <v>1</v>
      </c>
    </row>
    <row r="36" spans="1:10" x14ac:dyDescent="0.25">
      <c r="A36" s="9" t="s">
        <v>1188</v>
      </c>
      <c r="B36">
        <v>28</v>
      </c>
      <c r="C36" s="11" t="str">
        <f t="array" ref="C36">INDEX(Player_Analysis!$A$2:$A$700,MATCH(1,(Player_Analysis!$B$2:$B$700=A36)*(Player_Analysis!$BB$2:$BB$700=B36),0))</f>
        <v>Jason Steele</v>
      </c>
      <c r="D36" s="9" t="str">
        <f>INDEX(Player_Analysis!$D$2:$D$700,MATCH(C36,Player_Analysis!$A$2:$A$700,0))</f>
        <v>BHA</v>
      </c>
      <c r="E36">
        <f>INDEX(Player_Analysis!$E$2:$E$700,MATCH(C36,Player_Analysis!$A$2:$A$700,0))</f>
        <v>4</v>
      </c>
      <c r="F36" s="2">
        <f>INDEX(Player_Analysis!$BA$2:$BA$700,MATCH(C36,Player_Analysis!$A$2:$A$700,0))</f>
        <v>0</v>
      </c>
      <c r="G36">
        <v>0</v>
      </c>
      <c r="H36" s="2">
        <f>INDEX(Player_Analysis!$AT$2:$AT$700,MATCH(C36,Player_Analysis!$A$2:$A$700,0))</f>
        <v>0</v>
      </c>
      <c r="J36">
        <f>IFERROR(INDEX(Player_Analysis!$H$2:$H$596,MATCH($C36,Player_Analysis!$A$2:$A$596,0)),0)</f>
        <v>1</v>
      </c>
    </row>
    <row r="37" spans="1:10" x14ac:dyDescent="0.25">
      <c r="A37" s="9" t="s">
        <v>1188</v>
      </c>
      <c r="B37">
        <v>29</v>
      </c>
      <c r="C37" s="11" t="str">
        <f t="array" ref="C37">INDEX(Player_Analysis!$A$2:$A$700,MATCH(1,(Player_Analysis!$B$2:$B$700=A37)*(Player_Analysis!$BB$2:$BB$700=B37),0))</f>
        <v>Filip Jörgensen</v>
      </c>
      <c r="D37" s="9" t="str">
        <f>INDEX(Player_Analysis!$D$2:$D$700,MATCH(C37,Player_Analysis!$A$2:$A$700,0))</f>
        <v>CHE</v>
      </c>
      <c r="E37">
        <f>INDEX(Player_Analysis!$E$2:$E$700,MATCH(C37,Player_Analysis!$A$2:$A$700,0))</f>
        <v>5</v>
      </c>
      <c r="F37" s="2">
        <f>INDEX(Player_Analysis!$BA$2:$BA$700,MATCH(C37,Player_Analysis!$A$2:$A$700,0))</f>
        <v>0</v>
      </c>
      <c r="G37">
        <v>0</v>
      </c>
      <c r="H37" s="2">
        <f>INDEX(Player_Analysis!$AT$2:$AT$700,MATCH(C37,Player_Analysis!$A$2:$A$700,0))</f>
        <v>0</v>
      </c>
      <c r="J37">
        <f>IFERROR(INDEX(Player_Analysis!$H$2:$H$596,MATCH($C37,Player_Analysis!$A$2:$A$596,0)),0)</f>
        <v>0</v>
      </c>
    </row>
    <row r="38" spans="1:10" x14ac:dyDescent="0.25">
      <c r="A38" s="9" t="s">
        <v>1188</v>
      </c>
      <c r="B38">
        <v>30</v>
      </c>
      <c r="C38" s="11" t="str">
        <f t="array" ref="C38">INDEX(Player_Analysis!$A$2:$A$700,MATCH(1,(Player_Analysis!$B$2:$B$700=A38)*(Player_Analysis!$BB$2:$BB$700=B38),0))</f>
        <v>Mike Penders</v>
      </c>
      <c r="D38" s="9" t="str">
        <f>INDEX(Player_Analysis!$D$2:$D$700,MATCH(C38,Player_Analysis!$A$2:$A$700,0))</f>
        <v>CHE</v>
      </c>
      <c r="E38">
        <f>INDEX(Player_Analysis!$E$2:$E$700,MATCH(C38,Player_Analysis!$A$2:$A$700,0))</f>
        <v>4.5</v>
      </c>
      <c r="F38" s="2">
        <f>INDEX(Player_Analysis!$BA$2:$BA$700,MATCH(C38,Player_Analysis!$A$2:$A$700,0))</f>
        <v>0</v>
      </c>
      <c r="G38">
        <v>0</v>
      </c>
      <c r="H38" s="2">
        <f>INDEX(Player_Analysis!$AT$2:$AT$700,MATCH(C38,Player_Analysis!$A$2:$A$700,0))</f>
        <v>0</v>
      </c>
      <c r="J38">
        <f>IFERROR(INDEX(Player_Analysis!$H$2:$H$596,MATCH($C38,Player_Analysis!$A$2:$A$596,0)),0)</f>
        <v>1</v>
      </c>
    </row>
    <row r="39" spans="1:10" x14ac:dyDescent="0.25">
      <c r="A39" s="9" t="s">
        <v>1189</v>
      </c>
      <c r="B39">
        <v>1</v>
      </c>
      <c r="C39" s="11" t="str">
        <f t="array" ref="C39">INDEX(Player_Analysis!$A$2:$A$700,MATCH(1,(Player_Analysis!$B$2:$B$700=A39)*(Player_Analysis!$BB$2:$BB$700=B39),0))</f>
        <v>John Egan</v>
      </c>
      <c r="D39" s="9" t="str">
        <f>INDEX(Player_Analysis!$D$2:$D$700,MATCH(C39,Player_Analysis!$A$2:$A$700,0))</f>
        <v>HUL</v>
      </c>
      <c r="E39">
        <f>INDEX(Player_Analysis!$E$2:$E$700,MATCH(C39,Player_Analysis!$A$2:$A$700,0))</f>
        <v>4.0999999999999996</v>
      </c>
      <c r="F39" s="2">
        <f>INDEX(Player_Analysis!$BA$2:$BA$700,MATCH(C39,Player_Analysis!$A$2:$A$700,0))</f>
        <v>10.502854771784229</v>
      </c>
      <c r="G39">
        <v>1</v>
      </c>
      <c r="H39" s="2">
        <f>INDEX(Player_Analysis!$AT$2:$AT$700,MATCH(C39,Player_Analysis!$A$2:$A$700,0))</f>
        <v>10.502854771784229</v>
      </c>
      <c r="I39">
        <f>IF(G39=1,COUNTIF($G$9:G39,1),"")</f>
        <v>3</v>
      </c>
      <c r="J39">
        <f>IFERROR(INDEX(Player_Analysis!$H$2:$H$596,MATCH($C39,Player_Analysis!$A$2:$A$596,0)),0)</f>
        <v>1</v>
      </c>
    </row>
    <row r="40" spans="1:10" x14ac:dyDescent="0.25">
      <c r="A40" s="9" t="s">
        <v>1189</v>
      </c>
      <c r="B40">
        <v>2</v>
      </c>
      <c r="C40" s="11" t="str">
        <f t="array" ref="C40">INDEX(Player_Analysis!$A$2:$A$700,MATCH(1,(Player_Analysis!$B$2:$B$700=A40)*(Player_Analysis!$BB$2:$BB$700=B40),0))</f>
        <v>Semi Ajayi</v>
      </c>
      <c r="D40" s="9" t="str">
        <f>INDEX(Player_Analysis!$D$2:$D$700,MATCH(C40,Player_Analysis!$A$2:$A$700,0))</f>
        <v>HUL</v>
      </c>
      <c r="E40">
        <f>INDEX(Player_Analysis!$E$2:$E$700,MATCH(C40,Player_Analysis!$A$2:$A$700,0))</f>
        <v>4.0999999999999996</v>
      </c>
      <c r="F40" s="2">
        <f>INDEX(Player_Analysis!$BA$2:$BA$700,MATCH(C40,Player_Analysis!$A$2:$A$700,0))</f>
        <v>10.364444444444441</v>
      </c>
      <c r="G40">
        <v>1</v>
      </c>
      <c r="H40" s="2">
        <f>INDEX(Player_Analysis!$AT$2:$AT$700,MATCH(C40,Player_Analysis!$A$2:$A$700,0))</f>
        <v>10.364444444444441</v>
      </c>
      <c r="I40">
        <f>IF(G40=1,COUNTIF($G$9:G40,1),"")</f>
        <v>4</v>
      </c>
      <c r="J40">
        <f>IFERROR(INDEX(Player_Analysis!$H$2:$H$596,MATCH($C40,Player_Analysis!$A$2:$A$596,0)),0)</f>
        <v>1</v>
      </c>
    </row>
    <row r="41" spans="1:10" x14ac:dyDescent="0.25">
      <c r="A41" s="9" t="s">
        <v>1189</v>
      </c>
      <c r="B41">
        <v>3</v>
      </c>
      <c r="C41" s="11" t="str">
        <f t="array" ref="C41">INDEX(Player_Analysis!$A$2:$A$700,MATCH(1,(Player_Analysis!$B$2:$B$700=A41)*(Player_Analysis!$BB$2:$BB$700=B41),0))</f>
        <v>Nobel Mendy</v>
      </c>
      <c r="D41" s="9" t="str">
        <f>INDEX(Player_Analysis!$D$2:$D$700,MATCH(C41,Player_Analysis!$A$2:$A$700,0))</f>
        <v>HUL</v>
      </c>
      <c r="E41">
        <f>INDEX(Player_Analysis!$E$2:$E$700,MATCH(C41,Player_Analysis!$A$2:$A$700,0))</f>
        <v>4</v>
      </c>
      <c r="F41" s="2">
        <f>INDEX(Player_Analysis!$BA$2:$BA$700,MATCH(C41,Player_Analysis!$A$2:$A$700,0))</f>
        <v>10.304502617801047</v>
      </c>
      <c r="G41">
        <v>0</v>
      </c>
      <c r="H41" s="2">
        <f>INDEX(Player_Analysis!$AT$2:$AT$700,MATCH(C41,Player_Analysis!$A$2:$A$700,0))</f>
        <v>10.304502617801047</v>
      </c>
      <c r="I41" t="str">
        <f>IF(G41=1,COUNTIF($G$9:G41,1),"")</f>
        <v/>
      </c>
      <c r="J41">
        <f>IFERROR(INDEX(Player_Analysis!$H$2:$H$596,MATCH($C41,Player_Analysis!$A$2:$A$596,0)),0)</f>
        <v>1</v>
      </c>
    </row>
    <row r="42" spans="1:10" x14ac:dyDescent="0.25">
      <c r="A42" s="9" t="s">
        <v>1189</v>
      </c>
      <c r="B42" s="9">
        <v>4</v>
      </c>
      <c r="C42" s="11" t="str">
        <f t="array" ref="C42">INDEX(Player_Analysis!$A$2:$A$700,MATCH(1,(Player_Analysis!$B$2:$B$700=A42)*(Player_Analysis!$BB$2:$BB$700=B42),0))</f>
        <v>Ryan Giles</v>
      </c>
      <c r="D42" s="9" t="str">
        <f>INDEX(Player_Analysis!$D$2:$D$700,MATCH(C42,Player_Analysis!$A$2:$A$700,0))</f>
        <v>HUL</v>
      </c>
      <c r="E42">
        <f>INDEX(Player_Analysis!$E$2:$E$700,MATCH(C42,Player_Analysis!$A$2:$A$700,0))</f>
        <v>4</v>
      </c>
      <c r="F42" s="2">
        <f>INDEX(Player_Analysis!$BA$2:$BA$700,MATCH(C42,Player_Analysis!$A$2:$A$700,0))</f>
        <v>8.4818760131434807</v>
      </c>
      <c r="G42">
        <v>0</v>
      </c>
      <c r="H42" s="2">
        <f>INDEX(Player_Analysis!$AT$2:$AT$700,MATCH(C42,Player_Analysis!$A$2:$A$700,0))</f>
        <v>8.4818760131434807</v>
      </c>
      <c r="I42" t="str">
        <f>IF(G42=1,COUNTIF($G$9:G42,1),"")</f>
        <v/>
      </c>
      <c r="J42">
        <f>IFERROR(INDEX(Player_Analysis!$H$2:$H$596,MATCH($C42,Player_Analysis!$A$2:$A$596,0)),0)</f>
        <v>1</v>
      </c>
    </row>
    <row r="43" spans="1:10" x14ac:dyDescent="0.25">
      <c r="A43" s="9" t="s">
        <v>1189</v>
      </c>
      <c r="B43">
        <v>5</v>
      </c>
      <c r="C43" s="11" t="str">
        <f t="array" ref="C43">INDEX(Player_Analysis!$A$2:$A$700,MATCH(1,(Player_Analysis!$B$2:$B$700=A43)*(Player_Analysis!$BB$2:$BB$700=B43),0))</f>
        <v>Cristhian Mosquera</v>
      </c>
      <c r="D43" s="9" t="str">
        <f>INDEX(Player_Analysis!$D$2:$D$700,MATCH(C43,Player_Analysis!$A$2:$A$700,0))</f>
        <v>ARS</v>
      </c>
      <c r="E43">
        <f>INDEX(Player_Analysis!$E$2:$E$700,MATCH(C43,Player_Analysis!$A$2:$A$700,0))</f>
        <v>5.4</v>
      </c>
      <c r="F43" s="2">
        <f>INDEX(Player_Analysis!$BA$2:$BA$700,MATCH(C43,Player_Analysis!$A$2:$A$700,0))</f>
        <v>8.2822420018347476</v>
      </c>
      <c r="G43">
        <v>0</v>
      </c>
      <c r="H43" s="2">
        <f>INDEX(Player_Analysis!$AT$2:$AT$700,MATCH(C43,Player_Analysis!$A$2:$A$700,0))</f>
        <v>8.2822420018347476</v>
      </c>
      <c r="I43" t="str">
        <f>IF(G43=1,COUNTIF($G$9:G43,1),"")</f>
        <v/>
      </c>
      <c r="J43">
        <f>IFERROR(INDEX(Player_Analysis!$H$2:$H$596,MATCH($C43,Player_Analysis!$A$2:$A$596,0)),0)</f>
        <v>0</v>
      </c>
    </row>
    <row r="44" spans="1:10" x14ac:dyDescent="0.25">
      <c r="A44" s="9" t="s">
        <v>1189</v>
      </c>
      <c r="B44">
        <v>6</v>
      </c>
      <c r="C44" s="11" t="str">
        <f t="array" ref="C44">INDEX(Player_Analysis!$A$2:$A$700,MATCH(1,(Player_Analysis!$B$2:$B$700=A44)*(Player_Analysis!$BB$2:$BB$700=B44),0))</f>
        <v>Gabriel dos Santos Magalhães</v>
      </c>
      <c r="D44" s="9" t="str">
        <f>INDEX(Player_Analysis!$D$2:$D$700,MATCH(C44,Player_Analysis!$A$2:$A$700,0))</f>
        <v>ARS</v>
      </c>
      <c r="E44">
        <f>INDEX(Player_Analysis!$E$2:$E$700,MATCH(C44,Player_Analysis!$A$2:$A$700,0))</f>
        <v>8</v>
      </c>
      <c r="F44" s="2">
        <f>INDEX(Player_Analysis!$BA$2:$BA$700,MATCH(C44,Player_Analysis!$A$2:$A$700,0))</f>
        <v>8.1528292883759335</v>
      </c>
      <c r="G44">
        <v>1</v>
      </c>
      <c r="H44" s="2">
        <f>INDEX(Player_Analysis!$AT$2:$AT$700,MATCH(C44,Player_Analysis!$A$2:$A$700,0))</f>
        <v>8.1528292883759335</v>
      </c>
      <c r="I44">
        <f>IF(G44=1,COUNTIF($G$9:G44,1),"")</f>
        <v>5</v>
      </c>
      <c r="J44">
        <f>IFERROR(INDEX(Player_Analysis!$H$2:$H$596,MATCH($C44,Player_Analysis!$A$2:$A$596,0)),0)</f>
        <v>1</v>
      </c>
    </row>
    <row r="45" spans="1:10" x14ac:dyDescent="0.25">
      <c r="A45" s="9" t="s">
        <v>1189</v>
      </c>
      <c r="B45">
        <v>7</v>
      </c>
      <c r="C45" s="11" t="str">
        <f t="array" ref="C45">INDEX(Player_Analysis!$A$2:$A$700,MATCH(1,(Player_Analysis!$B$2:$B$700=A45)*(Player_Analysis!$BB$2:$BB$700=B45),0))</f>
        <v>Jayden Bogle</v>
      </c>
      <c r="D45" s="9" t="str">
        <f>INDEX(Player_Analysis!$D$2:$D$700,MATCH(C45,Player_Analysis!$A$2:$A$700,0))</f>
        <v>LEE</v>
      </c>
      <c r="E45">
        <f>INDEX(Player_Analysis!$E$2:$E$700,MATCH(C45,Player_Analysis!$A$2:$A$700,0))</f>
        <v>4.5</v>
      </c>
      <c r="F45" s="2">
        <f>INDEX(Player_Analysis!$BA$2:$BA$700,MATCH(C45,Player_Analysis!$A$2:$A$700,0))</f>
        <v>8.1476382682193957</v>
      </c>
      <c r="G45">
        <v>1</v>
      </c>
      <c r="H45" s="2">
        <f>INDEX(Player_Analysis!$AT$2:$AT$700,MATCH(C45,Player_Analysis!$A$2:$A$700,0))</f>
        <v>8.1476382682193957</v>
      </c>
      <c r="I45">
        <f>IF(G45=1,COUNTIF($G$9:G45,1),"")</f>
        <v>6</v>
      </c>
      <c r="J45">
        <f>IFERROR(INDEX(Player_Analysis!$H$2:$H$596,MATCH($C45,Player_Analysis!$A$2:$A$596,0)),0)</f>
        <v>1</v>
      </c>
    </row>
    <row r="46" spans="1:10" x14ac:dyDescent="0.25">
      <c r="A46" s="9" t="s">
        <v>1189</v>
      </c>
      <c r="B46">
        <v>8</v>
      </c>
      <c r="C46" s="11" t="str">
        <f t="array" ref="C46">INDEX(Player_Analysis!$A$2:$A$700,MATCH(1,(Player_Analysis!$B$2:$B$700=A46)*(Player_Analysis!$BB$2:$BB$700=B46),0))</f>
        <v>Riccardo Calafiori</v>
      </c>
      <c r="D46" s="9" t="str">
        <f>INDEX(Player_Analysis!$D$2:$D$700,MATCH(C46,Player_Analysis!$A$2:$A$700,0))</f>
        <v>ARS</v>
      </c>
      <c r="E46">
        <f>INDEX(Player_Analysis!$E$2:$E$700,MATCH(C46,Player_Analysis!$A$2:$A$700,0))</f>
        <v>5.7</v>
      </c>
      <c r="F46" s="2">
        <f>INDEX(Player_Analysis!$BA$2:$BA$700,MATCH(C46,Player_Analysis!$A$2:$A$700,0))</f>
        <v>8.1388646109651503</v>
      </c>
      <c r="G46">
        <v>1</v>
      </c>
      <c r="H46" s="2">
        <f>INDEX(Player_Analysis!$AT$2:$AT$700,MATCH(C46,Player_Analysis!$A$2:$A$700,0))</f>
        <v>8.1388646109651503</v>
      </c>
      <c r="I46">
        <f>IF(G46=1,COUNTIF($G$9:G46,1),"")</f>
        <v>7</v>
      </c>
      <c r="J46">
        <f>IFERROR(INDEX(Player_Analysis!$H$2:$H$596,MATCH($C46,Player_Analysis!$A$2:$A$596,0)),0)</f>
        <v>1</v>
      </c>
    </row>
    <row r="47" spans="1:10" x14ac:dyDescent="0.25">
      <c r="A47" s="9" t="s">
        <v>1189</v>
      </c>
      <c r="B47">
        <v>9</v>
      </c>
      <c r="C47" s="11" t="str">
        <f t="array" ref="C47">INDEX(Player_Analysis!$A$2:$A$700,MATCH(1,(Player_Analysis!$B$2:$B$700=A47)*(Player_Analysis!$BB$2:$BB$700=B47),0))</f>
        <v>Benjamin White</v>
      </c>
      <c r="D47" s="9" t="str">
        <f>INDEX(Player_Analysis!$D$2:$D$700,MATCH(C47,Player_Analysis!$A$2:$A$700,0))</f>
        <v>ARS</v>
      </c>
      <c r="E47">
        <f>INDEX(Player_Analysis!$E$2:$E$700,MATCH(C47,Player_Analysis!$A$2:$A$700,0))</f>
        <v>5.5</v>
      </c>
      <c r="F47" s="2">
        <f>INDEX(Player_Analysis!$BA$2:$BA$700,MATCH(C47,Player_Analysis!$A$2:$A$700,0))</f>
        <v>7.2527706231935127</v>
      </c>
      <c r="G47">
        <v>0</v>
      </c>
      <c r="H47" s="2">
        <f>INDEX(Player_Analysis!$AT$2:$AT$700,MATCH(C47,Player_Analysis!$A$2:$A$700,0))</f>
        <v>7.2527706231935127</v>
      </c>
      <c r="I47" t="str">
        <f>IF(G47=1,COUNTIF($G$9:G47,1),"")</f>
        <v/>
      </c>
      <c r="J47">
        <f>IFERROR(INDEX(Player_Analysis!$H$2:$H$596,MATCH($C47,Player_Analysis!$A$2:$A$596,0)),0)</f>
        <v>1</v>
      </c>
    </row>
    <row r="48" spans="1:10" x14ac:dyDescent="0.25">
      <c r="A48" s="9" t="s">
        <v>1189</v>
      </c>
      <c r="B48">
        <v>10</v>
      </c>
      <c r="C48" s="11" t="str">
        <f t="array" ref="C48">INDEX(Player_Analysis!$A$2:$A$700,MATCH(1,(Player_Analysis!$B$2:$B$700=A48)*(Player_Analysis!$BB$2:$BB$700=B48),0))</f>
        <v>Jaka Bijol</v>
      </c>
      <c r="D48" s="9" t="str">
        <f>INDEX(Player_Analysis!$D$2:$D$700,MATCH(C48,Player_Analysis!$A$2:$A$700,0))</f>
        <v>LEE</v>
      </c>
      <c r="E48">
        <f>INDEX(Player_Analysis!$E$2:$E$700,MATCH(C48,Player_Analysis!$A$2:$A$700,0))</f>
        <v>5</v>
      </c>
      <c r="F48" s="2">
        <f>INDEX(Player_Analysis!$BA$2:$BA$700,MATCH(C48,Player_Analysis!$A$2:$A$700,0))</f>
        <v>7.2093001516891455</v>
      </c>
      <c r="G48">
        <v>0</v>
      </c>
      <c r="H48" s="2">
        <f>INDEX(Player_Analysis!$AT$2:$AT$700,MATCH(C48,Player_Analysis!$A$2:$A$700,0))</f>
        <v>7.2093001516891455</v>
      </c>
      <c r="I48" t="str">
        <f>IF(G48=1,COUNTIF($G$9:G48,1),"")</f>
        <v/>
      </c>
      <c r="J48">
        <f>IFERROR(INDEX(Player_Analysis!$H$2:$H$596,MATCH($C48,Player_Analysis!$A$2:$A$596,0)),0)</f>
        <v>1</v>
      </c>
    </row>
    <row r="49" spans="1:10" x14ac:dyDescent="0.25">
      <c r="A49" s="9" t="s">
        <v>1189</v>
      </c>
      <c r="B49">
        <v>11</v>
      </c>
      <c r="C49" s="11" t="str">
        <f t="array" ref="C49">INDEX(Player_Analysis!$A$2:$A$700,MATCH(1,(Player_Analysis!$B$2:$B$700=A49)*(Player_Analysis!$BB$2:$BB$700=B49),0))</f>
        <v>Marc Guéhi</v>
      </c>
      <c r="D49" s="9" t="str">
        <f>INDEX(Player_Analysis!$D$2:$D$700,MATCH(C49,Player_Analysis!$A$2:$A$700,0))</f>
        <v>MCI</v>
      </c>
      <c r="E49">
        <f>INDEX(Player_Analysis!$E$2:$E$700,MATCH(C49,Player_Analysis!$A$2:$A$700,0))</f>
        <v>6</v>
      </c>
      <c r="F49" s="2">
        <f>INDEX(Player_Analysis!$BA$2:$BA$700,MATCH(C49,Player_Analysis!$A$2:$A$700,0))</f>
        <v>7.040923678122132</v>
      </c>
      <c r="G49">
        <v>0</v>
      </c>
      <c r="H49" s="2">
        <f>INDEX(Player_Analysis!$AT$2:$AT$700,MATCH(C49,Player_Analysis!$A$2:$A$700,0))</f>
        <v>7.040923678122132</v>
      </c>
      <c r="I49" t="str">
        <f>IF(G49=1,COUNTIF($G$9:G49,1),"")</f>
        <v/>
      </c>
      <c r="J49">
        <f>IFERROR(INDEX(Player_Analysis!$H$2:$H$596,MATCH($C49,Player_Analysis!$A$2:$A$596,0)),0)</f>
        <v>1</v>
      </c>
    </row>
    <row r="50" spans="1:10" x14ac:dyDescent="0.25">
      <c r="A50" s="9" t="s">
        <v>1189</v>
      </c>
      <c r="B50">
        <v>12</v>
      </c>
      <c r="C50" s="11" t="str">
        <f t="array" ref="C50">INDEX(Player_Analysis!$A$2:$A$700,MATCH(1,(Player_Analysis!$B$2:$B$700=A50)*(Player_Analysis!$BB$2:$BB$700=B50),0))</f>
        <v>Murillo Costa dos Santos</v>
      </c>
      <c r="D50" s="9" t="str">
        <f>INDEX(Player_Analysis!$D$2:$D$700,MATCH(C50,Player_Analysis!$A$2:$A$700,0))</f>
        <v>NFO</v>
      </c>
      <c r="E50">
        <f>INDEX(Player_Analysis!$E$2:$E$700,MATCH(C50,Player_Analysis!$A$2:$A$700,0))</f>
        <v>5.5</v>
      </c>
      <c r="F50" s="2">
        <f>INDEX(Player_Analysis!$BA$2:$BA$700,MATCH(C50,Player_Analysis!$A$2:$A$700,0))</f>
        <v>6.7012867551530322</v>
      </c>
      <c r="G50">
        <v>0</v>
      </c>
      <c r="H50" s="2">
        <f>INDEX(Player_Analysis!$AT$2:$AT$700,MATCH(C50,Player_Analysis!$A$2:$A$700,0))</f>
        <v>6.7012867551530322</v>
      </c>
      <c r="I50" t="str">
        <f>IF(G50=1,COUNTIF($G$9:G50,1),"")</f>
        <v/>
      </c>
      <c r="J50">
        <f>IFERROR(INDEX(Player_Analysis!$H$2:$H$596,MATCH($C50,Player_Analysis!$A$2:$A$596,0)),0)</f>
        <v>1</v>
      </c>
    </row>
    <row r="51" spans="1:10" x14ac:dyDescent="0.25">
      <c r="A51" s="9" t="s">
        <v>1189</v>
      </c>
      <c r="B51">
        <v>13</v>
      </c>
      <c r="C51" s="11" t="str">
        <f t="array" ref="C51">INDEX(Player_Analysis!$A$2:$A$700,MATCH(1,(Player_Analysis!$B$2:$B$700=A51)*(Player_Analysis!$BB$2:$BB$700=B51),0))</f>
        <v>Tarik Muharemović</v>
      </c>
      <c r="D51" s="9" t="str">
        <f>INDEX(Player_Analysis!$D$2:$D$700,MATCH(C51,Player_Analysis!$A$2:$A$700,0))</f>
        <v>LEE</v>
      </c>
      <c r="E51">
        <f>INDEX(Player_Analysis!$E$2:$E$700,MATCH(C51,Player_Analysis!$A$2:$A$700,0))</f>
        <v>5</v>
      </c>
      <c r="F51" s="2">
        <f>INDEX(Player_Analysis!$BA$2:$BA$700,MATCH(C51,Player_Analysis!$A$2:$A$700,0))</f>
        <v>6.600607479674796</v>
      </c>
      <c r="G51">
        <v>0</v>
      </c>
      <c r="H51" s="2">
        <f>INDEX(Player_Analysis!$AT$2:$AT$700,MATCH(C51,Player_Analysis!$A$2:$A$700,0))</f>
        <v>6.600607479674796</v>
      </c>
      <c r="I51" t="str">
        <f>IF(G51=1,COUNTIF($G$9:G51,1),"")</f>
        <v/>
      </c>
      <c r="J51">
        <f>IFERROR(INDEX(Player_Analysis!$H$2:$H$596,MATCH($C51,Player_Analysis!$A$2:$A$596,0)),0)</f>
        <v>1</v>
      </c>
    </row>
    <row r="52" spans="1:10" x14ac:dyDescent="0.25">
      <c r="A52" s="9" t="s">
        <v>1189</v>
      </c>
      <c r="B52">
        <v>14</v>
      </c>
      <c r="C52" s="11" t="str">
        <f t="array" ref="C52">INDEX(Player_Analysis!$A$2:$A$700,MATCH(1,(Player_Analysis!$B$2:$B$700=A52)*(Player_Analysis!$BB$2:$BB$700=B52),0))</f>
        <v>Nathan Collins</v>
      </c>
      <c r="D52" s="9" t="str">
        <f>INDEX(Player_Analysis!$D$2:$D$700,MATCH(C52,Player_Analysis!$A$2:$A$700,0))</f>
        <v>BRE</v>
      </c>
      <c r="E52">
        <f>INDEX(Player_Analysis!$E$2:$E$700,MATCH(C52,Player_Analysis!$A$2:$A$700,0))</f>
        <v>5.5</v>
      </c>
      <c r="F52" s="2">
        <f>INDEX(Player_Analysis!$BA$2:$BA$700,MATCH(C52,Player_Analysis!$A$2:$A$700,0))</f>
        <v>6.4173674779219665</v>
      </c>
      <c r="G52">
        <v>0</v>
      </c>
      <c r="H52" s="2">
        <f>INDEX(Player_Analysis!$AT$2:$AT$700,MATCH(C52,Player_Analysis!$A$2:$A$700,0))</f>
        <v>6.4173674779219665</v>
      </c>
      <c r="I52" t="str">
        <f>IF(G52=1,COUNTIF($G$9:G52,1),"")</f>
        <v/>
      </c>
      <c r="J52">
        <f>IFERROR(INDEX(Player_Analysis!$H$2:$H$596,MATCH($C52,Player_Analysis!$A$2:$A$596,0)),0)</f>
        <v>0</v>
      </c>
    </row>
    <row r="53" spans="1:10" x14ac:dyDescent="0.25">
      <c r="A53" s="9" t="s">
        <v>1189</v>
      </c>
      <c r="B53">
        <v>15</v>
      </c>
      <c r="C53" s="11" t="str">
        <f t="array" ref="C53">INDEX(Player_Analysis!$A$2:$A$700,MATCH(1,(Player_Analysis!$B$2:$B$700=A53)*(Player_Analysis!$BB$2:$BB$700=B53),0))</f>
        <v>Lewis Hall</v>
      </c>
      <c r="D53" s="9" t="str">
        <f>INDEX(Player_Analysis!$D$2:$D$700,MATCH(C53,Player_Analysis!$A$2:$A$700,0))</f>
        <v>NEW</v>
      </c>
      <c r="E53">
        <f>INDEX(Player_Analysis!$E$2:$E$700,MATCH(C53,Player_Analysis!$A$2:$A$700,0))</f>
        <v>5.0999999999999996</v>
      </c>
      <c r="F53" s="2">
        <f>INDEX(Player_Analysis!$BA$2:$BA$700,MATCH(C53,Player_Analysis!$A$2:$A$700,0))</f>
        <v>6.414336065599973</v>
      </c>
      <c r="G53">
        <v>0</v>
      </c>
      <c r="H53" s="2">
        <f>INDEX(Player_Analysis!$AT$2:$AT$700,MATCH(C53,Player_Analysis!$A$2:$A$700,0))</f>
        <v>6.414336065599973</v>
      </c>
      <c r="I53" t="str">
        <f>IF(G53=1,COUNTIF($G$9:G53,1),"")</f>
        <v/>
      </c>
      <c r="J53">
        <f>IFERROR(INDEX(Player_Analysis!$H$2:$H$596,MATCH($C53,Player_Analysis!$A$2:$A$596,0)),0)</f>
        <v>1</v>
      </c>
    </row>
    <row r="54" spans="1:10" x14ac:dyDescent="0.25">
      <c r="A54" s="9" t="s">
        <v>1189</v>
      </c>
      <c r="B54">
        <v>16</v>
      </c>
      <c r="C54" s="11" t="str">
        <f t="array" ref="C54">INDEX(Player_Analysis!$A$2:$A$700,MATCH(1,(Player_Analysis!$B$2:$B$700=A54)*(Player_Analysis!$BB$2:$BB$700=B54),0))</f>
        <v>Maxim De Cuyper</v>
      </c>
      <c r="D54" s="9" t="str">
        <f>INDEX(Player_Analysis!$D$2:$D$700,MATCH(C54,Player_Analysis!$A$2:$A$700,0))</f>
        <v>BHA</v>
      </c>
      <c r="E54">
        <f>INDEX(Player_Analysis!$E$2:$E$700,MATCH(C54,Player_Analysis!$A$2:$A$700,0))</f>
        <v>4.7</v>
      </c>
      <c r="F54" s="2">
        <f>INDEX(Player_Analysis!$BA$2:$BA$700,MATCH(C54,Player_Analysis!$A$2:$A$700,0))</f>
        <v>6.4068258936052054</v>
      </c>
      <c r="G54">
        <v>0</v>
      </c>
      <c r="H54" s="2">
        <f>INDEX(Player_Analysis!$AT$2:$AT$700,MATCH(C54,Player_Analysis!$A$2:$A$700,0))</f>
        <v>6.4068258936052054</v>
      </c>
      <c r="I54" t="str">
        <f>IF(G54=1,COUNTIF($G$9:G54,1),"")</f>
        <v/>
      </c>
      <c r="J54">
        <f>IFERROR(INDEX(Player_Analysis!$H$2:$H$596,MATCH($C54,Player_Analysis!$A$2:$A$596,0)),0)</f>
        <v>1</v>
      </c>
    </row>
    <row r="55" spans="1:10" x14ac:dyDescent="0.25">
      <c r="A55" s="9" t="s">
        <v>1189</v>
      </c>
      <c r="B55">
        <v>17</v>
      </c>
      <c r="C55" s="11" t="str">
        <f t="array" ref="C55">INDEX(Player_Analysis!$A$2:$A$700,MATCH(1,(Player_Analysis!$B$2:$B$700=A55)*(Player_Analysis!$BB$2:$BB$700=B55),0))</f>
        <v>Lewie Coyle</v>
      </c>
      <c r="D55" s="9" t="str">
        <f>INDEX(Player_Analysis!$D$2:$D$700,MATCH(C55,Player_Analysis!$A$2:$A$700,0))</f>
        <v>HUL</v>
      </c>
      <c r="E55">
        <f>INDEX(Player_Analysis!$E$2:$E$700,MATCH(C55,Player_Analysis!$A$2:$A$700,0))</f>
        <v>4</v>
      </c>
      <c r="F55" s="2">
        <f>INDEX(Player_Analysis!$BA$2:$BA$700,MATCH(C55,Player_Analysis!$A$2:$A$700,0))</f>
        <v>6.3688135593220325</v>
      </c>
      <c r="G55">
        <v>0</v>
      </c>
      <c r="H55" s="2">
        <f>INDEX(Player_Analysis!$AT$2:$AT$700,MATCH(C55,Player_Analysis!$A$2:$A$700,0))</f>
        <v>6.3688135593220325</v>
      </c>
      <c r="I55" t="str">
        <f>IF(G55=1,COUNTIF($G$9:G55,1),"")</f>
        <v/>
      </c>
      <c r="J55">
        <f>IFERROR(INDEX(Player_Analysis!$H$2:$H$596,MATCH($C55,Player_Analysis!$A$2:$A$596,0)),0)</f>
        <v>1</v>
      </c>
    </row>
    <row r="56" spans="1:10" x14ac:dyDescent="0.25">
      <c r="A56" s="9" t="s">
        <v>1189</v>
      </c>
      <c r="B56">
        <v>18</v>
      </c>
      <c r="C56" s="11" t="str">
        <f t="array" ref="C56">INDEX(Player_Analysis!$A$2:$A$700,MATCH(1,(Player_Analysis!$B$2:$B$700=A56)*(Player_Analysis!$BB$2:$BB$700=B56),0))</f>
        <v>Joe Rodon</v>
      </c>
      <c r="D56" s="9" t="str">
        <f>INDEX(Player_Analysis!$D$2:$D$700,MATCH(C56,Player_Analysis!$A$2:$A$700,0))</f>
        <v>LEE</v>
      </c>
      <c r="E56">
        <f>INDEX(Player_Analysis!$E$2:$E$700,MATCH(C56,Player_Analysis!$A$2:$A$700,0))</f>
        <v>4.4000000000000004</v>
      </c>
      <c r="F56" s="2">
        <f>INDEX(Player_Analysis!$BA$2:$BA$700,MATCH(C56,Player_Analysis!$A$2:$A$700,0))</f>
        <v>6.2750552301936668</v>
      </c>
      <c r="G56">
        <v>0</v>
      </c>
      <c r="H56" s="2">
        <f>INDEX(Player_Analysis!$AT$2:$AT$700,MATCH(C56,Player_Analysis!$A$2:$A$700,0))</f>
        <v>6.2750552301936668</v>
      </c>
      <c r="I56" t="str">
        <f>IF(G56=1,COUNTIF($G$9:G56,1),"")</f>
        <v/>
      </c>
      <c r="J56">
        <f>IFERROR(INDEX(Player_Analysis!$H$2:$H$596,MATCH($C56,Player_Analysis!$A$2:$A$596,0)),0)</f>
        <v>0</v>
      </c>
    </row>
    <row r="57" spans="1:10" x14ac:dyDescent="0.25">
      <c r="A57" s="9" t="s">
        <v>1189</v>
      </c>
      <c r="B57">
        <v>19</v>
      </c>
      <c r="C57" s="11" t="str">
        <f t="array" ref="C57">INDEX(Player_Analysis!$A$2:$A$700,MATCH(1,(Player_Analysis!$B$2:$B$700=A57)*(Player_Analysis!$BB$2:$BB$700=B57),0))</f>
        <v>Michael Kayode</v>
      </c>
      <c r="D57" s="9" t="str">
        <f>INDEX(Player_Analysis!$D$2:$D$700,MATCH(C57,Player_Analysis!$A$2:$A$700,0))</f>
        <v>BRE</v>
      </c>
      <c r="E57">
        <f>INDEX(Player_Analysis!$E$2:$E$700,MATCH(C57,Player_Analysis!$A$2:$A$700,0))</f>
        <v>4.5999999999999996</v>
      </c>
      <c r="F57" s="2">
        <f>INDEX(Player_Analysis!$BA$2:$BA$700,MATCH(C57,Player_Analysis!$A$2:$A$700,0))</f>
        <v>6.1449654031770287</v>
      </c>
      <c r="G57">
        <v>0</v>
      </c>
      <c r="H57" s="2">
        <f>INDEX(Player_Analysis!$AT$2:$AT$700,MATCH(C57,Player_Analysis!$A$2:$A$700,0))</f>
        <v>6.1449654031770287</v>
      </c>
      <c r="I57" t="str">
        <f>IF(G57=1,COUNTIF($G$9:G57,1),"")</f>
        <v/>
      </c>
      <c r="J57">
        <f>IFERROR(INDEX(Player_Analysis!$H$2:$H$596,MATCH($C57,Player_Analysis!$A$2:$A$596,0)),0)</f>
        <v>1</v>
      </c>
    </row>
    <row r="58" spans="1:10" x14ac:dyDescent="0.25">
      <c r="A58" s="9" t="s">
        <v>1189</v>
      </c>
      <c r="B58">
        <v>20</v>
      </c>
      <c r="C58" s="11" t="str">
        <f t="array" ref="C58">INDEX(Player_Analysis!$A$2:$A$700,MATCH(1,(Player_Analysis!$B$2:$B$700=A58)*(Player_Analysis!$BB$2:$BB$700=B58),0))</f>
        <v>James Justin</v>
      </c>
      <c r="D58" s="9" t="str">
        <f>INDEX(Player_Analysis!$D$2:$D$700,MATCH(C58,Player_Analysis!$A$2:$A$700,0))</f>
        <v>LEE</v>
      </c>
      <c r="E58">
        <f>INDEX(Player_Analysis!$E$2:$E$700,MATCH(C58,Player_Analysis!$A$2:$A$700,0))</f>
        <v>4.5</v>
      </c>
      <c r="F58" s="2">
        <f>INDEX(Player_Analysis!$BA$2:$BA$700,MATCH(C58,Player_Analysis!$A$2:$A$700,0))</f>
        <v>6.122599976951884</v>
      </c>
      <c r="G58">
        <v>0</v>
      </c>
      <c r="H58" s="2">
        <f>INDEX(Player_Analysis!$AT$2:$AT$700,MATCH(C58,Player_Analysis!$A$2:$A$700,0))</f>
        <v>6.122599976951884</v>
      </c>
      <c r="I58" t="str">
        <f>IF(G58=1,COUNTIF($G$9:G58,1),"")</f>
        <v/>
      </c>
      <c r="J58">
        <f>IFERROR(INDEX(Player_Analysis!$H$2:$H$596,MATCH($C58,Player_Analysis!$A$2:$A$596,0)),0)</f>
        <v>1</v>
      </c>
    </row>
    <row r="59" spans="1:10" x14ac:dyDescent="0.25">
      <c r="A59" s="9" t="s">
        <v>1189</v>
      </c>
      <c r="B59">
        <v>21</v>
      </c>
      <c r="C59" s="11" t="str">
        <f t="array" ref="C59">INDEX(Player_Analysis!$A$2:$A$700,MATCH(1,(Player_Analysis!$B$2:$B$700=A59)*(Player_Analysis!$BB$2:$BB$700=B59),0))</f>
        <v>Kristoffer Ajer</v>
      </c>
      <c r="D59" s="9" t="str">
        <f>INDEX(Player_Analysis!$D$2:$D$700,MATCH(C59,Player_Analysis!$A$2:$A$700,0))</f>
        <v>BRE</v>
      </c>
      <c r="E59">
        <f>INDEX(Player_Analysis!$E$2:$E$700,MATCH(C59,Player_Analysis!$A$2:$A$700,0))</f>
        <v>4.5</v>
      </c>
      <c r="F59" s="2">
        <f>INDEX(Player_Analysis!$BA$2:$BA$700,MATCH(C59,Player_Analysis!$A$2:$A$700,0))</f>
        <v>6.078783028746102</v>
      </c>
      <c r="G59">
        <v>0</v>
      </c>
      <c r="H59" s="2">
        <f>INDEX(Player_Analysis!$AT$2:$AT$700,MATCH(C59,Player_Analysis!$A$2:$A$700,0))</f>
        <v>6.078783028746102</v>
      </c>
      <c r="I59" t="str">
        <f>IF(G59=1,COUNTIF($G$9:G59,1),"")</f>
        <v/>
      </c>
      <c r="J59">
        <f>IFERROR(INDEX(Player_Analysis!$H$2:$H$596,MATCH($C59,Player_Analysis!$A$2:$A$596,0)),0)</f>
        <v>1</v>
      </c>
    </row>
    <row r="60" spans="1:10" x14ac:dyDescent="0.25">
      <c r="A60" s="9" t="s">
        <v>1189</v>
      </c>
      <c r="B60">
        <v>22</v>
      </c>
      <c r="C60" s="11" t="str">
        <f t="array" ref="C60">INDEX(Player_Analysis!$A$2:$A$700,MATCH(1,(Player_Analysis!$B$2:$B$700=A60)*(Player_Analysis!$BB$2:$BB$700=B60),0))</f>
        <v>Nikola Milenković</v>
      </c>
      <c r="D60" s="9" t="str">
        <f>INDEX(Player_Analysis!$D$2:$D$700,MATCH(C60,Player_Analysis!$A$2:$A$700,0))</f>
        <v>NFO</v>
      </c>
      <c r="E60">
        <f>INDEX(Player_Analysis!$E$2:$E$700,MATCH(C60,Player_Analysis!$A$2:$A$700,0))</f>
        <v>5.5</v>
      </c>
      <c r="F60" s="2">
        <f>INDEX(Player_Analysis!$BA$2:$BA$700,MATCH(C60,Player_Analysis!$A$2:$A$700,0))</f>
        <v>6.0198544400131837</v>
      </c>
      <c r="G60">
        <v>0</v>
      </c>
      <c r="H60" s="2">
        <f>INDEX(Player_Analysis!$AT$2:$AT$700,MATCH(C60,Player_Analysis!$A$2:$A$700,0))</f>
        <v>6.0198544400131837</v>
      </c>
      <c r="I60" t="str">
        <f>IF(G60=1,COUNTIF($G$9:G60,1),"")</f>
        <v/>
      </c>
      <c r="J60">
        <f>IFERROR(INDEX(Player_Analysis!$H$2:$H$596,MATCH($C60,Player_Analysis!$A$2:$A$596,0)),0)</f>
        <v>1</v>
      </c>
    </row>
    <row r="61" spans="1:10" x14ac:dyDescent="0.25">
      <c r="A61" s="9" t="s">
        <v>1189</v>
      </c>
      <c r="B61">
        <v>23</v>
      </c>
      <c r="C61" s="11" t="str">
        <f t="array" ref="C61">INDEX(Player_Analysis!$A$2:$A$700,MATCH(1,(Player_Analysis!$B$2:$B$700=A61)*(Player_Analysis!$BB$2:$BB$700=B61),0))</f>
        <v>James Tarkowski</v>
      </c>
      <c r="D61" s="9" t="str">
        <f>INDEX(Player_Analysis!$D$2:$D$700,MATCH(C61,Player_Analysis!$A$2:$A$700,0))</f>
        <v>EVE</v>
      </c>
      <c r="E61">
        <f>INDEX(Player_Analysis!$E$2:$E$700,MATCH(C61,Player_Analysis!$A$2:$A$700,0))</f>
        <v>6</v>
      </c>
      <c r="F61" s="2">
        <f>INDEX(Player_Analysis!$BA$2:$BA$700,MATCH(C61,Player_Analysis!$A$2:$A$700,0))</f>
        <v>5.9085912610119102</v>
      </c>
      <c r="G61">
        <v>0</v>
      </c>
      <c r="H61" s="2">
        <f>INDEX(Player_Analysis!$AT$2:$AT$700,MATCH(C61,Player_Analysis!$A$2:$A$700,0))</f>
        <v>5.9085912610119102</v>
      </c>
      <c r="I61" t="str">
        <f>IF(G61=1,COUNTIF($G$9:G61,1),"")</f>
        <v/>
      </c>
      <c r="J61">
        <f>IFERROR(INDEX(Player_Analysis!$H$2:$H$596,MATCH($C61,Player_Analysis!$A$2:$A$596,0)),0)</f>
        <v>1</v>
      </c>
    </row>
    <row r="62" spans="1:10" x14ac:dyDescent="0.25">
      <c r="A62" s="9" t="s">
        <v>1189</v>
      </c>
      <c r="B62">
        <v>24</v>
      </c>
      <c r="C62" s="11" t="str">
        <f t="array" ref="C62">INDEX(Player_Analysis!$A$2:$A$700,MATCH(1,(Player_Analysis!$B$2:$B$700=A62)*(Player_Analysis!$BB$2:$BB$700=B62),0))</f>
        <v>Tyrone Mings</v>
      </c>
      <c r="D62" s="9" t="str">
        <f>INDEX(Player_Analysis!$D$2:$D$700,MATCH(C62,Player_Analysis!$A$2:$A$700,0))</f>
        <v>AVL</v>
      </c>
      <c r="E62">
        <f>INDEX(Player_Analysis!$E$2:$E$700,MATCH(C62,Player_Analysis!$A$2:$A$700,0))</f>
        <v>4.5</v>
      </c>
      <c r="F62" s="2">
        <f>INDEX(Player_Analysis!$BA$2:$BA$700,MATCH(C62,Player_Analysis!$A$2:$A$700,0))</f>
        <v>5.9014544946174148</v>
      </c>
      <c r="G62">
        <v>0</v>
      </c>
      <c r="H62" s="2">
        <f>INDEX(Player_Analysis!$AT$2:$AT$700,MATCH(C62,Player_Analysis!$A$2:$A$700,0))</f>
        <v>5.9014544946174148</v>
      </c>
      <c r="I62" t="str">
        <f>IF(G62=1,COUNTIF($G$9:G62,1),"")</f>
        <v/>
      </c>
      <c r="J62">
        <f>IFERROR(INDEX(Player_Analysis!$H$2:$H$596,MATCH($C62,Player_Analysis!$A$2:$A$596,0)),0)</f>
        <v>1</v>
      </c>
    </row>
    <row r="63" spans="1:10" x14ac:dyDescent="0.25">
      <c r="A63" s="9" t="s">
        <v>1189</v>
      </c>
      <c r="B63">
        <v>25</v>
      </c>
      <c r="C63" s="11" t="str">
        <f t="array" ref="C63">INDEX(Player_Analysis!$A$2:$A$700,MATCH(1,(Player_Analysis!$B$2:$B$700=A63)*(Player_Analysis!$BB$2:$BB$700=B63),0))</f>
        <v>Jarrad Branthwaite</v>
      </c>
      <c r="D63" s="9" t="str">
        <f>INDEX(Player_Analysis!$D$2:$D$700,MATCH(C63,Player_Analysis!$A$2:$A$700,0))</f>
        <v>EVE</v>
      </c>
      <c r="E63">
        <f>INDEX(Player_Analysis!$E$2:$E$700,MATCH(C63,Player_Analysis!$A$2:$A$700,0))</f>
        <v>5.5</v>
      </c>
      <c r="F63" s="2">
        <f>INDEX(Player_Analysis!$BA$2:$BA$700,MATCH(C63,Player_Analysis!$A$2:$A$700,0))</f>
        <v>5.8842375716843049</v>
      </c>
      <c r="G63">
        <v>0</v>
      </c>
      <c r="H63" s="2">
        <f>INDEX(Player_Analysis!$AT$2:$AT$700,MATCH(C63,Player_Analysis!$A$2:$A$700,0))</f>
        <v>5.8842375716843049</v>
      </c>
      <c r="I63" t="str">
        <f>IF(G63=1,COUNTIF($G$9:G63,1),"")</f>
        <v/>
      </c>
      <c r="J63">
        <f>IFERROR(INDEX(Player_Analysis!$H$2:$H$596,MATCH($C63,Player_Analysis!$A$2:$A$596,0)),0)</f>
        <v>1</v>
      </c>
    </row>
    <row r="64" spans="1:10" x14ac:dyDescent="0.25">
      <c r="A64" s="9" t="s">
        <v>1189</v>
      </c>
      <c r="B64">
        <v>26</v>
      </c>
      <c r="C64" s="11" t="str">
        <f t="array" ref="C64">INDEX(Player_Analysis!$A$2:$A$700,MATCH(1,(Player_Analysis!$B$2:$B$700=A64)*(Player_Analysis!$BB$2:$BB$700=B64),0))</f>
        <v>Neco Williams</v>
      </c>
      <c r="D64" s="9" t="str">
        <f>INDEX(Player_Analysis!$D$2:$D$700,MATCH(C64,Player_Analysis!$A$2:$A$700,0))</f>
        <v>NFO</v>
      </c>
      <c r="E64">
        <f>INDEX(Player_Analysis!$E$2:$E$700,MATCH(C64,Player_Analysis!$A$2:$A$700,0))</f>
        <v>5</v>
      </c>
      <c r="F64" s="2">
        <f>INDEX(Player_Analysis!$BA$2:$BA$700,MATCH(C64,Player_Analysis!$A$2:$A$700,0))</f>
        <v>5.7454410112828729</v>
      </c>
      <c r="G64">
        <v>0</v>
      </c>
      <c r="H64" s="2">
        <f>INDEX(Player_Analysis!$AT$2:$AT$700,MATCH(C64,Player_Analysis!$A$2:$A$700,0))</f>
        <v>5.7454410112828729</v>
      </c>
      <c r="I64" t="str">
        <f>IF(G64=1,COUNTIF($G$9:G64,1),"")</f>
        <v/>
      </c>
      <c r="J64">
        <f>IFERROR(INDEX(Player_Analysis!$H$2:$H$596,MATCH($C64,Player_Analysis!$A$2:$A$596,0)),0)</f>
        <v>1</v>
      </c>
    </row>
    <row r="65" spans="1:10" x14ac:dyDescent="0.25">
      <c r="A65" s="9" t="s">
        <v>1189</v>
      </c>
      <c r="B65">
        <v>27</v>
      </c>
      <c r="C65" s="11" t="str">
        <f t="array" ref="C65">INDEX(Player_Analysis!$A$2:$A$700,MATCH(1,(Player_Analysis!$B$2:$B$700=A65)*(Player_Analysis!$BB$2:$BB$700=B65),0))</f>
        <v>Jair Paula da Cunha Filho</v>
      </c>
      <c r="D65" s="9" t="str">
        <f>INDEX(Player_Analysis!$D$2:$D$700,MATCH(C65,Player_Analysis!$A$2:$A$700,0))</f>
        <v>NFO</v>
      </c>
      <c r="E65">
        <f>INDEX(Player_Analysis!$E$2:$E$700,MATCH(C65,Player_Analysis!$A$2:$A$700,0))</f>
        <v>4.5</v>
      </c>
      <c r="F65" s="2">
        <f>INDEX(Player_Analysis!$BA$2:$BA$700,MATCH(C65,Player_Analysis!$A$2:$A$700,0))</f>
        <v>5.5896251317361152</v>
      </c>
      <c r="G65">
        <v>0</v>
      </c>
      <c r="H65" s="2">
        <f>INDEX(Player_Analysis!$AT$2:$AT$700,MATCH(C65,Player_Analysis!$A$2:$A$700,0))</f>
        <v>5.5896251317361152</v>
      </c>
      <c r="I65" t="str">
        <f>IF(G65=1,COUNTIF($G$9:G65,1),"")</f>
        <v/>
      </c>
      <c r="J65">
        <f>IFERROR(INDEX(Player_Analysis!$H$2:$H$596,MATCH($C65,Player_Analysis!$A$2:$A$596,0)),0)</f>
        <v>1</v>
      </c>
    </row>
    <row r="66" spans="1:10" x14ac:dyDescent="0.25">
      <c r="A66" s="9" t="s">
        <v>1189</v>
      </c>
      <c r="B66">
        <v>28</v>
      </c>
      <c r="C66" s="11" t="str">
        <f t="array" ref="C66">INDEX(Player_Analysis!$A$2:$A$700,MATCH(1,(Player_Analysis!$B$2:$B$700=A66)*(Player_Analysis!$BB$2:$BB$700=B66),0))</f>
        <v>Mats Wieffer</v>
      </c>
      <c r="D66" s="9" t="str">
        <f>INDEX(Player_Analysis!$D$2:$D$700,MATCH(C66,Player_Analysis!$A$2:$A$700,0))</f>
        <v>BHA</v>
      </c>
      <c r="E66">
        <f>INDEX(Player_Analysis!$E$2:$E$700,MATCH(C66,Player_Analysis!$A$2:$A$700,0))</f>
        <v>5</v>
      </c>
      <c r="F66" s="2">
        <f>INDEX(Player_Analysis!$BA$2:$BA$700,MATCH(C66,Player_Analysis!$A$2:$A$700,0))</f>
        <v>5.5852100652813172</v>
      </c>
      <c r="G66">
        <v>0</v>
      </c>
      <c r="H66" s="2">
        <f>INDEX(Player_Analysis!$AT$2:$AT$700,MATCH(C66,Player_Analysis!$A$2:$A$700,0))</f>
        <v>5.5852100652813172</v>
      </c>
      <c r="I66" t="str">
        <f>IF(G66=1,COUNTIF($G$9:G66,1),"")</f>
        <v/>
      </c>
      <c r="J66">
        <f>IFERROR(INDEX(Player_Analysis!$H$2:$H$596,MATCH($C66,Player_Analysis!$A$2:$A$596,0)),0)</f>
        <v>0</v>
      </c>
    </row>
    <row r="67" spans="1:10" x14ac:dyDescent="0.25">
      <c r="A67" s="9" t="s">
        <v>1189</v>
      </c>
      <c r="B67">
        <v>29</v>
      </c>
      <c r="C67" s="11" t="str">
        <f t="array" ref="C67">INDEX(Player_Analysis!$A$2:$A$700,MATCH(1,(Player_Analysis!$B$2:$B$700=A67)*(Player_Analysis!$BB$2:$BB$700=B67),0))</f>
        <v>Rúben dos Santos Gato Alves Dias</v>
      </c>
      <c r="D67" s="9" t="str">
        <f>INDEX(Player_Analysis!$D$2:$D$700,MATCH(C67,Player_Analysis!$A$2:$A$700,0))</f>
        <v>MCI</v>
      </c>
      <c r="E67">
        <f>INDEX(Player_Analysis!$E$2:$E$700,MATCH(C67,Player_Analysis!$A$2:$A$700,0))</f>
        <v>5.5</v>
      </c>
      <c r="F67" s="2">
        <f>INDEX(Player_Analysis!$BA$2:$BA$700,MATCH(C67,Player_Analysis!$A$2:$A$700,0))</f>
        <v>5.4997383187858455</v>
      </c>
      <c r="G67">
        <v>0</v>
      </c>
      <c r="H67" s="2">
        <f>INDEX(Player_Analysis!$AT$2:$AT$700,MATCH(C67,Player_Analysis!$A$2:$A$700,0))</f>
        <v>5.4997383187858455</v>
      </c>
      <c r="I67" t="str">
        <f>IF(G67=1,COUNTIF($G$9:G67,1),"")</f>
        <v/>
      </c>
      <c r="J67">
        <f>IFERROR(INDEX(Player_Analysis!$H$2:$H$596,MATCH($C67,Player_Analysis!$A$2:$A$596,0)),0)</f>
        <v>1</v>
      </c>
    </row>
    <row r="68" spans="1:10" x14ac:dyDescent="0.25">
      <c r="A68" s="9" t="s">
        <v>1189</v>
      </c>
      <c r="B68">
        <v>30</v>
      </c>
      <c r="C68" s="11" t="str">
        <f t="array" ref="C68">INDEX(Player_Analysis!$A$2:$A$700,MATCH(1,(Player_Analysis!$B$2:$B$700=A68)*(Player_Analysis!$BB$2:$BB$700=B68),0))</f>
        <v>Joško Gvardiol</v>
      </c>
      <c r="D68" s="9" t="str">
        <f>INDEX(Player_Analysis!$D$2:$D$700,MATCH(C68,Player_Analysis!$A$2:$A$700,0))</f>
        <v>MCI</v>
      </c>
      <c r="E68">
        <f>INDEX(Player_Analysis!$E$2:$E$700,MATCH(C68,Player_Analysis!$A$2:$A$700,0))</f>
        <v>5.6</v>
      </c>
      <c r="F68" s="2">
        <f>INDEX(Player_Analysis!$BA$2:$BA$700,MATCH(C68,Player_Analysis!$A$2:$A$700,0))</f>
        <v>5.4627788012035801</v>
      </c>
      <c r="G68">
        <v>0</v>
      </c>
      <c r="H68" s="2">
        <f>INDEX(Player_Analysis!$AT$2:$AT$700,MATCH(C68,Player_Analysis!$A$2:$A$700,0))</f>
        <v>5.4627788012035801</v>
      </c>
      <c r="I68" t="str">
        <f>IF(G68=1,COUNTIF($G$9:G68,1),"")</f>
        <v/>
      </c>
      <c r="J68">
        <f>IFERROR(INDEX(Player_Analysis!$H$2:$H$596,MATCH($C68,Player_Analysis!$A$2:$A$596,0)),0)</f>
        <v>1</v>
      </c>
    </row>
    <row r="69" spans="1:10" x14ac:dyDescent="0.25">
      <c r="A69" s="9" t="s">
        <v>1189</v>
      </c>
      <c r="B69">
        <v>31</v>
      </c>
      <c r="C69" s="11" t="str">
        <f t="array" ref="C69">INDEX(Player_Analysis!$A$2:$A$700,MATCH(1,(Player_Analysis!$B$2:$B$700=A69)*(Player_Analysis!$BB$2:$BB$700=B69),0))</f>
        <v>Ola Aina</v>
      </c>
      <c r="D69" s="9" t="str">
        <f>INDEX(Player_Analysis!$D$2:$D$700,MATCH(C69,Player_Analysis!$A$2:$A$700,0))</f>
        <v>NFO</v>
      </c>
      <c r="E69">
        <f>INDEX(Player_Analysis!$E$2:$E$700,MATCH(C69,Player_Analysis!$A$2:$A$700,0))</f>
        <v>4.5</v>
      </c>
      <c r="F69" s="2">
        <f>INDEX(Player_Analysis!$BA$2:$BA$700,MATCH(C69,Player_Analysis!$A$2:$A$700,0))</f>
        <v>5.3892407647133425</v>
      </c>
      <c r="G69">
        <v>0</v>
      </c>
      <c r="H69" s="2">
        <f>INDEX(Player_Analysis!$AT$2:$AT$700,MATCH(C69,Player_Analysis!$A$2:$A$700,0))</f>
        <v>5.3892407647133425</v>
      </c>
      <c r="J69">
        <f>IFERROR(INDEX(Player_Analysis!$H$2:$H$596,MATCH($C69,Player_Analysis!$A$2:$A$596,0)),0)</f>
        <v>1</v>
      </c>
    </row>
    <row r="70" spans="1:10" x14ac:dyDescent="0.25">
      <c r="A70" s="9" t="s">
        <v>1189</v>
      </c>
      <c r="B70">
        <v>32</v>
      </c>
      <c r="C70" s="11" t="str">
        <f t="array" ref="C70">INDEX(Player_Analysis!$A$2:$A$700,MATCH(1,(Player_Analysis!$B$2:$B$700=A70)*(Player_Analysis!$BB$2:$BB$700=B70),0))</f>
        <v>Sven Botman</v>
      </c>
      <c r="D70" s="9" t="str">
        <f>INDEX(Player_Analysis!$D$2:$D$700,MATCH(C70,Player_Analysis!$A$2:$A$700,0))</f>
        <v>NEW</v>
      </c>
      <c r="E70">
        <f>INDEX(Player_Analysis!$E$2:$E$700,MATCH(C70,Player_Analysis!$A$2:$A$700,0))</f>
        <v>5</v>
      </c>
      <c r="F70" s="2">
        <f>INDEX(Player_Analysis!$BA$2:$BA$700,MATCH(C70,Player_Analysis!$A$2:$A$700,0))</f>
        <v>5.3424078211995214</v>
      </c>
      <c r="G70">
        <v>0</v>
      </c>
      <c r="H70" s="2">
        <f>INDEX(Player_Analysis!$AT$2:$AT$700,MATCH(C70,Player_Analysis!$A$2:$A$700,0))</f>
        <v>5.3424078211995214</v>
      </c>
      <c r="J70">
        <f>IFERROR(INDEX(Player_Analysis!$H$2:$H$596,MATCH($C70,Player_Analysis!$A$2:$A$596,0)),0)</f>
        <v>1</v>
      </c>
    </row>
    <row r="71" spans="1:10" x14ac:dyDescent="0.25">
      <c r="A71" s="9" t="s">
        <v>1189</v>
      </c>
      <c r="B71">
        <v>33</v>
      </c>
      <c r="C71" s="11" t="str">
        <f t="array" ref="C71">INDEX(Player_Analysis!$A$2:$A$700,MATCH(1,(Player_Analysis!$B$2:$B$700=A71)*(Player_Analysis!$BB$2:$BB$700=B71),0))</f>
        <v>Ronald Araujo</v>
      </c>
      <c r="D71" s="9" t="str">
        <f>INDEX(Player_Analysis!$D$2:$D$700,MATCH(C71,Player_Analysis!$A$2:$A$700,0))</f>
        <v>LIV</v>
      </c>
      <c r="E71">
        <f>INDEX(Player_Analysis!$E$2:$E$700,MATCH(C71,Player_Analysis!$A$2:$A$700,0))</f>
        <v>5.4</v>
      </c>
      <c r="F71" s="2">
        <f>INDEX(Player_Analysis!$BA$2:$BA$700,MATCH(C71,Player_Analysis!$A$2:$A$700,0))</f>
        <v>5.2253362745688756</v>
      </c>
      <c r="G71">
        <v>0</v>
      </c>
      <c r="H71" s="2">
        <f>INDEX(Player_Analysis!$AT$2:$AT$700,MATCH(C71,Player_Analysis!$A$2:$A$700,0))</f>
        <v>5.2253362745688756</v>
      </c>
      <c r="J71">
        <f>IFERROR(INDEX(Player_Analysis!$H$2:$H$596,MATCH($C71,Player_Analysis!$A$2:$A$596,0)),0)</f>
        <v>1</v>
      </c>
    </row>
    <row r="72" spans="1:10" x14ac:dyDescent="0.25">
      <c r="A72" s="9" t="s">
        <v>1189</v>
      </c>
      <c r="B72">
        <v>34</v>
      </c>
      <c r="C72" s="11" t="str">
        <f t="array" ref="C72">INDEX(Player_Analysis!$A$2:$A$700,MATCH(1,(Player_Analysis!$B$2:$B$700=A72)*(Player_Analysis!$BB$2:$BB$700=B72),0))</f>
        <v>Bobby Thomas</v>
      </c>
      <c r="D72" s="9" t="str">
        <f>INDEX(Player_Analysis!$D$2:$D$700,MATCH(C72,Player_Analysis!$A$2:$A$700,0))</f>
        <v>COV</v>
      </c>
      <c r="E72">
        <f>INDEX(Player_Analysis!$E$2:$E$700,MATCH(C72,Player_Analysis!$A$2:$A$700,0))</f>
        <v>4</v>
      </c>
      <c r="F72" s="2">
        <f>INDEX(Player_Analysis!$BA$2:$BA$700,MATCH(C72,Player_Analysis!$A$2:$A$700,0))</f>
        <v>5.1406448362476382</v>
      </c>
      <c r="G72">
        <v>0</v>
      </c>
      <c r="H72" s="2">
        <f>INDEX(Player_Analysis!$AT$2:$AT$700,MATCH(C72,Player_Analysis!$A$2:$A$700,0))</f>
        <v>5.1406448362476382</v>
      </c>
      <c r="J72">
        <f>IFERROR(INDEX(Player_Analysis!$H$2:$H$596,MATCH($C72,Player_Analysis!$A$2:$A$596,0)),0)</f>
        <v>1</v>
      </c>
    </row>
    <row r="73" spans="1:10" x14ac:dyDescent="0.25">
      <c r="A73" s="9" t="s">
        <v>1189</v>
      </c>
      <c r="B73">
        <v>35</v>
      </c>
      <c r="C73" s="11" t="str">
        <f t="array" ref="C73">INDEX(Player_Analysis!$A$2:$A$700,MATCH(1,(Player_Analysis!$B$2:$B$700=A73)*(Player_Analysis!$BB$2:$BB$700=B73),0))</f>
        <v>Amar Dedic</v>
      </c>
      <c r="D73" s="9" t="str">
        <f>INDEX(Player_Analysis!$D$2:$D$700,MATCH(C73,Player_Analysis!$A$2:$A$700,0))</f>
        <v>NEW</v>
      </c>
      <c r="E73">
        <f>INDEX(Player_Analysis!$E$2:$E$700,MATCH(C73,Player_Analysis!$A$2:$A$700,0))</f>
        <v>4.5</v>
      </c>
      <c r="F73" s="2">
        <f>INDEX(Player_Analysis!$BA$2:$BA$700,MATCH(C73,Player_Analysis!$A$2:$A$700,0))</f>
        <v>5.0134709519436784</v>
      </c>
      <c r="G73">
        <v>0</v>
      </c>
      <c r="H73" s="2">
        <f>INDEX(Player_Analysis!$AT$2:$AT$700,MATCH(C73,Player_Analysis!$A$2:$A$700,0))</f>
        <v>5.0134709519436784</v>
      </c>
      <c r="J73">
        <f>IFERROR(INDEX(Player_Analysis!$H$2:$H$596,MATCH($C73,Player_Analysis!$A$2:$A$596,0)),0)</f>
        <v>1</v>
      </c>
    </row>
    <row r="74" spans="1:10" x14ac:dyDescent="0.25">
      <c r="A74" s="9" t="s">
        <v>1189</v>
      </c>
      <c r="B74">
        <v>36</v>
      </c>
      <c r="C74" s="11" t="str">
        <f t="array" ref="C74">INDEX(Player_Analysis!$A$2:$A$700,MATCH(1,(Player_Analysis!$B$2:$B$700=A74)*(Player_Analysis!$BB$2:$BB$700=B74),0))</f>
        <v>Malick Thiaw</v>
      </c>
      <c r="D74" s="9" t="str">
        <f>INDEX(Player_Analysis!$D$2:$D$700,MATCH(C74,Player_Analysis!$A$2:$A$700,0))</f>
        <v>NEW</v>
      </c>
      <c r="E74">
        <f>INDEX(Player_Analysis!$E$2:$E$700,MATCH(C74,Player_Analysis!$A$2:$A$700,0))</f>
        <v>5</v>
      </c>
      <c r="F74" s="2">
        <f>INDEX(Player_Analysis!$BA$2:$BA$700,MATCH(C74,Player_Analysis!$A$2:$A$700,0))</f>
        <v>5.0125538155194542</v>
      </c>
      <c r="G74">
        <v>0</v>
      </c>
      <c r="H74" s="2">
        <f>INDEX(Player_Analysis!$AT$2:$AT$700,MATCH(C74,Player_Analysis!$A$2:$A$700,0))</f>
        <v>5.0125538155194542</v>
      </c>
      <c r="J74">
        <f>IFERROR(INDEX(Player_Analysis!$H$2:$H$596,MATCH($C74,Player_Analysis!$A$2:$A$596,0)),0)</f>
        <v>1</v>
      </c>
    </row>
    <row r="75" spans="1:10" x14ac:dyDescent="0.25">
      <c r="A75" s="9" t="s">
        <v>1189</v>
      </c>
      <c r="B75">
        <v>37</v>
      </c>
      <c r="C75" s="11" t="str">
        <f t="array" ref="C75">INDEX(Player_Analysis!$A$2:$A$700,MATCH(1,(Player_Analysis!$B$2:$B$700=A75)*(Player_Analysis!$BB$2:$BB$700=B75),0))</f>
        <v>Vitalii Mykolenko</v>
      </c>
      <c r="D75" s="9" t="str">
        <f>INDEX(Player_Analysis!$D$2:$D$700,MATCH(C75,Player_Analysis!$A$2:$A$700,0))</f>
        <v>EVE</v>
      </c>
      <c r="E75">
        <f>INDEX(Player_Analysis!$E$2:$E$700,MATCH(C75,Player_Analysis!$A$2:$A$700,0))</f>
        <v>4.5</v>
      </c>
      <c r="F75" s="2">
        <f>INDEX(Player_Analysis!$BA$2:$BA$700,MATCH(C75,Player_Analysis!$A$2:$A$700,0))</f>
        <v>4.9176890049489117</v>
      </c>
      <c r="G75">
        <v>0</v>
      </c>
      <c r="H75" s="2">
        <f>INDEX(Player_Analysis!$AT$2:$AT$700,MATCH(C75,Player_Analysis!$A$2:$A$700,0))</f>
        <v>4.9176890049489117</v>
      </c>
      <c r="J75">
        <f>IFERROR(INDEX(Player_Analysis!$H$2:$H$596,MATCH($C75,Player_Analysis!$A$2:$A$596,0)),0)</f>
        <v>1</v>
      </c>
    </row>
    <row r="76" spans="1:10" x14ac:dyDescent="0.25">
      <c r="A76" s="9" t="s">
        <v>1189</v>
      </c>
      <c r="B76">
        <v>38</v>
      </c>
      <c r="C76" s="11" t="str">
        <f t="array" ref="C76">INDEX(Player_Analysis!$A$2:$A$700,MATCH(1,(Player_Analysis!$B$2:$B$700=A76)*(Player_Analysis!$BB$2:$BB$700=B76),0))</f>
        <v>Ian Maatsen</v>
      </c>
      <c r="D76" s="9" t="str">
        <f>INDEX(Player_Analysis!$D$2:$D$700,MATCH(C76,Player_Analysis!$A$2:$A$700,0))</f>
        <v>AVL</v>
      </c>
      <c r="E76">
        <f>INDEX(Player_Analysis!$E$2:$E$700,MATCH(C76,Player_Analysis!$A$2:$A$700,0))</f>
        <v>4.5</v>
      </c>
      <c r="F76" s="2">
        <f>INDEX(Player_Analysis!$BA$2:$BA$700,MATCH(C76,Player_Analysis!$A$2:$A$700,0))</f>
        <v>4.8789819283289786</v>
      </c>
      <c r="G76">
        <v>0</v>
      </c>
      <c r="H76" s="2">
        <f>INDEX(Player_Analysis!$AT$2:$AT$700,MATCH(C76,Player_Analysis!$A$2:$A$700,0))</f>
        <v>4.8789819283289786</v>
      </c>
      <c r="J76">
        <f>IFERROR(INDEX(Player_Analysis!$H$2:$H$596,MATCH($C76,Player_Analysis!$A$2:$A$596,0)),0)</f>
        <v>1</v>
      </c>
    </row>
    <row r="77" spans="1:10" x14ac:dyDescent="0.25">
      <c r="A77" s="9" t="s">
        <v>1189</v>
      </c>
      <c r="B77">
        <v>39</v>
      </c>
      <c r="C77" s="11" t="str">
        <f t="array" ref="C77">INDEX(Player_Analysis!$A$2:$A$700,MATCH(1,(Player_Analysis!$B$2:$B$700=A77)*(Player_Analysis!$BB$2:$BB$700=B77),0))</f>
        <v>Pedro Porro Sauceda</v>
      </c>
      <c r="D77" s="9" t="str">
        <f>INDEX(Player_Analysis!$D$2:$D$700,MATCH(C77,Player_Analysis!$A$2:$A$700,0))</f>
        <v>TOT</v>
      </c>
      <c r="E77">
        <f>INDEX(Player_Analysis!$E$2:$E$700,MATCH(C77,Player_Analysis!$A$2:$A$700,0))</f>
        <v>5.5</v>
      </c>
      <c r="F77" s="2">
        <f>INDEX(Player_Analysis!$BA$2:$BA$700,MATCH(C77,Player_Analysis!$A$2:$A$700,0))</f>
        <v>4.8752311687284582</v>
      </c>
      <c r="G77">
        <v>0</v>
      </c>
      <c r="H77" s="2">
        <f>INDEX(Player_Analysis!$AT$2:$AT$700,MATCH(C77,Player_Analysis!$A$2:$A$700,0))</f>
        <v>4.8752311687284582</v>
      </c>
      <c r="J77">
        <f>IFERROR(INDEX(Player_Analysis!$H$2:$H$596,MATCH($C77,Player_Analysis!$A$2:$A$596,0)),0)</f>
        <v>1</v>
      </c>
    </row>
    <row r="78" spans="1:10" x14ac:dyDescent="0.25">
      <c r="A78" s="9" t="s">
        <v>1189</v>
      </c>
      <c r="B78">
        <v>40</v>
      </c>
      <c r="C78" s="11" t="str">
        <f t="array" ref="C78">INDEX(Player_Analysis!$A$2:$A$700,MATCH(1,(Player_Analysis!$B$2:$B$700=A78)*(Player_Analysis!$BB$2:$BB$700=B78),0))</f>
        <v>Abdukodir Khusanov</v>
      </c>
      <c r="D78" s="9" t="str">
        <f>INDEX(Player_Analysis!$D$2:$D$700,MATCH(C78,Player_Analysis!$A$2:$A$700,0))</f>
        <v>MCI</v>
      </c>
      <c r="E78">
        <f>INDEX(Player_Analysis!$E$2:$E$700,MATCH(C78,Player_Analysis!$A$2:$A$700,0))</f>
        <v>5.5</v>
      </c>
      <c r="F78" s="2">
        <f>INDEX(Player_Analysis!$BA$2:$BA$700,MATCH(C78,Player_Analysis!$A$2:$A$700,0))</f>
        <v>4.796366587734636</v>
      </c>
      <c r="G78">
        <v>0</v>
      </c>
      <c r="H78" s="2">
        <f>INDEX(Player_Analysis!$AT$2:$AT$700,MATCH(C78,Player_Analysis!$A$2:$A$700,0))</f>
        <v>4.796366587734636</v>
      </c>
      <c r="J78">
        <f>IFERROR(INDEX(Player_Analysis!$H$2:$H$596,MATCH($C78,Player_Analysis!$A$2:$A$596,0)),0)</f>
        <v>1</v>
      </c>
    </row>
    <row r="79" spans="1:10" x14ac:dyDescent="0.25">
      <c r="A79" s="9" t="s">
        <v>1189</v>
      </c>
      <c r="B79">
        <v>41</v>
      </c>
      <c r="C79" s="11" t="str">
        <f t="array" ref="C79">INDEX(Player_Analysis!$A$2:$A$700,MATCH(1,(Player_Analysis!$B$2:$B$700=A79)*(Player_Analysis!$BB$2:$BB$700=B79),0))</f>
        <v>Virgil van Dijk</v>
      </c>
      <c r="D79" s="9" t="str">
        <f>INDEX(Player_Analysis!$D$2:$D$700,MATCH(C79,Player_Analysis!$A$2:$A$700,0))</f>
        <v>LIV</v>
      </c>
      <c r="E79">
        <f>INDEX(Player_Analysis!$E$2:$E$700,MATCH(C79,Player_Analysis!$A$2:$A$700,0))</f>
        <v>6.5</v>
      </c>
      <c r="F79" s="2">
        <f>INDEX(Player_Analysis!$BA$2:$BA$700,MATCH(C79,Player_Analysis!$A$2:$A$700,0))</f>
        <v>4.7302874727323356</v>
      </c>
      <c r="G79">
        <v>0</v>
      </c>
      <c r="H79" s="2">
        <f>INDEX(Player_Analysis!$AT$2:$AT$700,MATCH(C79,Player_Analysis!$A$2:$A$700,0))</f>
        <v>4.7302874727323356</v>
      </c>
      <c r="J79">
        <f>IFERROR(INDEX(Player_Analysis!$H$2:$H$596,MATCH($C79,Player_Analysis!$A$2:$A$596,0)),0)</f>
        <v>1</v>
      </c>
    </row>
    <row r="80" spans="1:10" x14ac:dyDescent="0.25">
      <c r="A80" s="9" t="s">
        <v>1189</v>
      </c>
      <c r="B80">
        <v>42</v>
      </c>
      <c r="C80" s="11" t="str">
        <f t="array" ref="C80">INDEX(Player_Analysis!$A$2:$A$700,MATCH(1,(Player_Analysis!$B$2:$B$700=A80)*(Player_Analysis!$BB$2:$BB$700=B80),0))</f>
        <v>Marcos Senesi Barón</v>
      </c>
      <c r="D80" s="9" t="str">
        <f>INDEX(Player_Analysis!$D$2:$D$700,MATCH(C80,Player_Analysis!$A$2:$A$700,0))</f>
        <v>TOT</v>
      </c>
      <c r="E80">
        <f>INDEX(Player_Analysis!$E$2:$E$700,MATCH(C80,Player_Analysis!$A$2:$A$700,0))</f>
        <v>5.9</v>
      </c>
      <c r="F80" s="2">
        <f>INDEX(Player_Analysis!$BA$2:$BA$700,MATCH(C80,Player_Analysis!$A$2:$A$700,0))</f>
        <v>4.7029776440792741</v>
      </c>
      <c r="G80">
        <v>0</v>
      </c>
      <c r="H80" s="2">
        <f>INDEX(Player_Analysis!$AT$2:$AT$700,MATCH(C80,Player_Analysis!$A$2:$A$700,0))</f>
        <v>4.7029776440792741</v>
      </c>
      <c r="J80">
        <f>IFERROR(INDEX(Player_Analysis!$H$2:$H$596,MATCH($C80,Player_Analysis!$A$2:$A$596,0)),0)</f>
        <v>1</v>
      </c>
    </row>
    <row r="81" spans="1:10" x14ac:dyDescent="0.25">
      <c r="A81" s="9" t="s">
        <v>1189</v>
      </c>
      <c r="B81">
        <v>43</v>
      </c>
      <c r="C81" s="11" t="str">
        <f t="array" ref="C81">INDEX(Player_Analysis!$A$2:$A$700,MATCH(1,(Player_Analysis!$B$2:$B$700=A81)*(Player_Analysis!$BB$2:$BB$700=B81),0))</f>
        <v>Luka Vušković</v>
      </c>
      <c r="D81" s="9" t="str">
        <f>INDEX(Player_Analysis!$D$2:$D$700,MATCH(C81,Player_Analysis!$A$2:$A$700,0))</f>
        <v>BHA</v>
      </c>
      <c r="E81">
        <f>INDEX(Player_Analysis!$E$2:$E$700,MATCH(C81,Player_Analysis!$A$2:$A$700,0))</f>
        <v>5</v>
      </c>
      <c r="F81" s="2">
        <f>INDEX(Player_Analysis!$BA$2:$BA$700,MATCH(C81,Player_Analysis!$A$2:$A$700,0))</f>
        <v>4.6389720308396178</v>
      </c>
      <c r="G81">
        <v>0</v>
      </c>
      <c r="H81" s="2">
        <f>INDEX(Player_Analysis!$AT$2:$AT$700,MATCH(C81,Player_Analysis!$A$2:$A$700,0))</f>
        <v>4.6389720308396178</v>
      </c>
      <c r="J81">
        <f>IFERROR(INDEX(Player_Analysis!$H$2:$H$596,MATCH($C81,Player_Analysis!$A$2:$A$596,0)),0)</f>
        <v>1</v>
      </c>
    </row>
    <row r="82" spans="1:10" x14ac:dyDescent="0.25">
      <c r="A82" s="9" t="s">
        <v>1190</v>
      </c>
      <c r="B82">
        <v>1</v>
      </c>
      <c r="C82" s="11" t="str">
        <f t="array" ref="C82">INDEX(Player_Analysis!$A$2:$A$700,MATCH(1,(Player_Analysis!$B$2:$B$700=A82)*(Player_Analysis!$BB$2:$BB$700=B82),0))</f>
        <v>Bruno Borges Fernandes</v>
      </c>
      <c r="D82" s="9" t="str">
        <f>INDEX(Player_Analysis!$D$2:$D$700,MATCH(C82,Player_Analysis!$A$2:$A$700,0))</f>
        <v>MUN</v>
      </c>
      <c r="E82">
        <f>INDEX(Player_Analysis!$E$2:$E$700,MATCH(C82,Player_Analysis!$A$2:$A$700,0))</f>
        <v>12</v>
      </c>
      <c r="F82" s="2">
        <f>INDEX(Player_Analysis!$BA$2:$BA$700,MATCH(C82,Player_Analysis!$A$2:$A$700,0))</f>
        <v>7.9365198900238525</v>
      </c>
      <c r="G82">
        <v>0</v>
      </c>
      <c r="H82" s="2">
        <f>INDEX(Player_Analysis!$AT$2:$AT$700,MATCH(C82,Player_Analysis!$A$2:$A$700,0))</f>
        <v>7.9365198900238525</v>
      </c>
      <c r="I82" t="str">
        <f>IF(G82=1,COUNTIF($G$9:G82,1),"")</f>
        <v/>
      </c>
      <c r="J82">
        <f>IFERROR(INDEX(Player_Analysis!$H$2:$H$596,MATCH($C82,Player_Analysis!$A$2:$A$596,0)),0)</f>
        <v>1</v>
      </c>
    </row>
    <row r="83" spans="1:10" x14ac:dyDescent="0.25">
      <c r="A83" s="9" t="s">
        <v>1190</v>
      </c>
      <c r="B83">
        <v>2</v>
      </c>
      <c r="C83" s="11" t="str">
        <f t="array" ref="C83">INDEX(Player_Analysis!$A$2:$A$700,MATCH(1,(Player_Analysis!$B$2:$B$700=A83)*(Player_Analysis!$BB$2:$BB$700=B83),0))</f>
        <v>Bryan Mbeumo</v>
      </c>
      <c r="D83" s="9" t="str">
        <f>INDEX(Player_Analysis!$D$2:$D$700,MATCH(C83,Player_Analysis!$A$2:$A$700,0))</f>
        <v>MUN</v>
      </c>
      <c r="E83">
        <f>INDEX(Player_Analysis!$E$2:$E$700,MATCH(C83,Player_Analysis!$A$2:$A$700,0))</f>
        <v>7.9</v>
      </c>
      <c r="F83" s="2">
        <f>INDEX(Player_Analysis!$BA$2:$BA$700,MATCH(C83,Player_Analysis!$A$2:$A$700,0))</f>
        <v>7.7877949870553209</v>
      </c>
      <c r="G83">
        <v>1</v>
      </c>
      <c r="H83" s="2">
        <f>INDEX(Player_Analysis!$AT$2:$AT$700,MATCH(C83,Player_Analysis!$A$2:$A$700,0))</f>
        <v>7.7877949870553209</v>
      </c>
      <c r="I83">
        <f>IF(G83=1,COUNTIF($G$9:G83,1),"")</f>
        <v>8</v>
      </c>
      <c r="J83">
        <f>IFERROR(INDEX(Player_Analysis!$H$2:$H$596,MATCH($C83,Player_Analysis!$A$2:$A$596,0)),0)</f>
        <v>1</v>
      </c>
    </row>
    <row r="84" spans="1:10" x14ac:dyDescent="0.25">
      <c r="A84" s="9" t="s">
        <v>1190</v>
      </c>
      <c r="B84">
        <v>3</v>
      </c>
      <c r="C84" s="11" t="str">
        <f t="array" ref="C84">INDEX(Player_Analysis!$A$2:$A$700,MATCH(1,(Player_Analysis!$B$2:$B$700=A84)*(Player_Analysis!$BB$2:$BB$700=B84),0))</f>
        <v>Jack Hinshelwood</v>
      </c>
      <c r="D84" s="9" t="str">
        <f>INDEX(Player_Analysis!$D$2:$D$700,MATCH(C84,Player_Analysis!$A$2:$A$700,0))</f>
        <v>BHA</v>
      </c>
      <c r="E84">
        <f>INDEX(Player_Analysis!$E$2:$E$700,MATCH(C84,Player_Analysis!$A$2:$A$700,0))</f>
        <v>6</v>
      </c>
      <c r="F84" s="2">
        <f>INDEX(Player_Analysis!$BA$2:$BA$700,MATCH(C84,Player_Analysis!$A$2:$A$700,0))</f>
        <v>7.7433502973512285</v>
      </c>
      <c r="G84">
        <v>0</v>
      </c>
      <c r="H84" s="2">
        <f>INDEX(Player_Analysis!$AT$2:$AT$700,MATCH(C84,Player_Analysis!$A$2:$A$700,0))</f>
        <v>7.7433502973512285</v>
      </c>
      <c r="I84" t="str">
        <f>IF(G84=1,COUNTIF($G$9:G84,1),"")</f>
        <v/>
      </c>
      <c r="J84">
        <f>IFERROR(INDEX(Player_Analysis!$H$2:$H$596,MATCH($C84,Player_Analysis!$A$2:$A$596,0)),0)</f>
        <v>0</v>
      </c>
    </row>
    <row r="85" spans="1:10" x14ac:dyDescent="0.25">
      <c r="A85" s="9" t="s">
        <v>1190</v>
      </c>
      <c r="B85">
        <v>4</v>
      </c>
      <c r="C85" s="11" t="str">
        <f t="array" ref="C85">INDEX(Player_Analysis!$A$2:$A$700,MATCH(1,(Player_Analysis!$B$2:$B$700=A85)*(Player_Analysis!$BB$2:$BB$700=B85),0))</f>
        <v>Phil Foden</v>
      </c>
      <c r="D85" s="9" t="str">
        <f>INDEX(Player_Analysis!$D$2:$D$700,MATCH(C85,Player_Analysis!$A$2:$A$700,0))</f>
        <v>MCI</v>
      </c>
      <c r="E85">
        <f>INDEX(Player_Analysis!$E$2:$E$700,MATCH(C85,Player_Analysis!$A$2:$A$700,0))</f>
        <v>7</v>
      </c>
      <c r="F85" s="2">
        <f>INDEX(Player_Analysis!$BA$2:$BA$700,MATCH(C85,Player_Analysis!$A$2:$A$700,0))</f>
        <v>7.621381930638468</v>
      </c>
      <c r="G85">
        <v>1</v>
      </c>
      <c r="H85" s="2">
        <f>INDEX(Player_Analysis!$AT$2:$AT$700,MATCH(C85,Player_Analysis!$A$2:$A$700,0))</f>
        <v>7.621381930638468</v>
      </c>
      <c r="I85">
        <f>IF(G85=1,COUNTIF($G$9:G85,1),"")</f>
        <v>9</v>
      </c>
      <c r="J85">
        <f>IFERROR(INDEX(Player_Analysis!$H$2:$H$596,MATCH($C85,Player_Analysis!$A$2:$A$596,0)),0)</f>
        <v>1</v>
      </c>
    </row>
    <row r="86" spans="1:10" x14ac:dyDescent="0.25">
      <c r="A86" s="9" t="s">
        <v>1190</v>
      </c>
      <c r="B86">
        <v>5</v>
      </c>
      <c r="C86" s="11" t="str">
        <f t="array" ref="C86">INDEX(Player_Analysis!$A$2:$A$700,MATCH(1,(Player_Analysis!$B$2:$B$700=A86)*(Player_Analysis!$BB$2:$BB$700=B86),0))</f>
        <v>Dango Ouattara</v>
      </c>
      <c r="D86" s="9" t="str">
        <f>INDEX(Player_Analysis!$D$2:$D$700,MATCH(C86,Player_Analysis!$A$2:$A$700,0))</f>
        <v>BRE</v>
      </c>
      <c r="E86">
        <f>INDEX(Player_Analysis!$E$2:$E$700,MATCH(C86,Player_Analysis!$A$2:$A$700,0))</f>
        <v>6.4</v>
      </c>
      <c r="F86" s="2">
        <f>INDEX(Player_Analysis!$BA$2:$BA$700,MATCH(C86,Player_Analysis!$A$2:$A$700,0))</f>
        <v>7.4311304098396649</v>
      </c>
      <c r="G86">
        <v>1</v>
      </c>
      <c r="H86" s="2">
        <f>INDEX(Player_Analysis!$AT$2:$AT$700,MATCH(C86,Player_Analysis!$A$2:$A$700,0))</f>
        <v>7.4311304098396649</v>
      </c>
      <c r="I86">
        <f>IF(G86=1,COUNTIF($G$9:G86,1),"")</f>
        <v>10</v>
      </c>
      <c r="J86">
        <f>IFERROR(INDEX(Player_Analysis!$H$2:$H$596,MATCH($C86,Player_Analysis!$A$2:$A$596,0)),0)</f>
        <v>1</v>
      </c>
    </row>
    <row r="87" spans="1:10" x14ac:dyDescent="0.25">
      <c r="A87" s="9" t="s">
        <v>1190</v>
      </c>
      <c r="B87">
        <v>6</v>
      </c>
      <c r="C87" s="11" t="str">
        <f t="array" ref="C87">INDEX(Player_Analysis!$A$2:$A$700,MATCH(1,(Player_Analysis!$B$2:$B$700=A87)*(Player_Analysis!$BB$2:$BB$700=B87),0))</f>
        <v>Bukayo Saka</v>
      </c>
      <c r="D87" s="9" t="str">
        <f>INDEX(Player_Analysis!$D$2:$D$700,MATCH(C87,Player_Analysis!$A$2:$A$700,0))</f>
        <v>ARS</v>
      </c>
      <c r="E87">
        <f>INDEX(Player_Analysis!$E$2:$E$700,MATCH(C87,Player_Analysis!$A$2:$A$700,0))</f>
        <v>9.5</v>
      </c>
      <c r="F87" s="2">
        <f>INDEX(Player_Analysis!$BA$2:$BA$700,MATCH(C87,Player_Analysis!$A$2:$A$700,0))</f>
        <v>7.3785097207058286</v>
      </c>
      <c r="G87">
        <v>0</v>
      </c>
      <c r="H87" s="2">
        <f>INDEX(Player_Analysis!$AT$2:$AT$700,MATCH(C87,Player_Analysis!$A$2:$A$700,0))</f>
        <v>7.3785097207058286</v>
      </c>
      <c r="I87" t="str">
        <f>IF(G87=1,COUNTIF($G$9:G87,1),"")</f>
        <v/>
      </c>
      <c r="J87">
        <f>IFERROR(INDEX(Player_Analysis!$H$2:$H$596,MATCH($C87,Player_Analysis!$A$2:$A$596,0)),0)</f>
        <v>1</v>
      </c>
    </row>
    <row r="88" spans="1:10" x14ac:dyDescent="0.25">
      <c r="A88" s="9" t="s">
        <v>1190</v>
      </c>
      <c r="B88">
        <v>7</v>
      </c>
      <c r="C88" s="11" t="str">
        <f t="array" ref="C88">INDEX(Player_Analysis!$A$2:$A$700,MATCH(1,(Player_Analysis!$B$2:$B$700=A88)*(Player_Analysis!$BB$2:$BB$700=B88),0))</f>
        <v>Rayan Cherki</v>
      </c>
      <c r="D88" s="9" t="str">
        <f>INDEX(Player_Analysis!$D$2:$D$700,MATCH(C88,Player_Analysis!$A$2:$A$700,0))</f>
        <v>MCI</v>
      </c>
      <c r="E88">
        <f>INDEX(Player_Analysis!$E$2:$E$700,MATCH(C88,Player_Analysis!$A$2:$A$700,0))</f>
        <v>7.8</v>
      </c>
      <c r="F88" s="2">
        <f>INDEX(Player_Analysis!$BA$2:$BA$700,MATCH(C88,Player_Analysis!$A$2:$A$700,0))</f>
        <v>7.220428566906028</v>
      </c>
      <c r="G88">
        <v>1</v>
      </c>
      <c r="H88" s="2">
        <f>INDEX(Player_Analysis!$AT$2:$AT$700,MATCH(C88,Player_Analysis!$A$2:$A$700,0))</f>
        <v>7.220428566906028</v>
      </c>
      <c r="I88">
        <f>IF(G88=1,COUNTIF($G$9:G88,1),"")</f>
        <v>11</v>
      </c>
      <c r="J88">
        <f>IFERROR(INDEX(Player_Analysis!$H$2:$H$596,MATCH($C88,Player_Analysis!$A$2:$A$596,0)),0)</f>
        <v>1</v>
      </c>
    </row>
    <row r="89" spans="1:10" x14ac:dyDescent="0.25">
      <c r="A89" s="9" t="s">
        <v>1190</v>
      </c>
      <c r="B89">
        <v>8</v>
      </c>
      <c r="C89" s="11" t="str">
        <f t="array" ref="C89">INDEX(Player_Analysis!$A$2:$A$700,MATCH(1,(Player_Analysis!$B$2:$B$700=A89)*(Player_Analysis!$BB$2:$BB$700=B89),0))</f>
        <v>Andrey Nascimento dos Santos</v>
      </c>
      <c r="D89" s="9" t="str">
        <f>INDEX(Player_Analysis!$D$2:$D$700,MATCH(C89,Player_Analysis!$A$2:$A$700,0))</f>
        <v>MUN</v>
      </c>
      <c r="E89">
        <f>INDEX(Player_Analysis!$E$2:$E$700,MATCH(C89,Player_Analysis!$A$2:$A$700,0))</f>
        <v>4.9000000000000004</v>
      </c>
      <c r="F89" s="2">
        <f>INDEX(Player_Analysis!$BA$2:$BA$700,MATCH(C89,Player_Analysis!$A$2:$A$700,0))</f>
        <v>7.0275501733165786</v>
      </c>
      <c r="G89">
        <v>1</v>
      </c>
      <c r="H89" s="2">
        <f>INDEX(Player_Analysis!$AT$2:$AT$700,MATCH(C89,Player_Analysis!$A$2:$A$700,0))</f>
        <v>7.0275501733165786</v>
      </c>
      <c r="I89">
        <f>IF(G89=1,COUNTIF($G$9:G89,1),"")</f>
        <v>12</v>
      </c>
      <c r="J89">
        <f>IFERROR(INDEX(Player_Analysis!$H$2:$H$596,MATCH($C89,Player_Analysis!$A$2:$A$596,0)),0)</f>
        <v>1</v>
      </c>
    </row>
    <row r="90" spans="1:10" x14ac:dyDescent="0.25">
      <c r="A90" s="9" t="s">
        <v>1190</v>
      </c>
      <c r="B90">
        <v>9</v>
      </c>
      <c r="C90" s="11" t="str">
        <f t="array" ref="C90">INDEX(Player_Analysis!$A$2:$A$700,MATCH(1,(Player_Analysis!$B$2:$B$700=A90)*(Player_Analysis!$BB$2:$BB$700=B90),0))</f>
        <v>Keane Lewis-Potter</v>
      </c>
      <c r="D90" s="9" t="str">
        <f>INDEX(Player_Analysis!$D$2:$D$700,MATCH(C90,Player_Analysis!$A$2:$A$700,0))</f>
        <v>BRE</v>
      </c>
      <c r="E90">
        <f>INDEX(Player_Analysis!$E$2:$E$700,MATCH(C90,Player_Analysis!$A$2:$A$700,0))</f>
        <v>5.5</v>
      </c>
      <c r="F90" s="2">
        <f>INDEX(Player_Analysis!$BA$2:$BA$700,MATCH(C90,Player_Analysis!$A$2:$A$700,0))</f>
        <v>6.915737702154197</v>
      </c>
      <c r="G90">
        <v>0</v>
      </c>
      <c r="H90" s="2">
        <f>INDEX(Player_Analysis!$AT$2:$AT$700,MATCH(C90,Player_Analysis!$A$2:$A$700,0))</f>
        <v>6.915737702154197</v>
      </c>
      <c r="I90" t="str">
        <f>IF(G90=1,COUNTIF($G$9:G90,1),"")</f>
        <v/>
      </c>
      <c r="J90">
        <f>IFERROR(INDEX(Player_Analysis!$H$2:$H$596,MATCH($C90,Player_Analysis!$A$2:$A$596,0)),0)</f>
        <v>1</v>
      </c>
    </row>
    <row r="91" spans="1:10" x14ac:dyDescent="0.25">
      <c r="A91" s="9" t="s">
        <v>1190</v>
      </c>
      <c r="B91">
        <v>10</v>
      </c>
      <c r="C91" s="11" t="str">
        <f t="array" ref="C91">INDEX(Player_Analysis!$A$2:$A$700,MATCH(1,(Player_Analysis!$B$2:$B$700=A91)*(Player_Analysis!$BB$2:$BB$700=B91),0))</f>
        <v>Martin Ødegaard</v>
      </c>
      <c r="D91" s="9" t="str">
        <f>INDEX(Player_Analysis!$D$2:$D$700,MATCH(C91,Player_Analysis!$A$2:$A$700,0))</f>
        <v>ARS</v>
      </c>
      <c r="E91">
        <f>INDEX(Player_Analysis!$E$2:$E$700,MATCH(C91,Player_Analysis!$A$2:$A$700,0))</f>
        <v>6.6</v>
      </c>
      <c r="F91" s="2">
        <f>INDEX(Player_Analysis!$BA$2:$BA$700,MATCH(C91,Player_Analysis!$A$2:$A$700,0))</f>
        <v>6.8862224690766149</v>
      </c>
      <c r="G91">
        <v>0</v>
      </c>
      <c r="H91" s="2">
        <f>INDEX(Player_Analysis!$AT$2:$AT$700,MATCH(C91,Player_Analysis!$A$2:$A$700,0))</f>
        <v>6.8862224690766149</v>
      </c>
      <c r="I91" t="str">
        <f>IF(G91=1,COUNTIF($G$9:G91,1),"")</f>
        <v/>
      </c>
      <c r="J91">
        <f>IFERROR(INDEX(Player_Analysis!$H$2:$H$596,MATCH($C91,Player_Analysis!$A$2:$A$596,0)),0)</f>
        <v>1</v>
      </c>
    </row>
    <row r="92" spans="1:10" x14ac:dyDescent="0.25">
      <c r="A92" s="9" t="s">
        <v>1190</v>
      </c>
      <c r="B92">
        <v>11</v>
      </c>
      <c r="C92" s="11" t="str">
        <f t="array" ref="C92">INDEX(Player_Analysis!$A$2:$A$700,MATCH(1,(Player_Analysis!$B$2:$B$700=A92)*(Player_Analysis!$BB$2:$BB$700=B92),0))</f>
        <v>Dominik Szoboszlai</v>
      </c>
      <c r="D92" s="9" t="str">
        <f>INDEX(Player_Analysis!$D$2:$D$700,MATCH(C92,Player_Analysis!$A$2:$A$700,0))</f>
        <v>LIV</v>
      </c>
      <c r="E92">
        <f>INDEX(Player_Analysis!$E$2:$E$700,MATCH(C92,Player_Analysis!$A$2:$A$700,0))</f>
        <v>7</v>
      </c>
      <c r="F92" s="2">
        <f>INDEX(Player_Analysis!$BA$2:$BA$700,MATCH(C92,Player_Analysis!$A$2:$A$700,0))</f>
        <v>6.8858400432458096</v>
      </c>
      <c r="G92">
        <v>0</v>
      </c>
      <c r="H92" s="2">
        <f>INDEX(Player_Analysis!$AT$2:$AT$700,MATCH(C92,Player_Analysis!$A$2:$A$700,0))</f>
        <v>6.8858400432458096</v>
      </c>
      <c r="I92" t="str">
        <f>IF(G92=1,COUNTIF($G$9:G92,1),"")</f>
        <v/>
      </c>
      <c r="J92">
        <f>IFERROR(INDEX(Player_Analysis!$H$2:$H$596,MATCH($C92,Player_Analysis!$A$2:$A$596,0)),0)</f>
        <v>1</v>
      </c>
    </row>
    <row r="93" spans="1:10" x14ac:dyDescent="0.25">
      <c r="A93" s="9" t="s">
        <v>1190</v>
      </c>
      <c r="B93">
        <v>12</v>
      </c>
      <c r="C93" s="11" t="str">
        <f t="array" ref="C93">INDEX(Player_Analysis!$A$2:$A$700,MATCH(1,(Player_Analysis!$B$2:$B$700=A93)*(Player_Analysis!$BB$2:$BB$700=B93),0))</f>
        <v>Mamadou Sangaré</v>
      </c>
      <c r="D93" s="9" t="str">
        <f>INDEX(Player_Analysis!$D$2:$D$700,MATCH(C93,Player_Analysis!$A$2:$A$700,0))</f>
        <v>BRE</v>
      </c>
      <c r="E93">
        <f>INDEX(Player_Analysis!$E$2:$E$700,MATCH(C93,Player_Analysis!$A$2:$A$700,0))</f>
        <v>5.7</v>
      </c>
      <c r="F93" s="2">
        <f>INDEX(Player_Analysis!$BA$2:$BA$700,MATCH(C93,Player_Analysis!$A$2:$A$700,0))</f>
        <v>6.753225374855826</v>
      </c>
      <c r="G93">
        <v>0</v>
      </c>
      <c r="H93" s="2">
        <f>INDEX(Player_Analysis!$AT$2:$AT$700,MATCH(C93,Player_Analysis!$A$2:$A$700,0))</f>
        <v>6.753225374855826</v>
      </c>
      <c r="I93" t="str">
        <f>IF(G93=1,COUNTIF($G$9:G93,1),"")</f>
        <v/>
      </c>
      <c r="J93">
        <f>IFERROR(INDEX(Player_Analysis!$H$2:$H$596,MATCH($C93,Player_Analysis!$A$2:$A$596,0)),0)</f>
        <v>1</v>
      </c>
    </row>
    <row r="94" spans="1:10" x14ac:dyDescent="0.25">
      <c r="A94" s="9" t="s">
        <v>1190</v>
      </c>
      <c r="B94">
        <v>13</v>
      </c>
      <c r="C94" s="11" t="str">
        <f t="array" ref="C94">INDEX(Player_Analysis!$A$2:$A$700,MATCH(1,(Player_Analysis!$B$2:$B$700=A94)*(Player_Analysis!$BB$2:$BB$700=B94),0))</f>
        <v>Cody Gakpo</v>
      </c>
      <c r="D94" s="9" t="str">
        <f>INDEX(Player_Analysis!$D$2:$D$700,MATCH(C94,Player_Analysis!$A$2:$A$700,0))</f>
        <v>LIV</v>
      </c>
      <c r="E94">
        <f>INDEX(Player_Analysis!$E$2:$E$700,MATCH(C94,Player_Analysis!$A$2:$A$700,0))</f>
        <v>7.2</v>
      </c>
      <c r="F94" s="2">
        <f>INDEX(Player_Analysis!$BA$2:$BA$700,MATCH(C94,Player_Analysis!$A$2:$A$700,0))</f>
        <v>6.3394947482998703</v>
      </c>
      <c r="G94">
        <v>0</v>
      </c>
      <c r="H94" s="2">
        <f>INDEX(Player_Analysis!$AT$2:$AT$700,MATCH(C94,Player_Analysis!$A$2:$A$700,0))</f>
        <v>6.3394947482998703</v>
      </c>
      <c r="I94" t="str">
        <f>IF(G94=1,COUNTIF($G$9:G94,1),"")</f>
        <v/>
      </c>
      <c r="J94">
        <f>IFERROR(INDEX(Player_Analysis!$H$2:$H$596,MATCH($C94,Player_Analysis!$A$2:$A$596,0)),0)</f>
        <v>1</v>
      </c>
    </row>
    <row r="95" spans="1:10" x14ac:dyDescent="0.25">
      <c r="A95" s="9" t="s">
        <v>1190</v>
      </c>
      <c r="B95">
        <v>14</v>
      </c>
      <c r="C95" s="11" t="str">
        <f t="array" ref="C95">INDEX(Player_Analysis!$A$2:$A$700,MATCH(1,(Player_Analysis!$B$2:$B$700=A95)*(Player_Analysis!$BB$2:$BB$700=B95),0))</f>
        <v>Iliman Ndiaye</v>
      </c>
      <c r="D95" s="9" t="str">
        <f>INDEX(Player_Analysis!$D$2:$D$700,MATCH(C95,Player_Analysis!$A$2:$A$700,0))</f>
        <v>MCI</v>
      </c>
      <c r="E95">
        <f>INDEX(Player_Analysis!$E$2:$E$700,MATCH(C95,Player_Analysis!$A$2:$A$700,0))</f>
        <v>5.9</v>
      </c>
      <c r="F95" s="2">
        <f>INDEX(Player_Analysis!$BA$2:$BA$700,MATCH(C95,Player_Analysis!$A$2:$A$700,0))</f>
        <v>6.2602811896368005</v>
      </c>
      <c r="G95">
        <v>0</v>
      </c>
      <c r="H95" s="2">
        <f>INDEX(Player_Analysis!$AT$2:$AT$700,MATCH(C95,Player_Analysis!$A$2:$A$700,0))</f>
        <v>6.2602811896368005</v>
      </c>
      <c r="I95" t="str">
        <f>IF(G95=1,COUNTIF($G$9:G95,1),"")</f>
        <v/>
      </c>
      <c r="J95">
        <f>IFERROR(INDEX(Player_Analysis!$H$2:$H$596,MATCH($C95,Player_Analysis!$A$2:$A$596,0)),0)</f>
        <v>1</v>
      </c>
    </row>
    <row r="96" spans="1:10" x14ac:dyDescent="0.25">
      <c r="A96" s="9" t="s">
        <v>1190</v>
      </c>
      <c r="B96">
        <v>15</v>
      </c>
      <c r="C96" s="11" t="str">
        <f t="array" ref="C96">INDEX(Player_Analysis!$A$2:$A$700,MATCH(1,(Player_Analysis!$B$2:$B$700=A96)*(Player_Analysis!$BB$2:$BB$700=B96),0))</f>
        <v>Morgan Rogers</v>
      </c>
      <c r="D96" s="9" t="str">
        <f>INDEX(Player_Analysis!$D$2:$D$700,MATCH(C96,Player_Analysis!$A$2:$A$700,0))</f>
        <v>CHE</v>
      </c>
      <c r="E96">
        <f>INDEX(Player_Analysis!$E$2:$E$700,MATCH(C96,Player_Analysis!$A$2:$A$700,0))</f>
        <v>7.6</v>
      </c>
      <c r="F96" s="2">
        <f>INDEX(Player_Analysis!$BA$2:$BA$700,MATCH(C96,Player_Analysis!$A$2:$A$700,0))</f>
        <v>6.2404836804517192</v>
      </c>
      <c r="G96">
        <v>0</v>
      </c>
      <c r="H96" s="2">
        <f>INDEX(Player_Analysis!$AT$2:$AT$700,MATCH(C96,Player_Analysis!$A$2:$A$700,0))</f>
        <v>6.2404836804517192</v>
      </c>
      <c r="I96" t="str">
        <f>IF(G96=1,COUNTIF($G$9:G96,1),"")</f>
        <v/>
      </c>
      <c r="J96">
        <f>IFERROR(INDEX(Player_Analysis!$H$2:$H$596,MATCH($C96,Player_Analysis!$A$2:$A$596,0)),0)</f>
        <v>1</v>
      </c>
    </row>
    <row r="97" spans="1:10" x14ac:dyDescent="0.25">
      <c r="A97" s="9" t="s">
        <v>1190</v>
      </c>
      <c r="B97">
        <v>16</v>
      </c>
      <c r="C97" s="11" t="str">
        <f t="array" ref="C97">INDEX(Player_Analysis!$A$2:$A$700,MATCH(1,(Player_Analysis!$B$2:$B$700=A97)*(Player_Analysis!$BB$2:$BB$700=B97),0))</f>
        <v>Elliot Anderson</v>
      </c>
      <c r="D97" s="9" t="str">
        <f>INDEX(Player_Analysis!$D$2:$D$700,MATCH(C97,Player_Analysis!$A$2:$A$700,0))</f>
        <v>MCI</v>
      </c>
      <c r="E97">
        <f>INDEX(Player_Analysis!$E$2:$E$700,MATCH(C97,Player_Analysis!$A$2:$A$700,0))</f>
        <v>6.3</v>
      </c>
      <c r="F97" s="2">
        <f>INDEX(Player_Analysis!$BA$2:$BA$700,MATCH(C97,Player_Analysis!$A$2:$A$700,0))</f>
        <v>6.1718790984304324</v>
      </c>
      <c r="G97">
        <v>0</v>
      </c>
      <c r="H97" s="2">
        <f>INDEX(Player_Analysis!$AT$2:$AT$700,MATCH(C97,Player_Analysis!$A$2:$A$700,0))</f>
        <v>6.1718790984304324</v>
      </c>
      <c r="I97" t="str">
        <f>IF(G97=1,COUNTIF($G$9:G97,1),"")</f>
        <v/>
      </c>
      <c r="J97">
        <f>IFERROR(INDEX(Player_Analysis!$H$2:$H$596,MATCH($C97,Player_Analysis!$A$2:$A$596,0)),0)</f>
        <v>1</v>
      </c>
    </row>
    <row r="98" spans="1:10" x14ac:dyDescent="0.25">
      <c r="A98" s="9" t="s">
        <v>1190</v>
      </c>
      <c r="B98">
        <v>17</v>
      </c>
      <c r="C98" s="11" t="str">
        <f t="array" ref="C98">INDEX(Player_Analysis!$A$2:$A$700,MATCH(1,(Player_Analysis!$B$2:$B$700=A98)*(Player_Analysis!$BB$2:$BB$700=B98),0))</f>
        <v>Vitaly Janelt</v>
      </c>
      <c r="D98" s="9" t="str">
        <f>INDEX(Player_Analysis!$D$2:$D$700,MATCH(C98,Player_Analysis!$A$2:$A$700,0))</f>
        <v>BRE</v>
      </c>
      <c r="E98">
        <f>INDEX(Player_Analysis!$E$2:$E$700,MATCH(C98,Player_Analysis!$A$2:$A$700,0))</f>
        <v>5</v>
      </c>
      <c r="F98" s="2">
        <f>INDEX(Player_Analysis!$BA$2:$BA$700,MATCH(C98,Player_Analysis!$A$2:$A$700,0))</f>
        <v>6.0767746869016097</v>
      </c>
      <c r="G98">
        <v>0</v>
      </c>
      <c r="H98" s="2">
        <f>INDEX(Player_Analysis!$AT$2:$AT$700,MATCH(C98,Player_Analysis!$A$2:$A$700,0))</f>
        <v>6.0767746869016097</v>
      </c>
      <c r="I98" t="str">
        <f>IF(G98=1,COUNTIF($G$9:G98,1),"")</f>
        <v/>
      </c>
      <c r="J98">
        <f>IFERROR(INDEX(Player_Analysis!$H$2:$H$596,MATCH($C98,Player_Analysis!$A$2:$A$596,0)),0)</f>
        <v>1</v>
      </c>
    </row>
    <row r="99" spans="1:10" x14ac:dyDescent="0.25">
      <c r="A99" s="9" t="s">
        <v>1190</v>
      </c>
      <c r="B99">
        <v>18</v>
      </c>
      <c r="C99" s="11" t="str">
        <f t="array" ref="C99">INDEX(Player_Analysis!$A$2:$A$700,MATCH(1,(Player_Analysis!$B$2:$B$700=A99)*(Player_Analysis!$BB$2:$BB$700=B99),0))</f>
        <v>Marcus Tavernier</v>
      </c>
      <c r="D99" s="9" t="str">
        <f>INDEX(Player_Analysis!$D$2:$D$700,MATCH(C99,Player_Analysis!$A$2:$A$700,0))</f>
        <v>BOU</v>
      </c>
      <c r="E99">
        <f>INDEX(Player_Analysis!$E$2:$E$700,MATCH(C99,Player_Analysis!$A$2:$A$700,0))</f>
        <v>6</v>
      </c>
      <c r="F99" s="2">
        <f>INDEX(Player_Analysis!$BA$2:$BA$700,MATCH(C99,Player_Analysis!$A$2:$A$700,0))</f>
        <v>6.040323911882215</v>
      </c>
      <c r="G99">
        <v>0</v>
      </c>
      <c r="H99" s="2">
        <f>INDEX(Player_Analysis!$AT$2:$AT$700,MATCH(C99,Player_Analysis!$A$2:$A$700,0))</f>
        <v>6.040323911882215</v>
      </c>
      <c r="I99" t="str">
        <f>IF(G99=1,COUNTIF($G$9:G99,1),"")</f>
        <v/>
      </c>
      <c r="J99">
        <f>IFERROR(INDEX(Player_Analysis!$H$2:$H$596,MATCH($C99,Player_Analysis!$A$2:$A$596,0)),0)</f>
        <v>1</v>
      </c>
    </row>
    <row r="100" spans="1:10" x14ac:dyDescent="0.25">
      <c r="A100" s="9" t="s">
        <v>1190</v>
      </c>
      <c r="B100">
        <v>19</v>
      </c>
      <c r="C100" s="11" t="str">
        <f t="array" ref="C100">INDEX(Player_Analysis!$A$2:$A$700,MATCH(1,(Player_Analysis!$B$2:$B$700=A100)*(Player_Analysis!$BB$2:$BB$700=B100),0))</f>
        <v>Mathias Jensen</v>
      </c>
      <c r="D100" s="9" t="str">
        <f>INDEX(Player_Analysis!$D$2:$D$700,MATCH(C100,Player_Analysis!$A$2:$A$700,0))</f>
        <v>BRE</v>
      </c>
      <c r="E100">
        <f>INDEX(Player_Analysis!$E$2:$E$700,MATCH(C100,Player_Analysis!$A$2:$A$700,0))</f>
        <v>5.5</v>
      </c>
      <c r="F100" s="2">
        <f>INDEX(Player_Analysis!$BA$2:$BA$700,MATCH(C100,Player_Analysis!$A$2:$A$700,0))</f>
        <v>5.9876103792980375</v>
      </c>
      <c r="G100">
        <v>0</v>
      </c>
      <c r="H100" s="2">
        <f>INDEX(Player_Analysis!$AT$2:$AT$700,MATCH(C100,Player_Analysis!$A$2:$A$700,0))</f>
        <v>5.9876103792980375</v>
      </c>
      <c r="I100" t="str">
        <f>IF(G100=1,COUNTIF($G$9:G100,1),"")</f>
        <v/>
      </c>
      <c r="J100">
        <f>IFERROR(INDEX(Player_Analysis!$H$2:$H$596,MATCH($C100,Player_Analysis!$A$2:$A$596,0)),0)</f>
        <v>0</v>
      </c>
    </row>
    <row r="101" spans="1:10" x14ac:dyDescent="0.25">
      <c r="A101" s="9" t="s">
        <v>1190</v>
      </c>
      <c r="B101">
        <v>20</v>
      </c>
      <c r="C101" s="11" t="str">
        <f t="array" ref="C101">INDEX(Player_Analysis!$A$2:$A$700,MATCH(1,(Player_Analysis!$B$2:$B$700=A101)*(Player_Analysis!$BB$2:$BB$700=B101),0))</f>
        <v>Diego Gómez Amarilla</v>
      </c>
      <c r="D101" s="9" t="str">
        <f>INDEX(Player_Analysis!$D$2:$D$700,MATCH(C101,Player_Analysis!$A$2:$A$700,0))</f>
        <v>BHA</v>
      </c>
      <c r="E101">
        <f>INDEX(Player_Analysis!$E$2:$E$700,MATCH(C101,Player_Analysis!$A$2:$A$700,0))</f>
        <v>5</v>
      </c>
      <c r="F101" s="2">
        <f>INDEX(Player_Analysis!$BA$2:$BA$700,MATCH(C101,Player_Analysis!$A$2:$A$700,0))</f>
        <v>5.8941473371121775</v>
      </c>
      <c r="G101">
        <v>0</v>
      </c>
      <c r="H101" s="2">
        <f>INDEX(Player_Analysis!$AT$2:$AT$700,MATCH(C101,Player_Analysis!$A$2:$A$700,0))</f>
        <v>5.8941473371121775</v>
      </c>
      <c r="I101" t="str">
        <f>IF(G101=1,COUNTIF($G$9:G101,1),"")</f>
        <v/>
      </c>
      <c r="J101">
        <f>IFERROR(INDEX(Player_Analysis!$H$2:$H$596,MATCH($C101,Player_Analysis!$A$2:$A$596,0)),0)</f>
        <v>1</v>
      </c>
    </row>
    <row r="102" spans="1:10" x14ac:dyDescent="0.25">
      <c r="A102" s="9" t="s">
        <v>1190</v>
      </c>
      <c r="B102">
        <v>21</v>
      </c>
      <c r="C102" s="11" t="str">
        <f t="array" ref="C102">INDEX(Player_Analysis!$A$2:$A$700,MATCH(1,(Player_Analysis!$B$2:$B$700=A102)*(Player_Analysis!$BB$2:$BB$700=B102),0))</f>
        <v>Kevin Schade</v>
      </c>
      <c r="D102" s="9" t="str">
        <f>INDEX(Player_Analysis!$D$2:$D$700,MATCH(C102,Player_Analysis!$A$2:$A$700,0))</f>
        <v>BRE</v>
      </c>
      <c r="E102">
        <f>INDEX(Player_Analysis!$E$2:$E$700,MATCH(C102,Player_Analysis!$A$2:$A$700,0))</f>
        <v>6</v>
      </c>
      <c r="F102" s="2">
        <f>INDEX(Player_Analysis!$BA$2:$BA$700,MATCH(C102,Player_Analysis!$A$2:$A$700,0))</f>
        <v>5.872707947870035</v>
      </c>
      <c r="G102">
        <v>0</v>
      </c>
      <c r="H102" s="2">
        <f>INDEX(Player_Analysis!$AT$2:$AT$700,MATCH(C102,Player_Analysis!$A$2:$A$700,0))</f>
        <v>5.872707947870035</v>
      </c>
      <c r="I102" t="str">
        <f>IF(G102=1,COUNTIF($G$9:G102,1),"")</f>
        <v/>
      </c>
      <c r="J102">
        <f>IFERROR(INDEX(Player_Analysis!$H$2:$H$596,MATCH($C102,Player_Analysis!$A$2:$A$596,0)),0)</f>
        <v>1</v>
      </c>
    </row>
    <row r="103" spans="1:10" x14ac:dyDescent="0.25">
      <c r="A103" s="9" t="s">
        <v>1190</v>
      </c>
      <c r="B103">
        <v>22</v>
      </c>
      <c r="C103" s="11" t="str">
        <f t="array" ref="C103">INDEX(Player_Analysis!$A$2:$A$700,MATCH(1,(Player_Analysis!$B$2:$B$700=A103)*(Player_Analysis!$BB$2:$BB$700=B103),0))</f>
        <v>Enzo Fernández</v>
      </c>
      <c r="D103" s="9" t="str">
        <f>INDEX(Player_Analysis!$D$2:$D$700,MATCH(C103,Player_Analysis!$A$2:$A$700,0))</f>
        <v>MCI</v>
      </c>
      <c r="E103">
        <f>INDEX(Player_Analysis!$E$2:$E$700,MATCH(C103,Player_Analysis!$A$2:$A$700,0))</f>
        <v>6.9</v>
      </c>
      <c r="F103" s="2">
        <f>INDEX(Player_Analysis!$BA$2:$BA$700,MATCH(C103,Player_Analysis!$A$2:$A$700,0))</f>
        <v>5.8444620412092032</v>
      </c>
      <c r="G103">
        <v>0</v>
      </c>
      <c r="H103" s="2">
        <f>INDEX(Player_Analysis!$AT$2:$AT$700,MATCH(C103,Player_Analysis!$A$2:$A$700,0))</f>
        <v>5.8444620412092032</v>
      </c>
      <c r="I103" t="str">
        <f>IF(G103=1,COUNTIF($G$9:G103,1),"")</f>
        <v/>
      </c>
      <c r="J103">
        <f>IFERROR(INDEX(Player_Analysis!$H$2:$H$596,MATCH($C103,Player_Analysis!$A$2:$A$596,0)),0)</f>
        <v>1</v>
      </c>
    </row>
    <row r="104" spans="1:10" x14ac:dyDescent="0.25">
      <c r="A104" s="9" t="s">
        <v>1190</v>
      </c>
      <c r="B104">
        <v>23</v>
      </c>
      <c r="C104" s="11" t="str">
        <f t="array" ref="C104">INDEX(Player_Analysis!$A$2:$A$700,MATCH(1,(Player_Analysis!$B$2:$B$700=A104)*(Player_Analysis!$BB$2:$BB$700=B104),0))</f>
        <v>Cole Palmer</v>
      </c>
      <c r="D104" s="9" t="str">
        <f>INDEX(Player_Analysis!$D$2:$D$700,MATCH(C104,Player_Analysis!$A$2:$A$700,0))</f>
        <v>CHE</v>
      </c>
      <c r="E104">
        <f>INDEX(Player_Analysis!$E$2:$E$700,MATCH(C104,Player_Analysis!$A$2:$A$700,0))</f>
        <v>9.6</v>
      </c>
      <c r="F104" s="2">
        <f>INDEX(Player_Analysis!$BA$2:$BA$700,MATCH(C104,Player_Analysis!$A$2:$A$700,0))</f>
        <v>5.6814287410171715</v>
      </c>
      <c r="G104">
        <v>0</v>
      </c>
      <c r="H104" s="2">
        <f>INDEX(Player_Analysis!$AT$2:$AT$700,MATCH(C104,Player_Analysis!$A$2:$A$700,0))</f>
        <v>5.6814287410171715</v>
      </c>
      <c r="I104" t="str">
        <f>IF(G104=1,COUNTIF($G$9:G104,1),"")</f>
        <v/>
      </c>
      <c r="J104">
        <f>IFERROR(INDEX(Player_Analysis!$H$2:$H$596,MATCH($C104,Player_Analysis!$A$2:$A$596,0)),0)</f>
        <v>1</v>
      </c>
    </row>
    <row r="105" spans="1:10" x14ac:dyDescent="0.25">
      <c r="A105" s="9" t="s">
        <v>1190</v>
      </c>
      <c r="B105">
        <v>24</v>
      </c>
      <c r="C105" s="11" t="str">
        <f t="array" ref="C105">INDEX(Player_Analysis!$A$2:$A$700,MATCH(1,(Player_Analysis!$B$2:$B$700=A105)*(Player_Analysis!$BB$2:$BB$700=B105),0))</f>
        <v>Kobbie Mainoo</v>
      </c>
      <c r="D105" s="9" t="str">
        <f>INDEX(Player_Analysis!$D$2:$D$700,MATCH(C105,Player_Analysis!$A$2:$A$700,0))</f>
        <v>MUN</v>
      </c>
      <c r="E105">
        <f>INDEX(Player_Analysis!$E$2:$E$700,MATCH(C105,Player_Analysis!$A$2:$A$700,0))</f>
        <v>5.5</v>
      </c>
      <c r="F105" s="2">
        <f>INDEX(Player_Analysis!$BA$2:$BA$700,MATCH(C105,Player_Analysis!$A$2:$A$700,0))</f>
        <v>5.6600441279891518</v>
      </c>
      <c r="G105">
        <v>0</v>
      </c>
      <c r="H105" s="2">
        <f>INDEX(Player_Analysis!$AT$2:$AT$700,MATCH(C105,Player_Analysis!$A$2:$A$700,0))</f>
        <v>5.6600441279891518</v>
      </c>
      <c r="I105" t="str">
        <f>IF(G105=1,COUNTIF($G$9:G105,1),"")</f>
        <v/>
      </c>
      <c r="J105">
        <f>IFERROR(INDEX(Player_Analysis!$H$2:$H$596,MATCH($C105,Player_Analysis!$A$2:$A$596,0)),0)</f>
        <v>1</v>
      </c>
    </row>
    <row r="106" spans="1:10" x14ac:dyDescent="0.25">
      <c r="A106" s="9" t="s">
        <v>1190</v>
      </c>
      <c r="B106">
        <v>25</v>
      </c>
      <c r="C106" s="11" t="str">
        <f t="array" ref="C106">INDEX(Player_Analysis!$A$2:$A$700,MATCH(1,(Player_Analysis!$B$2:$B$700=A106)*(Player_Analysis!$BB$2:$BB$700=B106),0))</f>
        <v>Mikkel Damsgaard</v>
      </c>
      <c r="D106" s="9" t="str">
        <f>INDEX(Player_Analysis!$D$2:$D$700,MATCH(C106,Player_Analysis!$A$2:$A$700,0))</f>
        <v>BRE</v>
      </c>
      <c r="E106">
        <f>INDEX(Player_Analysis!$E$2:$E$700,MATCH(C106,Player_Analysis!$A$2:$A$700,0))</f>
        <v>5.5</v>
      </c>
      <c r="F106" s="2">
        <f>INDEX(Player_Analysis!$BA$2:$BA$700,MATCH(C106,Player_Analysis!$A$2:$A$700,0))</f>
        <v>5.6220294779572253</v>
      </c>
      <c r="G106">
        <v>0</v>
      </c>
      <c r="H106" s="2">
        <f>INDEX(Player_Analysis!$AT$2:$AT$700,MATCH(C106,Player_Analysis!$A$2:$A$700,0))</f>
        <v>5.6220294779572253</v>
      </c>
      <c r="I106" t="str">
        <f>IF(G106=1,COUNTIF($G$9:G106,1),"")</f>
        <v/>
      </c>
      <c r="J106">
        <f>IFERROR(INDEX(Player_Analysis!$H$2:$H$596,MATCH($C106,Player_Analysis!$A$2:$A$596,0)),0)</f>
        <v>1</v>
      </c>
    </row>
    <row r="107" spans="1:10" x14ac:dyDescent="0.25">
      <c r="A107" s="9" t="s">
        <v>1190</v>
      </c>
      <c r="B107">
        <v>26</v>
      </c>
      <c r="C107" s="11" t="str">
        <f t="array" ref="C107">INDEX(Player_Analysis!$A$2:$A$700,MATCH(1,(Player_Analysis!$B$2:$B$700=A107)*(Player_Analysis!$BB$2:$BB$700=B107),0))</f>
        <v>Florian Wirtz</v>
      </c>
      <c r="D107" s="9" t="str">
        <f>INDEX(Player_Analysis!$D$2:$D$700,MATCH(C107,Player_Analysis!$A$2:$A$700,0))</f>
        <v>LIV</v>
      </c>
      <c r="E107">
        <f>INDEX(Player_Analysis!$E$2:$E$700,MATCH(C107,Player_Analysis!$A$2:$A$700,0))</f>
        <v>7.4</v>
      </c>
      <c r="F107" s="2">
        <f>INDEX(Player_Analysis!$BA$2:$BA$700,MATCH(C107,Player_Analysis!$A$2:$A$700,0))</f>
        <v>5.6047023266322604</v>
      </c>
      <c r="G107">
        <v>0</v>
      </c>
      <c r="H107" s="2">
        <f>INDEX(Player_Analysis!$AT$2:$AT$700,MATCH(C107,Player_Analysis!$A$2:$A$700,0))</f>
        <v>5.6047023266322604</v>
      </c>
      <c r="I107" t="str">
        <f>IF(G107=1,COUNTIF($G$9:G107,1),"")</f>
        <v/>
      </c>
      <c r="J107">
        <f>IFERROR(INDEX(Player_Analysis!$H$2:$H$596,MATCH($C107,Player_Analysis!$A$2:$A$596,0)),0)</f>
        <v>1</v>
      </c>
    </row>
    <row r="108" spans="1:10" x14ac:dyDescent="0.25">
      <c r="A108" s="9" t="s">
        <v>1190</v>
      </c>
      <c r="B108">
        <v>27</v>
      </c>
      <c r="C108" s="11" t="str">
        <f t="array" ref="C108">INDEX(Player_Analysis!$A$2:$A$700,MATCH(1,(Player_Analysis!$B$2:$B$700=A108)*(Player_Analysis!$BB$2:$BB$700=B108),0))</f>
        <v>Alexis Mac Allister</v>
      </c>
      <c r="D108" s="9" t="str">
        <f>INDEX(Player_Analysis!$D$2:$D$700,MATCH(C108,Player_Analysis!$A$2:$A$700,0))</f>
        <v>LIV</v>
      </c>
      <c r="E108">
        <f>INDEX(Player_Analysis!$E$2:$E$700,MATCH(C108,Player_Analysis!$A$2:$A$700,0))</f>
        <v>5.4</v>
      </c>
      <c r="F108" s="2">
        <f>INDEX(Player_Analysis!$BA$2:$BA$700,MATCH(C108,Player_Analysis!$A$2:$A$700,0))</f>
        <v>5.5927856750777014</v>
      </c>
      <c r="G108">
        <v>0</v>
      </c>
      <c r="H108" s="2">
        <f>INDEX(Player_Analysis!$AT$2:$AT$700,MATCH(C108,Player_Analysis!$A$2:$A$700,0))</f>
        <v>5.5927856750777014</v>
      </c>
      <c r="I108" t="str">
        <f>IF(G108=1,COUNTIF($G$9:G108,1),"")</f>
        <v/>
      </c>
      <c r="J108">
        <f>IFERROR(INDEX(Player_Analysis!$H$2:$H$596,MATCH($C108,Player_Analysis!$A$2:$A$596,0)),0)</f>
        <v>1</v>
      </c>
    </row>
    <row r="109" spans="1:10" x14ac:dyDescent="0.25">
      <c r="A109" s="9" t="s">
        <v>1190</v>
      </c>
      <c r="B109">
        <v>28</v>
      </c>
      <c r="C109" s="11" t="str">
        <f t="array" ref="C109">INDEX(Player_Analysis!$A$2:$A$700,MATCH(1,(Player_Analysis!$B$2:$B$700=A109)*(Player_Analysis!$BB$2:$BB$700=B109),0))</f>
        <v>Pascal Groß</v>
      </c>
      <c r="D109" s="9" t="str">
        <f>INDEX(Player_Analysis!$D$2:$D$700,MATCH(C109,Player_Analysis!$A$2:$A$700,0))</f>
        <v>BHA</v>
      </c>
      <c r="E109">
        <f>INDEX(Player_Analysis!$E$2:$E$700,MATCH(C109,Player_Analysis!$A$2:$A$700,0))</f>
        <v>5.5</v>
      </c>
      <c r="F109" s="2">
        <f>INDEX(Player_Analysis!$BA$2:$BA$700,MATCH(C109,Player_Analysis!$A$2:$A$700,0))</f>
        <v>5.4895458359650133</v>
      </c>
      <c r="G109">
        <v>0</v>
      </c>
      <c r="H109" s="2">
        <f>INDEX(Player_Analysis!$AT$2:$AT$700,MATCH(C109,Player_Analysis!$A$2:$A$700,0))</f>
        <v>5.4895458359650133</v>
      </c>
      <c r="I109" t="str">
        <f>IF(G109=1,COUNTIF($G$9:G109,1),"")</f>
        <v/>
      </c>
      <c r="J109">
        <f>IFERROR(INDEX(Player_Analysis!$H$2:$H$596,MATCH($C109,Player_Analysis!$A$2:$A$596,0)),0)</f>
        <v>1</v>
      </c>
    </row>
    <row r="110" spans="1:10" x14ac:dyDescent="0.25">
      <c r="A110" s="9" t="s">
        <v>1190</v>
      </c>
      <c r="B110">
        <v>29</v>
      </c>
      <c r="C110" s="11" t="str">
        <f t="array" ref="C110">INDEX(Player_Analysis!$A$2:$A$700,MATCH(1,(Player_Analysis!$B$2:$B$700=A110)*(Player_Analysis!$BB$2:$BB$700=B110),0))</f>
        <v>Julio Enciso</v>
      </c>
      <c r="D110" s="9" t="str">
        <f>INDEX(Player_Analysis!$D$2:$D$700,MATCH(C110,Player_Analysis!$A$2:$A$700,0))</f>
        <v>IPS</v>
      </c>
      <c r="E110">
        <f>INDEX(Player_Analysis!$E$2:$E$700,MATCH(C110,Player_Analysis!$A$2:$A$700,0))</f>
        <v>5.5</v>
      </c>
      <c r="F110" s="2">
        <f>INDEX(Player_Analysis!$BA$2:$BA$700,MATCH(C110,Player_Analysis!$A$2:$A$700,0))</f>
        <v>5.4722542332494486</v>
      </c>
      <c r="G110">
        <v>0</v>
      </c>
      <c r="H110" s="2">
        <f>INDEX(Player_Analysis!$AT$2:$AT$700,MATCH(C110,Player_Analysis!$A$2:$A$700,0))</f>
        <v>5.4722542332494486</v>
      </c>
      <c r="I110" t="str">
        <f>IF(G110=1,COUNTIF($G$9:G110,1),"")</f>
        <v/>
      </c>
      <c r="J110">
        <f>IFERROR(INDEX(Player_Analysis!$H$2:$H$596,MATCH($C110,Player_Analysis!$A$2:$A$596,0)),0)</f>
        <v>1</v>
      </c>
    </row>
    <row r="111" spans="1:10" x14ac:dyDescent="0.25">
      <c r="A111" s="9" t="s">
        <v>1190</v>
      </c>
      <c r="B111">
        <v>30</v>
      </c>
      <c r="C111" s="11" t="str">
        <f t="array" ref="C111">INDEX(Player_Analysis!$A$2:$A$700,MATCH(1,(Player_Analysis!$B$2:$B$700=A111)*(Player_Analysis!$BB$2:$BB$700=B111),0))</f>
        <v>Kiernan Dewsbury-Hall</v>
      </c>
      <c r="D111" s="9" t="str">
        <f>INDEX(Player_Analysis!$D$2:$D$700,MATCH(C111,Player_Analysis!$A$2:$A$700,0))</f>
        <v>EVE</v>
      </c>
      <c r="E111">
        <f>INDEX(Player_Analysis!$E$2:$E$700,MATCH(C111,Player_Analysis!$A$2:$A$700,0))</f>
        <v>6.5</v>
      </c>
      <c r="F111" s="2">
        <f>INDEX(Player_Analysis!$BA$2:$BA$700,MATCH(C111,Player_Analysis!$A$2:$A$700,0))</f>
        <v>5.4660297566544855</v>
      </c>
      <c r="G111">
        <v>0</v>
      </c>
      <c r="H111" s="2">
        <f>INDEX(Player_Analysis!$AT$2:$AT$700,MATCH(C111,Player_Analysis!$A$2:$A$700,0))</f>
        <v>5.4660297566544855</v>
      </c>
      <c r="I111" t="str">
        <f>IF(G111=1,COUNTIF($G$9:G111,1),"")</f>
        <v/>
      </c>
      <c r="J111">
        <f>IFERROR(INDEX(Player_Analysis!$H$2:$H$596,MATCH($C111,Player_Analysis!$A$2:$A$596,0)),0)</f>
        <v>1</v>
      </c>
    </row>
    <row r="112" spans="1:10" x14ac:dyDescent="0.25">
      <c r="A112" s="9" t="s">
        <v>1190</v>
      </c>
      <c r="B112">
        <v>31</v>
      </c>
      <c r="C112" s="11" t="str">
        <f t="array" ref="C112">INDEX(Player_Analysis!$A$2:$A$700,MATCH(1,(Player_Analysis!$B$2:$B$700=A112)*(Player_Analysis!$BB$2:$BB$700=B112),0))</f>
        <v>Patrick Dorgu</v>
      </c>
      <c r="D112" s="9" t="str">
        <f>INDEX(Player_Analysis!$D$2:$D$700,MATCH(C112,Player_Analysis!$A$2:$A$700,0))</f>
        <v>MUN</v>
      </c>
      <c r="E112">
        <f>INDEX(Player_Analysis!$E$2:$E$700,MATCH(C112,Player_Analysis!$A$2:$A$700,0))</f>
        <v>5.9</v>
      </c>
      <c r="F112" s="2">
        <f>INDEX(Player_Analysis!$BA$2:$BA$700,MATCH(C112,Player_Analysis!$A$2:$A$700,0))</f>
        <v>5.3924018603201853</v>
      </c>
      <c r="G112">
        <v>0</v>
      </c>
      <c r="H112" s="2">
        <f>INDEX(Player_Analysis!$AT$2:$AT$700,MATCH(C112,Player_Analysis!$A$2:$A$700,0))</f>
        <v>5.3924018603201853</v>
      </c>
      <c r="I112" t="str">
        <f>IF(G112=1,COUNTIF($G$9:G112,1),"")</f>
        <v/>
      </c>
      <c r="J112">
        <f>IFERROR(INDEX(Player_Analysis!$H$2:$H$596,MATCH($C112,Player_Analysis!$A$2:$A$596,0)),0)</f>
        <v>1</v>
      </c>
    </row>
    <row r="113" spans="1:10" x14ac:dyDescent="0.25">
      <c r="A113" s="9" t="s">
        <v>1190</v>
      </c>
      <c r="B113">
        <v>32</v>
      </c>
      <c r="C113" s="11" t="str">
        <f t="array" ref="C113">INDEX(Player_Analysis!$A$2:$A$700,MATCH(1,(Player_Analysis!$B$2:$B$700=A113)*(Player_Analysis!$BB$2:$BB$700=B113),0))</f>
        <v>Pedro Lomba Neto</v>
      </c>
      <c r="D113" s="9" t="str">
        <f>INDEX(Player_Analysis!$D$2:$D$700,MATCH(C113,Player_Analysis!$A$2:$A$700,0))</f>
        <v>CHE</v>
      </c>
      <c r="E113">
        <f>INDEX(Player_Analysis!$E$2:$E$700,MATCH(C113,Player_Analysis!$A$2:$A$700,0))</f>
        <v>6.5</v>
      </c>
      <c r="F113" s="2">
        <f>INDEX(Player_Analysis!$BA$2:$BA$700,MATCH(C113,Player_Analysis!$A$2:$A$700,0))</f>
        <v>5.3842294136409894</v>
      </c>
      <c r="G113">
        <v>0</v>
      </c>
      <c r="H113" s="2">
        <f>INDEX(Player_Analysis!$AT$2:$AT$700,MATCH(C113,Player_Analysis!$A$2:$A$700,0))</f>
        <v>5.3842294136409894</v>
      </c>
      <c r="I113" t="str">
        <f>IF(G113=1,COUNTIF($G$9:G113,1),"")</f>
        <v/>
      </c>
      <c r="J113">
        <f>IFERROR(INDEX(Player_Analysis!$H$2:$H$596,MATCH($C113,Player_Analysis!$A$2:$A$596,0)),0)</f>
        <v>1</v>
      </c>
    </row>
    <row r="114" spans="1:10" x14ac:dyDescent="0.25">
      <c r="A114" s="9" t="s">
        <v>1190</v>
      </c>
      <c r="B114">
        <v>33</v>
      </c>
      <c r="C114" s="11" t="str">
        <f t="array" ref="C114">INDEX(Player_Analysis!$A$2:$A$700,MATCH(1,(Player_Analysis!$B$2:$B$700=A114)*(Player_Analysis!$BB$2:$BB$700=B114),0))</f>
        <v>Oscar Bobb</v>
      </c>
      <c r="D114" s="9" t="str">
        <f>INDEX(Player_Analysis!$D$2:$D$700,MATCH(C114,Player_Analysis!$A$2:$A$700,0))</f>
        <v>FUL</v>
      </c>
      <c r="E114">
        <f>INDEX(Player_Analysis!$E$2:$E$700,MATCH(C114,Player_Analysis!$A$2:$A$700,0))</f>
        <v>5.5</v>
      </c>
      <c r="F114" s="2">
        <f>INDEX(Player_Analysis!$BA$2:$BA$700,MATCH(C114,Player_Analysis!$A$2:$A$700,0))</f>
        <v>5.3239916938785514</v>
      </c>
      <c r="G114">
        <v>0</v>
      </c>
      <c r="H114" s="2">
        <f>INDEX(Player_Analysis!$AT$2:$AT$700,MATCH(C114,Player_Analysis!$A$2:$A$700,0))</f>
        <v>5.3239916938785514</v>
      </c>
      <c r="I114" t="str">
        <f>IF(G114=1,COUNTIF($G$9:G114,1),"")</f>
        <v/>
      </c>
      <c r="J114">
        <f>IFERROR(INDEX(Player_Analysis!$H$2:$H$596,MATCH($C114,Player_Analysis!$A$2:$A$596,0)),0)</f>
        <v>1</v>
      </c>
    </row>
    <row r="115" spans="1:10" x14ac:dyDescent="0.25">
      <c r="A115" s="9" t="s">
        <v>1190</v>
      </c>
      <c r="B115">
        <v>34</v>
      </c>
      <c r="C115" s="11" t="str">
        <f t="array" ref="C115">INDEX(Player_Analysis!$A$2:$A$700,MATCH(1,(Player_Analysis!$B$2:$B$700=A115)*(Player_Analysis!$BB$2:$BB$700=B115),0))</f>
        <v>César Palacios</v>
      </c>
      <c r="D115" s="9" t="str">
        <f>INDEX(Player_Analysis!$D$2:$D$700,MATCH(C115,Player_Analysis!$A$2:$A$700,0))</f>
        <v>FUL</v>
      </c>
      <c r="E115">
        <f>INDEX(Player_Analysis!$E$2:$E$700,MATCH(C115,Player_Analysis!$A$2:$A$700,0))</f>
        <v>5.5</v>
      </c>
      <c r="F115" s="2">
        <f>INDEX(Player_Analysis!$BA$2:$BA$700,MATCH(C115,Player_Analysis!$A$2:$A$700,0))</f>
        <v>5.3203471114788616</v>
      </c>
      <c r="G115">
        <v>0</v>
      </c>
      <c r="H115" s="2">
        <f>INDEX(Player_Analysis!$AT$2:$AT$700,MATCH(C115,Player_Analysis!$A$2:$A$700,0))</f>
        <v>5.3203471114788616</v>
      </c>
      <c r="I115" t="str">
        <f>IF(G115=1,COUNTIF($G$9:G115,1),"")</f>
        <v/>
      </c>
      <c r="J115">
        <f>IFERROR(INDEX(Player_Analysis!$H$2:$H$596,MATCH($C115,Player_Analysis!$A$2:$A$596,0)),0)</f>
        <v>1</v>
      </c>
    </row>
    <row r="116" spans="1:10" x14ac:dyDescent="0.25">
      <c r="A116" s="9" t="s">
        <v>1190</v>
      </c>
      <c r="B116">
        <v>35</v>
      </c>
      <c r="C116" s="11" t="str">
        <f t="array" ref="C116">INDEX(Player_Analysis!$A$2:$A$700,MATCH(1,(Player_Analysis!$B$2:$B$700=A116)*(Player_Analysis!$BB$2:$BB$700=B116),0))</f>
        <v>Roméo Lavia</v>
      </c>
      <c r="D116" s="9" t="str">
        <f>INDEX(Player_Analysis!$D$2:$D$700,MATCH(C116,Player_Analysis!$A$2:$A$700,0))</f>
        <v>CHE</v>
      </c>
      <c r="E116">
        <f>INDEX(Player_Analysis!$E$2:$E$700,MATCH(C116,Player_Analysis!$A$2:$A$700,0))</f>
        <v>5</v>
      </c>
      <c r="F116" s="2">
        <f>INDEX(Player_Analysis!$BA$2:$BA$700,MATCH(C116,Player_Analysis!$A$2:$A$700,0))</f>
        <v>5.2800148522900452</v>
      </c>
      <c r="G116">
        <v>0</v>
      </c>
      <c r="H116" s="2">
        <f>INDEX(Player_Analysis!$AT$2:$AT$700,MATCH(C116,Player_Analysis!$A$2:$A$700,0))</f>
        <v>5.2800148522900452</v>
      </c>
      <c r="I116" t="str">
        <f>IF(G116=1,COUNTIF($G$9:G116,1),"")</f>
        <v/>
      </c>
      <c r="J116">
        <f>IFERROR(INDEX(Player_Analysis!$H$2:$H$596,MATCH($C116,Player_Analysis!$A$2:$A$596,0)),0)</f>
        <v>1</v>
      </c>
    </row>
    <row r="117" spans="1:10" x14ac:dyDescent="0.25">
      <c r="A117" s="9" t="s">
        <v>1190</v>
      </c>
      <c r="B117">
        <v>36</v>
      </c>
      <c r="C117" s="11" t="str">
        <f t="array" ref="C117">INDEX(Player_Analysis!$A$2:$A$700,MATCH(1,(Player_Analysis!$B$2:$B$700=A117)*(Player_Analysis!$BB$2:$BB$700=B117),0))</f>
        <v>Victor Munoz</v>
      </c>
      <c r="D117" s="9" t="str">
        <f>INDEX(Player_Analysis!$D$2:$D$700,MATCH(C117,Player_Analysis!$A$2:$A$700,0))</f>
        <v>LIV</v>
      </c>
      <c r="E117">
        <f>INDEX(Player_Analysis!$E$2:$E$700,MATCH(C117,Player_Analysis!$A$2:$A$700,0))</f>
        <v>6.5</v>
      </c>
      <c r="F117" s="2">
        <f>INDEX(Player_Analysis!$BA$2:$BA$700,MATCH(C117,Player_Analysis!$A$2:$A$700,0))</f>
        <v>5.2790501009227224</v>
      </c>
      <c r="G117">
        <v>0</v>
      </c>
      <c r="H117" s="2">
        <f>INDEX(Player_Analysis!$AT$2:$AT$700,MATCH(C117,Player_Analysis!$A$2:$A$700,0))</f>
        <v>5.2790501009227224</v>
      </c>
      <c r="I117" t="str">
        <f>IF(G117=1,COUNTIF($G$9:G117,1),"")</f>
        <v/>
      </c>
      <c r="J117">
        <f>IFERROR(INDEX(Player_Analysis!$H$2:$H$596,MATCH($C117,Player_Analysis!$A$2:$A$596,0)),0)</f>
        <v>1</v>
      </c>
    </row>
    <row r="118" spans="1:10" x14ac:dyDescent="0.25">
      <c r="A118" s="9" t="s">
        <v>1190</v>
      </c>
      <c r="B118">
        <v>37</v>
      </c>
      <c r="C118" s="11" t="str">
        <f t="array" ref="C118">INDEX(Player_Analysis!$A$2:$A$700,MATCH(1,(Player_Analysis!$B$2:$B$700=A118)*(Player_Analysis!$BB$2:$BB$700=B118),0))</f>
        <v>Justin Kluivert</v>
      </c>
      <c r="D118" s="9" t="str">
        <f>INDEX(Player_Analysis!$D$2:$D$700,MATCH(C118,Player_Analysis!$A$2:$A$700,0))</f>
        <v>BOU</v>
      </c>
      <c r="E118">
        <f>INDEX(Player_Analysis!$E$2:$E$700,MATCH(C118,Player_Analysis!$A$2:$A$700,0))</f>
        <v>6</v>
      </c>
      <c r="F118" s="2">
        <f>INDEX(Player_Analysis!$BA$2:$BA$700,MATCH(C118,Player_Analysis!$A$2:$A$700,0))</f>
        <v>5.2572601289517786</v>
      </c>
      <c r="G118">
        <v>0</v>
      </c>
      <c r="H118" s="2">
        <f>INDEX(Player_Analysis!$AT$2:$AT$700,MATCH(C118,Player_Analysis!$A$2:$A$700,0))</f>
        <v>5.2572601289517786</v>
      </c>
      <c r="I118" t="str">
        <f>IF(G118=1,COUNTIF($G$9:G118,1),"")</f>
        <v/>
      </c>
      <c r="J118">
        <f>IFERROR(INDEX(Player_Analysis!$H$2:$H$596,MATCH($C118,Player_Analysis!$A$2:$A$596,0)),0)</f>
        <v>1</v>
      </c>
    </row>
    <row r="119" spans="1:10" x14ac:dyDescent="0.25">
      <c r="A119" s="9" t="s">
        <v>1190</v>
      </c>
      <c r="B119">
        <v>38</v>
      </c>
      <c r="C119" s="11" t="str">
        <f t="array" ref="C119">INDEX(Player_Analysis!$A$2:$A$700,MATCH(1,(Player_Analysis!$B$2:$B$700=A119)*(Player_Analysis!$BB$2:$BB$700=B119),0))</f>
        <v>Youri Tielemans</v>
      </c>
      <c r="D119" s="9" t="str">
        <f>INDEX(Player_Analysis!$D$2:$D$700,MATCH(C119,Player_Analysis!$A$2:$A$700,0))</f>
        <v>MUN</v>
      </c>
      <c r="E119">
        <f>INDEX(Player_Analysis!$E$2:$E$700,MATCH(C119,Player_Analysis!$A$2:$A$700,0))</f>
        <v>5.9</v>
      </c>
      <c r="F119" s="2">
        <f>INDEX(Player_Analysis!$BA$2:$BA$700,MATCH(C119,Player_Analysis!$A$2:$A$700,0))</f>
        <v>5.2294377770611602</v>
      </c>
      <c r="G119">
        <v>0</v>
      </c>
      <c r="H119" s="2">
        <f>INDEX(Player_Analysis!$AT$2:$AT$700,MATCH(C119,Player_Analysis!$A$2:$A$700,0))</f>
        <v>5.2294377770611602</v>
      </c>
      <c r="I119" t="str">
        <f>IF(G119=1,COUNTIF($G$9:G119,1),"")</f>
        <v/>
      </c>
      <c r="J119">
        <f>IFERROR(INDEX(Player_Analysis!$H$2:$H$596,MATCH($C119,Player_Analysis!$A$2:$A$596,0)),0)</f>
        <v>1</v>
      </c>
    </row>
    <row r="120" spans="1:10" x14ac:dyDescent="0.25">
      <c r="A120" s="9" t="s">
        <v>1190</v>
      </c>
      <c r="B120">
        <v>39</v>
      </c>
      <c r="C120" s="11" t="str">
        <f t="array" ref="C120">INDEX(Player_Analysis!$A$2:$A$700,MATCH(1,(Player_Analysis!$B$2:$B$700=A120)*(Player_Analysis!$BB$2:$BB$700=B120),0))</f>
        <v>Josh King</v>
      </c>
      <c r="D120" s="9" t="str">
        <f>INDEX(Player_Analysis!$D$2:$D$700,MATCH(C120,Player_Analysis!$A$2:$A$700,0))</f>
        <v>FUL</v>
      </c>
      <c r="E120">
        <f>INDEX(Player_Analysis!$E$2:$E$700,MATCH(C120,Player_Analysis!$A$2:$A$700,0))</f>
        <v>5.5</v>
      </c>
      <c r="F120" s="2">
        <f>INDEX(Player_Analysis!$BA$2:$BA$700,MATCH(C120,Player_Analysis!$A$2:$A$700,0))</f>
        <v>5.1421409934661275</v>
      </c>
      <c r="G120">
        <v>0</v>
      </c>
      <c r="H120" s="2">
        <f>INDEX(Player_Analysis!$AT$2:$AT$700,MATCH(C120,Player_Analysis!$A$2:$A$700,0))</f>
        <v>5.1421409934661275</v>
      </c>
      <c r="I120" t="str">
        <f>IF(G120=1,COUNTIF($G$9:G120,1),"")</f>
        <v/>
      </c>
      <c r="J120">
        <f>IFERROR(INDEX(Player_Analysis!$H$2:$H$596,MATCH($C120,Player_Analysis!$A$2:$A$596,0)),0)</f>
        <v>1</v>
      </c>
    </row>
    <row r="121" spans="1:10" x14ac:dyDescent="0.25">
      <c r="A121" s="9" t="s">
        <v>1190</v>
      </c>
      <c r="B121">
        <v>40</v>
      </c>
      <c r="C121" s="11" t="str">
        <f t="array" ref="C121">INDEX(Player_Analysis!$A$2:$A$700,MATCH(1,(Player_Analysis!$B$2:$B$700=A121)*(Player_Analysis!$BB$2:$BB$700=B121),0))</f>
        <v>Anton Stach</v>
      </c>
      <c r="D121" s="9" t="str">
        <f>INDEX(Player_Analysis!$D$2:$D$700,MATCH(C121,Player_Analysis!$A$2:$A$700,0))</f>
        <v>LEE</v>
      </c>
      <c r="E121">
        <f>INDEX(Player_Analysis!$E$2:$E$700,MATCH(C121,Player_Analysis!$A$2:$A$700,0))</f>
        <v>6</v>
      </c>
      <c r="F121" s="2">
        <f>INDEX(Player_Analysis!$BA$2:$BA$700,MATCH(C121,Player_Analysis!$A$2:$A$700,0))</f>
        <v>5.1176749948598372</v>
      </c>
      <c r="G121">
        <v>0</v>
      </c>
      <c r="H121" s="2">
        <f>INDEX(Player_Analysis!$AT$2:$AT$700,MATCH(C121,Player_Analysis!$A$2:$A$700,0))</f>
        <v>5.1176749948598372</v>
      </c>
      <c r="I121" t="str">
        <f>IF(G121=1,COUNTIF($G$9:G121,1),"")</f>
        <v/>
      </c>
      <c r="J121">
        <f>IFERROR(INDEX(Player_Analysis!$H$2:$H$596,MATCH($C121,Player_Analysis!$A$2:$A$596,0)),0)</f>
        <v>1</v>
      </c>
    </row>
    <row r="122" spans="1:10" x14ac:dyDescent="0.25">
      <c r="A122" s="9" t="s">
        <v>1190</v>
      </c>
      <c r="B122">
        <v>41</v>
      </c>
      <c r="C122" s="11" t="str">
        <f t="array" ref="C122">INDEX(Player_Analysis!$A$2:$A$700,MATCH(1,(Player_Analysis!$B$2:$B$700=A122)*(Player_Analysis!$BB$2:$BB$700=B122),0))</f>
        <v>Mohamed Belloumi</v>
      </c>
      <c r="D122" s="9" t="str">
        <f>INDEX(Player_Analysis!$D$2:$D$700,MATCH(C122,Player_Analysis!$A$2:$A$700,0))</f>
        <v>HUL</v>
      </c>
      <c r="E122">
        <f>INDEX(Player_Analysis!$E$2:$E$700,MATCH(C122,Player_Analysis!$A$2:$A$700,0))</f>
        <v>5</v>
      </c>
      <c r="F122" s="2">
        <f>INDEX(Player_Analysis!$BA$2:$BA$700,MATCH(C122,Player_Analysis!$A$2:$A$700,0))</f>
        <v>5.0775472461944551</v>
      </c>
      <c r="G122">
        <v>0</v>
      </c>
      <c r="H122" s="2">
        <f>INDEX(Player_Analysis!$AT$2:$AT$700,MATCH(C122,Player_Analysis!$A$2:$A$700,0))</f>
        <v>5.0775472461944551</v>
      </c>
      <c r="J122">
        <f>IFERROR(INDEX(Player_Analysis!$H$2:$H$596,MATCH($C122,Player_Analysis!$A$2:$A$596,0)),0)</f>
        <v>1</v>
      </c>
    </row>
    <row r="123" spans="1:10" x14ac:dyDescent="0.25">
      <c r="A123" s="9" t="s">
        <v>1190</v>
      </c>
      <c r="B123">
        <v>42</v>
      </c>
      <c r="C123" s="11" t="str">
        <f t="array" ref="C123">INDEX(Player_Analysis!$A$2:$A$700,MATCH(1,(Player_Analysis!$B$2:$B$700=A123)*(Player_Analysis!$BB$2:$BB$700=B123),0))</f>
        <v>Alex Scott</v>
      </c>
      <c r="D123" s="9" t="str">
        <f>INDEX(Player_Analysis!$D$2:$D$700,MATCH(C123,Player_Analysis!$A$2:$A$700,0))</f>
        <v>BOU</v>
      </c>
      <c r="E123">
        <f>INDEX(Player_Analysis!$E$2:$E$700,MATCH(C123,Player_Analysis!$A$2:$A$700,0))</f>
        <v>6</v>
      </c>
      <c r="F123" s="2">
        <f>INDEX(Player_Analysis!$BA$2:$BA$700,MATCH(C123,Player_Analysis!$A$2:$A$700,0))</f>
        <v>5.0484145636262303</v>
      </c>
      <c r="G123">
        <v>0</v>
      </c>
      <c r="H123" s="2">
        <f>INDEX(Player_Analysis!$AT$2:$AT$700,MATCH(C123,Player_Analysis!$A$2:$A$700,0))</f>
        <v>5.0484145636262303</v>
      </c>
      <c r="J123">
        <f>IFERROR(INDEX(Player_Analysis!$H$2:$H$596,MATCH($C123,Player_Analysis!$A$2:$A$596,0)),0)</f>
        <v>1</v>
      </c>
    </row>
    <row r="124" spans="1:10" x14ac:dyDescent="0.25">
      <c r="A124" s="9" t="s">
        <v>1190</v>
      </c>
      <c r="B124">
        <v>43</v>
      </c>
      <c r="C124" s="11" t="str">
        <f t="array" ref="C124">INDEX(Player_Analysis!$A$2:$A$700,MATCH(1,(Player_Analysis!$B$2:$B$700=A124)*(Player_Analysis!$BB$2:$BB$700=B124),0))</f>
        <v>Antoine Semenyo</v>
      </c>
      <c r="D124" s="9" t="str">
        <f>INDEX(Player_Analysis!$D$2:$D$700,MATCH(C124,Player_Analysis!$A$2:$A$700,0))</f>
        <v>MCI</v>
      </c>
      <c r="E124">
        <f>INDEX(Player_Analysis!$E$2:$E$700,MATCH(C124,Player_Analysis!$A$2:$A$700,0))</f>
        <v>8.4</v>
      </c>
      <c r="F124" s="2">
        <f>INDEX(Player_Analysis!$BA$2:$BA$700,MATCH(C124,Player_Analysis!$A$2:$A$700,0))</f>
        <v>5.0365719313203439</v>
      </c>
      <c r="G124">
        <v>0</v>
      </c>
      <c r="H124" s="2">
        <f>INDEX(Player_Analysis!$AT$2:$AT$700,MATCH(C124,Player_Analysis!$A$2:$A$700,0))</f>
        <v>5.0365719313203439</v>
      </c>
      <c r="J124">
        <f>IFERROR(INDEX(Player_Analysis!$H$2:$H$596,MATCH($C124,Player_Analysis!$A$2:$A$596,0)),0)</f>
        <v>1</v>
      </c>
    </row>
    <row r="125" spans="1:10" x14ac:dyDescent="0.25">
      <c r="A125" s="9" t="s">
        <v>1190</v>
      </c>
      <c r="B125">
        <v>44</v>
      </c>
      <c r="C125" s="11" t="str">
        <f t="array" ref="C125">INDEX(Player_Analysis!$A$2:$A$700,MATCH(1,(Player_Analysis!$B$2:$B$700=A125)*(Player_Analysis!$BB$2:$BB$700=B125),0))</f>
        <v>Malick Yalcouyé</v>
      </c>
      <c r="D125" s="9" t="str">
        <f>INDEX(Player_Analysis!$D$2:$D$700,MATCH(C125,Player_Analysis!$A$2:$A$700,0))</f>
        <v>BHA</v>
      </c>
      <c r="E125">
        <f>INDEX(Player_Analysis!$E$2:$E$700,MATCH(C125,Player_Analysis!$A$2:$A$700,0))</f>
        <v>4.5</v>
      </c>
      <c r="F125" s="2">
        <f>INDEX(Player_Analysis!$BA$2:$BA$700,MATCH(C125,Player_Analysis!$A$2:$A$700,0))</f>
        <v>4.9805112635455728</v>
      </c>
      <c r="G125">
        <v>0</v>
      </c>
      <c r="H125" s="2">
        <f>INDEX(Player_Analysis!$AT$2:$AT$700,MATCH(C125,Player_Analysis!$A$2:$A$700,0))</f>
        <v>4.9805112635455728</v>
      </c>
      <c r="J125">
        <f>IFERROR(INDEX(Player_Analysis!$H$2:$H$596,MATCH($C125,Player_Analysis!$A$2:$A$596,0)),0)</f>
        <v>1</v>
      </c>
    </row>
    <row r="126" spans="1:10" x14ac:dyDescent="0.25">
      <c r="A126" s="9" t="s">
        <v>1190</v>
      </c>
      <c r="B126">
        <v>45</v>
      </c>
      <c r="C126" s="11" t="str">
        <f t="array" ref="C126">INDEX(Player_Analysis!$A$2:$A$700,MATCH(1,(Player_Analysis!$B$2:$B$700=A126)*(Player_Analysis!$BB$2:$BB$700=B126),0))</f>
        <v>Declan Rice</v>
      </c>
      <c r="D126" s="9" t="str">
        <f>INDEX(Player_Analysis!$D$2:$D$700,MATCH(C126,Player_Analysis!$A$2:$A$700,0))</f>
        <v>ARS</v>
      </c>
      <c r="E126">
        <f>INDEX(Player_Analysis!$E$2:$E$700,MATCH(C126,Player_Analysis!$A$2:$A$700,0))</f>
        <v>7.4</v>
      </c>
      <c r="F126" s="2">
        <f>INDEX(Player_Analysis!$BA$2:$BA$700,MATCH(C126,Player_Analysis!$A$2:$A$700,0))</f>
        <v>4.957880196263396</v>
      </c>
      <c r="G126">
        <v>0</v>
      </c>
      <c r="H126" s="2">
        <f>INDEX(Player_Analysis!$AT$2:$AT$700,MATCH(C126,Player_Analysis!$A$2:$A$700,0))</f>
        <v>4.957880196263396</v>
      </c>
      <c r="J126">
        <f>IFERROR(INDEX(Player_Analysis!$H$2:$H$596,MATCH($C126,Player_Analysis!$A$2:$A$596,0)),0)</f>
        <v>1</v>
      </c>
    </row>
    <row r="127" spans="1:10" x14ac:dyDescent="0.25">
      <c r="A127" s="9" t="s">
        <v>1190</v>
      </c>
      <c r="B127">
        <v>46</v>
      </c>
      <c r="C127" s="11" t="str">
        <f t="array" ref="C127">INDEX(Player_Analysis!$A$2:$A$700,MATCH(1,(Player_Analysis!$B$2:$B$700=A127)*(Player_Analysis!$BB$2:$BB$700=B127),0))</f>
        <v>Brennan Johnson</v>
      </c>
      <c r="D127" s="9" t="str">
        <f>INDEX(Player_Analysis!$D$2:$D$700,MATCH(C127,Player_Analysis!$A$2:$A$700,0))</f>
        <v>EVE</v>
      </c>
      <c r="E127">
        <f>INDEX(Player_Analysis!$E$2:$E$700,MATCH(C127,Player_Analysis!$A$2:$A$700,0))</f>
        <v>5.9</v>
      </c>
      <c r="F127" s="2">
        <f>INDEX(Player_Analysis!$BA$2:$BA$700,MATCH(C127,Player_Analysis!$A$2:$A$700,0))</f>
        <v>4.9353695649314195</v>
      </c>
      <c r="G127">
        <v>0</v>
      </c>
      <c r="H127" s="2">
        <f>INDEX(Player_Analysis!$AT$2:$AT$700,MATCH(C127,Player_Analysis!$A$2:$A$700,0))</f>
        <v>4.9353695649314195</v>
      </c>
      <c r="J127">
        <f>IFERROR(INDEX(Player_Analysis!$H$2:$H$596,MATCH($C127,Player_Analysis!$A$2:$A$596,0)),0)</f>
        <v>1</v>
      </c>
    </row>
    <row r="128" spans="1:10" x14ac:dyDescent="0.25">
      <c r="A128" s="9" t="s">
        <v>1190</v>
      </c>
      <c r="B128">
        <v>47</v>
      </c>
      <c r="C128" s="11" t="str">
        <f t="array" ref="C128">INDEX(Player_Analysis!$A$2:$A$700,MATCH(1,(Player_Analysis!$B$2:$B$700=A128)*(Player_Analysis!$BB$2:$BB$700=B128),0))</f>
        <v>Exequiel Palacios</v>
      </c>
      <c r="D128" s="9" t="str">
        <f>INDEX(Player_Analysis!$D$2:$D$700,MATCH(C128,Player_Analysis!$A$2:$A$700,0))</f>
        <v>IPS</v>
      </c>
      <c r="E128">
        <f>INDEX(Player_Analysis!$E$2:$E$700,MATCH(C128,Player_Analysis!$A$2:$A$700,0))</f>
        <v>5</v>
      </c>
      <c r="F128" s="2">
        <f>INDEX(Player_Analysis!$BA$2:$BA$700,MATCH(C128,Player_Analysis!$A$2:$A$700,0))</f>
        <v>4.8888343831650296</v>
      </c>
      <c r="G128">
        <v>0</v>
      </c>
      <c r="H128" s="2">
        <f>INDEX(Player_Analysis!$AT$2:$AT$700,MATCH(C128,Player_Analysis!$A$2:$A$700,0))</f>
        <v>4.8888343831650296</v>
      </c>
      <c r="J128">
        <f>IFERROR(INDEX(Player_Analysis!$H$2:$H$596,MATCH($C128,Player_Analysis!$A$2:$A$596,0)),0)</f>
        <v>1</v>
      </c>
    </row>
    <row r="129" spans="1:10" x14ac:dyDescent="0.25">
      <c r="A129" s="9" t="s">
        <v>1190</v>
      </c>
      <c r="B129">
        <v>48</v>
      </c>
      <c r="C129" s="11" t="str">
        <f t="array" ref="C129">INDEX(Player_Analysis!$A$2:$A$700,MATCH(1,(Player_Analysis!$B$2:$B$700=A129)*(Player_Analysis!$BB$2:$BB$700=B129),0))</f>
        <v>Daizen Maeda</v>
      </c>
      <c r="D129" s="9" t="str">
        <f>INDEX(Player_Analysis!$D$2:$D$700,MATCH(C129,Player_Analysis!$A$2:$A$700,0))</f>
        <v>IPS</v>
      </c>
      <c r="E129">
        <f>INDEX(Player_Analysis!$E$2:$E$700,MATCH(C129,Player_Analysis!$A$2:$A$700,0))</f>
        <v>5.4</v>
      </c>
      <c r="F129" s="2">
        <f>INDEX(Player_Analysis!$BA$2:$BA$700,MATCH(C129,Player_Analysis!$A$2:$A$700,0))</f>
        <v>4.8580152825836205</v>
      </c>
      <c r="G129">
        <v>0</v>
      </c>
      <c r="H129" s="2">
        <f>INDEX(Player_Analysis!$AT$2:$AT$700,MATCH(C129,Player_Analysis!$A$2:$A$700,0))</f>
        <v>4.8580152825836205</v>
      </c>
      <c r="J129">
        <f>IFERROR(INDEX(Player_Analysis!$H$2:$H$596,MATCH($C129,Player_Analysis!$A$2:$A$596,0)),0)</f>
        <v>1</v>
      </c>
    </row>
    <row r="130" spans="1:10" x14ac:dyDescent="0.25">
      <c r="A130" s="9" t="s">
        <v>1190</v>
      </c>
      <c r="B130">
        <v>49</v>
      </c>
      <c r="C130" s="11" t="str">
        <f t="array" ref="C130">INDEX(Player_Analysis!$A$2:$A$700,MATCH(1,(Player_Analysis!$B$2:$B$700=A130)*(Player_Analysis!$BB$2:$BB$700=B130),0))</f>
        <v>Morgan Gibbs-White</v>
      </c>
      <c r="D130" s="9" t="str">
        <f>INDEX(Player_Analysis!$D$2:$D$700,MATCH(C130,Player_Analysis!$A$2:$A$700,0))</f>
        <v>NFO</v>
      </c>
      <c r="E130">
        <f>INDEX(Player_Analysis!$E$2:$E$700,MATCH(C130,Player_Analysis!$A$2:$A$700,0))</f>
        <v>7.9</v>
      </c>
      <c r="F130" s="2">
        <f>INDEX(Player_Analysis!$BA$2:$BA$700,MATCH(C130,Player_Analysis!$A$2:$A$700,0))</f>
        <v>4.8564199122349407</v>
      </c>
      <c r="G130">
        <v>0</v>
      </c>
      <c r="H130" s="2">
        <f>INDEX(Player_Analysis!$AT$2:$AT$700,MATCH(C130,Player_Analysis!$A$2:$A$700,0))</f>
        <v>4.8564199122349407</v>
      </c>
      <c r="J130">
        <f>IFERROR(INDEX(Player_Analysis!$H$2:$H$596,MATCH($C130,Player_Analysis!$A$2:$A$596,0)),0)</f>
        <v>1</v>
      </c>
    </row>
    <row r="131" spans="1:10" x14ac:dyDescent="0.25">
      <c r="A131" s="9" t="s">
        <v>1191</v>
      </c>
      <c r="B131">
        <v>1</v>
      </c>
      <c r="C131" s="11" t="str">
        <f t="array" ref="C131">INDEX(Player_Analysis!$A$2:$A$700,MATCH(1,(Player_Analysis!$B$2:$B$700=A131)*(Player_Analysis!$BB$2:$BB$700=B131),0))</f>
        <v>Erling Haaland</v>
      </c>
      <c r="D131" s="9" t="str">
        <f>INDEX(Player_Analysis!$D$2:$D$700,MATCH(C131,Player_Analysis!$A$2:$A$700,0))</f>
        <v>MCI</v>
      </c>
      <c r="E131">
        <f>INDEX(Player_Analysis!$E$2:$E$700,MATCH(C131,Player_Analysis!$A$2:$A$700,0))</f>
        <v>15.5</v>
      </c>
      <c r="F131" s="2">
        <f>INDEX(Player_Analysis!$BA$2:$BA$700,MATCH(C131,Player_Analysis!$A$2:$A$700,0))</f>
        <v>7.7831264366143147</v>
      </c>
      <c r="G131">
        <v>1</v>
      </c>
      <c r="H131" s="2">
        <f>INDEX(Player_Analysis!$AT$2:$AT$700,MATCH(C131,Player_Analysis!$A$2:$A$700,0))</f>
        <v>7.7831264366143147</v>
      </c>
      <c r="I131">
        <f>IF(G131=1,COUNTIF($G$9:G131,1),"")</f>
        <v>13</v>
      </c>
      <c r="J131">
        <f>IFERROR(INDEX(Player_Analysis!$H$2:$H$596,MATCH($C131,Player_Analysis!$A$2:$A$596,0)),0)</f>
        <v>1</v>
      </c>
    </row>
    <row r="132" spans="1:10" x14ac:dyDescent="0.25">
      <c r="A132" s="9" t="s">
        <v>1191</v>
      </c>
      <c r="B132">
        <v>2</v>
      </c>
      <c r="C132" s="11" t="str">
        <f t="array" ref="C132">INDEX(Player_Analysis!$A$2:$A$700,MATCH(1,(Player_Analysis!$B$2:$B$700=A132)*(Player_Analysis!$BB$2:$BB$700=B132),0))</f>
        <v>Igor Thiago Nascimento Rodrigues</v>
      </c>
      <c r="D132" s="9" t="str">
        <f>INDEX(Player_Analysis!$D$2:$D$700,MATCH(C132,Player_Analysis!$A$2:$A$700,0))</f>
        <v>BRE</v>
      </c>
      <c r="E132">
        <f>INDEX(Player_Analysis!$E$2:$E$700,MATCH(C132,Player_Analysis!$A$2:$A$700,0))</f>
        <v>7.9</v>
      </c>
      <c r="F132" s="2">
        <f>INDEX(Player_Analysis!$BA$2:$BA$700,MATCH(C132,Player_Analysis!$A$2:$A$700,0))</f>
        <v>6.688367019006515</v>
      </c>
      <c r="G132">
        <v>1</v>
      </c>
      <c r="H132" s="2">
        <f>INDEX(Player_Analysis!$AT$2:$AT$700,MATCH(C132,Player_Analysis!$A$2:$A$700,0))</f>
        <v>6.688367019006515</v>
      </c>
      <c r="I132">
        <f>IF(G132=1,COUNTIF($G$9:G132,1),"")</f>
        <v>14</v>
      </c>
      <c r="J132">
        <f>IFERROR(INDEX(Player_Analysis!$H$2:$H$596,MATCH($C132,Player_Analysis!$A$2:$A$596,0)),0)</f>
        <v>1</v>
      </c>
    </row>
    <row r="133" spans="1:10" x14ac:dyDescent="0.25">
      <c r="A133" s="9" t="s">
        <v>1191</v>
      </c>
      <c r="B133">
        <v>3</v>
      </c>
      <c r="C133" s="11" t="str">
        <f t="array" ref="C133">INDEX(Player_Analysis!$A$2:$A$700,MATCH(1,(Player_Analysis!$B$2:$B$700=A133)*(Player_Analysis!$BB$2:$BB$700=B133),0))</f>
        <v>Thierno Barry</v>
      </c>
      <c r="D133" s="9" t="str">
        <f>INDEX(Player_Analysis!$D$2:$D$700,MATCH(C133,Player_Analysis!$A$2:$A$700,0))</f>
        <v>EVE</v>
      </c>
      <c r="E133">
        <f>INDEX(Player_Analysis!$E$2:$E$700,MATCH(C133,Player_Analysis!$A$2:$A$700,0))</f>
        <v>5.6</v>
      </c>
      <c r="F133" s="2">
        <f>INDEX(Player_Analysis!$BA$2:$BA$700,MATCH(C133,Player_Analysis!$A$2:$A$700,0))</f>
        <v>6.2822814728479317</v>
      </c>
      <c r="G133">
        <v>1</v>
      </c>
      <c r="H133" s="2">
        <f>INDEX(Player_Analysis!$AT$2:$AT$700,MATCH(C133,Player_Analysis!$A$2:$A$700,0))</f>
        <v>6.2822814728479317</v>
      </c>
      <c r="I133">
        <f>IF(G133=1,COUNTIF($G$9:G133,1),"")</f>
        <v>15</v>
      </c>
      <c r="J133">
        <f>IFERROR(INDEX(Player_Analysis!$H$2:$H$596,MATCH($C133,Player_Analysis!$A$2:$A$596,0)),0)</f>
        <v>1</v>
      </c>
    </row>
    <row r="134" spans="1:10" x14ac:dyDescent="0.25">
      <c r="A134" s="9" t="s">
        <v>1191</v>
      </c>
      <c r="B134">
        <v>4</v>
      </c>
      <c r="C134" s="11" t="str">
        <f t="array" ref="C134">INDEX(Player_Analysis!$A$2:$A$700,MATCH(1,(Player_Analysis!$B$2:$B$700=A134)*(Player_Analysis!$BB$2:$BB$700=B134),0))</f>
        <v>Alexander Isak</v>
      </c>
      <c r="D134" s="9" t="str">
        <f>INDEX(Player_Analysis!$D$2:$D$700,MATCH(C134,Player_Analysis!$A$2:$A$700,0))</f>
        <v>LIV</v>
      </c>
      <c r="E134">
        <f>INDEX(Player_Analysis!$E$2:$E$700,MATCH(C134,Player_Analysis!$A$2:$A$700,0))</f>
        <v>9</v>
      </c>
      <c r="F134" s="2">
        <f>INDEX(Player_Analysis!$BA$2:$BA$700,MATCH(C134,Player_Analysis!$A$2:$A$700,0))</f>
        <v>6.0486493842855733</v>
      </c>
      <c r="G134">
        <v>0</v>
      </c>
      <c r="H134" s="2">
        <f>INDEX(Player_Analysis!$AT$2:$AT$700,MATCH(C134,Player_Analysis!$A$2:$A$700,0))</f>
        <v>6.0486493842855733</v>
      </c>
      <c r="I134" t="str">
        <f>IF(G134=1,COUNTIF($G$9:G134,1),"")</f>
        <v/>
      </c>
      <c r="J134">
        <f>IFERROR(INDEX(Player_Analysis!$H$2:$H$596,MATCH($C134,Player_Analysis!$A$2:$A$596,0)),0)</f>
        <v>1</v>
      </c>
    </row>
    <row r="135" spans="1:10" x14ac:dyDescent="0.25">
      <c r="A135" s="9" t="s">
        <v>1191</v>
      </c>
      <c r="B135">
        <v>5</v>
      </c>
      <c r="C135" s="11" t="str">
        <f t="array" ref="C135">INDEX(Player_Analysis!$A$2:$A$700,MATCH(1,(Player_Analysis!$B$2:$B$700=A135)*(Player_Analysis!$BB$2:$BB$700=B135),0))</f>
        <v>Jean-Philippe Mateta</v>
      </c>
      <c r="D135" s="9" t="str">
        <f>INDEX(Player_Analysis!$D$2:$D$700,MATCH(C135,Player_Analysis!$A$2:$A$700,0))</f>
        <v>CRY</v>
      </c>
      <c r="E135">
        <f>INDEX(Player_Analysis!$E$2:$E$700,MATCH(C135,Player_Analysis!$A$2:$A$700,0))</f>
        <v>6.4</v>
      </c>
      <c r="F135" s="2">
        <f>INDEX(Player_Analysis!$BA$2:$BA$700,MATCH(C135,Player_Analysis!$A$2:$A$700,0))</f>
        <v>5.7344533115348524</v>
      </c>
      <c r="G135">
        <v>0</v>
      </c>
      <c r="H135" s="2">
        <f>INDEX(Player_Analysis!$AT$2:$AT$700,MATCH(C135,Player_Analysis!$A$2:$A$700,0))</f>
        <v>5.7344533115348524</v>
      </c>
      <c r="I135" t="str">
        <f>IF(G135=1,COUNTIF($G$9:G135,1),"")</f>
        <v/>
      </c>
      <c r="J135">
        <f>IFERROR(INDEX(Player_Analysis!$H$2:$H$596,MATCH($C135,Player_Analysis!$A$2:$A$596,0)),0)</f>
        <v>0</v>
      </c>
    </row>
    <row r="136" spans="1:10" x14ac:dyDescent="0.25">
      <c r="A136" s="9" t="s">
        <v>1191</v>
      </c>
      <c r="B136">
        <v>6</v>
      </c>
      <c r="C136" s="11" t="str">
        <f t="array" ref="C136">INDEX(Player_Analysis!$A$2:$A$700,MATCH(1,(Player_Analysis!$B$2:$B$700=A136)*(Player_Analysis!$BB$2:$BB$700=B136),0))</f>
        <v>Eddie Nketiah</v>
      </c>
      <c r="D136" s="9" t="str">
        <f>INDEX(Player_Analysis!$D$2:$D$700,MATCH(C136,Player_Analysis!$A$2:$A$700,0))</f>
        <v>CRY</v>
      </c>
      <c r="E136">
        <f>INDEX(Player_Analysis!$E$2:$E$700,MATCH(C136,Player_Analysis!$A$2:$A$700,0))</f>
        <v>5.5</v>
      </c>
      <c r="F136" s="2">
        <f>INDEX(Player_Analysis!$BA$2:$BA$700,MATCH(C136,Player_Analysis!$A$2:$A$700,0))</f>
        <v>5.5734820978396566</v>
      </c>
      <c r="G136">
        <v>0</v>
      </c>
      <c r="H136" s="2">
        <f>INDEX(Player_Analysis!$AT$2:$AT$700,MATCH(C136,Player_Analysis!$A$2:$A$700,0))</f>
        <v>5.5734820978396566</v>
      </c>
      <c r="I136" t="str">
        <f>IF(G136=1,COUNTIF($G$9:G136,1),"")</f>
        <v/>
      </c>
      <c r="J136">
        <f>IFERROR(INDEX(Player_Analysis!$H$2:$H$596,MATCH($C136,Player_Analysis!$A$2:$A$596,0)),0)</f>
        <v>1</v>
      </c>
    </row>
    <row r="137" spans="1:10" x14ac:dyDescent="0.25">
      <c r="A137" s="9" t="s">
        <v>1191</v>
      </c>
      <c r="B137">
        <v>7</v>
      </c>
      <c r="C137" s="11" t="str">
        <f t="array" ref="C137">INDEX(Player_Analysis!$A$2:$A$700,MATCH(1,(Player_Analysis!$B$2:$B$700=A137)*(Player_Analysis!$BB$2:$BB$700=B137),0))</f>
        <v>Charalampos Kostoulas</v>
      </c>
      <c r="D137" s="9" t="str">
        <f>INDEX(Player_Analysis!$D$2:$D$700,MATCH(C137,Player_Analysis!$A$2:$A$700,0))</f>
        <v>BHA</v>
      </c>
      <c r="E137">
        <f>INDEX(Player_Analysis!$E$2:$E$700,MATCH(C137,Player_Analysis!$A$2:$A$700,0))</f>
        <v>5.5</v>
      </c>
      <c r="F137" s="2">
        <f>INDEX(Player_Analysis!$BA$2:$BA$700,MATCH(C137,Player_Analysis!$A$2:$A$700,0))</f>
        <v>5.2940591654552529</v>
      </c>
      <c r="G137">
        <v>0</v>
      </c>
      <c r="H137" s="2">
        <f>INDEX(Player_Analysis!$AT$2:$AT$700,MATCH(C137,Player_Analysis!$A$2:$A$700,0))</f>
        <v>5.2940591654552529</v>
      </c>
      <c r="I137" t="str">
        <f>IF(G137=1,COUNTIF($G$9:G137,1),"")</f>
        <v/>
      </c>
      <c r="J137">
        <f>IFERROR(INDEX(Player_Analysis!$H$2:$H$596,MATCH($C137,Player_Analysis!$A$2:$A$596,0)),0)</f>
        <v>1</v>
      </c>
    </row>
    <row r="138" spans="1:10" x14ac:dyDescent="0.25">
      <c r="A138" s="9" t="s">
        <v>1191</v>
      </c>
      <c r="B138">
        <v>8</v>
      </c>
      <c r="C138" s="11" t="str">
        <f t="array" ref="C138">INDEX(Player_Analysis!$A$2:$A$700,MATCH(1,(Player_Analysis!$B$2:$B$700=A138)*(Player_Analysis!$BB$2:$BB$700=B138),0))</f>
        <v>João Pedro Junqueira de Jesus</v>
      </c>
      <c r="D138" s="9" t="str">
        <f>INDEX(Player_Analysis!$D$2:$D$700,MATCH(C138,Player_Analysis!$A$2:$A$700,0))</f>
        <v>CHE</v>
      </c>
      <c r="E138">
        <f>INDEX(Player_Analysis!$E$2:$E$700,MATCH(C138,Player_Analysis!$A$2:$A$700,0))</f>
        <v>7.7</v>
      </c>
      <c r="F138" s="2">
        <f>INDEX(Player_Analysis!$BA$2:$BA$700,MATCH(C138,Player_Analysis!$A$2:$A$700,0))</f>
        <v>5.2331743982407986</v>
      </c>
      <c r="G138">
        <v>0</v>
      </c>
      <c r="H138" s="2">
        <f>INDEX(Player_Analysis!$AT$2:$AT$700,MATCH(C138,Player_Analysis!$A$2:$A$700,0))</f>
        <v>5.2331743982407986</v>
      </c>
      <c r="I138" t="str">
        <f>IF(G138=1,COUNTIF($G$9:G138,1),"")</f>
        <v/>
      </c>
      <c r="J138">
        <f>IFERROR(INDEX(Player_Analysis!$H$2:$H$596,MATCH($C138,Player_Analysis!$A$2:$A$596,0)),0)</f>
        <v>1</v>
      </c>
    </row>
    <row r="139" spans="1:10" x14ac:dyDescent="0.25">
      <c r="A139" s="9" t="s">
        <v>1191</v>
      </c>
      <c r="B139">
        <v>9</v>
      </c>
      <c r="C139" s="11" t="str">
        <f t="array" ref="C139">INDEX(Player_Analysis!$A$2:$A$700,MATCH(1,(Player_Analysis!$B$2:$B$700=A139)*(Player_Analysis!$BB$2:$BB$700=B139),0))</f>
        <v>Gonzalo García</v>
      </c>
      <c r="D139" s="9" t="str">
        <f>INDEX(Player_Analysis!$D$2:$D$700,MATCH(C139,Player_Analysis!$A$2:$A$700,0))</f>
        <v>FUL</v>
      </c>
      <c r="E139">
        <f>INDEX(Player_Analysis!$E$2:$E$700,MATCH(C139,Player_Analysis!$A$2:$A$700,0))</f>
        <v>6</v>
      </c>
      <c r="F139" s="2">
        <f>INDEX(Player_Analysis!$BA$2:$BA$700,MATCH(C139,Player_Analysis!$A$2:$A$700,0))</f>
        <v>5.0607910034602073</v>
      </c>
      <c r="G139">
        <v>0</v>
      </c>
      <c r="H139" s="2">
        <f>INDEX(Player_Analysis!$AT$2:$AT$700,MATCH(C139,Player_Analysis!$A$2:$A$700,0))</f>
        <v>5.0607910034602073</v>
      </c>
      <c r="I139" t="str">
        <f>IF(G139=1,COUNTIF($G$9:G139,1),"")</f>
        <v/>
      </c>
      <c r="J139">
        <f>IFERROR(INDEX(Player_Analysis!$H$2:$H$596,MATCH($C139,Player_Analysis!$A$2:$A$596,0)),0)</f>
        <v>1</v>
      </c>
    </row>
    <row r="140" spans="1:10" x14ac:dyDescent="0.25">
      <c r="A140" s="9" t="s">
        <v>1191</v>
      </c>
      <c r="B140">
        <v>10</v>
      </c>
      <c r="C140" s="11" t="str">
        <f t="array" ref="C140">INDEX(Player_Analysis!$A$2:$A$700,MATCH(1,(Player_Analysis!$B$2:$B$700=A140)*(Player_Analysis!$BB$2:$BB$700=B140),0))</f>
        <v>Georginio Rutter</v>
      </c>
      <c r="D140" s="9" t="str">
        <f>INDEX(Player_Analysis!$D$2:$D$700,MATCH(C140,Player_Analysis!$A$2:$A$700,0))</f>
        <v>BHA</v>
      </c>
      <c r="E140">
        <f>INDEX(Player_Analysis!$E$2:$E$700,MATCH(C140,Player_Analysis!$A$2:$A$700,0))</f>
        <v>5.5</v>
      </c>
      <c r="F140" s="2">
        <f>INDEX(Player_Analysis!$BA$2:$BA$700,MATCH(C140,Player_Analysis!$A$2:$A$700,0))</f>
        <v>4.9862970016852275</v>
      </c>
      <c r="G140">
        <v>0</v>
      </c>
      <c r="H140" s="2">
        <f>INDEX(Player_Analysis!$AT$2:$AT$700,MATCH(C140,Player_Analysis!$A$2:$A$700,0))</f>
        <v>4.9862970016852275</v>
      </c>
      <c r="I140" t="str">
        <f>IF(G140=1,COUNTIF($G$9:G140,1),"")</f>
        <v/>
      </c>
      <c r="J140">
        <f>IFERROR(INDEX(Player_Analysis!$H$2:$H$596,MATCH($C140,Player_Analysis!$A$2:$A$596,0)),0)</f>
        <v>0</v>
      </c>
    </row>
    <row r="141" spans="1:10" x14ac:dyDescent="0.25">
      <c r="A141" s="9" t="s">
        <v>1191</v>
      </c>
      <c r="B141">
        <v>11</v>
      </c>
      <c r="C141" s="11" t="str">
        <f t="array" ref="C141">INDEX(Player_Analysis!$A$2:$A$700,MATCH(1,(Player_Analysis!$B$2:$B$700=A141)*(Player_Analysis!$BB$2:$BB$700=B141),0))</f>
        <v>Yoane Wissa</v>
      </c>
      <c r="D141" s="9" t="str">
        <f>INDEX(Player_Analysis!$D$2:$D$700,MATCH(C141,Player_Analysis!$A$2:$A$700,0))</f>
        <v>NEW</v>
      </c>
      <c r="E141">
        <f>INDEX(Player_Analysis!$E$2:$E$700,MATCH(C141,Player_Analysis!$A$2:$A$700,0))</f>
        <v>6.2</v>
      </c>
      <c r="F141" s="2">
        <f>INDEX(Player_Analysis!$BA$2:$BA$700,MATCH(C141,Player_Analysis!$A$2:$A$700,0))</f>
        <v>4.9737151430710824</v>
      </c>
      <c r="G141">
        <v>0</v>
      </c>
      <c r="H141" s="2">
        <f>INDEX(Player_Analysis!$AT$2:$AT$700,MATCH(C141,Player_Analysis!$A$2:$A$700,0))</f>
        <v>4.9737151430710824</v>
      </c>
      <c r="I141" t="str">
        <f>IF(G141=1,COUNTIF($G$9:G141,1),"")</f>
        <v/>
      </c>
      <c r="J141">
        <f>IFERROR(INDEX(Player_Analysis!$H$2:$H$596,MATCH($C141,Player_Analysis!$A$2:$A$596,0)),0)</f>
        <v>1</v>
      </c>
    </row>
    <row r="142" spans="1:10" x14ac:dyDescent="0.25">
      <c r="A142" s="9" t="s">
        <v>1191</v>
      </c>
      <c r="B142">
        <v>12</v>
      </c>
      <c r="C142" s="11" t="str">
        <f t="array" ref="C142">INDEX(Player_Analysis!$A$2:$A$700,MATCH(1,(Player_Analysis!$B$2:$B$700=A142)*(Player_Analysis!$BB$2:$BB$700=B142),0))</f>
        <v>Emersonn Correia da Silva</v>
      </c>
      <c r="D142" s="9" t="str">
        <f>INDEX(Player_Analysis!$D$2:$D$700,MATCH(C142,Player_Analysis!$A$2:$A$700,0))</f>
        <v>IPS</v>
      </c>
      <c r="E142">
        <f>INDEX(Player_Analysis!$E$2:$E$700,MATCH(C142,Player_Analysis!$A$2:$A$700,0))</f>
        <v>5.5</v>
      </c>
      <c r="F142" s="2">
        <f>INDEX(Player_Analysis!$BA$2:$BA$700,MATCH(C142,Player_Analysis!$A$2:$A$700,0))</f>
        <v>4.8791078200692031</v>
      </c>
      <c r="G142">
        <v>0</v>
      </c>
      <c r="H142" s="2">
        <f>INDEX(Player_Analysis!$AT$2:$AT$700,MATCH(C142,Player_Analysis!$A$2:$A$700,0))</f>
        <v>4.8791078200692031</v>
      </c>
      <c r="I142" t="str">
        <f>IF(G142=1,COUNTIF($G$9:G142,1),"")</f>
        <v/>
      </c>
      <c r="J142">
        <f>IFERROR(INDEX(Player_Analysis!$H$2:$H$596,MATCH($C142,Player_Analysis!$A$2:$A$596,0)),0)</f>
        <v>1</v>
      </c>
    </row>
    <row r="143" spans="1:10" x14ac:dyDescent="0.25">
      <c r="A143" s="9" t="s">
        <v>1191</v>
      </c>
      <c r="B143">
        <v>13</v>
      </c>
      <c r="C143" s="11" t="str">
        <f t="array" ref="C143">INDEX(Player_Analysis!$A$2:$A$700,MATCH(1,(Player_Analysis!$B$2:$B$700=A143)*(Player_Analysis!$BB$2:$BB$700=B143),0))</f>
        <v>William Osula</v>
      </c>
      <c r="D143" s="9" t="str">
        <f>INDEX(Player_Analysis!$D$2:$D$700,MATCH(C143,Player_Analysis!$A$2:$A$700,0))</f>
        <v>NEW</v>
      </c>
      <c r="E143">
        <f>INDEX(Player_Analysis!$E$2:$E$700,MATCH(C143,Player_Analysis!$A$2:$A$700,0))</f>
        <v>5.9</v>
      </c>
      <c r="F143" s="2">
        <f>INDEX(Player_Analysis!$BA$2:$BA$700,MATCH(C143,Player_Analysis!$A$2:$A$700,0))</f>
        <v>4.7292681603419533</v>
      </c>
      <c r="G143">
        <v>0</v>
      </c>
      <c r="H143" s="2">
        <f>INDEX(Player_Analysis!$AT$2:$AT$700,MATCH(C143,Player_Analysis!$A$2:$A$700,0))</f>
        <v>4.7292681603419533</v>
      </c>
      <c r="I143" t="str">
        <f>IF(G143=1,COUNTIF($G$9:G143,1),"")</f>
        <v/>
      </c>
      <c r="J143">
        <f>IFERROR(INDEX(Player_Analysis!$H$2:$H$596,MATCH($C143,Player_Analysis!$A$2:$A$596,0)),0)</f>
        <v>0</v>
      </c>
    </row>
    <row r="144" spans="1:10" x14ac:dyDescent="0.25">
      <c r="A144" s="9" t="s">
        <v>1191</v>
      </c>
      <c r="B144">
        <v>14</v>
      </c>
      <c r="C144" s="11" t="str">
        <f t="array" ref="C144">INDEX(Player_Analysis!$A$2:$A$700,MATCH(1,(Player_Analysis!$B$2:$B$700=A144)*(Player_Analysis!$BB$2:$BB$700=B144),0))</f>
        <v>Dominic Calvert-Lewin</v>
      </c>
      <c r="D144" s="9" t="str">
        <f>INDEX(Player_Analysis!$D$2:$D$700,MATCH(C144,Player_Analysis!$A$2:$A$700,0))</f>
        <v>LEE</v>
      </c>
      <c r="E144">
        <f>INDEX(Player_Analysis!$E$2:$E$700,MATCH(C144,Player_Analysis!$A$2:$A$700,0))</f>
        <v>6</v>
      </c>
      <c r="F144" s="2">
        <f>INDEX(Player_Analysis!$BA$2:$BA$700,MATCH(C144,Player_Analysis!$A$2:$A$700,0))</f>
        <v>4.5842002973110718</v>
      </c>
      <c r="G144">
        <v>0</v>
      </c>
      <c r="H144" s="2">
        <f>INDEX(Player_Analysis!$AT$2:$AT$700,MATCH(C144,Player_Analysis!$A$2:$A$700,0))</f>
        <v>4.5842002973110718</v>
      </c>
      <c r="I144" t="str">
        <f>IF(G144=1,COUNTIF($G$9:G144,1),"")</f>
        <v/>
      </c>
      <c r="J144">
        <f>IFERROR(INDEX(Player_Analysis!$H$2:$H$596,MATCH($C144,Player_Analysis!$A$2:$A$596,0)),0)</f>
        <v>1</v>
      </c>
    </row>
    <row r="145" spans="1:10" x14ac:dyDescent="0.25">
      <c r="A145" s="9" t="s">
        <v>1191</v>
      </c>
      <c r="B145">
        <v>15</v>
      </c>
      <c r="C145" s="11" t="str">
        <f t="array" ref="C145">INDEX(Player_Analysis!$A$2:$A$700,MATCH(1,(Player_Analysis!$B$2:$B$700=A145)*(Player_Analysis!$BB$2:$BB$700=B145),0))</f>
        <v>Francisco Evanilson de Lima Barbosa</v>
      </c>
      <c r="D145" s="9" t="str">
        <f>INDEX(Player_Analysis!$D$2:$D$700,MATCH(C145,Player_Analysis!$A$2:$A$700,0))</f>
        <v>BOU</v>
      </c>
      <c r="E145">
        <f>INDEX(Player_Analysis!$E$2:$E$700,MATCH(C145,Player_Analysis!$A$2:$A$700,0))</f>
        <v>6</v>
      </c>
      <c r="F145" s="2">
        <f>INDEX(Player_Analysis!$BA$2:$BA$700,MATCH(C145,Player_Analysis!$A$2:$A$700,0))</f>
        <v>4.3267352487193076</v>
      </c>
      <c r="G145">
        <v>0</v>
      </c>
      <c r="H145" s="2">
        <f>INDEX(Player_Analysis!$AT$2:$AT$700,MATCH(C145,Player_Analysis!$A$2:$A$700,0))</f>
        <v>4.3267352487193076</v>
      </c>
      <c r="I145" t="str">
        <f>IF(G145=1,COUNTIF($G$9:G145,1),"")</f>
        <v/>
      </c>
      <c r="J145">
        <f>IFERROR(INDEX(Player_Analysis!$H$2:$H$596,MATCH($C145,Player_Analysis!$A$2:$A$596,0)),0)</f>
        <v>1</v>
      </c>
    </row>
    <row r="146" spans="1:10" x14ac:dyDescent="0.25">
      <c r="A146" s="9" t="s">
        <v>1191</v>
      </c>
      <c r="B146">
        <v>16</v>
      </c>
      <c r="C146" s="11" t="str">
        <f t="array" ref="C146">INDEX(Player_Analysis!$A$2:$A$700,MATCH(1,(Player_Analysis!$B$2:$B$700=A146)*(Player_Analysis!$BB$2:$BB$700=B146),0))</f>
        <v>Taiwo Awoniyi</v>
      </c>
      <c r="D146" s="9" t="str">
        <f>INDEX(Player_Analysis!$D$2:$D$700,MATCH(C146,Player_Analysis!$A$2:$A$700,0))</f>
        <v>COV</v>
      </c>
      <c r="E146">
        <f>INDEX(Player_Analysis!$E$2:$E$700,MATCH(C146,Player_Analysis!$A$2:$A$700,0))</f>
        <v>5.5</v>
      </c>
      <c r="F146" s="2">
        <f>INDEX(Player_Analysis!$BA$2:$BA$700,MATCH(C146,Player_Analysis!$A$2:$A$700,0))</f>
        <v>4.2402811295861547</v>
      </c>
      <c r="G146">
        <v>0</v>
      </c>
      <c r="H146" s="2">
        <f>INDEX(Player_Analysis!$AT$2:$AT$700,MATCH(C146,Player_Analysis!$A$2:$A$700,0))</f>
        <v>4.2402811295861547</v>
      </c>
      <c r="I146" t="str">
        <f>IF(G146=1,COUNTIF($G$9:G146,1),"")</f>
        <v/>
      </c>
      <c r="J146">
        <f>IFERROR(INDEX(Player_Analysis!$H$2:$H$596,MATCH($C146,Player_Analysis!$A$2:$A$596,0)),0)</f>
        <v>1</v>
      </c>
    </row>
    <row r="147" spans="1:10" x14ac:dyDescent="0.25">
      <c r="A147" s="9" t="s">
        <v>1191</v>
      </c>
      <c r="B147">
        <v>17</v>
      </c>
      <c r="C147" s="11" t="str">
        <f t="array" ref="C147">INDEX(Player_Analysis!$A$2:$A$700,MATCH(1,(Player_Analysis!$B$2:$B$700=A147)*(Player_Analysis!$BB$2:$BB$700=B147),0))</f>
        <v>Kai Havertz</v>
      </c>
      <c r="D147" s="9" t="str">
        <f>INDEX(Player_Analysis!$D$2:$D$700,MATCH(C147,Player_Analysis!$A$2:$A$700,0))</f>
        <v>ARS</v>
      </c>
      <c r="E147">
        <f>INDEX(Player_Analysis!$E$2:$E$700,MATCH(C147,Player_Analysis!$A$2:$A$700,0))</f>
        <v>7.5</v>
      </c>
      <c r="F147" s="2">
        <f>INDEX(Player_Analysis!$BA$2:$BA$700,MATCH(C147,Player_Analysis!$A$2:$A$700,0))</f>
        <v>3.9034783891609734</v>
      </c>
      <c r="G147">
        <v>0</v>
      </c>
      <c r="H147" s="2">
        <f>INDEX(Player_Analysis!$AT$2:$AT$700,MATCH(C147,Player_Analysis!$A$2:$A$700,0))</f>
        <v>3.9034783891609734</v>
      </c>
      <c r="I147" t="str">
        <f>IF(G147=1,COUNTIF($G$9:G147,1),"")</f>
        <v/>
      </c>
      <c r="J147">
        <f>IFERROR(INDEX(Player_Analysis!$H$2:$H$596,MATCH($C147,Player_Analysis!$A$2:$A$596,0)),0)</f>
        <v>1</v>
      </c>
    </row>
    <row r="148" spans="1:10" x14ac:dyDescent="0.25">
      <c r="A148" s="9" t="s">
        <v>1191</v>
      </c>
      <c r="B148">
        <v>18</v>
      </c>
      <c r="C148" s="11" t="str">
        <f t="array" ref="C148">INDEX(Player_Analysis!$A$2:$A$700,MATCH(1,(Player_Analysis!$B$2:$B$700=A148)*(Player_Analysis!$BB$2:$BB$700=B148),0))</f>
        <v>Oli McBurnie</v>
      </c>
      <c r="D148" s="9" t="str">
        <f>INDEX(Player_Analysis!$D$2:$D$700,MATCH(C148,Player_Analysis!$A$2:$A$700,0))</f>
        <v>HUL</v>
      </c>
      <c r="E148">
        <f>INDEX(Player_Analysis!$E$2:$E$700,MATCH(C148,Player_Analysis!$A$2:$A$700,0))</f>
        <v>5.5</v>
      </c>
      <c r="F148" s="2">
        <f>INDEX(Player_Analysis!$BA$2:$BA$700,MATCH(C148,Player_Analysis!$A$2:$A$700,0))</f>
        <v>3.3009970588235293</v>
      </c>
      <c r="G148">
        <v>0</v>
      </c>
      <c r="H148" s="2">
        <f>INDEX(Player_Analysis!$AT$2:$AT$700,MATCH(C148,Player_Analysis!$A$2:$A$700,0))</f>
        <v>3.3009970588235293</v>
      </c>
      <c r="I148" t="str">
        <f>IF(G148=1,COUNTIF($G$9:G148,1),"")</f>
        <v/>
      </c>
      <c r="J148">
        <f>IFERROR(INDEX(Player_Analysis!$H$2:$H$596,MATCH($C148,Player_Analysis!$A$2:$A$596,0)),0)</f>
        <v>1</v>
      </c>
    </row>
    <row r="149" spans="1:10" x14ac:dyDescent="0.25">
      <c r="A149" s="9" t="s">
        <v>1191</v>
      </c>
      <c r="B149">
        <v>19</v>
      </c>
      <c r="C149" s="11" t="str">
        <f t="array" ref="C149">INDEX(Player_Analysis!$A$2:$A$700,MATCH(1,(Player_Analysis!$B$2:$B$700=A149)*(Player_Analysis!$BB$2:$BB$700=B149),0))</f>
        <v>Liam Delap</v>
      </c>
      <c r="D149" s="9" t="str">
        <f>INDEX(Player_Analysis!$D$2:$D$700,MATCH(C149,Player_Analysis!$A$2:$A$700,0))</f>
        <v>NFO</v>
      </c>
      <c r="E149">
        <f>INDEX(Player_Analysis!$E$2:$E$700,MATCH(C149,Player_Analysis!$A$2:$A$700,0))</f>
        <v>5.5</v>
      </c>
      <c r="F149" s="2">
        <f>INDEX(Player_Analysis!$BA$2:$BA$700,MATCH(C149,Player_Analysis!$A$2:$A$700,0))</f>
        <v>3.2668004804392967</v>
      </c>
      <c r="G149">
        <v>0</v>
      </c>
      <c r="H149" s="2">
        <f>INDEX(Player_Analysis!$AT$2:$AT$700,MATCH(C149,Player_Analysis!$A$2:$A$700,0))</f>
        <v>3.2668004804392967</v>
      </c>
      <c r="I149" t="str">
        <f>IF(G149=1,COUNTIF($G$9:G149,1),"")</f>
        <v/>
      </c>
      <c r="J149">
        <f>IFERROR(INDEX(Player_Analysis!$H$2:$H$596,MATCH($C149,Player_Analysis!$A$2:$A$596,0)),0)</f>
        <v>1</v>
      </c>
    </row>
    <row r="150" spans="1:10" x14ac:dyDescent="0.25">
      <c r="A150" s="9" t="s">
        <v>1191</v>
      </c>
      <c r="B150">
        <v>20</v>
      </c>
      <c r="C150" s="11" t="str">
        <f t="array" ref="C150">INDEX(Player_Analysis!$A$2:$A$700,MATCH(1,(Player_Analysis!$B$2:$B$700=A150)*(Player_Analysis!$BB$2:$BB$700=B150),0))</f>
        <v>Igor Jesus Maciel da Cruz</v>
      </c>
      <c r="D150" s="9" t="str">
        <f>INDEX(Player_Analysis!$D$2:$D$700,MATCH(C150,Player_Analysis!$A$2:$A$700,0))</f>
        <v>NFO</v>
      </c>
      <c r="E150">
        <f>INDEX(Player_Analysis!$E$2:$E$700,MATCH(C150,Player_Analysis!$A$2:$A$700,0))</f>
        <v>5.9</v>
      </c>
      <c r="F150" s="2">
        <f>INDEX(Player_Analysis!$BA$2:$BA$700,MATCH(C150,Player_Analysis!$A$2:$A$700,0))</f>
        <v>3.1395653228251468</v>
      </c>
      <c r="G150">
        <v>0</v>
      </c>
      <c r="H150" s="2">
        <f>INDEX(Player_Analysis!$AT$2:$AT$700,MATCH(C150,Player_Analysis!$A$2:$A$700,0))</f>
        <v>3.1395653228251468</v>
      </c>
      <c r="I150" t="str">
        <f>IF(G150=1,COUNTIF($G$9:G150,1),"")</f>
        <v/>
      </c>
      <c r="J150">
        <f>IFERROR(INDEX(Player_Analysis!$H$2:$H$596,MATCH($C150,Player_Analysis!$A$2:$A$596,0)),0)</f>
        <v>1</v>
      </c>
    </row>
    <row r="151" spans="1:10" x14ac:dyDescent="0.25">
      <c r="A151" s="9" t="s">
        <v>1191</v>
      </c>
      <c r="B151">
        <v>21</v>
      </c>
      <c r="C151" s="11" t="str">
        <f t="array" ref="C151">INDEX(Player_Analysis!$A$2:$A$700,MATCH(1,(Player_Analysis!$B$2:$B$700=A151)*(Player_Analysis!$BB$2:$BB$700=B151),0))</f>
        <v>Nicolas Jackson</v>
      </c>
      <c r="D151" s="9" t="str">
        <f>INDEX(Player_Analysis!$D$2:$D$700,MATCH(C151,Player_Analysis!$A$2:$A$700,0))</f>
        <v>AVL</v>
      </c>
      <c r="E151">
        <f>INDEX(Player_Analysis!$E$2:$E$700,MATCH(C151,Player_Analysis!$A$2:$A$700,0))</f>
        <v>6.5</v>
      </c>
      <c r="F151" s="2">
        <f>INDEX(Player_Analysis!$BA$2:$BA$700,MATCH(C151,Player_Analysis!$A$2:$A$700,0))</f>
        <v>3.0610863233406209</v>
      </c>
      <c r="G151">
        <v>0</v>
      </c>
      <c r="H151" s="2">
        <f>INDEX(Player_Analysis!$AT$2:$AT$700,MATCH(C151,Player_Analysis!$A$2:$A$700,0))</f>
        <v>3.0610863233406209</v>
      </c>
      <c r="J151">
        <f>IFERROR(INDEX(Player_Analysis!$H$2:$H$596,MATCH($C151,Player_Analysis!$A$2:$A$596,0)),0)</f>
        <v>1</v>
      </c>
    </row>
    <row r="152" spans="1:10" x14ac:dyDescent="0.25">
      <c r="A152" s="9" t="s">
        <v>1191</v>
      </c>
      <c r="B152">
        <v>22</v>
      </c>
      <c r="C152" s="11" t="str">
        <f t="array" ref="C152">INDEX(Player_Analysis!$A$2:$A$700,MATCH(1,(Player_Analysis!$B$2:$B$700=A152)*(Player_Analysis!$BB$2:$BB$700=B152),0))</f>
        <v>Omar Marmoush</v>
      </c>
      <c r="D152" s="9" t="str">
        <f>INDEX(Player_Analysis!$D$2:$D$700,MATCH(C152,Player_Analysis!$A$2:$A$700,0))</f>
        <v>TOT</v>
      </c>
      <c r="E152">
        <f>INDEX(Player_Analysis!$E$2:$E$700,MATCH(C152,Player_Analysis!$A$2:$A$700,0))</f>
        <v>7</v>
      </c>
      <c r="F152" s="2">
        <f>INDEX(Player_Analysis!$BA$2:$BA$700,MATCH(C152,Player_Analysis!$A$2:$A$700,0))</f>
        <v>2.8923360990737002</v>
      </c>
      <c r="G152">
        <v>0</v>
      </c>
      <c r="H152" s="2">
        <f>INDEX(Player_Analysis!$AT$2:$AT$700,MATCH(C152,Player_Analysis!$A$2:$A$700,0))</f>
        <v>2.8923360990737002</v>
      </c>
      <c r="J152">
        <f>IFERROR(INDEX(Player_Analysis!$H$2:$H$596,MATCH($C152,Player_Analysis!$A$2:$A$596,0)),0)</f>
        <v>1</v>
      </c>
    </row>
    <row r="153" spans="1:10" x14ac:dyDescent="0.25">
      <c r="A153" s="9" t="s">
        <v>1191</v>
      </c>
      <c r="B153">
        <v>23</v>
      </c>
      <c r="C153" s="11" t="str">
        <f t="array" ref="C153">INDEX(Player_Analysis!$A$2:$A$700,MATCH(1,(Player_Analysis!$B$2:$B$700=A153)*(Player_Analysis!$BB$2:$BB$700=B153),0))</f>
        <v>Jørgen Strand Larsen</v>
      </c>
      <c r="D153" s="9" t="str">
        <f>INDEX(Player_Analysis!$D$2:$D$700,MATCH(C153,Player_Analysis!$A$2:$A$700,0))</f>
        <v>CRY</v>
      </c>
      <c r="E153">
        <f>INDEX(Player_Analysis!$E$2:$E$700,MATCH(C153,Player_Analysis!$A$2:$A$700,0))</f>
        <v>6</v>
      </c>
      <c r="F153" s="2">
        <f>INDEX(Player_Analysis!$BA$2:$BA$700,MATCH(C153,Player_Analysis!$A$2:$A$700,0))</f>
        <v>2.5696758099238575</v>
      </c>
      <c r="G153">
        <v>0</v>
      </c>
      <c r="H153" s="2">
        <f>INDEX(Player_Analysis!$AT$2:$AT$700,MATCH(C153,Player_Analysis!$A$2:$A$700,0))</f>
        <v>2.5696758099238575</v>
      </c>
      <c r="J153">
        <f>IFERROR(INDEX(Player_Analysis!$H$2:$H$596,MATCH($C153,Player_Analysis!$A$2:$A$596,0)),0)</f>
        <v>1</v>
      </c>
    </row>
    <row r="154" spans="1:10" x14ac:dyDescent="0.25">
      <c r="A154" s="9" t="s">
        <v>1191</v>
      </c>
      <c r="B154">
        <v>24</v>
      </c>
      <c r="C154" s="11" t="str">
        <f t="array" ref="C154">INDEX(Player_Analysis!$A$2:$A$700,MATCH(1,(Player_Analysis!$B$2:$B$700=A154)*(Player_Analysis!$BB$2:$BB$700=B154),0))</f>
        <v>Ellis Simms</v>
      </c>
      <c r="D154" s="9" t="str">
        <f>INDEX(Player_Analysis!$D$2:$D$700,MATCH(C154,Player_Analysis!$A$2:$A$700,0))</f>
        <v>COV</v>
      </c>
      <c r="E154">
        <f>INDEX(Player_Analysis!$E$2:$E$700,MATCH(C154,Player_Analysis!$A$2:$A$700,0))</f>
        <v>5</v>
      </c>
      <c r="F154" s="2">
        <f>INDEX(Player_Analysis!$BA$2:$BA$700,MATCH(C154,Player_Analysis!$A$2:$A$700,0))</f>
        <v>2.3042909090909087</v>
      </c>
      <c r="G154">
        <v>0</v>
      </c>
      <c r="H154" s="2">
        <f>INDEX(Player_Analysis!$AT$2:$AT$700,MATCH(C154,Player_Analysis!$A$2:$A$700,0))</f>
        <v>2.3042909090909087</v>
      </c>
      <c r="J154">
        <f>IFERROR(INDEX(Player_Analysis!$H$2:$H$596,MATCH($C154,Player_Analysis!$A$2:$A$596,0)),0)</f>
        <v>1</v>
      </c>
    </row>
    <row r="155" spans="1:10" x14ac:dyDescent="0.25">
      <c r="A155" s="9" t="s">
        <v>1191</v>
      </c>
      <c r="B155">
        <v>25</v>
      </c>
      <c r="C155" s="11" t="str">
        <f t="array" ref="C155">INDEX(Player_Analysis!$A$2:$A$700,MATCH(1,(Player_Analysis!$B$2:$B$700=A155)*(Player_Analysis!$BB$2:$BB$700=B155),0))</f>
        <v>Brandon Thomas-Asante</v>
      </c>
      <c r="D155" s="9" t="str">
        <f>INDEX(Player_Analysis!$D$2:$D$700,MATCH(C155,Player_Analysis!$A$2:$A$700,0))</f>
        <v>COV</v>
      </c>
      <c r="E155">
        <f>INDEX(Player_Analysis!$E$2:$E$700,MATCH(C155,Player_Analysis!$A$2:$A$700,0))</f>
        <v>5</v>
      </c>
      <c r="F155" s="2">
        <f>INDEX(Player_Analysis!$BA$2:$BA$700,MATCH(C155,Player_Analysis!$A$2:$A$700,0))</f>
        <v>2.052</v>
      </c>
      <c r="G155">
        <v>0</v>
      </c>
      <c r="H155" s="2">
        <f>INDEX(Player_Analysis!$AT$2:$AT$700,MATCH(C155,Player_Analysis!$A$2:$A$700,0))</f>
        <v>2.052</v>
      </c>
      <c r="J155">
        <f>IFERROR(INDEX(Player_Analysis!$H$2:$H$596,MATCH($C155,Player_Analysis!$A$2:$A$596,0)),0)</f>
        <v>1</v>
      </c>
    </row>
    <row r="156" spans="1:10" x14ac:dyDescent="0.25">
      <c r="A156" s="9" t="s">
        <v>1191</v>
      </c>
      <c r="B156">
        <v>26</v>
      </c>
      <c r="C156" s="11" t="str">
        <f t="array" ref="C156">INDEX(Player_Analysis!$A$2:$A$700,MATCH(1,(Player_Analysis!$B$2:$B$700=A156)*(Player_Analysis!$BB$2:$BB$700=B156),0))</f>
        <v>Viktor Gyökeres</v>
      </c>
      <c r="D156" s="9" t="str">
        <f>INDEX(Player_Analysis!$D$2:$D$700,MATCH(C156,Player_Analysis!$A$2:$A$700,0))</f>
        <v>ARS</v>
      </c>
      <c r="E156">
        <f>INDEX(Player_Analysis!$E$2:$E$700,MATCH(C156,Player_Analysis!$A$2:$A$700,0))</f>
        <v>7.3</v>
      </c>
      <c r="F156" s="2">
        <f>INDEX(Player_Analysis!$BA$2:$BA$700,MATCH(C156,Player_Analysis!$A$2:$A$700,0))</f>
        <v>0</v>
      </c>
      <c r="G156">
        <v>0</v>
      </c>
      <c r="H156" s="2">
        <f>INDEX(Player_Analysis!$AT$2:$AT$700,MATCH(C156,Player_Analysis!$A$2:$A$700,0))</f>
        <v>0</v>
      </c>
      <c r="J156">
        <f>IFERROR(INDEX(Player_Analysis!$H$2:$H$596,MATCH($C156,Player_Analysis!$A$2:$A$596,0)),0)</f>
        <v>1</v>
      </c>
    </row>
    <row r="157" spans="1:10" x14ac:dyDescent="0.25">
      <c r="A157" s="9" t="s">
        <v>1191</v>
      </c>
      <c r="B157">
        <v>27</v>
      </c>
      <c r="C157" s="11" t="str">
        <f t="array" ref="C157">INDEX(Player_Analysis!$A$2:$A$700,MATCH(1,(Player_Analysis!$B$2:$B$700=A157)*(Player_Analysis!$BB$2:$BB$700=B157),0))</f>
        <v>Gabriel Fernando de Jesus</v>
      </c>
      <c r="D157" s="9" t="str">
        <f>INDEX(Player_Analysis!$D$2:$D$700,MATCH(C157,Player_Analysis!$A$2:$A$700,0))</f>
        <v>ARS</v>
      </c>
      <c r="E157">
        <f>INDEX(Player_Analysis!$E$2:$E$700,MATCH(C157,Player_Analysis!$A$2:$A$700,0))</f>
        <v>5.9</v>
      </c>
      <c r="F157" s="2">
        <f>INDEX(Player_Analysis!$BA$2:$BA$700,MATCH(C157,Player_Analysis!$A$2:$A$700,0))</f>
        <v>0</v>
      </c>
      <c r="G157">
        <v>0</v>
      </c>
      <c r="H157" s="2">
        <f>INDEX(Player_Analysis!$AT$2:$AT$700,MATCH(C157,Player_Analysis!$A$2:$A$700,0))</f>
        <v>0</v>
      </c>
      <c r="J157">
        <f>IFERROR(INDEX(Player_Analysis!$H$2:$H$596,MATCH($C157,Player_Analysis!$A$2:$A$596,0)),0)</f>
        <v>0</v>
      </c>
    </row>
    <row r="158" spans="1:10" x14ac:dyDescent="0.25">
      <c r="A158" s="9" t="s">
        <v>1191</v>
      </c>
      <c r="B158">
        <v>28</v>
      </c>
      <c r="C158" s="11" t="str">
        <f t="array" ref="C158">INDEX(Player_Analysis!$A$2:$A$700,MATCH(1,(Player_Analysis!$B$2:$B$700=A158)*(Player_Analysis!$BB$2:$BB$700=B158),0))</f>
        <v>Ollie Watkins</v>
      </c>
      <c r="D158" s="9" t="str">
        <f>INDEX(Player_Analysis!$D$2:$D$700,MATCH(C158,Player_Analysis!$A$2:$A$700,0))</f>
        <v>AVL</v>
      </c>
      <c r="E158">
        <f>INDEX(Player_Analysis!$E$2:$E$700,MATCH(C158,Player_Analysis!$A$2:$A$700,0))</f>
        <v>7.8</v>
      </c>
      <c r="F158" s="2">
        <f>INDEX(Player_Analysis!$BA$2:$BA$700,MATCH(C158,Player_Analysis!$A$2:$A$700,0))</f>
        <v>0</v>
      </c>
      <c r="G158">
        <v>0</v>
      </c>
      <c r="H158" s="2">
        <f>INDEX(Player_Analysis!$AT$2:$AT$700,MATCH(C158,Player_Analysis!$A$2:$A$700,0))</f>
        <v>0</v>
      </c>
      <c r="J158">
        <f>IFERROR(INDEX(Player_Analysis!$H$2:$H$596,MATCH($C158,Player_Analysis!$A$2:$A$596,0)),0)</f>
        <v>0</v>
      </c>
    </row>
    <row r="159" spans="1:10" x14ac:dyDescent="0.25">
      <c r="A159" s="9" t="s">
        <v>1191</v>
      </c>
      <c r="B159">
        <v>29</v>
      </c>
      <c r="C159" s="11" t="str">
        <f t="array" ref="C159">INDEX(Player_Analysis!$A$2:$A$700,MATCH(1,(Player_Analysis!$B$2:$B$700=A159)*(Player_Analysis!$BB$2:$BB$700=B159),0))</f>
        <v>Tammy Abraham</v>
      </c>
      <c r="D159" s="9" t="str">
        <f>INDEX(Player_Analysis!$D$2:$D$700,MATCH(C159,Player_Analysis!$A$2:$A$700,0))</f>
        <v>AVL</v>
      </c>
      <c r="E159">
        <f>INDEX(Player_Analysis!$E$2:$E$700,MATCH(C159,Player_Analysis!$A$2:$A$700,0))</f>
        <v>5.5</v>
      </c>
      <c r="F159" s="2">
        <f>INDEX(Player_Analysis!$BA$2:$BA$700,MATCH(C159,Player_Analysis!$A$2:$A$700,0))</f>
        <v>0</v>
      </c>
      <c r="G159">
        <v>0</v>
      </c>
      <c r="H159" s="2">
        <f>INDEX(Player_Analysis!$AT$2:$AT$700,MATCH(C159,Player_Analysis!$A$2:$A$700,0))</f>
        <v>0</v>
      </c>
      <c r="J159">
        <f>IFERROR(INDEX(Player_Analysis!$H$2:$H$596,MATCH($C159,Player_Analysis!$A$2:$A$596,0)),0)</f>
        <v>1</v>
      </c>
    </row>
    <row r="160" spans="1:10" x14ac:dyDescent="0.25">
      <c r="A160" s="9" t="s">
        <v>1191</v>
      </c>
      <c r="B160">
        <v>30</v>
      </c>
      <c r="C160" s="11" t="str">
        <f t="array" ref="C160">INDEX(Player_Analysis!$A$2:$A$700,MATCH(1,(Player_Analysis!$B$2:$B$700=A160)*(Player_Analysis!$BB$2:$BB$700=B160),0))</f>
        <v>Brian Madjo</v>
      </c>
      <c r="D160" s="9" t="str">
        <f>INDEX(Player_Analysis!$D$2:$D$700,MATCH(C160,Player_Analysis!$A$2:$A$700,0))</f>
        <v>AVL</v>
      </c>
      <c r="E160">
        <f>INDEX(Player_Analysis!$E$2:$E$700,MATCH(C160,Player_Analysis!$A$2:$A$700,0))</f>
        <v>5.5</v>
      </c>
      <c r="F160" s="2">
        <f>INDEX(Player_Analysis!$BA$2:$BA$700,MATCH(C160,Player_Analysis!$A$2:$A$700,0))</f>
        <v>0</v>
      </c>
      <c r="G160">
        <v>0</v>
      </c>
      <c r="H160" s="2">
        <f>INDEX(Player_Analysis!$AT$2:$AT$700,MATCH(C160,Player_Analysis!$A$2:$A$700,0))</f>
        <v>0</v>
      </c>
      <c r="J160">
        <f>IFERROR(INDEX(Player_Analysis!$H$2:$H$596,MATCH($C160,Player_Analysis!$A$2:$A$596,0)),0)</f>
        <v>0</v>
      </c>
    </row>
  </sheetData>
  <conditionalFormatting sqref="M17">
    <cfRule type="containsText" dxfId="31" priority="1" operator="containsText" text="YES">
      <formula>NOT(ISERROR(SEARCH("YES",M17)))</formula>
    </cfRule>
    <cfRule type="containsText" dxfId="30" priority="2" operator="containsText" text="NO">
      <formula>NOT(ISERROR(SEARCH("NO",M17)))</formula>
    </cfRule>
  </conditionalFormatting>
  <conditionalFormatting sqref="P3:P22">
    <cfRule type="containsText" dxfId="29" priority="4" operator="containsText" text="too">
      <formula>NOT(ISERROR(SEARCH("too",P3)))</formula>
    </cfRule>
  </conditionalFormatting>
  <dataValidations count="1">
    <dataValidation type="whole" allowBlank="1" showInputMessage="1" showErrorMessage="1" sqref="G9:G160" xr:uid="{950B2171-863F-4FF0-A453-FAAD00CD986A}">
      <formula1>0</formula1>
      <formula2>1</formula2>
    </dataValidation>
  </dataValidations>
  <pageMargins left="0.7" right="0.7" top="0.75" bottom="0.75" header="0.3" footer="0.3"/>
  <ignoredErrors>
    <ignoredError sqref="I10 I11:I20 I21:I26 I39:I68 I82:I16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8F0C-90E8-44E8-BD44-EF7006407101}">
  <dimension ref="A1:AA655"/>
  <sheetViews>
    <sheetView workbookViewId="0">
      <selection activeCell="F3" sqref="F3"/>
    </sheetView>
  </sheetViews>
  <sheetFormatPr defaultRowHeight="15" x14ac:dyDescent="0.25"/>
  <cols>
    <col min="1" max="1" width="16" bestFit="1" customWidth="1"/>
    <col min="2" max="2" width="21.5703125" bestFit="1" customWidth="1"/>
    <col min="3" max="3" width="37.42578125" style="1" bestFit="1" customWidth="1"/>
    <col min="4" max="4" width="5" bestFit="1" customWidth="1"/>
    <col min="5" max="5" width="7.5703125" bestFit="1" customWidth="1"/>
    <col min="6" max="6" width="14" bestFit="1" customWidth="1"/>
    <col min="7" max="7" width="18.85546875" bestFit="1" customWidth="1"/>
    <col min="8" max="8" width="22.140625" bestFit="1" customWidth="1"/>
    <col min="9" max="9" width="7.85546875" bestFit="1" customWidth="1"/>
    <col min="10" max="10" width="14" bestFit="1" customWidth="1"/>
    <col min="11" max="11" width="10.5703125" bestFit="1" customWidth="1"/>
    <col min="12" max="12" width="14.7109375" bestFit="1" customWidth="1"/>
    <col min="13" max="13" width="9" bestFit="1" customWidth="1"/>
    <col min="14" max="14" width="14.85546875" bestFit="1" customWidth="1"/>
    <col min="15" max="15" width="17.5703125" bestFit="1" customWidth="1"/>
    <col min="16" max="16" width="8.140625" bestFit="1" customWidth="1"/>
    <col min="17" max="17" width="8.7109375" bestFit="1" customWidth="1"/>
    <col min="18" max="18" width="6.42578125" bestFit="1" customWidth="1"/>
    <col min="19" max="19" width="24.5703125" bestFit="1" customWidth="1"/>
    <col min="20" max="20" width="8.140625" bestFit="1" customWidth="1"/>
    <col min="21" max="21" width="17.28515625" bestFit="1" customWidth="1"/>
    <col min="22" max="22" width="18.42578125" bestFit="1" customWidth="1"/>
    <col min="23" max="23" width="30" bestFit="1" customWidth="1"/>
    <col min="24" max="24" width="27.140625" customWidth="1"/>
    <col min="25" max="25" width="8.5703125" bestFit="1" customWidth="1"/>
    <col min="26" max="26" width="12.5703125" bestFit="1" customWidth="1"/>
    <col min="27" max="27" width="49.85546875" bestFit="1" customWidth="1"/>
  </cols>
  <sheetData>
    <row r="1" spans="1:27" x14ac:dyDescent="0.25">
      <c r="A1" t="s">
        <v>1030</v>
      </c>
      <c r="B1" t="s">
        <v>4</v>
      </c>
      <c r="C1" t="s">
        <v>7</v>
      </c>
      <c r="D1" t="s">
        <v>1121</v>
      </c>
      <c r="E1" t="s">
        <v>1024</v>
      </c>
      <c r="F1" s="1" t="s">
        <v>5</v>
      </c>
      <c r="G1" t="s">
        <v>6</v>
      </c>
      <c r="H1" t="s">
        <v>1025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1026</v>
      </c>
      <c r="Q1" t="s">
        <v>15</v>
      </c>
      <c r="R1" t="s">
        <v>16</v>
      </c>
      <c r="S1" t="s">
        <v>1027</v>
      </c>
      <c r="T1" t="s">
        <v>1028</v>
      </c>
      <c r="U1" t="s">
        <v>17</v>
      </c>
      <c r="V1" t="s">
        <v>18</v>
      </c>
      <c r="W1" t="s">
        <v>1029</v>
      </c>
      <c r="X1" t="s">
        <v>19</v>
      </c>
      <c r="Y1" t="s">
        <v>1206</v>
      </c>
      <c r="Z1" t="s">
        <v>1207</v>
      </c>
      <c r="AA1" t="s">
        <v>1036</v>
      </c>
    </row>
    <row r="2" spans="1:27" x14ac:dyDescent="0.25">
      <c r="A2" s="24">
        <v>1</v>
      </c>
      <c r="B2" s="24" t="s">
        <v>20</v>
      </c>
      <c r="C2" s="24" t="s">
        <v>21</v>
      </c>
      <c r="D2">
        <v>1</v>
      </c>
      <c r="E2" s="24">
        <v>5</v>
      </c>
      <c r="F2" s="25">
        <v>60</v>
      </c>
      <c r="G2" s="24">
        <v>5</v>
      </c>
      <c r="H2" s="24">
        <v>38.700000000000003</v>
      </c>
      <c r="I2" s="24">
        <v>1</v>
      </c>
      <c r="J2" s="24">
        <v>15</v>
      </c>
      <c r="K2" s="24">
        <v>270</v>
      </c>
      <c r="L2" s="24">
        <v>0</v>
      </c>
      <c r="M2" s="24">
        <v>0</v>
      </c>
      <c r="N2" s="24">
        <v>2</v>
      </c>
      <c r="O2" s="24">
        <v>1</v>
      </c>
      <c r="P2" s="24">
        <v>5</v>
      </c>
      <c r="Q2" s="24">
        <v>0</v>
      </c>
      <c r="R2" s="24">
        <v>60</v>
      </c>
      <c r="S2" s="24">
        <v>0</v>
      </c>
      <c r="T2" s="24">
        <v>3</v>
      </c>
      <c r="U2" s="24">
        <v>0</v>
      </c>
      <c r="V2" s="24">
        <v>0.01</v>
      </c>
      <c r="W2" s="24">
        <v>0.01</v>
      </c>
      <c r="X2" s="24">
        <v>0.92</v>
      </c>
      <c r="Y2" t="s">
        <v>1208</v>
      </c>
      <c r="Z2" t="b">
        <v>1</v>
      </c>
      <c r="AA2" s="24" t="str">
        <f t="shared" ref="AA2:AA65" si="0">B2&amp;" "&amp;C2</f>
        <v>David Raya Martín</v>
      </c>
    </row>
    <row r="3" spans="1:27" x14ac:dyDescent="0.25">
      <c r="A3" s="24">
        <v>1</v>
      </c>
      <c r="B3" s="24" t="s">
        <v>22</v>
      </c>
      <c r="C3" s="24" t="s">
        <v>23</v>
      </c>
      <c r="D3">
        <v>2</v>
      </c>
      <c r="E3" s="24">
        <v>0</v>
      </c>
      <c r="F3" s="25">
        <v>49</v>
      </c>
      <c r="G3" s="24">
        <v>0</v>
      </c>
      <c r="H3" s="24">
        <v>0.1</v>
      </c>
      <c r="I3" s="24">
        <v>1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t="s">
        <v>1208</v>
      </c>
      <c r="Z3" t="b">
        <v>1</v>
      </c>
      <c r="AA3" s="24" t="str">
        <f t="shared" si="0"/>
        <v>Kepa Arrizabalaga Revuelta</v>
      </c>
    </row>
    <row r="4" spans="1:27" x14ac:dyDescent="0.25">
      <c r="A4" s="24">
        <v>1</v>
      </c>
      <c r="B4" s="24" t="s">
        <v>24</v>
      </c>
      <c r="C4" s="24" t="s">
        <v>25</v>
      </c>
      <c r="D4">
        <v>3</v>
      </c>
      <c r="E4" s="24">
        <v>0</v>
      </c>
      <c r="F4" s="25">
        <v>49</v>
      </c>
      <c r="G4" s="24">
        <v>0</v>
      </c>
      <c r="H4" s="24">
        <v>0</v>
      </c>
      <c r="I4" s="24">
        <v>1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t="s">
        <v>1208</v>
      </c>
      <c r="Z4" t="b">
        <v>1</v>
      </c>
      <c r="AA4" s="24" t="str">
        <f t="shared" si="0"/>
        <v>Illan Meslier</v>
      </c>
    </row>
    <row r="5" spans="1:27" x14ac:dyDescent="0.25">
      <c r="A5" s="24">
        <v>2</v>
      </c>
      <c r="B5" s="24" t="s">
        <v>26</v>
      </c>
      <c r="C5" s="24" t="s">
        <v>27</v>
      </c>
      <c r="D5">
        <v>4</v>
      </c>
      <c r="E5" s="24">
        <v>5</v>
      </c>
      <c r="F5" s="25">
        <v>80</v>
      </c>
      <c r="G5" s="24">
        <v>5</v>
      </c>
      <c r="H5" s="24">
        <v>25.1</v>
      </c>
      <c r="I5" s="24">
        <v>1</v>
      </c>
      <c r="J5" s="24">
        <v>15</v>
      </c>
      <c r="K5" s="24">
        <v>270</v>
      </c>
      <c r="L5" s="24">
        <v>0</v>
      </c>
      <c r="M5" s="24">
        <v>0</v>
      </c>
      <c r="N5" s="24">
        <v>2</v>
      </c>
      <c r="O5" s="24">
        <v>1</v>
      </c>
      <c r="P5" s="24">
        <v>0</v>
      </c>
      <c r="Q5" s="24">
        <v>0</v>
      </c>
      <c r="R5" s="24">
        <v>54</v>
      </c>
      <c r="S5" s="24">
        <v>21</v>
      </c>
      <c r="T5" s="24">
        <v>3</v>
      </c>
      <c r="U5" s="24">
        <v>0.49</v>
      </c>
      <c r="V5" s="24">
        <v>0.05</v>
      </c>
      <c r="W5" s="24">
        <v>0.54</v>
      </c>
      <c r="X5" s="24">
        <v>0.92</v>
      </c>
      <c r="Y5" t="s">
        <v>1208</v>
      </c>
      <c r="Z5" t="b">
        <v>1</v>
      </c>
      <c r="AA5" s="24" t="str">
        <f t="shared" si="0"/>
        <v>Gabriel dos Santos Magalhães</v>
      </c>
    </row>
    <row r="6" spans="1:27" x14ac:dyDescent="0.25">
      <c r="A6" s="24">
        <v>2</v>
      </c>
      <c r="B6" s="24" t="s">
        <v>28</v>
      </c>
      <c r="C6" s="24" t="s">
        <v>29</v>
      </c>
      <c r="D6">
        <v>5</v>
      </c>
      <c r="E6" s="24">
        <v>0</v>
      </c>
      <c r="F6" s="25">
        <v>65</v>
      </c>
      <c r="G6" s="24">
        <v>0</v>
      </c>
      <c r="H6" s="24">
        <v>0.1</v>
      </c>
      <c r="I6" s="24">
        <v>1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t="s">
        <v>1210</v>
      </c>
      <c r="Z6" t="b">
        <v>1</v>
      </c>
      <c r="AA6" s="24" t="str">
        <f t="shared" si="0"/>
        <v>Jurriën Timber</v>
      </c>
    </row>
    <row r="7" spans="1:27" x14ac:dyDescent="0.25">
      <c r="A7" s="24">
        <v>2</v>
      </c>
      <c r="B7" s="24" t="s">
        <v>30</v>
      </c>
      <c r="C7" s="24" t="s">
        <v>31</v>
      </c>
      <c r="D7">
        <v>6</v>
      </c>
      <c r="E7" s="24">
        <v>0</v>
      </c>
      <c r="F7" s="25">
        <v>60</v>
      </c>
      <c r="G7" s="24">
        <v>0</v>
      </c>
      <c r="H7" s="24">
        <v>0.2</v>
      </c>
      <c r="I7" s="24">
        <v>1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t="s">
        <v>1209</v>
      </c>
      <c r="Z7" t="b">
        <v>1</v>
      </c>
      <c r="AA7" s="24" t="str">
        <f t="shared" si="0"/>
        <v>William Saliba</v>
      </c>
    </row>
    <row r="8" spans="1:27" x14ac:dyDescent="0.25">
      <c r="A8" s="24">
        <v>3</v>
      </c>
      <c r="B8" s="24" t="s">
        <v>32</v>
      </c>
      <c r="C8" s="24" t="s">
        <v>33</v>
      </c>
      <c r="D8">
        <v>7</v>
      </c>
      <c r="E8" s="24">
        <v>2.7</v>
      </c>
      <c r="F8" s="25">
        <v>55</v>
      </c>
      <c r="G8" s="24">
        <v>2.7</v>
      </c>
      <c r="H8" s="24">
        <v>0.7</v>
      </c>
      <c r="I8" s="24">
        <v>1</v>
      </c>
      <c r="J8" s="24">
        <v>8</v>
      </c>
      <c r="K8" s="24">
        <v>226</v>
      </c>
      <c r="L8" s="24">
        <v>0</v>
      </c>
      <c r="M8" s="24">
        <v>0</v>
      </c>
      <c r="N8" s="24">
        <v>2</v>
      </c>
      <c r="O8" s="24">
        <v>1</v>
      </c>
      <c r="P8" s="24">
        <v>0</v>
      </c>
      <c r="Q8" s="24">
        <v>0</v>
      </c>
      <c r="R8" s="24">
        <v>35</v>
      </c>
      <c r="S8" s="24">
        <v>14</v>
      </c>
      <c r="T8" s="24">
        <v>3</v>
      </c>
      <c r="U8" s="24">
        <v>0.16</v>
      </c>
      <c r="V8" s="24">
        <v>0.23</v>
      </c>
      <c r="W8" s="24">
        <v>0.39</v>
      </c>
      <c r="X8" s="24">
        <v>0.79</v>
      </c>
      <c r="Y8" t="s">
        <v>1208</v>
      </c>
      <c r="Z8" t="b">
        <v>1</v>
      </c>
      <c r="AA8" s="24" t="str">
        <f t="shared" si="0"/>
        <v>Myles Lewis-Skelly</v>
      </c>
    </row>
    <row r="9" spans="1:27" x14ac:dyDescent="0.25">
      <c r="A9" s="24">
        <v>2</v>
      </c>
      <c r="B9" s="24" t="s">
        <v>34</v>
      </c>
      <c r="C9" s="24" t="s">
        <v>35</v>
      </c>
      <c r="D9">
        <v>8</v>
      </c>
      <c r="E9" s="24">
        <v>7.3</v>
      </c>
      <c r="F9" s="25">
        <v>57</v>
      </c>
      <c r="G9" s="24">
        <v>7.3</v>
      </c>
      <c r="H9" s="24">
        <v>46.9</v>
      </c>
      <c r="I9" s="24">
        <v>1</v>
      </c>
      <c r="J9" s="24">
        <v>22</v>
      </c>
      <c r="K9" s="24">
        <v>236</v>
      </c>
      <c r="L9" s="24">
        <v>0</v>
      </c>
      <c r="M9" s="24">
        <v>2</v>
      </c>
      <c r="N9" s="24">
        <v>2</v>
      </c>
      <c r="O9" s="24">
        <v>1</v>
      </c>
      <c r="P9" s="24">
        <v>0</v>
      </c>
      <c r="Q9" s="24">
        <v>2</v>
      </c>
      <c r="R9" s="24">
        <v>61</v>
      </c>
      <c r="S9" s="24">
        <v>9</v>
      </c>
      <c r="T9" s="24">
        <v>3</v>
      </c>
      <c r="U9" s="24">
        <v>0.54</v>
      </c>
      <c r="V9" s="24">
        <v>0.57999999999999996</v>
      </c>
      <c r="W9" s="24">
        <v>1.1200000000000001</v>
      </c>
      <c r="X9" s="24">
        <v>0.65</v>
      </c>
      <c r="Y9" t="s">
        <v>1208</v>
      </c>
      <c r="Z9" t="b">
        <v>1</v>
      </c>
      <c r="AA9" s="24" t="str">
        <f t="shared" si="0"/>
        <v>Riccardo Calafiori</v>
      </c>
    </row>
    <row r="10" spans="1:27" x14ac:dyDescent="0.25">
      <c r="A10" s="24">
        <v>2</v>
      </c>
      <c r="B10" s="24" t="s">
        <v>36</v>
      </c>
      <c r="C10" s="24" t="s">
        <v>37</v>
      </c>
      <c r="D10">
        <v>9</v>
      </c>
      <c r="E10" s="24">
        <v>0.7</v>
      </c>
      <c r="F10" s="25">
        <v>53</v>
      </c>
      <c r="G10" s="24">
        <v>1</v>
      </c>
      <c r="H10" s="24">
        <v>1.1000000000000001</v>
      </c>
      <c r="I10" s="24">
        <v>1</v>
      </c>
      <c r="J10" s="24">
        <v>2</v>
      </c>
      <c r="K10" s="24">
        <v>32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6</v>
      </c>
      <c r="S10" s="24">
        <v>3</v>
      </c>
      <c r="T10" s="24">
        <v>0</v>
      </c>
      <c r="U10" s="24">
        <v>0</v>
      </c>
      <c r="V10" s="24">
        <v>0</v>
      </c>
      <c r="W10" s="24">
        <v>0</v>
      </c>
      <c r="X10" s="24">
        <v>0.28000000000000003</v>
      </c>
      <c r="Y10" t="s">
        <v>1208</v>
      </c>
      <c r="Z10" t="b">
        <v>1</v>
      </c>
      <c r="AA10" s="24" t="str">
        <f t="shared" si="0"/>
        <v>Piero Hincapié</v>
      </c>
    </row>
    <row r="11" spans="1:27" x14ac:dyDescent="0.25">
      <c r="A11" s="24">
        <v>2</v>
      </c>
      <c r="B11" s="24" t="s">
        <v>38</v>
      </c>
      <c r="C11" s="24" t="s">
        <v>39</v>
      </c>
      <c r="D11">
        <v>10</v>
      </c>
      <c r="E11" s="24">
        <v>6.7</v>
      </c>
      <c r="F11" s="25">
        <v>55</v>
      </c>
      <c r="G11" s="24">
        <v>6.7</v>
      </c>
      <c r="H11" s="24">
        <v>7.7</v>
      </c>
      <c r="I11" s="24">
        <v>1</v>
      </c>
      <c r="J11" s="24">
        <v>20</v>
      </c>
      <c r="K11" s="24">
        <v>270</v>
      </c>
      <c r="L11" s="24">
        <v>0</v>
      </c>
      <c r="M11" s="24">
        <v>1</v>
      </c>
      <c r="N11" s="24">
        <v>2</v>
      </c>
      <c r="O11" s="24">
        <v>1</v>
      </c>
      <c r="P11" s="24">
        <v>0</v>
      </c>
      <c r="Q11" s="24">
        <v>3</v>
      </c>
      <c r="R11" s="24">
        <v>74</v>
      </c>
      <c r="S11" s="24">
        <v>15</v>
      </c>
      <c r="T11" s="24">
        <v>3</v>
      </c>
      <c r="U11" s="24">
        <v>0.18</v>
      </c>
      <c r="V11" s="24">
        <v>0.28999999999999998</v>
      </c>
      <c r="W11" s="24">
        <v>0.47</v>
      </c>
      <c r="X11" s="24">
        <v>0.92</v>
      </c>
      <c r="Y11" t="s">
        <v>1208</v>
      </c>
      <c r="Z11" t="b">
        <v>1</v>
      </c>
      <c r="AA11" s="24" t="str">
        <f t="shared" si="0"/>
        <v>Benjamin White</v>
      </c>
    </row>
    <row r="12" spans="1:27" x14ac:dyDescent="0.25">
      <c r="A12" s="24">
        <v>2</v>
      </c>
      <c r="B12" s="24" t="s">
        <v>40</v>
      </c>
      <c r="C12" s="24" t="s">
        <v>41</v>
      </c>
      <c r="D12">
        <v>11</v>
      </c>
      <c r="E12" s="24">
        <v>4</v>
      </c>
      <c r="F12" s="25">
        <v>54</v>
      </c>
      <c r="G12" s="24">
        <v>6</v>
      </c>
      <c r="H12" s="24">
        <v>3.8</v>
      </c>
      <c r="I12" s="24">
        <v>1</v>
      </c>
      <c r="J12" s="24">
        <v>12</v>
      </c>
      <c r="K12" s="24">
        <v>168</v>
      </c>
      <c r="L12" s="24">
        <v>0</v>
      </c>
      <c r="M12" s="24">
        <v>0</v>
      </c>
      <c r="N12" s="24">
        <v>2</v>
      </c>
      <c r="O12" s="24">
        <v>0</v>
      </c>
      <c r="P12" s="24">
        <v>0</v>
      </c>
      <c r="Q12" s="24">
        <v>0</v>
      </c>
      <c r="R12" s="24">
        <v>52</v>
      </c>
      <c r="S12" s="24">
        <v>10</v>
      </c>
      <c r="T12" s="24">
        <v>2</v>
      </c>
      <c r="U12" s="24">
        <v>0</v>
      </c>
      <c r="V12" s="24">
        <v>0.01</v>
      </c>
      <c r="W12" s="24">
        <v>0.01</v>
      </c>
      <c r="X12" s="24">
        <v>0.53</v>
      </c>
      <c r="Y12" t="s">
        <v>1210</v>
      </c>
      <c r="Z12" t="b">
        <v>1</v>
      </c>
      <c r="AA12" s="24" t="str">
        <f t="shared" si="0"/>
        <v>Cristhian Mosquera</v>
      </c>
    </row>
    <row r="13" spans="1:27" x14ac:dyDescent="0.25">
      <c r="A13" s="24">
        <v>3</v>
      </c>
      <c r="B13" s="24" t="s">
        <v>42</v>
      </c>
      <c r="C13" s="24" t="s">
        <v>43</v>
      </c>
      <c r="D13">
        <v>12</v>
      </c>
      <c r="E13" s="24">
        <v>7.3</v>
      </c>
      <c r="F13" s="25">
        <v>95</v>
      </c>
      <c r="G13" s="24">
        <v>7.3</v>
      </c>
      <c r="H13" s="24">
        <v>11.3</v>
      </c>
      <c r="I13" s="24">
        <v>1</v>
      </c>
      <c r="J13" s="24">
        <v>22</v>
      </c>
      <c r="K13" s="24">
        <v>246</v>
      </c>
      <c r="L13" s="24">
        <v>2</v>
      </c>
      <c r="M13" s="24">
        <v>0</v>
      </c>
      <c r="N13" s="24">
        <v>2</v>
      </c>
      <c r="O13" s="24">
        <v>1</v>
      </c>
      <c r="P13" s="24">
        <v>0</v>
      </c>
      <c r="Q13" s="24">
        <v>4</v>
      </c>
      <c r="R13" s="24">
        <v>95</v>
      </c>
      <c r="S13" s="24">
        <v>22</v>
      </c>
      <c r="T13" s="24">
        <v>3</v>
      </c>
      <c r="U13" s="24">
        <v>1.5</v>
      </c>
      <c r="V13" s="24">
        <v>0.35</v>
      </c>
      <c r="W13" s="24">
        <v>1.85</v>
      </c>
      <c r="X13" s="24">
        <v>0.78</v>
      </c>
      <c r="Y13" t="s">
        <v>1208</v>
      </c>
      <c r="Z13" t="b">
        <v>1</v>
      </c>
      <c r="AA13" s="24" t="str">
        <f t="shared" si="0"/>
        <v>Bukayo Saka</v>
      </c>
    </row>
    <row r="14" spans="1:27" x14ac:dyDescent="0.25">
      <c r="A14" s="24">
        <v>3</v>
      </c>
      <c r="B14" s="24" t="s">
        <v>44</v>
      </c>
      <c r="C14" s="24" t="s">
        <v>45</v>
      </c>
      <c r="D14">
        <v>13</v>
      </c>
      <c r="E14" s="24">
        <v>4.3</v>
      </c>
      <c r="F14" s="25">
        <v>74</v>
      </c>
      <c r="G14" s="24">
        <v>4.3</v>
      </c>
      <c r="H14" s="24">
        <v>13.8</v>
      </c>
      <c r="I14" s="24">
        <v>1</v>
      </c>
      <c r="J14" s="24">
        <v>13</v>
      </c>
      <c r="K14" s="24">
        <v>241</v>
      </c>
      <c r="L14" s="24">
        <v>0</v>
      </c>
      <c r="M14" s="24">
        <v>1</v>
      </c>
      <c r="N14" s="24">
        <v>2</v>
      </c>
      <c r="O14" s="24">
        <v>1</v>
      </c>
      <c r="P14" s="24">
        <v>0</v>
      </c>
      <c r="Q14" s="24">
        <v>0</v>
      </c>
      <c r="R14" s="24">
        <v>51</v>
      </c>
      <c r="S14" s="24">
        <v>24</v>
      </c>
      <c r="T14" s="24">
        <v>3</v>
      </c>
      <c r="U14" s="24">
        <v>0.1</v>
      </c>
      <c r="V14" s="24">
        <v>0.26</v>
      </c>
      <c r="W14" s="24">
        <v>0.36</v>
      </c>
      <c r="X14" s="24">
        <v>0.78</v>
      </c>
      <c r="Y14" t="s">
        <v>1208</v>
      </c>
      <c r="Z14" t="b">
        <v>1</v>
      </c>
      <c r="AA14" s="24" t="str">
        <f t="shared" si="0"/>
        <v>Declan Rice</v>
      </c>
    </row>
    <row r="15" spans="1:27" x14ac:dyDescent="0.25">
      <c r="A15" s="24">
        <v>3</v>
      </c>
      <c r="B15" s="24" t="s">
        <v>46</v>
      </c>
      <c r="C15" s="24" t="s">
        <v>47</v>
      </c>
      <c r="D15">
        <v>14</v>
      </c>
      <c r="E15" s="24">
        <v>0.7</v>
      </c>
      <c r="F15" s="25">
        <v>64</v>
      </c>
      <c r="G15" s="24">
        <v>1</v>
      </c>
      <c r="H15" s="24">
        <v>1.3</v>
      </c>
      <c r="I15" s="24">
        <v>1</v>
      </c>
      <c r="J15" s="24">
        <v>2</v>
      </c>
      <c r="K15" s="24">
        <v>59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10</v>
      </c>
      <c r="S15" s="24">
        <v>5</v>
      </c>
      <c r="T15" s="24">
        <v>0</v>
      </c>
      <c r="U15" s="24">
        <v>0.04</v>
      </c>
      <c r="V15" s="24">
        <v>7.0000000000000007E-2</v>
      </c>
      <c r="W15" s="24">
        <v>0.11</v>
      </c>
      <c r="X15" s="24">
        <v>0.39</v>
      </c>
      <c r="Y15" t="s">
        <v>1208</v>
      </c>
      <c r="Z15" t="b">
        <v>1</v>
      </c>
      <c r="AA15" s="24" t="str">
        <f t="shared" si="0"/>
        <v>Eberechi Eze</v>
      </c>
    </row>
    <row r="16" spans="1:27" x14ac:dyDescent="0.25">
      <c r="A16" s="24">
        <v>3</v>
      </c>
      <c r="B16" s="24" t="s">
        <v>48</v>
      </c>
      <c r="C16" s="24" t="s">
        <v>49</v>
      </c>
      <c r="D16">
        <v>15</v>
      </c>
      <c r="E16" s="24">
        <v>8</v>
      </c>
      <c r="F16" s="25">
        <v>66</v>
      </c>
      <c r="G16" s="24">
        <v>8</v>
      </c>
      <c r="H16" s="24">
        <v>12.3</v>
      </c>
      <c r="I16" s="24">
        <v>1</v>
      </c>
      <c r="J16" s="24">
        <v>24</v>
      </c>
      <c r="K16" s="24">
        <v>221</v>
      </c>
      <c r="L16" s="24">
        <v>2</v>
      </c>
      <c r="M16" s="24">
        <v>0</v>
      </c>
      <c r="N16" s="24">
        <v>2</v>
      </c>
      <c r="O16" s="24">
        <v>1</v>
      </c>
      <c r="P16" s="24">
        <v>0</v>
      </c>
      <c r="Q16" s="24">
        <v>6</v>
      </c>
      <c r="R16" s="24">
        <v>101</v>
      </c>
      <c r="S16" s="24">
        <v>16</v>
      </c>
      <c r="T16" s="24">
        <v>3</v>
      </c>
      <c r="U16" s="24">
        <v>1.01</v>
      </c>
      <c r="V16" s="24">
        <v>1.05</v>
      </c>
      <c r="W16" s="24">
        <v>2.06</v>
      </c>
      <c r="X16" s="24">
        <v>0.66</v>
      </c>
      <c r="Y16" t="s">
        <v>1208</v>
      </c>
      <c r="Z16" t="b">
        <v>1</v>
      </c>
      <c r="AA16" s="24" t="str">
        <f t="shared" si="0"/>
        <v>Martin Ødegaard</v>
      </c>
    </row>
    <row r="17" spans="1:27" x14ac:dyDescent="0.25">
      <c r="A17" s="24">
        <v>3</v>
      </c>
      <c r="B17" s="24" t="s">
        <v>50</v>
      </c>
      <c r="C17" s="24" t="s">
        <v>51</v>
      </c>
      <c r="D17">
        <v>16</v>
      </c>
      <c r="E17" s="24">
        <v>0.7</v>
      </c>
      <c r="F17" s="25">
        <v>63</v>
      </c>
      <c r="G17" s="24">
        <v>1</v>
      </c>
      <c r="H17" s="24">
        <v>0.2</v>
      </c>
      <c r="I17" s="24">
        <v>1</v>
      </c>
      <c r="J17" s="24">
        <v>2</v>
      </c>
      <c r="K17" s="24">
        <v>23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11</v>
      </c>
      <c r="S17" s="24">
        <v>3</v>
      </c>
      <c r="T17" s="24">
        <v>0</v>
      </c>
      <c r="U17" s="24">
        <v>0</v>
      </c>
      <c r="V17" s="24">
        <v>0.05</v>
      </c>
      <c r="W17" s="24">
        <v>0.05</v>
      </c>
      <c r="X17" s="24">
        <v>0.15</v>
      </c>
      <c r="Y17" t="s">
        <v>1208</v>
      </c>
      <c r="Z17" t="b">
        <v>1</v>
      </c>
      <c r="AA17" s="24" t="str">
        <f t="shared" si="0"/>
        <v>Noni Madueke</v>
      </c>
    </row>
    <row r="18" spans="1:27" x14ac:dyDescent="0.25">
      <c r="A18" s="24">
        <v>3</v>
      </c>
      <c r="B18" s="24" t="s">
        <v>52</v>
      </c>
      <c r="C18" s="24" t="s">
        <v>53</v>
      </c>
      <c r="D18">
        <v>17</v>
      </c>
      <c r="E18" s="24">
        <v>0.7</v>
      </c>
      <c r="F18" s="25">
        <v>59</v>
      </c>
      <c r="G18" s="24">
        <v>0.7</v>
      </c>
      <c r="H18" s="24">
        <v>0.5</v>
      </c>
      <c r="I18" s="24">
        <v>1</v>
      </c>
      <c r="J18" s="24">
        <v>2</v>
      </c>
      <c r="K18" s="24">
        <v>46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12</v>
      </c>
      <c r="S18" s="24">
        <v>6</v>
      </c>
      <c r="T18" s="24">
        <v>0</v>
      </c>
      <c r="U18" s="24">
        <v>0.14000000000000001</v>
      </c>
      <c r="V18" s="24">
        <v>0.02</v>
      </c>
      <c r="W18" s="24">
        <v>0.16</v>
      </c>
      <c r="X18" s="24">
        <v>0.26</v>
      </c>
      <c r="Y18" t="s">
        <v>1208</v>
      </c>
      <c r="Z18" t="b">
        <v>1</v>
      </c>
      <c r="AA18" s="24" t="str">
        <f t="shared" si="0"/>
        <v>Mikel Merino Zazón</v>
      </c>
    </row>
    <row r="19" spans="1:27" x14ac:dyDescent="0.25">
      <c r="A19" s="24">
        <v>3</v>
      </c>
      <c r="B19" s="24" t="s">
        <v>26</v>
      </c>
      <c r="C19" s="24" t="s">
        <v>54</v>
      </c>
      <c r="D19">
        <v>18</v>
      </c>
      <c r="E19" s="24">
        <v>0</v>
      </c>
      <c r="F19" s="25">
        <v>63</v>
      </c>
      <c r="G19" s="24">
        <v>0</v>
      </c>
      <c r="H19" s="24">
        <v>0.1</v>
      </c>
      <c r="I19" s="24">
        <v>1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t="s">
        <v>1211</v>
      </c>
      <c r="Z19" t="b">
        <v>0</v>
      </c>
      <c r="AA19" s="24" t="str">
        <f t="shared" si="0"/>
        <v>Gabriel Martinelli Silva</v>
      </c>
    </row>
    <row r="20" spans="1:27" x14ac:dyDescent="0.25">
      <c r="A20" s="24">
        <v>3</v>
      </c>
      <c r="B20" s="24" t="s">
        <v>55</v>
      </c>
      <c r="C20" s="24" t="s">
        <v>56</v>
      </c>
      <c r="D20">
        <v>19</v>
      </c>
      <c r="E20" s="24">
        <v>1</v>
      </c>
      <c r="F20" s="25">
        <v>54</v>
      </c>
      <c r="G20" s="24">
        <v>1</v>
      </c>
      <c r="H20" s="24">
        <v>0.7</v>
      </c>
      <c r="I20" s="24">
        <v>1</v>
      </c>
      <c r="J20" s="24">
        <v>3</v>
      </c>
      <c r="K20" s="24">
        <v>50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9</v>
      </c>
      <c r="S20" s="24">
        <v>9</v>
      </c>
      <c r="T20" s="24">
        <v>0</v>
      </c>
      <c r="U20" s="24">
        <v>0.08</v>
      </c>
      <c r="V20" s="24">
        <v>0.04</v>
      </c>
      <c r="W20" s="24">
        <v>0.12</v>
      </c>
      <c r="X20" s="24">
        <v>0.28000000000000003</v>
      </c>
      <c r="Y20" t="s">
        <v>1208</v>
      </c>
      <c r="Z20" t="b">
        <v>1</v>
      </c>
      <c r="AA20" s="24" t="str">
        <f t="shared" si="0"/>
        <v>Martín Zubimendi Ibáñez</v>
      </c>
    </row>
    <row r="21" spans="1:27" x14ac:dyDescent="0.25">
      <c r="A21" s="24">
        <v>3</v>
      </c>
      <c r="B21" s="24" t="s">
        <v>57</v>
      </c>
      <c r="C21" s="24" t="s">
        <v>58</v>
      </c>
      <c r="D21">
        <v>20</v>
      </c>
      <c r="E21" s="24">
        <v>0</v>
      </c>
      <c r="F21" s="25">
        <v>53</v>
      </c>
      <c r="G21" s="24">
        <v>0</v>
      </c>
      <c r="H21" s="24">
        <v>0.1</v>
      </c>
      <c r="I21" s="24">
        <v>1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t="s">
        <v>1208</v>
      </c>
      <c r="Z21" t="b">
        <v>1</v>
      </c>
      <c r="AA21" s="24" t="str">
        <f t="shared" si="0"/>
        <v>Max Dowman</v>
      </c>
    </row>
    <row r="22" spans="1:27" x14ac:dyDescent="0.25">
      <c r="A22" s="24">
        <v>3</v>
      </c>
      <c r="B22" s="24" t="s">
        <v>59</v>
      </c>
      <c r="C22" s="24" t="s">
        <v>60</v>
      </c>
      <c r="D22">
        <v>22</v>
      </c>
      <c r="E22" s="24">
        <v>0</v>
      </c>
      <c r="F22" s="25">
        <v>54</v>
      </c>
      <c r="G22" s="24">
        <v>0</v>
      </c>
      <c r="H22" s="24">
        <v>0</v>
      </c>
      <c r="I22" s="24">
        <v>1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t="s">
        <v>1211</v>
      </c>
      <c r="Z22" t="b">
        <v>0</v>
      </c>
      <c r="AA22" s="24" t="str">
        <f t="shared" si="0"/>
        <v>Ethan Nwaneri</v>
      </c>
    </row>
    <row r="23" spans="1:27" x14ac:dyDescent="0.25">
      <c r="A23" s="24">
        <v>3</v>
      </c>
      <c r="B23" s="24" t="s">
        <v>61</v>
      </c>
      <c r="C23" s="24" t="s">
        <v>62</v>
      </c>
      <c r="D23">
        <v>23</v>
      </c>
      <c r="E23" s="24">
        <v>0</v>
      </c>
      <c r="F23" s="25">
        <v>55</v>
      </c>
      <c r="G23" s="24">
        <v>0</v>
      </c>
      <c r="H23" s="24">
        <v>0</v>
      </c>
      <c r="I23" s="24">
        <v>1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t="s">
        <v>1211</v>
      </c>
      <c r="Z23" t="b">
        <v>0</v>
      </c>
      <c r="AA23" s="24" t="str">
        <f t="shared" si="0"/>
        <v>Fábio Ferreira Vieira</v>
      </c>
    </row>
    <row r="24" spans="1:27" x14ac:dyDescent="0.25">
      <c r="A24" s="24">
        <v>3</v>
      </c>
      <c r="B24" s="24" t="s">
        <v>63</v>
      </c>
      <c r="C24" s="24" t="s">
        <v>64</v>
      </c>
      <c r="D24">
        <v>24</v>
      </c>
      <c r="E24" s="24">
        <v>0</v>
      </c>
      <c r="F24" s="25">
        <v>55</v>
      </c>
      <c r="G24" s="24">
        <v>0</v>
      </c>
      <c r="H24" s="24">
        <v>0</v>
      </c>
      <c r="I24" s="24">
        <v>1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t="s">
        <v>1211</v>
      </c>
      <c r="Z24" t="b">
        <v>0</v>
      </c>
      <c r="AA24" s="24" t="str">
        <f t="shared" si="0"/>
        <v>Reiss Nelson</v>
      </c>
    </row>
    <row r="25" spans="1:27" x14ac:dyDescent="0.25">
      <c r="A25" s="24">
        <v>4</v>
      </c>
      <c r="B25" s="24" t="s">
        <v>65</v>
      </c>
      <c r="C25" s="24" t="s">
        <v>66</v>
      </c>
      <c r="D25">
        <v>25</v>
      </c>
      <c r="E25" s="24">
        <v>0.3</v>
      </c>
      <c r="F25" s="25">
        <v>73</v>
      </c>
      <c r="G25" s="24">
        <v>1</v>
      </c>
      <c r="H25" s="24">
        <v>4.2</v>
      </c>
      <c r="I25" s="24">
        <v>1</v>
      </c>
      <c r="J25" s="24">
        <v>1</v>
      </c>
      <c r="K25" s="24">
        <v>12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2</v>
      </c>
      <c r="S25" s="24">
        <v>1</v>
      </c>
      <c r="T25" s="24">
        <v>0</v>
      </c>
      <c r="U25" s="24">
        <v>0</v>
      </c>
      <c r="V25" s="24">
        <v>0</v>
      </c>
      <c r="W25" s="24">
        <v>0</v>
      </c>
      <c r="X25" s="24">
        <v>0.11</v>
      </c>
      <c r="Y25" t="s">
        <v>1208</v>
      </c>
      <c r="Z25" t="b">
        <v>1</v>
      </c>
      <c r="AA25" s="24" t="str">
        <f t="shared" si="0"/>
        <v>Viktor Gyökeres</v>
      </c>
    </row>
    <row r="26" spans="1:27" x14ac:dyDescent="0.25">
      <c r="A26" s="24">
        <v>4</v>
      </c>
      <c r="B26" s="24" t="s">
        <v>67</v>
      </c>
      <c r="C26" s="24" t="s">
        <v>68</v>
      </c>
      <c r="D26">
        <v>26</v>
      </c>
      <c r="E26" s="24">
        <v>5.3</v>
      </c>
      <c r="F26" s="25">
        <v>75</v>
      </c>
      <c r="G26" s="24">
        <v>5.3</v>
      </c>
      <c r="H26" s="24">
        <v>7.2</v>
      </c>
      <c r="I26" s="24">
        <v>1</v>
      </c>
      <c r="J26" s="24">
        <v>16</v>
      </c>
      <c r="K26" s="24">
        <v>257</v>
      </c>
      <c r="L26" s="24">
        <v>2</v>
      </c>
      <c r="M26" s="24">
        <v>0</v>
      </c>
      <c r="N26" s="24">
        <v>2</v>
      </c>
      <c r="O26" s="24">
        <v>1</v>
      </c>
      <c r="P26" s="24">
        <v>0</v>
      </c>
      <c r="Q26" s="24">
        <v>2</v>
      </c>
      <c r="R26" s="24">
        <v>77</v>
      </c>
      <c r="S26" s="24">
        <v>8</v>
      </c>
      <c r="T26" s="24">
        <v>3</v>
      </c>
      <c r="U26" s="24">
        <v>0.55000000000000004</v>
      </c>
      <c r="V26" s="24">
        <v>0.33</v>
      </c>
      <c r="W26" s="24">
        <v>0.88</v>
      </c>
      <c r="X26" s="24">
        <v>0.8</v>
      </c>
      <c r="Y26" t="s">
        <v>1208</v>
      </c>
      <c r="Z26" t="b">
        <v>1</v>
      </c>
      <c r="AA26" s="24" t="str">
        <f t="shared" si="0"/>
        <v>Kai Havertz</v>
      </c>
    </row>
    <row r="27" spans="1:27" x14ac:dyDescent="0.25">
      <c r="A27" s="24">
        <v>4</v>
      </c>
      <c r="B27" s="24" t="s">
        <v>26</v>
      </c>
      <c r="C27" s="24" t="s">
        <v>69</v>
      </c>
      <c r="D27">
        <v>27</v>
      </c>
      <c r="E27" s="24">
        <v>0</v>
      </c>
      <c r="F27" s="25">
        <v>59</v>
      </c>
      <c r="G27" s="24">
        <v>0</v>
      </c>
      <c r="H27" s="24">
        <v>0.2</v>
      </c>
      <c r="I27" s="24">
        <v>1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t="s">
        <v>1211</v>
      </c>
      <c r="Z27" t="b">
        <v>0</v>
      </c>
      <c r="AA27" s="24" t="str">
        <f t="shared" si="0"/>
        <v>Gabriel Fernando de Jesus</v>
      </c>
    </row>
    <row r="28" spans="1:27" x14ac:dyDescent="0.25">
      <c r="A28" s="24">
        <v>2</v>
      </c>
      <c r="B28" s="24" t="s">
        <v>80</v>
      </c>
      <c r="C28" s="24" t="s">
        <v>81</v>
      </c>
      <c r="D28">
        <v>31</v>
      </c>
      <c r="E28" s="24">
        <v>1.7</v>
      </c>
      <c r="F28" s="25">
        <v>44</v>
      </c>
      <c r="G28" s="24">
        <v>2.5</v>
      </c>
      <c r="H28" s="24">
        <v>12.4</v>
      </c>
      <c r="I28" s="24">
        <v>1</v>
      </c>
      <c r="J28" s="24">
        <v>5</v>
      </c>
      <c r="K28" s="24">
        <v>101</v>
      </c>
      <c r="L28" s="24">
        <v>0</v>
      </c>
      <c r="M28" s="24">
        <v>0</v>
      </c>
      <c r="N28" s="24">
        <v>0</v>
      </c>
      <c r="O28" s="24">
        <v>1</v>
      </c>
      <c r="P28" s="24">
        <v>0</v>
      </c>
      <c r="Q28" s="24">
        <v>0</v>
      </c>
      <c r="R28" s="24">
        <v>18</v>
      </c>
      <c r="S28" s="24">
        <v>11</v>
      </c>
      <c r="T28" s="24">
        <v>1</v>
      </c>
      <c r="U28" s="24">
        <v>0</v>
      </c>
      <c r="V28" s="24">
        <v>0.01</v>
      </c>
      <c r="W28" s="24">
        <v>0.01</v>
      </c>
      <c r="X28" s="24">
        <v>0.39</v>
      </c>
      <c r="Y28" t="s">
        <v>1208</v>
      </c>
      <c r="Z28" t="b">
        <v>1</v>
      </c>
      <c r="AA28" s="24" t="str">
        <f t="shared" si="0"/>
        <v>Ezri Konsa Ngoyo</v>
      </c>
    </row>
    <row r="29" spans="1:27" x14ac:dyDescent="0.25">
      <c r="A29" s="24">
        <v>3</v>
      </c>
      <c r="B29" s="24" t="s">
        <v>70</v>
      </c>
      <c r="C29" s="24" t="s">
        <v>71</v>
      </c>
      <c r="D29">
        <v>452</v>
      </c>
      <c r="E29" s="24">
        <v>0.3</v>
      </c>
      <c r="F29" s="25">
        <v>68</v>
      </c>
      <c r="G29" s="24">
        <v>1</v>
      </c>
      <c r="H29" s="24">
        <v>1.9</v>
      </c>
      <c r="I29" s="24">
        <v>1</v>
      </c>
      <c r="J29" s="24">
        <v>1</v>
      </c>
      <c r="K29" s="24">
        <v>19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4</v>
      </c>
      <c r="S29" s="24">
        <v>3</v>
      </c>
      <c r="T29" s="24">
        <v>0</v>
      </c>
      <c r="U29" s="24">
        <v>0</v>
      </c>
      <c r="V29" s="24">
        <v>0.01</v>
      </c>
      <c r="W29" s="24">
        <v>0.01</v>
      </c>
      <c r="X29" s="24">
        <v>0</v>
      </c>
      <c r="Y29" t="s">
        <v>1208</v>
      </c>
      <c r="Z29" t="b">
        <v>1</v>
      </c>
      <c r="AA29" s="24" t="str">
        <f t="shared" si="0"/>
        <v>Bruno Guimarães Rodriguez Moura</v>
      </c>
    </row>
    <row r="30" spans="1:27" x14ac:dyDescent="0.25">
      <c r="A30" s="24">
        <v>3</v>
      </c>
      <c r="B30" s="24" t="s">
        <v>72</v>
      </c>
      <c r="C30" s="24" t="s">
        <v>73</v>
      </c>
      <c r="D30">
        <v>557</v>
      </c>
      <c r="E30" s="24">
        <v>3.7</v>
      </c>
      <c r="F30" s="25">
        <v>65</v>
      </c>
      <c r="G30" s="24">
        <v>3.7</v>
      </c>
      <c r="H30" s="24">
        <v>18</v>
      </c>
      <c r="I30" s="24">
        <v>1</v>
      </c>
      <c r="J30" s="24">
        <v>11</v>
      </c>
      <c r="K30" s="24">
        <v>210</v>
      </c>
      <c r="L30" s="24">
        <v>0</v>
      </c>
      <c r="M30" s="24">
        <v>2</v>
      </c>
      <c r="N30" s="24">
        <v>1</v>
      </c>
      <c r="O30" s="24">
        <v>1</v>
      </c>
      <c r="P30" s="24">
        <v>0</v>
      </c>
      <c r="Q30" s="24">
        <v>1</v>
      </c>
      <c r="R30" s="24">
        <v>62</v>
      </c>
      <c r="S30" s="24">
        <v>17</v>
      </c>
      <c r="T30" s="24">
        <v>3</v>
      </c>
      <c r="U30" s="24">
        <v>0.19</v>
      </c>
      <c r="V30" s="24">
        <v>0.35</v>
      </c>
      <c r="W30" s="24">
        <v>0.54</v>
      </c>
      <c r="X30" s="24">
        <v>0.55000000000000004</v>
      </c>
      <c r="Y30" t="s">
        <v>1208</v>
      </c>
      <c r="Z30" t="b">
        <v>1</v>
      </c>
      <c r="AA30" s="24" t="str">
        <f t="shared" si="0"/>
        <v>Christos Tzolis</v>
      </c>
    </row>
    <row r="31" spans="1:27" x14ac:dyDescent="0.25">
      <c r="A31" s="24">
        <v>1</v>
      </c>
      <c r="B31" s="24" t="s">
        <v>76</v>
      </c>
      <c r="C31" s="24" t="s">
        <v>77</v>
      </c>
      <c r="D31">
        <v>29</v>
      </c>
      <c r="E31" s="24">
        <v>0.3</v>
      </c>
      <c r="F31" s="25">
        <v>45</v>
      </c>
      <c r="G31" s="24">
        <v>1</v>
      </c>
      <c r="H31" s="24">
        <v>0.1</v>
      </c>
      <c r="I31" s="24">
        <v>2</v>
      </c>
      <c r="J31" s="24">
        <v>1</v>
      </c>
      <c r="K31" s="24">
        <v>90</v>
      </c>
      <c r="L31" s="24">
        <v>0</v>
      </c>
      <c r="M31" s="24">
        <v>0</v>
      </c>
      <c r="N31" s="24">
        <v>0</v>
      </c>
      <c r="O31" s="24">
        <v>4</v>
      </c>
      <c r="P31" s="24">
        <v>3</v>
      </c>
      <c r="Q31" s="24">
        <v>0</v>
      </c>
      <c r="R31" s="24">
        <v>1</v>
      </c>
      <c r="S31" s="24">
        <v>0</v>
      </c>
      <c r="T31" s="24">
        <v>1</v>
      </c>
      <c r="U31" s="24">
        <v>0</v>
      </c>
      <c r="V31" s="24">
        <v>0</v>
      </c>
      <c r="W31" s="24">
        <v>0</v>
      </c>
      <c r="X31" s="24">
        <v>3.77</v>
      </c>
      <c r="Y31" t="s">
        <v>1208</v>
      </c>
      <c r="Z31" t="b">
        <v>1</v>
      </c>
      <c r="AA31" s="24" t="str">
        <f t="shared" si="0"/>
        <v>Marco Bizot</v>
      </c>
    </row>
    <row r="32" spans="1:27" x14ac:dyDescent="0.25">
      <c r="A32" s="24">
        <v>2</v>
      </c>
      <c r="B32" s="24" t="s">
        <v>78</v>
      </c>
      <c r="C32" s="24" t="s">
        <v>79</v>
      </c>
      <c r="D32">
        <v>30</v>
      </c>
      <c r="E32" s="24">
        <v>0</v>
      </c>
      <c r="F32" s="25">
        <v>45</v>
      </c>
      <c r="G32" s="24">
        <v>0</v>
      </c>
      <c r="H32" s="24">
        <v>0.1</v>
      </c>
      <c r="I32" s="24">
        <v>2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t="s">
        <v>1211</v>
      </c>
      <c r="Z32" t="b">
        <v>0</v>
      </c>
      <c r="AA32" s="24" t="str">
        <f t="shared" si="0"/>
        <v>Lucas Digne</v>
      </c>
    </row>
    <row r="33" spans="1:27" x14ac:dyDescent="0.25">
      <c r="A33" s="24">
        <v>2</v>
      </c>
      <c r="B33" s="24" t="s">
        <v>82</v>
      </c>
      <c r="C33" s="24" t="s">
        <v>83</v>
      </c>
      <c r="D33">
        <v>32</v>
      </c>
      <c r="E33" s="24">
        <v>2.2999999999999998</v>
      </c>
      <c r="F33" s="25">
        <v>45</v>
      </c>
      <c r="G33" s="24">
        <v>2.2999999999999998</v>
      </c>
      <c r="H33" s="24">
        <v>6.9</v>
      </c>
      <c r="I33" s="24">
        <v>2</v>
      </c>
      <c r="J33" s="24">
        <v>7</v>
      </c>
      <c r="K33" s="24">
        <v>251</v>
      </c>
      <c r="L33" s="24">
        <v>0</v>
      </c>
      <c r="M33" s="24">
        <v>0</v>
      </c>
      <c r="N33" s="24">
        <v>1</v>
      </c>
      <c r="O33" s="24">
        <v>5</v>
      </c>
      <c r="P33" s="24">
        <v>0</v>
      </c>
      <c r="Q33" s="24">
        <v>0</v>
      </c>
      <c r="R33" s="24">
        <v>23</v>
      </c>
      <c r="S33" s="24">
        <v>14</v>
      </c>
      <c r="T33" s="24">
        <v>3</v>
      </c>
      <c r="U33" s="24">
        <v>0.15</v>
      </c>
      <c r="V33" s="24">
        <v>0.04</v>
      </c>
      <c r="W33" s="24">
        <v>0.19</v>
      </c>
      <c r="X33" s="24">
        <v>5.03</v>
      </c>
      <c r="Y33" t="s">
        <v>1208</v>
      </c>
      <c r="Z33" t="b">
        <v>1</v>
      </c>
      <c r="AA33" s="24" t="str">
        <f t="shared" si="0"/>
        <v>Matty Cash</v>
      </c>
    </row>
    <row r="34" spans="1:27" x14ac:dyDescent="0.25">
      <c r="A34" s="24">
        <v>2</v>
      </c>
      <c r="B34" s="24" t="s">
        <v>84</v>
      </c>
      <c r="C34" s="24" t="s">
        <v>85</v>
      </c>
      <c r="D34">
        <v>33</v>
      </c>
      <c r="E34" s="24">
        <v>2.2999999999999998</v>
      </c>
      <c r="F34" s="25">
        <v>45</v>
      </c>
      <c r="G34" s="24">
        <v>3.5</v>
      </c>
      <c r="H34" s="24">
        <v>0.4</v>
      </c>
      <c r="I34" s="24">
        <v>2</v>
      </c>
      <c r="J34" s="24">
        <v>7</v>
      </c>
      <c r="K34" s="24">
        <v>106</v>
      </c>
      <c r="L34" s="24">
        <v>0</v>
      </c>
      <c r="M34" s="24">
        <v>0</v>
      </c>
      <c r="N34" s="24">
        <v>1</v>
      </c>
      <c r="O34" s="24">
        <v>0</v>
      </c>
      <c r="P34" s="24">
        <v>0</v>
      </c>
      <c r="Q34" s="24">
        <v>0</v>
      </c>
      <c r="R34" s="24">
        <v>33</v>
      </c>
      <c r="S34" s="24">
        <v>6</v>
      </c>
      <c r="T34" s="24">
        <v>1</v>
      </c>
      <c r="U34" s="24">
        <v>0.11</v>
      </c>
      <c r="V34" s="24">
        <v>0.02</v>
      </c>
      <c r="W34" s="24">
        <v>0.13</v>
      </c>
      <c r="X34" s="24">
        <v>0.79</v>
      </c>
      <c r="Y34" t="s">
        <v>1208</v>
      </c>
      <c r="Z34" t="b">
        <v>1</v>
      </c>
      <c r="AA34" s="24" t="str">
        <f t="shared" si="0"/>
        <v>Tyrone Mings</v>
      </c>
    </row>
    <row r="35" spans="1:27" x14ac:dyDescent="0.25">
      <c r="A35" s="24">
        <v>2</v>
      </c>
      <c r="B35" s="24" t="s">
        <v>86</v>
      </c>
      <c r="C35" s="24" t="s">
        <v>87</v>
      </c>
      <c r="D35">
        <v>34</v>
      </c>
      <c r="E35" s="24">
        <v>0.7</v>
      </c>
      <c r="F35" s="25">
        <v>45</v>
      </c>
      <c r="G35" s="24">
        <v>1</v>
      </c>
      <c r="H35" s="24">
        <v>0.4</v>
      </c>
      <c r="I35" s="24">
        <v>2</v>
      </c>
      <c r="J35" s="24">
        <v>2</v>
      </c>
      <c r="K35" s="24">
        <v>163</v>
      </c>
      <c r="L35" s="24">
        <v>0</v>
      </c>
      <c r="M35" s="24">
        <v>0</v>
      </c>
      <c r="N35" s="24">
        <v>0</v>
      </c>
      <c r="O35" s="24">
        <v>5</v>
      </c>
      <c r="P35" s="24">
        <v>0</v>
      </c>
      <c r="Q35" s="24">
        <v>0</v>
      </c>
      <c r="R35" s="24">
        <v>-8</v>
      </c>
      <c r="S35" s="24">
        <v>9</v>
      </c>
      <c r="T35" s="24">
        <v>2</v>
      </c>
      <c r="U35" s="24">
        <v>0</v>
      </c>
      <c r="V35" s="24">
        <v>0.01</v>
      </c>
      <c r="W35" s="24">
        <v>0.01</v>
      </c>
      <c r="X35" s="24">
        <v>4.59</v>
      </c>
      <c r="Y35" t="s">
        <v>1208</v>
      </c>
      <c r="Z35" t="b">
        <v>1</v>
      </c>
      <c r="AA35" s="24" t="str">
        <f t="shared" si="0"/>
        <v>Pau Torres</v>
      </c>
    </row>
    <row r="36" spans="1:27" x14ac:dyDescent="0.25">
      <c r="A36" s="24">
        <v>3</v>
      </c>
      <c r="B36" s="24" t="s">
        <v>88</v>
      </c>
      <c r="C36" s="24" t="s">
        <v>89</v>
      </c>
      <c r="D36">
        <v>35</v>
      </c>
      <c r="E36" s="24">
        <v>0.3</v>
      </c>
      <c r="F36" s="25">
        <v>50</v>
      </c>
      <c r="G36" s="24">
        <v>1</v>
      </c>
      <c r="H36" s="24">
        <v>0.1</v>
      </c>
      <c r="I36" s="24">
        <v>2</v>
      </c>
      <c r="J36" s="24">
        <v>1</v>
      </c>
      <c r="K36" s="24">
        <v>16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3</v>
      </c>
      <c r="S36" s="24">
        <v>1</v>
      </c>
      <c r="T36" s="24">
        <v>0</v>
      </c>
      <c r="U36" s="24">
        <v>0</v>
      </c>
      <c r="V36" s="24">
        <v>0</v>
      </c>
      <c r="W36" s="24">
        <v>0</v>
      </c>
      <c r="X36" s="24">
        <v>0.22</v>
      </c>
      <c r="Y36" t="s">
        <v>1208</v>
      </c>
      <c r="Z36" t="b">
        <v>1</v>
      </c>
      <c r="AA36" s="24" t="str">
        <f t="shared" si="0"/>
        <v>Lamare Bogarde</v>
      </c>
    </row>
    <row r="37" spans="1:27" x14ac:dyDescent="0.25">
      <c r="A37" s="24">
        <v>2</v>
      </c>
      <c r="B37" s="24" t="s">
        <v>90</v>
      </c>
      <c r="C37" s="24" t="s">
        <v>91</v>
      </c>
      <c r="D37">
        <v>36</v>
      </c>
      <c r="E37" s="24">
        <v>2.7</v>
      </c>
      <c r="F37" s="25">
        <v>45</v>
      </c>
      <c r="G37" s="24">
        <v>2.7</v>
      </c>
      <c r="H37" s="24">
        <v>0.8</v>
      </c>
      <c r="I37" s="24">
        <v>2</v>
      </c>
      <c r="J37" s="24">
        <v>8</v>
      </c>
      <c r="K37" s="24">
        <v>245</v>
      </c>
      <c r="L37" s="24">
        <v>0</v>
      </c>
      <c r="M37" s="24">
        <v>0</v>
      </c>
      <c r="N37" s="24">
        <v>1</v>
      </c>
      <c r="O37" s="24">
        <v>5</v>
      </c>
      <c r="P37" s="24">
        <v>0</v>
      </c>
      <c r="Q37" s="24">
        <v>1</v>
      </c>
      <c r="R37" s="24">
        <v>15</v>
      </c>
      <c r="S37" s="24">
        <v>20</v>
      </c>
      <c r="T37" s="24">
        <v>3</v>
      </c>
      <c r="U37" s="24">
        <v>0.1</v>
      </c>
      <c r="V37" s="24">
        <v>0.42</v>
      </c>
      <c r="W37" s="24">
        <v>0.52</v>
      </c>
      <c r="X37" s="24">
        <v>4.88</v>
      </c>
      <c r="Y37" t="s">
        <v>1208</v>
      </c>
      <c r="Z37" t="b">
        <v>1</v>
      </c>
      <c r="AA37" s="24" t="str">
        <f t="shared" si="0"/>
        <v>Ian Maatsen</v>
      </c>
    </row>
    <row r="38" spans="1:27" x14ac:dyDescent="0.25">
      <c r="A38" s="24">
        <v>2</v>
      </c>
      <c r="B38" s="24" t="s">
        <v>92</v>
      </c>
      <c r="C38" s="24" t="s">
        <v>93</v>
      </c>
      <c r="D38">
        <v>37</v>
      </c>
      <c r="E38" s="24">
        <v>2</v>
      </c>
      <c r="F38" s="25">
        <v>45</v>
      </c>
      <c r="G38" s="24">
        <v>2</v>
      </c>
      <c r="H38" s="24">
        <v>0.3</v>
      </c>
      <c r="I38" s="24">
        <v>2</v>
      </c>
      <c r="J38" s="24">
        <v>6</v>
      </c>
      <c r="K38" s="24">
        <v>270</v>
      </c>
      <c r="L38" s="24">
        <v>0</v>
      </c>
      <c r="M38" s="24">
        <v>0</v>
      </c>
      <c r="N38" s="24">
        <v>1</v>
      </c>
      <c r="O38" s="24">
        <v>5</v>
      </c>
      <c r="P38" s="24">
        <v>0</v>
      </c>
      <c r="Q38" s="24">
        <v>0</v>
      </c>
      <c r="R38" s="24">
        <v>25</v>
      </c>
      <c r="S38" s="24">
        <v>14</v>
      </c>
      <c r="T38" s="24">
        <v>3</v>
      </c>
      <c r="U38" s="24">
        <v>0</v>
      </c>
      <c r="V38" s="24">
        <v>0.16</v>
      </c>
      <c r="W38" s="24">
        <v>0.16</v>
      </c>
      <c r="X38" s="24">
        <v>5.38</v>
      </c>
      <c r="Y38" t="s">
        <v>1208</v>
      </c>
      <c r="Z38" t="b">
        <v>1</v>
      </c>
      <c r="AA38" s="24" t="str">
        <f t="shared" si="0"/>
        <v>Victor Lindelöf</v>
      </c>
    </row>
    <row r="39" spans="1:27" x14ac:dyDescent="0.25">
      <c r="A39" s="24">
        <v>2</v>
      </c>
      <c r="B39" s="24" t="s">
        <v>94</v>
      </c>
      <c r="C39" s="24" t="s">
        <v>95</v>
      </c>
      <c r="D39">
        <v>38</v>
      </c>
      <c r="E39" s="24">
        <v>0</v>
      </c>
      <c r="F39" s="25">
        <v>40</v>
      </c>
      <c r="G39" s="24">
        <v>0</v>
      </c>
      <c r="H39" s="24">
        <v>1.7</v>
      </c>
      <c r="I39" s="24">
        <v>2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t="s">
        <v>1208</v>
      </c>
      <c r="Z39" t="b">
        <v>1</v>
      </c>
      <c r="AA39" s="24" t="str">
        <f t="shared" si="0"/>
        <v>Andrés García</v>
      </c>
    </row>
    <row r="40" spans="1:27" x14ac:dyDescent="0.25">
      <c r="A40" s="24">
        <v>2</v>
      </c>
      <c r="B40" s="24" t="s">
        <v>96</v>
      </c>
      <c r="C40" s="24" t="s">
        <v>97</v>
      </c>
      <c r="D40">
        <v>39</v>
      </c>
      <c r="E40" s="24">
        <v>0</v>
      </c>
      <c r="F40" s="25">
        <v>40</v>
      </c>
      <c r="G40" s="24">
        <v>0</v>
      </c>
      <c r="H40" s="24">
        <v>0.2</v>
      </c>
      <c r="I40" s="24">
        <v>2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t="s">
        <v>1211</v>
      </c>
      <c r="Z40" t="b">
        <v>0</v>
      </c>
      <c r="AA40" s="24" t="str">
        <f t="shared" si="0"/>
        <v>Kosta Nedeljkovic</v>
      </c>
    </row>
    <row r="41" spans="1:27" x14ac:dyDescent="0.25">
      <c r="A41" s="24">
        <v>3</v>
      </c>
      <c r="B41" s="24" t="s">
        <v>74</v>
      </c>
      <c r="C41" s="24" t="s">
        <v>98</v>
      </c>
      <c r="D41">
        <v>41</v>
      </c>
      <c r="E41" s="24">
        <v>2.2999999999999998</v>
      </c>
      <c r="F41" s="25">
        <v>60</v>
      </c>
      <c r="G41" s="24">
        <v>2.2999999999999998</v>
      </c>
      <c r="H41" s="24">
        <v>1.1000000000000001</v>
      </c>
      <c r="I41" s="24">
        <v>2</v>
      </c>
      <c r="J41" s="24">
        <v>7</v>
      </c>
      <c r="K41" s="24">
        <v>249</v>
      </c>
      <c r="L41" s="24">
        <v>0</v>
      </c>
      <c r="M41" s="24">
        <v>0</v>
      </c>
      <c r="N41" s="24">
        <v>1</v>
      </c>
      <c r="O41" s="24">
        <v>5</v>
      </c>
      <c r="P41" s="24">
        <v>0</v>
      </c>
      <c r="Q41" s="24">
        <v>0</v>
      </c>
      <c r="R41" s="24">
        <v>15</v>
      </c>
      <c r="S41" s="24">
        <v>14</v>
      </c>
      <c r="T41" s="24">
        <v>3</v>
      </c>
      <c r="U41" s="24">
        <v>0.78</v>
      </c>
      <c r="V41" s="24">
        <v>0.16</v>
      </c>
      <c r="W41" s="24">
        <v>0.94</v>
      </c>
      <c r="X41" s="24">
        <v>4.88</v>
      </c>
      <c r="Y41" t="s">
        <v>1208</v>
      </c>
      <c r="Z41" t="b">
        <v>1</v>
      </c>
      <c r="AA41" s="24" t="str">
        <f t="shared" si="0"/>
        <v>Emiliano Buendía Stati</v>
      </c>
    </row>
    <row r="42" spans="1:27" x14ac:dyDescent="0.25">
      <c r="A42" s="24">
        <v>3</v>
      </c>
      <c r="B42" s="24" t="s">
        <v>99</v>
      </c>
      <c r="C42" s="24" t="s">
        <v>100</v>
      </c>
      <c r="D42">
        <v>44</v>
      </c>
      <c r="E42" s="24">
        <v>0</v>
      </c>
      <c r="F42" s="25">
        <v>54</v>
      </c>
      <c r="G42" s="24">
        <v>0</v>
      </c>
      <c r="H42" s="24">
        <v>0.1</v>
      </c>
      <c r="I42" s="24">
        <v>2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t="s">
        <v>1211</v>
      </c>
      <c r="Z42" t="b">
        <v>0</v>
      </c>
      <c r="AA42" s="24" t="str">
        <f t="shared" si="0"/>
        <v>Leon Bailey</v>
      </c>
    </row>
    <row r="43" spans="1:27" x14ac:dyDescent="0.25">
      <c r="A43" s="24">
        <v>3</v>
      </c>
      <c r="B43" s="24" t="s">
        <v>101</v>
      </c>
      <c r="C43" s="24" t="s">
        <v>102</v>
      </c>
      <c r="D43">
        <v>45</v>
      </c>
      <c r="E43" s="24">
        <v>1.7</v>
      </c>
      <c r="F43" s="25">
        <v>54</v>
      </c>
      <c r="G43" s="24">
        <v>1.7</v>
      </c>
      <c r="H43" s="24">
        <v>2.4</v>
      </c>
      <c r="I43" s="24">
        <v>2</v>
      </c>
      <c r="J43" s="24">
        <v>5</v>
      </c>
      <c r="K43" s="24">
        <v>261</v>
      </c>
      <c r="L43" s="24">
        <v>0</v>
      </c>
      <c r="M43" s="24">
        <v>0</v>
      </c>
      <c r="N43" s="24">
        <v>1</v>
      </c>
      <c r="O43" s="24">
        <v>5</v>
      </c>
      <c r="P43" s="24">
        <v>0</v>
      </c>
      <c r="Q43" s="24">
        <v>0</v>
      </c>
      <c r="R43" s="24">
        <v>16</v>
      </c>
      <c r="S43" s="24">
        <v>15</v>
      </c>
      <c r="T43" s="24">
        <v>3</v>
      </c>
      <c r="U43" s="24">
        <v>0.77</v>
      </c>
      <c r="V43" s="24">
        <v>0.09</v>
      </c>
      <c r="W43" s="24">
        <v>0.86</v>
      </c>
      <c r="X43" s="24">
        <v>5.23</v>
      </c>
      <c r="Y43" t="s">
        <v>1208</v>
      </c>
      <c r="Z43" t="b">
        <v>1</v>
      </c>
      <c r="AA43" s="24" t="str">
        <f t="shared" si="0"/>
        <v>John McGinn</v>
      </c>
    </row>
    <row r="44" spans="1:27" x14ac:dyDescent="0.25">
      <c r="A44" s="24">
        <v>3</v>
      </c>
      <c r="B44" s="24" t="s">
        <v>103</v>
      </c>
      <c r="C44" s="24" t="s">
        <v>104</v>
      </c>
      <c r="D44">
        <v>46</v>
      </c>
      <c r="E44" s="24">
        <v>2.2999999999999998</v>
      </c>
      <c r="F44" s="25">
        <v>50</v>
      </c>
      <c r="G44" s="24">
        <v>2.2999999999999998</v>
      </c>
      <c r="H44" s="24">
        <v>0.3</v>
      </c>
      <c r="I44" s="24">
        <v>2</v>
      </c>
      <c r="J44" s="24">
        <v>7</v>
      </c>
      <c r="K44" s="24">
        <v>240</v>
      </c>
      <c r="L44" s="24">
        <v>0</v>
      </c>
      <c r="M44" s="24">
        <v>0</v>
      </c>
      <c r="N44" s="24">
        <v>1</v>
      </c>
      <c r="O44" s="24">
        <v>5</v>
      </c>
      <c r="P44" s="24">
        <v>0</v>
      </c>
      <c r="Q44" s="24">
        <v>0</v>
      </c>
      <c r="R44" s="24">
        <v>49</v>
      </c>
      <c r="S44" s="24">
        <v>17</v>
      </c>
      <c r="T44" s="24">
        <v>3</v>
      </c>
      <c r="U44" s="24">
        <v>0.35</v>
      </c>
      <c r="V44" s="24">
        <v>0.13</v>
      </c>
      <c r="W44" s="24">
        <v>0.48</v>
      </c>
      <c r="X44" s="24">
        <v>5.16</v>
      </c>
      <c r="Y44" t="s">
        <v>1208</v>
      </c>
      <c r="Z44" t="b">
        <v>1</v>
      </c>
      <c r="AA44" s="24" t="str">
        <f t="shared" si="0"/>
        <v>Ross Barkley</v>
      </c>
    </row>
    <row r="45" spans="1:27" x14ac:dyDescent="0.25">
      <c r="A45" s="24">
        <v>3</v>
      </c>
      <c r="B45" s="24" t="s">
        <v>105</v>
      </c>
      <c r="C45" s="24" t="s">
        <v>106</v>
      </c>
      <c r="D45">
        <v>47</v>
      </c>
      <c r="E45" s="24">
        <v>2.2999999999999998</v>
      </c>
      <c r="F45" s="25">
        <v>50</v>
      </c>
      <c r="G45" s="24">
        <v>2.2999999999999998</v>
      </c>
      <c r="H45" s="24">
        <v>0.3</v>
      </c>
      <c r="I45" s="24">
        <v>2</v>
      </c>
      <c r="J45" s="24">
        <v>7</v>
      </c>
      <c r="K45" s="24">
        <v>270</v>
      </c>
      <c r="L45" s="24">
        <v>0</v>
      </c>
      <c r="M45" s="24">
        <v>0</v>
      </c>
      <c r="N45" s="24">
        <v>1</v>
      </c>
      <c r="O45" s="24">
        <v>5</v>
      </c>
      <c r="P45" s="24">
        <v>0</v>
      </c>
      <c r="Q45" s="24">
        <v>0</v>
      </c>
      <c r="R45" s="24">
        <v>42</v>
      </c>
      <c r="S45" s="24">
        <v>25</v>
      </c>
      <c r="T45" s="24">
        <v>3</v>
      </c>
      <c r="U45" s="24">
        <v>0</v>
      </c>
      <c r="V45" s="24">
        <v>0.1</v>
      </c>
      <c r="W45" s="24">
        <v>0.1</v>
      </c>
      <c r="X45" s="24">
        <v>5.38</v>
      </c>
      <c r="Y45" t="s">
        <v>1208</v>
      </c>
      <c r="Z45" t="b">
        <v>1</v>
      </c>
      <c r="AA45" s="24" t="str">
        <f t="shared" si="0"/>
        <v>Boubacar Kamara</v>
      </c>
    </row>
    <row r="46" spans="1:27" x14ac:dyDescent="0.25">
      <c r="A46" s="24">
        <v>3</v>
      </c>
      <c r="B46" s="24" t="s">
        <v>107</v>
      </c>
      <c r="C46" s="24" t="s">
        <v>108</v>
      </c>
      <c r="D46">
        <v>48</v>
      </c>
      <c r="E46" s="24">
        <v>0</v>
      </c>
      <c r="F46" s="25">
        <v>50</v>
      </c>
      <c r="G46" s="24">
        <v>0</v>
      </c>
      <c r="H46" s="24">
        <v>0</v>
      </c>
      <c r="I46" s="24">
        <v>2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t="s">
        <v>1209</v>
      </c>
      <c r="Z46" t="b">
        <v>1</v>
      </c>
      <c r="AA46" s="24" t="str">
        <f t="shared" si="0"/>
        <v>Amadou Onana</v>
      </c>
    </row>
    <row r="47" spans="1:27" x14ac:dyDescent="0.25">
      <c r="A47" s="24">
        <v>3</v>
      </c>
      <c r="B47" s="24" t="s">
        <v>109</v>
      </c>
      <c r="C47" s="24" t="s">
        <v>110</v>
      </c>
      <c r="D47">
        <v>49</v>
      </c>
      <c r="E47" s="24">
        <v>0</v>
      </c>
      <c r="F47" s="25">
        <v>50</v>
      </c>
      <c r="G47" s="24">
        <v>0</v>
      </c>
      <c r="H47" s="24">
        <v>0</v>
      </c>
      <c r="I47" s="24">
        <v>2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t="s">
        <v>1211</v>
      </c>
      <c r="Z47" t="b">
        <v>0</v>
      </c>
      <c r="AA47" s="24" t="str">
        <f t="shared" si="0"/>
        <v>Samuel Iling-Junior</v>
      </c>
    </row>
    <row r="48" spans="1:27" x14ac:dyDescent="0.25">
      <c r="A48" s="24">
        <v>3</v>
      </c>
      <c r="B48" s="24" t="s">
        <v>111</v>
      </c>
      <c r="C48" s="24" t="s">
        <v>112</v>
      </c>
      <c r="D48">
        <v>50</v>
      </c>
      <c r="E48" s="24">
        <v>0</v>
      </c>
      <c r="F48" s="25">
        <v>45</v>
      </c>
      <c r="G48" s="24">
        <v>0</v>
      </c>
      <c r="H48" s="24">
        <v>0.7</v>
      </c>
      <c r="I48" s="24">
        <v>2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t="s">
        <v>1208</v>
      </c>
      <c r="Z48" t="b">
        <v>1</v>
      </c>
      <c r="AA48" s="24" t="str">
        <f t="shared" si="0"/>
        <v>Bradley Burrowes</v>
      </c>
    </row>
    <row r="49" spans="1:27" x14ac:dyDescent="0.25">
      <c r="A49" s="24">
        <v>3</v>
      </c>
      <c r="B49" s="24" t="s">
        <v>113</v>
      </c>
      <c r="C49" s="24" t="s">
        <v>114</v>
      </c>
      <c r="D49">
        <v>51</v>
      </c>
      <c r="E49" s="24">
        <v>2.2999999999999998</v>
      </c>
      <c r="F49" s="25">
        <v>45</v>
      </c>
      <c r="G49" s="24">
        <v>2.2999999999999998</v>
      </c>
      <c r="H49" s="24">
        <v>1.1000000000000001</v>
      </c>
      <c r="I49" s="24">
        <v>2</v>
      </c>
      <c r="J49" s="24">
        <v>7</v>
      </c>
      <c r="K49" s="24">
        <v>234</v>
      </c>
      <c r="L49" s="24">
        <v>0</v>
      </c>
      <c r="M49" s="24">
        <v>0</v>
      </c>
      <c r="N49" s="24">
        <v>1</v>
      </c>
      <c r="O49" s="24">
        <v>5</v>
      </c>
      <c r="P49" s="24">
        <v>0</v>
      </c>
      <c r="Q49" s="24">
        <v>0</v>
      </c>
      <c r="R49" s="24">
        <v>29</v>
      </c>
      <c r="S49" s="24">
        <v>18</v>
      </c>
      <c r="T49" s="24">
        <v>3</v>
      </c>
      <c r="U49" s="24">
        <v>7.0000000000000007E-2</v>
      </c>
      <c r="V49" s="24">
        <v>0.15</v>
      </c>
      <c r="W49" s="24">
        <v>0.22</v>
      </c>
      <c r="X49" s="24">
        <v>5</v>
      </c>
      <c r="Y49" t="s">
        <v>1208</v>
      </c>
      <c r="Z49" t="b">
        <v>1</v>
      </c>
      <c r="AA49" s="24" t="str">
        <f t="shared" si="0"/>
        <v>George Hemmings</v>
      </c>
    </row>
    <row r="50" spans="1:27" x14ac:dyDescent="0.25">
      <c r="A50" s="24">
        <v>3</v>
      </c>
      <c r="B50" s="24" t="s">
        <v>115</v>
      </c>
      <c r="C50" s="24" t="s">
        <v>116</v>
      </c>
      <c r="D50">
        <v>52</v>
      </c>
      <c r="E50" s="24">
        <v>0.7</v>
      </c>
      <c r="F50" s="25">
        <v>50</v>
      </c>
      <c r="G50" s="24">
        <v>0.7</v>
      </c>
      <c r="H50" s="24">
        <v>0</v>
      </c>
      <c r="I50" s="24">
        <v>2</v>
      </c>
      <c r="J50" s="24">
        <v>2</v>
      </c>
      <c r="K50" s="24">
        <v>42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10</v>
      </c>
      <c r="S50" s="24">
        <v>6</v>
      </c>
      <c r="T50" s="24">
        <v>0</v>
      </c>
      <c r="U50" s="24">
        <v>0</v>
      </c>
      <c r="V50" s="24">
        <v>0</v>
      </c>
      <c r="W50" s="24">
        <v>0</v>
      </c>
      <c r="X50" s="24">
        <v>0.51</v>
      </c>
      <c r="Y50" t="s">
        <v>1208</v>
      </c>
      <c r="Z50" t="b">
        <v>1</v>
      </c>
      <c r="AA50" s="24" t="str">
        <f t="shared" si="0"/>
        <v>Alysson Edward Franco da Rocha dos Santos</v>
      </c>
    </row>
    <row r="51" spans="1:27" x14ac:dyDescent="0.25">
      <c r="A51" s="24">
        <v>3</v>
      </c>
      <c r="B51" s="24" t="s">
        <v>117</v>
      </c>
      <c r="C51" s="24" t="s">
        <v>118</v>
      </c>
      <c r="D51">
        <v>53</v>
      </c>
      <c r="E51" s="24">
        <v>0</v>
      </c>
      <c r="F51" s="25">
        <v>59</v>
      </c>
      <c r="G51" s="24">
        <v>0</v>
      </c>
      <c r="H51" s="24">
        <v>0.1</v>
      </c>
      <c r="I51" s="24">
        <v>2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t="s">
        <v>1209</v>
      </c>
      <c r="Z51" t="b">
        <v>1</v>
      </c>
      <c r="AA51" s="24" t="str">
        <f t="shared" si="0"/>
        <v>Johan Manzambi</v>
      </c>
    </row>
    <row r="52" spans="1:27" x14ac:dyDescent="0.25">
      <c r="A52" s="24">
        <v>3</v>
      </c>
      <c r="B52" s="24" t="s">
        <v>119</v>
      </c>
      <c r="C52" s="24" t="s">
        <v>120</v>
      </c>
      <c r="D52">
        <v>54</v>
      </c>
      <c r="E52" s="24">
        <v>-0.7</v>
      </c>
      <c r="F52" s="25">
        <v>55</v>
      </c>
      <c r="G52" s="24">
        <v>-2</v>
      </c>
      <c r="H52" s="24">
        <v>0</v>
      </c>
      <c r="I52" s="24">
        <v>2</v>
      </c>
      <c r="J52" s="24">
        <v>-2</v>
      </c>
      <c r="K52" s="24">
        <v>39</v>
      </c>
      <c r="L52" s="24">
        <v>0</v>
      </c>
      <c r="M52" s="24">
        <v>0</v>
      </c>
      <c r="N52" s="24">
        <v>0</v>
      </c>
      <c r="O52" s="24">
        <v>4</v>
      </c>
      <c r="P52" s="24">
        <v>0</v>
      </c>
      <c r="Q52" s="24">
        <v>0</v>
      </c>
      <c r="R52" s="24">
        <v>-2</v>
      </c>
      <c r="S52" s="24">
        <v>7</v>
      </c>
      <c r="T52" s="24">
        <v>1</v>
      </c>
      <c r="U52" s="24">
        <v>0</v>
      </c>
      <c r="V52" s="24">
        <v>0.01</v>
      </c>
      <c r="W52" s="24">
        <v>0.01</v>
      </c>
      <c r="X52" s="24">
        <v>2.58</v>
      </c>
      <c r="Y52" t="s">
        <v>1212</v>
      </c>
      <c r="Z52" t="b">
        <v>1</v>
      </c>
      <c r="AA52" s="24" t="str">
        <f t="shared" si="0"/>
        <v>Joao Gomes</v>
      </c>
    </row>
    <row r="53" spans="1:27" x14ac:dyDescent="0.25">
      <c r="A53" s="24">
        <v>4</v>
      </c>
      <c r="B53" s="24" t="s">
        <v>121</v>
      </c>
      <c r="C53" s="24" t="s">
        <v>122</v>
      </c>
      <c r="D53">
        <v>55</v>
      </c>
      <c r="E53" s="24">
        <v>0</v>
      </c>
      <c r="F53" s="25">
        <v>78</v>
      </c>
      <c r="G53" s="24">
        <v>0</v>
      </c>
      <c r="H53" s="24">
        <v>3.6</v>
      </c>
      <c r="I53" s="24">
        <v>2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t="s">
        <v>1211</v>
      </c>
      <c r="Z53" t="b">
        <v>0</v>
      </c>
      <c r="AA53" s="24" t="str">
        <f t="shared" si="0"/>
        <v>Ollie Watkins</v>
      </c>
    </row>
    <row r="54" spans="1:27" x14ac:dyDescent="0.25">
      <c r="A54" s="24">
        <v>4</v>
      </c>
      <c r="B54" s="24" t="s">
        <v>123</v>
      </c>
      <c r="C54" s="24" t="s">
        <v>124</v>
      </c>
      <c r="D54">
        <v>56</v>
      </c>
      <c r="E54" s="24">
        <v>0.7</v>
      </c>
      <c r="F54" s="25">
        <v>55</v>
      </c>
      <c r="G54" s="24">
        <v>1</v>
      </c>
      <c r="H54" s="24">
        <v>0.2</v>
      </c>
      <c r="I54" s="24">
        <v>2</v>
      </c>
      <c r="J54" s="24">
        <v>2</v>
      </c>
      <c r="K54" s="24">
        <v>24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6</v>
      </c>
      <c r="S54" s="24">
        <v>1</v>
      </c>
      <c r="T54" s="24">
        <v>0</v>
      </c>
      <c r="U54" s="24">
        <v>0</v>
      </c>
      <c r="V54" s="24">
        <v>0</v>
      </c>
      <c r="W54" s="24">
        <v>0</v>
      </c>
      <c r="X54" s="24">
        <v>0.37</v>
      </c>
      <c r="Y54" t="s">
        <v>1208</v>
      </c>
      <c r="Z54" t="b">
        <v>1</v>
      </c>
      <c r="AA54" s="24" t="str">
        <f t="shared" si="0"/>
        <v>Tammy Abraham</v>
      </c>
    </row>
    <row r="55" spans="1:27" x14ac:dyDescent="0.25">
      <c r="A55" s="24">
        <v>3</v>
      </c>
      <c r="B55" s="24" t="s">
        <v>125</v>
      </c>
      <c r="C55" s="24" t="s">
        <v>126</v>
      </c>
      <c r="D55">
        <v>160</v>
      </c>
      <c r="E55" s="24">
        <v>1</v>
      </c>
      <c r="F55" s="25">
        <v>59</v>
      </c>
      <c r="G55" s="24">
        <v>1</v>
      </c>
      <c r="H55" s="24">
        <v>0.4</v>
      </c>
      <c r="I55" s="24">
        <v>2</v>
      </c>
      <c r="J55" s="24">
        <v>3</v>
      </c>
      <c r="K55" s="24">
        <v>31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9</v>
      </c>
      <c r="S55" s="24">
        <v>2</v>
      </c>
      <c r="T55" s="24">
        <v>0</v>
      </c>
      <c r="U55" s="24">
        <v>0</v>
      </c>
      <c r="V55" s="24">
        <v>0</v>
      </c>
      <c r="W55" s="24">
        <v>0</v>
      </c>
      <c r="X55" s="24">
        <v>0.49</v>
      </c>
      <c r="Y55" t="s">
        <v>1208</v>
      </c>
      <c r="Z55" t="b">
        <v>1</v>
      </c>
      <c r="AA55" s="24" t="str">
        <f t="shared" si="0"/>
        <v>Alejandro Garnacho Ferreyra</v>
      </c>
    </row>
    <row r="56" spans="1:27" x14ac:dyDescent="0.25">
      <c r="A56" s="24">
        <v>4</v>
      </c>
      <c r="B56" s="24" t="s">
        <v>336</v>
      </c>
      <c r="C56" s="24" t="s">
        <v>337</v>
      </c>
      <c r="D56">
        <v>166</v>
      </c>
      <c r="E56" s="24">
        <v>1.3</v>
      </c>
      <c r="F56" s="25">
        <v>65</v>
      </c>
      <c r="G56" s="24">
        <v>2</v>
      </c>
      <c r="H56" s="24">
        <v>1.1000000000000001</v>
      </c>
      <c r="I56" s="24">
        <v>2</v>
      </c>
      <c r="J56" s="24">
        <v>4</v>
      </c>
      <c r="K56" s="24">
        <v>154</v>
      </c>
      <c r="L56" s="24">
        <v>0</v>
      </c>
      <c r="M56" s="24">
        <v>0</v>
      </c>
      <c r="N56" s="24">
        <v>1</v>
      </c>
      <c r="O56" s="24">
        <v>1</v>
      </c>
      <c r="P56" s="24">
        <v>0</v>
      </c>
      <c r="Q56" s="24">
        <v>0</v>
      </c>
      <c r="R56" s="24">
        <v>21</v>
      </c>
      <c r="S56" s="24">
        <v>5</v>
      </c>
      <c r="T56" s="24">
        <v>2</v>
      </c>
      <c r="U56" s="24">
        <v>0.24</v>
      </c>
      <c r="V56" s="24">
        <v>0.54</v>
      </c>
      <c r="W56" s="24">
        <v>0.78</v>
      </c>
      <c r="X56" s="24">
        <v>1.23</v>
      </c>
      <c r="Y56" t="s">
        <v>1208</v>
      </c>
      <c r="Z56" t="b">
        <v>1</v>
      </c>
      <c r="AA56" s="24" t="str">
        <f t="shared" si="0"/>
        <v>Nicolas Jackson</v>
      </c>
    </row>
    <row r="57" spans="1:27" x14ac:dyDescent="0.25">
      <c r="A57" s="24">
        <v>4</v>
      </c>
      <c r="B57" s="24" t="s">
        <v>127</v>
      </c>
      <c r="C57" s="24" t="s">
        <v>128</v>
      </c>
      <c r="D57">
        <v>582</v>
      </c>
      <c r="E57" s="24">
        <v>0</v>
      </c>
      <c r="F57" s="25">
        <v>55</v>
      </c>
      <c r="G57" s="24">
        <v>0</v>
      </c>
      <c r="H57" s="24">
        <v>0.3</v>
      </c>
      <c r="I57" s="24">
        <v>2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t="s">
        <v>1209</v>
      </c>
      <c r="Z57" t="b">
        <v>1</v>
      </c>
      <c r="AA57" s="24" t="str">
        <f t="shared" si="0"/>
        <v>Brian Madjo</v>
      </c>
    </row>
    <row r="58" spans="1:27" x14ac:dyDescent="0.25">
      <c r="A58" s="24">
        <v>2</v>
      </c>
      <c r="B58" s="24" t="s">
        <v>1124</v>
      </c>
      <c r="C58" s="24" t="s">
        <v>1125</v>
      </c>
      <c r="D58">
        <v>596</v>
      </c>
      <c r="E58" s="24">
        <v>0.7</v>
      </c>
      <c r="F58" s="25">
        <v>45</v>
      </c>
      <c r="G58" s="24">
        <v>1</v>
      </c>
      <c r="H58" s="24">
        <v>0.1</v>
      </c>
      <c r="I58" s="24">
        <v>2</v>
      </c>
      <c r="J58" s="24">
        <v>2</v>
      </c>
      <c r="K58" s="24">
        <v>23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6</v>
      </c>
      <c r="S58" s="24">
        <v>3</v>
      </c>
      <c r="T58" s="24">
        <v>0</v>
      </c>
      <c r="U58" s="24">
        <v>0</v>
      </c>
      <c r="V58" s="24">
        <v>0.01</v>
      </c>
      <c r="W58" s="24">
        <v>0.01</v>
      </c>
      <c r="X58" s="24">
        <v>0.49</v>
      </c>
      <c r="Y58" t="s">
        <v>1208</v>
      </c>
      <c r="Z58" t="b">
        <v>1</v>
      </c>
      <c r="AA58" s="24" t="str">
        <f t="shared" si="0"/>
        <v>Matteo Ruggeri</v>
      </c>
    </row>
    <row r="59" spans="1:27" x14ac:dyDescent="0.25">
      <c r="A59" s="24">
        <v>1</v>
      </c>
      <c r="B59" s="24" t="s">
        <v>1126</v>
      </c>
      <c r="C59" s="24" t="s">
        <v>1127</v>
      </c>
      <c r="D59">
        <v>597</v>
      </c>
      <c r="E59" s="24">
        <v>4</v>
      </c>
      <c r="F59" s="25">
        <v>50</v>
      </c>
      <c r="G59" s="24">
        <v>6</v>
      </c>
      <c r="H59" s="24">
        <v>1.4</v>
      </c>
      <c r="I59" s="24">
        <v>2</v>
      </c>
      <c r="J59" s="24">
        <v>12</v>
      </c>
      <c r="K59" s="24">
        <v>180</v>
      </c>
      <c r="L59" s="24">
        <v>0</v>
      </c>
      <c r="M59" s="24">
        <v>0</v>
      </c>
      <c r="N59" s="24">
        <v>1</v>
      </c>
      <c r="O59" s="24">
        <v>1</v>
      </c>
      <c r="P59" s="24">
        <v>5</v>
      </c>
      <c r="Q59" s="24">
        <v>3</v>
      </c>
      <c r="R59" s="24">
        <v>46</v>
      </c>
      <c r="S59" s="24">
        <v>0</v>
      </c>
      <c r="T59" s="24">
        <v>2</v>
      </c>
      <c r="U59" s="24">
        <v>0</v>
      </c>
      <c r="V59" s="24">
        <v>0</v>
      </c>
      <c r="W59" s="24">
        <v>0</v>
      </c>
      <c r="X59" s="24">
        <v>1.61</v>
      </c>
      <c r="Y59" t="s">
        <v>1208</v>
      </c>
      <c r="Z59" t="b">
        <v>1</v>
      </c>
      <c r="AA59" s="24" t="str">
        <f t="shared" si="0"/>
        <v>Zion Suzuki</v>
      </c>
    </row>
    <row r="60" spans="1:27" x14ac:dyDescent="0.25">
      <c r="A60" s="24">
        <v>2</v>
      </c>
      <c r="B60" s="24" t="s">
        <v>1216</v>
      </c>
      <c r="C60" s="24" t="s">
        <v>1217</v>
      </c>
      <c r="D60">
        <v>606</v>
      </c>
      <c r="E60" s="24">
        <v>0</v>
      </c>
      <c r="F60" s="25">
        <v>40</v>
      </c>
      <c r="G60" s="24">
        <v>0</v>
      </c>
      <c r="H60" s="24">
        <v>0.1</v>
      </c>
      <c r="I60" s="24">
        <v>2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t="s">
        <v>1208</v>
      </c>
      <c r="Z60" t="b">
        <v>1</v>
      </c>
      <c r="AA60" s="24" t="str">
        <f t="shared" si="0"/>
        <v>Triston Rowe</v>
      </c>
    </row>
    <row r="61" spans="1:27" x14ac:dyDescent="0.25">
      <c r="A61" s="24">
        <v>3</v>
      </c>
      <c r="B61" s="24" t="s">
        <v>285</v>
      </c>
      <c r="C61" s="24" t="s">
        <v>1218</v>
      </c>
      <c r="D61">
        <v>607</v>
      </c>
      <c r="E61" s="24">
        <v>0</v>
      </c>
      <c r="F61" s="25">
        <v>45</v>
      </c>
      <c r="G61" s="24">
        <v>0</v>
      </c>
      <c r="H61" s="24">
        <v>0.1</v>
      </c>
      <c r="I61" s="24">
        <v>2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t="s">
        <v>1211</v>
      </c>
      <c r="Z61" t="b">
        <v>0</v>
      </c>
      <c r="AA61" s="24" t="str">
        <f t="shared" si="0"/>
        <v>Luka Lynch</v>
      </c>
    </row>
    <row r="62" spans="1:27" x14ac:dyDescent="0.25">
      <c r="A62" s="24">
        <v>2</v>
      </c>
      <c r="B62" s="24" t="s">
        <v>197</v>
      </c>
      <c r="C62" s="24" t="s">
        <v>1219</v>
      </c>
      <c r="D62">
        <v>611</v>
      </c>
      <c r="E62" s="24">
        <v>1</v>
      </c>
      <c r="F62" s="25">
        <v>45</v>
      </c>
      <c r="G62" s="24">
        <v>1</v>
      </c>
      <c r="H62" s="24">
        <v>0.2</v>
      </c>
      <c r="I62" s="24">
        <v>2</v>
      </c>
      <c r="J62" s="24">
        <v>2</v>
      </c>
      <c r="K62" s="24">
        <v>17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7</v>
      </c>
      <c r="S62" s="24">
        <v>3</v>
      </c>
      <c r="T62" s="24">
        <v>0</v>
      </c>
      <c r="U62" s="24">
        <v>0</v>
      </c>
      <c r="V62" s="24">
        <v>0</v>
      </c>
      <c r="W62" s="24">
        <v>0</v>
      </c>
      <c r="X62" s="24">
        <v>0.35</v>
      </c>
      <c r="Y62" t="s">
        <v>1208</v>
      </c>
      <c r="Z62" t="b">
        <v>1</v>
      </c>
      <c r="AA62" s="24" t="str">
        <f t="shared" si="0"/>
        <v>Aaron Wan-Bissaka</v>
      </c>
    </row>
    <row r="63" spans="1:27" x14ac:dyDescent="0.25">
      <c r="A63" s="24">
        <v>3</v>
      </c>
      <c r="B63" s="24" t="s">
        <v>99</v>
      </c>
      <c r="C63" s="24" t="s">
        <v>1237</v>
      </c>
      <c r="D63">
        <v>618</v>
      </c>
      <c r="E63" s="24">
        <v>0</v>
      </c>
      <c r="F63" s="25">
        <v>60</v>
      </c>
      <c r="G63" s="24">
        <v>0</v>
      </c>
      <c r="H63" s="24">
        <v>0</v>
      </c>
      <c r="I63" s="24">
        <v>2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t="s">
        <v>1208</v>
      </c>
      <c r="Z63" t="b">
        <v>1</v>
      </c>
      <c r="AA63" s="24" t="str">
        <f t="shared" si="0"/>
        <v>Leon Goretzka</v>
      </c>
    </row>
    <row r="64" spans="1:27" x14ac:dyDescent="0.25">
      <c r="A64" s="24">
        <v>2</v>
      </c>
      <c r="B64" s="24" t="s">
        <v>621</v>
      </c>
      <c r="C64" s="24" t="s">
        <v>2322</v>
      </c>
      <c r="D64">
        <v>630</v>
      </c>
      <c r="E64" s="24">
        <v>0</v>
      </c>
      <c r="F64" s="25">
        <v>45</v>
      </c>
      <c r="G64" s="24">
        <v>0</v>
      </c>
      <c r="H64" s="24">
        <v>0</v>
      </c>
      <c r="I64" s="24">
        <v>2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t="s">
        <v>1208</v>
      </c>
      <c r="Z64" t="b">
        <v>1</v>
      </c>
      <c r="AA64" s="24" t="str">
        <f t="shared" si="0"/>
        <v>Taylor Harwood-Bellis</v>
      </c>
    </row>
    <row r="65" spans="1:27" x14ac:dyDescent="0.25">
      <c r="A65" s="24">
        <v>3</v>
      </c>
      <c r="B65" s="24" t="s">
        <v>916</v>
      </c>
      <c r="C65" s="24" t="s">
        <v>2610</v>
      </c>
      <c r="D65">
        <v>631</v>
      </c>
      <c r="E65" s="24">
        <v>0</v>
      </c>
      <c r="F65" s="25">
        <v>60</v>
      </c>
      <c r="G65" s="24">
        <v>0</v>
      </c>
      <c r="H65" s="24">
        <v>0.1</v>
      </c>
      <c r="I65" s="24">
        <v>2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t="s">
        <v>1208</v>
      </c>
      <c r="Z65" t="b">
        <v>1</v>
      </c>
      <c r="AA65" s="24" t="str">
        <f t="shared" si="0"/>
        <v>Ibrahim Mbaye</v>
      </c>
    </row>
    <row r="66" spans="1:27" x14ac:dyDescent="0.25">
      <c r="A66" s="24">
        <v>1</v>
      </c>
      <c r="B66" s="24" t="s">
        <v>129</v>
      </c>
      <c r="C66" s="24" t="s">
        <v>130</v>
      </c>
      <c r="D66">
        <v>57</v>
      </c>
      <c r="E66" s="24">
        <v>2</v>
      </c>
      <c r="F66" s="25">
        <v>45</v>
      </c>
      <c r="G66" s="24">
        <v>2</v>
      </c>
      <c r="H66" s="24">
        <v>3.3</v>
      </c>
      <c r="I66" s="24">
        <v>3</v>
      </c>
      <c r="J66" s="24">
        <v>6</v>
      </c>
      <c r="K66" s="24">
        <v>270</v>
      </c>
      <c r="L66" s="24">
        <v>0</v>
      </c>
      <c r="M66" s="24">
        <v>0</v>
      </c>
      <c r="N66" s="24">
        <v>0</v>
      </c>
      <c r="O66" s="24">
        <v>5</v>
      </c>
      <c r="P66" s="24">
        <v>9</v>
      </c>
      <c r="Q66" s="24">
        <v>0</v>
      </c>
      <c r="R66" s="24">
        <v>33</v>
      </c>
      <c r="S66" s="24">
        <v>0</v>
      </c>
      <c r="T66" s="24">
        <v>3</v>
      </c>
      <c r="U66" s="24">
        <v>0</v>
      </c>
      <c r="V66" s="24">
        <v>0</v>
      </c>
      <c r="W66" s="24">
        <v>0</v>
      </c>
      <c r="X66" s="24">
        <v>4.8</v>
      </c>
      <c r="Y66" t="s">
        <v>1208</v>
      </c>
      <c r="Z66" t="b">
        <v>1</v>
      </c>
      <c r="AA66" s="24" t="str">
        <f t="shared" ref="AA66:AA129" si="1">B66&amp;" "&amp;C66</f>
        <v>Đorđe Petrović</v>
      </c>
    </row>
    <row r="67" spans="1:27" x14ac:dyDescent="0.25">
      <c r="A67" s="24">
        <v>1</v>
      </c>
      <c r="B67" s="24" t="s">
        <v>131</v>
      </c>
      <c r="C67" s="24" t="s">
        <v>132</v>
      </c>
      <c r="D67">
        <v>58</v>
      </c>
      <c r="E67" s="24">
        <v>0</v>
      </c>
      <c r="F67" s="25">
        <v>40</v>
      </c>
      <c r="G67" s="24">
        <v>0</v>
      </c>
      <c r="H67" s="24">
        <v>3.4</v>
      </c>
      <c r="I67" s="24">
        <v>3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t="s">
        <v>1208</v>
      </c>
      <c r="Z67" t="b">
        <v>1</v>
      </c>
      <c r="AA67" s="24" t="str">
        <f t="shared" si="1"/>
        <v>Fraser Forster</v>
      </c>
    </row>
    <row r="68" spans="1:27" x14ac:dyDescent="0.25">
      <c r="A68" s="24">
        <v>1</v>
      </c>
      <c r="B68" s="24" t="s">
        <v>133</v>
      </c>
      <c r="C68" s="24" t="s">
        <v>134</v>
      </c>
      <c r="D68">
        <v>59</v>
      </c>
      <c r="E68" s="24">
        <v>0</v>
      </c>
      <c r="F68" s="25">
        <v>40</v>
      </c>
      <c r="G68" s="24">
        <v>0</v>
      </c>
      <c r="H68" s="24">
        <v>0.1</v>
      </c>
      <c r="I68" s="24">
        <v>3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t="s">
        <v>1211</v>
      </c>
      <c r="Z68" t="b">
        <v>0</v>
      </c>
      <c r="AA68" s="24" t="str">
        <f t="shared" si="1"/>
        <v>Will Dennis</v>
      </c>
    </row>
    <row r="69" spans="1:27" x14ac:dyDescent="0.25">
      <c r="A69" s="24">
        <v>2</v>
      </c>
      <c r="B69" s="24" t="s">
        <v>135</v>
      </c>
      <c r="C69" s="24" t="s">
        <v>136</v>
      </c>
      <c r="D69">
        <v>60</v>
      </c>
      <c r="E69" s="24">
        <v>2</v>
      </c>
      <c r="F69" s="25">
        <v>55</v>
      </c>
      <c r="G69" s="24">
        <v>2</v>
      </c>
      <c r="H69" s="24">
        <v>0.8</v>
      </c>
      <c r="I69" s="24">
        <v>3</v>
      </c>
      <c r="J69" s="24">
        <v>6</v>
      </c>
      <c r="K69" s="24">
        <v>270</v>
      </c>
      <c r="L69" s="24">
        <v>0</v>
      </c>
      <c r="M69" s="24">
        <v>0</v>
      </c>
      <c r="N69" s="24">
        <v>0</v>
      </c>
      <c r="O69" s="24">
        <v>5</v>
      </c>
      <c r="P69" s="24">
        <v>0</v>
      </c>
      <c r="Q69" s="24">
        <v>0</v>
      </c>
      <c r="R69" s="24">
        <v>23</v>
      </c>
      <c r="S69" s="24">
        <v>24</v>
      </c>
      <c r="T69" s="24">
        <v>3</v>
      </c>
      <c r="U69" s="24">
        <v>0</v>
      </c>
      <c r="V69" s="24">
        <v>0.76</v>
      </c>
      <c r="W69" s="24">
        <v>0.76</v>
      </c>
      <c r="X69" s="24">
        <v>4.8</v>
      </c>
      <c r="Y69" t="s">
        <v>1208</v>
      </c>
      <c r="Z69" t="b">
        <v>1</v>
      </c>
      <c r="AA69" s="24" t="str">
        <f t="shared" si="1"/>
        <v>James Hill</v>
      </c>
    </row>
    <row r="70" spans="1:27" x14ac:dyDescent="0.25">
      <c r="A70" s="24">
        <v>2</v>
      </c>
      <c r="B70" s="24" t="s">
        <v>137</v>
      </c>
      <c r="C70" s="24" t="s">
        <v>138</v>
      </c>
      <c r="D70">
        <v>61</v>
      </c>
      <c r="E70" s="24">
        <v>1.7</v>
      </c>
      <c r="F70" s="25">
        <v>55</v>
      </c>
      <c r="G70" s="24">
        <v>1.7</v>
      </c>
      <c r="H70" s="24">
        <v>3.6</v>
      </c>
      <c r="I70" s="24">
        <v>3</v>
      </c>
      <c r="J70" s="24">
        <v>5</v>
      </c>
      <c r="K70" s="24">
        <v>270</v>
      </c>
      <c r="L70" s="24">
        <v>0</v>
      </c>
      <c r="M70" s="24">
        <v>0</v>
      </c>
      <c r="N70" s="24">
        <v>0</v>
      </c>
      <c r="O70" s="24">
        <v>5</v>
      </c>
      <c r="P70" s="24">
        <v>0</v>
      </c>
      <c r="Q70" s="24">
        <v>2</v>
      </c>
      <c r="R70" s="24">
        <v>24</v>
      </c>
      <c r="S70" s="24">
        <v>22</v>
      </c>
      <c r="T70" s="24">
        <v>3</v>
      </c>
      <c r="U70" s="24">
        <v>0.01</v>
      </c>
      <c r="V70" s="24">
        <v>0.13</v>
      </c>
      <c r="W70" s="24">
        <v>0.14000000000000001</v>
      </c>
      <c r="X70" s="24">
        <v>4.8</v>
      </c>
      <c r="Y70" t="s">
        <v>1208</v>
      </c>
      <c r="Z70" t="b">
        <v>1</v>
      </c>
      <c r="AA70" s="24" t="str">
        <f t="shared" si="1"/>
        <v>Adrien Truffert</v>
      </c>
    </row>
    <row r="71" spans="1:27" x14ac:dyDescent="0.25">
      <c r="A71" s="24">
        <v>2</v>
      </c>
      <c r="B71" s="24" t="s">
        <v>139</v>
      </c>
      <c r="C71" s="24" t="s">
        <v>140</v>
      </c>
      <c r="D71">
        <v>62</v>
      </c>
      <c r="E71" s="24">
        <v>0</v>
      </c>
      <c r="F71" s="25">
        <v>50</v>
      </c>
      <c r="G71" s="24">
        <v>0</v>
      </c>
      <c r="H71" s="24">
        <v>0.2</v>
      </c>
      <c r="I71" s="24">
        <v>3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t="s">
        <v>1208</v>
      </c>
      <c r="Z71" t="b">
        <v>1</v>
      </c>
      <c r="AA71" s="24" t="str">
        <f t="shared" si="1"/>
        <v>Bafodé Diakité</v>
      </c>
    </row>
    <row r="72" spans="1:27" x14ac:dyDescent="0.25">
      <c r="A72" s="24">
        <v>2</v>
      </c>
      <c r="B72" s="24" t="s">
        <v>141</v>
      </c>
      <c r="C72" s="24" t="s">
        <v>142</v>
      </c>
      <c r="D72">
        <v>63</v>
      </c>
      <c r="E72" s="24">
        <v>0</v>
      </c>
      <c r="F72" s="25">
        <v>50</v>
      </c>
      <c r="G72" s="24">
        <v>0</v>
      </c>
      <c r="H72" s="24">
        <v>0</v>
      </c>
      <c r="I72" s="24">
        <v>3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t="s">
        <v>1209</v>
      </c>
      <c r="Z72" t="b">
        <v>1</v>
      </c>
      <c r="AA72" s="24" t="str">
        <f t="shared" si="1"/>
        <v>Veljko Milosavljevic</v>
      </c>
    </row>
    <row r="73" spans="1:27" x14ac:dyDescent="0.25">
      <c r="A73" s="24">
        <v>2</v>
      </c>
      <c r="B73" s="24" t="s">
        <v>143</v>
      </c>
      <c r="C73" s="24" t="s">
        <v>144</v>
      </c>
      <c r="D73">
        <v>64</v>
      </c>
      <c r="E73" s="24">
        <v>0.7</v>
      </c>
      <c r="F73" s="25">
        <v>45</v>
      </c>
      <c r="G73" s="24">
        <v>0.7</v>
      </c>
      <c r="H73" s="24">
        <v>0.1</v>
      </c>
      <c r="I73" s="24">
        <v>3</v>
      </c>
      <c r="J73" s="24">
        <v>2</v>
      </c>
      <c r="K73" s="24">
        <v>270</v>
      </c>
      <c r="L73" s="24">
        <v>0</v>
      </c>
      <c r="M73" s="24">
        <v>0</v>
      </c>
      <c r="N73" s="24">
        <v>0</v>
      </c>
      <c r="O73" s="24">
        <v>5</v>
      </c>
      <c r="P73" s="24">
        <v>0</v>
      </c>
      <c r="Q73" s="24">
        <v>0</v>
      </c>
      <c r="R73" s="24">
        <v>12</v>
      </c>
      <c r="S73" s="24">
        <v>15</v>
      </c>
      <c r="T73" s="24">
        <v>3</v>
      </c>
      <c r="U73" s="24">
        <v>0.01</v>
      </c>
      <c r="V73" s="24">
        <v>0.06</v>
      </c>
      <c r="W73" s="24">
        <v>7.0000000000000007E-2</v>
      </c>
      <c r="X73" s="24">
        <v>4.8</v>
      </c>
      <c r="Y73" t="s">
        <v>1208</v>
      </c>
      <c r="Z73" t="b">
        <v>1</v>
      </c>
      <c r="AA73" s="24" t="str">
        <f t="shared" si="1"/>
        <v>Adam Smith</v>
      </c>
    </row>
    <row r="74" spans="1:27" x14ac:dyDescent="0.25">
      <c r="A74" s="24">
        <v>2</v>
      </c>
      <c r="B74" s="24" t="s">
        <v>145</v>
      </c>
      <c r="C74" s="24" t="s">
        <v>146</v>
      </c>
      <c r="D74">
        <v>65</v>
      </c>
      <c r="E74" s="24">
        <v>0</v>
      </c>
      <c r="F74" s="25">
        <v>44</v>
      </c>
      <c r="G74" s="24">
        <v>0</v>
      </c>
      <c r="H74" s="24">
        <v>0</v>
      </c>
      <c r="I74" s="24">
        <v>3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t="s">
        <v>1209</v>
      </c>
      <c r="Z74" t="b">
        <v>1</v>
      </c>
      <c r="AA74" s="24" t="str">
        <f t="shared" si="1"/>
        <v>Julián Araujo Zúñiga</v>
      </c>
    </row>
    <row r="75" spans="1:27" x14ac:dyDescent="0.25">
      <c r="A75" s="24">
        <v>2</v>
      </c>
      <c r="B75" s="24" t="s">
        <v>147</v>
      </c>
      <c r="C75" s="24" t="s">
        <v>148</v>
      </c>
      <c r="D75">
        <v>66</v>
      </c>
      <c r="E75" s="24">
        <v>0</v>
      </c>
      <c r="F75" s="25">
        <v>40</v>
      </c>
      <c r="G75" s="24">
        <v>0</v>
      </c>
      <c r="H75" s="24">
        <v>0.3</v>
      </c>
      <c r="I75" s="24">
        <v>3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t="s">
        <v>1208</v>
      </c>
      <c r="Z75" t="b">
        <v>1</v>
      </c>
      <c r="AA75" s="24" t="str">
        <f t="shared" si="1"/>
        <v>Julio Soler Barreto</v>
      </c>
    </row>
    <row r="76" spans="1:27" x14ac:dyDescent="0.25">
      <c r="A76" s="24">
        <v>3</v>
      </c>
      <c r="B76" s="24" t="s">
        <v>149</v>
      </c>
      <c r="C76" s="24" t="s">
        <v>150</v>
      </c>
      <c r="D76">
        <v>67</v>
      </c>
      <c r="E76" s="24">
        <v>2</v>
      </c>
      <c r="F76" s="25">
        <v>64</v>
      </c>
      <c r="G76" s="24">
        <v>2</v>
      </c>
      <c r="H76" s="24">
        <v>2.1</v>
      </c>
      <c r="I76" s="24">
        <v>3</v>
      </c>
      <c r="J76" s="24">
        <v>6</v>
      </c>
      <c r="K76" s="24">
        <v>266</v>
      </c>
      <c r="L76" s="24">
        <v>0</v>
      </c>
      <c r="M76" s="24">
        <v>0</v>
      </c>
      <c r="N76" s="24">
        <v>0</v>
      </c>
      <c r="O76" s="24">
        <v>4</v>
      </c>
      <c r="P76" s="24">
        <v>0</v>
      </c>
      <c r="Q76" s="24">
        <v>0</v>
      </c>
      <c r="R76" s="24">
        <v>21</v>
      </c>
      <c r="S76" s="24">
        <v>8</v>
      </c>
      <c r="T76" s="24">
        <v>3</v>
      </c>
      <c r="U76" s="24">
        <v>0.48</v>
      </c>
      <c r="V76" s="24">
        <v>0.06</v>
      </c>
      <c r="W76" s="24">
        <v>0.54</v>
      </c>
      <c r="X76" s="24">
        <v>4.5599999999999996</v>
      </c>
      <c r="Y76" t="s">
        <v>1208</v>
      </c>
      <c r="Z76" t="b">
        <v>1</v>
      </c>
      <c r="AA76" s="24" t="str">
        <f t="shared" si="1"/>
        <v>Rayan Vitor Simplício Rocha</v>
      </c>
    </row>
    <row r="77" spans="1:27" x14ac:dyDescent="0.25">
      <c r="A77" s="24">
        <v>3</v>
      </c>
      <c r="B77" s="24" t="s">
        <v>151</v>
      </c>
      <c r="C77" s="24" t="s">
        <v>152</v>
      </c>
      <c r="D77">
        <v>68</v>
      </c>
      <c r="E77" s="24">
        <v>7</v>
      </c>
      <c r="F77" s="25">
        <v>60</v>
      </c>
      <c r="G77" s="24">
        <v>7</v>
      </c>
      <c r="H77" s="24">
        <v>2.9</v>
      </c>
      <c r="I77" s="24">
        <v>3</v>
      </c>
      <c r="J77" s="24">
        <v>21</v>
      </c>
      <c r="K77" s="24">
        <v>268</v>
      </c>
      <c r="L77" s="24">
        <v>2</v>
      </c>
      <c r="M77" s="24">
        <v>0</v>
      </c>
      <c r="N77" s="24">
        <v>0</v>
      </c>
      <c r="O77" s="24">
        <v>5</v>
      </c>
      <c r="P77" s="24">
        <v>0</v>
      </c>
      <c r="Q77" s="24">
        <v>6</v>
      </c>
      <c r="R77" s="24">
        <v>95</v>
      </c>
      <c r="S77" s="24">
        <v>28</v>
      </c>
      <c r="T77" s="24">
        <v>3</v>
      </c>
      <c r="U77" s="24">
        <v>1.5</v>
      </c>
      <c r="V77" s="24">
        <v>0.34</v>
      </c>
      <c r="W77" s="24">
        <v>1.84</v>
      </c>
      <c r="X77" s="24">
        <v>4.75</v>
      </c>
      <c r="Y77" t="s">
        <v>1208</v>
      </c>
      <c r="Z77" t="b">
        <v>1</v>
      </c>
      <c r="AA77" s="24" t="str">
        <f t="shared" si="1"/>
        <v>Marcus Tavernier</v>
      </c>
    </row>
    <row r="78" spans="1:27" x14ac:dyDescent="0.25">
      <c r="A78" s="24">
        <v>3</v>
      </c>
      <c r="B78" s="24" t="s">
        <v>153</v>
      </c>
      <c r="C78" s="24" t="s">
        <v>154</v>
      </c>
      <c r="D78">
        <v>69</v>
      </c>
      <c r="E78" s="24">
        <v>8</v>
      </c>
      <c r="F78" s="25">
        <v>60</v>
      </c>
      <c r="G78" s="24">
        <v>8</v>
      </c>
      <c r="H78" s="24">
        <v>3.6</v>
      </c>
      <c r="I78" s="24">
        <v>3</v>
      </c>
      <c r="J78" s="24">
        <v>24</v>
      </c>
      <c r="K78" s="24">
        <v>266</v>
      </c>
      <c r="L78" s="24">
        <v>1</v>
      </c>
      <c r="M78" s="24">
        <v>2</v>
      </c>
      <c r="N78" s="24">
        <v>1</v>
      </c>
      <c r="O78" s="24">
        <v>4</v>
      </c>
      <c r="P78" s="24">
        <v>0</v>
      </c>
      <c r="Q78" s="24">
        <v>5</v>
      </c>
      <c r="R78" s="24">
        <v>93</v>
      </c>
      <c r="S78" s="24">
        <v>37</v>
      </c>
      <c r="T78" s="24">
        <v>3</v>
      </c>
      <c r="U78" s="24">
        <v>0.33</v>
      </c>
      <c r="V78" s="24">
        <v>0.3</v>
      </c>
      <c r="W78" s="24">
        <v>0.63</v>
      </c>
      <c r="X78" s="24">
        <v>4.67</v>
      </c>
      <c r="Y78" t="s">
        <v>1208</v>
      </c>
      <c r="Z78" t="b">
        <v>1</v>
      </c>
      <c r="AA78" s="24" t="str">
        <f t="shared" si="1"/>
        <v>Alex Scott</v>
      </c>
    </row>
    <row r="79" spans="1:27" x14ac:dyDescent="0.25">
      <c r="A79" s="24">
        <v>3</v>
      </c>
      <c r="B79" s="24" t="s">
        <v>155</v>
      </c>
      <c r="C79" s="24" t="s">
        <v>156</v>
      </c>
      <c r="D79">
        <v>70</v>
      </c>
      <c r="E79" s="24">
        <v>2.2999999999999998</v>
      </c>
      <c r="F79" s="25">
        <v>60</v>
      </c>
      <c r="G79" s="24">
        <v>2.2999999999999998</v>
      </c>
      <c r="H79" s="24">
        <v>1.1000000000000001</v>
      </c>
      <c r="I79" s="24">
        <v>3</v>
      </c>
      <c r="J79" s="24">
        <v>7</v>
      </c>
      <c r="K79" s="24">
        <v>229</v>
      </c>
      <c r="L79" s="24">
        <v>0</v>
      </c>
      <c r="M79" s="24">
        <v>0</v>
      </c>
      <c r="N79" s="24">
        <v>2</v>
      </c>
      <c r="O79" s="24">
        <v>1</v>
      </c>
      <c r="P79" s="24">
        <v>0</v>
      </c>
      <c r="Q79" s="24">
        <v>0</v>
      </c>
      <c r="R79" s="24">
        <v>33</v>
      </c>
      <c r="S79" s="24">
        <v>18</v>
      </c>
      <c r="T79" s="24">
        <v>3</v>
      </c>
      <c r="U79" s="24">
        <v>0.78</v>
      </c>
      <c r="V79" s="24">
        <v>0.06</v>
      </c>
      <c r="W79" s="24">
        <v>0.84</v>
      </c>
      <c r="X79" s="24">
        <v>4.09</v>
      </c>
      <c r="Y79" t="s">
        <v>1208</v>
      </c>
      <c r="Z79" t="b">
        <v>1</v>
      </c>
      <c r="AA79" s="24" t="str">
        <f t="shared" si="1"/>
        <v>Justin Kluivert</v>
      </c>
    </row>
    <row r="80" spans="1:27" x14ac:dyDescent="0.25">
      <c r="A80" s="24">
        <v>3</v>
      </c>
      <c r="B80" s="24" t="s">
        <v>157</v>
      </c>
      <c r="C80" s="24" t="s">
        <v>158</v>
      </c>
      <c r="D80">
        <v>71</v>
      </c>
      <c r="E80" s="24">
        <v>2.2999999999999998</v>
      </c>
      <c r="F80" s="25">
        <v>50</v>
      </c>
      <c r="G80" s="24">
        <v>2.2999999999999998</v>
      </c>
      <c r="H80" s="24">
        <v>0.2</v>
      </c>
      <c r="I80" s="24">
        <v>3</v>
      </c>
      <c r="J80" s="24">
        <v>7</v>
      </c>
      <c r="K80" s="24">
        <v>157</v>
      </c>
      <c r="L80" s="24">
        <v>0</v>
      </c>
      <c r="M80" s="24">
        <v>0</v>
      </c>
      <c r="N80" s="24">
        <v>2</v>
      </c>
      <c r="O80" s="24">
        <v>1</v>
      </c>
      <c r="P80" s="24">
        <v>0</v>
      </c>
      <c r="Q80" s="24">
        <v>0</v>
      </c>
      <c r="R80" s="24">
        <v>23</v>
      </c>
      <c r="S80" s="24">
        <v>10</v>
      </c>
      <c r="T80" s="24">
        <v>2</v>
      </c>
      <c r="U80" s="24">
        <v>0</v>
      </c>
      <c r="V80" s="24">
        <v>0.01</v>
      </c>
      <c r="W80" s="24">
        <v>0.01</v>
      </c>
      <c r="X80" s="24">
        <v>3.84</v>
      </c>
      <c r="Y80" t="s">
        <v>1208</v>
      </c>
      <c r="Z80" t="b">
        <v>1</v>
      </c>
      <c r="AA80" s="24" t="str">
        <f t="shared" si="1"/>
        <v>Lewis Cook</v>
      </c>
    </row>
    <row r="81" spans="1:27" x14ac:dyDescent="0.25">
      <c r="A81" s="24">
        <v>3</v>
      </c>
      <c r="B81" s="24" t="s">
        <v>159</v>
      </c>
      <c r="C81" s="24" t="s">
        <v>160</v>
      </c>
      <c r="D81">
        <v>72</v>
      </c>
      <c r="E81" s="24">
        <v>0.7</v>
      </c>
      <c r="F81" s="25">
        <v>49</v>
      </c>
      <c r="G81" s="24">
        <v>1</v>
      </c>
      <c r="H81" s="24">
        <v>0.1</v>
      </c>
      <c r="I81" s="24">
        <v>3</v>
      </c>
      <c r="J81" s="24">
        <v>2</v>
      </c>
      <c r="K81" s="24">
        <v>2</v>
      </c>
      <c r="L81" s="24">
        <v>0</v>
      </c>
      <c r="M81" s="24">
        <v>0</v>
      </c>
      <c r="N81" s="24">
        <v>0</v>
      </c>
      <c r="O81" s="24">
        <v>1</v>
      </c>
      <c r="P81" s="24">
        <v>0</v>
      </c>
      <c r="Q81" s="24">
        <v>0</v>
      </c>
      <c r="R81" s="24">
        <v>6</v>
      </c>
      <c r="S81" s="24">
        <v>3</v>
      </c>
      <c r="T81" s="24">
        <v>0</v>
      </c>
      <c r="U81" s="24">
        <v>0.02</v>
      </c>
      <c r="V81" s="24">
        <v>0</v>
      </c>
      <c r="W81" s="24">
        <v>0.02</v>
      </c>
      <c r="X81" s="24">
        <v>0.24</v>
      </c>
      <c r="Y81" t="s">
        <v>1208</v>
      </c>
      <c r="Z81" t="b">
        <v>1</v>
      </c>
      <c r="AA81" s="24" t="str">
        <f t="shared" si="1"/>
        <v>Ben Gannon-Doak</v>
      </c>
    </row>
    <row r="82" spans="1:27" x14ac:dyDescent="0.25">
      <c r="A82" s="24">
        <v>3</v>
      </c>
      <c r="B82" s="24" t="s">
        <v>161</v>
      </c>
      <c r="C82" s="24" t="s">
        <v>162</v>
      </c>
      <c r="D82">
        <v>73</v>
      </c>
      <c r="E82" s="24">
        <v>2</v>
      </c>
      <c r="F82" s="25">
        <v>50</v>
      </c>
      <c r="G82" s="24">
        <v>2</v>
      </c>
      <c r="H82" s="24">
        <v>0.3</v>
      </c>
      <c r="I82" s="24">
        <v>3</v>
      </c>
      <c r="J82" s="24">
        <v>6</v>
      </c>
      <c r="K82" s="24">
        <v>111</v>
      </c>
      <c r="L82" s="24">
        <v>0</v>
      </c>
      <c r="M82" s="24">
        <v>0</v>
      </c>
      <c r="N82" s="24">
        <v>0</v>
      </c>
      <c r="O82" s="24">
        <v>4</v>
      </c>
      <c r="P82" s="24">
        <v>0</v>
      </c>
      <c r="Q82" s="24">
        <v>0</v>
      </c>
      <c r="R82" s="24">
        <v>23</v>
      </c>
      <c r="S82" s="24">
        <v>18</v>
      </c>
      <c r="T82" s="24">
        <v>1</v>
      </c>
      <c r="U82" s="24">
        <v>0</v>
      </c>
      <c r="V82" s="24">
        <v>0.01</v>
      </c>
      <c r="W82" s="24">
        <v>0.01</v>
      </c>
      <c r="X82" s="24">
        <v>0.95</v>
      </c>
      <c r="Y82" t="s">
        <v>1208</v>
      </c>
      <c r="Z82" t="b">
        <v>1</v>
      </c>
      <c r="AA82" s="24" t="str">
        <f t="shared" si="1"/>
        <v>Tyler Adams</v>
      </c>
    </row>
    <row r="83" spans="1:27" x14ac:dyDescent="0.25">
      <c r="A83" s="24">
        <v>3</v>
      </c>
      <c r="B83" s="24" t="s">
        <v>20</v>
      </c>
      <c r="C83" s="24" t="s">
        <v>163</v>
      </c>
      <c r="D83">
        <v>74</v>
      </c>
      <c r="E83" s="24">
        <v>0.7</v>
      </c>
      <c r="F83" s="25">
        <v>50</v>
      </c>
      <c r="G83" s="24">
        <v>1</v>
      </c>
      <c r="H83" s="24">
        <v>0.1</v>
      </c>
      <c r="I83" s="24">
        <v>3</v>
      </c>
      <c r="J83" s="24">
        <v>2</v>
      </c>
      <c r="K83" s="24">
        <v>23</v>
      </c>
      <c r="L83" s="24">
        <v>0</v>
      </c>
      <c r="M83" s="24">
        <v>0</v>
      </c>
      <c r="N83" s="24">
        <v>0</v>
      </c>
      <c r="O83" s="24">
        <v>2</v>
      </c>
      <c r="P83" s="24">
        <v>0</v>
      </c>
      <c r="Q83" s="24">
        <v>0</v>
      </c>
      <c r="R83" s="24">
        <v>5</v>
      </c>
      <c r="S83" s="24">
        <v>0</v>
      </c>
      <c r="T83" s="24">
        <v>0</v>
      </c>
      <c r="U83" s="24">
        <v>0</v>
      </c>
      <c r="V83" s="24">
        <v>0.01</v>
      </c>
      <c r="W83" s="24">
        <v>0.01</v>
      </c>
      <c r="X83" s="24">
        <v>0.39</v>
      </c>
      <c r="Y83" t="s">
        <v>1208</v>
      </c>
      <c r="Z83" t="b">
        <v>1</v>
      </c>
      <c r="AA83" s="24" t="str">
        <f t="shared" si="1"/>
        <v>David Brooks</v>
      </c>
    </row>
    <row r="84" spans="1:27" x14ac:dyDescent="0.25">
      <c r="A84" s="24">
        <v>3</v>
      </c>
      <c r="B84" s="24" t="s">
        <v>164</v>
      </c>
      <c r="C84" s="24" t="s">
        <v>165</v>
      </c>
      <c r="D84">
        <v>75</v>
      </c>
      <c r="E84" s="24">
        <v>0.7</v>
      </c>
      <c r="F84" s="25">
        <v>50</v>
      </c>
      <c r="G84" s="24">
        <v>1</v>
      </c>
      <c r="H84" s="24">
        <v>0</v>
      </c>
      <c r="I84" s="24">
        <v>3</v>
      </c>
      <c r="J84" s="24">
        <v>2</v>
      </c>
      <c r="K84" s="24">
        <v>4</v>
      </c>
      <c r="L84" s="24">
        <v>0</v>
      </c>
      <c r="M84" s="24">
        <v>0</v>
      </c>
      <c r="N84" s="24">
        <v>0</v>
      </c>
      <c r="O84" s="24">
        <v>1</v>
      </c>
      <c r="P84" s="24">
        <v>0</v>
      </c>
      <c r="Q84" s="24">
        <v>0</v>
      </c>
      <c r="R84" s="24">
        <v>8</v>
      </c>
      <c r="S84" s="24">
        <v>2</v>
      </c>
      <c r="T84" s="24">
        <v>0</v>
      </c>
      <c r="U84" s="24">
        <v>0</v>
      </c>
      <c r="V84" s="24">
        <v>0</v>
      </c>
      <c r="W84" s="24">
        <v>0</v>
      </c>
      <c r="X84" s="24">
        <v>0.13</v>
      </c>
      <c r="Y84" t="s">
        <v>1208</v>
      </c>
      <c r="Z84" t="b">
        <v>1</v>
      </c>
      <c r="AA84" s="24" t="str">
        <f t="shared" si="1"/>
        <v>Ryan Christie</v>
      </c>
    </row>
    <row r="85" spans="1:27" x14ac:dyDescent="0.25">
      <c r="A85" s="24">
        <v>3</v>
      </c>
      <c r="B85" s="24" t="s">
        <v>153</v>
      </c>
      <c r="C85" s="24" t="s">
        <v>166</v>
      </c>
      <c r="D85">
        <v>76</v>
      </c>
      <c r="E85" s="24">
        <v>0.3</v>
      </c>
      <c r="F85" s="25">
        <v>50</v>
      </c>
      <c r="G85" s="24">
        <v>1</v>
      </c>
      <c r="H85" s="24">
        <v>0</v>
      </c>
      <c r="I85" s="24">
        <v>3</v>
      </c>
      <c r="J85" s="24">
        <v>1</v>
      </c>
      <c r="K85" s="24">
        <v>15</v>
      </c>
      <c r="L85" s="24">
        <v>0</v>
      </c>
      <c r="M85" s="24">
        <v>0</v>
      </c>
      <c r="N85" s="24">
        <v>0</v>
      </c>
      <c r="O85" s="24">
        <v>2</v>
      </c>
      <c r="P85" s="24">
        <v>0</v>
      </c>
      <c r="Q85" s="24">
        <v>0</v>
      </c>
      <c r="R85" s="24">
        <v>5</v>
      </c>
      <c r="S85" s="24">
        <v>2</v>
      </c>
      <c r="T85" s="24">
        <v>0</v>
      </c>
      <c r="U85" s="24">
        <v>0</v>
      </c>
      <c r="V85" s="24">
        <v>0</v>
      </c>
      <c r="W85" s="24">
        <v>0</v>
      </c>
      <c r="X85" s="24">
        <v>0.31</v>
      </c>
      <c r="Y85" t="s">
        <v>1208</v>
      </c>
      <c r="Z85" t="b">
        <v>1</v>
      </c>
      <c r="AA85" s="24" t="str">
        <f t="shared" si="1"/>
        <v>Alex Tóth</v>
      </c>
    </row>
    <row r="86" spans="1:27" x14ac:dyDescent="0.25">
      <c r="A86" s="24">
        <v>3</v>
      </c>
      <c r="B86" s="24" t="s">
        <v>167</v>
      </c>
      <c r="C86" s="24" t="s">
        <v>168</v>
      </c>
      <c r="D86">
        <v>77</v>
      </c>
      <c r="E86" s="24">
        <v>0</v>
      </c>
      <c r="F86" s="25">
        <v>49</v>
      </c>
      <c r="G86" s="24">
        <v>0</v>
      </c>
      <c r="H86" s="24">
        <v>0</v>
      </c>
      <c r="I86" s="24">
        <v>3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t="s">
        <v>1209</v>
      </c>
      <c r="Z86" t="b">
        <v>1</v>
      </c>
      <c r="AA86" s="24" t="str">
        <f t="shared" si="1"/>
        <v>Amine Adli</v>
      </c>
    </row>
    <row r="87" spans="1:27" x14ac:dyDescent="0.25">
      <c r="A87" s="24">
        <v>3</v>
      </c>
      <c r="B87" s="24" t="s">
        <v>169</v>
      </c>
      <c r="C87" s="24" t="s">
        <v>170</v>
      </c>
      <c r="D87">
        <v>78</v>
      </c>
      <c r="E87" s="24">
        <v>0</v>
      </c>
      <c r="F87" s="25">
        <v>74</v>
      </c>
      <c r="G87" s="24">
        <v>0</v>
      </c>
      <c r="H87" s="24">
        <v>0.2</v>
      </c>
      <c r="I87" s="24">
        <v>3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t="s">
        <v>1209</v>
      </c>
      <c r="Z87" t="b">
        <v>1</v>
      </c>
      <c r="AA87" s="24" t="str">
        <f t="shared" si="1"/>
        <v>Junior Kroupi</v>
      </c>
    </row>
    <row r="88" spans="1:27" x14ac:dyDescent="0.25">
      <c r="A88" s="24">
        <v>4</v>
      </c>
      <c r="B88" s="24" t="s">
        <v>171</v>
      </c>
      <c r="C88" s="24" t="s">
        <v>172</v>
      </c>
      <c r="D88">
        <v>79</v>
      </c>
      <c r="E88" s="24">
        <v>3.7</v>
      </c>
      <c r="F88" s="25">
        <v>60</v>
      </c>
      <c r="G88" s="24">
        <v>3.7</v>
      </c>
      <c r="H88" s="24">
        <v>3.3</v>
      </c>
      <c r="I88" s="24">
        <v>3</v>
      </c>
      <c r="J88" s="24">
        <v>11</v>
      </c>
      <c r="K88" s="24">
        <v>244</v>
      </c>
      <c r="L88" s="24">
        <v>0</v>
      </c>
      <c r="M88" s="24">
        <v>2</v>
      </c>
      <c r="N88" s="24">
        <v>2</v>
      </c>
      <c r="O88" s="24">
        <v>2</v>
      </c>
      <c r="P88" s="24">
        <v>0</v>
      </c>
      <c r="Q88" s="24">
        <v>0</v>
      </c>
      <c r="R88" s="24">
        <v>32</v>
      </c>
      <c r="S88" s="24">
        <v>18</v>
      </c>
      <c r="T88" s="24">
        <v>3</v>
      </c>
      <c r="U88" s="24">
        <v>0.71</v>
      </c>
      <c r="V88" s="24">
        <v>0.26</v>
      </c>
      <c r="W88" s="24">
        <v>0.97</v>
      </c>
      <c r="X88" s="24">
        <v>4.32</v>
      </c>
      <c r="Y88" t="s">
        <v>1208</v>
      </c>
      <c r="Z88" t="b">
        <v>1</v>
      </c>
      <c r="AA88" s="24" t="str">
        <f t="shared" si="1"/>
        <v>Francisco Evanilson de Lima Barbosa</v>
      </c>
    </row>
    <row r="89" spans="1:27" x14ac:dyDescent="0.25">
      <c r="A89" s="24">
        <v>4</v>
      </c>
      <c r="B89" s="24" t="s">
        <v>173</v>
      </c>
      <c r="C89" s="24" t="s">
        <v>174</v>
      </c>
      <c r="D89">
        <v>80</v>
      </c>
      <c r="E89" s="24">
        <v>0</v>
      </c>
      <c r="F89" s="25">
        <v>55</v>
      </c>
      <c r="G89" s="24">
        <v>0</v>
      </c>
      <c r="H89" s="24">
        <v>0</v>
      </c>
      <c r="I89" s="24">
        <v>3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t="s">
        <v>1211</v>
      </c>
      <c r="Z89" t="b">
        <v>0</v>
      </c>
      <c r="AA89" s="24" t="str">
        <f t="shared" si="1"/>
        <v>Enes Ünal</v>
      </c>
    </row>
    <row r="90" spans="1:27" x14ac:dyDescent="0.25">
      <c r="A90" s="24">
        <v>4</v>
      </c>
      <c r="B90" s="24" t="s">
        <v>175</v>
      </c>
      <c r="C90" s="24" t="s">
        <v>176</v>
      </c>
      <c r="D90">
        <v>81</v>
      </c>
      <c r="E90" s="24">
        <v>0.3</v>
      </c>
      <c r="F90" s="25">
        <v>60</v>
      </c>
      <c r="G90" s="24">
        <v>1</v>
      </c>
      <c r="H90" s="24">
        <v>0.1</v>
      </c>
      <c r="I90" s="24">
        <v>3</v>
      </c>
      <c r="J90" s="24">
        <v>1</v>
      </c>
      <c r="K90" s="24">
        <v>9</v>
      </c>
      <c r="L90" s="24">
        <v>0</v>
      </c>
      <c r="M90" s="24">
        <v>0</v>
      </c>
      <c r="N90" s="24">
        <v>0</v>
      </c>
      <c r="O90" s="24">
        <v>1</v>
      </c>
      <c r="P90" s="24">
        <v>0</v>
      </c>
      <c r="Q90" s="24">
        <v>0</v>
      </c>
      <c r="R90" s="24">
        <v>4</v>
      </c>
      <c r="S90" s="24">
        <v>1</v>
      </c>
      <c r="T90" s="24">
        <v>0</v>
      </c>
      <c r="U90" s="24">
        <v>0</v>
      </c>
      <c r="V90" s="24">
        <v>0</v>
      </c>
      <c r="W90" s="24">
        <v>0</v>
      </c>
      <c r="X90" s="24">
        <v>0.16</v>
      </c>
      <c r="Y90" t="s">
        <v>1208</v>
      </c>
      <c r="Z90" t="b">
        <v>1</v>
      </c>
      <c r="AA90" s="24" t="str">
        <f t="shared" si="1"/>
        <v>Álvaro Rodríguez</v>
      </c>
    </row>
    <row r="91" spans="1:27" x14ac:dyDescent="0.25">
      <c r="A91" s="24">
        <v>2</v>
      </c>
      <c r="B91" s="24" t="s">
        <v>177</v>
      </c>
      <c r="C91" s="24" t="s">
        <v>178</v>
      </c>
      <c r="D91">
        <v>566</v>
      </c>
      <c r="E91" s="24">
        <v>2.2999999999999998</v>
      </c>
      <c r="F91" s="25">
        <v>50</v>
      </c>
      <c r="G91" s="24">
        <v>2.2999999999999998</v>
      </c>
      <c r="H91" s="24">
        <v>0.4</v>
      </c>
      <c r="I91" s="24">
        <v>3</v>
      </c>
      <c r="J91" s="24">
        <v>7</v>
      </c>
      <c r="K91" s="24">
        <v>270</v>
      </c>
      <c r="L91" s="24">
        <v>0</v>
      </c>
      <c r="M91" s="24">
        <v>0</v>
      </c>
      <c r="N91" s="24">
        <v>0</v>
      </c>
      <c r="O91" s="24">
        <v>5</v>
      </c>
      <c r="P91" s="24">
        <v>0</v>
      </c>
      <c r="Q91" s="24">
        <v>0</v>
      </c>
      <c r="R91" s="24">
        <v>24</v>
      </c>
      <c r="S91" s="24">
        <v>31</v>
      </c>
      <c r="T91" s="24">
        <v>3</v>
      </c>
      <c r="U91" s="24">
        <v>0.27</v>
      </c>
      <c r="V91" s="24">
        <v>0.04</v>
      </c>
      <c r="W91" s="24">
        <v>0.31</v>
      </c>
      <c r="X91" s="24">
        <v>4.8</v>
      </c>
      <c r="Y91" t="s">
        <v>1208</v>
      </c>
      <c r="Z91" t="b">
        <v>1</v>
      </c>
      <c r="AA91" s="24" t="str">
        <f t="shared" si="1"/>
        <v>António João Pereira de Albuquerque Tavares da Silva</v>
      </c>
    </row>
    <row r="92" spans="1:27" x14ac:dyDescent="0.25">
      <c r="A92" s="24">
        <v>2</v>
      </c>
      <c r="B92" s="24" t="s">
        <v>179</v>
      </c>
      <c r="C92" s="24" t="s">
        <v>180</v>
      </c>
      <c r="D92">
        <v>573</v>
      </c>
      <c r="E92" s="24">
        <v>0</v>
      </c>
      <c r="F92" s="25">
        <v>45</v>
      </c>
      <c r="G92" s="24">
        <v>0</v>
      </c>
      <c r="H92" s="24">
        <v>0.2</v>
      </c>
      <c r="I92" s="24">
        <v>3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t="s">
        <v>1208</v>
      </c>
      <c r="Z92" t="b">
        <v>1</v>
      </c>
      <c r="AA92" s="24" t="str">
        <f t="shared" si="1"/>
        <v>Juanlu Sánchez</v>
      </c>
    </row>
    <row r="93" spans="1:27" x14ac:dyDescent="0.25">
      <c r="A93" s="24">
        <v>4</v>
      </c>
      <c r="B93" s="24" t="s">
        <v>416</v>
      </c>
      <c r="C93" s="24" t="s">
        <v>1220</v>
      </c>
      <c r="D93">
        <v>608</v>
      </c>
      <c r="E93" s="24">
        <v>0.7</v>
      </c>
      <c r="F93" s="25">
        <v>50</v>
      </c>
      <c r="G93" s="24">
        <v>1</v>
      </c>
      <c r="H93" s="24">
        <v>0.1</v>
      </c>
      <c r="I93" s="24">
        <v>3</v>
      </c>
      <c r="J93" s="24">
        <v>2</v>
      </c>
      <c r="K93" s="24">
        <v>16</v>
      </c>
      <c r="L93" s="24">
        <v>0</v>
      </c>
      <c r="M93" s="24">
        <v>0</v>
      </c>
      <c r="N93" s="24">
        <v>0</v>
      </c>
      <c r="O93" s="24">
        <v>2</v>
      </c>
      <c r="P93" s="24">
        <v>0</v>
      </c>
      <c r="Q93" s="24">
        <v>0</v>
      </c>
      <c r="R93" s="24">
        <v>10</v>
      </c>
      <c r="S93" s="24">
        <v>1</v>
      </c>
      <c r="T93" s="24">
        <v>0</v>
      </c>
      <c r="U93" s="24">
        <v>0.1</v>
      </c>
      <c r="V93" s="24">
        <v>0</v>
      </c>
      <c r="W93" s="24">
        <v>0.1</v>
      </c>
      <c r="X93" s="24">
        <v>0.36</v>
      </c>
      <c r="Y93" t="s">
        <v>1208</v>
      </c>
      <c r="Z93" t="b">
        <v>1</v>
      </c>
      <c r="AA93" s="24" t="str">
        <f t="shared" si="1"/>
        <v>Daniel Jebbison</v>
      </c>
    </row>
    <row r="94" spans="1:27" x14ac:dyDescent="0.25">
      <c r="A94" s="24">
        <v>1</v>
      </c>
      <c r="B94" s="24" t="s">
        <v>1238</v>
      </c>
      <c r="C94" s="24" t="s">
        <v>1239</v>
      </c>
      <c r="D94">
        <v>615</v>
      </c>
      <c r="E94" s="24">
        <v>0</v>
      </c>
      <c r="F94" s="25">
        <v>45</v>
      </c>
      <c r="G94" s="24">
        <v>0</v>
      </c>
      <c r="H94" s="24">
        <v>0</v>
      </c>
      <c r="I94" s="24">
        <v>3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t="s">
        <v>1208</v>
      </c>
      <c r="Z94" t="b">
        <v>1</v>
      </c>
      <c r="AA94" s="24" t="str">
        <f t="shared" si="1"/>
        <v>Michele Di Gregorio</v>
      </c>
    </row>
    <row r="95" spans="1:27" x14ac:dyDescent="0.25">
      <c r="A95" s="24">
        <v>1</v>
      </c>
      <c r="B95" s="24" t="s">
        <v>181</v>
      </c>
      <c r="C95" s="24" t="s">
        <v>182</v>
      </c>
      <c r="D95">
        <v>82</v>
      </c>
      <c r="E95" s="24">
        <v>3.7</v>
      </c>
      <c r="F95" s="25">
        <v>50</v>
      </c>
      <c r="G95" s="24">
        <v>3.7</v>
      </c>
      <c r="H95" s="24">
        <v>6.9</v>
      </c>
      <c r="I95" s="24">
        <v>4</v>
      </c>
      <c r="J95" s="24">
        <v>11</v>
      </c>
      <c r="K95" s="24">
        <v>270</v>
      </c>
      <c r="L95" s="24">
        <v>0</v>
      </c>
      <c r="M95" s="24">
        <v>0</v>
      </c>
      <c r="N95" s="24">
        <v>1</v>
      </c>
      <c r="O95" s="24">
        <v>2</v>
      </c>
      <c r="P95" s="24">
        <v>7</v>
      </c>
      <c r="Q95" s="24">
        <v>0</v>
      </c>
      <c r="R95" s="24">
        <v>51</v>
      </c>
      <c r="S95" s="24">
        <v>0</v>
      </c>
      <c r="T95" s="24">
        <v>3</v>
      </c>
      <c r="U95" s="24">
        <v>0</v>
      </c>
      <c r="V95" s="24">
        <v>0.01</v>
      </c>
      <c r="W95" s="24">
        <v>0.01</v>
      </c>
      <c r="X95" s="24">
        <v>3.74</v>
      </c>
      <c r="Y95" t="s">
        <v>1208</v>
      </c>
      <c r="Z95" t="b">
        <v>1</v>
      </c>
      <c r="AA95" s="24" t="str">
        <f t="shared" si="1"/>
        <v>Caoimhín Kelleher</v>
      </c>
    </row>
    <row r="96" spans="1:27" x14ac:dyDescent="0.25">
      <c r="A96" s="24">
        <v>1</v>
      </c>
      <c r="B96" s="24" t="s">
        <v>183</v>
      </c>
      <c r="C96" s="24" t="s">
        <v>184</v>
      </c>
      <c r="D96">
        <v>83</v>
      </c>
      <c r="E96" s="24">
        <v>0</v>
      </c>
      <c r="F96" s="25">
        <v>45</v>
      </c>
      <c r="G96" s="24">
        <v>0</v>
      </c>
      <c r="H96" s="24">
        <v>0.1</v>
      </c>
      <c r="I96" s="24">
        <v>4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t="s">
        <v>1208</v>
      </c>
      <c r="Z96" t="b">
        <v>1</v>
      </c>
      <c r="AA96" s="24" t="str">
        <f t="shared" si="1"/>
        <v>Hákon Rafn Valdimarsson</v>
      </c>
    </row>
    <row r="97" spans="1:27" x14ac:dyDescent="0.25">
      <c r="A97" s="24">
        <v>2</v>
      </c>
      <c r="B97" s="24" t="s">
        <v>185</v>
      </c>
      <c r="C97" s="24" t="s">
        <v>186</v>
      </c>
      <c r="D97">
        <v>84</v>
      </c>
      <c r="E97" s="24">
        <v>3.3</v>
      </c>
      <c r="F97" s="25">
        <v>55</v>
      </c>
      <c r="G97" s="24">
        <v>3.3</v>
      </c>
      <c r="H97" s="24">
        <v>1.9</v>
      </c>
      <c r="I97" s="24">
        <v>4</v>
      </c>
      <c r="J97" s="24">
        <v>10</v>
      </c>
      <c r="K97" s="24">
        <v>196</v>
      </c>
      <c r="L97" s="24">
        <v>0</v>
      </c>
      <c r="M97" s="24">
        <v>0</v>
      </c>
      <c r="N97" s="24">
        <v>1</v>
      </c>
      <c r="O97" s="24">
        <v>1</v>
      </c>
      <c r="P97" s="24">
        <v>0</v>
      </c>
      <c r="Q97" s="24">
        <v>0</v>
      </c>
      <c r="R97" s="24">
        <v>39</v>
      </c>
      <c r="S97" s="24">
        <v>17</v>
      </c>
      <c r="T97" s="24">
        <v>3</v>
      </c>
      <c r="U97" s="24">
        <v>0.51</v>
      </c>
      <c r="V97" s="24">
        <v>0.05</v>
      </c>
      <c r="W97" s="24">
        <v>0.56000000000000005</v>
      </c>
      <c r="X97" s="24">
        <v>2.13</v>
      </c>
      <c r="Y97" t="s">
        <v>1210</v>
      </c>
      <c r="Z97" t="b">
        <v>1</v>
      </c>
      <c r="AA97" s="24" t="str">
        <f t="shared" si="1"/>
        <v>Nathan Collins</v>
      </c>
    </row>
    <row r="98" spans="1:27" x14ac:dyDescent="0.25">
      <c r="A98" s="24">
        <v>2</v>
      </c>
      <c r="B98" s="24" t="s">
        <v>187</v>
      </c>
      <c r="C98" s="24" t="s">
        <v>188</v>
      </c>
      <c r="D98">
        <v>85</v>
      </c>
      <c r="E98" s="24">
        <v>0</v>
      </c>
      <c r="F98" s="25">
        <v>49</v>
      </c>
      <c r="G98" s="24">
        <v>0</v>
      </c>
      <c r="H98" s="24">
        <v>0.1</v>
      </c>
      <c r="I98" s="24">
        <v>4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t="s">
        <v>1209</v>
      </c>
      <c r="Z98" t="b">
        <v>1</v>
      </c>
      <c r="AA98" s="24" t="str">
        <f t="shared" si="1"/>
        <v>Sepp van den Berg</v>
      </c>
    </row>
    <row r="99" spans="1:27" x14ac:dyDescent="0.25">
      <c r="A99" s="24">
        <v>3</v>
      </c>
      <c r="B99" s="24" t="s">
        <v>189</v>
      </c>
      <c r="C99" s="24" t="s">
        <v>190</v>
      </c>
      <c r="D99">
        <v>86</v>
      </c>
      <c r="E99" s="24">
        <v>6</v>
      </c>
      <c r="F99" s="25">
        <v>55</v>
      </c>
      <c r="G99" s="24">
        <v>6</v>
      </c>
      <c r="H99" s="24">
        <v>2.2000000000000002</v>
      </c>
      <c r="I99" s="24">
        <v>4</v>
      </c>
      <c r="J99" s="24">
        <v>18</v>
      </c>
      <c r="K99" s="24">
        <v>267</v>
      </c>
      <c r="L99" s="24">
        <v>1</v>
      </c>
      <c r="M99" s="24">
        <v>1</v>
      </c>
      <c r="N99" s="24">
        <v>1</v>
      </c>
      <c r="O99" s="24">
        <v>2</v>
      </c>
      <c r="P99" s="24">
        <v>0</v>
      </c>
      <c r="Q99" s="24">
        <v>3</v>
      </c>
      <c r="R99" s="24">
        <v>70</v>
      </c>
      <c r="S99" s="24">
        <v>27</v>
      </c>
      <c r="T99" s="24">
        <v>3</v>
      </c>
      <c r="U99" s="24">
        <v>1.03</v>
      </c>
      <c r="V99" s="24">
        <v>0.65</v>
      </c>
      <c r="W99" s="24">
        <v>1.68</v>
      </c>
      <c r="X99" s="24">
        <v>3.74</v>
      </c>
      <c r="Y99" t="s">
        <v>1208</v>
      </c>
      <c r="Z99" t="b">
        <v>1</v>
      </c>
      <c r="AA99" s="24" t="str">
        <f t="shared" si="1"/>
        <v>Keane Lewis-Potter</v>
      </c>
    </row>
    <row r="100" spans="1:27" x14ac:dyDescent="0.25">
      <c r="A100" s="24">
        <v>2</v>
      </c>
      <c r="B100" s="24" t="s">
        <v>191</v>
      </c>
      <c r="C100" s="24" t="s">
        <v>192</v>
      </c>
      <c r="D100">
        <v>87</v>
      </c>
      <c r="E100" s="24">
        <v>4.3</v>
      </c>
      <c r="F100" s="25">
        <v>45</v>
      </c>
      <c r="G100" s="24">
        <v>4.3</v>
      </c>
      <c r="H100" s="24">
        <v>5</v>
      </c>
      <c r="I100" s="24">
        <v>4</v>
      </c>
      <c r="J100" s="24">
        <v>13</v>
      </c>
      <c r="K100" s="24">
        <v>270</v>
      </c>
      <c r="L100" s="24">
        <v>0</v>
      </c>
      <c r="M100" s="24">
        <v>0</v>
      </c>
      <c r="N100" s="24">
        <v>1</v>
      </c>
      <c r="O100" s="24">
        <v>2</v>
      </c>
      <c r="P100" s="24">
        <v>0</v>
      </c>
      <c r="Q100" s="24">
        <v>0</v>
      </c>
      <c r="R100" s="24">
        <v>44</v>
      </c>
      <c r="S100" s="24">
        <v>32</v>
      </c>
      <c r="T100" s="24">
        <v>3</v>
      </c>
      <c r="U100" s="24">
        <v>0.11</v>
      </c>
      <c r="V100" s="24">
        <v>0.03</v>
      </c>
      <c r="W100" s="24">
        <v>0.14000000000000001</v>
      </c>
      <c r="X100" s="24">
        <v>3.74</v>
      </c>
      <c r="Y100" t="s">
        <v>1208</v>
      </c>
      <c r="Z100" t="b">
        <v>1</v>
      </c>
      <c r="AA100" s="24" t="str">
        <f t="shared" si="1"/>
        <v>Kristoffer Ajer</v>
      </c>
    </row>
    <row r="101" spans="1:27" x14ac:dyDescent="0.25">
      <c r="A101" s="24">
        <v>2</v>
      </c>
      <c r="B101" s="24" t="s">
        <v>193</v>
      </c>
      <c r="C101" s="24" t="s">
        <v>194</v>
      </c>
      <c r="D101">
        <v>88</v>
      </c>
      <c r="E101" s="24">
        <v>5.3</v>
      </c>
      <c r="F101" s="25">
        <v>46</v>
      </c>
      <c r="G101" s="24">
        <v>5.3</v>
      </c>
      <c r="H101" s="24">
        <v>9.3000000000000007</v>
      </c>
      <c r="I101" s="24">
        <v>4</v>
      </c>
      <c r="J101" s="24">
        <v>16</v>
      </c>
      <c r="K101" s="24">
        <v>207</v>
      </c>
      <c r="L101" s="24">
        <v>1</v>
      </c>
      <c r="M101" s="24">
        <v>0</v>
      </c>
      <c r="N101" s="24">
        <v>1</v>
      </c>
      <c r="O101" s="24">
        <v>1</v>
      </c>
      <c r="P101" s="24">
        <v>0</v>
      </c>
      <c r="Q101" s="24">
        <v>1</v>
      </c>
      <c r="R101" s="24">
        <v>47</v>
      </c>
      <c r="S101" s="24">
        <v>13</v>
      </c>
      <c r="T101" s="24">
        <v>3</v>
      </c>
      <c r="U101" s="24">
        <v>0.55000000000000004</v>
      </c>
      <c r="V101" s="24">
        <v>0.21</v>
      </c>
      <c r="W101" s="24">
        <v>0.76</v>
      </c>
      <c r="X101" s="24">
        <v>2.2799999999999998</v>
      </c>
      <c r="Y101" t="s">
        <v>1208</v>
      </c>
      <c r="Z101" t="b">
        <v>1</v>
      </c>
      <c r="AA101" s="24" t="str">
        <f t="shared" si="1"/>
        <v>Michael Kayode</v>
      </c>
    </row>
    <row r="102" spans="1:27" x14ac:dyDescent="0.25">
      <c r="A102" s="24">
        <v>2</v>
      </c>
      <c r="B102" s="24" t="s">
        <v>195</v>
      </c>
      <c r="C102" s="24" t="s">
        <v>196</v>
      </c>
      <c r="D102">
        <v>89</v>
      </c>
      <c r="E102" s="24">
        <v>0.3</v>
      </c>
      <c r="F102" s="25">
        <v>45</v>
      </c>
      <c r="G102" s="24">
        <v>1</v>
      </c>
      <c r="H102" s="24">
        <v>0.2</v>
      </c>
      <c r="I102" s="24">
        <v>4</v>
      </c>
      <c r="J102" s="24">
        <v>1</v>
      </c>
      <c r="K102" s="24">
        <v>2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3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t="s">
        <v>1208</v>
      </c>
      <c r="Z102" t="b">
        <v>1</v>
      </c>
      <c r="AA102" s="24" t="str">
        <f t="shared" si="1"/>
        <v>Rico Henry</v>
      </c>
    </row>
    <row r="103" spans="1:27" x14ac:dyDescent="0.25">
      <c r="A103" s="24">
        <v>2</v>
      </c>
      <c r="B103" s="24" t="s">
        <v>197</v>
      </c>
      <c r="C103" s="24" t="s">
        <v>198</v>
      </c>
      <c r="D103">
        <v>90</v>
      </c>
      <c r="E103" s="24">
        <v>1</v>
      </c>
      <c r="F103" s="25">
        <v>45</v>
      </c>
      <c r="G103" s="24">
        <v>1</v>
      </c>
      <c r="H103" s="24">
        <v>0.1</v>
      </c>
      <c r="I103" s="24">
        <v>4</v>
      </c>
      <c r="J103" s="24">
        <v>3</v>
      </c>
      <c r="K103" s="24">
        <v>61</v>
      </c>
      <c r="L103" s="24">
        <v>0</v>
      </c>
      <c r="M103" s="24">
        <v>0</v>
      </c>
      <c r="N103" s="24">
        <v>0</v>
      </c>
      <c r="O103" s="24">
        <v>1</v>
      </c>
      <c r="P103" s="24">
        <v>0</v>
      </c>
      <c r="Q103" s="24">
        <v>0</v>
      </c>
      <c r="R103" s="24">
        <v>8</v>
      </c>
      <c r="S103" s="24">
        <v>6</v>
      </c>
      <c r="T103" s="24">
        <v>0</v>
      </c>
      <c r="U103" s="24">
        <v>0</v>
      </c>
      <c r="V103" s="24">
        <v>0.02</v>
      </c>
      <c r="W103" s="24">
        <v>0.02</v>
      </c>
      <c r="X103" s="24">
        <v>1.46</v>
      </c>
      <c r="Y103" t="s">
        <v>1208</v>
      </c>
      <c r="Z103" t="b">
        <v>1</v>
      </c>
      <c r="AA103" s="24" t="str">
        <f t="shared" si="1"/>
        <v>Aaron Hickey</v>
      </c>
    </row>
    <row r="104" spans="1:27" x14ac:dyDescent="0.25">
      <c r="A104" s="24">
        <v>2</v>
      </c>
      <c r="B104" s="24" t="s">
        <v>200</v>
      </c>
      <c r="C104" s="24" t="s">
        <v>201</v>
      </c>
      <c r="D104">
        <v>92</v>
      </c>
      <c r="E104" s="24">
        <v>0</v>
      </c>
      <c r="F104" s="25">
        <v>45</v>
      </c>
      <c r="G104" s="24">
        <v>0</v>
      </c>
      <c r="H104" s="24">
        <v>0</v>
      </c>
      <c r="I104" s="24">
        <v>4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t="s">
        <v>1208</v>
      </c>
      <c r="Z104" t="b">
        <v>1</v>
      </c>
      <c r="AA104" s="24" t="str">
        <f t="shared" si="1"/>
        <v>Kim Ji-soo</v>
      </c>
    </row>
    <row r="105" spans="1:27" x14ac:dyDescent="0.25">
      <c r="A105" s="24">
        <v>2</v>
      </c>
      <c r="B105" s="24" t="s">
        <v>202</v>
      </c>
      <c r="C105" s="24" t="s">
        <v>203</v>
      </c>
      <c r="D105">
        <v>93</v>
      </c>
      <c r="E105" s="24">
        <v>1.3</v>
      </c>
      <c r="F105" s="25">
        <v>45</v>
      </c>
      <c r="G105" s="24">
        <v>4</v>
      </c>
      <c r="H105" s="24">
        <v>0.1</v>
      </c>
      <c r="I105" s="24">
        <v>4</v>
      </c>
      <c r="J105" s="24">
        <v>4</v>
      </c>
      <c r="K105" s="24">
        <v>73</v>
      </c>
      <c r="L105" s="24">
        <v>0</v>
      </c>
      <c r="M105" s="24">
        <v>0</v>
      </c>
      <c r="N105" s="24">
        <v>0</v>
      </c>
      <c r="O105" s="24">
        <v>1</v>
      </c>
      <c r="P105" s="24">
        <v>0</v>
      </c>
      <c r="Q105" s="24">
        <v>0</v>
      </c>
      <c r="R105" s="24">
        <v>11</v>
      </c>
      <c r="S105" s="24">
        <v>10</v>
      </c>
      <c r="T105" s="24">
        <v>0</v>
      </c>
      <c r="U105" s="24">
        <v>0.1</v>
      </c>
      <c r="V105" s="24">
        <v>0.01</v>
      </c>
      <c r="W105" s="24">
        <v>0.11</v>
      </c>
      <c r="X105" s="24">
        <v>1.61</v>
      </c>
      <c r="Y105" t="s">
        <v>1208</v>
      </c>
      <c r="Z105" t="b">
        <v>1</v>
      </c>
      <c r="AA105" s="24" t="str">
        <f t="shared" si="1"/>
        <v>Jannik Schuster</v>
      </c>
    </row>
    <row r="106" spans="1:27" x14ac:dyDescent="0.25">
      <c r="A106" s="24">
        <v>3</v>
      </c>
      <c r="B106" s="24" t="s">
        <v>204</v>
      </c>
      <c r="C106" s="24" t="s">
        <v>205</v>
      </c>
      <c r="D106">
        <v>94</v>
      </c>
      <c r="E106" s="24">
        <v>5</v>
      </c>
      <c r="F106" s="25">
        <v>60</v>
      </c>
      <c r="G106" s="24">
        <v>5</v>
      </c>
      <c r="H106" s="24">
        <v>4.0999999999999996</v>
      </c>
      <c r="I106" s="24">
        <v>4</v>
      </c>
      <c r="J106" s="24">
        <v>15</v>
      </c>
      <c r="K106" s="24">
        <v>267</v>
      </c>
      <c r="L106" s="24">
        <v>1</v>
      </c>
      <c r="M106" s="24">
        <v>0</v>
      </c>
      <c r="N106" s="24">
        <v>1</v>
      </c>
      <c r="O106" s="24">
        <v>2</v>
      </c>
      <c r="P106" s="24">
        <v>0</v>
      </c>
      <c r="Q106" s="24">
        <v>3</v>
      </c>
      <c r="R106" s="24">
        <v>62</v>
      </c>
      <c r="S106" s="24">
        <v>23</v>
      </c>
      <c r="T106" s="24">
        <v>3</v>
      </c>
      <c r="U106" s="24">
        <v>0.77</v>
      </c>
      <c r="V106" s="24">
        <v>0.2</v>
      </c>
      <c r="W106" s="24">
        <v>0.97</v>
      </c>
      <c r="X106" s="24">
        <v>3.74</v>
      </c>
      <c r="Y106" t="s">
        <v>1208</v>
      </c>
      <c r="Z106" t="b">
        <v>1</v>
      </c>
      <c r="AA106" s="24" t="str">
        <f t="shared" si="1"/>
        <v>Kevin Schade</v>
      </c>
    </row>
    <row r="107" spans="1:27" x14ac:dyDescent="0.25">
      <c r="A107" s="24">
        <v>3</v>
      </c>
      <c r="B107" s="24" t="s">
        <v>206</v>
      </c>
      <c r="C107" s="24" t="s">
        <v>207</v>
      </c>
      <c r="D107">
        <v>95</v>
      </c>
      <c r="E107" s="24">
        <v>1.7</v>
      </c>
      <c r="F107" s="25">
        <v>64</v>
      </c>
      <c r="G107" s="24">
        <v>1.7</v>
      </c>
      <c r="H107" s="24">
        <v>0.8</v>
      </c>
      <c r="I107" s="24">
        <v>4</v>
      </c>
      <c r="J107" s="24">
        <v>5</v>
      </c>
      <c r="K107" s="24">
        <v>140</v>
      </c>
      <c r="L107" s="24">
        <v>0</v>
      </c>
      <c r="M107" s="24">
        <v>0</v>
      </c>
      <c r="N107" s="24">
        <v>1</v>
      </c>
      <c r="O107" s="24">
        <v>1</v>
      </c>
      <c r="P107" s="24">
        <v>0</v>
      </c>
      <c r="Q107" s="24">
        <v>0</v>
      </c>
      <c r="R107" s="24">
        <v>28</v>
      </c>
      <c r="S107" s="24">
        <v>24</v>
      </c>
      <c r="T107" s="24">
        <v>2</v>
      </c>
      <c r="U107" s="24">
        <v>7.0000000000000007E-2</v>
      </c>
      <c r="V107" s="24">
        <v>0.38</v>
      </c>
      <c r="W107" s="24">
        <v>0.45</v>
      </c>
      <c r="X107" s="24">
        <v>2.1800000000000002</v>
      </c>
      <c r="Y107" t="s">
        <v>1208</v>
      </c>
      <c r="Z107" t="b">
        <v>1</v>
      </c>
      <c r="AA107" s="24" t="str">
        <f t="shared" si="1"/>
        <v>Dango Ouattara</v>
      </c>
    </row>
    <row r="108" spans="1:27" x14ac:dyDescent="0.25">
      <c r="A108" s="24">
        <v>3</v>
      </c>
      <c r="B108" s="24" t="s">
        <v>208</v>
      </c>
      <c r="C108" s="24" t="s">
        <v>209</v>
      </c>
      <c r="D108">
        <v>96</v>
      </c>
      <c r="E108" s="24">
        <v>4</v>
      </c>
      <c r="F108" s="25">
        <v>55</v>
      </c>
      <c r="G108" s="24">
        <v>4</v>
      </c>
      <c r="H108" s="24">
        <v>0.5</v>
      </c>
      <c r="I108" s="24">
        <v>4</v>
      </c>
      <c r="J108" s="24">
        <v>12</v>
      </c>
      <c r="K108" s="24">
        <v>167</v>
      </c>
      <c r="L108" s="24">
        <v>0</v>
      </c>
      <c r="M108" s="24">
        <v>1</v>
      </c>
      <c r="N108" s="24">
        <v>1</v>
      </c>
      <c r="O108" s="24">
        <v>1</v>
      </c>
      <c r="P108" s="24">
        <v>0</v>
      </c>
      <c r="Q108" s="24">
        <v>3</v>
      </c>
      <c r="R108" s="24">
        <v>56</v>
      </c>
      <c r="S108" s="24">
        <v>17</v>
      </c>
      <c r="T108" s="24">
        <v>2</v>
      </c>
      <c r="U108" s="24">
        <v>0.03</v>
      </c>
      <c r="V108" s="24">
        <v>0.45</v>
      </c>
      <c r="W108" s="24">
        <v>0.48</v>
      </c>
      <c r="X108" s="24">
        <v>1.86</v>
      </c>
      <c r="Y108" t="s">
        <v>1208</v>
      </c>
      <c r="Z108" t="b">
        <v>1</v>
      </c>
      <c r="AA108" s="24" t="str">
        <f t="shared" si="1"/>
        <v>Mikkel Damsgaard</v>
      </c>
    </row>
    <row r="109" spans="1:27" x14ac:dyDescent="0.25">
      <c r="A109" s="24">
        <v>3</v>
      </c>
      <c r="B109" s="24" t="s">
        <v>210</v>
      </c>
      <c r="C109" s="24" t="s">
        <v>211</v>
      </c>
      <c r="D109">
        <v>97</v>
      </c>
      <c r="E109" s="24">
        <v>2</v>
      </c>
      <c r="F109" s="25">
        <v>55</v>
      </c>
      <c r="G109" s="24">
        <v>6</v>
      </c>
      <c r="H109" s="24">
        <v>0.1</v>
      </c>
      <c r="I109" s="24">
        <v>4</v>
      </c>
      <c r="J109" s="24">
        <v>6</v>
      </c>
      <c r="K109" s="24">
        <v>66</v>
      </c>
      <c r="L109" s="24">
        <v>0</v>
      </c>
      <c r="M109" s="24">
        <v>1</v>
      </c>
      <c r="N109" s="24">
        <v>1</v>
      </c>
      <c r="O109" s="24">
        <v>0</v>
      </c>
      <c r="P109" s="24">
        <v>0</v>
      </c>
      <c r="Q109" s="24">
        <v>0</v>
      </c>
      <c r="R109" s="24">
        <v>22</v>
      </c>
      <c r="S109" s="24">
        <v>5</v>
      </c>
      <c r="T109" s="24">
        <v>1</v>
      </c>
      <c r="U109" s="24">
        <v>0.08</v>
      </c>
      <c r="V109" s="24">
        <v>0.34</v>
      </c>
      <c r="W109" s="24">
        <v>0.42</v>
      </c>
      <c r="X109" s="24">
        <v>0.47</v>
      </c>
      <c r="Y109" t="s">
        <v>1209</v>
      </c>
      <c r="Z109" t="b">
        <v>1</v>
      </c>
      <c r="AA109" s="24" t="str">
        <f t="shared" si="1"/>
        <v>Mathias Jensen</v>
      </c>
    </row>
    <row r="110" spans="1:27" x14ac:dyDescent="0.25">
      <c r="A110" s="24">
        <v>3</v>
      </c>
      <c r="B110" s="24" t="s">
        <v>212</v>
      </c>
      <c r="C110" s="24" t="s">
        <v>213</v>
      </c>
      <c r="D110">
        <v>98</v>
      </c>
      <c r="E110" s="24">
        <v>7</v>
      </c>
      <c r="F110" s="25">
        <v>50</v>
      </c>
      <c r="G110" s="24">
        <v>7</v>
      </c>
      <c r="H110" s="24">
        <v>1.2</v>
      </c>
      <c r="I110" s="24">
        <v>4</v>
      </c>
      <c r="J110" s="24">
        <v>21</v>
      </c>
      <c r="K110" s="24">
        <v>270</v>
      </c>
      <c r="L110" s="24">
        <v>2</v>
      </c>
      <c r="M110" s="24">
        <v>0</v>
      </c>
      <c r="N110" s="24">
        <v>1</v>
      </c>
      <c r="O110" s="24">
        <v>2</v>
      </c>
      <c r="P110" s="24">
        <v>0</v>
      </c>
      <c r="Q110" s="24">
        <v>3</v>
      </c>
      <c r="R110" s="24">
        <v>76</v>
      </c>
      <c r="S110" s="24">
        <v>35</v>
      </c>
      <c r="T110" s="24">
        <v>3</v>
      </c>
      <c r="U110" s="24">
        <v>0.5</v>
      </c>
      <c r="V110" s="24">
        <v>0.32</v>
      </c>
      <c r="W110" s="24">
        <v>0.82</v>
      </c>
      <c r="X110" s="24">
        <v>3.74</v>
      </c>
      <c r="Y110" t="s">
        <v>1208</v>
      </c>
      <c r="Z110" t="b">
        <v>1</v>
      </c>
      <c r="AA110" s="24" t="str">
        <f t="shared" si="1"/>
        <v>Vitaly Janelt</v>
      </c>
    </row>
    <row r="111" spans="1:27" x14ac:dyDescent="0.25">
      <c r="A111" s="24">
        <v>3</v>
      </c>
      <c r="B111" s="24" t="s">
        <v>214</v>
      </c>
      <c r="C111" s="24" t="s">
        <v>215</v>
      </c>
      <c r="D111">
        <v>99</v>
      </c>
      <c r="E111" s="24">
        <v>0</v>
      </c>
      <c r="F111" s="25">
        <v>50</v>
      </c>
      <c r="G111" s="24">
        <v>0</v>
      </c>
      <c r="H111" s="24">
        <v>0</v>
      </c>
      <c r="I111" s="24">
        <v>4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t="s">
        <v>1209</v>
      </c>
      <c r="Z111" t="b">
        <v>1</v>
      </c>
      <c r="AA111" s="24" t="str">
        <f t="shared" si="1"/>
        <v>Antoni Milambo</v>
      </c>
    </row>
    <row r="112" spans="1:27" x14ac:dyDescent="0.25">
      <c r="A112" s="24">
        <v>3</v>
      </c>
      <c r="B112" s="24" t="s">
        <v>61</v>
      </c>
      <c r="C112" s="24" t="s">
        <v>216</v>
      </c>
      <c r="D112">
        <v>100</v>
      </c>
      <c r="E112" s="24">
        <v>0</v>
      </c>
      <c r="F112" s="25">
        <v>50</v>
      </c>
      <c r="G112" s="24">
        <v>0</v>
      </c>
      <c r="H112" s="24">
        <v>0</v>
      </c>
      <c r="I112" s="24">
        <v>4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t="s">
        <v>1208</v>
      </c>
      <c r="Z112" t="b">
        <v>1</v>
      </c>
      <c r="AA112" s="24" t="str">
        <f t="shared" si="1"/>
        <v>Fábio Freitas Gouveia Carvalho</v>
      </c>
    </row>
    <row r="113" spans="1:27" x14ac:dyDescent="0.25">
      <c r="A113" s="24">
        <v>3</v>
      </c>
      <c r="B113" s="24" t="s">
        <v>217</v>
      </c>
      <c r="C113" s="24" t="s">
        <v>218</v>
      </c>
      <c r="D113">
        <v>102</v>
      </c>
      <c r="E113" s="24">
        <v>0.7</v>
      </c>
      <c r="F113" s="25">
        <v>49</v>
      </c>
      <c r="G113" s="24">
        <v>0.7</v>
      </c>
      <c r="H113" s="24">
        <v>0.9</v>
      </c>
      <c r="I113" s="24">
        <v>4</v>
      </c>
      <c r="J113" s="24">
        <v>2</v>
      </c>
      <c r="K113" s="24">
        <v>89</v>
      </c>
      <c r="L113" s="24">
        <v>0</v>
      </c>
      <c r="M113" s="24">
        <v>0</v>
      </c>
      <c r="N113" s="24">
        <v>0</v>
      </c>
      <c r="O113" s="24">
        <v>2</v>
      </c>
      <c r="P113" s="24">
        <v>0</v>
      </c>
      <c r="Q113" s="24">
        <v>0</v>
      </c>
      <c r="R113" s="24">
        <v>12</v>
      </c>
      <c r="S113" s="24">
        <v>11</v>
      </c>
      <c r="T113" s="24">
        <v>0</v>
      </c>
      <c r="U113" s="24">
        <v>7.0000000000000007E-2</v>
      </c>
      <c r="V113" s="24">
        <v>0.03</v>
      </c>
      <c r="W113" s="24">
        <v>0.1</v>
      </c>
      <c r="X113" s="24">
        <v>2.78</v>
      </c>
      <c r="Y113" t="s">
        <v>1208</v>
      </c>
      <c r="Z113" t="b">
        <v>1</v>
      </c>
      <c r="AA113" s="24" t="str">
        <f t="shared" si="1"/>
        <v>Yehor Yarmoliuk</v>
      </c>
    </row>
    <row r="114" spans="1:27" x14ac:dyDescent="0.25">
      <c r="A114" s="24">
        <v>3</v>
      </c>
      <c r="B114" s="24" t="s">
        <v>219</v>
      </c>
      <c r="C114" s="24" t="s">
        <v>220</v>
      </c>
      <c r="D114">
        <v>103</v>
      </c>
      <c r="E114" s="24">
        <v>0</v>
      </c>
      <c r="F114" s="25">
        <v>50</v>
      </c>
      <c r="G114" s="24">
        <v>0</v>
      </c>
      <c r="H114" s="24">
        <v>0</v>
      </c>
      <c r="I114" s="24">
        <v>4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t="s">
        <v>1209</v>
      </c>
      <c r="Z114" t="b">
        <v>1</v>
      </c>
      <c r="AA114" s="24" t="str">
        <f t="shared" si="1"/>
        <v>Josh Dasilva</v>
      </c>
    </row>
    <row r="115" spans="1:27" x14ac:dyDescent="0.25">
      <c r="A115" s="24">
        <v>3</v>
      </c>
      <c r="B115" s="24" t="s">
        <v>221</v>
      </c>
      <c r="C115" s="24" t="s">
        <v>222</v>
      </c>
      <c r="D115">
        <v>105</v>
      </c>
      <c r="E115" s="24">
        <v>1.3</v>
      </c>
      <c r="F115" s="25">
        <v>60</v>
      </c>
      <c r="G115" s="24">
        <v>1.3</v>
      </c>
      <c r="H115" s="24">
        <v>0.1</v>
      </c>
      <c r="I115" s="24">
        <v>4</v>
      </c>
      <c r="J115" s="24">
        <v>4</v>
      </c>
      <c r="K115" s="24">
        <v>128</v>
      </c>
      <c r="L115" s="24">
        <v>0</v>
      </c>
      <c r="M115" s="24">
        <v>0</v>
      </c>
      <c r="N115" s="24">
        <v>1</v>
      </c>
      <c r="O115" s="24">
        <v>1</v>
      </c>
      <c r="P115" s="24">
        <v>0</v>
      </c>
      <c r="Q115" s="24">
        <v>0</v>
      </c>
      <c r="R115" s="24">
        <v>16</v>
      </c>
      <c r="S115" s="24">
        <v>13</v>
      </c>
      <c r="T115" s="24">
        <v>1</v>
      </c>
      <c r="U115" s="24">
        <v>0.19</v>
      </c>
      <c r="V115" s="24">
        <v>0.42</v>
      </c>
      <c r="W115" s="24">
        <v>0.61</v>
      </c>
      <c r="X115" s="24">
        <v>1.55</v>
      </c>
      <c r="Y115" t="s">
        <v>1208</v>
      </c>
      <c r="Z115" t="b">
        <v>1</v>
      </c>
      <c r="AA115" s="24" t="str">
        <f t="shared" si="1"/>
        <v>Jaidon Anthony</v>
      </c>
    </row>
    <row r="116" spans="1:27" x14ac:dyDescent="0.25">
      <c r="A116" s="24">
        <v>4</v>
      </c>
      <c r="B116" s="24" t="s">
        <v>223</v>
      </c>
      <c r="C116" s="24" t="s">
        <v>224</v>
      </c>
      <c r="D116">
        <v>106</v>
      </c>
      <c r="E116" s="24">
        <v>1.3</v>
      </c>
      <c r="F116" s="25">
        <v>79</v>
      </c>
      <c r="G116" s="24">
        <v>1.3</v>
      </c>
      <c r="H116" s="24">
        <v>12.5</v>
      </c>
      <c r="I116" s="24">
        <v>4</v>
      </c>
      <c r="J116" s="24">
        <v>4</v>
      </c>
      <c r="K116" s="24">
        <v>262</v>
      </c>
      <c r="L116" s="24">
        <v>0</v>
      </c>
      <c r="M116" s="24">
        <v>0</v>
      </c>
      <c r="N116" s="24">
        <v>1</v>
      </c>
      <c r="O116" s="24">
        <v>2</v>
      </c>
      <c r="P116" s="24">
        <v>0</v>
      </c>
      <c r="Q116" s="24">
        <v>0</v>
      </c>
      <c r="R116" s="24">
        <v>8</v>
      </c>
      <c r="S116" s="24">
        <v>15</v>
      </c>
      <c r="T116" s="24">
        <v>3</v>
      </c>
      <c r="U116" s="24">
        <v>2.2999999999999998</v>
      </c>
      <c r="V116" s="24">
        <v>0.1</v>
      </c>
      <c r="W116" s="24">
        <v>2.4</v>
      </c>
      <c r="X116" s="24">
        <v>3.67</v>
      </c>
      <c r="Y116" t="s">
        <v>1208</v>
      </c>
      <c r="Z116" t="b">
        <v>1</v>
      </c>
      <c r="AA116" s="24" t="str">
        <f t="shared" si="1"/>
        <v>Igor Thiago Nascimento Rodrigues</v>
      </c>
    </row>
    <row r="117" spans="1:27" x14ac:dyDescent="0.25">
      <c r="A117" s="24">
        <v>4</v>
      </c>
      <c r="B117" s="24" t="s">
        <v>225</v>
      </c>
      <c r="C117" s="24" t="s">
        <v>226</v>
      </c>
      <c r="D117">
        <v>107</v>
      </c>
      <c r="E117" s="24">
        <v>0</v>
      </c>
      <c r="F117" s="25">
        <v>45</v>
      </c>
      <c r="G117" s="24">
        <v>0</v>
      </c>
      <c r="H117" s="24">
        <v>1.1000000000000001</v>
      </c>
      <c r="I117" s="24">
        <v>4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t="s">
        <v>1208</v>
      </c>
      <c r="Z117" t="b">
        <v>1</v>
      </c>
      <c r="AA117" s="24" t="str">
        <f t="shared" si="1"/>
        <v>Kaye Furo</v>
      </c>
    </row>
    <row r="118" spans="1:27" x14ac:dyDescent="0.25">
      <c r="A118" s="24">
        <v>4</v>
      </c>
      <c r="B118" s="24" t="s">
        <v>227</v>
      </c>
      <c r="C118" s="24" t="s">
        <v>228</v>
      </c>
      <c r="D118">
        <v>108</v>
      </c>
      <c r="E118" s="24">
        <v>1</v>
      </c>
      <c r="F118" s="25">
        <v>55</v>
      </c>
      <c r="G118" s="24">
        <v>1</v>
      </c>
      <c r="H118" s="24">
        <v>0.4</v>
      </c>
      <c r="I118" s="24">
        <v>4</v>
      </c>
      <c r="J118" s="24">
        <v>3</v>
      </c>
      <c r="K118" s="24">
        <v>13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9</v>
      </c>
      <c r="S118" s="24">
        <v>2</v>
      </c>
      <c r="T118" s="24">
        <v>0</v>
      </c>
      <c r="U118" s="24">
        <v>7.0000000000000007E-2</v>
      </c>
      <c r="V118" s="24">
        <v>0.04</v>
      </c>
      <c r="W118" s="24">
        <v>0.11</v>
      </c>
      <c r="X118" s="24">
        <v>0.15</v>
      </c>
      <c r="Y118" t="s">
        <v>1208</v>
      </c>
      <c r="Z118" t="b">
        <v>1</v>
      </c>
      <c r="AA118" s="24" t="str">
        <f t="shared" si="1"/>
        <v>Callum Wilson</v>
      </c>
    </row>
    <row r="119" spans="1:27" x14ac:dyDescent="0.25">
      <c r="A119" s="24">
        <v>3</v>
      </c>
      <c r="B119" s="24" t="s">
        <v>229</v>
      </c>
      <c r="C119" s="24" t="s">
        <v>230</v>
      </c>
      <c r="D119">
        <v>565</v>
      </c>
      <c r="E119" s="24">
        <v>6</v>
      </c>
      <c r="F119" s="25">
        <v>57</v>
      </c>
      <c r="G119" s="24">
        <v>6</v>
      </c>
      <c r="H119" s="24">
        <v>14.6</v>
      </c>
      <c r="I119" s="24">
        <v>4</v>
      </c>
      <c r="J119" s="24">
        <v>18</v>
      </c>
      <c r="K119" s="24">
        <v>210</v>
      </c>
      <c r="L119" s="24">
        <v>0</v>
      </c>
      <c r="M119" s="24">
        <v>2</v>
      </c>
      <c r="N119" s="24">
        <v>1</v>
      </c>
      <c r="O119" s="24">
        <v>1</v>
      </c>
      <c r="P119" s="24">
        <v>0</v>
      </c>
      <c r="Q119" s="24">
        <v>3</v>
      </c>
      <c r="R119" s="24">
        <v>57</v>
      </c>
      <c r="S119" s="24">
        <v>32</v>
      </c>
      <c r="T119" s="24">
        <v>3</v>
      </c>
      <c r="U119" s="24">
        <v>0.41</v>
      </c>
      <c r="V119" s="24">
        <v>0.37</v>
      </c>
      <c r="W119" s="24">
        <v>0.78</v>
      </c>
      <c r="X119" s="24">
        <v>2.2799999999999998</v>
      </c>
      <c r="Y119" t="s">
        <v>1208</v>
      </c>
      <c r="Z119" t="b">
        <v>1</v>
      </c>
      <c r="AA119" s="24" t="str">
        <f t="shared" si="1"/>
        <v>Mamadou Sangaré</v>
      </c>
    </row>
    <row r="120" spans="1:27" x14ac:dyDescent="0.25">
      <c r="A120" s="24">
        <v>2</v>
      </c>
      <c r="B120" s="24" t="s">
        <v>1240</v>
      </c>
      <c r="C120" s="24" t="s">
        <v>1241</v>
      </c>
      <c r="D120">
        <v>620</v>
      </c>
      <c r="E120" s="24">
        <v>0</v>
      </c>
      <c r="F120" s="25">
        <v>45</v>
      </c>
      <c r="G120" s="24">
        <v>0</v>
      </c>
      <c r="H120" s="24">
        <v>0.1</v>
      </c>
      <c r="I120" s="24">
        <v>4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t="s">
        <v>1208</v>
      </c>
      <c r="Z120" t="b">
        <v>1</v>
      </c>
      <c r="AA120" s="24" t="str">
        <f t="shared" si="1"/>
        <v>El Hadji Malick Diouf</v>
      </c>
    </row>
    <row r="121" spans="1:27" x14ac:dyDescent="0.25">
      <c r="A121" s="24">
        <v>1</v>
      </c>
      <c r="B121" s="24" t="s">
        <v>231</v>
      </c>
      <c r="C121" s="24" t="s">
        <v>232</v>
      </c>
      <c r="D121">
        <v>109</v>
      </c>
      <c r="E121" s="24">
        <v>3</v>
      </c>
      <c r="F121" s="25">
        <v>45</v>
      </c>
      <c r="G121" s="24">
        <v>3</v>
      </c>
      <c r="H121" s="24">
        <v>22.1</v>
      </c>
      <c r="I121" s="24">
        <v>5</v>
      </c>
      <c r="J121" s="24">
        <v>9</v>
      </c>
      <c r="K121" s="24">
        <v>270</v>
      </c>
      <c r="L121" s="24">
        <v>0</v>
      </c>
      <c r="M121" s="24">
        <v>0</v>
      </c>
      <c r="N121" s="24">
        <v>1</v>
      </c>
      <c r="O121" s="24">
        <v>5</v>
      </c>
      <c r="P121" s="24">
        <v>4</v>
      </c>
      <c r="Q121" s="24">
        <v>0</v>
      </c>
      <c r="R121" s="24">
        <v>41</v>
      </c>
      <c r="S121" s="24">
        <v>0</v>
      </c>
      <c r="T121" s="24">
        <v>3</v>
      </c>
      <c r="U121" s="24">
        <v>0</v>
      </c>
      <c r="V121" s="24">
        <v>0.2</v>
      </c>
      <c r="W121" s="24">
        <v>0.2</v>
      </c>
      <c r="X121" s="24">
        <v>5.71</v>
      </c>
      <c r="Y121" t="s">
        <v>1208</v>
      </c>
      <c r="Z121" t="b">
        <v>1</v>
      </c>
      <c r="AA121" s="24" t="str">
        <f t="shared" si="1"/>
        <v>Bart Verbruggen</v>
      </c>
    </row>
    <row r="122" spans="1:27" x14ac:dyDescent="0.25">
      <c r="A122" s="24">
        <v>1</v>
      </c>
      <c r="B122" s="24" t="s">
        <v>233</v>
      </c>
      <c r="C122" s="24" t="s">
        <v>234</v>
      </c>
      <c r="D122">
        <v>111</v>
      </c>
      <c r="E122" s="24">
        <v>0</v>
      </c>
      <c r="F122" s="25">
        <v>40</v>
      </c>
      <c r="G122" s="24">
        <v>0</v>
      </c>
      <c r="H122" s="24">
        <v>4.3</v>
      </c>
      <c r="I122" s="24">
        <v>5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t="s">
        <v>1208</v>
      </c>
      <c r="Z122" t="b">
        <v>1</v>
      </c>
      <c r="AA122" s="24" t="str">
        <f t="shared" si="1"/>
        <v>Jason Steele</v>
      </c>
    </row>
    <row r="123" spans="1:27" x14ac:dyDescent="0.25">
      <c r="A123" s="24">
        <v>2</v>
      </c>
      <c r="B123" s="24" t="s">
        <v>235</v>
      </c>
      <c r="C123" s="24" t="s">
        <v>236</v>
      </c>
      <c r="D123">
        <v>113</v>
      </c>
      <c r="E123" s="24">
        <v>0.7</v>
      </c>
      <c r="F123" s="25">
        <v>44</v>
      </c>
      <c r="G123" s="24">
        <v>1</v>
      </c>
      <c r="H123" s="24">
        <v>1.9</v>
      </c>
      <c r="I123" s="24">
        <v>5</v>
      </c>
      <c r="J123" s="24">
        <v>2</v>
      </c>
      <c r="K123" s="24">
        <v>167</v>
      </c>
      <c r="L123" s="24">
        <v>0</v>
      </c>
      <c r="M123" s="24">
        <v>0</v>
      </c>
      <c r="N123" s="24">
        <v>0</v>
      </c>
      <c r="O123" s="24">
        <v>5</v>
      </c>
      <c r="P123" s="24">
        <v>0</v>
      </c>
      <c r="Q123" s="24">
        <v>0</v>
      </c>
      <c r="R123" s="24">
        <v>4</v>
      </c>
      <c r="S123" s="24">
        <v>5</v>
      </c>
      <c r="T123" s="24">
        <v>2</v>
      </c>
      <c r="U123" s="24">
        <v>0.08</v>
      </c>
      <c r="V123" s="24">
        <v>0.02</v>
      </c>
      <c r="W123" s="24">
        <v>0.1</v>
      </c>
      <c r="X123" s="24">
        <v>5.33</v>
      </c>
      <c r="Y123" t="s">
        <v>1208</v>
      </c>
      <c r="Z123" t="b">
        <v>1</v>
      </c>
      <c r="AA123" s="24" t="str">
        <f t="shared" si="1"/>
        <v>Ferdi Kadıoğlu</v>
      </c>
    </row>
    <row r="124" spans="1:27" x14ac:dyDescent="0.25">
      <c r="A124" s="24">
        <v>2</v>
      </c>
      <c r="B124" s="24" t="s">
        <v>237</v>
      </c>
      <c r="C124" s="24" t="s">
        <v>238</v>
      </c>
      <c r="D124">
        <v>114</v>
      </c>
      <c r="E124" s="24">
        <v>2.2999999999999998</v>
      </c>
      <c r="F124" s="25">
        <v>45</v>
      </c>
      <c r="G124" s="24">
        <v>2.2999999999999998</v>
      </c>
      <c r="H124" s="24">
        <v>0.3</v>
      </c>
      <c r="I124" s="24">
        <v>5</v>
      </c>
      <c r="J124" s="24">
        <v>7</v>
      </c>
      <c r="K124" s="24">
        <v>270</v>
      </c>
      <c r="L124" s="24">
        <v>0</v>
      </c>
      <c r="M124" s="24">
        <v>0</v>
      </c>
      <c r="N124" s="24">
        <v>1</v>
      </c>
      <c r="O124" s="24">
        <v>5</v>
      </c>
      <c r="P124" s="24">
        <v>0</v>
      </c>
      <c r="Q124" s="24">
        <v>0</v>
      </c>
      <c r="R124" s="24">
        <v>44</v>
      </c>
      <c r="S124" s="24">
        <v>13</v>
      </c>
      <c r="T124" s="24">
        <v>3</v>
      </c>
      <c r="U124" s="24">
        <v>0.05</v>
      </c>
      <c r="V124" s="24">
        <v>0.48</v>
      </c>
      <c r="W124" s="24">
        <v>0.53</v>
      </c>
      <c r="X124" s="24">
        <v>5.71</v>
      </c>
      <c r="Y124" t="s">
        <v>1208</v>
      </c>
      <c r="Z124" t="b">
        <v>1</v>
      </c>
      <c r="AA124" s="24" t="str">
        <f t="shared" si="1"/>
        <v>Olivier Boscagli</v>
      </c>
    </row>
    <row r="125" spans="1:27" x14ac:dyDescent="0.25">
      <c r="A125" s="24">
        <v>2</v>
      </c>
      <c r="B125" s="24" t="s">
        <v>239</v>
      </c>
      <c r="C125" s="24" t="s">
        <v>240</v>
      </c>
      <c r="D125">
        <v>115</v>
      </c>
      <c r="E125" s="24">
        <v>7</v>
      </c>
      <c r="F125" s="25">
        <v>47</v>
      </c>
      <c r="G125" s="24">
        <v>7</v>
      </c>
      <c r="H125" s="24">
        <v>18.8</v>
      </c>
      <c r="I125" s="24">
        <v>5</v>
      </c>
      <c r="J125" s="24">
        <v>21</v>
      </c>
      <c r="K125" s="24">
        <v>243</v>
      </c>
      <c r="L125" s="24">
        <v>1</v>
      </c>
      <c r="M125" s="24">
        <v>2</v>
      </c>
      <c r="N125" s="24">
        <v>1</v>
      </c>
      <c r="O125" s="24">
        <v>5</v>
      </c>
      <c r="P125" s="24">
        <v>0</v>
      </c>
      <c r="Q125" s="24">
        <v>2</v>
      </c>
      <c r="R125" s="24">
        <v>61</v>
      </c>
      <c r="S125" s="24">
        <v>8</v>
      </c>
      <c r="T125" s="24">
        <v>3</v>
      </c>
      <c r="U125" s="24">
        <v>1.5</v>
      </c>
      <c r="V125" s="24">
        <v>0.4</v>
      </c>
      <c r="W125" s="24">
        <v>1.9</v>
      </c>
      <c r="X125" s="24">
        <v>5.62</v>
      </c>
      <c r="Y125" t="s">
        <v>1208</v>
      </c>
      <c r="Z125" t="b">
        <v>1</v>
      </c>
      <c r="AA125" s="24" t="str">
        <f t="shared" si="1"/>
        <v>Maxim De Cuyper</v>
      </c>
    </row>
    <row r="126" spans="1:27" x14ac:dyDescent="0.25">
      <c r="A126" s="24">
        <v>2</v>
      </c>
      <c r="B126" s="24" t="s">
        <v>157</v>
      </c>
      <c r="C126" s="24" t="s">
        <v>241</v>
      </c>
      <c r="D126">
        <v>116</v>
      </c>
      <c r="E126" s="24">
        <v>3.3</v>
      </c>
      <c r="F126" s="25">
        <v>45</v>
      </c>
      <c r="G126" s="24">
        <v>3.3</v>
      </c>
      <c r="H126" s="24">
        <v>1.3</v>
      </c>
      <c r="I126" s="24">
        <v>5</v>
      </c>
      <c r="J126" s="24">
        <v>10</v>
      </c>
      <c r="K126" s="24">
        <v>270</v>
      </c>
      <c r="L126" s="24">
        <v>0</v>
      </c>
      <c r="M126" s="24">
        <v>0</v>
      </c>
      <c r="N126" s="24">
        <v>1</v>
      </c>
      <c r="O126" s="24">
        <v>5</v>
      </c>
      <c r="P126" s="24">
        <v>0</v>
      </c>
      <c r="Q126" s="24">
        <v>1</v>
      </c>
      <c r="R126" s="24">
        <v>40</v>
      </c>
      <c r="S126" s="24">
        <v>17</v>
      </c>
      <c r="T126" s="24">
        <v>3</v>
      </c>
      <c r="U126" s="24">
        <v>0</v>
      </c>
      <c r="V126" s="24">
        <v>0.06</v>
      </c>
      <c r="W126" s="24">
        <v>0.06</v>
      </c>
      <c r="X126" s="24">
        <v>5.71</v>
      </c>
      <c r="Y126" t="s">
        <v>1208</v>
      </c>
      <c r="Z126" t="b">
        <v>1</v>
      </c>
      <c r="AA126" s="24" t="str">
        <f t="shared" si="1"/>
        <v>Lewis Dunk</v>
      </c>
    </row>
    <row r="127" spans="1:27" x14ac:dyDescent="0.25">
      <c r="A127" s="24">
        <v>2</v>
      </c>
      <c r="B127" s="24" t="s">
        <v>242</v>
      </c>
      <c r="C127" s="24" t="s">
        <v>243</v>
      </c>
      <c r="D127">
        <v>117</v>
      </c>
      <c r="E127" s="24">
        <v>0</v>
      </c>
      <c r="F127" s="25">
        <v>45</v>
      </c>
      <c r="G127" s="24">
        <v>0</v>
      </c>
      <c r="H127" s="24">
        <v>0</v>
      </c>
      <c r="I127" s="24">
        <v>5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t="s">
        <v>1208</v>
      </c>
      <c r="Z127" t="b">
        <v>1</v>
      </c>
      <c r="AA127" s="24" t="str">
        <f t="shared" si="1"/>
        <v>Diego Coppola</v>
      </c>
    </row>
    <row r="128" spans="1:27" x14ac:dyDescent="0.25">
      <c r="A128" s="24">
        <v>2</v>
      </c>
      <c r="B128" s="24" t="s">
        <v>244</v>
      </c>
      <c r="C128" s="24" t="s">
        <v>245</v>
      </c>
      <c r="D128">
        <v>118</v>
      </c>
      <c r="E128" s="24">
        <v>0</v>
      </c>
      <c r="F128" s="25">
        <v>45</v>
      </c>
      <c r="G128" s="24">
        <v>0</v>
      </c>
      <c r="H128" s="24">
        <v>0.1</v>
      </c>
      <c r="I128" s="24">
        <v>5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t="s">
        <v>1211</v>
      </c>
      <c r="Z128" t="b">
        <v>0</v>
      </c>
      <c r="AA128" s="24" t="str">
        <f t="shared" si="1"/>
        <v>Igor Julio dos Santos de Paulo</v>
      </c>
    </row>
    <row r="129" spans="1:27" x14ac:dyDescent="0.25">
      <c r="A129" s="24">
        <v>2</v>
      </c>
      <c r="B129" s="24" t="s">
        <v>246</v>
      </c>
      <c r="C129" s="24" t="s">
        <v>247</v>
      </c>
      <c r="D129">
        <v>119</v>
      </c>
      <c r="E129" s="24">
        <v>0.7</v>
      </c>
      <c r="F129" s="25">
        <v>45</v>
      </c>
      <c r="G129" s="24">
        <v>0.7</v>
      </c>
      <c r="H129" s="24">
        <v>0</v>
      </c>
      <c r="I129" s="24">
        <v>5</v>
      </c>
      <c r="J129" s="24">
        <v>2</v>
      </c>
      <c r="K129" s="24">
        <v>48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13</v>
      </c>
      <c r="S129" s="24">
        <v>5</v>
      </c>
      <c r="T129" s="24">
        <v>0</v>
      </c>
      <c r="U129" s="24">
        <v>0.12</v>
      </c>
      <c r="V129" s="24">
        <v>0.16</v>
      </c>
      <c r="W129" s="24">
        <v>0.28000000000000003</v>
      </c>
      <c r="X129" s="24">
        <v>0.24</v>
      </c>
      <c r="Y129" t="s">
        <v>1208</v>
      </c>
      <c r="Z129" t="b">
        <v>1</v>
      </c>
      <c r="AA129" s="24" t="str">
        <f t="shared" si="1"/>
        <v>João Pedro Loureiro da Costa</v>
      </c>
    </row>
    <row r="130" spans="1:27" x14ac:dyDescent="0.25">
      <c r="A130" s="24">
        <v>2</v>
      </c>
      <c r="B130" s="24" t="s">
        <v>193</v>
      </c>
      <c r="C130" s="24" t="s">
        <v>248</v>
      </c>
      <c r="D130">
        <v>120</v>
      </c>
      <c r="E130" s="24">
        <v>0</v>
      </c>
      <c r="F130" s="25">
        <v>50</v>
      </c>
      <c r="G130" s="24">
        <v>0</v>
      </c>
      <c r="H130" s="24">
        <v>0.1</v>
      </c>
      <c r="I130" s="24">
        <v>5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t="s">
        <v>1208</v>
      </c>
      <c r="Z130" t="b">
        <v>1</v>
      </c>
      <c r="AA130" s="24" t="str">
        <f t="shared" ref="AA130:AA193" si="2">B130&amp;" "&amp;C130</f>
        <v>Michael Svoboda</v>
      </c>
    </row>
    <row r="131" spans="1:27" x14ac:dyDescent="0.25">
      <c r="A131" s="24">
        <v>3</v>
      </c>
      <c r="B131" s="24" t="s">
        <v>249</v>
      </c>
      <c r="C131" s="24" t="s">
        <v>250</v>
      </c>
      <c r="D131">
        <v>121</v>
      </c>
      <c r="E131" s="24">
        <v>0</v>
      </c>
      <c r="F131" s="25">
        <v>59</v>
      </c>
      <c r="G131" s="24">
        <v>0</v>
      </c>
      <c r="H131" s="24">
        <v>0</v>
      </c>
      <c r="I131" s="24">
        <v>5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t="s">
        <v>1209</v>
      </c>
      <c r="Z131" t="b">
        <v>1</v>
      </c>
      <c r="AA131" s="24" t="str">
        <f t="shared" si="2"/>
        <v>Mitoma Kaoru</v>
      </c>
    </row>
    <row r="132" spans="1:27" x14ac:dyDescent="0.25">
      <c r="A132" s="24">
        <v>3</v>
      </c>
      <c r="B132" s="24" t="s">
        <v>251</v>
      </c>
      <c r="C132" s="24" t="s">
        <v>252</v>
      </c>
      <c r="D132">
        <v>122</v>
      </c>
      <c r="E132" s="24">
        <v>0</v>
      </c>
      <c r="F132" s="25">
        <v>59</v>
      </c>
      <c r="G132" s="24">
        <v>0</v>
      </c>
      <c r="H132" s="24">
        <v>0</v>
      </c>
      <c r="I132" s="24">
        <v>5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t="s">
        <v>1209</v>
      </c>
      <c r="Z132" t="b">
        <v>1</v>
      </c>
      <c r="AA132" s="24" t="str">
        <f t="shared" si="2"/>
        <v>Yankuba Minteh</v>
      </c>
    </row>
    <row r="133" spans="1:27" x14ac:dyDescent="0.25">
      <c r="A133" s="24">
        <v>3</v>
      </c>
      <c r="B133" s="24" t="s">
        <v>253</v>
      </c>
      <c r="C133" s="24" t="s">
        <v>254</v>
      </c>
      <c r="D133">
        <v>123</v>
      </c>
      <c r="E133" s="24">
        <v>5.3</v>
      </c>
      <c r="F133" s="25">
        <v>60</v>
      </c>
      <c r="G133" s="24">
        <v>16</v>
      </c>
      <c r="H133" s="24">
        <v>1.1000000000000001</v>
      </c>
      <c r="I133" s="24">
        <v>5</v>
      </c>
      <c r="J133" s="24">
        <v>16</v>
      </c>
      <c r="K133" s="24">
        <v>63</v>
      </c>
      <c r="L133" s="24">
        <v>2</v>
      </c>
      <c r="M133" s="24">
        <v>0</v>
      </c>
      <c r="N133" s="24">
        <v>1</v>
      </c>
      <c r="O133" s="24">
        <v>0</v>
      </c>
      <c r="P133" s="24">
        <v>0</v>
      </c>
      <c r="Q133" s="24">
        <v>3</v>
      </c>
      <c r="R133" s="24">
        <v>54</v>
      </c>
      <c r="S133" s="24">
        <v>3</v>
      </c>
      <c r="T133" s="24">
        <v>1</v>
      </c>
      <c r="U133" s="24">
        <v>1.41</v>
      </c>
      <c r="V133" s="24">
        <v>0.02</v>
      </c>
      <c r="W133" s="24">
        <v>1.43</v>
      </c>
      <c r="X133" s="24">
        <v>0.19</v>
      </c>
      <c r="Y133" t="s">
        <v>1210</v>
      </c>
      <c r="Z133" t="b">
        <v>1</v>
      </c>
      <c r="AA133" s="24" t="str">
        <f t="shared" si="2"/>
        <v>Jack Hinshelwood</v>
      </c>
    </row>
    <row r="134" spans="1:27" x14ac:dyDescent="0.25">
      <c r="A134" s="24">
        <v>3</v>
      </c>
      <c r="B134" s="24" t="s">
        <v>255</v>
      </c>
      <c r="C134" s="24" t="s">
        <v>256</v>
      </c>
      <c r="D134">
        <v>124</v>
      </c>
      <c r="E134" s="24">
        <v>5.3</v>
      </c>
      <c r="F134" s="25">
        <v>55</v>
      </c>
      <c r="G134" s="24">
        <v>5.3</v>
      </c>
      <c r="H134" s="24">
        <v>16</v>
      </c>
      <c r="I134" s="24">
        <v>5</v>
      </c>
      <c r="J134" s="24">
        <v>16</v>
      </c>
      <c r="K134" s="24">
        <v>270</v>
      </c>
      <c r="L134" s="24">
        <v>1</v>
      </c>
      <c r="M134" s="24">
        <v>1</v>
      </c>
      <c r="N134" s="24">
        <v>1</v>
      </c>
      <c r="O134" s="24">
        <v>5</v>
      </c>
      <c r="P134" s="24">
        <v>0</v>
      </c>
      <c r="Q134" s="24">
        <v>3</v>
      </c>
      <c r="R134" s="24">
        <v>63</v>
      </c>
      <c r="S134" s="24">
        <v>15</v>
      </c>
      <c r="T134" s="24">
        <v>3</v>
      </c>
      <c r="U134" s="24">
        <v>0.84</v>
      </c>
      <c r="V134" s="24">
        <v>0.42</v>
      </c>
      <c r="W134" s="24">
        <v>1.26</v>
      </c>
      <c r="X134" s="24">
        <v>5.71</v>
      </c>
      <c r="Y134" t="s">
        <v>1208</v>
      </c>
      <c r="Z134" t="b">
        <v>1</v>
      </c>
      <c r="AA134" s="24" t="str">
        <f t="shared" si="2"/>
        <v>Pascal Groß</v>
      </c>
    </row>
    <row r="135" spans="1:27" x14ac:dyDescent="0.25">
      <c r="A135" s="24">
        <v>4</v>
      </c>
      <c r="B135" s="24" t="s">
        <v>257</v>
      </c>
      <c r="C135" s="24" t="s">
        <v>258</v>
      </c>
      <c r="D135">
        <v>125</v>
      </c>
      <c r="E135" s="24">
        <v>1.7</v>
      </c>
      <c r="F135" s="25">
        <v>55</v>
      </c>
      <c r="G135" s="24">
        <v>5</v>
      </c>
      <c r="H135" s="24">
        <v>0.7</v>
      </c>
      <c r="I135" s="24">
        <v>5</v>
      </c>
      <c r="J135" s="24">
        <v>5</v>
      </c>
      <c r="K135" s="24">
        <v>90</v>
      </c>
      <c r="L135" s="24">
        <v>0</v>
      </c>
      <c r="M135" s="24">
        <v>1</v>
      </c>
      <c r="N135" s="24">
        <v>1</v>
      </c>
      <c r="O135" s="24">
        <v>0</v>
      </c>
      <c r="P135" s="24">
        <v>0</v>
      </c>
      <c r="Q135" s="24">
        <v>0</v>
      </c>
      <c r="R135" s="24">
        <v>22</v>
      </c>
      <c r="S135" s="24">
        <v>7</v>
      </c>
      <c r="T135" s="24">
        <v>1</v>
      </c>
      <c r="U135" s="24">
        <v>0.08</v>
      </c>
      <c r="V135" s="24">
        <v>0.44</v>
      </c>
      <c r="W135" s="24">
        <v>0.52</v>
      </c>
      <c r="X135" s="24">
        <v>0.28999999999999998</v>
      </c>
      <c r="Y135" t="s">
        <v>1210</v>
      </c>
      <c r="Z135" t="b">
        <v>1</v>
      </c>
      <c r="AA135" s="24" t="str">
        <f t="shared" si="2"/>
        <v>Georginio Rutter</v>
      </c>
    </row>
    <row r="136" spans="1:27" x14ac:dyDescent="0.25">
      <c r="A136" s="24">
        <v>3</v>
      </c>
      <c r="B136" s="24" t="s">
        <v>259</v>
      </c>
      <c r="C136" s="24" t="s">
        <v>260</v>
      </c>
      <c r="D136">
        <v>126</v>
      </c>
      <c r="E136" s="24">
        <v>0</v>
      </c>
      <c r="F136" s="25">
        <v>55</v>
      </c>
      <c r="G136" s="24">
        <v>0</v>
      </c>
      <c r="H136" s="24">
        <v>0.1</v>
      </c>
      <c r="I136" s="24">
        <v>5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t="s">
        <v>1208</v>
      </c>
      <c r="Z136" t="b">
        <v>1</v>
      </c>
      <c r="AA136" s="24" t="str">
        <f t="shared" si="2"/>
        <v>Matt O'Riley</v>
      </c>
    </row>
    <row r="137" spans="1:27" x14ac:dyDescent="0.25">
      <c r="A137" s="24">
        <v>3</v>
      </c>
      <c r="B137" s="24" t="s">
        <v>242</v>
      </c>
      <c r="C137" s="24" t="s">
        <v>261</v>
      </c>
      <c r="D137">
        <v>127</v>
      </c>
      <c r="E137" s="24">
        <v>4.3</v>
      </c>
      <c r="F137" s="25">
        <v>50</v>
      </c>
      <c r="G137" s="24">
        <v>4.3</v>
      </c>
      <c r="H137" s="24">
        <v>4.9000000000000004</v>
      </c>
      <c r="I137" s="24">
        <v>5</v>
      </c>
      <c r="J137" s="24">
        <v>13</v>
      </c>
      <c r="K137" s="24">
        <v>265</v>
      </c>
      <c r="L137" s="24">
        <v>0</v>
      </c>
      <c r="M137" s="24">
        <v>2</v>
      </c>
      <c r="N137" s="24">
        <v>1</v>
      </c>
      <c r="O137" s="24">
        <v>5</v>
      </c>
      <c r="P137" s="24">
        <v>0</v>
      </c>
      <c r="Q137" s="24">
        <v>0</v>
      </c>
      <c r="R137" s="24">
        <v>55</v>
      </c>
      <c r="S137" s="24">
        <v>20</v>
      </c>
      <c r="T137" s="24">
        <v>3</v>
      </c>
      <c r="U137" s="24">
        <v>0.65</v>
      </c>
      <c r="V137" s="24">
        <v>0.7</v>
      </c>
      <c r="W137" s="24">
        <v>1.35</v>
      </c>
      <c r="X137" s="24">
        <v>5.71</v>
      </c>
      <c r="Y137" t="s">
        <v>1208</v>
      </c>
      <c r="Z137" t="b">
        <v>1</v>
      </c>
      <c r="AA137" s="24" t="str">
        <f t="shared" si="2"/>
        <v>Diego Gómez Amarilla</v>
      </c>
    </row>
    <row r="138" spans="1:27" x14ac:dyDescent="0.25">
      <c r="A138" s="24">
        <v>3</v>
      </c>
      <c r="B138" s="24" t="s">
        <v>262</v>
      </c>
      <c r="C138" s="24" t="s">
        <v>263</v>
      </c>
      <c r="D138">
        <v>128</v>
      </c>
      <c r="E138" s="24">
        <v>0</v>
      </c>
      <c r="F138" s="25">
        <v>50</v>
      </c>
      <c r="G138" s="24">
        <v>0</v>
      </c>
      <c r="H138" s="24">
        <v>0</v>
      </c>
      <c r="I138" s="24">
        <v>5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t="s">
        <v>1211</v>
      </c>
      <c r="Z138" t="b">
        <v>0</v>
      </c>
      <c r="AA138" s="24" t="str">
        <f t="shared" si="2"/>
        <v>Facundo Buonanotte</v>
      </c>
    </row>
    <row r="139" spans="1:27" x14ac:dyDescent="0.25">
      <c r="A139" s="24">
        <v>3</v>
      </c>
      <c r="B139" s="24" t="s">
        <v>264</v>
      </c>
      <c r="C139" s="24" t="s">
        <v>265</v>
      </c>
      <c r="D139">
        <v>129</v>
      </c>
      <c r="E139" s="24">
        <v>1.3</v>
      </c>
      <c r="F139" s="25">
        <v>54</v>
      </c>
      <c r="G139" s="24">
        <v>2</v>
      </c>
      <c r="H139" s="24">
        <v>0.4</v>
      </c>
      <c r="I139" s="24">
        <v>5</v>
      </c>
      <c r="J139" s="24">
        <v>4</v>
      </c>
      <c r="K139" s="24">
        <v>153</v>
      </c>
      <c r="L139" s="24">
        <v>0</v>
      </c>
      <c r="M139" s="24">
        <v>0</v>
      </c>
      <c r="N139" s="24">
        <v>1</v>
      </c>
      <c r="O139" s="24">
        <v>1</v>
      </c>
      <c r="P139" s="24">
        <v>0</v>
      </c>
      <c r="Q139" s="24">
        <v>0</v>
      </c>
      <c r="R139" s="24">
        <v>26</v>
      </c>
      <c r="S139" s="24">
        <v>7</v>
      </c>
      <c r="T139" s="24">
        <v>2</v>
      </c>
      <c r="U139" s="24">
        <v>0.28000000000000003</v>
      </c>
      <c r="V139" s="24">
        <v>7.0000000000000007E-2</v>
      </c>
      <c r="W139" s="24">
        <v>0.35</v>
      </c>
      <c r="X139" s="24">
        <v>2.68</v>
      </c>
      <c r="Y139" t="s">
        <v>1208</v>
      </c>
      <c r="Z139" t="b">
        <v>1</v>
      </c>
      <c r="AA139" s="24" t="str">
        <f t="shared" si="2"/>
        <v>Yasin Ayari</v>
      </c>
    </row>
    <row r="140" spans="1:27" x14ac:dyDescent="0.25">
      <c r="A140" s="24">
        <v>2</v>
      </c>
      <c r="B140" s="24" t="s">
        <v>266</v>
      </c>
      <c r="C140" s="24" t="s">
        <v>267</v>
      </c>
      <c r="D140">
        <v>130</v>
      </c>
      <c r="E140" s="24">
        <v>2.2999999999999998</v>
      </c>
      <c r="F140" s="25">
        <v>50</v>
      </c>
      <c r="G140" s="24">
        <v>3.5</v>
      </c>
      <c r="H140" s="24">
        <v>0.3</v>
      </c>
      <c r="I140" s="24">
        <v>5</v>
      </c>
      <c r="J140" s="24">
        <v>7</v>
      </c>
      <c r="K140" s="24">
        <v>156</v>
      </c>
      <c r="L140" s="24">
        <v>0</v>
      </c>
      <c r="M140" s="24">
        <v>0</v>
      </c>
      <c r="N140" s="24">
        <v>1</v>
      </c>
      <c r="O140" s="24">
        <v>4</v>
      </c>
      <c r="P140" s="24">
        <v>0</v>
      </c>
      <c r="Q140" s="24">
        <v>1</v>
      </c>
      <c r="R140" s="24">
        <v>38</v>
      </c>
      <c r="S140" s="24">
        <v>15</v>
      </c>
      <c r="T140" s="24">
        <v>2</v>
      </c>
      <c r="U140" s="24">
        <v>0.12</v>
      </c>
      <c r="V140" s="24">
        <v>0.13</v>
      </c>
      <c r="W140" s="24">
        <v>0.25</v>
      </c>
      <c r="X140" s="24">
        <v>3.18</v>
      </c>
      <c r="Y140" t="s">
        <v>1209</v>
      </c>
      <c r="Z140" t="b">
        <v>1</v>
      </c>
      <c r="AA140" s="24" t="str">
        <f t="shared" si="2"/>
        <v>Mats Wieffer</v>
      </c>
    </row>
    <row r="141" spans="1:27" x14ac:dyDescent="0.25">
      <c r="A141" s="24">
        <v>3</v>
      </c>
      <c r="B141" s="24" t="s">
        <v>270</v>
      </c>
      <c r="C141" s="24" t="s">
        <v>271</v>
      </c>
      <c r="D141">
        <v>132</v>
      </c>
      <c r="E141" s="24">
        <v>0</v>
      </c>
      <c r="F141" s="25">
        <v>45</v>
      </c>
      <c r="G141" s="24">
        <v>0</v>
      </c>
      <c r="H141" s="24">
        <v>0</v>
      </c>
      <c r="I141" s="24">
        <v>5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t="s">
        <v>1211</v>
      </c>
      <c r="Z141" t="b">
        <v>0</v>
      </c>
      <c r="AA141" s="24" t="str">
        <f t="shared" si="2"/>
        <v>Harry Howell</v>
      </c>
    </row>
    <row r="142" spans="1:27" x14ac:dyDescent="0.25">
      <c r="A142" s="24">
        <v>3</v>
      </c>
      <c r="B142" s="24" t="s">
        <v>272</v>
      </c>
      <c r="C142" s="24" t="s">
        <v>273</v>
      </c>
      <c r="D142">
        <v>133</v>
      </c>
      <c r="E142" s="24">
        <v>0</v>
      </c>
      <c r="F142" s="25">
        <v>50</v>
      </c>
      <c r="G142" s="24">
        <v>0</v>
      </c>
      <c r="H142" s="24">
        <v>0</v>
      </c>
      <c r="I142" s="24">
        <v>5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t="s">
        <v>1211</v>
      </c>
      <c r="Z142" t="b">
        <v>0</v>
      </c>
      <c r="AA142" s="24" t="str">
        <f t="shared" si="2"/>
        <v>Tom Watson</v>
      </c>
    </row>
    <row r="143" spans="1:27" x14ac:dyDescent="0.25">
      <c r="A143" s="24">
        <v>3</v>
      </c>
      <c r="B143" s="24" t="s">
        <v>274</v>
      </c>
      <c r="C143" s="24" t="s">
        <v>275</v>
      </c>
      <c r="D143">
        <v>134</v>
      </c>
      <c r="E143" s="24">
        <v>0</v>
      </c>
      <c r="F143" s="25">
        <v>45</v>
      </c>
      <c r="G143" s="24">
        <v>0</v>
      </c>
      <c r="H143" s="24">
        <v>0.3</v>
      </c>
      <c r="I143" s="24">
        <v>5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t="s">
        <v>1208</v>
      </c>
      <c r="Z143" t="b">
        <v>1</v>
      </c>
      <c r="AA143" s="24" t="str">
        <f t="shared" si="2"/>
        <v>Nehemiah Oriola</v>
      </c>
    </row>
    <row r="144" spans="1:27" x14ac:dyDescent="0.25">
      <c r="A144" s="24">
        <v>3</v>
      </c>
      <c r="B144" s="24" t="s">
        <v>276</v>
      </c>
      <c r="C144" s="24" t="s">
        <v>277</v>
      </c>
      <c r="D144">
        <v>135</v>
      </c>
      <c r="E144" s="24">
        <v>0.3</v>
      </c>
      <c r="F144" s="25">
        <v>49</v>
      </c>
      <c r="G144" s="24">
        <v>1</v>
      </c>
      <c r="H144" s="24">
        <v>0.1</v>
      </c>
      <c r="I144" s="24">
        <v>5</v>
      </c>
      <c r="J144" s="24">
        <v>1</v>
      </c>
      <c r="K144" s="24">
        <v>12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3</v>
      </c>
      <c r="S144" s="24">
        <v>0</v>
      </c>
      <c r="T144" s="24">
        <v>0</v>
      </c>
      <c r="U144" s="24">
        <v>0</v>
      </c>
      <c r="V144" s="24">
        <v>0.03</v>
      </c>
      <c r="W144" s="24">
        <v>0.03</v>
      </c>
      <c r="X144" s="24">
        <v>0</v>
      </c>
      <c r="Y144" t="s">
        <v>1208</v>
      </c>
      <c r="Z144" t="b">
        <v>1</v>
      </c>
      <c r="AA144" s="24" t="str">
        <f t="shared" si="2"/>
        <v>Zadok Yohanna</v>
      </c>
    </row>
    <row r="145" spans="1:27" x14ac:dyDescent="0.25">
      <c r="A145" s="24">
        <v>4</v>
      </c>
      <c r="B145" s="24" t="s">
        <v>278</v>
      </c>
      <c r="C145" s="24" t="s">
        <v>279</v>
      </c>
      <c r="D145">
        <v>137</v>
      </c>
      <c r="E145" s="24">
        <v>0</v>
      </c>
      <c r="F145" s="25">
        <v>55</v>
      </c>
      <c r="G145" s="24">
        <v>0</v>
      </c>
      <c r="H145" s="24">
        <v>0</v>
      </c>
      <c r="I145" s="24">
        <v>5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t="s">
        <v>1209</v>
      </c>
      <c r="Z145" t="b">
        <v>1</v>
      </c>
      <c r="AA145" s="24" t="str">
        <f t="shared" si="2"/>
        <v>Stefanos Tzimas</v>
      </c>
    </row>
    <row r="146" spans="1:27" x14ac:dyDescent="0.25">
      <c r="A146" s="24">
        <v>4</v>
      </c>
      <c r="B146" s="24" t="s">
        <v>280</v>
      </c>
      <c r="C146" s="24" t="s">
        <v>281</v>
      </c>
      <c r="D146">
        <v>138</v>
      </c>
      <c r="E146" s="24">
        <v>2.7</v>
      </c>
      <c r="F146" s="25">
        <v>55</v>
      </c>
      <c r="G146" s="24">
        <v>2.7</v>
      </c>
      <c r="H146" s="24">
        <v>0.5</v>
      </c>
      <c r="I146" s="24">
        <v>5</v>
      </c>
      <c r="J146" s="24">
        <v>8</v>
      </c>
      <c r="K146" s="24">
        <v>195</v>
      </c>
      <c r="L146" s="24">
        <v>0</v>
      </c>
      <c r="M146" s="24">
        <v>1</v>
      </c>
      <c r="N146" s="24">
        <v>0</v>
      </c>
      <c r="O146" s="24">
        <v>5</v>
      </c>
      <c r="P146" s="24">
        <v>0</v>
      </c>
      <c r="Q146" s="24">
        <v>0</v>
      </c>
      <c r="R146" s="24">
        <v>25</v>
      </c>
      <c r="S146" s="24">
        <v>16</v>
      </c>
      <c r="T146" s="24">
        <v>2</v>
      </c>
      <c r="U146" s="24">
        <v>0.78</v>
      </c>
      <c r="V146" s="24">
        <v>0.04</v>
      </c>
      <c r="W146" s="24">
        <v>0.82</v>
      </c>
      <c r="X146" s="24">
        <v>5.48</v>
      </c>
      <c r="Y146" t="s">
        <v>1208</v>
      </c>
      <c r="Z146" t="b">
        <v>1</v>
      </c>
      <c r="AA146" s="24" t="str">
        <f t="shared" si="2"/>
        <v>Charalampos Kostoulas</v>
      </c>
    </row>
    <row r="147" spans="1:27" x14ac:dyDescent="0.25">
      <c r="A147" s="24">
        <v>4</v>
      </c>
      <c r="B147" s="24" t="s">
        <v>282</v>
      </c>
      <c r="C147" s="24" t="s">
        <v>283</v>
      </c>
      <c r="D147">
        <v>139</v>
      </c>
      <c r="E147" s="24">
        <v>0</v>
      </c>
      <c r="F147" s="25">
        <v>50</v>
      </c>
      <c r="G147" s="24">
        <v>0</v>
      </c>
      <c r="H147" s="24">
        <v>0</v>
      </c>
      <c r="I147" s="24">
        <v>5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t="s">
        <v>1209</v>
      </c>
      <c r="Z147" t="b">
        <v>1</v>
      </c>
      <c r="AA147" s="24" t="str">
        <f t="shared" si="2"/>
        <v>Evan Ferguson</v>
      </c>
    </row>
    <row r="148" spans="1:27" x14ac:dyDescent="0.25">
      <c r="A148" s="24">
        <v>2</v>
      </c>
      <c r="B148" s="24" t="s">
        <v>255</v>
      </c>
      <c r="C148" s="24" t="s">
        <v>284</v>
      </c>
      <c r="D148">
        <v>328</v>
      </c>
      <c r="E148" s="24">
        <v>0.3</v>
      </c>
      <c r="F148" s="25">
        <v>50</v>
      </c>
      <c r="G148" s="24">
        <v>1</v>
      </c>
      <c r="H148" s="24">
        <v>0.2</v>
      </c>
      <c r="I148" s="24">
        <v>5</v>
      </c>
      <c r="J148" s="24">
        <v>1</v>
      </c>
      <c r="K148" s="24">
        <v>1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3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t="s">
        <v>1208</v>
      </c>
      <c r="Z148" t="b">
        <v>1</v>
      </c>
      <c r="AA148" s="24" t="str">
        <f t="shared" si="2"/>
        <v>Pascal Struijk</v>
      </c>
    </row>
    <row r="149" spans="1:27" x14ac:dyDescent="0.25">
      <c r="A149" s="24">
        <v>2</v>
      </c>
      <c r="B149" s="24" t="s">
        <v>285</v>
      </c>
      <c r="C149" s="24" t="s">
        <v>286</v>
      </c>
      <c r="D149">
        <v>504</v>
      </c>
      <c r="E149" s="24">
        <v>6</v>
      </c>
      <c r="F149" s="25">
        <v>50</v>
      </c>
      <c r="G149" s="24">
        <v>6</v>
      </c>
      <c r="H149" s="24">
        <v>2.6</v>
      </c>
      <c r="I149" s="24">
        <v>5</v>
      </c>
      <c r="J149" s="24">
        <v>18</v>
      </c>
      <c r="K149" s="24">
        <v>270</v>
      </c>
      <c r="L149" s="24">
        <v>1</v>
      </c>
      <c r="M149" s="24">
        <v>0</v>
      </c>
      <c r="N149" s="24">
        <v>1</v>
      </c>
      <c r="O149" s="24">
        <v>5</v>
      </c>
      <c r="P149" s="24">
        <v>0</v>
      </c>
      <c r="Q149" s="24">
        <v>2</v>
      </c>
      <c r="R149" s="24">
        <v>44</v>
      </c>
      <c r="S149" s="24">
        <v>22</v>
      </c>
      <c r="T149" s="24">
        <v>3</v>
      </c>
      <c r="U149" s="24">
        <v>0.35</v>
      </c>
      <c r="V149" s="24">
        <v>0.06</v>
      </c>
      <c r="W149" s="24">
        <v>0.41</v>
      </c>
      <c r="X149" s="24">
        <v>5.71</v>
      </c>
      <c r="Y149" t="s">
        <v>1208</v>
      </c>
      <c r="Z149" t="b">
        <v>1</v>
      </c>
      <c r="AA149" s="24" t="str">
        <f t="shared" si="2"/>
        <v>Luka Vušković</v>
      </c>
    </row>
    <row r="150" spans="1:27" x14ac:dyDescent="0.25">
      <c r="A150" s="24">
        <v>4</v>
      </c>
      <c r="B150" s="24" t="s">
        <v>1031</v>
      </c>
      <c r="C150" s="24" t="s">
        <v>20</v>
      </c>
      <c r="D150">
        <v>594</v>
      </c>
      <c r="E150" s="24">
        <v>0.3</v>
      </c>
      <c r="F150" s="25">
        <v>60</v>
      </c>
      <c r="G150" s="24">
        <v>0.5</v>
      </c>
      <c r="H150" s="24">
        <v>0.2</v>
      </c>
      <c r="I150" s="24">
        <v>5</v>
      </c>
      <c r="J150" s="24">
        <v>1</v>
      </c>
      <c r="K150" s="24">
        <v>23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-4</v>
      </c>
      <c r="S150" s="24">
        <v>0</v>
      </c>
      <c r="T150" s="24">
        <v>0</v>
      </c>
      <c r="U150" s="24">
        <v>0.42</v>
      </c>
      <c r="V150" s="24">
        <v>0</v>
      </c>
      <c r="W150" s="24">
        <v>0.42</v>
      </c>
      <c r="X150" s="24">
        <v>0.14000000000000001</v>
      </c>
      <c r="Y150" t="s">
        <v>1208</v>
      </c>
      <c r="Z150" t="b">
        <v>1</v>
      </c>
      <c r="AA150" s="24" t="str">
        <f t="shared" si="2"/>
        <v>Promise David</v>
      </c>
    </row>
    <row r="151" spans="1:27" x14ac:dyDescent="0.25">
      <c r="A151" s="24">
        <v>3</v>
      </c>
      <c r="B151" s="24" t="s">
        <v>916</v>
      </c>
      <c r="C151" s="24" t="s">
        <v>1213</v>
      </c>
      <c r="D151">
        <v>600</v>
      </c>
      <c r="E151" s="24">
        <v>0.7</v>
      </c>
      <c r="F151" s="25">
        <v>50</v>
      </c>
      <c r="G151" s="24">
        <v>1</v>
      </c>
      <c r="H151" s="24">
        <v>0</v>
      </c>
      <c r="I151" s="24">
        <v>5</v>
      </c>
      <c r="J151" s="24">
        <v>2</v>
      </c>
      <c r="K151" s="24">
        <v>28</v>
      </c>
      <c r="L151" s="24">
        <v>0</v>
      </c>
      <c r="M151" s="24">
        <v>0</v>
      </c>
      <c r="N151" s="24">
        <v>0</v>
      </c>
      <c r="O151" s="24">
        <v>1</v>
      </c>
      <c r="P151" s="24">
        <v>0</v>
      </c>
      <c r="Q151" s="24">
        <v>0</v>
      </c>
      <c r="R151" s="24">
        <v>13</v>
      </c>
      <c r="S151" s="24">
        <v>3</v>
      </c>
      <c r="T151" s="24">
        <v>0</v>
      </c>
      <c r="U151" s="24">
        <v>0</v>
      </c>
      <c r="V151" s="24">
        <v>0.06</v>
      </c>
      <c r="W151" s="24">
        <v>0.06</v>
      </c>
      <c r="X151" s="24">
        <v>0.1</v>
      </c>
      <c r="Y151" t="s">
        <v>1208</v>
      </c>
      <c r="Z151" t="b">
        <v>1</v>
      </c>
      <c r="AA151" s="24" t="str">
        <f t="shared" si="2"/>
        <v>Ibrahim Osman</v>
      </c>
    </row>
    <row r="152" spans="1:27" x14ac:dyDescent="0.25">
      <c r="A152" s="24">
        <v>3</v>
      </c>
      <c r="B152" s="24" t="s">
        <v>852</v>
      </c>
      <c r="C152" s="24" t="s">
        <v>1221</v>
      </c>
      <c r="D152">
        <v>605</v>
      </c>
      <c r="E152" s="24">
        <v>3.7</v>
      </c>
      <c r="F152" s="25">
        <v>45</v>
      </c>
      <c r="G152" s="24">
        <v>3.7</v>
      </c>
      <c r="H152" s="24">
        <v>2.5</v>
      </c>
      <c r="I152" s="24">
        <v>5</v>
      </c>
      <c r="J152" s="24">
        <v>11</v>
      </c>
      <c r="K152" s="24">
        <v>167</v>
      </c>
      <c r="L152" s="24">
        <v>1</v>
      </c>
      <c r="M152" s="24">
        <v>0</v>
      </c>
      <c r="N152" s="24">
        <v>0</v>
      </c>
      <c r="O152" s="24">
        <v>4</v>
      </c>
      <c r="P152" s="24">
        <v>0</v>
      </c>
      <c r="Q152" s="24">
        <v>1</v>
      </c>
      <c r="R152" s="24">
        <v>58</v>
      </c>
      <c r="S152" s="24">
        <v>12</v>
      </c>
      <c r="T152" s="24">
        <v>2</v>
      </c>
      <c r="U152" s="24">
        <v>0.75</v>
      </c>
      <c r="V152" s="24">
        <v>0.26</v>
      </c>
      <c r="W152" s="24">
        <v>1.01</v>
      </c>
      <c r="X152" s="24">
        <v>5.32</v>
      </c>
      <c r="Y152" t="s">
        <v>1208</v>
      </c>
      <c r="Z152" t="b">
        <v>1</v>
      </c>
      <c r="AA152" s="24" t="str">
        <f t="shared" si="2"/>
        <v>Malick Yalcouyé</v>
      </c>
    </row>
    <row r="153" spans="1:27" x14ac:dyDescent="0.25">
      <c r="A153" s="24">
        <v>2</v>
      </c>
      <c r="B153" s="24" t="s">
        <v>851</v>
      </c>
      <c r="C153" s="24" t="s">
        <v>1222</v>
      </c>
      <c r="D153">
        <v>614</v>
      </c>
      <c r="E153" s="24">
        <v>0</v>
      </c>
      <c r="F153" s="25">
        <v>45</v>
      </c>
      <c r="G153" s="24">
        <v>0</v>
      </c>
      <c r="H153" s="24">
        <v>0</v>
      </c>
      <c r="I153" s="24">
        <v>5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t="s">
        <v>1208</v>
      </c>
      <c r="Z153" t="b">
        <v>1</v>
      </c>
      <c r="AA153" s="24" t="str">
        <f t="shared" si="2"/>
        <v>Jaouen Hadjam</v>
      </c>
    </row>
    <row r="154" spans="1:27" x14ac:dyDescent="0.25">
      <c r="A154" s="24">
        <v>3</v>
      </c>
      <c r="B154" s="24" t="s">
        <v>1242</v>
      </c>
      <c r="C154" s="24" t="s">
        <v>1243</v>
      </c>
      <c r="D154">
        <v>624</v>
      </c>
      <c r="E154" s="24">
        <v>0</v>
      </c>
      <c r="F154" s="25">
        <v>50</v>
      </c>
      <c r="G154" s="24">
        <v>0</v>
      </c>
      <c r="H154" s="24">
        <v>0</v>
      </c>
      <c r="I154" s="24">
        <v>5</v>
      </c>
      <c r="J154" s="24">
        <v>0</v>
      </c>
      <c r="K154" s="24">
        <v>0</v>
      </c>
      <c r="L154" s="24">
        <v>0</v>
      </c>
      <c r="M154" s="24">
        <v>0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t="s">
        <v>1211</v>
      </c>
      <c r="Z154" t="b">
        <v>0</v>
      </c>
      <c r="AA154" s="24" t="str">
        <f t="shared" si="2"/>
        <v>Amario Cozier-Duberry</v>
      </c>
    </row>
    <row r="155" spans="1:27" x14ac:dyDescent="0.25">
      <c r="A155" s="24">
        <v>3</v>
      </c>
      <c r="B155" s="24" t="s">
        <v>2611</v>
      </c>
      <c r="C155" s="24" t="s">
        <v>2612</v>
      </c>
      <c r="D155">
        <v>639</v>
      </c>
      <c r="E155" s="24">
        <v>0</v>
      </c>
      <c r="F155" s="25">
        <v>55</v>
      </c>
      <c r="G155" s="24">
        <v>0</v>
      </c>
      <c r="H155" s="24">
        <v>0</v>
      </c>
      <c r="I155" s="24">
        <v>5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t="s">
        <v>1208</v>
      </c>
      <c r="Z155" t="b">
        <v>1</v>
      </c>
      <c r="AA155" s="24" t="str">
        <f t="shared" si="2"/>
        <v>José María Andrés Baixauli</v>
      </c>
    </row>
    <row r="156" spans="1:27" x14ac:dyDescent="0.25">
      <c r="A156" s="24">
        <v>3</v>
      </c>
      <c r="B156" s="24" t="s">
        <v>1953</v>
      </c>
      <c r="C156" s="24" t="s">
        <v>2613</v>
      </c>
      <c r="D156">
        <v>652</v>
      </c>
      <c r="E156" s="24">
        <v>0</v>
      </c>
      <c r="F156" s="25">
        <v>55</v>
      </c>
      <c r="G156" s="24">
        <v>0</v>
      </c>
      <c r="H156" s="24">
        <v>0</v>
      </c>
      <c r="I156" s="24">
        <v>5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t="s">
        <v>1209</v>
      </c>
      <c r="Z156" t="b">
        <v>1</v>
      </c>
      <c r="AA156" s="24" t="str">
        <f t="shared" si="2"/>
        <v>Femi Azeez</v>
      </c>
    </row>
    <row r="157" spans="1:27" x14ac:dyDescent="0.25">
      <c r="A157" s="24">
        <v>1</v>
      </c>
      <c r="B157" s="24" t="s">
        <v>74</v>
      </c>
      <c r="C157" s="24" t="s">
        <v>75</v>
      </c>
      <c r="D157">
        <v>28</v>
      </c>
      <c r="E157" s="24">
        <v>1.7</v>
      </c>
      <c r="F157" s="25">
        <v>50</v>
      </c>
      <c r="G157" s="24">
        <v>2.5</v>
      </c>
      <c r="H157" s="24">
        <v>4.8</v>
      </c>
      <c r="I157" s="24">
        <v>6</v>
      </c>
      <c r="J157" s="24">
        <v>5</v>
      </c>
      <c r="K157" s="24">
        <v>180</v>
      </c>
      <c r="L157" s="24">
        <v>0</v>
      </c>
      <c r="M157" s="24">
        <v>0</v>
      </c>
      <c r="N157" s="24">
        <v>0</v>
      </c>
      <c r="O157" s="24">
        <v>5</v>
      </c>
      <c r="P157" s="24">
        <v>12</v>
      </c>
      <c r="Q157" s="24">
        <v>0</v>
      </c>
      <c r="R157" s="24">
        <v>44</v>
      </c>
      <c r="S157" s="24">
        <v>0</v>
      </c>
      <c r="T157" s="24">
        <v>2</v>
      </c>
      <c r="U157" s="24">
        <v>0</v>
      </c>
      <c r="V157" s="24">
        <v>0.01</v>
      </c>
      <c r="W157" s="24">
        <v>0.01</v>
      </c>
      <c r="X157" s="24">
        <v>3.46</v>
      </c>
      <c r="Y157" t="s">
        <v>1208</v>
      </c>
      <c r="Z157" t="b">
        <v>1</v>
      </c>
      <c r="AA157" s="24" t="str">
        <f t="shared" si="2"/>
        <v>Emiliano Martínez Romero</v>
      </c>
    </row>
    <row r="158" spans="1:27" x14ac:dyDescent="0.25">
      <c r="A158" s="24">
        <v>3</v>
      </c>
      <c r="B158" s="24" t="s">
        <v>287</v>
      </c>
      <c r="C158" s="24" t="s">
        <v>288</v>
      </c>
      <c r="D158">
        <v>40</v>
      </c>
      <c r="E158" s="24">
        <v>6.3</v>
      </c>
      <c r="F158" s="25">
        <v>76</v>
      </c>
      <c r="G158" s="24">
        <v>6.3</v>
      </c>
      <c r="H158" s="24">
        <v>27.1</v>
      </c>
      <c r="I158" s="24">
        <v>6</v>
      </c>
      <c r="J158" s="24">
        <v>19</v>
      </c>
      <c r="K158" s="24">
        <v>257</v>
      </c>
      <c r="L158" s="24">
        <v>2</v>
      </c>
      <c r="M158" s="24">
        <v>1</v>
      </c>
      <c r="N158" s="24">
        <v>0</v>
      </c>
      <c r="O158" s="24">
        <v>7</v>
      </c>
      <c r="P158" s="24">
        <v>0</v>
      </c>
      <c r="Q158" s="24">
        <v>1</v>
      </c>
      <c r="R158" s="24">
        <v>87</v>
      </c>
      <c r="S158" s="24">
        <v>17</v>
      </c>
      <c r="T158" s="24">
        <v>3</v>
      </c>
      <c r="U158" s="24">
        <v>1.18</v>
      </c>
      <c r="V158" s="24">
        <v>1.1399999999999999</v>
      </c>
      <c r="W158" s="24">
        <v>2.3199999999999998</v>
      </c>
      <c r="X158" s="24">
        <v>4.7</v>
      </c>
      <c r="Y158" t="s">
        <v>1208</v>
      </c>
      <c r="Z158" t="b">
        <v>1</v>
      </c>
      <c r="AA158" s="24" t="str">
        <f t="shared" si="2"/>
        <v>Morgan Rogers</v>
      </c>
    </row>
    <row r="159" spans="1:27" x14ac:dyDescent="0.25">
      <c r="A159" s="24">
        <v>3</v>
      </c>
      <c r="B159" s="24" t="s">
        <v>289</v>
      </c>
      <c r="C159" s="24" t="s">
        <v>290</v>
      </c>
      <c r="D159">
        <v>101</v>
      </c>
      <c r="E159" s="24">
        <v>0</v>
      </c>
      <c r="F159" s="25">
        <v>50</v>
      </c>
      <c r="G159" s="24">
        <v>0</v>
      </c>
      <c r="H159" s="24">
        <v>0</v>
      </c>
      <c r="I159" s="24">
        <v>6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t="s">
        <v>1210</v>
      </c>
      <c r="Z159" t="b">
        <v>1</v>
      </c>
      <c r="AA159" s="24" t="str">
        <f t="shared" si="2"/>
        <v>Jordan Henderson</v>
      </c>
    </row>
    <row r="160" spans="1:27" x14ac:dyDescent="0.25">
      <c r="A160" s="24">
        <v>4</v>
      </c>
      <c r="B160" s="24" t="s">
        <v>291</v>
      </c>
      <c r="C160" s="24" t="s">
        <v>292</v>
      </c>
      <c r="D160">
        <v>136</v>
      </c>
      <c r="E160" s="24">
        <v>0.3</v>
      </c>
      <c r="F160" s="25">
        <v>59</v>
      </c>
      <c r="G160" s="24">
        <v>1</v>
      </c>
      <c r="H160" s="24">
        <v>0.8</v>
      </c>
      <c r="I160" s="24">
        <v>6</v>
      </c>
      <c r="J160" s="24">
        <v>1</v>
      </c>
      <c r="K160" s="24">
        <v>3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3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t="s">
        <v>1208</v>
      </c>
      <c r="Z160" t="b">
        <v>1</v>
      </c>
      <c r="AA160" s="24" t="str">
        <f t="shared" si="2"/>
        <v>Danny Welbeck</v>
      </c>
    </row>
    <row r="161" spans="1:27" x14ac:dyDescent="0.25">
      <c r="A161" s="24">
        <v>1</v>
      </c>
      <c r="B161" s="24" t="s">
        <v>293</v>
      </c>
      <c r="C161" s="24" t="s">
        <v>294</v>
      </c>
      <c r="D161">
        <v>140</v>
      </c>
      <c r="E161" s="24">
        <v>0.7</v>
      </c>
      <c r="F161" s="25">
        <v>49</v>
      </c>
      <c r="G161" s="24">
        <v>2</v>
      </c>
      <c r="H161" s="24">
        <v>1.1000000000000001</v>
      </c>
      <c r="I161" s="24">
        <v>6</v>
      </c>
      <c r="J161" s="24">
        <v>2</v>
      </c>
      <c r="K161" s="24">
        <v>90</v>
      </c>
      <c r="L161" s="24">
        <v>0</v>
      </c>
      <c r="M161" s="24">
        <v>0</v>
      </c>
      <c r="N161" s="24">
        <v>0</v>
      </c>
      <c r="O161" s="24">
        <v>2</v>
      </c>
      <c r="P161" s="24">
        <v>4</v>
      </c>
      <c r="Q161" s="24">
        <v>0</v>
      </c>
      <c r="R161" s="24">
        <v>6</v>
      </c>
      <c r="S161" s="24">
        <v>0</v>
      </c>
      <c r="T161" s="24">
        <v>1</v>
      </c>
      <c r="U161" s="24">
        <v>0</v>
      </c>
      <c r="V161" s="24">
        <v>0.01</v>
      </c>
      <c r="W161" s="24">
        <v>0.01</v>
      </c>
      <c r="X161" s="24">
        <v>1.33</v>
      </c>
      <c r="Y161" t="s">
        <v>1211</v>
      </c>
      <c r="Z161" t="b">
        <v>0</v>
      </c>
      <c r="AA161" s="24" t="str">
        <f t="shared" si="2"/>
        <v>Robert Lynch Sánchez</v>
      </c>
    </row>
    <row r="162" spans="1:27" x14ac:dyDescent="0.25">
      <c r="A162" s="24">
        <v>1</v>
      </c>
      <c r="B162" s="24" t="s">
        <v>295</v>
      </c>
      <c r="C162" s="24" t="s">
        <v>296</v>
      </c>
      <c r="D162">
        <v>141</v>
      </c>
      <c r="E162" s="24">
        <v>0</v>
      </c>
      <c r="F162" s="25">
        <v>50</v>
      </c>
      <c r="G162" s="24">
        <v>0</v>
      </c>
      <c r="H162" s="24">
        <v>0</v>
      </c>
      <c r="I162" s="24">
        <v>6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t="s">
        <v>1211</v>
      </c>
      <c r="Z162" t="b">
        <v>0</v>
      </c>
      <c r="AA162" s="24" t="str">
        <f t="shared" si="2"/>
        <v>Filip Jörgensen</v>
      </c>
    </row>
    <row r="163" spans="1:27" x14ac:dyDescent="0.25">
      <c r="A163" s="24">
        <v>2</v>
      </c>
      <c r="B163" s="24" t="s">
        <v>297</v>
      </c>
      <c r="C163" s="24" t="s">
        <v>135</v>
      </c>
      <c r="D163">
        <v>142</v>
      </c>
      <c r="E163" s="24">
        <v>0.7</v>
      </c>
      <c r="F163" s="25">
        <v>54</v>
      </c>
      <c r="G163" s="24">
        <v>0.7</v>
      </c>
      <c r="H163" s="24">
        <v>7.9</v>
      </c>
      <c r="I163" s="24">
        <v>6</v>
      </c>
      <c r="J163" s="24">
        <v>2</v>
      </c>
      <c r="K163" s="24">
        <v>202</v>
      </c>
      <c r="L163" s="24">
        <v>0</v>
      </c>
      <c r="M163" s="24">
        <v>0</v>
      </c>
      <c r="N163" s="24">
        <v>0</v>
      </c>
      <c r="O163" s="24">
        <v>5</v>
      </c>
      <c r="P163" s="24">
        <v>0</v>
      </c>
      <c r="Q163" s="24">
        <v>0</v>
      </c>
      <c r="R163" s="24">
        <v>13</v>
      </c>
      <c r="S163" s="24">
        <v>9</v>
      </c>
      <c r="T163" s="24">
        <v>2</v>
      </c>
      <c r="U163" s="24">
        <v>0.17</v>
      </c>
      <c r="V163" s="24">
        <v>0.12</v>
      </c>
      <c r="W163" s="24">
        <v>0.28999999999999998</v>
      </c>
      <c r="X163" s="24">
        <v>3.52</v>
      </c>
      <c r="Y163" t="s">
        <v>1208</v>
      </c>
      <c r="Z163" t="b">
        <v>1</v>
      </c>
      <c r="AA163" s="24" t="str">
        <f t="shared" si="2"/>
        <v>Reece James</v>
      </c>
    </row>
    <row r="164" spans="1:27" x14ac:dyDescent="0.25">
      <c r="A164" s="24">
        <v>2</v>
      </c>
      <c r="B164" s="24" t="s">
        <v>298</v>
      </c>
      <c r="C164" s="24" t="s">
        <v>299</v>
      </c>
      <c r="D164">
        <v>143</v>
      </c>
      <c r="E164" s="24">
        <v>0</v>
      </c>
      <c r="F164" s="25">
        <v>55</v>
      </c>
      <c r="G164" s="24">
        <v>0</v>
      </c>
      <c r="H164" s="24">
        <v>0.1</v>
      </c>
      <c r="I164" s="24">
        <v>6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t="s">
        <v>1211</v>
      </c>
      <c r="Z164" t="b">
        <v>0</v>
      </c>
      <c r="AA164" s="24" t="str">
        <f t="shared" si="2"/>
        <v>Trevoh Chalobah</v>
      </c>
    </row>
    <row r="165" spans="1:27" x14ac:dyDescent="0.25">
      <c r="A165" s="24">
        <v>2</v>
      </c>
      <c r="B165" s="24" t="s">
        <v>300</v>
      </c>
      <c r="C165" s="24" t="s">
        <v>301</v>
      </c>
      <c r="D165">
        <v>144</v>
      </c>
      <c r="E165" s="24">
        <v>1</v>
      </c>
      <c r="F165" s="25">
        <v>50</v>
      </c>
      <c r="G165" s="24">
        <v>1</v>
      </c>
      <c r="H165" s="24">
        <v>1.1000000000000001</v>
      </c>
      <c r="I165" s="24">
        <v>6</v>
      </c>
      <c r="J165" s="24">
        <v>3</v>
      </c>
      <c r="K165" s="24">
        <v>195</v>
      </c>
      <c r="L165" s="24">
        <v>0</v>
      </c>
      <c r="M165" s="24">
        <v>0</v>
      </c>
      <c r="N165" s="24">
        <v>0</v>
      </c>
      <c r="O165" s="24">
        <v>5</v>
      </c>
      <c r="P165" s="24">
        <v>0</v>
      </c>
      <c r="Q165" s="24">
        <v>0</v>
      </c>
      <c r="R165" s="24">
        <v>5</v>
      </c>
      <c r="S165" s="24">
        <v>10</v>
      </c>
      <c r="T165" s="24">
        <v>2</v>
      </c>
      <c r="U165" s="24">
        <v>0.04</v>
      </c>
      <c r="V165" s="24">
        <v>0.05</v>
      </c>
      <c r="W165" s="24">
        <v>0.09</v>
      </c>
      <c r="X165" s="24">
        <v>2.66</v>
      </c>
      <c r="Y165" t="s">
        <v>1208</v>
      </c>
      <c r="Z165" t="b">
        <v>1</v>
      </c>
      <c r="AA165" s="24" t="str">
        <f t="shared" si="2"/>
        <v>Malo Gusto</v>
      </c>
    </row>
    <row r="166" spans="1:27" x14ac:dyDescent="0.25">
      <c r="A166" s="24">
        <v>2</v>
      </c>
      <c r="B166" s="24" t="s">
        <v>302</v>
      </c>
      <c r="C166" s="24" t="s">
        <v>303</v>
      </c>
      <c r="D166">
        <v>145</v>
      </c>
      <c r="E166" s="24">
        <v>1</v>
      </c>
      <c r="F166" s="25">
        <v>50</v>
      </c>
      <c r="G166" s="24">
        <v>1.5</v>
      </c>
      <c r="H166" s="24">
        <v>0.1</v>
      </c>
      <c r="I166" s="24">
        <v>6</v>
      </c>
      <c r="J166" s="24">
        <v>3</v>
      </c>
      <c r="K166" s="24">
        <v>157</v>
      </c>
      <c r="L166" s="24">
        <v>0</v>
      </c>
      <c r="M166" s="24">
        <v>0</v>
      </c>
      <c r="N166" s="24">
        <v>0</v>
      </c>
      <c r="O166" s="24">
        <v>4</v>
      </c>
      <c r="P166" s="24">
        <v>0</v>
      </c>
      <c r="Q166" s="24">
        <v>0</v>
      </c>
      <c r="R166" s="24">
        <v>14</v>
      </c>
      <c r="S166" s="24">
        <v>26</v>
      </c>
      <c r="T166" s="24">
        <v>2</v>
      </c>
      <c r="U166" s="24">
        <v>0</v>
      </c>
      <c r="V166" s="24">
        <v>0.05</v>
      </c>
      <c r="W166" s="24">
        <v>0.05</v>
      </c>
      <c r="X166" s="24">
        <v>3.31</v>
      </c>
      <c r="Y166" t="s">
        <v>1208</v>
      </c>
      <c r="Z166" t="b">
        <v>1</v>
      </c>
      <c r="AA166" s="24" t="str">
        <f t="shared" si="2"/>
        <v>Wesley Fofana</v>
      </c>
    </row>
    <row r="167" spans="1:27" x14ac:dyDescent="0.25">
      <c r="A167" s="24">
        <v>2</v>
      </c>
      <c r="B167" s="24" t="s">
        <v>304</v>
      </c>
      <c r="C167" s="24" t="s">
        <v>305</v>
      </c>
      <c r="D167">
        <v>146</v>
      </c>
      <c r="E167" s="24">
        <v>0</v>
      </c>
      <c r="F167" s="25">
        <v>45</v>
      </c>
      <c r="G167" s="24">
        <v>0</v>
      </c>
      <c r="H167" s="24">
        <v>0</v>
      </c>
      <c r="I167" s="24">
        <v>6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t="s">
        <v>1211</v>
      </c>
      <c r="Z167" t="b">
        <v>0</v>
      </c>
      <c r="AA167" s="24" t="str">
        <f t="shared" si="2"/>
        <v>Benoît Badiashile Mukinayi</v>
      </c>
    </row>
    <row r="168" spans="1:27" x14ac:dyDescent="0.25">
      <c r="A168" s="24">
        <v>2</v>
      </c>
      <c r="B168" s="24" t="s">
        <v>308</v>
      </c>
      <c r="C168" s="24" t="s">
        <v>309</v>
      </c>
      <c r="D168">
        <v>148</v>
      </c>
      <c r="E168" s="24">
        <v>2.7</v>
      </c>
      <c r="F168" s="25">
        <v>45</v>
      </c>
      <c r="G168" s="24">
        <v>2.7</v>
      </c>
      <c r="H168" s="24">
        <v>0.8</v>
      </c>
      <c r="I168" s="24">
        <v>6</v>
      </c>
      <c r="J168" s="24">
        <v>8</v>
      </c>
      <c r="K168" s="24">
        <v>213</v>
      </c>
      <c r="L168" s="24">
        <v>0</v>
      </c>
      <c r="M168" s="24">
        <v>2</v>
      </c>
      <c r="N168" s="24">
        <v>0</v>
      </c>
      <c r="O168" s="24">
        <v>7</v>
      </c>
      <c r="P168" s="24">
        <v>0</v>
      </c>
      <c r="Q168" s="24">
        <v>0</v>
      </c>
      <c r="R168" s="24">
        <v>22</v>
      </c>
      <c r="S168" s="24">
        <v>15</v>
      </c>
      <c r="T168" s="24">
        <v>3</v>
      </c>
      <c r="U168" s="24">
        <v>0.01</v>
      </c>
      <c r="V168" s="24">
        <v>0.11</v>
      </c>
      <c r="W168" s="24">
        <v>0.12</v>
      </c>
      <c r="X168" s="24">
        <v>4.37</v>
      </c>
      <c r="Y168" t="s">
        <v>1208</v>
      </c>
      <c r="Z168" t="b">
        <v>1</v>
      </c>
      <c r="AA168" s="24" t="str">
        <f t="shared" si="2"/>
        <v>Jorrel Hato</v>
      </c>
    </row>
    <row r="169" spans="1:27" x14ac:dyDescent="0.25">
      <c r="A169" s="24">
        <v>2</v>
      </c>
      <c r="B169" s="24" t="s">
        <v>310</v>
      </c>
      <c r="C169" s="24" t="s">
        <v>311</v>
      </c>
      <c r="D169">
        <v>149</v>
      </c>
      <c r="E169" s="24">
        <v>0.3</v>
      </c>
      <c r="F169" s="25">
        <v>49</v>
      </c>
      <c r="G169" s="24">
        <v>0.5</v>
      </c>
      <c r="H169" s="24">
        <v>1.2</v>
      </c>
      <c r="I169" s="24">
        <v>6</v>
      </c>
      <c r="J169" s="24">
        <v>1</v>
      </c>
      <c r="K169" s="24">
        <v>161</v>
      </c>
      <c r="L169" s="24">
        <v>0</v>
      </c>
      <c r="M169" s="24">
        <v>0</v>
      </c>
      <c r="N169" s="24">
        <v>0</v>
      </c>
      <c r="O169" s="24">
        <v>4</v>
      </c>
      <c r="P169" s="24">
        <v>0</v>
      </c>
      <c r="Q169" s="24">
        <v>0</v>
      </c>
      <c r="R169" s="24">
        <v>8</v>
      </c>
      <c r="S169" s="24">
        <v>13</v>
      </c>
      <c r="T169" s="24">
        <v>2</v>
      </c>
      <c r="U169" s="24">
        <v>0.01</v>
      </c>
      <c r="V169" s="24">
        <v>0.03</v>
      </c>
      <c r="W169" s="24">
        <v>0.04</v>
      </c>
      <c r="X169" s="24">
        <v>2.64</v>
      </c>
      <c r="Y169" t="s">
        <v>1208</v>
      </c>
      <c r="Z169" t="b">
        <v>1</v>
      </c>
      <c r="AA169" s="24" t="str">
        <f t="shared" si="2"/>
        <v>Levi Samuels Colwill</v>
      </c>
    </row>
    <row r="170" spans="1:27" x14ac:dyDescent="0.25">
      <c r="A170" s="24">
        <v>2</v>
      </c>
      <c r="B170" s="24" t="s">
        <v>229</v>
      </c>
      <c r="C170" s="24" t="s">
        <v>312</v>
      </c>
      <c r="D170">
        <v>150</v>
      </c>
      <c r="E170" s="24">
        <v>0</v>
      </c>
      <c r="F170" s="25">
        <v>45</v>
      </c>
      <c r="G170" s="24">
        <v>0</v>
      </c>
      <c r="H170" s="24">
        <v>0</v>
      </c>
      <c r="I170" s="24">
        <v>6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t="s">
        <v>1211</v>
      </c>
      <c r="Z170" t="b">
        <v>0</v>
      </c>
      <c r="AA170" s="24" t="str">
        <f t="shared" si="2"/>
        <v>Mamadou Sarr</v>
      </c>
    </row>
    <row r="171" spans="1:27" x14ac:dyDescent="0.25">
      <c r="A171" s="24">
        <v>2</v>
      </c>
      <c r="B171" s="24" t="s">
        <v>219</v>
      </c>
      <c r="C171" s="24" t="s">
        <v>313</v>
      </c>
      <c r="D171">
        <v>151</v>
      </c>
      <c r="E171" s="24">
        <v>1.7</v>
      </c>
      <c r="F171" s="25">
        <v>45</v>
      </c>
      <c r="G171" s="24">
        <v>1.7</v>
      </c>
      <c r="H171" s="24">
        <v>0.4</v>
      </c>
      <c r="I171" s="24">
        <v>6</v>
      </c>
      <c r="J171" s="24">
        <v>5</v>
      </c>
      <c r="K171" s="24">
        <v>202</v>
      </c>
      <c r="L171" s="24">
        <v>0</v>
      </c>
      <c r="M171" s="24">
        <v>0</v>
      </c>
      <c r="N171" s="24">
        <v>0</v>
      </c>
      <c r="O171" s="24">
        <v>5</v>
      </c>
      <c r="P171" s="24">
        <v>0</v>
      </c>
      <c r="Q171" s="24">
        <v>0</v>
      </c>
      <c r="R171" s="24">
        <v>9</v>
      </c>
      <c r="S171" s="24">
        <v>19</v>
      </c>
      <c r="T171" s="24">
        <v>2</v>
      </c>
      <c r="U171" s="24">
        <v>0</v>
      </c>
      <c r="V171" s="24">
        <v>0.02</v>
      </c>
      <c r="W171" s="24">
        <v>0.02</v>
      </c>
      <c r="X171" s="24">
        <v>3.52</v>
      </c>
      <c r="Y171" t="s">
        <v>1208</v>
      </c>
      <c r="Z171" t="b">
        <v>1</v>
      </c>
      <c r="AA171" s="24" t="str">
        <f t="shared" si="2"/>
        <v>Josh Acheampong</v>
      </c>
    </row>
    <row r="172" spans="1:27" x14ac:dyDescent="0.25">
      <c r="A172" s="24">
        <v>2</v>
      </c>
      <c r="B172" s="24" t="s">
        <v>76</v>
      </c>
      <c r="C172" s="24" t="s">
        <v>314</v>
      </c>
      <c r="D172">
        <v>152</v>
      </c>
      <c r="E172" s="24">
        <v>0</v>
      </c>
      <c r="F172" s="25">
        <v>54</v>
      </c>
      <c r="G172" s="24">
        <v>0</v>
      </c>
      <c r="H172" s="24">
        <v>1.2</v>
      </c>
      <c r="I172" s="24">
        <v>6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t="s">
        <v>1210</v>
      </c>
      <c r="Z172" t="b">
        <v>1</v>
      </c>
      <c r="AA172" s="24" t="str">
        <f t="shared" si="2"/>
        <v>Marco Palestra</v>
      </c>
    </row>
    <row r="173" spans="1:27" x14ac:dyDescent="0.25">
      <c r="A173" s="24">
        <v>3</v>
      </c>
      <c r="B173" s="24" t="s">
        <v>317</v>
      </c>
      <c r="C173" s="24" t="s">
        <v>318</v>
      </c>
      <c r="D173">
        <v>154</v>
      </c>
      <c r="E173" s="24">
        <v>7</v>
      </c>
      <c r="F173" s="25">
        <v>96</v>
      </c>
      <c r="G173" s="24">
        <v>7</v>
      </c>
      <c r="H173" s="24">
        <v>21</v>
      </c>
      <c r="I173" s="24">
        <v>6</v>
      </c>
      <c r="J173" s="24">
        <v>21</v>
      </c>
      <c r="K173" s="24">
        <v>262</v>
      </c>
      <c r="L173" s="24">
        <v>2</v>
      </c>
      <c r="M173" s="24">
        <v>1</v>
      </c>
      <c r="N173" s="24">
        <v>0</v>
      </c>
      <c r="O173" s="24">
        <v>7</v>
      </c>
      <c r="P173" s="24">
        <v>0</v>
      </c>
      <c r="Q173" s="24">
        <v>3</v>
      </c>
      <c r="R173" s="24">
        <v>99</v>
      </c>
      <c r="S173" s="24">
        <v>20</v>
      </c>
      <c r="T173" s="24">
        <v>3</v>
      </c>
      <c r="U173" s="24">
        <v>1.05</v>
      </c>
      <c r="V173" s="24">
        <v>0.36</v>
      </c>
      <c r="W173" s="24">
        <v>1.41</v>
      </c>
      <c r="X173" s="24">
        <v>4.7</v>
      </c>
      <c r="Y173" t="s">
        <v>1208</v>
      </c>
      <c r="Z173" t="b">
        <v>1</v>
      </c>
      <c r="AA173" s="24" t="str">
        <f t="shared" si="2"/>
        <v>Cole Palmer</v>
      </c>
    </row>
    <row r="174" spans="1:27" x14ac:dyDescent="0.25">
      <c r="A174" s="24">
        <v>3</v>
      </c>
      <c r="B174" s="24" t="s">
        <v>321</v>
      </c>
      <c r="C174" s="24" t="s">
        <v>322</v>
      </c>
      <c r="D174">
        <v>156</v>
      </c>
      <c r="E174" s="24">
        <v>3.3</v>
      </c>
      <c r="F174" s="25">
        <v>65</v>
      </c>
      <c r="G174" s="24">
        <v>3.3</v>
      </c>
      <c r="H174" s="24">
        <v>1.3</v>
      </c>
      <c r="I174" s="24">
        <v>6</v>
      </c>
      <c r="J174" s="24">
        <v>10</v>
      </c>
      <c r="K174" s="24">
        <v>161</v>
      </c>
      <c r="L174" s="24">
        <v>1</v>
      </c>
      <c r="M174" s="24">
        <v>0</v>
      </c>
      <c r="N174" s="24">
        <v>0</v>
      </c>
      <c r="O174" s="24">
        <v>4</v>
      </c>
      <c r="P174" s="24">
        <v>0</v>
      </c>
      <c r="Q174" s="24">
        <v>0</v>
      </c>
      <c r="R174" s="24">
        <v>51</v>
      </c>
      <c r="S174" s="24">
        <v>15</v>
      </c>
      <c r="T174" s="24">
        <v>2</v>
      </c>
      <c r="U174" s="24">
        <v>0.47</v>
      </c>
      <c r="V174" s="24">
        <v>0.43</v>
      </c>
      <c r="W174" s="24">
        <v>0.9</v>
      </c>
      <c r="X174" s="24">
        <v>3.53</v>
      </c>
      <c r="Y174" t="s">
        <v>1208</v>
      </c>
      <c r="Z174" t="b">
        <v>1</v>
      </c>
      <c r="AA174" s="24" t="str">
        <f t="shared" si="2"/>
        <v>Pedro Lomba Neto</v>
      </c>
    </row>
    <row r="175" spans="1:27" x14ac:dyDescent="0.25">
      <c r="A175" s="24">
        <v>3</v>
      </c>
      <c r="B175" s="24" t="s">
        <v>323</v>
      </c>
      <c r="C175" s="24" t="s">
        <v>324</v>
      </c>
      <c r="D175">
        <v>157</v>
      </c>
      <c r="E175" s="24">
        <v>0.7</v>
      </c>
      <c r="F175" s="25">
        <v>64</v>
      </c>
      <c r="G175" s="24">
        <v>1</v>
      </c>
      <c r="H175" s="24">
        <v>0.8</v>
      </c>
      <c r="I175" s="24">
        <v>6</v>
      </c>
      <c r="J175" s="24">
        <v>2</v>
      </c>
      <c r="K175" s="24">
        <v>16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8</v>
      </c>
      <c r="S175" s="24">
        <v>1</v>
      </c>
      <c r="T175" s="24">
        <v>0</v>
      </c>
      <c r="U175" s="24">
        <v>0.04</v>
      </c>
      <c r="V175" s="24">
        <v>0</v>
      </c>
      <c r="W175" s="24">
        <v>0.04</v>
      </c>
      <c r="X175" s="24">
        <v>0.09</v>
      </c>
      <c r="Y175" t="s">
        <v>1208</v>
      </c>
      <c r="Z175" t="b">
        <v>1</v>
      </c>
      <c r="AA175" s="24" t="str">
        <f t="shared" si="2"/>
        <v>Estêvão Almeida de Oliveira Gonçalves</v>
      </c>
    </row>
    <row r="176" spans="1:27" x14ac:dyDescent="0.25">
      <c r="A176" s="24">
        <v>3</v>
      </c>
      <c r="B176" s="24" t="s">
        <v>325</v>
      </c>
      <c r="C176" s="24" t="s">
        <v>326</v>
      </c>
      <c r="D176">
        <v>158</v>
      </c>
      <c r="E176" s="24">
        <v>0</v>
      </c>
      <c r="F176" s="25">
        <v>59</v>
      </c>
      <c r="G176" s="24">
        <v>0</v>
      </c>
      <c r="H176" s="24">
        <v>0</v>
      </c>
      <c r="I176" s="24">
        <v>6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t="s">
        <v>1208</v>
      </c>
      <c r="Z176" t="b">
        <v>1</v>
      </c>
      <c r="AA176" s="24" t="str">
        <f t="shared" si="2"/>
        <v>Jamie Bynoe-Gittens</v>
      </c>
    </row>
    <row r="177" spans="1:27" x14ac:dyDescent="0.25">
      <c r="A177" s="24">
        <v>3</v>
      </c>
      <c r="B177" s="24" t="s">
        <v>327</v>
      </c>
      <c r="C177" s="24" t="s">
        <v>328</v>
      </c>
      <c r="D177">
        <v>159</v>
      </c>
      <c r="E177" s="24">
        <v>0.3</v>
      </c>
      <c r="F177" s="25">
        <v>54</v>
      </c>
      <c r="G177" s="24">
        <v>1</v>
      </c>
      <c r="H177" s="24">
        <v>1.7</v>
      </c>
      <c r="I177" s="24">
        <v>6</v>
      </c>
      <c r="J177" s="24">
        <v>1</v>
      </c>
      <c r="K177" s="24">
        <v>13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3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7.0000000000000007E-2</v>
      </c>
      <c r="Y177" t="s">
        <v>1210</v>
      </c>
      <c r="Z177" t="b">
        <v>1</v>
      </c>
      <c r="AA177" s="24" t="str">
        <f t="shared" si="2"/>
        <v>Moisés Caicedo Corozo</v>
      </c>
    </row>
    <row r="178" spans="1:27" x14ac:dyDescent="0.25">
      <c r="A178" s="24">
        <v>3</v>
      </c>
      <c r="B178" s="24" t="s">
        <v>329</v>
      </c>
      <c r="C178" s="24" t="s">
        <v>330</v>
      </c>
      <c r="D178">
        <v>161</v>
      </c>
      <c r="E178" s="24">
        <v>3</v>
      </c>
      <c r="F178" s="25">
        <v>50</v>
      </c>
      <c r="G178" s="24">
        <v>3</v>
      </c>
      <c r="H178" s="24">
        <v>0.2</v>
      </c>
      <c r="I178" s="24">
        <v>6</v>
      </c>
      <c r="J178" s="24">
        <v>9</v>
      </c>
      <c r="K178" s="24">
        <v>190</v>
      </c>
      <c r="L178" s="24">
        <v>1</v>
      </c>
      <c r="M178" s="24">
        <v>0</v>
      </c>
      <c r="N178" s="24">
        <v>0</v>
      </c>
      <c r="O178" s="24">
        <v>6</v>
      </c>
      <c r="P178" s="24">
        <v>0</v>
      </c>
      <c r="Q178" s="24">
        <v>0</v>
      </c>
      <c r="R178" s="24">
        <v>47</v>
      </c>
      <c r="S178" s="24">
        <v>22</v>
      </c>
      <c r="T178" s="24">
        <v>3</v>
      </c>
      <c r="U178" s="24">
        <v>0.75</v>
      </c>
      <c r="V178" s="24">
        <v>0.04</v>
      </c>
      <c r="W178" s="24">
        <v>0.79</v>
      </c>
      <c r="X178" s="24">
        <v>4.22</v>
      </c>
      <c r="Y178" t="s">
        <v>1208</v>
      </c>
      <c r="Z178" t="b">
        <v>1</v>
      </c>
      <c r="AA178" s="24" t="str">
        <f t="shared" si="2"/>
        <v>Roméo Lavia</v>
      </c>
    </row>
    <row r="179" spans="1:27" x14ac:dyDescent="0.25">
      <c r="A179" s="24">
        <v>3</v>
      </c>
      <c r="B179" s="24" t="s">
        <v>331</v>
      </c>
      <c r="C179" s="24" t="s">
        <v>332</v>
      </c>
      <c r="D179">
        <v>163</v>
      </c>
      <c r="E179" s="24">
        <v>0</v>
      </c>
      <c r="F179" s="25">
        <v>45</v>
      </c>
      <c r="G179" s="24">
        <v>0</v>
      </c>
      <c r="H179" s="24">
        <v>0.1</v>
      </c>
      <c r="I179" s="24">
        <v>6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t="s">
        <v>1211</v>
      </c>
      <c r="Z179" t="b">
        <v>0</v>
      </c>
      <c r="AA179" s="24" t="str">
        <f t="shared" si="2"/>
        <v>Dário Luís Essugo</v>
      </c>
    </row>
    <row r="180" spans="1:27" x14ac:dyDescent="0.25">
      <c r="A180" s="24">
        <v>3</v>
      </c>
      <c r="B180" s="24" t="s">
        <v>333</v>
      </c>
      <c r="C180" s="24" t="s">
        <v>334</v>
      </c>
      <c r="D180">
        <v>164</v>
      </c>
      <c r="E180" s="24">
        <v>0.3</v>
      </c>
      <c r="F180" s="25">
        <v>54</v>
      </c>
      <c r="G180" s="24">
        <v>1</v>
      </c>
      <c r="H180" s="24">
        <v>0</v>
      </c>
      <c r="I180" s="24">
        <v>6</v>
      </c>
      <c r="J180" s="24">
        <v>1</v>
      </c>
      <c r="K180" s="24">
        <v>8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2</v>
      </c>
      <c r="S180" s="24">
        <v>1</v>
      </c>
      <c r="T180" s="24">
        <v>0</v>
      </c>
      <c r="U180" s="24">
        <v>0</v>
      </c>
      <c r="V180" s="24">
        <v>0</v>
      </c>
      <c r="W180" s="24">
        <v>0</v>
      </c>
      <c r="X180" s="24">
        <v>0.09</v>
      </c>
      <c r="Y180" t="s">
        <v>1208</v>
      </c>
      <c r="Z180" t="b">
        <v>1</v>
      </c>
      <c r="AA180" s="24" t="str">
        <f t="shared" si="2"/>
        <v>Geovany Quenda</v>
      </c>
    </row>
    <row r="181" spans="1:27" x14ac:dyDescent="0.25">
      <c r="A181" s="24">
        <v>4</v>
      </c>
      <c r="B181" s="24" t="s">
        <v>246</v>
      </c>
      <c r="C181" s="24" t="s">
        <v>335</v>
      </c>
      <c r="D181">
        <v>165</v>
      </c>
      <c r="E181" s="24">
        <v>7</v>
      </c>
      <c r="F181" s="25">
        <v>77</v>
      </c>
      <c r="G181" s="24">
        <v>7</v>
      </c>
      <c r="H181" s="24">
        <v>72</v>
      </c>
      <c r="I181" s="24">
        <v>6</v>
      </c>
      <c r="J181" s="24">
        <v>21</v>
      </c>
      <c r="K181" s="24">
        <v>270</v>
      </c>
      <c r="L181" s="24">
        <v>2</v>
      </c>
      <c r="M181" s="24">
        <v>2</v>
      </c>
      <c r="N181" s="24">
        <v>0</v>
      </c>
      <c r="O181" s="24">
        <v>7</v>
      </c>
      <c r="P181" s="24">
        <v>0</v>
      </c>
      <c r="Q181" s="24">
        <v>4</v>
      </c>
      <c r="R181" s="24">
        <v>97</v>
      </c>
      <c r="S181" s="24">
        <v>7</v>
      </c>
      <c r="T181" s="24">
        <v>3</v>
      </c>
      <c r="U181" s="24">
        <v>1.88</v>
      </c>
      <c r="V181" s="24">
        <v>0.15</v>
      </c>
      <c r="W181" s="24">
        <v>2.0299999999999998</v>
      </c>
      <c r="X181" s="24">
        <v>4.79</v>
      </c>
      <c r="Y181" t="s">
        <v>1208</v>
      </c>
      <c r="Z181" t="b">
        <v>1</v>
      </c>
      <c r="AA181" s="24" t="str">
        <f t="shared" si="2"/>
        <v>João Pedro Junqueira de Jesus</v>
      </c>
    </row>
    <row r="182" spans="1:27" x14ac:dyDescent="0.25">
      <c r="A182" s="24">
        <v>4</v>
      </c>
      <c r="B182" s="24" t="s">
        <v>340</v>
      </c>
      <c r="C182" s="24" t="s">
        <v>341</v>
      </c>
      <c r="D182">
        <v>168</v>
      </c>
      <c r="E182" s="24">
        <v>0</v>
      </c>
      <c r="F182" s="25">
        <v>50</v>
      </c>
      <c r="G182" s="24">
        <v>0</v>
      </c>
      <c r="H182" s="24">
        <v>0.3</v>
      </c>
      <c r="I182" s="24">
        <v>6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t="s">
        <v>1211</v>
      </c>
      <c r="Z182" t="b">
        <v>0</v>
      </c>
      <c r="AA182" s="24" t="str">
        <f t="shared" si="2"/>
        <v>Marc Guiu Paz</v>
      </c>
    </row>
    <row r="183" spans="1:27" x14ac:dyDescent="0.25">
      <c r="A183" s="24">
        <v>4</v>
      </c>
      <c r="B183" s="24" t="s">
        <v>342</v>
      </c>
      <c r="C183" s="24" t="s">
        <v>343</v>
      </c>
      <c r="D183">
        <v>169</v>
      </c>
      <c r="E183" s="24">
        <v>0</v>
      </c>
      <c r="F183" s="25">
        <v>45</v>
      </c>
      <c r="G183" s="24">
        <v>0</v>
      </c>
      <c r="H183" s="24">
        <v>0.4</v>
      </c>
      <c r="I183" s="24">
        <v>6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t="s">
        <v>1208</v>
      </c>
      <c r="Z183" t="b">
        <v>1</v>
      </c>
      <c r="AA183" s="24" t="str">
        <f t="shared" si="2"/>
        <v>Shumaira Mheuka</v>
      </c>
    </row>
    <row r="184" spans="1:27" x14ac:dyDescent="0.25">
      <c r="A184" s="24">
        <v>4</v>
      </c>
      <c r="B184" s="24" t="s">
        <v>344</v>
      </c>
      <c r="C184" s="24" t="s">
        <v>345</v>
      </c>
      <c r="D184">
        <v>170</v>
      </c>
      <c r="E184" s="24">
        <v>0</v>
      </c>
      <c r="F184" s="25">
        <v>50</v>
      </c>
      <c r="G184" s="24">
        <v>0</v>
      </c>
      <c r="H184" s="24">
        <v>0.2</v>
      </c>
      <c r="I184" s="24">
        <v>6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t="s">
        <v>1208</v>
      </c>
      <c r="Z184" t="b">
        <v>1</v>
      </c>
      <c r="AA184" s="24" t="str">
        <f t="shared" si="2"/>
        <v>Emmanuel Emegha</v>
      </c>
    </row>
    <row r="185" spans="1:27" x14ac:dyDescent="0.25">
      <c r="A185" s="24">
        <v>2</v>
      </c>
      <c r="B185" s="24" t="s">
        <v>346</v>
      </c>
      <c r="C185" s="24" t="s">
        <v>347</v>
      </c>
      <c r="D185">
        <v>200</v>
      </c>
      <c r="E185" s="24">
        <v>3</v>
      </c>
      <c r="F185" s="25">
        <v>60</v>
      </c>
      <c r="G185" s="24">
        <v>3</v>
      </c>
      <c r="H185" s="24">
        <v>8.1999999999999993</v>
      </c>
      <c r="I185" s="24">
        <v>6</v>
      </c>
      <c r="J185" s="24">
        <v>9</v>
      </c>
      <c r="K185" s="24">
        <v>270</v>
      </c>
      <c r="L185" s="24">
        <v>0</v>
      </c>
      <c r="M185" s="24">
        <v>1</v>
      </c>
      <c r="N185" s="24">
        <v>0</v>
      </c>
      <c r="O185" s="24">
        <v>7</v>
      </c>
      <c r="P185" s="24">
        <v>0</v>
      </c>
      <c r="Q185" s="24">
        <v>0</v>
      </c>
      <c r="R185" s="24">
        <v>25</v>
      </c>
      <c r="S185" s="24">
        <v>32</v>
      </c>
      <c r="T185" s="24">
        <v>3</v>
      </c>
      <c r="U185" s="24">
        <v>0.02</v>
      </c>
      <c r="V185" s="24">
        <v>0.21</v>
      </c>
      <c r="W185" s="24">
        <v>0.23</v>
      </c>
      <c r="X185" s="24">
        <v>4.79</v>
      </c>
      <c r="Y185" t="s">
        <v>1208</v>
      </c>
      <c r="Z185" t="b">
        <v>1</v>
      </c>
      <c r="AA185" s="24" t="str">
        <f t="shared" si="2"/>
        <v>Maxence Lacroix</v>
      </c>
    </row>
    <row r="186" spans="1:27" x14ac:dyDescent="0.25">
      <c r="A186" s="24">
        <v>1</v>
      </c>
      <c r="B186" s="24" t="s">
        <v>348</v>
      </c>
      <c r="C186" s="24" t="s">
        <v>349</v>
      </c>
      <c r="D186">
        <v>560</v>
      </c>
      <c r="E186" s="24">
        <v>0</v>
      </c>
      <c r="F186" s="25">
        <v>45</v>
      </c>
      <c r="G186" s="24">
        <v>0</v>
      </c>
      <c r="H186" s="24">
        <v>0.1</v>
      </c>
      <c r="I186" s="24">
        <v>6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t="s">
        <v>1208</v>
      </c>
      <c r="Z186" t="b">
        <v>1</v>
      </c>
      <c r="AA186" s="24" t="str">
        <f t="shared" si="2"/>
        <v>Mike Penders</v>
      </c>
    </row>
    <row r="187" spans="1:27" x14ac:dyDescent="0.25">
      <c r="A187" s="24">
        <v>2</v>
      </c>
      <c r="B187" s="24" t="s">
        <v>197</v>
      </c>
      <c r="C187" s="24" t="s">
        <v>350</v>
      </c>
      <c r="D187">
        <v>561</v>
      </c>
      <c r="E187" s="24">
        <v>0</v>
      </c>
      <c r="F187" s="25">
        <v>45</v>
      </c>
      <c r="G187" s="24">
        <v>0</v>
      </c>
      <c r="H187" s="24">
        <v>0</v>
      </c>
      <c r="I187" s="24">
        <v>6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t="s">
        <v>1208</v>
      </c>
      <c r="Z187" t="b">
        <v>1</v>
      </c>
      <c r="AA187" s="24" t="str">
        <f t="shared" si="2"/>
        <v>Aaron Anselmino</v>
      </c>
    </row>
    <row r="188" spans="1:27" x14ac:dyDescent="0.25">
      <c r="A188" s="24">
        <v>3</v>
      </c>
      <c r="B188" s="24" t="s">
        <v>351</v>
      </c>
      <c r="C188" s="24" t="s">
        <v>352</v>
      </c>
      <c r="D188">
        <v>568</v>
      </c>
      <c r="E188" s="24">
        <v>0.3</v>
      </c>
      <c r="F188" s="25">
        <v>55</v>
      </c>
      <c r="G188" s="24">
        <v>1</v>
      </c>
      <c r="H188" s="24">
        <v>0.1</v>
      </c>
      <c r="I188" s="24">
        <v>6</v>
      </c>
      <c r="J188" s="24">
        <v>1</v>
      </c>
      <c r="K188" s="24">
        <v>8</v>
      </c>
      <c r="L188" s="24">
        <v>0</v>
      </c>
      <c r="M188" s="24">
        <v>0</v>
      </c>
      <c r="N188" s="24">
        <v>0</v>
      </c>
      <c r="O188" s="24">
        <v>1</v>
      </c>
      <c r="P188" s="24">
        <v>0</v>
      </c>
      <c r="Q188" s="24">
        <v>0</v>
      </c>
      <c r="R188" s="24">
        <v>1</v>
      </c>
      <c r="S188" s="24">
        <v>1</v>
      </c>
      <c r="T188" s="24">
        <v>0</v>
      </c>
      <c r="U188" s="24">
        <v>0.04</v>
      </c>
      <c r="V188" s="24">
        <v>0</v>
      </c>
      <c r="W188" s="24">
        <v>0.04</v>
      </c>
      <c r="X188" s="24">
        <v>7.0000000000000007E-2</v>
      </c>
      <c r="Y188" t="s">
        <v>1208</v>
      </c>
      <c r="Z188" t="b">
        <v>1</v>
      </c>
      <c r="AA188" s="24" t="str">
        <f t="shared" si="2"/>
        <v>Valentín Barco</v>
      </c>
    </row>
    <row r="189" spans="1:27" x14ac:dyDescent="0.25">
      <c r="A189" s="24">
        <v>2</v>
      </c>
      <c r="B189" s="24" t="s">
        <v>355</v>
      </c>
      <c r="C189" s="24" t="s">
        <v>356</v>
      </c>
      <c r="D189">
        <v>583</v>
      </c>
      <c r="E189" s="24">
        <v>1</v>
      </c>
      <c r="F189" s="25">
        <v>49</v>
      </c>
      <c r="G189" s="24">
        <v>1</v>
      </c>
      <c r="H189" s="24">
        <v>0.2</v>
      </c>
      <c r="I189" s="24">
        <v>6</v>
      </c>
      <c r="J189" s="24">
        <v>3</v>
      </c>
      <c r="K189" s="24">
        <v>73</v>
      </c>
      <c r="L189" s="24">
        <v>0</v>
      </c>
      <c r="M189" s="24">
        <v>0</v>
      </c>
      <c r="N189" s="24">
        <v>0</v>
      </c>
      <c r="O189" s="24">
        <v>1</v>
      </c>
      <c r="P189" s="24">
        <v>0</v>
      </c>
      <c r="Q189" s="24">
        <v>0</v>
      </c>
      <c r="R189" s="24">
        <v>6</v>
      </c>
      <c r="S189" s="24">
        <v>6</v>
      </c>
      <c r="T189" s="24">
        <v>0</v>
      </c>
      <c r="U189" s="24">
        <v>0</v>
      </c>
      <c r="V189" s="24">
        <v>0.02</v>
      </c>
      <c r="W189" s="24">
        <v>0.02</v>
      </c>
      <c r="X189" s="24">
        <v>0.51</v>
      </c>
      <c r="Y189" t="s">
        <v>1208</v>
      </c>
      <c r="Z189" t="b">
        <v>1</v>
      </c>
      <c r="AA189" s="24" t="str">
        <f t="shared" si="2"/>
        <v>Pep Chavarría</v>
      </c>
    </row>
    <row r="190" spans="1:27" x14ac:dyDescent="0.25">
      <c r="A190" s="24">
        <v>2</v>
      </c>
      <c r="B190" s="24" t="s">
        <v>59</v>
      </c>
      <c r="C190" s="24" t="s">
        <v>199</v>
      </c>
      <c r="D190">
        <v>91</v>
      </c>
      <c r="E190" s="24">
        <v>1.3</v>
      </c>
      <c r="F190" s="25">
        <v>45</v>
      </c>
      <c r="G190" s="24">
        <v>2</v>
      </c>
      <c r="H190" s="24">
        <v>0.1</v>
      </c>
      <c r="I190" s="24">
        <v>7</v>
      </c>
      <c r="J190" s="24">
        <v>4</v>
      </c>
      <c r="K190" s="24">
        <v>102</v>
      </c>
      <c r="L190" s="24">
        <v>0</v>
      </c>
      <c r="M190" s="24">
        <v>0</v>
      </c>
      <c r="N190" s="24">
        <v>0</v>
      </c>
      <c r="O190" s="24">
        <v>2</v>
      </c>
      <c r="P190" s="24">
        <v>0</v>
      </c>
      <c r="Q190" s="24">
        <v>0</v>
      </c>
      <c r="R190" s="24">
        <v>2</v>
      </c>
      <c r="S190" s="24">
        <v>15</v>
      </c>
      <c r="T190" s="24">
        <v>1</v>
      </c>
      <c r="U190" s="24">
        <v>0.11</v>
      </c>
      <c r="V190" s="24">
        <v>0</v>
      </c>
      <c r="W190" s="24">
        <v>0.11</v>
      </c>
      <c r="X190" s="24">
        <v>2.66</v>
      </c>
      <c r="Y190" t="s">
        <v>1208</v>
      </c>
      <c r="Z190" t="b">
        <v>1</v>
      </c>
      <c r="AA190" s="24" t="str">
        <f t="shared" si="2"/>
        <v>Ethan Pinnock</v>
      </c>
    </row>
    <row r="191" spans="1:27" x14ac:dyDescent="0.25">
      <c r="A191" s="24">
        <v>3</v>
      </c>
      <c r="B191" s="24" t="s">
        <v>357</v>
      </c>
      <c r="C191" s="24" t="s">
        <v>358</v>
      </c>
      <c r="D191">
        <v>104</v>
      </c>
      <c r="E191" s="24">
        <v>1.3</v>
      </c>
      <c r="F191" s="25">
        <v>49</v>
      </c>
      <c r="G191" s="24">
        <v>2</v>
      </c>
      <c r="H191" s="24">
        <v>0.1</v>
      </c>
      <c r="I191" s="24">
        <v>7</v>
      </c>
      <c r="J191" s="24">
        <v>4</v>
      </c>
      <c r="K191" s="24">
        <v>152</v>
      </c>
      <c r="L191" s="24">
        <v>0</v>
      </c>
      <c r="M191" s="24">
        <v>0</v>
      </c>
      <c r="N191" s="24">
        <v>0</v>
      </c>
      <c r="O191" s="24">
        <v>4</v>
      </c>
      <c r="P191" s="24">
        <v>0</v>
      </c>
      <c r="Q191" s="24">
        <v>0</v>
      </c>
      <c r="R191" s="24">
        <v>13</v>
      </c>
      <c r="S191" s="24">
        <v>12</v>
      </c>
      <c r="T191" s="24">
        <v>2</v>
      </c>
      <c r="U191" s="24">
        <v>0</v>
      </c>
      <c r="V191" s="24">
        <v>0.01</v>
      </c>
      <c r="W191" s="24">
        <v>0.01</v>
      </c>
      <c r="X191" s="24">
        <v>3.05</v>
      </c>
      <c r="Y191" t="s">
        <v>1208</v>
      </c>
      <c r="Z191" t="b">
        <v>1</v>
      </c>
      <c r="AA191" s="24" t="str">
        <f t="shared" si="2"/>
        <v>Frank Onyeka</v>
      </c>
    </row>
    <row r="192" spans="1:27" x14ac:dyDescent="0.25">
      <c r="A192" s="24">
        <v>1</v>
      </c>
      <c r="B192" s="24" t="s">
        <v>359</v>
      </c>
      <c r="C192" s="24" t="s">
        <v>360</v>
      </c>
      <c r="D192">
        <v>110</v>
      </c>
      <c r="E192" s="24">
        <v>1.7</v>
      </c>
      <c r="F192" s="25">
        <v>45</v>
      </c>
      <c r="G192" s="24">
        <v>1.7</v>
      </c>
      <c r="H192" s="24">
        <v>1</v>
      </c>
      <c r="I192" s="24">
        <v>7</v>
      </c>
      <c r="J192" s="24">
        <v>5</v>
      </c>
      <c r="K192" s="24">
        <v>270</v>
      </c>
      <c r="L192" s="24">
        <v>0</v>
      </c>
      <c r="M192" s="24">
        <v>0</v>
      </c>
      <c r="N192" s="24">
        <v>0</v>
      </c>
      <c r="O192" s="24">
        <v>5</v>
      </c>
      <c r="P192" s="24">
        <v>5</v>
      </c>
      <c r="Q192" s="24">
        <v>0</v>
      </c>
      <c r="R192" s="24">
        <v>23</v>
      </c>
      <c r="S192" s="24">
        <v>0</v>
      </c>
      <c r="T192" s="24">
        <v>3</v>
      </c>
      <c r="U192" s="24">
        <v>0</v>
      </c>
      <c r="V192" s="24">
        <v>0.01</v>
      </c>
      <c r="W192" s="24">
        <v>0.01</v>
      </c>
      <c r="X192" s="24">
        <v>4.72</v>
      </c>
      <c r="Y192" t="s">
        <v>1208</v>
      </c>
      <c r="Z192" t="b">
        <v>1</v>
      </c>
      <c r="AA192" s="24" t="str">
        <f t="shared" si="2"/>
        <v>Carl Rushworth</v>
      </c>
    </row>
    <row r="193" spans="1:27" x14ac:dyDescent="0.25">
      <c r="A193" s="24">
        <v>1</v>
      </c>
      <c r="B193" s="24" t="s">
        <v>361</v>
      </c>
      <c r="C193" s="24" t="s">
        <v>362</v>
      </c>
      <c r="D193">
        <v>171</v>
      </c>
      <c r="E193" s="24">
        <v>0</v>
      </c>
      <c r="F193" s="25">
        <v>40</v>
      </c>
      <c r="G193" s="24">
        <v>0</v>
      </c>
      <c r="H193" s="24">
        <v>1.3</v>
      </c>
      <c r="I193" s="24">
        <v>7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t="s">
        <v>1211</v>
      </c>
      <c r="Z193" t="b">
        <v>0</v>
      </c>
      <c r="AA193" s="24" t="str">
        <f t="shared" si="2"/>
        <v>Oliver Dovin</v>
      </c>
    </row>
    <row r="194" spans="1:27" x14ac:dyDescent="0.25">
      <c r="A194" s="24">
        <v>1</v>
      </c>
      <c r="B194" s="24" t="s">
        <v>159</v>
      </c>
      <c r="C194" s="24" t="s">
        <v>228</v>
      </c>
      <c r="D194">
        <v>172</v>
      </c>
      <c r="E194" s="24">
        <v>0</v>
      </c>
      <c r="F194" s="25">
        <v>45</v>
      </c>
      <c r="G194" s="24">
        <v>0</v>
      </c>
      <c r="H194" s="24">
        <v>0.4</v>
      </c>
      <c r="I194" s="24">
        <v>7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t="s">
        <v>1208</v>
      </c>
      <c r="Z194" t="b">
        <v>1</v>
      </c>
      <c r="AA194" s="24" t="str">
        <f t="shared" ref="AA194:AA257" si="3">B194&amp;" "&amp;C194</f>
        <v>Ben Wilson</v>
      </c>
    </row>
    <row r="195" spans="1:27" x14ac:dyDescent="0.25">
      <c r="A195" s="24">
        <v>2</v>
      </c>
      <c r="B195" s="24" t="s">
        <v>363</v>
      </c>
      <c r="C195" s="24" t="s">
        <v>364</v>
      </c>
      <c r="D195">
        <v>173</v>
      </c>
      <c r="E195" s="24">
        <v>5</v>
      </c>
      <c r="F195" s="25">
        <v>40</v>
      </c>
      <c r="G195" s="24">
        <v>5</v>
      </c>
      <c r="H195" s="24">
        <v>8.6</v>
      </c>
      <c r="I195" s="24">
        <v>7</v>
      </c>
      <c r="J195" s="24">
        <v>15</v>
      </c>
      <c r="K195" s="24">
        <v>257</v>
      </c>
      <c r="L195" s="24">
        <v>0</v>
      </c>
      <c r="M195" s="24">
        <v>0</v>
      </c>
      <c r="N195" s="24">
        <v>1</v>
      </c>
      <c r="O195" s="24">
        <v>4</v>
      </c>
      <c r="P195" s="24">
        <v>0</v>
      </c>
      <c r="Q195" s="24">
        <v>2</v>
      </c>
      <c r="R195" s="24">
        <v>58</v>
      </c>
      <c r="S195" s="24">
        <v>31</v>
      </c>
      <c r="T195" s="24">
        <v>3</v>
      </c>
      <c r="U195" s="24">
        <v>0.24</v>
      </c>
      <c r="V195" s="24">
        <v>0.19</v>
      </c>
      <c r="W195" s="24">
        <v>0.43</v>
      </c>
      <c r="X195" s="24">
        <v>4.18</v>
      </c>
      <c r="Y195" t="s">
        <v>1208</v>
      </c>
      <c r="Z195" t="b">
        <v>1</v>
      </c>
      <c r="AA195" s="24" t="str">
        <f t="shared" si="3"/>
        <v>Bobby Thomas</v>
      </c>
    </row>
    <row r="196" spans="1:27" x14ac:dyDescent="0.25">
      <c r="A196" s="24">
        <v>2</v>
      </c>
      <c r="B196" s="24" t="s">
        <v>338</v>
      </c>
      <c r="C196" s="24" t="s">
        <v>365</v>
      </c>
      <c r="D196">
        <v>174</v>
      </c>
      <c r="E196" s="24">
        <v>0</v>
      </c>
      <c r="F196" s="25">
        <v>40</v>
      </c>
      <c r="G196" s="24">
        <v>0</v>
      </c>
      <c r="H196" s="24">
        <v>0.5</v>
      </c>
      <c r="I196" s="24">
        <v>7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t="s">
        <v>1211</v>
      </c>
      <c r="Z196" t="b">
        <v>0</v>
      </c>
      <c r="AA196" s="24" t="str">
        <f t="shared" si="3"/>
        <v>Liam Kitching</v>
      </c>
    </row>
    <row r="197" spans="1:27" x14ac:dyDescent="0.25">
      <c r="A197" s="24">
        <v>2</v>
      </c>
      <c r="B197" s="24" t="s">
        <v>366</v>
      </c>
      <c r="C197" s="24" t="s">
        <v>367</v>
      </c>
      <c r="D197">
        <v>175</v>
      </c>
      <c r="E197" s="24">
        <v>2</v>
      </c>
      <c r="F197" s="25">
        <v>40</v>
      </c>
      <c r="G197" s="24">
        <v>2</v>
      </c>
      <c r="H197" s="24">
        <v>11.4</v>
      </c>
      <c r="I197" s="24">
        <v>7</v>
      </c>
      <c r="J197" s="24">
        <v>6</v>
      </c>
      <c r="K197" s="24">
        <v>270</v>
      </c>
      <c r="L197" s="24">
        <v>0</v>
      </c>
      <c r="M197" s="24">
        <v>0</v>
      </c>
      <c r="N197" s="24">
        <v>0</v>
      </c>
      <c r="O197" s="24">
        <v>5</v>
      </c>
      <c r="P197" s="24">
        <v>0</v>
      </c>
      <c r="Q197" s="24">
        <v>0</v>
      </c>
      <c r="R197" s="24">
        <v>12</v>
      </c>
      <c r="S197" s="24">
        <v>20</v>
      </c>
      <c r="T197" s="24">
        <v>3</v>
      </c>
      <c r="U197" s="24">
        <v>0</v>
      </c>
      <c r="V197" s="24">
        <v>0.26</v>
      </c>
      <c r="W197" s="24">
        <v>0.26</v>
      </c>
      <c r="X197" s="24">
        <v>4.72</v>
      </c>
      <c r="Y197" t="s">
        <v>1208</v>
      </c>
      <c r="Z197" t="b">
        <v>1</v>
      </c>
      <c r="AA197" s="24" t="str">
        <f t="shared" si="3"/>
        <v>Milan van Ewijk</v>
      </c>
    </row>
    <row r="198" spans="1:27" x14ac:dyDescent="0.25">
      <c r="A198" s="24">
        <v>2</v>
      </c>
      <c r="B198" s="24" t="s">
        <v>368</v>
      </c>
      <c r="C198" s="24" t="s">
        <v>220</v>
      </c>
      <c r="D198">
        <v>176</v>
      </c>
      <c r="E198" s="24">
        <v>1.7</v>
      </c>
      <c r="F198" s="25">
        <v>40</v>
      </c>
      <c r="G198" s="24">
        <v>1.7</v>
      </c>
      <c r="H198" s="24">
        <v>0.7</v>
      </c>
      <c r="I198" s="24">
        <v>7</v>
      </c>
      <c r="J198" s="24">
        <v>5</v>
      </c>
      <c r="K198" s="24">
        <v>264</v>
      </c>
      <c r="L198" s="24">
        <v>0</v>
      </c>
      <c r="M198" s="24">
        <v>0</v>
      </c>
      <c r="N198" s="24">
        <v>0</v>
      </c>
      <c r="O198" s="24">
        <v>5</v>
      </c>
      <c r="P198" s="24">
        <v>0</v>
      </c>
      <c r="Q198" s="24">
        <v>0</v>
      </c>
      <c r="R198" s="24">
        <v>21</v>
      </c>
      <c r="S198" s="24">
        <v>16</v>
      </c>
      <c r="T198" s="24">
        <v>3</v>
      </c>
      <c r="U198" s="24">
        <v>0.18</v>
      </c>
      <c r="V198" s="24">
        <v>0.15</v>
      </c>
      <c r="W198" s="24">
        <v>0.33</v>
      </c>
      <c r="X198" s="24">
        <v>4.72</v>
      </c>
      <c r="Y198" t="s">
        <v>1208</v>
      </c>
      <c r="Z198" t="b">
        <v>1</v>
      </c>
      <c r="AA198" s="24" t="str">
        <f t="shared" si="3"/>
        <v>Jay Dasilva</v>
      </c>
    </row>
    <row r="199" spans="1:27" x14ac:dyDescent="0.25">
      <c r="A199" s="24">
        <v>2</v>
      </c>
      <c r="B199" s="24" t="s">
        <v>369</v>
      </c>
      <c r="C199" s="24" t="s">
        <v>370</v>
      </c>
      <c r="D199">
        <v>177</v>
      </c>
      <c r="E199" s="24">
        <v>0</v>
      </c>
      <c r="F199" s="25">
        <v>40</v>
      </c>
      <c r="G199" s="24">
        <v>0</v>
      </c>
      <c r="H199" s="24">
        <v>0</v>
      </c>
      <c r="I199" s="24">
        <v>7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t="s">
        <v>1209</v>
      </c>
      <c r="Z199" t="b">
        <v>1</v>
      </c>
      <c r="AA199" s="24" t="str">
        <f t="shared" si="3"/>
        <v>Kaine Kesler-Hayden</v>
      </c>
    </row>
    <row r="200" spans="1:27" x14ac:dyDescent="0.25">
      <c r="A200" s="24">
        <v>2</v>
      </c>
      <c r="B200" s="24" t="s">
        <v>371</v>
      </c>
      <c r="C200" s="24" t="s">
        <v>372</v>
      </c>
      <c r="D200">
        <v>178</v>
      </c>
      <c r="E200" s="24">
        <v>0</v>
      </c>
      <c r="F200" s="25">
        <v>40</v>
      </c>
      <c r="G200" s="24">
        <v>0</v>
      </c>
      <c r="H200" s="24">
        <v>0.1</v>
      </c>
      <c r="I200" s="24">
        <v>7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t="s">
        <v>1208</v>
      </c>
      <c r="Z200" t="b">
        <v>1</v>
      </c>
      <c r="AA200" s="24" t="str">
        <f t="shared" si="3"/>
        <v>Jake Bidwell</v>
      </c>
    </row>
    <row r="201" spans="1:27" x14ac:dyDescent="0.25">
      <c r="A201" s="24">
        <v>2</v>
      </c>
      <c r="B201" s="24" t="s">
        <v>373</v>
      </c>
      <c r="C201" s="24" t="s">
        <v>374</v>
      </c>
      <c r="D201">
        <v>179</v>
      </c>
      <c r="E201" s="24">
        <v>0</v>
      </c>
      <c r="F201" s="25">
        <v>40</v>
      </c>
      <c r="G201" s="24">
        <v>0</v>
      </c>
      <c r="H201" s="24">
        <v>0</v>
      </c>
      <c r="I201" s="24">
        <v>7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t="s">
        <v>1208</v>
      </c>
      <c r="Z201" t="b">
        <v>1</v>
      </c>
      <c r="AA201" s="24" t="str">
        <f t="shared" si="3"/>
        <v>Joel Latibeaudiere</v>
      </c>
    </row>
    <row r="202" spans="1:27" x14ac:dyDescent="0.25">
      <c r="A202" s="24">
        <v>2</v>
      </c>
      <c r="B202" s="24" t="s">
        <v>375</v>
      </c>
      <c r="C202" s="24" t="s">
        <v>376</v>
      </c>
      <c r="D202">
        <v>180</v>
      </c>
      <c r="E202" s="24">
        <v>0</v>
      </c>
      <c r="F202" s="25">
        <v>40</v>
      </c>
      <c r="G202" s="24">
        <v>0</v>
      </c>
      <c r="H202" s="24">
        <v>0.1</v>
      </c>
      <c r="I202" s="24">
        <v>7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t="s">
        <v>1209</v>
      </c>
      <c r="Z202" t="b">
        <v>1</v>
      </c>
      <c r="AA202" s="24" t="str">
        <f t="shared" si="3"/>
        <v>Luke Woolfenden</v>
      </c>
    </row>
    <row r="203" spans="1:27" x14ac:dyDescent="0.25">
      <c r="A203" s="24">
        <v>2</v>
      </c>
      <c r="B203" s="24" t="s">
        <v>377</v>
      </c>
      <c r="C203" s="24" t="s">
        <v>378</v>
      </c>
      <c r="D203">
        <v>181</v>
      </c>
      <c r="E203" s="24">
        <v>0</v>
      </c>
      <c r="F203" s="25">
        <v>40</v>
      </c>
      <c r="G203" s="24">
        <v>0</v>
      </c>
      <c r="H203" s="24">
        <v>0</v>
      </c>
      <c r="I203" s="24">
        <v>7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t="s">
        <v>1211</v>
      </c>
      <c r="Z203" t="b">
        <v>0</v>
      </c>
      <c r="AA203" s="24" t="str">
        <f t="shared" si="3"/>
        <v>Miguel Brau</v>
      </c>
    </row>
    <row r="204" spans="1:27" x14ac:dyDescent="0.25">
      <c r="A204" s="24">
        <v>2</v>
      </c>
      <c r="B204" s="24" t="s">
        <v>379</v>
      </c>
      <c r="C204" s="24" t="s">
        <v>380</v>
      </c>
      <c r="D204">
        <v>182</v>
      </c>
      <c r="E204" s="24">
        <v>1.3</v>
      </c>
      <c r="F204" s="25">
        <v>40</v>
      </c>
      <c r="G204" s="24">
        <v>1.3</v>
      </c>
      <c r="H204" s="24">
        <v>0.8</v>
      </c>
      <c r="I204" s="24">
        <v>7</v>
      </c>
      <c r="J204" s="24">
        <v>4</v>
      </c>
      <c r="K204" s="24">
        <v>270</v>
      </c>
      <c r="L204" s="24">
        <v>0</v>
      </c>
      <c r="M204" s="24">
        <v>0</v>
      </c>
      <c r="N204" s="24">
        <v>0</v>
      </c>
      <c r="O204" s="24">
        <v>5</v>
      </c>
      <c r="P204" s="24">
        <v>0</v>
      </c>
      <c r="Q204" s="24">
        <v>0</v>
      </c>
      <c r="R204" s="24">
        <v>9</v>
      </c>
      <c r="S204" s="24">
        <v>16</v>
      </c>
      <c r="T204" s="24">
        <v>3</v>
      </c>
      <c r="U204" s="24">
        <v>0.02</v>
      </c>
      <c r="V204" s="24">
        <v>0.39</v>
      </c>
      <c r="W204" s="24">
        <v>0.41</v>
      </c>
      <c r="X204" s="24">
        <v>4.72</v>
      </c>
      <c r="Y204" t="s">
        <v>1208</v>
      </c>
      <c r="Z204" t="b">
        <v>1</v>
      </c>
      <c r="AA204" s="24" t="str">
        <f t="shared" si="3"/>
        <v>Aurèle Amenda</v>
      </c>
    </row>
    <row r="205" spans="1:27" x14ac:dyDescent="0.25">
      <c r="A205" s="24">
        <v>3</v>
      </c>
      <c r="B205" s="24" t="s">
        <v>253</v>
      </c>
      <c r="C205" s="24" t="s">
        <v>381</v>
      </c>
      <c r="D205">
        <v>183</v>
      </c>
      <c r="E205" s="24">
        <v>2</v>
      </c>
      <c r="F205" s="25">
        <v>50</v>
      </c>
      <c r="G205" s="24">
        <v>2</v>
      </c>
      <c r="H205" s="24">
        <v>0.1</v>
      </c>
      <c r="I205" s="24">
        <v>7</v>
      </c>
      <c r="J205" s="24">
        <v>6</v>
      </c>
      <c r="K205" s="24">
        <v>152</v>
      </c>
      <c r="L205" s="24">
        <v>0</v>
      </c>
      <c r="M205" s="24">
        <v>0</v>
      </c>
      <c r="N205" s="24">
        <v>1</v>
      </c>
      <c r="O205" s="24">
        <v>1</v>
      </c>
      <c r="P205" s="24">
        <v>0</v>
      </c>
      <c r="Q205" s="24">
        <v>0</v>
      </c>
      <c r="R205" s="24">
        <v>24</v>
      </c>
      <c r="S205" s="24">
        <v>16</v>
      </c>
      <c r="T205" s="24">
        <v>2</v>
      </c>
      <c r="U205" s="24">
        <v>0.5</v>
      </c>
      <c r="V205" s="24">
        <v>0.18</v>
      </c>
      <c r="W205" s="24">
        <v>0.68</v>
      </c>
      <c r="X205" s="24">
        <v>1.48</v>
      </c>
      <c r="Y205" t="s">
        <v>1208</v>
      </c>
      <c r="Z205" t="b">
        <v>1</v>
      </c>
      <c r="AA205" s="24" t="str">
        <f t="shared" si="3"/>
        <v>Jack Rudoni</v>
      </c>
    </row>
    <row r="206" spans="1:27" x14ac:dyDescent="0.25">
      <c r="A206" s="24">
        <v>3</v>
      </c>
      <c r="B206" s="24" t="s">
        <v>259</v>
      </c>
      <c r="C206" s="24" t="s">
        <v>382</v>
      </c>
      <c r="D206">
        <v>184</v>
      </c>
      <c r="E206" s="24">
        <v>2</v>
      </c>
      <c r="F206" s="25">
        <v>50</v>
      </c>
      <c r="G206" s="24">
        <v>2</v>
      </c>
      <c r="H206" s="24">
        <v>0.2</v>
      </c>
      <c r="I206" s="24">
        <v>7</v>
      </c>
      <c r="J206" s="24">
        <v>6</v>
      </c>
      <c r="K206" s="24">
        <v>270</v>
      </c>
      <c r="L206" s="24">
        <v>0</v>
      </c>
      <c r="M206" s="24">
        <v>0</v>
      </c>
      <c r="N206" s="24">
        <v>0</v>
      </c>
      <c r="O206" s="24">
        <v>5</v>
      </c>
      <c r="P206" s="24">
        <v>0</v>
      </c>
      <c r="Q206" s="24">
        <v>0</v>
      </c>
      <c r="R206" s="24">
        <v>36</v>
      </c>
      <c r="S206" s="24">
        <v>25</v>
      </c>
      <c r="T206" s="24">
        <v>3</v>
      </c>
      <c r="U206" s="24">
        <v>0.05</v>
      </c>
      <c r="V206" s="24">
        <v>0.05</v>
      </c>
      <c r="W206" s="24">
        <v>0.1</v>
      </c>
      <c r="X206" s="24">
        <v>4.72</v>
      </c>
      <c r="Y206" t="s">
        <v>1208</v>
      </c>
      <c r="Z206" t="b">
        <v>1</v>
      </c>
      <c r="AA206" s="24" t="str">
        <f t="shared" si="3"/>
        <v>Matt Grimes</v>
      </c>
    </row>
    <row r="207" spans="1:27" x14ac:dyDescent="0.25">
      <c r="A207" s="24">
        <v>3</v>
      </c>
      <c r="B207" s="24" t="s">
        <v>383</v>
      </c>
      <c r="C207" s="24" t="s">
        <v>384</v>
      </c>
      <c r="D207">
        <v>185</v>
      </c>
      <c r="E207" s="24">
        <v>0.3</v>
      </c>
      <c r="F207" s="25">
        <v>49</v>
      </c>
      <c r="G207" s="24">
        <v>1</v>
      </c>
      <c r="H207" s="24">
        <v>0.1</v>
      </c>
      <c r="I207" s="24">
        <v>7</v>
      </c>
      <c r="J207" s="24">
        <v>1</v>
      </c>
      <c r="K207" s="24">
        <v>31</v>
      </c>
      <c r="L207" s="24">
        <v>0</v>
      </c>
      <c r="M207" s="24">
        <v>0</v>
      </c>
      <c r="N207" s="24">
        <v>0</v>
      </c>
      <c r="O207" s="24">
        <v>1</v>
      </c>
      <c r="P207" s="24">
        <v>0</v>
      </c>
      <c r="Q207" s="24">
        <v>0</v>
      </c>
      <c r="R207" s="24">
        <v>8</v>
      </c>
      <c r="S207" s="24">
        <v>4</v>
      </c>
      <c r="T207" s="24">
        <v>0</v>
      </c>
      <c r="U207" s="24">
        <v>0.02</v>
      </c>
      <c r="V207" s="24">
        <v>0.02</v>
      </c>
      <c r="W207" s="24">
        <v>0.04</v>
      </c>
      <c r="X207" s="24">
        <v>0.69</v>
      </c>
      <c r="Y207" t="s">
        <v>1208</v>
      </c>
      <c r="Z207" t="b">
        <v>1</v>
      </c>
      <c r="AA207" s="24" t="str">
        <f t="shared" si="3"/>
        <v>Tatsuhiro Sakamoto</v>
      </c>
    </row>
    <row r="208" spans="1:27" x14ac:dyDescent="0.25">
      <c r="A208" s="24">
        <v>3</v>
      </c>
      <c r="B208" s="24" t="s">
        <v>385</v>
      </c>
      <c r="C208" s="24" t="s">
        <v>386</v>
      </c>
      <c r="D208">
        <v>186</v>
      </c>
      <c r="E208" s="24">
        <v>1</v>
      </c>
      <c r="F208" s="25">
        <v>54</v>
      </c>
      <c r="G208" s="24">
        <v>1.5</v>
      </c>
      <c r="H208" s="24">
        <v>0.1</v>
      </c>
      <c r="I208" s="24">
        <v>7</v>
      </c>
      <c r="J208" s="24">
        <v>3</v>
      </c>
      <c r="K208" s="24">
        <v>127</v>
      </c>
      <c r="L208" s="24">
        <v>0</v>
      </c>
      <c r="M208" s="24">
        <v>0</v>
      </c>
      <c r="N208" s="24">
        <v>0</v>
      </c>
      <c r="O208" s="24">
        <v>1</v>
      </c>
      <c r="P208" s="24">
        <v>0</v>
      </c>
      <c r="Q208" s="24">
        <v>0</v>
      </c>
      <c r="R208" s="24">
        <v>8</v>
      </c>
      <c r="S208" s="24">
        <v>9</v>
      </c>
      <c r="T208" s="24">
        <v>2</v>
      </c>
      <c r="U208" s="24">
        <v>0</v>
      </c>
      <c r="V208" s="24">
        <v>0.06</v>
      </c>
      <c r="W208" s="24">
        <v>0.06</v>
      </c>
      <c r="X208" s="24">
        <v>1.19</v>
      </c>
      <c r="Y208" t="s">
        <v>1208</v>
      </c>
      <c r="Z208" t="b">
        <v>1</v>
      </c>
      <c r="AA208" s="24" t="str">
        <f t="shared" si="3"/>
        <v>Ephron Mason-Clark</v>
      </c>
    </row>
    <row r="209" spans="1:27" x14ac:dyDescent="0.25">
      <c r="A209" s="24">
        <v>3</v>
      </c>
      <c r="B209" s="24" t="s">
        <v>219</v>
      </c>
      <c r="C209" s="24" t="s">
        <v>387</v>
      </c>
      <c r="D209">
        <v>187</v>
      </c>
      <c r="E209" s="24">
        <v>0</v>
      </c>
      <c r="F209" s="25">
        <v>49</v>
      </c>
      <c r="G209" s="24">
        <v>0</v>
      </c>
      <c r="H209" s="24">
        <v>0</v>
      </c>
      <c r="I209" s="24">
        <v>7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t="s">
        <v>1208</v>
      </c>
      <c r="Z209" t="b">
        <v>1</v>
      </c>
      <c r="AA209" s="24" t="str">
        <f t="shared" si="3"/>
        <v>Josh Eccles</v>
      </c>
    </row>
    <row r="210" spans="1:27" x14ac:dyDescent="0.25">
      <c r="A210" s="24">
        <v>3</v>
      </c>
      <c r="B210" s="24" t="s">
        <v>92</v>
      </c>
      <c r="C210" s="24" t="s">
        <v>388</v>
      </c>
      <c r="D210">
        <v>188</v>
      </c>
      <c r="E210" s="24">
        <v>0.7</v>
      </c>
      <c r="F210" s="25">
        <v>54</v>
      </c>
      <c r="G210" s="24">
        <v>1</v>
      </c>
      <c r="H210" s="24">
        <v>0.1</v>
      </c>
      <c r="I210" s="24">
        <v>7</v>
      </c>
      <c r="J210" s="24">
        <v>2</v>
      </c>
      <c r="K210" s="24">
        <v>47</v>
      </c>
      <c r="L210" s="24">
        <v>0</v>
      </c>
      <c r="M210" s="24">
        <v>0</v>
      </c>
      <c r="N210" s="24">
        <v>0</v>
      </c>
      <c r="O210" s="24">
        <v>1</v>
      </c>
      <c r="P210" s="24">
        <v>0</v>
      </c>
      <c r="Q210" s="24">
        <v>0</v>
      </c>
      <c r="R210" s="24">
        <v>10</v>
      </c>
      <c r="S210" s="24">
        <v>3</v>
      </c>
      <c r="T210" s="24">
        <v>0</v>
      </c>
      <c r="U210" s="24">
        <v>0</v>
      </c>
      <c r="V210" s="24">
        <v>0.12</v>
      </c>
      <c r="W210" s="24">
        <v>0.12</v>
      </c>
      <c r="X210" s="24">
        <v>1.01</v>
      </c>
      <c r="Y210" t="s">
        <v>1208</v>
      </c>
      <c r="Z210" t="b">
        <v>1</v>
      </c>
      <c r="AA210" s="24" t="str">
        <f t="shared" si="3"/>
        <v>Victor Torp</v>
      </c>
    </row>
    <row r="211" spans="1:27" x14ac:dyDescent="0.25">
      <c r="A211" s="24">
        <v>3</v>
      </c>
      <c r="B211" s="24" t="s">
        <v>113</v>
      </c>
      <c r="C211" s="24" t="s">
        <v>389</v>
      </c>
      <c r="D211">
        <v>189</v>
      </c>
      <c r="E211" s="24">
        <v>0</v>
      </c>
      <c r="F211" s="25">
        <v>45</v>
      </c>
      <c r="G211" s="24">
        <v>0</v>
      </c>
      <c r="H211" s="24">
        <v>0.3</v>
      </c>
      <c r="I211" s="24">
        <v>7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t="s">
        <v>1208</v>
      </c>
      <c r="Z211" t="b">
        <v>1</v>
      </c>
      <c r="AA211" s="24" t="str">
        <f t="shared" si="3"/>
        <v>George Shepherd</v>
      </c>
    </row>
    <row r="212" spans="1:27" x14ac:dyDescent="0.25">
      <c r="A212" s="24">
        <v>3</v>
      </c>
      <c r="B212" s="24" t="s">
        <v>390</v>
      </c>
      <c r="C212" s="24" t="s">
        <v>391</v>
      </c>
      <c r="D212">
        <v>190</v>
      </c>
      <c r="E212" s="24">
        <v>1.3</v>
      </c>
      <c r="F212" s="25">
        <v>55</v>
      </c>
      <c r="G212" s="24">
        <v>1.3</v>
      </c>
      <c r="H212" s="24">
        <v>0.1</v>
      </c>
      <c r="I212" s="24">
        <v>7</v>
      </c>
      <c r="J212" s="24">
        <v>4</v>
      </c>
      <c r="K212" s="24">
        <v>166</v>
      </c>
      <c r="L212" s="24">
        <v>0</v>
      </c>
      <c r="M212" s="24">
        <v>0</v>
      </c>
      <c r="N212" s="24">
        <v>0</v>
      </c>
      <c r="O212" s="24">
        <v>3</v>
      </c>
      <c r="P212" s="24">
        <v>0</v>
      </c>
      <c r="Q212" s="24">
        <v>0</v>
      </c>
      <c r="R212" s="24">
        <v>27</v>
      </c>
      <c r="S212" s="24">
        <v>15</v>
      </c>
      <c r="T212" s="24">
        <v>2</v>
      </c>
      <c r="U212" s="24">
        <v>0.19</v>
      </c>
      <c r="V212" s="24">
        <v>0.18</v>
      </c>
      <c r="W212" s="24">
        <v>0.37</v>
      </c>
      <c r="X212" s="24">
        <v>2.73</v>
      </c>
      <c r="Y212" t="s">
        <v>1208</v>
      </c>
      <c r="Z212" t="b">
        <v>1</v>
      </c>
      <c r="AA212" s="24" t="str">
        <f t="shared" si="3"/>
        <v>Loum Tchaouna</v>
      </c>
    </row>
    <row r="213" spans="1:27" x14ac:dyDescent="0.25">
      <c r="A213" s="24">
        <v>3</v>
      </c>
      <c r="B213" s="24" t="s">
        <v>392</v>
      </c>
      <c r="C213" s="24" t="s">
        <v>393</v>
      </c>
      <c r="D213">
        <v>191</v>
      </c>
      <c r="E213" s="24">
        <v>0</v>
      </c>
      <c r="F213" s="25">
        <v>45</v>
      </c>
      <c r="G213" s="24">
        <v>0</v>
      </c>
      <c r="H213" s="24">
        <v>0.1</v>
      </c>
      <c r="I213" s="24">
        <v>7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t="s">
        <v>1211</v>
      </c>
      <c r="Z213" t="b">
        <v>0</v>
      </c>
      <c r="AA213" s="24" t="str">
        <f t="shared" si="3"/>
        <v>Raphael Borges Rodrigues</v>
      </c>
    </row>
    <row r="214" spans="1:27" x14ac:dyDescent="0.25">
      <c r="A214" s="24">
        <v>3</v>
      </c>
      <c r="B214" s="24" t="s">
        <v>67</v>
      </c>
      <c r="C214" s="24" t="s">
        <v>394</v>
      </c>
      <c r="D214">
        <v>192</v>
      </c>
      <c r="E214" s="24">
        <v>0</v>
      </c>
      <c r="F214" s="25">
        <v>45</v>
      </c>
      <c r="G214" s="24">
        <v>0</v>
      </c>
      <c r="H214" s="24">
        <v>0.4</v>
      </c>
      <c r="I214" s="24">
        <v>7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t="s">
        <v>1211</v>
      </c>
      <c r="Z214" t="b">
        <v>0</v>
      </c>
      <c r="AA214" s="24" t="str">
        <f t="shared" si="3"/>
        <v>Kai Andrews</v>
      </c>
    </row>
    <row r="215" spans="1:27" x14ac:dyDescent="0.25">
      <c r="A215" s="24">
        <v>4</v>
      </c>
      <c r="B215" s="24" t="s">
        <v>395</v>
      </c>
      <c r="C215" s="24" t="s">
        <v>396</v>
      </c>
      <c r="D215">
        <v>193</v>
      </c>
      <c r="E215" s="24">
        <v>0</v>
      </c>
      <c r="F215" s="25">
        <v>54</v>
      </c>
      <c r="G215" s="24">
        <v>0</v>
      </c>
      <c r="H215" s="24">
        <v>0.1</v>
      </c>
      <c r="I215" s="24">
        <v>7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t="s">
        <v>1209</v>
      </c>
      <c r="Z215" t="b">
        <v>1</v>
      </c>
      <c r="AA215" s="24" t="str">
        <f t="shared" si="3"/>
        <v>Haji Wright</v>
      </c>
    </row>
    <row r="216" spans="1:27" x14ac:dyDescent="0.25">
      <c r="A216" s="24">
        <v>4</v>
      </c>
      <c r="B216" s="24" t="s">
        <v>397</v>
      </c>
      <c r="C216" s="24" t="s">
        <v>398</v>
      </c>
      <c r="D216">
        <v>194</v>
      </c>
      <c r="E216" s="24">
        <v>1.3</v>
      </c>
      <c r="F216" s="25">
        <v>50</v>
      </c>
      <c r="G216" s="24">
        <v>1.3</v>
      </c>
      <c r="H216" s="24">
        <v>0.8</v>
      </c>
      <c r="I216" s="24">
        <v>7</v>
      </c>
      <c r="J216" s="24">
        <v>4</v>
      </c>
      <c r="K216" s="24">
        <v>120</v>
      </c>
      <c r="L216" s="24">
        <v>0</v>
      </c>
      <c r="M216" s="24">
        <v>0</v>
      </c>
      <c r="N216" s="24">
        <v>0</v>
      </c>
      <c r="O216" s="24">
        <v>4</v>
      </c>
      <c r="P216" s="24">
        <v>0</v>
      </c>
      <c r="Q216" s="24">
        <v>0</v>
      </c>
      <c r="R216" s="24">
        <v>20</v>
      </c>
      <c r="S216" s="24">
        <v>11</v>
      </c>
      <c r="T216" s="24">
        <v>1</v>
      </c>
      <c r="U216" s="24">
        <v>0</v>
      </c>
      <c r="V216" s="24">
        <v>0.02</v>
      </c>
      <c r="W216" s="24">
        <v>0.02</v>
      </c>
      <c r="X216" s="24">
        <v>3.24</v>
      </c>
      <c r="Y216" t="s">
        <v>1208</v>
      </c>
      <c r="Z216" t="b">
        <v>1</v>
      </c>
      <c r="AA216" s="24" t="str">
        <f t="shared" si="3"/>
        <v>Brandon Thomas-Asante</v>
      </c>
    </row>
    <row r="217" spans="1:27" x14ac:dyDescent="0.25">
      <c r="A217" s="24">
        <v>4</v>
      </c>
      <c r="B217" s="24" t="s">
        <v>399</v>
      </c>
      <c r="C217" s="24" t="s">
        <v>400</v>
      </c>
      <c r="D217">
        <v>195</v>
      </c>
      <c r="E217" s="24">
        <v>1</v>
      </c>
      <c r="F217" s="25">
        <v>50</v>
      </c>
      <c r="G217" s="24">
        <v>1.5</v>
      </c>
      <c r="H217" s="24">
        <v>0.8</v>
      </c>
      <c r="I217" s="24">
        <v>7</v>
      </c>
      <c r="J217" s="24">
        <v>3</v>
      </c>
      <c r="K217" s="24">
        <v>88</v>
      </c>
      <c r="L217" s="24">
        <v>0</v>
      </c>
      <c r="M217" s="24">
        <v>0</v>
      </c>
      <c r="N217" s="24">
        <v>0</v>
      </c>
      <c r="O217" s="24">
        <v>3</v>
      </c>
      <c r="P217" s="24">
        <v>0</v>
      </c>
      <c r="Q217" s="24">
        <v>0</v>
      </c>
      <c r="R217" s="24">
        <v>10</v>
      </c>
      <c r="S217" s="24">
        <v>3</v>
      </c>
      <c r="T217" s="24">
        <v>1</v>
      </c>
      <c r="U217" s="24">
        <v>0.3</v>
      </c>
      <c r="V217" s="24">
        <v>0.01</v>
      </c>
      <c r="W217" s="24">
        <v>0.31</v>
      </c>
      <c r="X217" s="24">
        <v>2.5499999999999998</v>
      </c>
      <c r="Y217" t="s">
        <v>1208</v>
      </c>
      <c r="Z217" t="b">
        <v>1</v>
      </c>
      <c r="AA217" s="24" t="str">
        <f t="shared" si="3"/>
        <v>Ellis Simms</v>
      </c>
    </row>
    <row r="218" spans="1:27" x14ac:dyDescent="0.25">
      <c r="A218" s="24">
        <v>4</v>
      </c>
      <c r="B218" s="24" t="s">
        <v>401</v>
      </c>
      <c r="C218" s="24" t="s">
        <v>402</v>
      </c>
      <c r="D218">
        <v>196</v>
      </c>
      <c r="E218" s="24">
        <v>0</v>
      </c>
      <c r="F218" s="25">
        <v>50</v>
      </c>
      <c r="G218" s="24">
        <v>0</v>
      </c>
      <c r="H218" s="24">
        <v>0</v>
      </c>
      <c r="I218" s="24">
        <v>7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t="s">
        <v>1211</v>
      </c>
      <c r="Z218" t="b">
        <v>0</v>
      </c>
      <c r="AA218" s="24" t="str">
        <f t="shared" si="3"/>
        <v>Jahnoah Markelo</v>
      </c>
    </row>
    <row r="219" spans="1:27" x14ac:dyDescent="0.25">
      <c r="A219" s="24">
        <v>4</v>
      </c>
      <c r="B219" s="24" t="s">
        <v>403</v>
      </c>
      <c r="C219" s="24" t="s">
        <v>404</v>
      </c>
      <c r="D219">
        <v>197</v>
      </c>
      <c r="E219" s="24">
        <v>0</v>
      </c>
      <c r="F219" s="25">
        <v>45</v>
      </c>
      <c r="G219" s="24">
        <v>0</v>
      </c>
      <c r="H219" s="24">
        <v>0</v>
      </c>
      <c r="I219" s="24">
        <v>7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v>0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t="s">
        <v>1211</v>
      </c>
      <c r="Z219" t="b">
        <v>0</v>
      </c>
      <c r="AA219" s="24" t="str">
        <f t="shared" si="3"/>
        <v>Norman Bassette</v>
      </c>
    </row>
    <row r="220" spans="1:27" x14ac:dyDescent="0.25">
      <c r="A220" s="24">
        <v>4</v>
      </c>
      <c r="B220" s="24" t="s">
        <v>405</v>
      </c>
      <c r="C220" s="24" t="s">
        <v>406</v>
      </c>
      <c r="D220">
        <v>492</v>
      </c>
      <c r="E220" s="24">
        <v>1.7</v>
      </c>
      <c r="F220" s="25">
        <v>55</v>
      </c>
      <c r="G220" s="24">
        <v>1.7</v>
      </c>
      <c r="H220" s="24">
        <v>0.7</v>
      </c>
      <c r="I220" s="24">
        <v>7</v>
      </c>
      <c r="J220" s="24">
        <v>5</v>
      </c>
      <c r="K220" s="24">
        <v>180</v>
      </c>
      <c r="L220" s="24">
        <v>0</v>
      </c>
      <c r="M220" s="24">
        <v>0</v>
      </c>
      <c r="N220" s="24">
        <v>0</v>
      </c>
      <c r="O220" s="24">
        <v>2</v>
      </c>
      <c r="P220" s="24">
        <v>0</v>
      </c>
      <c r="Q220" s="24">
        <v>0</v>
      </c>
      <c r="R220" s="24">
        <v>16</v>
      </c>
      <c r="S220" s="24">
        <v>9</v>
      </c>
      <c r="T220" s="24">
        <v>2</v>
      </c>
      <c r="U220" s="24">
        <v>1.24</v>
      </c>
      <c r="V220" s="24">
        <v>0.03</v>
      </c>
      <c r="W220" s="24">
        <v>1.27</v>
      </c>
      <c r="X220" s="24">
        <v>2.1800000000000002</v>
      </c>
      <c r="Y220" t="s">
        <v>1208</v>
      </c>
      <c r="Z220" t="b">
        <v>1</v>
      </c>
      <c r="AA220" s="24" t="str">
        <f t="shared" si="3"/>
        <v>Taiwo Awoniyi</v>
      </c>
    </row>
    <row r="221" spans="1:27" x14ac:dyDescent="0.25">
      <c r="A221" s="24">
        <v>3</v>
      </c>
      <c r="B221" s="24" t="s">
        <v>407</v>
      </c>
      <c r="C221" s="24" t="s">
        <v>408</v>
      </c>
      <c r="D221">
        <v>575</v>
      </c>
      <c r="E221" s="24">
        <v>1.7</v>
      </c>
      <c r="F221" s="25">
        <v>49</v>
      </c>
      <c r="G221" s="24">
        <v>1.7</v>
      </c>
      <c r="H221" s="24">
        <v>0.2</v>
      </c>
      <c r="I221" s="24">
        <v>7</v>
      </c>
      <c r="J221" s="24">
        <v>5</v>
      </c>
      <c r="K221" s="24">
        <v>158</v>
      </c>
      <c r="L221" s="24">
        <v>0</v>
      </c>
      <c r="M221" s="24">
        <v>0</v>
      </c>
      <c r="N221" s="24">
        <v>1</v>
      </c>
      <c r="O221" s="24">
        <v>3</v>
      </c>
      <c r="P221" s="24">
        <v>0</v>
      </c>
      <c r="Q221" s="24">
        <v>0</v>
      </c>
      <c r="R221" s="24">
        <v>23</v>
      </c>
      <c r="S221" s="24">
        <v>16</v>
      </c>
      <c r="T221" s="24">
        <v>2</v>
      </c>
      <c r="U221" s="24">
        <v>0.03</v>
      </c>
      <c r="V221" s="24">
        <v>0.13</v>
      </c>
      <c r="W221" s="24">
        <v>0.16</v>
      </c>
      <c r="X221" s="24">
        <v>2.5299999999999998</v>
      </c>
      <c r="Y221" t="s">
        <v>1208</v>
      </c>
      <c r="Z221" t="b">
        <v>1</v>
      </c>
      <c r="AA221" s="24" t="str">
        <f t="shared" si="3"/>
        <v>Caleb Yirenkyi</v>
      </c>
    </row>
    <row r="222" spans="1:27" x14ac:dyDescent="0.25">
      <c r="A222" s="24">
        <v>3</v>
      </c>
      <c r="B222" s="24" t="s">
        <v>409</v>
      </c>
      <c r="C222" s="24" t="s">
        <v>410</v>
      </c>
      <c r="D222">
        <v>584</v>
      </c>
      <c r="E222" s="24">
        <v>1</v>
      </c>
      <c r="F222" s="25">
        <v>54</v>
      </c>
      <c r="G222" s="24">
        <v>1</v>
      </c>
      <c r="H222" s="24">
        <v>0.1</v>
      </c>
      <c r="I222" s="24">
        <v>7</v>
      </c>
      <c r="J222" s="24">
        <v>3</v>
      </c>
      <c r="K222" s="24">
        <v>32</v>
      </c>
      <c r="L222" s="24">
        <v>0</v>
      </c>
      <c r="M222" s="24">
        <v>0</v>
      </c>
      <c r="N222" s="24">
        <v>0</v>
      </c>
      <c r="O222" s="24">
        <v>1</v>
      </c>
      <c r="P222" s="24">
        <v>0</v>
      </c>
      <c r="Q222" s="24">
        <v>0</v>
      </c>
      <c r="R222" s="24">
        <v>6</v>
      </c>
      <c r="S222" s="24">
        <v>3</v>
      </c>
      <c r="T222" s="24">
        <v>0</v>
      </c>
      <c r="U222" s="24">
        <v>0</v>
      </c>
      <c r="V222" s="24">
        <v>0.02</v>
      </c>
      <c r="W222" s="24">
        <v>0.02</v>
      </c>
      <c r="X222" s="24">
        <v>0.82</v>
      </c>
      <c r="Y222" t="s">
        <v>1208</v>
      </c>
      <c r="Z222" t="b">
        <v>1</v>
      </c>
      <c r="AA222" s="24" t="str">
        <f t="shared" si="3"/>
        <v>Gustavo Hamer</v>
      </c>
    </row>
    <row r="223" spans="1:27" x14ac:dyDescent="0.25">
      <c r="A223" s="24">
        <v>4</v>
      </c>
      <c r="B223" s="24" t="s">
        <v>1128</v>
      </c>
      <c r="C223" s="24" t="s">
        <v>1129</v>
      </c>
      <c r="D223">
        <v>599</v>
      </c>
      <c r="E223" s="24">
        <v>0</v>
      </c>
      <c r="F223" s="25">
        <v>50</v>
      </c>
      <c r="G223" s="24">
        <v>0</v>
      </c>
      <c r="H223" s="24">
        <v>0.1</v>
      </c>
      <c r="I223" s="24">
        <v>7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24">
        <v>0</v>
      </c>
      <c r="Y223" t="s">
        <v>1208</v>
      </c>
      <c r="Z223" t="b">
        <v>1</v>
      </c>
      <c r="AA223" s="24" t="str">
        <f t="shared" si="3"/>
        <v>Sidiki Cherif</v>
      </c>
    </row>
    <row r="224" spans="1:27" x14ac:dyDescent="0.25">
      <c r="A224" s="24">
        <v>1</v>
      </c>
      <c r="B224" s="24" t="s">
        <v>858</v>
      </c>
      <c r="C224" s="24" t="s">
        <v>1244</v>
      </c>
      <c r="D224">
        <v>623</v>
      </c>
      <c r="E224" s="24">
        <v>0</v>
      </c>
      <c r="F224" s="25">
        <v>40</v>
      </c>
      <c r="G224" s="24">
        <v>0</v>
      </c>
      <c r="H224" s="24">
        <v>0.3</v>
      </c>
      <c r="I224" s="24">
        <v>7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t="s">
        <v>1208</v>
      </c>
      <c r="Z224" t="b">
        <v>1</v>
      </c>
      <c r="AA224" s="24" t="str">
        <f t="shared" si="3"/>
        <v>Dan Bentley</v>
      </c>
    </row>
    <row r="225" spans="1:27" x14ac:dyDescent="0.25">
      <c r="A225" s="24">
        <v>3</v>
      </c>
      <c r="B225" s="24" t="s">
        <v>411</v>
      </c>
      <c r="C225" s="24" t="s">
        <v>412</v>
      </c>
      <c r="D225">
        <v>42</v>
      </c>
      <c r="E225" s="24">
        <v>0.7</v>
      </c>
      <c r="F225" s="25">
        <v>55</v>
      </c>
      <c r="G225" s="24">
        <v>1</v>
      </c>
      <c r="H225" s="24">
        <v>0</v>
      </c>
      <c r="I225" s="24">
        <v>8</v>
      </c>
      <c r="J225" s="24">
        <v>2</v>
      </c>
      <c r="K225" s="24">
        <v>54</v>
      </c>
      <c r="L225" s="24">
        <v>0</v>
      </c>
      <c r="M225" s="24">
        <v>0</v>
      </c>
      <c r="N225" s="24">
        <v>0</v>
      </c>
      <c r="O225" s="24">
        <v>1</v>
      </c>
      <c r="P225" s="24">
        <v>0</v>
      </c>
      <c r="Q225" s="24">
        <v>0</v>
      </c>
      <c r="R225" s="24">
        <v>6</v>
      </c>
      <c r="S225" s="24">
        <v>2</v>
      </c>
      <c r="T225" s="24">
        <v>0</v>
      </c>
      <c r="U225" s="24">
        <v>0.03</v>
      </c>
      <c r="V225" s="24">
        <v>0.03</v>
      </c>
      <c r="W225" s="24">
        <v>0.06</v>
      </c>
      <c r="X225" s="24">
        <v>0.34</v>
      </c>
      <c r="Y225" t="s">
        <v>1208</v>
      </c>
      <c r="Z225" t="b">
        <v>1</v>
      </c>
      <c r="AA225" s="24" t="str">
        <f t="shared" si="3"/>
        <v>Evann Guessand</v>
      </c>
    </row>
    <row r="226" spans="1:27" x14ac:dyDescent="0.25">
      <c r="A226" s="24">
        <v>2</v>
      </c>
      <c r="B226" s="24" t="s">
        <v>315</v>
      </c>
      <c r="C226" s="24" t="s">
        <v>316</v>
      </c>
      <c r="D226">
        <v>153</v>
      </c>
      <c r="E226" s="24">
        <v>1.3</v>
      </c>
      <c r="F226" s="25">
        <v>45</v>
      </c>
      <c r="G226" s="24">
        <v>2</v>
      </c>
      <c r="H226" s="24">
        <v>0.1</v>
      </c>
      <c r="I226" s="24">
        <v>8</v>
      </c>
      <c r="J226" s="24">
        <v>4</v>
      </c>
      <c r="K226" s="24">
        <v>106</v>
      </c>
      <c r="L226" s="24">
        <v>0</v>
      </c>
      <c r="M226" s="24">
        <v>0</v>
      </c>
      <c r="N226" s="24">
        <v>0</v>
      </c>
      <c r="O226" s="24">
        <v>3</v>
      </c>
      <c r="P226" s="24">
        <v>0</v>
      </c>
      <c r="Q226" s="24">
        <v>0</v>
      </c>
      <c r="R226" s="24">
        <v>12</v>
      </c>
      <c r="S226" s="24">
        <v>14</v>
      </c>
      <c r="T226" s="24">
        <v>1</v>
      </c>
      <c r="U226" s="24">
        <v>0</v>
      </c>
      <c r="V226" s="24">
        <v>0.04</v>
      </c>
      <c r="W226" s="24">
        <v>0.04</v>
      </c>
      <c r="X226" s="24">
        <v>3.34</v>
      </c>
      <c r="Y226" t="s">
        <v>1208</v>
      </c>
      <c r="Z226" t="b">
        <v>1</v>
      </c>
      <c r="AA226" s="24" t="str">
        <f t="shared" si="3"/>
        <v>Axel Disasi</v>
      </c>
    </row>
    <row r="227" spans="1:27" x14ac:dyDescent="0.25">
      <c r="A227" s="24">
        <v>1</v>
      </c>
      <c r="B227" s="24" t="s">
        <v>413</v>
      </c>
      <c r="C227" s="24" t="s">
        <v>290</v>
      </c>
      <c r="D227">
        <v>198</v>
      </c>
      <c r="E227" s="24">
        <v>1.7</v>
      </c>
      <c r="F227" s="25">
        <v>50</v>
      </c>
      <c r="G227" s="24">
        <v>1.7</v>
      </c>
      <c r="H227" s="24">
        <v>1.9</v>
      </c>
      <c r="I227" s="24">
        <v>8</v>
      </c>
      <c r="J227" s="24">
        <v>5</v>
      </c>
      <c r="K227" s="24">
        <v>270</v>
      </c>
      <c r="L227" s="24">
        <v>0</v>
      </c>
      <c r="M227" s="24">
        <v>0</v>
      </c>
      <c r="N227" s="24">
        <v>0</v>
      </c>
      <c r="O227" s="24">
        <v>8</v>
      </c>
      <c r="P227" s="24">
        <v>12</v>
      </c>
      <c r="Q227" s="24">
        <v>0</v>
      </c>
      <c r="R227" s="24">
        <v>37</v>
      </c>
      <c r="S227" s="24">
        <v>0</v>
      </c>
      <c r="T227" s="24">
        <v>3</v>
      </c>
      <c r="U227" s="24">
        <v>0</v>
      </c>
      <c r="V227" s="24">
        <v>0</v>
      </c>
      <c r="W227" s="24">
        <v>0</v>
      </c>
      <c r="X227" s="24">
        <v>6.47</v>
      </c>
      <c r="Y227" t="s">
        <v>1208</v>
      </c>
      <c r="Z227" t="b">
        <v>1</v>
      </c>
      <c r="AA227" s="24" t="str">
        <f t="shared" si="3"/>
        <v>Dean Henderson</v>
      </c>
    </row>
    <row r="228" spans="1:27" x14ac:dyDescent="0.25">
      <c r="A228" s="24">
        <v>1</v>
      </c>
      <c r="B228" s="24" t="s">
        <v>414</v>
      </c>
      <c r="C228" s="24" t="s">
        <v>415</v>
      </c>
      <c r="D228">
        <v>199</v>
      </c>
      <c r="E228" s="24">
        <v>0</v>
      </c>
      <c r="F228" s="25">
        <v>45</v>
      </c>
      <c r="G228" s="24">
        <v>0</v>
      </c>
      <c r="H228" s="24">
        <v>0.1</v>
      </c>
      <c r="I228" s="24">
        <v>8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t="s">
        <v>1208</v>
      </c>
      <c r="Z228" t="b">
        <v>1</v>
      </c>
      <c r="AA228" s="24" t="str">
        <f t="shared" si="3"/>
        <v>Walter Benítez</v>
      </c>
    </row>
    <row r="229" spans="1:27" x14ac:dyDescent="0.25">
      <c r="A229" s="24">
        <v>2</v>
      </c>
      <c r="B229" s="24" t="s">
        <v>418</v>
      </c>
      <c r="C229" s="24" t="s">
        <v>419</v>
      </c>
      <c r="D229">
        <v>202</v>
      </c>
      <c r="E229" s="24">
        <v>1.3</v>
      </c>
      <c r="F229" s="25">
        <v>50</v>
      </c>
      <c r="G229" s="24">
        <v>1.3</v>
      </c>
      <c r="H229" s="24">
        <v>0.7</v>
      </c>
      <c r="I229" s="24">
        <v>8</v>
      </c>
      <c r="J229" s="24">
        <v>4</v>
      </c>
      <c r="K229" s="24">
        <v>270</v>
      </c>
      <c r="L229" s="24">
        <v>0</v>
      </c>
      <c r="M229" s="24">
        <v>0</v>
      </c>
      <c r="N229" s="24">
        <v>0</v>
      </c>
      <c r="O229" s="24">
        <v>8</v>
      </c>
      <c r="P229" s="24">
        <v>0</v>
      </c>
      <c r="Q229" s="24">
        <v>0</v>
      </c>
      <c r="R229" s="24">
        <v>17</v>
      </c>
      <c r="S229" s="24">
        <v>31</v>
      </c>
      <c r="T229" s="24">
        <v>3</v>
      </c>
      <c r="U229" s="24">
        <v>0.08</v>
      </c>
      <c r="V229" s="24">
        <v>0</v>
      </c>
      <c r="W229" s="24">
        <v>0.08</v>
      </c>
      <c r="X229" s="24">
        <v>6.47</v>
      </c>
      <c r="Y229" t="s">
        <v>1208</v>
      </c>
      <c r="Z229" t="b">
        <v>1</v>
      </c>
      <c r="AA229" s="24" t="str">
        <f t="shared" si="3"/>
        <v>Chris Richards</v>
      </c>
    </row>
    <row r="230" spans="1:27" x14ac:dyDescent="0.25">
      <c r="A230" s="24">
        <v>2</v>
      </c>
      <c r="B230" s="24" t="s">
        <v>420</v>
      </c>
      <c r="C230" s="24" t="s">
        <v>421</v>
      </c>
      <c r="D230">
        <v>203</v>
      </c>
      <c r="E230" s="24">
        <v>0.7</v>
      </c>
      <c r="F230" s="25">
        <v>49</v>
      </c>
      <c r="G230" s="24">
        <v>0.7</v>
      </c>
      <c r="H230" s="24">
        <v>0.2</v>
      </c>
      <c r="I230" s="24">
        <v>8</v>
      </c>
      <c r="J230" s="24">
        <v>2</v>
      </c>
      <c r="K230" s="24">
        <v>270</v>
      </c>
      <c r="L230" s="24">
        <v>0</v>
      </c>
      <c r="M230" s="24">
        <v>0</v>
      </c>
      <c r="N230" s="24">
        <v>0</v>
      </c>
      <c r="O230" s="24">
        <v>8</v>
      </c>
      <c r="P230" s="24">
        <v>0</v>
      </c>
      <c r="Q230" s="24">
        <v>0</v>
      </c>
      <c r="R230" s="24">
        <v>12</v>
      </c>
      <c r="S230" s="24">
        <v>24</v>
      </c>
      <c r="T230" s="24">
        <v>3</v>
      </c>
      <c r="U230" s="24">
        <v>0.05</v>
      </c>
      <c r="V230" s="24">
        <v>0.01</v>
      </c>
      <c r="W230" s="24">
        <v>0.06</v>
      </c>
      <c r="X230" s="24">
        <v>6.47</v>
      </c>
      <c r="Y230" t="s">
        <v>1208</v>
      </c>
      <c r="Z230" t="b">
        <v>1</v>
      </c>
      <c r="AA230" s="24" t="str">
        <f t="shared" si="3"/>
        <v>Jaydee Canvot</v>
      </c>
    </row>
    <row r="231" spans="1:27" x14ac:dyDescent="0.25">
      <c r="A231" s="24">
        <v>2</v>
      </c>
      <c r="B231" s="24" t="s">
        <v>422</v>
      </c>
      <c r="C231" s="24" t="s">
        <v>423</v>
      </c>
      <c r="D231">
        <v>204</v>
      </c>
      <c r="E231" s="24">
        <v>5.3</v>
      </c>
      <c r="F231" s="25">
        <v>45</v>
      </c>
      <c r="G231" s="24">
        <v>5.3</v>
      </c>
      <c r="H231" s="24">
        <v>5.3</v>
      </c>
      <c r="I231" s="24">
        <v>8</v>
      </c>
      <c r="J231" s="24">
        <v>16</v>
      </c>
      <c r="K231" s="24">
        <v>253</v>
      </c>
      <c r="L231" s="24">
        <v>2</v>
      </c>
      <c r="M231" s="24">
        <v>0</v>
      </c>
      <c r="N231" s="24">
        <v>0</v>
      </c>
      <c r="O231" s="24">
        <v>8</v>
      </c>
      <c r="P231" s="24">
        <v>0</v>
      </c>
      <c r="Q231" s="24">
        <v>2</v>
      </c>
      <c r="R231" s="24">
        <v>32</v>
      </c>
      <c r="S231" s="24">
        <v>16</v>
      </c>
      <c r="T231" s="24">
        <v>3</v>
      </c>
      <c r="U231" s="24">
        <v>0.77</v>
      </c>
      <c r="V231" s="24">
        <v>0.18</v>
      </c>
      <c r="W231" s="24">
        <v>0.95</v>
      </c>
      <c r="X231" s="24">
        <v>5.9</v>
      </c>
      <c r="Y231" t="s">
        <v>1208</v>
      </c>
      <c r="Z231" t="b">
        <v>1</v>
      </c>
      <c r="AA231" s="24" t="str">
        <f t="shared" si="3"/>
        <v>Tyrick Mitchell</v>
      </c>
    </row>
    <row r="232" spans="1:27" x14ac:dyDescent="0.25">
      <c r="A232" s="24">
        <v>2</v>
      </c>
      <c r="B232" s="24" t="s">
        <v>424</v>
      </c>
      <c r="C232" s="24" t="s">
        <v>425</v>
      </c>
      <c r="D232">
        <v>205</v>
      </c>
      <c r="E232" s="24">
        <v>0</v>
      </c>
      <c r="F232" s="25">
        <v>45</v>
      </c>
      <c r="G232" s="24">
        <v>0</v>
      </c>
      <c r="H232" s="24">
        <v>0</v>
      </c>
      <c r="I232" s="24">
        <v>8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t="s">
        <v>1211</v>
      </c>
      <c r="Z232" t="b">
        <v>0</v>
      </c>
      <c r="AA232" s="24" t="str">
        <f t="shared" si="3"/>
        <v>Borna Sosa</v>
      </c>
    </row>
    <row r="233" spans="1:27" x14ac:dyDescent="0.25">
      <c r="A233" s="24">
        <v>2</v>
      </c>
      <c r="B233" s="24" t="s">
        <v>426</v>
      </c>
      <c r="C233" s="24" t="s">
        <v>427</v>
      </c>
      <c r="D233">
        <v>206</v>
      </c>
      <c r="E233" s="24">
        <v>0.3</v>
      </c>
      <c r="F233" s="25">
        <v>44</v>
      </c>
      <c r="G233" s="24">
        <v>1</v>
      </c>
      <c r="H233" s="24">
        <v>0</v>
      </c>
      <c r="I233" s="24">
        <v>8</v>
      </c>
      <c r="J233" s="24">
        <v>1</v>
      </c>
      <c r="K233" s="24">
        <v>72</v>
      </c>
      <c r="L233" s="24">
        <v>0</v>
      </c>
      <c r="M233" s="24">
        <v>0</v>
      </c>
      <c r="N233" s="24">
        <v>0</v>
      </c>
      <c r="O233" s="24">
        <v>2</v>
      </c>
      <c r="P233" s="24">
        <v>0</v>
      </c>
      <c r="Q233" s="24">
        <v>0</v>
      </c>
      <c r="R233" s="24">
        <v>7</v>
      </c>
      <c r="S233" s="24">
        <v>7</v>
      </c>
      <c r="T233" s="24">
        <v>1</v>
      </c>
      <c r="U233" s="24">
        <v>0</v>
      </c>
      <c r="V233" s="24">
        <v>0.01</v>
      </c>
      <c r="W233" s="24">
        <v>0.01</v>
      </c>
      <c r="X233" s="24">
        <v>0.98</v>
      </c>
      <c r="Y233" t="s">
        <v>1209</v>
      </c>
      <c r="Z233" t="b">
        <v>1</v>
      </c>
      <c r="AA233" s="24" t="str">
        <f t="shared" si="3"/>
        <v>Chadi Riad Dnanou</v>
      </c>
    </row>
    <row r="234" spans="1:27" x14ac:dyDescent="0.25">
      <c r="A234" s="24">
        <v>2</v>
      </c>
      <c r="B234" s="24" t="s">
        <v>428</v>
      </c>
      <c r="C234" s="24" t="s">
        <v>429</v>
      </c>
      <c r="D234">
        <v>207</v>
      </c>
      <c r="E234" s="24">
        <v>0.7</v>
      </c>
      <c r="F234" s="25">
        <v>44</v>
      </c>
      <c r="G234" s="24">
        <v>1</v>
      </c>
      <c r="H234" s="24">
        <v>0.1</v>
      </c>
      <c r="I234" s="24">
        <v>8</v>
      </c>
      <c r="J234" s="24">
        <v>2</v>
      </c>
      <c r="K234" s="24">
        <v>16</v>
      </c>
      <c r="L234" s="24">
        <v>0</v>
      </c>
      <c r="M234" s="24">
        <v>0</v>
      </c>
      <c r="N234" s="24">
        <v>0</v>
      </c>
      <c r="O234" s="24">
        <v>1</v>
      </c>
      <c r="P234" s="24">
        <v>0</v>
      </c>
      <c r="Q234" s="24">
        <v>0</v>
      </c>
      <c r="R234" s="24">
        <v>5</v>
      </c>
      <c r="S234" s="24">
        <v>2</v>
      </c>
      <c r="T234" s="24">
        <v>0</v>
      </c>
      <c r="U234" s="24">
        <v>0</v>
      </c>
      <c r="V234" s="24">
        <v>0</v>
      </c>
      <c r="W234" s="24">
        <v>0</v>
      </c>
      <c r="X234" s="24">
        <v>0.33</v>
      </c>
      <c r="Y234" t="s">
        <v>1208</v>
      </c>
      <c r="Z234" t="b">
        <v>1</v>
      </c>
      <c r="AA234" s="24" t="str">
        <f t="shared" si="3"/>
        <v>Oscar Mingueza</v>
      </c>
    </row>
    <row r="235" spans="1:27" x14ac:dyDescent="0.25">
      <c r="A235" s="24">
        <v>3</v>
      </c>
      <c r="B235" s="24" t="s">
        <v>430</v>
      </c>
      <c r="C235" s="24" t="s">
        <v>312</v>
      </c>
      <c r="D235">
        <v>208</v>
      </c>
      <c r="E235" s="24">
        <v>0</v>
      </c>
      <c r="F235" s="25">
        <v>63</v>
      </c>
      <c r="G235" s="24">
        <v>0</v>
      </c>
      <c r="H235" s="24">
        <v>1</v>
      </c>
      <c r="I235" s="24">
        <v>8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t="s">
        <v>1209</v>
      </c>
      <c r="Z235" t="b">
        <v>1</v>
      </c>
      <c r="AA235" s="24" t="str">
        <f t="shared" si="3"/>
        <v>Ismaïla Sarr</v>
      </c>
    </row>
    <row r="236" spans="1:27" x14ac:dyDescent="0.25">
      <c r="A236" s="24">
        <v>3</v>
      </c>
      <c r="B236" s="24" t="s">
        <v>143</v>
      </c>
      <c r="C236" s="24" t="s">
        <v>431</v>
      </c>
      <c r="D236">
        <v>210</v>
      </c>
      <c r="E236" s="24">
        <v>2.7</v>
      </c>
      <c r="F236" s="25">
        <v>55</v>
      </c>
      <c r="G236" s="24">
        <v>2.7</v>
      </c>
      <c r="H236" s="24">
        <v>0.9</v>
      </c>
      <c r="I236" s="24">
        <v>8</v>
      </c>
      <c r="J236" s="24">
        <v>8</v>
      </c>
      <c r="K236" s="24">
        <v>270</v>
      </c>
      <c r="L236" s="24">
        <v>0</v>
      </c>
      <c r="M236" s="24">
        <v>0</v>
      </c>
      <c r="N236" s="24">
        <v>0</v>
      </c>
      <c r="O236" s="24">
        <v>8</v>
      </c>
      <c r="P236" s="24">
        <v>0</v>
      </c>
      <c r="Q236" s="24">
        <v>0</v>
      </c>
      <c r="R236" s="24">
        <v>51</v>
      </c>
      <c r="S236" s="24">
        <v>29</v>
      </c>
      <c r="T236" s="24">
        <v>3</v>
      </c>
      <c r="U236" s="24">
        <v>0</v>
      </c>
      <c r="V236" s="24">
        <v>0.32</v>
      </c>
      <c r="W236" s="24">
        <v>0.32</v>
      </c>
      <c r="X236" s="24">
        <v>6.47</v>
      </c>
      <c r="Y236" t="s">
        <v>1208</v>
      </c>
      <c r="Z236" t="b">
        <v>1</v>
      </c>
      <c r="AA236" s="24" t="str">
        <f t="shared" si="3"/>
        <v>Adam Wharton</v>
      </c>
    </row>
    <row r="237" spans="1:27" x14ac:dyDescent="0.25">
      <c r="A237" s="24">
        <v>3</v>
      </c>
      <c r="B237" s="24" t="s">
        <v>432</v>
      </c>
      <c r="C237" s="24" t="s">
        <v>433</v>
      </c>
      <c r="D237">
        <v>211</v>
      </c>
      <c r="E237" s="24">
        <v>3.7</v>
      </c>
      <c r="F237" s="25">
        <v>55</v>
      </c>
      <c r="G237" s="24">
        <v>3.7</v>
      </c>
      <c r="H237" s="24">
        <v>0.3</v>
      </c>
      <c r="I237" s="24">
        <v>8</v>
      </c>
      <c r="J237" s="24">
        <v>11</v>
      </c>
      <c r="K237" s="24">
        <v>190</v>
      </c>
      <c r="L237" s="24">
        <v>0</v>
      </c>
      <c r="M237" s="24">
        <v>2</v>
      </c>
      <c r="N237" s="24">
        <v>0</v>
      </c>
      <c r="O237" s="24">
        <v>5</v>
      </c>
      <c r="P237" s="24">
        <v>0</v>
      </c>
      <c r="Q237" s="24">
        <v>0</v>
      </c>
      <c r="R237" s="24">
        <v>56</v>
      </c>
      <c r="S237" s="24">
        <v>20</v>
      </c>
      <c r="T237" s="24">
        <v>2</v>
      </c>
      <c r="U237" s="24">
        <v>0.36</v>
      </c>
      <c r="V237" s="24">
        <v>0.39</v>
      </c>
      <c r="W237" s="24">
        <v>0.75</v>
      </c>
      <c r="X237" s="24">
        <v>5.29</v>
      </c>
      <c r="Y237" t="s">
        <v>1208</v>
      </c>
      <c r="Z237" t="b">
        <v>1</v>
      </c>
      <c r="AA237" s="24" t="str">
        <f t="shared" si="3"/>
        <v>Yéremy Pino Santos</v>
      </c>
    </row>
    <row r="238" spans="1:27" x14ac:dyDescent="0.25">
      <c r="A238" s="24">
        <v>3</v>
      </c>
      <c r="B238" s="24" t="s">
        <v>133</v>
      </c>
      <c r="C238" s="24" t="s">
        <v>434</v>
      </c>
      <c r="D238">
        <v>212</v>
      </c>
      <c r="E238" s="24">
        <v>0.3</v>
      </c>
      <c r="F238" s="25">
        <v>45</v>
      </c>
      <c r="G238" s="24">
        <v>1</v>
      </c>
      <c r="H238" s="24">
        <v>9.1</v>
      </c>
      <c r="I238" s="24">
        <v>8</v>
      </c>
      <c r="J238" s="24">
        <v>1</v>
      </c>
      <c r="K238" s="24">
        <v>16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3</v>
      </c>
      <c r="S238" s="24">
        <v>3</v>
      </c>
      <c r="T238" s="24">
        <v>0</v>
      </c>
      <c r="U238" s="24">
        <v>0</v>
      </c>
      <c r="V238" s="24">
        <v>0</v>
      </c>
      <c r="W238" s="24">
        <v>0</v>
      </c>
      <c r="X238" s="24">
        <v>0.56999999999999995</v>
      </c>
      <c r="Y238" t="s">
        <v>1208</v>
      </c>
      <c r="Z238" t="b">
        <v>1</v>
      </c>
      <c r="AA238" s="24" t="str">
        <f t="shared" si="3"/>
        <v>Will Hughes</v>
      </c>
    </row>
    <row r="239" spans="1:27" x14ac:dyDescent="0.25">
      <c r="A239" s="24">
        <v>3</v>
      </c>
      <c r="B239" s="24" t="s">
        <v>435</v>
      </c>
      <c r="C239" s="24" t="s">
        <v>436</v>
      </c>
      <c r="D239">
        <v>213</v>
      </c>
      <c r="E239" s="24">
        <v>0</v>
      </c>
      <c r="F239" s="25">
        <v>49</v>
      </c>
      <c r="G239" s="24">
        <v>0</v>
      </c>
      <c r="H239" s="24">
        <v>0.1</v>
      </c>
      <c r="I239" s="24">
        <v>8</v>
      </c>
      <c r="J239" s="24">
        <v>0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t="s">
        <v>1208</v>
      </c>
      <c r="Z239" t="b">
        <v>1</v>
      </c>
      <c r="AA239" s="24" t="str">
        <f t="shared" si="3"/>
        <v>Jefferson Lerma Solís</v>
      </c>
    </row>
    <row r="240" spans="1:27" x14ac:dyDescent="0.25">
      <c r="A240" s="24">
        <v>3</v>
      </c>
      <c r="B240" s="24" t="s">
        <v>437</v>
      </c>
      <c r="C240" s="24" t="s">
        <v>438</v>
      </c>
      <c r="D240">
        <v>214</v>
      </c>
      <c r="E240" s="24">
        <v>3.3</v>
      </c>
      <c r="F240" s="25">
        <v>50</v>
      </c>
      <c r="G240" s="24">
        <v>3.3</v>
      </c>
      <c r="H240" s="24">
        <v>0.3</v>
      </c>
      <c r="I240" s="24">
        <v>8</v>
      </c>
      <c r="J240" s="24">
        <v>10</v>
      </c>
      <c r="K240" s="24">
        <v>268</v>
      </c>
      <c r="L240" s="24">
        <v>0</v>
      </c>
      <c r="M240" s="24">
        <v>1</v>
      </c>
      <c r="N240" s="24">
        <v>0</v>
      </c>
      <c r="O240" s="24">
        <v>8</v>
      </c>
      <c r="P240" s="24">
        <v>0</v>
      </c>
      <c r="Q240" s="24">
        <v>0</v>
      </c>
      <c r="R240" s="24">
        <v>67</v>
      </c>
      <c r="S240" s="24">
        <v>27</v>
      </c>
      <c r="T240" s="24">
        <v>3</v>
      </c>
      <c r="U240" s="24">
        <v>0.05</v>
      </c>
      <c r="V240" s="24">
        <v>0.3</v>
      </c>
      <c r="W240" s="24">
        <v>0.35</v>
      </c>
      <c r="X240" s="24">
        <v>6.34</v>
      </c>
      <c r="Y240" t="s">
        <v>1208</v>
      </c>
      <c r="Z240" t="b">
        <v>1</v>
      </c>
      <c r="AA240" s="24" t="str">
        <f t="shared" si="3"/>
        <v>Daichi Kamada</v>
      </c>
    </row>
    <row r="241" spans="1:27" x14ac:dyDescent="0.25">
      <c r="A241" s="24">
        <v>3</v>
      </c>
      <c r="B241" s="24" t="s">
        <v>155</v>
      </c>
      <c r="C241" s="24" t="s">
        <v>439</v>
      </c>
      <c r="D241">
        <v>215</v>
      </c>
      <c r="E241" s="24">
        <v>0</v>
      </c>
      <c r="F241" s="25">
        <v>50</v>
      </c>
      <c r="G241" s="24">
        <v>0</v>
      </c>
      <c r="H241" s="24">
        <v>0</v>
      </c>
      <c r="I241" s="24">
        <v>8</v>
      </c>
      <c r="J241" s="24">
        <v>0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t="s">
        <v>1211</v>
      </c>
      <c r="Z241" t="b">
        <v>0</v>
      </c>
      <c r="AA241" s="24" t="str">
        <f t="shared" si="3"/>
        <v>Justin Devenny</v>
      </c>
    </row>
    <row r="242" spans="1:27" x14ac:dyDescent="0.25">
      <c r="A242" s="24">
        <v>3</v>
      </c>
      <c r="B242" s="24" t="s">
        <v>440</v>
      </c>
      <c r="C242" s="24" t="s">
        <v>441</v>
      </c>
      <c r="D242">
        <v>216</v>
      </c>
      <c r="E242" s="24">
        <v>0</v>
      </c>
      <c r="F242" s="25">
        <v>50</v>
      </c>
      <c r="G242" s="24">
        <v>0</v>
      </c>
      <c r="H242" s="24">
        <v>0</v>
      </c>
      <c r="I242" s="24">
        <v>8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t="s">
        <v>1211</v>
      </c>
      <c r="Z242" t="b">
        <v>0</v>
      </c>
      <c r="AA242" s="24" t="str">
        <f t="shared" si="3"/>
        <v>Romain Esse</v>
      </c>
    </row>
    <row r="243" spans="1:27" x14ac:dyDescent="0.25">
      <c r="A243" s="24">
        <v>3</v>
      </c>
      <c r="B243" s="24" t="s">
        <v>442</v>
      </c>
      <c r="C243" s="24" t="s">
        <v>443</v>
      </c>
      <c r="D243">
        <v>217</v>
      </c>
      <c r="E243" s="24">
        <v>0</v>
      </c>
      <c r="F243" s="25">
        <v>49</v>
      </c>
      <c r="G243" s="24">
        <v>0</v>
      </c>
      <c r="H243" s="24">
        <v>0</v>
      </c>
      <c r="I243" s="24">
        <v>8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t="s">
        <v>1208</v>
      </c>
      <c r="Z243" t="b">
        <v>1</v>
      </c>
      <c r="AA243" s="24" t="str">
        <f t="shared" si="3"/>
        <v>Matheus França de Oliveira</v>
      </c>
    </row>
    <row r="244" spans="1:27" x14ac:dyDescent="0.25">
      <c r="A244" s="24">
        <v>3</v>
      </c>
      <c r="B244" s="24" t="s">
        <v>444</v>
      </c>
      <c r="C244" s="24" t="s">
        <v>445</v>
      </c>
      <c r="D244">
        <v>218</v>
      </c>
      <c r="E244" s="24">
        <v>0</v>
      </c>
      <c r="F244" s="25">
        <v>49</v>
      </c>
      <c r="G244" s="24">
        <v>0</v>
      </c>
      <c r="H244" s="24">
        <v>0.1</v>
      </c>
      <c r="I244" s="24">
        <v>8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t="s">
        <v>1208</v>
      </c>
      <c r="Z244" t="b">
        <v>1</v>
      </c>
      <c r="AA244" s="24" t="str">
        <f t="shared" si="3"/>
        <v>Cheick Doucouré</v>
      </c>
    </row>
    <row r="245" spans="1:27" x14ac:dyDescent="0.25">
      <c r="A245" s="24">
        <v>3</v>
      </c>
      <c r="B245" s="24" t="s">
        <v>446</v>
      </c>
      <c r="C245" s="24" t="s">
        <v>447</v>
      </c>
      <c r="D245">
        <v>219</v>
      </c>
      <c r="E245" s="24">
        <v>0</v>
      </c>
      <c r="F245" s="25">
        <v>50</v>
      </c>
      <c r="G245" s="24">
        <v>0</v>
      </c>
      <c r="H245" s="24">
        <v>0</v>
      </c>
      <c r="I245" s="24">
        <v>8</v>
      </c>
      <c r="J245" s="24"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t="s">
        <v>1208</v>
      </c>
      <c r="Z245" t="b">
        <v>1</v>
      </c>
      <c r="AA245" s="24" t="str">
        <f t="shared" si="3"/>
        <v>Jesurun Rak-Sakyi</v>
      </c>
    </row>
    <row r="246" spans="1:27" x14ac:dyDescent="0.25">
      <c r="A246" s="24">
        <v>2</v>
      </c>
      <c r="B246" s="24" t="s">
        <v>448</v>
      </c>
      <c r="C246" s="24" t="s">
        <v>449</v>
      </c>
      <c r="D246">
        <v>220</v>
      </c>
      <c r="E246" s="24">
        <v>0</v>
      </c>
      <c r="F246" s="25">
        <v>45</v>
      </c>
      <c r="G246" s="24">
        <v>0</v>
      </c>
      <c r="H246" s="24">
        <v>0</v>
      </c>
      <c r="I246" s="24">
        <v>8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t="s">
        <v>1211</v>
      </c>
      <c r="Z246" t="b">
        <v>0</v>
      </c>
      <c r="AA246" s="24" t="str">
        <f t="shared" si="3"/>
        <v>Rio Cardines</v>
      </c>
    </row>
    <row r="247" spans="1:27" x14ac:dyDescent="0.25">
      <c r="A247" s="24">
        <v>3</v>
      </c>
      <c r="B247" s="24" t="s">
        <v>450</v>
      </c>
      <c r="C247" s="24" t="s">
        <v>451</v>
      </c>
      <c r="D247">
        <v>221</v>
      </c>
      <c r="E247" s="24">
        <v>0</v>
      </c>
      <c r="F247" s="25">
        <v>45</v>
      </c>
      <c r="G247" s="24">
        <v>0</v>
      </c>
      <c r="H247" s="24">
        <v>0.1</v>
      </c>
      <c r="I247" s="24">
        <v>8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t="s">
        <v>1208</v>
      </c>
      <c r="Z247" t="b">
        <v>1</v>
      </c>
      <c r="AA247" s="24" t="str">
        <f t="shared" si="3"/>
        <v>Joél Drakes-Thomas</v>
      </c>
    </row>
    <row r="248" spans="1:27" x14ac:dyDescent="0.25">
      <c r="A248" s="24">
        <v>4</v>
      </c>
      <c r="B248" s="24" t="s">
        <v>452</v>
      </c>
      <c r="C248" s="24" t="s">
        <v>453</v>
      </c>
      <c r="D248">
        <v>222</v>
      </c>
      <c r="E248" s="24">
        <v>1.3</v>
      </c>
      <c r="F248" s="25">
        <v>60</v>
      </c>
      <c r="G248" s="24">
        <v>1.3</v>
      </c>
      <c r="H248" s="24">
        <v>0.5</v>
      </c>
      <c r="I248" s="24">
        <v>8</v>
      </c>
      <c r="J248" s="24">
        <v>4</v>
      </c>
      <c r="K248" s="24">
        <v>134</v>
      </c>
      <c r="L248" s="24">
        <v>0</v>
      </c>
      <c r="M248" s="24">
        <v>0</v>
      </c>
      <c r="N248" s="24">
        <v>0</v>
      </c>
      <c r="O248" s="24">
        <v>3</v>
      </c>
      <c r="P248" s="24">
        <v>0</v>
      </c>
      <c r="Q248" s="24">
        <v>0</v>
      </c>
      <c r="R248" s="24">
        <v>20</v>
      </c>
      <c r="S248" s="24">
        <v>8</v>
      </c>
      <c r="T248" s="24">
        <v>1</v>
      </c>
      <c r="U248" s="24">
        <v>0.3</v>
      </c>
      <c r="V248" s="24">
        <v>0.01</v>
      </c>
      <c r="W248" s="24">
        <v>0.31</v>
      </c>
      <c r="X248" s="24">
        <v>3.69</v>
      </c>
      <c r="Y248" t="s">
        <v>1208</v>
      </c>
      <c r="Z248" t="b">
        <v>1</v>
      </c>
      <c r="AA248" s="24" t="str">
        <f t="shared" si="3"/>
        <v>Jørgen Strand Larsen</v>
      </c>
    </row>
    <row r="249" spans="1:27" x14ac:dyDescent="0.25">
      <c r="A249" s="24">
        <v>4</v>
      </c>
      <c r="B249" s="24" t="s">
        <v>454</v>
      </c>
      <c r="C249" s="24" t="s">
        <v>455</v>
      </c>
      <c r="D249">
        <v>223</v>
      </c>
      <c r="E249" s="24">
        <v>0.7</v>
      </c>
      <c r="F249" s="25">
        <v>64</v>
      </c>
      <c r="G249" s="24">
        <v>2</v>
      </c>
      <c r="H249" s="24">
        <v>2.1</v>
      </c>
      <c r="I249" s="24">
        <v>8</v>
      </c>
      <c r="J249" s="24">
        <v>2</v>
      </c>
      <c r="K249" s="24">
        <v>62</v>
      </c>
      <c r="L249" s="24">
        <v>0</v>
      </c>
      <c r="M249" s="24">
        <v>0</v>
      </c>
      <c r="N249" s="24">
        <v>0</v>
      </c>
      <c r="O249" s="24">
        <v>2</v>
      </c>
      <c r="P249" s="24">
        <v>0</v>
      </c>
      <c r="Q249" s="24">
        <v>0</v>
      </c>
      <c r="R249" s="24">
        <v>-3</v>
      </c>
      <c r="S249" s="24">
        <v>5</v>
      </c>
      <c r="T249" s="24">
        <v>1</v>
      </c>
      <c r="U249" s="24">
        <v>0.7</v>
      </c>
      <c r="V249" s="24">
        <v>0.02</v>
      </c>
      <c r="W249" s="24">
        <v>0.72</v>
      </c>
      <c r="X249" s="24">
        <v>0.98</v>
      </c>
      <c r="Y249" t="s">
        <v>1209</v>
      </c>
      <c r="Z249" t="b">
        <v>1</v>
      </c>
      <c r="AA249" s="24" t="str">
        <f t="shared" si="3"/>
        <v>Jean-Philippe Mateta</v>
      </c>
    </row>
    <row r="250" spans="1:27" x14ac:dyDescent="0.25">
      <c r="A250" s="24">
        <v>4</v>
      </c>
      <c r="B250" s="24" t="s">
        <v>456</v>
      </c>
      <c r="C250" s="24" t="s">
        <v>457</v>
      </c>
      <c r="D250">
        <v>224</v>
      </c>
      <c r="E250" s="24">
        <v>2.2999999999999998</v>
      </c>
      <c r="F250" s="25">
        <v>55</v>
      </c>
      <c r="G250" s="24">
        <v>2.2999999999999998</v>
      </c>
      <c r="H250" s="24">
        <v>0.6</v>
      </c>
      <c r="I250" s="24">
        <v>8</v>
      </c>
      <c r="J250" s="24">
        <v>7</v>
      </c>
      <c r="K250" s="24">
        <v>167</v>
      </c>
      <c r="L250" s="24">
        <v>0</v>
      </c>
      <c r="M250" s="24">
        <v>1</v>
      </c>
      <c r="N250" s="24">
        <v>0</v>
      </c>
      <c r="O250" s="24">
        <v>7</v>
      </c>
      <c r="P250" s="24">
        <v>0</v>
      </c>
      <c r="Q250" s="24">
        <v>0</v>
      </c>
      <c r="R250" s="24">
        <v>36</v>
      </c>
      <c r="S250" s="24">
        <v>11</v>
      </c>
      <c r="T250" s="24">
        <v>3</v>
      </c>
      <c r="U250" s="24">
        <v>1.1000000000000001</v>
      </c>
      <c r="V250" s="24">
        <v>0.57999999999999996</v>
      </c>
      <c r="W250" s="24">
        <v>1.68</v>
      </c>
      <c r="X250" s="24">
        <v>4.45</v>
      </c>
      <c r="Y250" t="s">
        <v>1208</v>
      </c>
      <c r="Z250" t="b">
        <v>1</v>
      </c>
      <c r="AA250" s="24" t="str">
        <f t="shared" si="3"/>
        <v>Eddie Nketiah</v>
      </c>
    </row>
    <row r="251" spans="1:27" x14ac:dyDescent="0.25">
      <c r="A251" s="24">
        <v>4</v>
      </c>
      <c r="B251" s="24" t="s">
        <v>458</v>
      </c>
      <c r="C251" s="24" t="s">
        <v>459</v>
      </c>
      <c r="D251">
        <v>225</v>
      </c>
      <c r="E251" s="24">
        <v>0</v>
      </c>
      <c r="F251" s="25">
        <v>50</v>
      </c>
      <c r="G251" s="24">
        <v>0</v>
      </c>
      <c r="H251" s="24">
        <v>0</v>
      </c>
      <c r="I251" s="24">
        <v>8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t="s">
        <v>1211</v>
      </c>
      <c r="Z251" t="b">
        <v>0</v>
      </c>
      <c r="AA251" s="24" t="str">
        <f t="shared" si="3"/>
        <v>Christantus Uche</v>
      </c>
    </row>
    <row r="252" spans="1:27" x14ac:dyDescent="0.25">
      <c r="A252" s="24">
        <v>3</v>
      </c>
      <c r="B252" s="24" t="s">
        <v>460</v>
      </c>
      <c r="C252" s="24" t="s">
        <v>461</v>
      </c>
      <c r="D252">
        <v>241</v>
      </c>
      <c r="E252" s="24">
        <v>1</v>
      </c>
      <c r="F252" s="25">
        <v>54</v>
      </c>
      <c r="G252" s="24">
        <v>1.5</v>
      </c>
      <c r="H252" s="24">
        <v>0.1</v>
      </c>
      <c r="I252" s="24">
        <v>8</v>
      </c>
      <c r="J252" s="24">
        <v>3</v>
      </c>
      <c r="K252" s="24">
        <v>84</v>
      </c>
      <c r="L252" s="24">
        <v>0</v>
      </c>
      <c r="M252" s="24">
        <v>0</v>
      </c>
      <c r="N252" s="24">
        <v>0</v>
      </c>
      <c r="O252" s="24">
        <v>3</v>
      </c>
      <c r="P252" s="24">
        <v>0</v>
      </c>
      <c r="Q252" s="24">
        <v>0</v>
      </c>
      <c r="R252" s="24">
        <v>13</v>
      </c>
      <c r="S252" s="24">
        <v>7</v>
      </c>
      <c r="T252" s="24">
        <v>1</v>
      </c>
      <c r="U252" s="24">
        <v>0.05</v>
      </c>
      <c r="V252" s="24">
        <v>0.02</v>
      </c>
      <c r="W252" s="24">
        <v>7.0000000000000007E-2</v>
      </c>
      <c r="X252" s="24">
        <v>1.18</v>
      </c>
      <c r="Y252" t="s">
        <v>1208</v>
      </c>
      <c r="Z252" t="b">
        <v>1</v>
      </c>
      <c r="AA252" s="24" t="str">
        <f t="shared" si="3"/>
        <v>Dwight McNeil</v>
      </c>
    </row>
    <row r="253" spans="1:27" x14ac:dyDescent="0.25">
      <c r="A253" s="24">
        <v>1</v>
      </c>
      <c r="B253" s="24" t="s">
        <v>462</v>
      </c>
      <c r="C253" s="24" t="s">
        <v>463</v>
      </c>
      <c r="D253">
        <v>555</v>
      </c>
      <c r="E253" s="24">
        <v>0</v>
      </c>
      <c r="F253" s="25">
        <v>40</v>
      </c>
      <c r="G253" s="24">
        <v>0</v>
      </c>
      <c r="H253" s="24">
        <v>1.8</v>
      </c>
      <c r="I253" s="24">
        <v>8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t="s">
        <v>1208</v>
      </c>
      <c r="Z253" t="b">
        <v>1</v>
      </c>
      <c r="AA253" s="24" t="str">
        <f t="shared" si="3"/>
        <v>Remi Matthews</v>
      </c>
    </row>
    <row r="254" spans="1:27" x14ac:dyDescent="0.25">
      <c r="A254" s="24">
        <v>2</v>
      </c>
      <c r="B254" s="24" t="s">
        <v>464</v>
      </c>
      <c r="C254" s="24" t="s">
        <v>465</v>
      </c>
      <c r="D254">
        <v>577</v>
      </c>
      <c r="E254" s="24">
        <v>0.7</v>
      </c>
      <c r="F254" s="25">
        <v>45</v>
      </c>
      <c r="G254" s="24">
        <v>1</v>
      </c>
      <c r="H254" s="24">
        <v>0.3</v>
      </c>
      <c r="I254" s="24">
        <v>8</v>
      </c>
      <c r="J254" s="24">
        <v>2</v>
      </c>
      <c r="K254" s="24">
        <v>91</v>
      </c>
      <c r="L254" s="24">
        <v>0</v>
      </c>
      <c r="M254" s="24">
        <v>0</v>
      </c>
      <c r="N254" s="24">
        <v>0</v>
      </c>
      <c r="O254" s="24">
        <v>3</v>
      </c>
      <c r="P254" s="24">
        <v>0</v>
      </c>
      <c r="Q254" s="24">
        <v>0</v>
      </c>
      <c r="R254" s="24">
        <v>0</v>
      </c>
      <c r="S254" s="24">
        <v>9</v>
      </c>
      <c r="T254" s="24">
        <v>1</v>
      </c>
      <c r="U254" s="24">
        <v>0</v>
      </c>
      <c r="V254" s="24">
        <v>0.01</v>
      </c>
      <c r="W254" s="24">
        <v>0.01</v>
      </c>
      <c r="X254" s="24">
        <v>2.15</v>
      </c>
      <c r="Y254" t="s">
        <v>1208</v>
      </c>
      <c r="Z254" t="b">
        <v>1</v>
      </c>
      <c r="AA254" s="24" t="str">
        <f t="shared" si="3"/>
        <v>Takehiro Tomiyasu</v>
      </c>
    </row>
    <row r="255" spans="1:27" x14ac:dyDescent="0.25">
      <c r="A255" s="24">
        <v>2</v>
      </c>
      <c r="B255" s="24" t="s">
        <v>466</v>
      </c>
      <c r="C255" s="24" t="s">
        <v>467</v>
      </c>
      <c r="D255">
        <v>588</v>
      </c>
      <c r="E255" s="24">
        <v>2</v>
      </c>
      <c r="F255" s="25">
        <v>50</v>
      </c>
      <c r="G255" s="24">
        <v>2</v>
      </c>
      <c r="H255" s="24">
        <v>0.2</v>
      </c>
      <c r="I255" s="24">
        <v>8</v>
      </c>
      <c r="J255" s="24">
        <v>6</v>
      </c>
      <c r="K255" s="24">
        <v>199</v>
      </c>
      <c r="L255" s="24">
        <v>0</v>
      </c>
      <c r="M255" s="24">
        <v>0</v>
      </c>
      <c r="N255" s="24">
        <v>0</v>
      </c>
      <c r="O255" s="24">
        <v>5</v>
      </c>
      <c r="P255" s="24">
        <v>0</v>
      </c>
      <c r="Q255" s="24">
        <v>0</v>
      </c>
      <c r="R255" s="24">
        <v>27</v>
      </c>
      <c r="S255" s="24">
        <v>33</v>
      </c>
      <c r="T255" s="24">
        <v>2</v>
      </c>
      <c r="U255" s="24">
        <v>0.74</v>
      </c>
      <c r="V255" s="24">
        <v>0.17</v>
      </c>
      <c r="W255" s="24">
        <v>0.91</v>
      </c>
      <c r="X255" s="24">
        <v>5.42</v>
      </c>
      <c r="Y255" t="s">
        <v>1208</v>
      </c>
      <c r="Z255" t="b">
        <v>1</v>
      </c>
      <c r="AA255" s="24" t="str">
        <f t="shared" si="3"/>
        <v>Anan Khalaili</v>
      </c>
    </row>
    <row r="256" spans="1:27" x14ac:dyDescent="0.25">
      <c r="A256" s="24">
        <v>3</v>
      </c>
      <c r="B256" s="24" t="s">
        <v>1032</v>
      </c>
      <c r="C256" s="24" t="s">
        <v>1033</v>
      </c>
      <c r="D256">
        <v>595</v>
      </c>
      <c r="E256" s="24">
        <v>0.3</v>
      </c>
      <c r="F256" s="25">
        <v>50</v>
      </c>
      <c r="G256" s="24">
        <v>1</v>
      </c>
      <c r="H256" s="24">
        <v>0</v>
      </c>
      <c r="I256" s="24">
        <v>8</v>
      </c>
      <c r="J256" s="24">
        <v>1</v>
      </c>
      <c r="K256" s="24">
        <v>22</v>
      </c>
      <c r="L256" s="24">
        <v>0</v>
      </c>
      <c r="M256" s="24">
        <v>0</v>
      </c>
      <c r="N256" s="24">
        <v>0</v>
      </c>
      <c r="O256" s="24">
        <v>1</v>
      </c>
      <c r="P256" s="24">
        <v>0</v>
      </c>
      <c r="Q256" s="24">
        <v>0</v>
      </c>
      <c r="R256" s="24">
        <v>3</v>
      </c>
      <c r="S256" s="24">
        <v>1</v>
      </c>
      <c r="T256" s="24">
        <v>0</v>
      </c>
      <c r="U256" s="24">
        <v>0</v>
      </c>
      <c r="V256" s="24">
        <v>0</v>
      </c>
      <c r="W256" s="24">
        <v>0</v>
      </c>
      <c r="X256" s="24">
        <v>0.2</v>
      </c>
      <c r="Y256" t="s">
        <v>1208</v>
      </c>
      <c r="Z256" t="b">
        <v>1</v>
      </c>
      <c r="AA256" s="24" t="str">
        <f t="shared" si="3"/>
        <v>Zavier Gozo</v>
      </c>
    </row>
    <row r="257" spans="1:27" x14ac:dyDescent="0.25">
      <c r="A257" s="24">
        <v>2</v>
      </c>
      <c r="B257" s="24" t="s">
        <v>2614</v>
      </c>
      <c r="C257" s="24" t="s">
        <v>2615</v>
      </c>
      <c r="D257">
        <v>633</v>
      </c>
      <c r="E257" s="24">
        <v>0</v>
      </c>
      <c r="F257" s="25">
        <v>45</v>
      </c>
      <c r="G257" s="24">
        <v>0</v>
      </c>
      <c r="H257" s="24">
        <v>0</v>
      </c>
      <c r="I257" s="24">
        <v>8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t="s">
        <v>1208</v>
      </c>
      <c r="Z257" t="b">
        <v>1</v>
      </c>
      <c r="AA257" s="24" t="str">
        <f t="shared" si="3"/>
        <v>Honest Ahanor</v>
      </c>
    </row>
    <row r="258" spans="1:27" x14ac:dyDescent="0.25">
      <c r="A258" s="24">
        <v>2</v>
      </c>
      <c r="B258" s="24" t="s">
        <v>159</v>
      </c>
      <c r="C258" s="24" t="s">
        <v>1527</v>
      </c>
      <c r="D258">
        <v>643</v>
      </c>
      <c r="E258" s="24">
        <v>7</v>
      </c>
      <c r="F258" s="25">
        <v>45</v>
      </c>
      <c r="G258" s="24">
        <v>7</v>
      </c>
      <c r="H258" s="24">
        <v>0.2</v>
      </c>
      <c r="I258" s="24">
        <v>8</v>
      </c>
      <c r="J258" s="24">
        <v>7</v>
      </c>
      <c r="K258" s="24">
        <v>16</v>
      </c>
      <c r="L258" s="24">
        <v>1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20</v>
      </c>
      <c r="S258" s="24">
        <v>0</v>
      </c>
      <c r="T258" s="24">
        <v>0</v>
      </c>
      <c r="U258" s="24">
        <v>0.15</v>
      </c>
      <c r="V258" s="24">
        <v>0</v>
      </c>
      <c r="W258" s="24">
        <v>0.15</v>
      </c>
      <c r="X258" s="24">
        <v>0.56999999999999995</v>
      </c>
      <c r="Y258" t="s">
        <v>1208</v>
      </c>
      <c r="Z258" t="b">
        <v>1</v>
      </c>
      <c r="AA258" s="24" t="str">
        <f t="shared" ref="AA258:AA321" si="4">B258&amp;" "&amp;C258</f>
        <v>Ben Chilwell</v>
      </c>
    </row>
    <row r="259" spans="1:27" x14ac:dyDescent="0.25">
      <c r="A259" s="24">
        <v>3</v>
      </c>
      <c r="B259" s="24" t="s">
        <v>2616</v>
      </c>
      <c r="C259" s="24" t="s">
        <v>29</v>
      </c>
      <c r="D259">
        <v>644</v>
      </c>
      <c r="E259" s="24">
        <v>2</v>
      </c>
      <c r="F259" s="25">
        <v>50</v>
      </c>
      <c r="G259" s="24">
        <v>2</v>
      </c>
      <c r="H259" s="24">
        <v>0</v>
      </c>
      <c r="I259" s="24">
        <v>8</v>
      </c>
      <c r="J259" s="24">
        <v>2</v>
      </c>
      <c r="K259" s="24">
        <v>73</v>
      </c>
      <c r="L259" s="24">
        <v>0</v>
      </c>
      <c r="M259" s="24">
        <v>0</v>
      </c>
      <c r="N259" s="24">
        <v>0</v>
      </c>
      <c r="O259" s="24">
        <v>2</v>
      </c>
      <c r="P259" s="24">
        <v>0</v>
      </c>
      <c r="Q259" s="24">
        <v>0</v>
      </c>
      <c r="R259" s="24">
        <v>8</v>
      </c>
      <c r="S259" s="24">
        <v>6</v>
      </c>
      <c r="T259" s="24">
        <v>1</v>
      </c>
      <c r="U259" s="24">
        <v>0.02</v>
      </c>
      <c r="V259" s="24">
        <v>0</v>
      </c>
      <c r="W259" s="24">
        <v>0.02</v>
      </c>
      <c r="X259" s="24">
        <v>2.57</v>
      </c>
      <c r="Y259" t="s">
        <v>1208</v>
      </c>
      <c r="Z259" t="b">
        <v>1</v>
      </c>
      <c r="AA259" s="24" t="str">
        <f t="shared" si="4"/>
        <v>Quinten Timber</v>
      </c>
    </row>
    <row r="260" spans="1:27" x14ac:dyDescent="0.25">
      <c r="A260" s="24">
        <v>3</v>
      </c>
      <c r="B260" s="24" t="s">
        <v>2617</v>
      </c>
      <c r="C260" s="24" t="s">
        <v>2618</v>
      </c>
      <c r="D260">
        <v>647</v>
      </c>
      <c r="E260" s="24">
        <v>1</v>
      </c>
      <c r="F260" s="25">
        <v>55</v>
      </c>
      <c r="G260" s="24">
        <v>1</v>
      </c>
      <c r="H260" s="24">
        <v>0</v>
      </c>
      <c r="I260" s="24">
        <v>8</v>
      </c>
      <c r="J260" s="24">
        <v>1</v>
      </c>
      <c r="K260" s="24">
        <v>1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  <c r="Q260" s="24">
        <v>0</v>
      </c>
      <c r="R260" s="24">
        <v>2</v>
      </c>
      <c r="S260" s="24">
        <v>1</v>
      </c>
      <c r="T260" s="24">
        <v>0</v>
      </c>
      <c r="U260" s="24">
        <v>0</v>
      </c>
      <c r="V260" s="24">
        <v>0</v>
      </c>
      <c r="W260" s="24">
        <v>0</v>
      </c>
      <c r="X260" s="24">
        <v>0.13</v>
      </c>
      <c r="Y260" t="s">
        <v>1208</v>
      </c>
      <c r="Z260" t="b">
        <v>1</v>
      </c>
      <c r="AA260" s="24" t="str">
        <f t="shared" si="4"/>
        <v>Darío Osorio</v>
      </c>
    </row>
    <row r="261" spans="1:27" x14ac:dyDescent="0.25">
      <c r="A261" s="24">
        <v>3</v>
      </c>
      <c r="B261" s="24" t="s">
        <v>468</v>
      </c>
      <c r="C261" s="24" t="s">
        <v>469</v>
      </c>
      <c r="D261">
        <v>21</v>
      </c>
      <c r="E261" s="24">
        <v>0</v>
      </c>
      <c r="F261" s="25">
        <v>49</v>
      </c>
      <c r="G261" s="24">
        <v>0</v>
      </c>
      <c r="H261" s="24">
        <v>0.1</v>
      </c>
      <c r="I261" s="24">
        <v>9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t="s">
        <v>1209</v>
      </c>
      <c r="Z261" t="b">
        <v>1</v>
      </c>
      <c r="AA261" s="24" t="str">
        <f t="shared" si="4"/>
        <v>Christian Nørgaard</v>
      </c>
    </row>
    <row r="262" spans="1:27" x14ac:dyDescent="0.25">
      <c r="A262" s="24">
        <v>3</v>
      </c>
      <c r="B262" s="24" t="s">
        <v>470</v>
      </c>
      <c r="C262" s="24" t="s">
        <v>471</v>
      </c>
      <c r="D262">
        <v>209</v>
      </c>
      <c r="E262" s="24">
        <v>1</v>
      </c>
      <c r="F262" s="25">
        <v>59</v>
      </c>
      <c r="G262" s="24">
        <v>1</v>
      </c>
      <c r="H262" s="24">
        <v>0.1</v>
      </c>
      <c r="I262" s="24">
        <v>9</v>
      </c>
      <c r="J262" s="24">
        <v>3</v>
      </c>
      <c r="K262" s="24">
        <v>99</v>
      </c>
      <c r="L262" s="24">
        <v>0</v>
      </c>
      <c r="M262" s="24">
        <v>0</v>
      </c>
      <c r="N262" s="24">
        <v>0</v>
      </c>
      <c r="O262" s="24">
        <v>1</v>
      </c>
      <c r="P262" s="24">
        <v>0</v>
      </c>
      <c r="Q262" s="24">
        <v>0</v>
      </c>
      <c r="R262" s="24">
        <v>7</v>
      </c>
      <c r="S262" s="24">
        <v>12</v>
      </c>
      <c r="T262" s="24">
        <v>1</v>
      </c>
      <c r="U262" s="24">
        <v>0.05</v>
      </c>
      <c r="V262" s="24">
        <v>0.04</v>
      </c>
      <c r="W262" s="24">
        <v>0.09</v>
      </c>
      <c r="X262" s="24">
        <v>2.2400000000000002</v>
      </c>
      <c r="Y262" t="s">
        <v>1208</v>
      </c>
      <c r="Z262" t="b">
        <v>1</v>
      </c>
      <c r="AA262" s="24" t="str">
        <f t="shared" si="4"/>
        <v>Brennan Johnson</v>
      </c>
    </row>
    <row r="263" spans="1:27" x14ac:dyDescent="0.25">
      <c r="A263" s="24">
        <v>1</v>
      </c>
      <c r="B263" s="24" t="s">
        <v>289</v>
      </c>
      <c r="C263" s="24" t="s">
        <v>472</v>
      </c>
      <c r="D263">
        <v>226</v>
      </c>
      <c r="E263" s="24">
        <v>3.7</v>
      </c>
      <c r="F263" s="25">
        <v>55</v>
      </c>
      <c r="G263" s="24">
        <v>3.7</v>
      </c>
      <c r="H263" s="24">
        <v>8.6</v>
      </c>
      <c r="I263" s="24">
        <v>9</v>
      </c>
      <c r="J263" s="24">
        <v>11</v>
      </c>
      <c r="K263" s="24">
        <v>270</v>
      </c>
      <c r="L263" s="24">
        <v>0</v>
      </c>
      <c r="M263" s="24">
        <v>0</v>
      </c>
      <c r="N263" s="24">
        <v>1</v>
      </c>
      <c r="O263" s="24">
        <v>3</v>
      </c>
      <c r="P263" s="24">
        <v>9</v>
      </c>
      <c r="Q263" s="24">
        <v>0</v>
      </c>
      <c r="R263" s="24">
        <v>62</v>
      </c>
      <c r="S263" s="24">
        <v>0</v>
      </c>
      <c r="T263" s="24">
        <v>3</v>
      </c>
      <c r="U263" s="24">
        <v>0</v>
      </c>
      <c r="V263" s="24">
        <v>0.02</v>
      </c>
      <c r="W263" s="24">
        <v>0.02</v>
      </c>
      <c r="X263" s="24">
        <v>4.8099999999999996</v>
      </c>
      <c r="Y263" t="s">
        <v>1208</v>
      </c>
      <c r="Z263" t="b">
        <v>1</v>
      </c>
      <c r="AA263" s="24" t="str">
        <f t="shared" si="4"/>
        <v>Jordan Pickford</v>
      </c>
    </row>
    <row r="264" spans="1:27" x14ac:dyDescent="0.25">
      <c r="A264" s="24">
        <v>1</v>
      </c>
      <c r="B264" s="24" t="s">
        <v>473</v>
      </c>
      <c r="C264" s="24" t="s">
        <v>474</v>
      </c>
      <c r="D264">
        <v>227</v>
      </c>
      <c r="E264" s="24">
        <v>0</v>
      </c>
      <c r="F264" s="25">
        <v>50</v>
      </c>
      <c r="G264" s="24">
        <v>0</v>
      </c>
      <c r="H264" s="24">
        <v>0</v>
      </c>
      <c r="I264" s="24">
        <v>9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t="s">
        <v>1208</v>
      </c>
      <c r="Z264" t="b">
        <v>1</v>
      </c>
      <c r="AA264" s="24" t="str">
        <f t="shared" si="4"/>
        <v>Mark Travers</v>
      </c>
    </row>
    <row r="265" spans="1:27" x14ac:dyDescent="0.25">
      <c r="A265" s="24">
        <v>1</v>
      </c>
      <c r="B265" s="24" t="s">
        <v>272</v>
      </c>
      <c r="C265" s="24" t="s">
        <v>475</v>
      </c>
      <c r="D265">
        <v>228</v>
      </c>
      <c r="E265" s="24">
        <v>0</v>
      </c>
      <c r="F265" s="25">
        <v>45</v>
      </c>
      <c r="G265" s="24">
        <v>0</v>
      </c>
      <c r="H265" s="24">
        <v>0</v>
      </c>
      <c r="I265" s="24">
        <v>9</v>
      </c>
      <c r="J265" s="24">
        <v>0</v>
      </c>
      <c r="K265" s="24">
        <v>0</v>
      </c>
      <c r="L265" s="24">
        <v>0</v>
      </c>
      <c r="M265" s="24">
        <v>0</v>
      </c>
      <c r="N265" s="24">
        <v>0</v>
      </c>
      <c r="O265" s="24">
        <v>0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t="s">
        <v>1208</v>
      </c>
      <c r="Z265" t="b">
        <v>1</v>
      </c>
      <c r="AA265" s="24" t="str">
        <f t="shared" si="4"/>
        <v>Tom King</v>
      </c>
    </row>
    <row r="266" spans="1:27" x14ac:dyDescent="0.25">
      <c r="A266" s="24">
        <v>2</v>
      </c>
      <c r="B266" s="24" t="s">
        <v>135</v>
      </c>
      <c r="C266" s="24" t="s">
        <v>476</v>
      </c>
      <c r="D266">
        <v>229</v>
      </c>
      <c r="E266" s="24">
        <v>7</v>
      </c>
      <c r="F266" s="25">
        <v>60</v>
      </c>
      <c r="G266" s="24">
        <v>7</v>
      </c>
      <c r="H266" s="24">
        <v>11.1</v>
      </c>
      <c r="I266" s="24">
        <v>9</v>
      </c>
      <c r="J266" s="24">
        <v>21</v>
      </c>
      <c r="K266" s="24">
        <v>270</v>
      </c>
      <c r="L266" s="24">
        <v>1</v>
      </c>
      <c r="M266" s="24">
        <v>0</v>
      </c>
      <c r="N266" s="24">
        <v>1</v>
      </c>
      <c r="O266" s="24">
        <v>3</v>
      </c>
      <c r="P266" s="24">
        <v>0</v>
      </c>
      <c r="Q266" s="24">
        <v>2</v>
      </c>
      <c r="R266" s="24">
        <v>63</v>
      </c>
      <c r="S266" s="24">
        <v>31</v>
      </c>
      <c r="T266" s="24">
        <v>3</v>
      </c>
      <c r="U266" s="24">
        <v>0.17</v>
      </c>
      <c r="V266" s="24">
        <v>0.02</v>
      </c>
      <c r="W266" s="24">
        <v>0.19</v>
      </c>
      <c r="X266" s="24">
        <v>4.8099999999999996</v>
      </c>
      <c r="Y266" t="s">
        <v>1208</v>
      </c>
      <c r="Z266" t="b">
        <v>1</v>
      </c>
      <c r="AA266" s="24" t="str">
        <f t="shared" si="4"/>
        <v>James Tarkowski</v>
      </c>
    </row>
    <row r="267" spans="1:27" x14ac:dyDescent="0.25">
      <c r="A267" s="24">
        <v>2</v>
      </c>
      <c r="B267" s="24" t="s">
        <v>477</v>
      </c>
      <c r="C267" s="24" t="s">
        <v>478</v>
      </c>
      <c r="D267">
        <v>230</v>
      </c>
      <c r="E267" s="24">
        <v>4.3</v>
      </c>
      <c r="F267" s="25">
        <v>55</v>
      </c>
      <c r="G267" s="24">
        <v>4.3</v>
      </c>
      <c r="H267" s="24">
        <v>1.8</v>
      </c>
      <c r="I267" s="24">
        <v>9</v>
      </c>
      <c r="J267" s="24">
        <v>13</v>
      </c>
      <c r="K267" s="24">
        <v>270</v>
      </c>
      <c r="L267" s="24">
        <v>0</v>
      </c>
      <c r="M267" s="24">
        <v>0</v>
      </c>
      <c r="N267" s="24">
        <v>1</v>
      </c>
      <c r="O267" s="24">
        <v>3</v>
      </c>
      <c r="P267" s="24">
        <v>0</v>
      </c>
      <c r="Q267" s="24">
        <v>0</v>
      </c>
      <c r="R267" s="24">
        <v>43</v>
      </c>
      <c r="S267" s="24">
        <v>31</v>
      </c>
      <c r="T267" s="24">
        <v>3</v>
      </c>
      <c r="U267" s="24">
        <v>0.17</v>
      </c>
      <c r="V267" s="24">
        <v>0.02</v>
      </c>
      <c r="W267" s="24">
        <v>0.19</v>
      </c>
      <c r="X267" s="24">
        <v>4.8099999999999996</v>
      </c>
      <c r="Y267" t="s">
        <v>1208</v>
      </c>
      <c r="Z267" t="b">
        <v>1</v>
      </c>
      <c r="AA267" s="24" t="str">
        <f t="shared" si="4"/>
        <v>Jarrad Branthwaite</v>
      </c>
    </row>
    <row r="268" spans="1:27" x14ac:dyDescent="0.25">
      <c r="A268" s="24">
        <v>2</v>
      </c>
      <c r="B268" s="24" t="s">
        <v>193</v>
      </c>
      <c r="C268" s="24" t="s">
        <v>189</v>
      </c>
      <c r="D268">
        <v>231</v>
      </c>
      <c r="E268" s="24">
        <v>0</v>
      </c>
      <c r="F268" s="25">
        <v>49</v>
      </c>
      <c r="G268" s="24">
        <v>0</v>
      </c>
      <c r="H268" s="24">
        <v>1</v>
      </c>
      <c r="I268" s="24">
        <v>9</v>
      </c>
      <c r="J268" s="24">
        <v>0</v>
      </c>
      <c r="K268" s="24">
        <v>0</v>
      </c>
      <c r="L268" s="24">
        <v>0</v>
      </c>
      <c r="M268" s="24">
        <v>0</v>
      </c>
      <c r="N268" s="24">
        <v>0</v>
      </c>
      <c r="O268" s="24">
        <v>0</v>
      </c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t="s">
        <v>1208</v>
      </c>
      <c r="Z268" t="b">
        <v>1</v>
      </c>
      <c r="AA268" s="24" t="str">
        <f t="shared" si="4"/>
        <v>Michael Keane</v>
      </c>
    </row>
    <row r="269" spans="1:27" x14ac:dyDescent="0.25">
      <c r="A269" s="24">
        <v>2</v>
      </c>
      <c r="B269" s="24" t="s">
        <v>371</v>
      </c>
      <c r="C269" s="24" t="s">
        <v>479</v>
      </c>
      <c r="D269">
        <v>232</v>
      </c>
      <c r="E269" s="24">
        <v>0</v>
      </c>
      <c r="F269" s="25">
        <v>49</v>
      </c>
      <c r="G269" s="24">
        <v>0</v>
      </c>
      <c r="H269" s="24">
        <v>0.3</v>
      </c>
      <c r="I269" s="24">
        <v>9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t="s">
        <v>1208</v>
      </c>
      <c r="Z269" t="b">
        <v>1</v>
      </c>
      <c r="AA269" s="24" t="str">
        <f t="shared" si="4"/>
        <v>Jake O'Brien</v>
      </c>
    </row>
    <row r="270" spans="1:27" x14ac:dyDescent="0.25">
      <c r="A270" s="24">
        <v>2</v>
      </c>
      <c r="B270" s="24" t="s">
        <v>480</v>
      </c>
      <c r="C270" s="24" t="s">
        <v>481</v>
      </c>
      <c r="D270">
        <v>233</v>
      </c>
      <c r="E270" s="24">
        <v>3.7</v>
      </c>
      <c r="F270" s="25">
        <v>45</v>
      </c>
      <c r="G270" s="24">
        <v>3.7</v>
      </c>
      <c r="H270" s="24">
        <v>1.9</v>
      </c>
      <c r="I270" s="24">
        <v>9</v>
      </c>
      <c r="J270" s="24">
        <v>11</v>
      </c>
      <c r="K270" s="24">
        <v>270</v>
      </c>
      <c r="L270" s="24">
        <v>0</v>
      </c>
      <c r="M270" s="24">
        <v>0</v>
      </c>
      <c r="N270" s="24">
        <v>1</v>
      </c>
      <c r="O270" s="24">
        <v>3</v>
      </c>
      <c r="P270" s="24">
        <v>0</v>
      </c>
      <c r="Q270" s="24">
        <v>0</v>
      </c>
      <c r="R270" s="24">
        <v>42</v>
      </c>
      <c r="S270" s="24">
        <v>22</v>
      </c>
      <c r="T270" s="24">
        <v>3</v>
      </c>
      <c r="U270" s="24">
        <v>0</v>
      </c>
      <c r="V270" s="24">
        <v>7.0000000000000007E-2</v>
      </c>
      <c r="W270" s="24">
        <v>7.0000000000000007E-2</v>
      </c>
      <c r="X270" s="24">
        <v>4.8099999999999996</v>
      </c>
      <c r="Y270" t="s">
        <v>1208</v>
      </c>
      <c r="Z270" t="b">
        <v>1</v>
      </c>
      <c r="AA270" s="24" t="str">
        <f t="shared" si="4"/>
        <v>Vitalii Mykolenko</v>
      </c>
    </row>
    <row r="271" spans="1:27" x14ac:dyDescent="0.25">
      <c r="A271" s="24">
        <v>2</v>
      </c>
      <c r="B271" s="24" t="s">
        <v>185</v>
      </c>
      <c r="C271" s="24" t="s">
        <v>482</v>
      </c>
      <c r="D271">
        <v>234</v>
      </c>
      <c r="E271" s="24">
        <v>0</v>
      </c>
      <c r="F271" s="25">
        <v>45</v>
      </c>
      <c r="G271" s="24">
        <v>0</v>
      </c>
      <c r="H271" s="24">
        <v>0</v>
      </c>
      <c r="I271" s="24">
        <v>9</v>
      </c>
      <c r="J271" s="24">
        <v>0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t="s">
        <v>1211</v>
      </c>
      <c r="Z271" t="b">
        <v>0</v>
      </c>
      <c r="AA271" s="24" t="str">
        <f t="shared" si="4"/>
        <v>Nathan Patterson</v>
      </c>
    </row>
    <row r="272" spans="1:27" x14ac:dyDescent="0.25">
      <c r="A272" s="24">
        <v>2</v>
      </c>
      <c r="B272" s="24" t="s">
        <v>143</v>
      </c>
      <c r="C272" s="24" t="s">
        <v>483</v>
      </c>
      <c r="D272">
        <v>235</v>
      </c>
      <c r="E272" s="24">
        <v>0</v>
      </c>
      <c r="F272" s="25">
        <v>40</v>
      </c>
      <c r="G272" s="24">
        <v>0</v>
      </c>
      <c r="H272" s="24">
        <v>0.1</v>
      </c>
      <c r="I272" s="24">
        <v>9</v>
      </c>
      <c r="J272" s="24">
        <v>0</v>
      </c>
      <c r="K272" s="24">
        <v>0</v>
      </c>
      <c r="L272" s="24">
        <v>0</v>
      </c>
      <c r="M272" s="24">
        <v>0</v>
      </c>
      <c r="N272" s="24">
        <v>0</v>
      </c>
      <c r="O272" s="24">
        <v>0</v>
      </c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t="s">
        <v>1211</v>
      </c>
      <c r="Z272" t="b">
        <v>0</v>
      </c>
      <c r="AA272" s="24" t="str">
        <f t="shared" si="4"/>
        <v>Adam Aznou</v>
      </c>
    </row>
    <row r="273" spans="1:27" x14ac:dyDescent="0.25">
      <c r="A273" s="24">
        <v>3</v>
      </c>
      <c r="B273" s="24" t="s">
        <v>484</v>
      </c>
      <c r="C273" s="24" t="s">
        <v>485</v>
      </c>
      <c r="D273">
        <v>236</v>
      </c>
      <c r="E273" s="24">
        <v>5</v>
      </c>
      <c r="F273" s="25">
        <v>65</v>
      </c>
      <c r="G273" s="24">
        <v>5</v>
      </c>
      <c r="H273" s="24">
        <v>4.4000000000000004</v>
      </c>
      <c r="I273" s="24">
        <v>9</v>
      </c>
      <c r="J273" s="24">
        <v>15</v>
      </c>
      <c r="K273" s="24">
        <v>270</v>
      </c>
      <c r="L273" s="24">
        <v>1</v>
      </c>
      <c r="M273" s="24">
        <v>0</v>
      </c>
      <c r="N273" s="24">
        <v>1</v>
      </c>
      <c r="O273" s="24">
        <v>3</v>
      </c>
      <c r="P273" s="24">
        <v>0</v>
      </c>
      <c r="Q273" s="24">
        <v>3</v>
      </c>
      <c r="R273" s="24">
        <v>84</v>
      </c>
      <c r="S273" s="24">
        <v>29</v>
      </c>
      <c r="T273" s="24">
        <v>3</v>
      </c>
      <c r="U273" s="24">
        <v>0.45</v>
      </c>
      <c r="V273" s="24">
        <v>0.4</v>
      </c>
      <c r="W273" s="24">
        <v>0.85</v>
      </c>
      <c r="X273" s="24">
        <v>4.7699999999999996</v>
      </c>
      <c r="Y273" t="s">
        <v>1208</v>
      </c>
      <c r="Z273" t="b">
        <v>1</v>
      </c>
      <c r="AA273" s="24" t="str">
        <f t="shared" si="4"/>
        <v>Kiernan Dewsbury-Hall</v>
      </c>
    </row>
    <row r="274" spans="1:27" x14ac:dyDescent="0.25">
      <c r="A274" s="24">
        <v>3</v>
      </c>
      <c r="B274" s="24" t="s">
        <v>253</v>
      </c>
      <c r="C274" s="24" t="s">
        <v>748</v>
      </c>
      <c r="D274">
        <v>238</v>
      </c>
      <c r="E274" s="24">
        <v>0.7</v>
      </c>
      <c r="F274" s="25">
        <v>65</v>
      </c>
      <c r="G274" s="24">
        <v>1</v>
      </c>
      <c r="H274" s="24">
        <v>0.3</v>
      </c>
      <c r="I274" s="24">
        <v>9</v>
      </c>
      <c r="J274" s="24">
        <v>2</v>
      </c>
      <c r="K274" s="24">
        <v>32</v>
      </c>
      <c r="L274" s="24">
        <v>0</v>
      </c>
      <c r="M274" s="24">
        <v>0</v>
      </c>
      <c r="N274" s="24">
        <v>0</v>
      </c>
      <c r="O274" s="24">
        <v>1</v>
      </c>
      <c r="P274" s="24">
        <v>0</v>
      </c>
      <c r="Q274" s="24">
        <v>0</v>
      </c>
      <c r="R274" s="24">
        <v>10</v>
      </c>
      <c r="S274" s="24">
        <v>2</v>
      </c>
      <c r="T274" s="24">
        <v>0</v>
      </c>
      <c r="U274" s="24">
        <v>0.02</v>
      </c>
      <c r="V274" s="24">
        <v>0.13</v>
      </c>
      <c r="W274" s="24">
        <v>0.15</v>
      </c>
      <c r="X274" s="24">
        <v>0.31</v>
      </c>
      <c r="Y274" t="s">
        <v>1208</v>
      </c>
      <c r="Z274" t="b">
        <v>1</v>
      </c>
      <c r="AA274" s="24" t="str">
        <f t="shared" si="4"/>
        <v>Jack Grealish</v>
      </c>
    </row>
    <row r="275" spans="1:27" x14ac:dyDescent="0.25">
      <c r="A275" s="24">
        <v>3</v>
      </c>
      <c r="B275" s="24" t="s">
        <v>135</v>
      </c>
      <c r="C275" s="24" t="s">
        <v>488</v>
      </c>
      <c r="D275">
        <v>239</v>
      </c>
      <c r="E275" s="24">
        <v>1.3</v>
      </c>
      <c r="F275" s="25">
        <v>60</v>
      </c>
      <c r="G275" s="24">
        <v>1.3</v>
      </c>
      <c r="H275" s="24">
        <v>0.1</v>
      </c>
      <c r="I275" s="24">
        <v>9</v>
      </c>
      <c r="J275" s="24">
        <v>4</v>
      </c>
      <c r="K275" s="24">
        <v>148</v>
      </c>
      <c r="L275" s="24">
        <v>0</v>
      </c>
      <c r="M275" s="24">
        <v>0</v>
      </c>
      <c r="N275" s="24">
        <v>0</v>
      </c>
      <c r="O275" s="24">
        <v>2</v>
      </c>
      <c r="P275" s="24">
        <v>0</v>
      </c>
      <c r="Q275" s="24">
        <v>0</v>
      </c>
      <c r="R275" s="24">
        <v>34</v>
      </c>
      <c r="S275" s="24">
        <v>19</v>
      </c>
      <c r="T275" s="24">
        <v>2</v>
      </c>
      <c r="U275" s="24">
        <v>0</v>
      </c>
      <c r="V275" s="24">
        <v>0.11</v>
      </c>
      <c r="W275" s="24">
        <v>0.11</v>
      </c>
      <c r="X275" s="24">
        <v>1.32</v>
      </c>
      <c r="Y275" t="s">
        <v>1210</v>
      </c>
      <c r="Z275" t="b">
        <v>1</v>
      </c>
      <c r="AA275" s="24" t="str">
        <f t="shared" si="4"/>
        <v>James Garner</v>
      </c>
    </row>
    <row r="276" spans="1:27" x14ac:dyDescent="0.25">
      <c r="A276" s="24">
        <v>3</v>
      </c>
      <c r="B276" s="24" t="s">
        <v>491</v>
      </c>
      <c r="C276" s="24" t="s">
        <v>113</v>
      </c>
      <c r="D276">
        <v>242</v>
      </c>
      <c r="E276" s="24">
        <v>5</v>
      </c>
      <c r="F276" s="25">
        <v>55</v>
      </c>
      <c r="G276" s="24">
        <v>5</v>
      </c>
      <c r="H276" s="24">
        <v>0.3</v>
      </c>
      <c r="I276" s="24">
        <v>9</v>
      </c>
      <c r="J276" s="24">
        <v>15</v>
      </c>
      <c r="K276" s="24">
        <v>234</v>
      </c>
      <c r="L276" s="24">
        <v>1</v>
      </c>
      <c r="M276" s="24">
        <v>0</v>
      </c>
      <c r="N276" s="24">
        <v>1</v>
      </c>
      <c r="O276" s="24">
        <v>3</v>
      </c>
      <c r="P276" s="24">
        <v>0</v>
      </c>
      <c r="Q276" s="24">
        <v>3</v>
      </c>
      <c r="R276" s="24">
        <v>60</v>
      </c>
      <c r="S276" s="24">
        <v>13</v>
      </c>
      <c r="T276" s="24">
        <v>3</v>
      </c>
      <c r="U276" s="24">
        <v>0.27</v>
      </c>
      <c r="V276" s="24">
        <v>0.16</v>
      </c>
      <c r="W276" s="24">
        <v>0.43</v>
      </c>
      <c r="X276" s="24">
        <v>2.94</v>
      </c>
      <c r="Y276" t="s">
        <v>1208</v>
      </c>
      <c r="Z276" t="b">
        <v>1</v>
      </c>
      <c r="AA276" s="24" t="str">
        <f t="shared" si="4"/>
        <v>Tyrique George</v>
      </c>
    </row>
    <row r="277" spans="1:27" x14ac:dyDescent="0.25">
      <c r="A277" s="24">
        <v>3</v>
      </c>
      <c r="B277" s="24" t="s">
        <v>268</v>
      </c>
      <c r="C277" s="24" t="s">
        <v>492</v>
      </c>
      <c r="D277">
        <v>243</v>
      </c>
      <c r="E277" s="24">
        <v>0.3</v>
      </c>
      <c r="F277" s="25">
        <v>50</v>
      </c>
      <c r="G277" s="24">
        <v>0.5</v>
      </c>
      <c r="H277" s="24">
        <v>0.1</v>
      </c>
      <c r="I277" s="24">
        <v>9</v>
      </c>
      <c r="J277" s="24">
        <v>1</v>
      </c>
      <c r="K277" s="24">
        <v>5</v>
      </c>
      <c r="L277" s="24">
        <v>0</v>
      </c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R277" s="24">
        <v>5</v>
      </c>
      <c r="S277" s="24">
        <v>3</v>
      </c>
      <c r="T277" s="24">
        <v>0</v>
      </c>
      <c r="U277" s="24">
        <v>0.05</v>
      </c>
      <c r="V277" s="24">
        <v>0.02</v>
      </c>
      <c r="W277" s="24">
        <v>7.0000000000000007E-2</v>
      </c>
      <c r="X277" s="24">
        <v>0.04</v>
      </c>
      <c r="Y277" t="s">
        <v>1208</v>
      </c>
      <c r="Z277" t="b">
        <v>1</v>
      </c>
      <c r="AA277" s="24" t="str">
        <f t="shared" si="4"/>
        <v>Carlos Alcaraz Durán</v>
      </c>
    </row>
    <row r="278" spans="1:27" x14ac:dyDescent="0.25">
      <c r="A278" s="24">
        <v>3</v>
      </c>
      <c r="B278" s="24" t="s">
        <v>493</v>
      </c>
      <c r="C278" s="24" t="s">
        <v>494</v>
      </c>
      <c r="D278">
        <v>244</v>
      </c>
      <c r="E278" s="24">
        <v>3.7</v>
      </c>
      <c r="F278" s="25">
        <v>50</v>
      </c>
      <c r="G278" s="24">
        <v>3.7</v>
      </c>
      <c r="H278" s="24">
        <v>0.4</v>
      </c>
      <c r="I278" s="24">
        <v>9</v>
      </c>
      <c r="J278" s="24">
        <v>11</v>
      </c>
      <c r="K278" s="24">
        <v>266</v>
      </c>
      <c r="L278" s="24">
        <v>0</v>
      </c>
      <c r="M278" s="24">
        <v>1</v>
      </c>
      <c r="N278" s="24">
        <v>1</v>
      </c>
      <c r="O278" s="24">
        <v>3</v>
      </c>
      <c r="P278" s="24">
        <v>0</v>
      </c>
      <c r="Q278" s="24">
        <v>0</v>
      </c>
      <c r="R278" s="24">
        <v>42</v>
      </c>
      <c r="S278" s="24">
        <v>30</v>
      </c>
      <c r="T278" s="24">
        <v>3</v>
      </c>
      <c r="U278" s="24">
        <v>0.09</v>
      </c>
      <c r="V278" s="24">
        <v>0.1</v>
      </c>
      <c r="W278" s="24">
        <v>0.19</v>
      </c>
      <c r="X278" s="24">
        <v>4.8099999999999996</v>
      </c>
      <c r="Y278" t="s">
        <v>1208</v>
      </c>
      <c r="Z278" t="b">
        <v>1</v>
      </c>
      <c r="AA278" s="24" t="str">
        <f t="shared" si="4"/>
        <v>Harrison Armstrong</v>
      </c>
    </row>
    <row r="279" spans="1:27" x14ac:dyDescent="0.25">
      <c r="A279" s="24">
        <v>3</v>
      </c>
      <c r="B279" s="24" t="s">
        <v>161</v>
      </c>
      <c r="C279" s="24" t="s">
        <v>495</v>
      </c>
      <c r="D279">
        <v>245</v>
      </c>
      <c r="E279" s="24">
        <v>0</v>
      </c>
      <c r="F279" s="25">
        <v>54</v>
      </c>
      <c r="G279" s="24">
        <v>0</v>
      </c>
      <c r="H279" s="24">
        <v>0</v>
      </c>
      <c r="I279" s="24">
        <v>9</v>
      </c>
      <c r="J279" s="24">
        <v>0</v>
      </c>
      <c r="K279" s="24">
        <v>0</v>
      </c>
      <c r="L279" s="24">
        <v>0</v>
      </c>
      <c r="M279" s="24">
        <v>0</v>
      </c>
      <c r="N279" s="24">
        <v>0</v>
      </c>
      <c r="O279" s="24">
        <v>0</v>
      </c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t="s">
        <v>1208</v>
      </c>
      <c r="Z279" t="b">
        <v>1</v>
      </c>
      <c r="AA279" s="24" t="str">
        <f t="shared" si="4"/>
        <v>Tyler Dibling</v>
      </c>
    </row>
    <row r="280" spans="1:27" x14ac:dyDescent="0.25">
      <c r="A280" s="24">
        <v>3</v>
      </c>
      <c r="B280" s="24" t="s">
        <v>496</v>
      </c>
      <c r="C280" s="24" t="s">
        <v>497</v>
      </c>
      <c r="D280">
        <v>246</v>
      </c>
      <c r="E280" s="24">
        <v>2</v>
      </c>
      <c r="F280" s="25">
        <v>50</v>
      </c>
      <c r="G280" s="24">
        <v>2</v>
      </c>
      <c r="H280" s="24">
        <v>0.1</v>
      </c>
      <c r="I280" s="24">
        <v>9</v>
      </c>
      <c r="J280" s="24">
        <v>6</v>
      </c>
      <c r="K280" s="24">
        <v>249</v>
      </c>
      <c r="L280" s="24">
        <v>0</v>
      </c>
      <c r="M280" s="24">
        <v>0</v>
      </c>
      <c r="N280" s="24">
        <v>1</v>
      </c>
      <c r="O280" s="24">
        <v>2</v>
      </c>
      <c r="P280" s="24">
        <v>0</v>
      </c>
      <c r="Q280" s="24">
        <v>0</v>
      </c>
      <c r="R280" s="24">
        <v>35</v>
      </c>
      <c r="S280" s="24">
        <v>24</v>
      </c>
      <c r="T280" s="24">
        <v>3</v>
      </c>
      <c r="U280" s="24">
        <v>0</v>
      </c>
      <c r="V280" s="24">
        <v>0.2</v>
      </c>
      <c r="W280" s="24">
        <v>0.2</v>
      </c>
      <c r="X280" s="24">
        <v>4.5199999999999996</v>
      </c>
      <c r="Y280" t="s">
        <v>1208</v>
      </c>
      <c r="Z280" t="b">
        <v>1</v>
      </c>
      <c r="AA280" s="24" t="str">
        <f t="shared" si="4"/>
        <v>Merlin Röhl</v>
      </c>
    </row>
    <row r="281" spans="1:27" x14ac:dyDescent="0.25">
      <c r="A281" s="24">
        <v>3</v>
      </c>
      <c r="B281" s="24" t="s">
        <v>498</v>
      </c>
      <c r="C281" s="24" t="s">
        <v>499</v>
      </c>
      <c r="D281">
        <v>247</v>
      </c>
      <c r="E281" s="24">
        <v>2.7</v>
      </c>
      <c r="F281" s="25">
        <v>55</v>
      </c>
      <c r="G281" s="24">
        <v>2.7</v>
      </c>
      <c r="H281" s="24">
        <v>0.2</v>
      </c>
      <c r="I281" s="24">
        <v>9</v>
      </c>
      <c r="J281" s="24">
        <v>8</v>
      </c>
      <c r="K281" s="24">
        <v>121</v>
      </c>
      <c r="L281" s="24">
        <v>0</v>
      </c>
      <c r="M281" s="24">
        <v>1</v>
      </c>
      <c r="N281" s="24">
        <v>1</v>
      </c>
      <c r="O281" s="24">
        <v>1</v>
      </c>
      <c r="P281" s="24">
        <v>0</v>
      </c>
      <c r="Q281" s="24">
        <v>0</v>
      </c>
      <c r="R281" s="24">
        <v>33</v>
      </c>
      <c r="S281" s="24">
        <v>11</v>
      </c>
      <c r="T281" s="24">
        <v>1</v>
      </c>
      <c r="U281" s="24">
        <v>0.05</v>
      </c>
      <c r="V281" s="24">
        <v>0.11</v>
      </c>
      <c r="W281" s="24">
        <v>0.16</v>
      </c>
      <c r="X281" s="24">
        <v>3.49</v>
      </c>
      <c r="Y281" t="s">
        <v>1208</v>
      </c>
      <c r="Z281" t="b">
        <v>1</v>
      </c>
      <c r="AA281" s="24" t="str">
        <f t="shared" si="4"/>
        <v>Hayden Hackney</v>
      </c>
    </row>
    <row r="282" spans="1:27" x14ac:dyDescent="0.25">
      <c r="A282" s="24">
        <v>4</v>
      </c>
      <c r="B282" s="24" t="s">
        <v>500</v>
      </c>
      <c r="C282" s="24" t="s">
        <v>501</v>
      </c>
      <c r="D282">
        <v>248</v>
      </c>
      <c r="E282" s="24">
        <v>0.7</v>
      </c>
      <c r="F282" s="25">
        <v>54</v>
      </c>
      <c r="G282" s="24">
        <v>1</v>
      </c>
      <c r="H282" s="24">
        <v>1.2</v>
      </c>
      <c r="I282" s="24">
        <v>9</v>
      </c>
      <c r="J282" s="24">
        <v>2</v>
      </c>
      <c r="K282" s="24">
        <v>31</v>
      </c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5</v>
      </c>
      <c r="S282" s="24">
        <v>1</v>
      </c>
      <c r="T282" s="24">
        <v>0</v>
      </c>
      <c r="U282" s="24">
        <v>0.09</v>
      </c>
      <c r="V282" s="24">
        <v>0</v>
      </c>
      <c r="W282" s="24">
        <v>0.09</v>
      </c>
      <c r="X282" s="24">
        <v>1.92</v>
      </c>
      <c r="Y282" t="s">
        <v>1211</v>
      </c>
      <c r="Z282" t="b">
        <v>0</v>
      </c>
      <c r="AA282" s="24" t="str">
        <f t="shared" si="4"/>
        <v>Norberto Bercique Gomes Betuncal</v>
      </c>
    </row>
    <row r="283" spans="1:27" x14ac:dyDescent="0.25">
      <c r="A283" s="24">
        <v>4</v>
      </c>
      <c r="B283" s="24" t="s">
        <v>502</v>
      </c>
      <c r="C283" s="24" t="s">
        <v>503</v>
      </c>
      <c r="D283">
        <v>249</v>
      </c>
      <c r="E283" s="24">
        <v>4</v>
      </c>
      <c r="F283" s="25">
        <v>56</v>
      </c>
      <c r="G283" s="24">
        <v>4</v>
      </c>
      <c r="H283" s="24">
        <v>5.3</v>
      </c>
      <c r="I283" s="24">
        <v>9</v>
      </c>
      <c r="J283" s="24">
        <v>12</v>
      </c>
      <c r="K283" s="24">
        <v>237</v>
      </c>
      <c r="L283" s="24">
        <v>1</v>
      </c>
      <c r="M283" s="24">
        <v>0</v>
      </c>
      <c r="N283" s="24">
        <v>1</v>
      </c>
      <c r="O283" s="24">
        <v>3</v>
      </c>
      <c r="P283" s="24">
        <v>0</v>
      </c>
      <c r="Q283" s="24">
        <v>2</v>
      </c>
      <c r="R283" s="24">
        <v>50</v>
      </c>
      <c r="S283" s="24">
        <v>10</v>
      </c>
      <c r="T283" s="24">
        <v>3</v>
      </c>
      <c r="U283" s="24">
        <v>2.31</v>
      </c>
      <c r="V283" s="24">
        <v>0.11</v>
      </c>
      <c r="W283" s="24">
        <v>2.42</v>
      </c>
      <c r="X283" s="24">
        <v>2.89</v>
      </c>
      <c r="Y283" t="s">
        <v>1208</v>
      </c>
      <c r="Z283" t="b">
        <v>1</v>
      </c>
      <c r="AA283" s="24" t="str">
        <f t="shared" si="4"/>
        <v>Thierno Barry</v>
      </c>
    </row>
    <row r="284" spans="1:27" x14ac:dyDescent="0.25">
      <c r="A284" s="24">
        <v>2</v>
      </c>
      <c r="B284" s="24" t="s">
        <v>2619</v>
      </c>
      <c r="C284" s="24" t="s">
        <v>2620</v>
      </c>
      <c r="D284">
        <v>649</v>
      </c>
      <c r="E284" s="24">
        <v>7</v>
      </c>
      <c r="F284" s="25">
        <v>45</v>
      </c>
      <c r="G284" s="24">
        <v>7</v>
      </c>
      <c r="H284" s="24">
        <v>0.1</v>
      </c>
      <c r="I284" s="24">
        <v>9</v>
      </c>
      <c r="J284" s="24">
        <v>7</v>
      </c>
      <c r="K284" s="24">
        <v>13</v>
      </c>
      <c r="L284" s="24">
        <v>1</v>
      </c>
      <c r="M284" s="24">
        <v>0</v>
      </c>
      <c r="N284" s="24">
        <v>0</v>
      </c>
      <c r="O284" s="24">
        <v>1</v>
      </c>
      <c r="P284" s="24">
        <v>0</v>
      </c>
      <c r="Q284" s="24">
        <v>0</v>
      </c>
      <c r="R284" s="24">
        <v>13</v>
      </c>
      <c r="S284" s="24">
        <v>0</v>
      </c>
      <c r="T284" s="24">
        <v>0</v>
      </c>
      <c r="U284" s="24">
        <v>0.03</v>
      </c>
      <c r="V284" s="24">
        <v>0</v>
      </c>
      <c r="W284" s="24">
        <v>0.03</v>
      </c>
      <c r="X284" s="24">
        <v>0.28999999999999998</v>
      </c>
      <c r="Y284" t="s">
        <v>1208</v>
      </c>
      <c r="Z284" t="b">
        <v>1</v>
      </c>
      <c r="AA284" s="24" t="str">
        <f t="shared" si="4"/>
        <v>Ainsley Maitland-Niles</v>
      </c>
    </row>
    <row r="285" spans="1:27" x14ac:dyDescent="0.25">
      <c r="A285" s="24">
        <v>3</v>
      </c>
      <c r="B285" s="24" t="s">
        <v>2457</v>
      </c>
      <c r="C285" s="24" t="s">
        <v>2375</v>
      </c>
      <c r="D285">
        <v>654</v>
      </c>
      <c r="E285" s="24">
        <v>0</v>
      </c>
      <c r="F285" s="25">
        <v>45</v>
      </c>
      <c r="G285" s="24">
        <v>0</v>
      </c>
      <c r="H285" s="24">
        <v>0</v>
      </c>
      <c r="I285" s="24">
        <v>9</v>
      </c>
      <c r="J285" s="24">
        <v>0</v>
      </c>
      <c r="K285" s="24">
        <v>0</v>
      </c>
      <c r="L285" s="24">
        <v>0</v>
      </c>
      <c r="M285" s="24">
        <v>0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t="s">
        <v>1208</v>
      </c>
      <c r="Z285" t="b">
        <v>1</v>
      </c>
      <c r="AA285" s="24" t="str">
        <f t="shared" si="4"/>
        <v>Braiden Graham</v>
      </c>
    </row>
    <row r="286" spans="1:27" x14ac:dyDescent="0.25">
      <c r="A286" s="24">
        <v>1</v>
      </c>
      <c r="B286" s="24" t="s">
        <v>504</v>
      </c>
      <c r="C286" s="24" t="s">
        <v>505</v>
      </c>
      <c r="D286">
        <v>250</v>
      </c>
      <c r="E286" s="24">
        <v>2</v>
      </c>
      <c r="F286" s="25">
        <v>45</v>
      </c>
      <c r="G286" s="24">
        <v>2</v>
      </c>
      <c r="H286" s="24">
        <v>3.1</v>
      </c>
      <c r="I286" s="24">
        <v>10</v>
      </c>
      <c r="J286" s="24">
        <v>6</v>
      </c>
      <c r="K286" s="24">
        <v>270</v>
      </c>
      <c r="L286" s="24">
        <v>0</v>
      </c>
      <c r="M286" s="24">
        <v>0</v>
      </c>
      <c r="N286" s="24">
        <v>0</v>
      </c>
      <c r="O286" s="24">
        <v>7</v>
      </c>
      <c r="P286" s="24">
        <v>8</v>
      </c>
      <c r="Q286" s="24">
        <v>0</v>
      </c>
      <c r="R286" s="24">
        <v>30</v>
      </c>
      <c r="S286" s="24">
        <v>0</v>
      </c>
      <c r="T286" s="24">
        <v>3</v>
      </c>
      <c r="U286" s="24">
        <v>0</v>
      </c>
      <c r="V286" s="24">
        <v>0</v>
      </c>
      <c r="W286" s="24">
        <v>0</v>
      </c>
      <c r="X286" s="24">
        <v>6.23</v>
      </c>
      <c r="Y286" t="s">
        <v>1208</v>
      </c>
      <c r="Z286" t="b">
        <v>1</v>
      </c>
      <c r="AA286" s="24" t="str">
        <f t="shared" si="4"/>
        <v>Bernd Leno</v>
      </c>
    </row>
    <row r="287" spans="1:27" x14ac:dyDescent="0.25">
      <c r="A287" s="24">
        <v>1</v>
      </c>
      <c r="B287" s="24" t="s">
        <v>38</v>
      </c>
      <c r="C287" s="24" t="s">
        <v>506</v>
      </c>
      <c r="D287">
        <v>251</v>
      </c>
      <c r="E287" s="24">
        <v>0</v>
      </c>
      <c r="F287" s="25">
        <v>40</v>
      </c>
      <c r="G287" s="24">
        <v>0</v>
      </c>
      <c r="H287" s="24">
        <v>1.2</v>
      </c>
      <c r="I287" s="24">
        <v>10</v>
      </c>
      <c r="J287" s="24">
        <v>0</v>
      </c>
      <c r="K287" s="24">
        <v>0</v>
      </c>
      <c r="L287" s="24">
        <v>0</v>
      </c>
      <c r="M287" s="24">
        <v>0</v>
      </c>
      <c r="N287" s="24">
        <v>0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t="s">
        <v>1208</v>
      </c>
      <c r="Z287" t="b">
        <v>1</v>
      </c>
      <c r="AA287" s="24" t="str">
        <f t="shared" si="4"/>
        <v>Benjamin Lecomte</v>
      </c>
    </row>
    <row r="288" spans="1:27" x14ac:dyDescent="0.25">
      <c r="A288" s="24">
        <v>1</v>
      </c>
      <c r="B288" s="24" t="s">
        <v>507</v>
      </c>
      <c r="C288" s="24" t="s">
        <v>508</v>
      </c>
      <c r="D288">
        <v>252</v>
      </c>
      <c r="E288" s="24">
        <v>0</v>
      </c>
      <c r="F288" s="25">
        <v>40</v>
      </c>
      <c r="G288" s="24">
        <v>0</v>
      </c>
      <c r="H288" s="24">
        <v>0.1</v>
      </c>
      <c r="I288" s="24">
        <v>10</v>
      </c>
      <c r="J288" s="24">
        <v>0</v>
      </c>
      <c r="K288" s="24">
        <v>0</v>
      </c>
      <c r="L288" s="24">
        <v>0</v>
      </c>
      <c r="M288" s="24">
        <v>0</v>
      </c>
      <c r="N288" s="24">
        <v>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t="s">
        <v>1211</v>
      </c>
      <c r="Z288" t="b">
        <v>0</v>
      </c>
      <c r="AA288" s="24" t="str">
        <f t="shared" si="4"/>
        <v>Alfie McNally</v>
      </c>
    </row>
    <row r="289" spans="1:27" x14ac:dyDescent="0.25">
      <c r="A289" s="24">
        <v>2</v>
      </c>
      <c r="B289" s="24" t="s">
        <v>509</v>
      </c>
      <c r="C289" s="24" t="s">
        <v>510</v>
      </c>
      <c r="D289">
        <v>253</v>
      </c>
      <c r="E289" s="24">
        <v>0.7</v>
      </c>
      <c r="F289" s="25">
        <v>50</v>
      </c>
      <c r="G289" s="24">
        <v>1</v>
      </c>
      <c r="H289" s="24">
        <v>0.1</v>
      </c>
      <c r="I289" s="24">
        <v>10</v>
      </c>
      <c r="J289" s="24">
        <v>2</v>
      </c>
      <c r="K289" s="24">
        <v>180</v>
      </c>
      <c r="L289" s="24">
        <v>0</v>
      </c>
      <c r="M289" s="24">
        <v>0</v>
      </c>
      <c r="N289" s="24">
        <v>0</v>
      </c>
      <c r="O289" s="24">
        <v>4</v>
      </c>
      <c r="P289" s="24">
        <v>0</v>
      </c>
      <c r="Q289" s="24">
        <v>0</v>
      </c>
      <c r="R289" s="24">
        <v>12</v>
      </c>
      <c r="S289" s="24">
        <v>15</v>
      </c>
      <c r="T289" s="24">
        <v>2</v>
      </c>
      <c r="U289" s="24">
        <v>0</v>
      </c>
      <c r="V289" s="24">
        <v>0.1</v>
      </c>
      <c r="W289" s="24">
        <v>0.1</v>
      </c>
      <c r="X289" s="24">
        <v>3.99</v>
      </c>
      <c r="Y289" t="s">
        <v>1208</v>
      </c>
      <c r="Z289" t="b">
        <v>1</v>
      </c>
      <c r="AA289" s="24" t="str">
        <f t="shared" si="4"/>
        <v>Joachim Andersen</v>
      </c>
    </row>
    <row r="290" spans="1:27" x14ac:dyDescent="0.25">
      <c r="A290" s="24">
        <v>2</v>
      </c>
      <c r="B290" s="24" t="s">
        <v>511</v>
      </c>
      <c r="C290" s="24" t="s">
        <v>512</v>
      </c>
      <c r="D290">
        <v>254</v>
      </c>
      <c r="E290" s="24">
        <v>1.3</v>
      </c>
      <c r="F290" s="25">
        <v>45</v>
      </c>
      <c r="G290" s="24">
        <v>1.3</v>
      </c>
      <c r="H290" s="24">
        <v>1.5</v>
      </c>
      <c r="I290" s="24">
        <v>10</v>
      </c>
      <c r="J290" s="24">
        <v>4</v>
      </c>
      <c r="K290" s="24">
        <v>249</v>
      </c>
      <c r="L290" s="24">
        <v>0</v>
      </c>
      <c r="M290" s="24">
        <v>0</v>
      </c>
      <c r="N290" s="24">
        <v>0</v>
      </c>
      <c r="O290" s="24">
        <v>7</v>
      </c>
      <c r="P290" s="24">
        <v>0</v>
      </c>
      <c r="Q290" s="24">
        <v>0</v>
      </c>
      <c r="R290" s="24">
        <v>21</v>
      </c>
      <c r="S290" s="24">
        <v>15</v>
      </c>
      <c r="T290" s="24">
        <v>3</v>
      </c>
      <c r="U290" s="24">
        <v>0.21</v>
      </c>
      <c r="V290" s="24">
        <v>0.16</v>
      </c>
      <c r="W290" s="24">
        <v>0.37</v>
      </c>
      <c r="X290" s="24">
        <v>6.2</v>
      </c>
      <c r="Y290" t="s">
        <v>1208</v>
      </c>
      <c r="Z290" t="b">
        <v>1</v>
      </c>
      <c r="AA290" s="24" t="str">
        <f t="shared" si="4"/>
        <v>Antonee Robinson</v>
      </c>
    </row>
    <row r="291" spans="1:27" x14ac:dyDescent="0.25">
      <c r="A291" s="24">
        <v>2</v>
      </c>
      <c r="B291" s="24" t="s">
        <v>513</v>
      </c>
      <c r="C291" s="24" t="s">
        <v>514</v>
      </c>
      <c r="D291">
        <v>255</v>
      </c>
      <c r="E291" s="24">
        <v>1</v>
      </c>
      <c r="F291" s="25">
        <v>45</v>
      </c>
      <c r="G291" s="24">
        <v>3</v>
      </c>
      <c r="H291" s="24">
        <v>0</v>
      </c>
      <c r="I291" s="24">
        <v>10</v>
      </c>
      <c r="J291" s="24">
        <v>3</v>
      </c>
      <c r="K291" s="24">
        <v>90</v>
      </c>
      <c r="L291" s="24">
        <v>0</v>
      </c>
      <c r="M291" s="24">
        <v>0</v>
      </c>
      <c r="N291" s="24">
        <v>0</v>
      </c>
      <c r="O291" s="24">
        <v>3</v>
      </c>
      <c r="P291" s="24">
        <v>0</v>
      </c>
      <c r="Q291" s="24">
        <v>0</v>
      </c>
      <c r="R291" s="24">
        <v>7</v>
      </c>
      <c r="S291" s="24">
        <v>10</v>
      </c>
      <c r="T291" s="24">
        <v>1</v>
      </c>
      <c r="U291" s="24">
        <v>0</v>
      </c>
      <c r="V291" s="24">
        <v>0.03</v>
      </c>
      <c r="W291" s="24">
        <v>0.03</v>
      </c>
      <c r="X291" s="24">
        <v>2.2400000000000002</v>
      </c>
      <c r="Y291" t="s">
        <v>1208</v>
      </c>
      <c r="Z291" t="b">
        <v>1</v>
      </c>
      <c r="AA291" s="24" t="str">
        <f t="shared" si="4"/>
        <v>Jorge Cuenca Barreno</v>
      </c>
    </row>
    <row r="292" spans="1:27" x14ac:dyDescent="0.25">
      <c r="A292" s="24">
        <v>2</v>
      </c>
      <c r="B292" s="24" t="s">
        <v>515</v>
      </c>
      <c r="C292" s="24" t="s">
        <v>516</v>
      </c>
      <c r="D292">
        <v>256</v>
      </c>
      <c r="E292" s="24">
        <v>0</v>
      </c>
      <c r="F292" s="25">
        <v>45</v>
      </c>
      <c r="G292" s="24">
        <v>0</v>
      </c>
      <c r="H292" s="24">
        <v>0.2</v>
      </c>
      <c r="I292" s="24">
        <v>10</v>
      </c>
      <c r="J292" s="24">
        <v>0</v>
      </c>
      <c r="K292" s="24">
        <v>0</v>
      </c>
      <c r="L292" s="24">
        <v>0</v>
      </c>
      <c r="M292" s="24">
        <v>0</v>
      </c>
      <c r="N292" s="24">
        <v>0</v>
      </c>
      <c r="O292" s="24">
        <v>0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t="s">
        <v>1208</v>
      </c>
      <c r="Z292" t="b">
        <v>1</v>
      </c>
      <c r="AA292" s="24" t="str">
        <f t="shared" si="4"/>
        <v>Kenny Tete</v>
      </c>
    </row>
    <row r="293" spans="1:27" x14ac:dyDescent="0.25">
      <c r="A293" s="24">
        <v>2</v>
      </c>
      <c r="B293" s="24" t="s">
        <v>517</v>
      </c>
      <c r="C293" s="24" t="s">
        <v>518</v>
      </c>
      <c r="D293">
        <v>257</v>
      </c>
      <c r="E293" s="24">
        <v>1</v>
      </c>
      <c r="F293" s="25">
        <v>45</v>
      </c>
      <c r="G293" s="24">
        <v>1</v>
      </c>
      <c r="H293" s="24">
        <v>0.7</v>
      </c>
      <c r="I293" s="24">
        <v>10</v>
      </c>
      <c r="J293" s="24">
        <v>3</v>
      </c>
      <c r="K293" s="24">
        <v>270</v>
      </c>
      <c r="L293" s="24">
        <v>0</v>
      </c>
      <c r="M293" s="24">
        <v>0</v>
      </c>
      <c r="N293" s="24">
        <v>0</v>
      </c>
      <c r="O293" s="24">
        <v>7</v>
      </c>
      <c r="P293" s="24">
        <v>0</v>
      </c>
      <c r="Q293" s="24">
        <v>0</v>
      </c>
      <c r="R293" s="24">
        <v>16</v>
      </c>
      <c r="S293" s="24">
        <v>13</v>
      </c>
      <c r="T293" s="24">
        <v>3</v>
      </c>
      <c r="U293" s="24">
        <v>0.02</v>
      </c>
      <c r="V293" s="24">
        <v>7.0000000000000007E-2</v>
      </c>
      <c r="W293" s="24">
        <v>0.09</v>
      </c>
      <c r="X293" s="24">
        <v>6.23</v>
      </c>
      <c r="Y293" t="s">
        <v>1208</v>
      </c>
      <c r="Z293" t="b">
        <v>1</v>
      </c>
      <c r="AA293" s="24" t="str">
        <f t="shared" si="4"/>
        <v>Calvin Bassey</v>
      </c>
    </row>
    <row r="294" spans="1:27" x14ac:dyDescent="0.25">
      <c r="A294" s="24">
        <v>2</v>
      </c>
      <c r="B294" s="24" t="s">
        <v>519</v>
      </c>
      <c r="C294" s="24" t="s">
        <v>520</v>
      </c>
      <c r="D294">
        <v>258</v>
      </c>
      <c r="E294" s="24">
        <v>4.3</v>
      </c>
      <c r="F294" s="25">
        <v>45</v>
      </c>
      <c r="G294" s="24">
        <v>4.3</v>
      </c>
      <c r="H294" s="24">
        <v>0.9</v>
      </c>
      <c r="I294" s="24">
        <v>10</v>
      </c>
      <c r="J294" s="24">
        <v>13</v>
      </c>
      <c r="K294" s="24">
        <v>247</v>
      </c>
      <c r="L294" s="24">
        <v>0</v>
      </c>
      <c r="M294" s="24">
        <v>2</v>
      </c>
      <c r="N294" s="24">
        <v>1</v>
      </c>
      <c r="O294" s="24">
        <v>6</v>
      </c>
      <c r="P294" s="24">
        <v>0</v>
      </c>
      <c r="Q294" s="24">
        <v>0</v>
      </c>
      <c r="R294" s="24">
        <v>38</v>
      </c>
      <c r="S294" s="24">
        <v>15</v>
      </c>
      <c r="T294" s="24">
        <v>3</v>
      </c>
      <c r="U294" s="24">
        <v>0.67</v>
      </c>
      <c r="V294" s="24">
        <v>0.37</v>
      </c>
      <c r="W294" s="24">
        <v>1.04</v>
      </c>
      <c r="X294" s="24">
        <v>4.47</v>
      </c>
      <c r="Y294" t="s">
        <v>1208</v>
      </c>
      <c r="Z294" t="b">
        <v>1</v>
      </c>
      <c r="AA294" s="24" t="str">
        <f t="shared" si="4"/>
        <v>Timothy Castagne</v>
      </c>
    </row>
    <row r="295" spans="1:27" x14ac:dyDescent="0.25">
      <c r="A295" s="24">
        <v>3</v>
      </c>
      <c r="B295" s="24" t="s">
        <v>153</v>
      </c>
      <c r="C295" s="24" t="s">
        <v>521</v>
      </c>
      <c r="D295">
        <v>261</v>
      </c>
      <c r="E295" s="24">
        <v>2</v>
      </c>
      <c r="F295" s="25">
        <v>55</v>
      </c>
      <c r="G295" s="24">
        <v>2</v>
      </c>
      <c r="H295" s="24">
        <v>0.8</v>
      </c>
      <c r="I295" s="24">
        <v>10</v>
      </c>
      <c r="J295" s="24">
        <v>6</v>
      </c>
      <c r="K295" s="24">
        <v>262</v>
      </c>
      <c r="L295" s="24">
        <v>0</v>
      </c>
      <c r="M295" s="24">
        <v>0</v>
      </c>
      <c r="N295" s="24">
        <v>0</v>
      </c>
      <c r="O295" s="24">
        <v>7</v>
      </c>
      <c r="P295" s="24">
        <v>0</v>
      </c>
      <c r="Q295" s="24">
        <v>0</v>
      </c>
      <c r="R295" s="24">
        <v>52</v>
      </c>
      <c r="S295" s="24">
        <v>18</v>
      </c>
      <c r="T295" s="24">
        <v>3</v>
      </c>
      <c r="U295" s="24">
        <v>0.05</v>
      </c>
      <c r="V295" s="24">
        <v>0.7</v>
      </c>
      <c r="W295" s="24">
        <v>0.75</v>
      </c>
      <c r="X295" s="24">
        <v>6.23</v>
      </c>
      <c r="Y295" t="s">
        <v>1208</v>
      </c>
      <c r="Z295" t="b">
        <v>1</v>
      </c>
      <c r="AA295" s="24" t="str">
        <f t="shared" si="4"/>
        <v>Alex Iwobi</v>
      </c>
    </row>
    <row r="296" spans="1:27" x14ac:dyDescent="0.25">
      <c r="A296" s="24">
        <v>3</v>
      </c>
      <c r="B296" s="24" t="s">
        <v>522</v>
      </c>
      <c r="C296" s="24" t="s">
        <v>523</v>
      </c>
      <c r="D296">
        <v>262</v>
      </c>
      <c r="E296" s="24">
        <v>0.7</v>
      </c>
      <c r="F296" s="25">
        <v>54</v>
      </c>
      <c r="G296" s="24">
        <v>1</v>
      </c>
      <c r="H296" s="24">
        <v>0.3</v>
      </c>
      <c r="I296" s="24">
        <v>10</v>
      </c>
      <c r="J296" s="24">
        <v>2</v>
      </c>
      <c r="K296" s="24">
        <v>25</v>
      </c>
      <c r="L296" s="24">
        <v>0</v>
      </c>
      <c r="M296" s="24">
        <v>0</v>
      </c>
      <c r="N296" s="24">
        <v>0</v>
      </c>
      <c r="O296" s="24">
        <v>0</v>
      </c>
      <c r="P296" s="24">
        <v>0</v>
      </c>
      <c r="Q296" s="24">
        <v>0</v>
      </c>
      <c r="R296" s="24">
        <v>8</v>
      </c>
      <c r="S296" s="24">
        <v>1</v>
      </c>
      <c r="T296" s="24">
        <v>0</v>
      </c>
      <c r="U296" s="24">
        <v>0.06</v>
      </c>
      <c r="V296" s="24">
        <v>0.02</v>
      </c>
      <c r="W296" s="24">
        <v>0.08</v>
      </c>
      <c r="X296" s="24">
        <v>0.41</v>
      </c>
      <c r="Y296" t="s">
        <v>1208</v>
      </c>
      <c r="Z296" t="b">
        <v>1</v>
      </c>
      <c r="AA296" s="24" t="str">
        <f t="shared" si="4"/>
        <v>Emile Smith Rowe</v>
      </c>
    </row>
    <row r="297" spans="1:27" x14ac:dyDescent="0.25">
      <c r="A297" s="24">
        <v>3</v>
      </c>
      <c r="B297" s="24" t="s">
        <v>204</v>
      </c>
      <c r="C297" s="24" t="s">
        <v>524</v>
      </c>
      <c r="D297">
        <v>263</v>
      </c>
      <c r="E297" s="24">
        <v>0.7</v>
      </c>
      <c r="F297" s="25">
        <v>54</v>
      </c>
      <c r="G297" s="24">
        <v>1</v>
      </c>
      <c r="H297" s="24">
        <v>0</v>
      </c>
      <c r="I297" s="24">
        <v>10</v>
      </c>
      <c r="J297" s="24">
        <v>2</v>
      </c>
      <c r="K297" s="24">
        <v>24</v>
      </c>
      <c r="L297" s="24">
        <v>0</v>
      </c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24">
        <v>4</v>
      </c>
      <c r="S297" s="24">
        <v>3</v>
      </c>
      <c r="T297" s="24">
        <v>0</v>
      </c>
      <c r="U297" s="24">
        <v>0</v>
      </c>
      <c r="V297" s="24">
        <v>0.05</v>
      </c>
      <c r="W297" s="24">
        <v>0.05</v>
      </c>
      <c r="X297" s="24">
        <v>0.2</v>
      </c>
      <c r="Y297" t="s">
        <v>1208</v>
      </c>
      <c r="Z297" t="b">
        <v>1</v>
      </c>
      <c r="AA297" s="24" t="str">
        <f t="shared" si="4"/>
        <v>Kevin Santos Lopes de Macedo</v>
      </c>
    </row>
    <row r="298" spans="1:27" x14ac:dyDescent="0.25">
      <c r="A298" s="24">
        <v>3</v>
      </c>
      <c r="B298" s="24" t="s">
        <v>428</v>
      </c>
      <c r="C298" s="24" t="s">
        <v>525</v>
      </c>
      <c r="D298">
        <v>264</v>
      </c>
      <c r="E298" s="24">
        <v>2.2999999999999998</v>
      </c>
      <c r="F298" s="25">
        <v>55</v>
      </c>
      <c r="G298" s="24">
        <v>2.2999999999999998</v>
      </c>
      <c r="H298" s="24">
        <v>0.3</v>
      </c>
      <c r="I298" s="24">
        <v>10</v>
      </c>
      <c r="J298" s="24">
        <v>7</v>
      </c>
      <c r="K298" s="24">
        <v>211</v>
      </c>
      <c r="L298" s="24">
        <v>0</v>
      </c>
      <c r="M298" s="24">
        <v>0</v>
      </c>
      <c r="N298" s="24">
        <v>1</v>
      </c>
      <c r="O298" s="24">
        <v>6</v>
      </c>
      <c r="P298" s="24">
        <v>0</v>
      </c>
      <c r="Q298" s="24">
        <v>0</v>
      </c>
      <c r="R298" s="24">
        <v>35</v>
      </c>
      <c r="S298" s="24">
        <v>15</v>
      </c>
      <c r="T298" s="24">
        <v>3</v>
      </c>
      <c r="U298" s="24">
        <v>0.32</v>
      </c>
      <c r="V298" s="24">
        <v>0.92</v>
      </c>
      <c r="W298" s="24">
        <v>1.24</v>
      </c>
      <c r="X298" s="24">
        <v>4.4400000000000004</v>
      </c>
      <c r="Y298" t="s">
        <v>1208</v>
      </c>
      <c r="Z298" t="b">
        <v>1</v>
      </c>
      <c r="AA298" s="24" t="str">
        <f t="shared" si="4"/>
        <v>Oscar Bobb</v>
      </c>
    </row>
    <row r="299" spans="1:27" x14ac:dyDescent="0.25">
      <c r="A299" s="24">
        <v>3</v>
      </c>
      <c r="B299" s="24" t="s">
        <v>526</v>
      </c>
      <c r="C299" s="24" t="s">
        <v>527</v>
      </c>
      <c r="D299">
        <v>265</v>
      </c>
      <c r="E299" s="24">
        <v>1.7</v>
      </c>
      <c r="F299" s="25">
        <v>50</v>
      </c>
      <c r="G299" s="24">
        <v>1.7</v>
      </c>
      <c r="H299" s="24">
        <v>0.3</v>
      </c>
      <c r="I299" s="24">
        <v>10</v>
      </c>
      <c r="J299" s="24">
        <v>5</v>
      </c>
      <c r="K299" s="24">
        <v>183</v>
      </c>
      <c r="L299" s="24">
        <v>0</v>
      </c>
      <c r="M299" s="24">
        <v>0</v>
      </c>
      <c r="N299" s="24">
        <v>0</v>
      </c>
      <c r="O299" s="24">
        <v>5</v>
      </c>
      <c r="P299" s="24">
        <v>0</v>
      </c>
      <c r="Q299" s="24">
        <v>0</v>
      </c>
      <c r="R299" s="24">
        <v>37</v>
      </c>
      <c r="S299" s="24">
        <v>8</v>
      </c>
      <c r="T299" s="24">
        <v>2</v>
      </c>
      <c r="U299" s="24">
        <v>0.03</v>
      </c>
      <c r="V299" s="24">
        <v>0.33</v>
      </c>
      <c r="W299" s="24">
        <v>0.36</v>
      </c>
      <c r="X299" s="24">
        <v>4.9000000000000004</v>
      </c>
      <c r="Y299" t="s">
        <v>1208</v>
      </c>
      <c r="Z299" t="b">
        <v>1</v>
      </c>
      <c r="AA299" s="24" t="str">
        <f t="shared" si="4"/>
        <v>Sander Berge</v>
      </c>
    </row>
    <row r="300" spans="1:27" x14ac:dyDescent="0.25">
      <c r="A300" s="24">
        <v>3</v>
      </c>
      <c r="B300" s="24" t="s">
        <v>272</v>
      </c>
      <c r="C300" s="24" t="s">
        <v>528</v>
      </c>
      <c r="D300">
        <v>266</v>
      </c>
      <c r="E300" s="24">
        <v>0</v>
      </c>
      <c r="F300" s="25">
        <v>50</v>
      </c>
      <c r="G300" s="24">
        <v>0</v>
      </c>
      <c r="H300" s="24">
        <v>0</v>
      </c>
      <c r="I300" s="24">
        <v>10</v>
      </c>
      <c r="J300" s="24">
        <v>0</v>
      </c>
      <c r="K300" s="24">
        <v>0</v>
      </c>
      <c r="L300" s="24">
        <v>0</v>
      </c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t="s">
        <v>1209</v>
      </c>
      <c r="Z300" t="b">
        <v>1</v>
      </c>
      <c r="AA300" s="24" t="str">
        <f t="shared" si="4"/>
        <v>Tom Cairney</v>
      </c>
    </row>
    <row r="301" spans="1:27" x14ac:dyDescent="0.25">
      <c r="A301" s="24">
        <v>3</v>
      </c>
      <c r="B301" s="24" t="s">
        <v>219</v>
      </c>
      <c r="C301" s="24" t="s">
        <v>475</v>
      </c>
      <c r="D301">
        <v>268</v>
      </c>
      <c r="E301" s="24">
        <v>6.3</v>
      </c>
      <c r="F301" s="25">
        <v>55</v>
      </c>
      <c r="G301" s="24">
        <v>6.3</v>
      </c>
      <c r="H301" s="24">
        <v>1</v>
      </c>
      <c r="I301" s="24">
        <v>10</v>
      </c>
      <c r="J301" s="24">
        <v>19</v>
      </c>
      <c r="K301" s="24">
        <v>270</v>
      </c>
      <c r="L301" s="24">
        <v>2</v>
      </c>
      <c r="M301" s="24">
        <v>0</v>
      </c>
      <c r="N301" s="24">
        <v>0</v>
      </c>
      <c r="O301" s="24">
        <v>7</v>
      </c>
      <c r="P301" s="24">
        <v>0</v>
      </c>
      <c r="Q301" s="24">
        <v>3</v>
      </c>
      <c r="R301" s="24">
        <v>80</v>
      </c>
      <c r="S301" s="24">
        <v>19</v>
      </c>
      <c r="T301" s="24">
        <v>3</v>
      </c>
      <c r="U301" s="24">
        <v>0.95</v>
      </c>
      <c r="V301" s="24">
        <v>0.34</v>
      </c>
      <c r="W301" s="24">
        <v>1.29</v>
      </c>
      <c r="X301" s="24">
        <v>6.23</v>
      </c>
      <c r="Y301" t="s">
        <v>1208</v>
      </c>
      <c r="Z301" t="b">
        <v>1</v>
      </c>
      <c r="AA301" s="24" t="str">
        <f t="shared" si="4"/>
        <v>Josh King</v>
      </c>
    </row>
    <row r="302" spans="1:27" x14ac:dyDescent="0.25">
      <c r="A302" s="24">
        <v>2</v>
      </c>
      <c r="B302" s="24" t="s">
        <v>164</v>
      </c>
      <c r="C302" s="24" t="s">
        <v>529</v>
      </c>
      <c r="D302">
        <v>269</v>
      </c>
      <c r="E302" s="24">
        <v>1</v>
      </c>
      <c r="F302" s="25">
        <v>45</v>
      </c>
      <c r="G302" s="24">
        <v>1</v>
      </c>
      <c r="H302" s="24">
        <v>0.4</v>
      </c>
      <c r="I302" s="24">
        <v>10</v>
      </c>
      <c r="J302" s="24">
        <v>3</v>
      </c>
      <c r="K302" s="24">
        <v>50</v>
      </c>
      <c r="L302" s="24">
        <v>0</v>
      </c>
      <c r="M302" s="24">
        <v>0</v>
      </c>
      <c r="N302" s="24">
        <v>0</v>
      </c>
      <c r="O302" s="24">
        <v>1</v>
      </c>
      <c r="P302" s="24">
        <v>0</v>
      </c>
      <c r="Q302" s="24">
        <v>0</v>
      </c>
      <c r="R302" s="24">
        <v>13</v>
      </c>
      <c r="S302" s="24">
        <v>3</v>
      </c>
      <c r="T302" s="24">
        <v>0</v>
      </c>
      <c r="U302" s="24">
        <v>0.13</v>
      </c>
      <c r="V302" s="24">
        <v>0.44</v>
      </c>
      <c r="W302" s="24">
        <v>0.56999999999999995</v>
      </c>
      <c r="X302" s="24">
        <v>1.8</v>
      </c>
      <c r="Y302" t="s">
        <v>1208</v>
      </c>
      <c r="Z302" t="b">
        <v>1</v>
      </c>
      <c r="AA302" s="24" t="str">
        <f t="shared" si="4"/>
        <v>Ryan Sessegnon</v>
      </c>
    </row>
    <row r="303" spans="1:27" x14ac:dyDescent="0.25">
      <c r="A303" s="24">
        <v>3</v>
      </c>
      <c r="B303" s="24" t="s">
        <v>493</v>
      </c>
      <c r="C303" s="24" t="s">
        <v>530</v>
      </c>
      <c r="D303">
        <v>270</v>
      </c>
      <c r="E303" s="24">
        <v>0</v>
      </c>
      <c r="F303" s="25">
        <v>45</v>
      </c>
      <c r="G303" s="24">
        <v>0</v>
      </c>
      <c r="H303" s="24">
        <v>1.2</v>
      </c>
      <c r="I303" s="24">
        <v>10</v>
      </c>
      <c r="J303" s="24">
        <v>0</v>
      </c>
      <c r="K303" s="24">
        <v>0</v>
      </c>
      <c r="L303" s="24">
        <v>0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t="s">
        <v>1208</v>
      </c>
      <c r="Z303" t="b">
        <v>1</v>
      </c>
      <c r="AA303" s="24" t="str">
        <f t="shared" si="4"/>
        <v>Harrison Reed</v>
      </c>
    </row>
    <row r="304" spans="1:27" x14ac:dyDescent="0.25">
      <c r="A304" s="24">
        <v>4</v>
      </c>
      <c r="B304" s="24" t="s">
        <v>531</v>
      </c>
      <c r="C304" s="24" t="s">
        <v>532</v>
      </c>
      <c r="D304">
        <v>271</v>
      </c>
      <c r="E304" s="24">
        <v>0.7</v>
      </c>
      <c r="F304" s="25">
        <v>54</v>
      </c>
      <c r="G304" s="24">
        <v>1</v>
      </c>
      <c r="H304" s="24">
        <v>0.5</v>
      </c>
      <c r="I304" s="24">
        <v>10</v>
      </c>
      <c r="J304" s="24">
        <v>2</v>
      </c>
      <c r="K304" s="24">
        <v>15</v>
      </c>
      <c r="L304" s="24">
        <v>0</v>
      </c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11</v>
      </c>
      <c r="S304" s="24">
        <v>1</v>
      </c>
      <c r="T304" s="24">
        <v>0</v>
      </c>
      <c r="U304" s="24">
        <v>0.4</v>
      </c>
      <c r="V304" s="24">
        <v>0</v>
      </c>
      <c r="W304" s="24">
        <v>0.4</v>
      </c>
      <c r="X304" s="24">
        <v>0.03</v>
      </c>
      <c r="Y304" t="s">
        <v>1208</v>
      </c>
      <c r="Z304" t="b">
        <v>1</v>
      </c>
      <c r="AA304" s="24" t="str">
        <f t="shared" si="4"/>
        <v>Rodrigo Muniz Carvalho</v>
      </c>
    </row>
    <row r="305" spans="1:27" x14ac:dyDescent="0.25">
      <c r="A305" s="24">
        <v>4</v>
      </c>
      <c r="B305" s="24" t="s">
        <v>533</v>
      </c>
      <c r="C305" s="24" t="s">
        <v>534</v>
      </c>
      <c r="D305">
        <v>272</v>
      </c>
      <c r="E305" s="24">
        <v>0</v>
      </c>
      <c r="F305" s="25">
        <v>45</v>
      </c>
      <c r="G305" s="24">
        <v>0</v>
      </c>
      <c r="H305" s="24">
        <v>6.4</v>
      </c>
      <c r="I305" s="24">
        <v>10</v>
      </c>
      <c r="J305" s="24">
        <v>0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t="s">
        <v>1208</v>
      </c>
      <c r="Z305" t="b">
        <v>1</v>
      </c>
      <c r="AA305" s="24" t="str">
        <f t="shared" si="4"/>
        <v>Jonah Kusi-Asare</v>
      </c>
    </row>
    <row r="306" spans="1:27" x14ac:dyDescent="0.25">
      <c r="A306" s="24">
        <v>4</v>
      </c>
      <c r="B306" s="24" t="s">
        <v>535</v>
      </c>
      <c r="C306" s="24" t="s">
        <v>95</v>
      </c>
      <c r="D306">
        <v>569</v>
      </c>
      <c r="E306" s="24">
        <v>3.3</v>
      </c>
      <c r="F306" s="25">
        <v>60</v>
      </c>
      <c r="G306" s="24">
        <v>3.3</v>
      </c>
      <c r="H306" s="24">
        <v>4.4000000000000004</v>
      </c>
      <c r="I306" s="24">
        <v>10</v>
      </c>
      <c r="J306" s="24">
        <v>10</v>
      </c>
      <c r="K306" s="24">
        <v>270</v>
      </c>
      <c r="L306" s="24">
        <v>1</v>
      </c>
      <c r="M306" s="24">
        <v>0</v>
      </c>
      <c r="N306" s="24">
        <v>0</v>
      </c>
      <c r="O306" s="24">
        <v>7</v>
      </c>
      <c r="P306" s="24">
        <v>0</v>
      </c>
      <c r="Q306" s="24">
        <v>0</v>
      </c>
      <c r="R306" s="24">
        <v>45</v>
      </c>
      <c r="S306" s="24">
        <v>13</v>
      </c>
      <c r="T306" s="24">
        <v>3</v>
      </c>
      <c r="U306" s="24">
        <v>1.44</v>
      </c>
      <c r="V306" s="24">
        <v>0.22</v>
      </c>
      <c r="W306" s="24">
        <v>1.66</v>
      </c>
      <c r="X306" s="24">
        <v>6.23</v>
      </c>
      <c r="Y306" t="s">
        <v>1208</v>
      </c>
      <c r="Z306" t="b">
        <v>1</v>
      </c>
      <c r="AA306" s="24" t="str">
        <f t="shared" si="4"/>
        <v>Gonzalo García</v>
      </c>
    </row>
    <row r="307" spans="1:27" x14ac:dyDescent="0.25">
      <c r="A307" s="24">
        <v>3</v>
      </c>
      <c r="B307" s="24" t="s">
        <v>536</v>
      </c>
      <c r="C307" s="24" t="s">
        <v>537</v>
      </c>
      <c r="D307">
        <v>570</v>
      </c>
      <c r="E307" s="24">
        <v>3.7</v>
      </c>
      <c r="F307" s="25">
        <v>55</v>
      </c>
      <c r="G307" s="24">
        <v>3.7</v>
      </c>
      <c r="H307" s="24">
        <v>0.2</v>
      </c>
      <c r="I307" s="24">
        <v>10</v>
      </c>
      <c r="J307" s="24">
        <v>11</v>
      </c>
      <c r="K307" s="24">
        <v>207</v>
      </c>
      <c r="L307" s="24">
        <v>1</v>
      </c>
      <c r="M307" s="24">
        <v>0</v>
      </c>
      <c r="N307" s="24">
        <v>0</v>
      </c>
      <c r="O307" s="24">
        <v>6</v>
      </c>
      <c r="P307" s="24">
        <v>0</v>
      </c>
      <c r="Q307" s="24">
        <v>1</v>
      </c>
      <c r="R307" s="24">
        <v>43</v>
      </c>
      <c r="S307" s="24">
        <v>13</v>
      </c>
      <c r="T307" s="24">
        <v>3</v>
      </c>
      <c r="U307" s="24">
        <v>0.98</v>
      </c>
      <c r="V307" s="24">
        <v>0.03</v>
      </c>
      <c r="W307" s="24">
        <v>1.01</v>
      </c>
      <c r="X307" s="24">
        <v>4.97</v>
      </c>
      <c r="Y307" t="s">
        <v>1208</v>
      </c>
      <c r="Z307" t="b">
        <v>1</v>
      </c>
      <c r="AA307" s="24" t="str">
        <f t="shared" si="4"/>
        <v>César Palacios</v>
      </c>
    </row>
    <row r="308" spans="1:27" x14ac:dyDescent="0.25">
      <c r="A308" s="24">
        <v>3</v>
      </c>
      <c r="B308" s="24" t="s">
        <v>538</v>
      </c>
      <c r="C308" s="24" t="s">
        <v>539</v>
      </c>
      <c r="D308">
        <v>580</v>
      </c>
      <c r="E308" s="24">
        <v>1.3</v>
      </c>
      <c r="F308" s="25">
        <v>50</v>
      </c>
      <c r="G308" s="24">
        <v>1.3</v>
      </c>
      <c r="H308" s="24">
        <v>0.1</v>
      </c>
      <c r="I308" s="24">
        <v>10</v>
      </c>
      <c r="J308" s="24">
        <v>4</v>
      </c>
      <c r="K308" s="24">
        <v>123</v>
      </c>
      <c r="L308" s="24">
        <v>0</v>
      </c>
      <c r="M308" s="24">
        <v>0</v>
      </c>
      <c r="N308" s="24">
        <v>0</v>
      </c>
      <c r="O308" s="24">
        <v>4</v>
      </c>
      <c r="P308" s="24">
        <v>0</v>
      </c>
      <c r="Q308" s="24">
        <v>0</v>
      </c>
      <c r="R308" s="24">
        <v>25</v>
      </c>
      <c r="S308" s="24">
        <v>16</v>
      </c>
      <c r="T308" s="24">
        <v>1</v>
      </c>
      <c r="U308" s="24">
        <v>0.09</v>
      </c>
      <c r="V308" s="24">
        <v>0.12</v>
      </c>
      <c r="W308" s="24">
        <v>0.21</v>
      </c>
      <c r="X308" s="24">
        <v>3.77</v>
      </c>
      <c r="Y308" t="s">
        <v>1208</v>
      </c>
      <c r="Z308" t="b">
        <v>1</v>
      </c>
      <c r="AA308" s="24" t="str">
        <f t="shared" si="4"/>
        <v>Shea Charles</v>
      </c>
    </row>
    <row r="309" spans="1:27" x14ac:dyDescent="0.25">
      <c r="A309" s="24">
        <v>2</v>
      </c>
      <c r="B309" s="24" t="s">
        <v>1223</v>
      </c>
      <c r="C309" s="24" t="s">
        <v>1224</v>
      </c>
      <c r="D309">
        <v>610</v>
      </c>
      <c r="E309" s="24">
        <v>0</v>
      </c>
      <c r="F309" s="25">
        <v>40</v>
      </c>
      <c r="G309" s="24">
        <v>0</v>
      </c>
      <c r="H309" s="24">
        <v>0.1</v>
      </c>
      <c r="I309" s="24">
        <v>10</v>
      </c>
      <c r="J309" s="24">
        <v>0</v>
      </c>
      <c r="K309" s="24">
        <v>0</v>
      </c>
      <c r="L309" s="24">
        <v>0</v>
      </c>
      <c r="M309" s="24">
        <v>0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t="s">
        <v>1210</v>
      </c>
      <c r="Z309" t="b">
        <v>1</v>
      </c>
      <c r="AA309" s="24" t="str">
        <f t="shared" si="4"/>
        <v>Luc De Fougerolles</v>
      </c>
    </row>
    <row r="310" spans="1:27" x14ac:dyDescent="0.25">
      <c r="A310" s="24">
        <v>3</v>
      </c>
      <c r="B310" s="24" t="s">
        <v>1245</v>
      </c>
      <c r="C310" s="24" t="s">
        <v>1246</v>
      </c>
      <c r="D310">
        <v>626</v>
      </c>
      <c r="E310" s="24">
        <v>0</v>
      </c>
      <c r="F310" s="25">
        <v>45</v>
      </c>
      <c r="G310" s="24">
        <v>0</v>
      </c>
      <c r="H310" s="24">
        <v>0.3</v>
      </c>
      <c r="I310" s="24">
        <v>10</v>
      </c>
      <c r="J310" s="24">
        <v>0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t="s">
        <v>1208</v>
      </c>
      <c r="Z310" t="b">
        <v>1</v>
      </c>
      <c r="AA310" s="24" t="str">
        <f t="shared" si="4"/>
        <v>Macauley Zepa</v>
      </c>
    </row>
    <row r="311" spans="1:27" x14ac:dyDescent="0.25">
      <c r="A311" s="24">
        <v>3</v>
      </c>
      <c r="B311" s="24" t="s">
        <v>741</v>
      </c>
      <c r="C311" s="24" t="s">
        <v>2621</v>
      </c>
      <c r="D311">
        <v>635</v>
      </c>
      <c r="E311" s="24">
        <v>1</v>
      </c>
      <c r="F311" s="25">
        <v>50</v>
      </c>
      <c r="G311" s="24">
        <v>1</v>
      </c>
      <c r="H311" s="24">
        <v>0</v>
      </c>
      <c r="I311" s="24">
        <v>10</v>
      </c>
      <c r="J311" s="24">
        <v>1</v>
      </c>
      <c r="K311" s="24">
        <v>11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3</v>
      </c>
      <c r="S311" s="24">
        <v>1</v>
      </c>
      <c r="T311" s="24">
        <v>0</v>
      </c>
      <c r="U311" s="24">
        <v>0.13</v>
      </c>
      <c r="V311" s="24">
        <v>0.22</v>
      </c>
      <c r="W311" s="24">
        <v>0.35</v>
      </c>
      <c r="X311" s="24">
        <v>0</v>
      </c>
      <c r="Y311" t="s">
        <v>1208</v>
      </c>
      <c r="Z311" t="b">
        <v>1</v>
      </c>
      <c r="AA311" s="24" t="str">
        <f t="shared" si="4"/>
        <v>Hugo Larsson</v>
      </c>
    </row>
    <row r="312" spans="1:27" x14ac:dyDescent="0.25">
      <c r="A312" s="24">
        <v>3</v>
      </c>
      <c r="B312" s="24" t="s">
        <v>2622</v>
      </c>
      <c r="C312" s="24" t="s">
        <v>2623</v>
      </c>
      <c r="D312">
        <v>636</v>
      </c>
      <c r="E312" s="24">
        <v>0</v>
      </c>
      <c r="F312" s="25">
        <v>50</v>
      </c>
      <c r="G312" s="24">
        <v>0</v>
      </c>
      <c r="H312" s="24">
        <v>0</v>
      </c>
      <c r="I312" s="24">
        <v>10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t="s">
        <v>1208</v>
      </c>
      <c r="Z312" t="b">
        <v>1</v>
      </c>
      <c r="AA312" s="24" t="str">
        <f t="shared" si="4"/>
        <v>Manuel Ángel Morán Ibáñez</v>
      </c>
    </row>
    <row r="313" spans="1:27" x14ac:dyDescent="0.25">
      <c r="A313" s="24">
        <v>2</v>
      </c>
      <c r="B313" s="24" t="s">
        <v>20</v>
      </c>
      <c r="C313" s="24" t="s">
        <v>2624</v>
      </c>
      <c r="D313">
        <v>650</v>
      </c>
      <c r="E313" s="24">
        <v>0</v>
      </c>
      <c r="F313" s="25">
        <v>45</v>
      </c>
      <c r="G313" s="24">
        <v>0</v>
      </c>
      <c r="H313" s="24">
        <v>0</v>
      </c>
      <c r="I313" s="24">
        <v>10</v>
      </c>
      <c r="J313" s="24">
        <v>0</v>
      </c>
      <c r="K313" s="24">
        <v>0</v>
      </c>
      <c r="L313" s="24">
        <v>0</v>
      </c>
      <c r="M313" s="24">
        <v>0</v>
      </c>
      <c r="N313" s="24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t="s">
        <v>1208</v>
      </c>
      <c r="Z313" t="b">
        <v>1</v>
      </c>
      <c r="AA313" s="24" t="str">
        <f t="shared" si="4"/>
        <v>David Affengruber</v>
      </c>
    </row>
    <row r="314" spans="1:27" x14ac:dyDescent="0.25">
      <c r="A314" s="24">
        <v>3</v>
      </c>
      <c r="B314" s="24" t="s">
        <v>489</v>
      </c>
      <c r="C314" s="24" t="s">
        <v>490</v>
      </c>
      <c r="D314">
        <v>240</v>
      </c>
      <c r="E314" s="24">
        <v>0.3</v>
      </c>
      <c r="F314" s="25">
        <v>50</v>
      </c>
      <c r="G314" s="24">
        <v>1</v>
      </c>
      <c r="H314" s="24">
        <v>0</v>
      </c>
      <c r="I314" s="24">
        <v>11</v>
      </c>
      <c r="J314" s="24">
        <v>1</v>
      </c>
      <c r="K314" s="24">
        <v>4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2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t="s">
        <v>1208</v>
      </c>
      <c r="Z314" t="b">
        <v>1</v>
      </c>
      <c r="AA314" s="24" t="str">
        <f t="shared" si="4"/>
        <v>Tim Iroegbunam</v>
      </c>
    </row>
    <row r="315" spans="1:27" x14ac:dyDescent="0.25">
      <c r="A315" s="24">
        <v>1</v>
      </c>
      <c r="B315" s="24" t="s">
        <v>540</v>
      </c>
      <c r="C315" s="24" t="s">
        <v>541</v>
      </c>
      <c r="D315">
        <v>273</v>
      </c>
      <c r="E315" s="24">
        <v>0</v>
      </c>
      <c r="F315" s="25">
        <v>40</v>
      </c>
      <c r="G315" s="24">
        <v>0</v>
      </c>
      <c r="H315" s="24">
        <v>1.5</v>
      </c>
      <c r="I315" s="24">
        <v>11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t="s">
        <v>1208</v>
      </c>
      <c r="Z315" t="b">
        <v>1</v>
      </c>
      <c r="AA315" s="24" t="str">
        <f t="shared" si="4"/>
        <v>Dillon Phillips</v>
      </c>
    </row>
    <row r="316" spans="1:27" x14ac:dyDescent="0.25">
      <c r="A316" s="24">
        <v>1</v>
      </c>
      <c r="B316" s="24" t="s">
        <v>253</v>
      </c>
      <c r="C316" s="24" t="s">
        <v>542</v>
      </c>
      <c r="D316">
        <v>274</v>
      </c>
      <c r="E316" s="24">
        <v>0</v>
      </c>
      <c r="F316" s="25">
        <v>45</v>
      </c>
      <c r="G316" s="24">
        <v>0</v>
      </c>
      <c r="H316" s="24">
        <v>0.1</v>
      </c>
      <c r="I316" s="24">
        <v>11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t="s">
        <v>1209</v>
      </c>
      <c r="Z316" t="b">
        <v>1</v>
      </c>
      <c r="AA316" s="24" t="str">
        <f t="shared" si="4"/>
        <v>Jack Butland</v>
      </c>
    </row>
    <row r="317" spans="1:27" x14ac:dyDescent="0.25">
      <c r="A317" s="24">
        <v>1</v>
      </c>
      <c r="B317" s="24" t="s">
        <v>543</v>
      </c>
      <c r="C317" s="24" t="s">
        <v>544</v>
      </c>
      <c r="D317">
        <v>275</v>
      </c>
      <c r="E317" s="24">
        <v>0</v>
      </c>
      <c r="F317" s="25">
        <v>40</v>
      </c>
      <c r="G317" s="24">
        <v>0</v>
      </c>
      <c r="H317" s="24">
        <v>0</v>
      </c>
      <c r="I317" s="24">
        <v>11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t="s">
        <v>1211</v>
      </c>
      <c r="Z317" t="b">
        <v>0</v>
      </c>
      <c r="AA317" s="24" t="str">
        <f t="shared" si="4"/>
        <v>Harvey Cartwright</v>
      </c>
    </row>
    <row r="318" spans="1:27" x14ac:dyDescent="0.25">
      <c r="A318" s="24">
        <v>1</v>
      </c>
      <c r="B318" s="24" t="s">
        <v>545</v>
      </c>
      <c r="C318" s="24" t="s">
        <v>546</v>
      </c>
      <c r="D318">
        <v>276</v>
      </c>
      <c r="E318" s="24">
        <v>0</v>
      </c>
      <c r="F318" s="25">
        <v>40</v>
      </c>
      <c r="G318" s="24">
        <v>0</v>
      </c>
      <c r="H318" s="24">
        <v>0</v>
      </c>
      <c r="I318" s="24">
        <v>11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t="s">
        <v>1211</v>
      </c>
      <c r="Z318" t="b">
        <v>0</v>
      </c>
      <c r="AA318" s="24" t="str">
        <f t="shared" si="4"/>
        <v>Thimothée Lo-Tutala</v>
      </c>
    </row>
    <row r="319" spans="1:27" x14ac:dyDescent="0.25">
      <c r="A319" s="24">
        <v>2</v>
      </c>
      <c r="B319" s="24" t="s">
        <v>101</v>
      </c>
      <c r="C319" s="24" t="s">
        <v>547</v>
      </c>
      <c r="D319">
        <v>277</v>
      </c>
      <c r="E319" s="24">
        <v>7.7</v>
      </c>
      <c r="F319" s="25">
        <v>41</v>
      </c>
      <c r="G319" s="24">
        <v>7.7</v>
      </c>
      <c r="H319" s="24">
        <v>6.1</v>
      </c>
      <c r="I319" s="24">
        <v>11</v>
      </c>
      <c r="J319" s="24">
        <v>23</v>
      </c>
      <c r="K319" s="24">
        <v>270</v>
      </c>
      <c r="L319" s="24">
        <v>0</v>
      </c>
      <c r="M319" s="24">
        <v>0</v>
      </c>
      <c r="N319" s="24">
        <v>3</v>
      </c>
      <c r="O319" s="24">
        <v>0</v>
      </c>
      <c r="P319" s="24">
        <v>0</v>
      </c>
      <c r="Q319" s="24">
        <v>1</v>
      </c>
      <c r="R319" s="24">
        <v>70</v>
      </c>
      <c r="S319" s="24">
        <v>41</v>
      </c>
      <c r="T319" s="24">
        <v>3</v>
      </c>
      <c r="U319" s="24">
        <v>0</v>
      </c>
      <c r="V319" s="24">
        <v>0</v>
      </c>
      <c r="W319" s="24">
        <v>0</v>
      </c>
      <c r="X319" s="24">
        <v>5.05</v>
      </c>
      <c r="Y319" t="s">
        <v>1208</v>
      </c>
      <c r="Z319" t="b">
        <v>1</v>
      </c>
      <c r="AA319" s="24" t="str">
        <f t="shared" si="4"/>
        <v>John Egan</v>
      </c>
    </row>
    <row r="320" spans="1:27" x14ac:dyDescent="0.25">
      <c r="A320" s="24">
        <v>2</v>
      </c>
      <c r="B320" s="24" t="s">
        <v>548</v>
      </c>
      <c r="C320" s="24" t="s">
        <v>434</v>
      </c>
      <c r="D320">
        <v>278</v>
      </c>
      <c r="E320" s="24">
        <v>0</v>
      </c>
      <c r="F320" s="25">
        <v>40</v>
      </c>
      <c r="G320" s="24">
        <v>0</v>
      </c>
      <c r="H320" s="24">
        <v>0.1</v>
      </c>
      <c r="I320" s="24">
        <v>11</v>
      </c>
      <c r="J320" s="24">
        <v>0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t="s">
        <v>1209</v>
      </c>
      <c r="Z320" t="b">
        <v>1</v>
      </c>
      <c r="AA320" s="24" t="str">
        <f t="shared" si="4"/>
        <v>Charlie Hughes</v>
      </c>
    </row>
    <row r="321" spans="1:27" x14ac:dyDescent="0.25">
      <c r="A321" s="24">
        <v>2</v>
      </c>
      <c r="B321" s="24" t="s">
        <v>549</v>
      </c>
      <c r="C321" s="24" t="s">
        <v>550</v>
      </c>
      <c r="D321">
        <v>279</v>
      </c>
      <c r="E321" s="24">
        <v>8.3000000000000007</v>
      </c>
      <c r="F321" s="25">
        <v>41</v>
      </c>
      <c r="G321" s="24">
        <v>8.3000000000000007</v>
      </c>
      <c r="H321" s="24">
        <v>10.5</v>
      </c>
      <c r="I321" s="24">
        <v>11</v>
      </c>
      <c r="J321" s="24">
        <v>25</v>
      </c>
      <c r="K321" s="24">
        <v>243</v>
      </c>
      <c r="L321" s="24">
        <v>1</v>
      </c>
      <c r="M321" s="24">
        <v>0</v>
      </c>
      <c r="N321" s="24">
        <v>3</v>
      </c>
      <c r="O321" s="24">
        <v>0</v>
      </c>
      <c r="P321" s="24">
        <v>0</v>
      </c>
      <c r="Q321" s="24">
        <v>2</v>
      </c>
      <c r="R321" s="24">
        <v>80</v>
      </c>
      <c r="S321" s="24">
        <v>20</v>
      </c>
      <c r="T321" s="24">
        <v>3</v>
      </c>
      <c r="U321" s="24">
        <v>0.52</v>
      </c>
      <c r="V321" s="24">
        <v>0</v>
      </c>
      <c r="W321" s="24">
        <v>0.52</v>
      </c>
      <c r="X321" s="24">
        <v>4.08</v>
      </c>
      <c r="Y321" t="s">
        <v>1208</v>
      </c>
      <c r="Z321" t="b">
        <v>1</v>
      </c>
      <c r="AA321" s="24" t="str">
        <f t="shared" si="4"/>
        <v>Semi Ajayi</v>
      </c>
    </row>
    <row r="322" spans="1:27" x14ac:dyDescent="0.25">
      <c r="A322" s="24">
        <v>2</v>
      </c>
      <c r="B322" s="24" t="s">
        <v>551</v>
      </c>
      <c r="C322" s="24" t="s">
        <v>552</v>
      </c>
      <c r="D322">
        <v>280</v>
      </c>
      <c r="E322" s="24">
        <v>4</v>
      </c>
      <c r="F322" s="25">
        <v>40</v>
      </c>
      <c r="G322" s="24">
        <v>4</v>
      </c>
      <c r="H322" s="24">
        <v>0.5</v>
      </c>
      <c r="I322" s="24">
        <v>11</v>
      </c>
      <c r="J322" s="24">
        <v>12</v>
      </c>
      <c r="K322" s="24">
        <v>177</v>
      </c>
      <c r="L322" s="24">
        <v>0</v>
      </c>
      <c r="M322" s="24">
        <v>0</v>
      </c>
      <c r="N322" s="24">
        <v>2</v>
      </c>
      <c r="O322" s="24">
        <v>0</v>
      </c>
      <c r="P322" s="24">
        <v>0</v>
      </c>
      <c r="Q322" s="24">
        <v>0</v>
      </c>
      <c r="R322" s="24">
        <v>44</v>
      </c>
      <c r="S322" s="24">
        <v>6</v>
      </c>
      <c r="T322" s="24">
        <v>3</v>
      </c>
      <c r="U322" s="24">
        <v>0</v>
      </c>
      <c r="V322" s="24">
        <v>0.02</v>
      </c>
      <c r="W322" s="24">
        <v>0.02</v>
      </c>
      <c r="X322" s="24">
        <v>4.0599999999999996</v>
      </c>
      <c r="Y322" t="s">
        <v>1208</v>
      </c>
      <c r="Z322" t="b">
        <v>1</v>
      </c>
      <c r="AA322" s="24" t="str">
        <f t="shared" ref="AA322:AA385" si="5">B322&amp;" "&amp;C322</f>
        <v>Lewie Coyle</v>
      </c>
    </row>
    <row r="323" spans="1:27" x14ac:dyDescent="0.25">
      <c r="A323" s="24">
        <v>2</v>
      </c>
      <c r="B323" s="24" t="s">
        <v>553</v>
      </c>
      <c r="C323" s="24" t="s">
        <v>554</v>
      </c>
      <c r="D323">
        <v>281</v>
      </c>
      <c r="E323" s="24">
        <v>0.7</v>
      </c>
      <c r="F323" s="25">
        <v>40</v>
      </c>
      <c r="G323" s="24">
        <v>1</v>
      </c>
      <c r="H323" s="24">
        <v>0.1</v>
      </c>
      <c r="I323" s="24">
        <v>11</v>
      </c>
      <c r="J323" s="24">
        <v>2</v>
      </c>
      <c r="K323" s="24">
        <v>65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8</v>
      </c>
      <c r="S323" s="24">
        <v>6</v>
      </c>
      <c r="T323" s="24">
        <v>0</v>
      </c>
      <c r="U323" s="24">
        <v>0.05</v>
      </c>
      <c r="V323" s="24">
        <v>0</v>
      </c>
      <c r="W323" s="24">
        <v>0.05</v>
      </c>
      <c r="X323" s="24">
        <v>0.87</v>
      </c>
      <c r="Y323" t="s">
        <v>1211</v>
      </c>
      <c r="Z323" t="b">
        <v>0</v>
      </c>
      <c r="AA323" s="24" t="str">
        <f t="shared" si="5"/>
        <v>Cody Drameh</v>
      </c>
    </row>
    <row r="324" spans="1:27" x14ac:dyDescent="0.25">
      <c r="A324" s="24">
        <v>2</v>
      </c>
      <c r="B324" s="24" t="s">
        <v>164</v>
      </c>
      <c r="C324" s="24" t="s">
        <v>555</v>
      </c>
      <c r="D324">
        <v>282</v>
      </c>
      <c r="E324" s="24">
        <v>6.7</v>
      </c>
      <c r="F324" s="25">
        <v>40</v>
      </c>
      <c r="G324" s="24">
        <v>6.7</v>
      </c>
      <c r="H324" s="24">
        <v>1.2</v>
      </c>
      <c r="I324" s="24">
        <v>11</v>
      </c>
      <c r="J324" s="24">
        <v>20</v>
      </c>
      <c r="K324" s="24">
        <v>264</v>
      </c>
      <c r="L324" s="24">
        <v>0</v>
      </c>
      <c r="M324" s="24">
        <v>0</v>
      </c>
      <c r="N324" s="24">
        <v>3</v>
      </c>
      <c r="O324" s="24">
        <v>0</v>
      </c>
      <c r="P324" s="24">
        <v>0</v>
      </c>
      <c r="Q324" s="24">
        <v>2</v>
      </c>
      <c r="R324" s="24">
        <v>75</v>
      </c>
      <c r="S324" s="24">
        <v>12</v>
      </c>
      <c r="T324" s="24">
        <v>3</v>
      </c>
      <c r="U324" s="24">
        <v>0.02</v>
      </c>
      <c r="V324" s="24">
        <v>0.18</v>
      </c>
      <c r="W324" s="24">
        <v>0.2</v>
      </c>
      <c r="X324" s="24">
        <v>4.9800000000000004</v>
      </c>
      <c r="Y324" t="s">
        <v>1208</v>
      </c>
      <c r="Z324" t="b">
        <v>1</v>
      </c>
      <c r="AA324" s="24" t="str">
        <f t="shared" si="5"/>
        <v>Ryan Giles</v>
      </c>
    </row>
    <row r="325" spans="1:27" x14ac:dyDescent="0.25">
      <c r="A325" s="24">
        <v>2</v>
      </c>
      <c r="B325" s="24" t="s">
        <v>82</v>
      </c>
      <c r="C325" s="24" t="s">
        <v>556</v>
      </c>
      <c r="D325">
        <v>283</v>
      </c>
      <c r="E325" s="24">
        <v>0</v>
      </c>
      <c r="F325" s="25">
        <v>40</v>
      </c>
      <c r="G325" s="24">
        <v>0</v>
      </c>
      <c r="H325" s="24">
        <v>0</v>
      </c>
      <c r="I325" s="24">
        <v>11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t="s">
        <v>1211</v>
      </c>
      <c r="Z325" t="b">
        <v>0</v>
      </c>
      <c r="AA325" s="24" t="str">
        <f t="shared" si="5"/>
        <v>Matty Jacob</v>
      </c>
    </row>
    <row r="326" spans="1:27" x14ac:dyDescent="0.25">
      <c r="A326" s="24">
        <v>2</v>
      </c>
      <c r="B326" s="24" t="s">
        <v>557</v>
      </c>
      <c r="C326" s="24" t="s">
        <v>558</v>
      </c>
      <c r="D326">
        <v>284</v>
      </c>
      <c r="E326" s="24">
        <v>0</v>
      </c>
      <c r="F326" s="25">
        <v>40</v>
      </c>
      <c r="G326" s="24">
        <v>0</v>
      </c>
      <c r="H326" s="24">
        <v>0.1</v>
      </c>
      <c r="I326" s="24">
        <v>11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t="s">
        <v>1208</v>
      </c>
      <c r="Z326" t="b">
        <v>1</v>
      </c>
      <c r="AA326" s="24" t="str">
        <f t="shared" si="5"/>
        <v>Cathal McCarthy</v>
      </c>
    </row>
    <row r="327" spans="1:27" x14ac:dyDescent="0.25">
      <c r="A327" s="24">
        <v>2</v>
      </c>
      <c r="B327" s="24" t="s">
        <v>559</v>
      </c>
      <c r="C327" s="24" t="s">
        <v>560</v>
      </c>
      <c r="D327">
        <v>285</v>
      </c>
      <c r="E327" s="24">
        <v>0.3</v>
      </c>
      <c r="F327" s="25">
        <v>40</v>
      </c>
      <c r="G327" s="24">
        <v>1</v>
      </c>
      <c r="H327" s="24">
        <v>0.1</v>
      </c>
      <c r="I327" s="24">
        <v>11</v>
      </c>
      <c r="J327" s="24">
        <v>1</v>
      </c>
      <c r="K327" s="24">
        <v>26</v>
      </c>
      <c r="L327" s="24">
        <v>0</v>
      </c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3</v>
      </c>
      <c r="S327" s="24">
        <v>2</v>
      </c>
      <c r="T327" s="24">
        <v>0</v>
      </c>
      <c r="U327" s="24">
        <v>0</v>
      </c>
      <c r="V327" s="24">
        <v>0</v>
      </c>
      <c r="W327" s="24">
        <v>0</v>
      </c>
      <c r="X327" s="24">
        <v>0.96</v>
      </c>
      <c r="Y327" t="s">
        <v>1208</v>
      </c>
      <c r="Z327" t="b">
        <v>1</v>
      </c>
      <c r="AA327" s="24" t="str">
        <f t="shared" si="5"/>
        <v>Paddy McNair</v>
      </c>
    </row>
    <row r="328" spans="1:27" x14ac:dyDescent="0.25">
      <c r="A328" s="24">
        <v>3</v>
      </c>
      <c r="B328" s="24" t="s">
        <v>561</v>
      </c>
      <c r="C328" s="24" t="s">
        <v>562</v>
      </c>
      <c r="D328">
        <v>286</v>
      </c>
      <c r="E328" s="24">
        <v>4.7</v>
      </c>
      <c r="F328" s="25">
        <v>50</v>
      </c>
      <c r="G328" s="24">
        <v>4.7</v>
      </c>
      <c r="H328" s="24">
        <v>0.9</v>
      </c>
      <c r="I328" s="24">
        <v>11</v>
      </c>
      <c r="J328" s="24">
        <v>14</v>
      </c>
      <c r="K328" s="24">
        <v>253</v>
      </c>
      <c r="L328" s="24">
        <v>0</v>
      </c>
      <c r="M328" s="24">
        <v>1</v>
      </c>
      <c r="N328" s="24">
        <v>3</v>
      </c>
      <c r="O328" s="24">
        <v>0</v>
      </c>
      <c r="P328" s="24">
        <v>0</v>
      </c>
      <c r="Q328" s="24">
        <v>0</v>
      </c>
      <c r="R328" s="24">
        <v>46</v>
      </c>
      <c r="S328" s="24">
        <v>32</v>
      </c>
      <c r="T328" s="24">
        <v>3</v>
      </c>
      <c r="U328" s="24">
        <v>0.2</v>
      </c>
      <c r="V328" s="24">
        <v>0.06</v>
      </c>
      <c r="W328" s="24">
        <v>0.26</v>
      </c>
      <c r="X328" s="24">
        <v>4.87</v>
      </c>
      <c r="Y328" t="s">
        <v>1208</v>
      </c>
      <c r="Z328" t="b">
        <v>1</v>
      </c>
      <c r="AA328" s="24" t="str">
        <f t="shared" si="5"/>
        <v>Mohamed Belloumi</v>
      </c>
    </row>
    <row r="329" spans="1:27" x14ac:dyDescent="0.25">
      <c r="A329" s="24">
        <v>3</v>
      </c>
      <c r="B329" s="24" t="s">
        <v>338</v>
      </c>
      <c r="C329" s="24" t="s">
        <v>563</v>
      </c>
      <c r="D329">
        <v>287</v>
      </c>
      <c r="E329" s="24">
        <v>2</v>
      </c>
      <c r="F329" s="25">
        <v>50</v>
      </c>
      <c r="G329" s="24">
        <v>3</v>
      </c>
      <c r="H329" s="24">
        <v>0.1</v>
      </c>
      <c r="I329" s="24">
        <v>11</v>
      </c>
      <c r="J329" s="24">
        <v>6</v>
      </c>
      <c r="K329" s="24">
        <v>50</v>
      </c>
      <c r="L329" s="24">
        <v>1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26</v>
      </c>
      <c r="S329" s="24">
        <v>4</v>
      </c>
      <c r="T329" s="24">
        <v>0</v>
      </c>
      <c r="U329" s="24">
        <v>0.57999999999999996</v>
      </c>
      <c r="V329" s="24">
        <v>0</v>
      </c>
      <c r="W329" s="24">
        <v>0.57999999999999996</v>
      </c>
      <c r="X329" s="24">
        <v>0.87</v>
      </c>
      <c r="Y329" t="s">
        <v>1211</v>
      </c>
      <c r="Z329" t="b">
        <v>0</v>
      </c>
      <c r="AA329" s="24" t="str">
        <f t="shared" si="5"/>
        <v>Liam Millar</v>
      </c>
    </row>
    <row r="330" spans="1:27" x14ac:dyDescent="0.25">
      <c r="A330" s="24">
        <v>3</v>
      </c>
      <c r="B330" s="24" t="s">
        <v>564</v>
      </c>
      <c r="C330" s="24" t="s">
        <v>565</v>
      </c>
      <c r="D330">
        <v>288</v>
      </c>
      <c r="E330" s="24">
        <v>0</v>
      </c>
      <c r="F330" s="25">
        <v>45</v>
      </c>
      <c r="G330" s="24">
        <v>0</v>
      </c>
      <c r="H330" s="24">
        <v>0.4</v>
      </c>
      <c r="I330" s="24">
        <v>11</v>
      </c>
      <c r="J330" s="24">
        <v>0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t="s">
        <v>1208</v>
      </c>
      <c r="Z330" t="b">
        <v>1</v>
      </c>
      <c r="AA330" s="24" t="str">
        <f t="shared" si="5"/>
        <v>Kieran Dowell</v>
      </c>
    </row>
    <row r="331" spans="1:27" x14ac:dyDescent="0.25">
      <c r="A331" s="24">
        <v>3</v>
      </c>
      <c r="B331" s="24" t="s">
        <v>259</v>
      </c>
      <c r="C331" s="24" t="s">
        <v>566</v>
      </c>
      <c r="D331">
        <v>289</v>
      </c>
      <c r="E331" s="24">
        <v>0.7</v>
      </c>
      <c r="F331" s="25">
        <v>45</v>
      </c>
      <c r="G331" s="24">
        <v>2</v>
      </c>
      <c r="H331" s="24">
        <v>0.5</v>
      </c>
      <c r="I331" s="24">
        <v>11</v>
      </c>
      <c r="J331" s="24">
        <v>2</v>
      </c>
      <c r="K331" s="24">
        <v>90</v>
      </c>
      <c r="L331" s="24">
        <v>0</v>
      </c>
      <c r="M331" s="24">
        <v>0</v>
      </c>
      <c r="N331" s="24">
        <v>1</v>
      </c>
      <c r="O331" s="24">
        <v>0</v>
      </c>
      <c r="P331" s="24">
        <v>0</v>
      </c>
      <c r="Q331" s="24">
        <v>0</v>
      </c>
      <c r="R331" s="24">
        <v>9</v>
      </c>
      <c r="S331" s="24">
        <v>9</v>
      </c>
      <c r="T331" s="24">
        <v>1</v>
      </c>
      <c r="U331" s="24">
        <v>0</v>
      </c>
      <c r="V331" s="24">
        <v>0</v>
      </c>
      <c r="W331" s="24">
        <v>0</v>
      </c>
      <c r="X331" s="24">
        <v>1.83</v>
      </c>
      <c r="Y331" t="s">
        <v>1210</v>
      </c>
      <c r="Z331" t="b">
        <v>1</v>
      </c>
      <c r="AA331" s="24" t="str">
        <f t="shared" si="5"/>
        <v>Matt Crooks</v>
      </c>
    </row>
    <row r="332" spans="1:27" x14ac:dyDescent="0.25">
      <c r="A332" s="24">
        <v>3</v>
      </c>
      <c r="B332" s="24" t="s">
        <v>567</v>
      </c>
      <c r="C332" s="24" t="s">
        <v>568</v>
      </c>
      <c r="D332">
        <v>290</v>
      </c>
      <c r="E332" s="24">
        <v>3.7</v>
      </c>
      <c r="F332" s="25">
        <v>45</v>
      </c>
      <c r="G332" s="24">
        <v>3.7</v>
      </c>
      <c r="H332" s="24">
        <v>5</v>
      </c>
      <c r="I332" s="24">
        <v>11</v>
      </c>
      <c r="J332" s="24">
        <v>11</v>
      </c>
      <c r="K332" s="24">
        <v>270</v>
      </c>
      <c r="L332" s="24">
        <v>0</v>
      </c>
      <c r="M332" s="24">
        <v>1</v>
      </c>
      <c r="N332" s="24">
        <v>3</v>
      </c>
      <c r="O332" s="24">
        <v>0</v>
      </c>
      <c r="P332" s="24">
        <v>0</v>
      </c>
      <c r="Q332" s="24">
        <v>0</v>
      </c>
      <c r="R332" s="24">
        <v>36</v>
      </c>
      <c r="S332" s="24">
        <v>19</v>
      </c>
      <c r="T332" s="24">
        <v>3</v>
      </c>
      <c r="U332" s="24">
        <v>0.04</v>
      </c>
      <c r="V332" s="24">
        <v>0.46</v>
      </c>
      <c r="W332" s="24">
        <v>0.5</v>
      </c>
      <c r="X332" s="24">
        <v>5.05</v>
      </c>
      <c r="Y332" t="s">
        <v>1208</v>
      </c>
      <c r="Z332" t="b">
        <v>1</v>
      </c>
      <c r="AA332" s="24" t="str">
        <f t="shared" si="5"/>
        <v>Regan Slater</v>
      </c>
    </row>
    <row r="333" spans="1:27" x14ac:dyDescent="0.25">
      <c r="A333" s="24">
        <v>3</v>
      </c>
      <c r="B333" s="24" t="s">
        <v>569</v>
      </c>
      <c r="C333" s="24" t="s">
        <v>570</v>
      </c>
      <c r="D333">
        <v>291</v>
      </c>
      <c r="E333" s="24">
        <v>0</v>
      </c>
      <c r="F333" s="25">
        <v>45</v>
      </c>
      <c r="G333" s="24">
        <v>0</v>
      </c>
      <c r="H333" s="24">
        <v>0</v>
      </c>
      <c r="I333" s="24">
        <v>11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t="s">
        <v>1209</v>
      </c>
      <c r="Z333" t="b">
        <v>1</v>
      </c>
      <c r="AA333" s="24" t="str">
        <f t="shared" si="5"/>
        <v>Eliot Matazo</v>
      </c>
    </row>
    <row r="334" spans="1:27" x14ac:dyDescent="0.25">
      <c r="A334" s="24">
        <v>3</v>
      </c>
      <c r="B334" s="24" t="s">
        <v>571</v>
      </c>
      <c r="C334" s="24" t="s">
        <v>572</v>
      </c>
      <c r="D334">
        <v>292</v>
      </c>
      <c r="E334" s="24">
        <v>0</v>
      </c>
      <c r="F334" s="25">
        <v>49</v>
      </c>
      <c r="G334" s="24">
        <v>0</v>
      </c>
      <c r="H334" s="24">
        <v>0</v>
      </c>
      <c r="I334" s="24">
        <v>11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t="s">
        <v>1208</v>
      </c>
      <c r="Z334" t="b">
        <v>1</v>
      </c>
      <c r="AA334" s="24" t="str">
        <f t="shared" si="5"/>
        <v>Abdülkadir Ömür</v>
      </c>
    </row>
    <row r="335" spans="1:27" x14ac:dyDescent="0.25">
      <c r="A335" s="24">
        <v>3</v>
      </c>
      <c r="B335" s="24" t="s">
        <v>573</v>
      </c>
      <c r="C335" s="24" t="s">
        <v>106</v>
      </c>
      <c r="D335">
        <v>293</v>
      </c>
      <c r="E335" s="24">
        <v>0</v>
      </c>
      <c r="F335" s="25">
        <v>50</v>
      </c>
      <c r="G335" s="24">
        <v>0</v>
      </c>
      <c r="H335" s="24">
        <v>0</v>
      </c>
      <c r="I335" s="24">
        <v>11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t="s">
        <v>1211</v>
      </c>
      <c r="Z335" t="b">
        <v>0</v>
      </c>
      <c r="AA335" s="24" t="str">
        <f t="shared" si="5"/>
        <v>Abu Kamara</v>
      </c>
    </row>
    <row r="336" spans="1:27" x14ac:dyDescent="0.25">
      <c r="A336" s="24">
        <v>3</v>
      </c>
      <c r="B336" s="24" t="s">
        <v>574</v>
      </c>
      <c r="C336" s="24" t="s">
        <v>575</v>
      </c>
      <c r="D336">
        <v>294</v>
      </c>
      <c r="E336" s="24">
        <v>0</v>
      </c>
      <c r="F336" s="25">
        <v>45</v>
      </c>
      <c r="G336" s="24">
        <v>0</v>
      </c>
      <c r="H336" s="24">
        <v>0.1</v>
      </c>
      <c r="I336" s="24">
        <v>11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t="s">
        <v>1209</v>
      </c>
      <c r="Z336" t="b">
        <v>1</v>
      </c>
      <c r="AA336" s="24" t="str">
        <f t="shared" si="5"/>
        <v>Óscar Zambrano</v>
      </c>
    </row>
    <row r="337" spans="1:27" x14ac:dyDescent="0.25">
      <c r="A337" s="24">
        <v>4</v>
      </c>
      <c r="B337" s="24" t="s">
        <v>576</v>
      </c>
      <c r="C337" s="24" t="s">
        <v>577</v>
      </c>
      <c r="D337">
        <v>295</v>
      </c>
      <c r="E337" s="24">
        <v>2.7</v>
      </c>
      <c r="F337" s="25">
        <v>55</v>
      </c>
      <c r="G337" s="24">
        <v>2.7</v>
      </c>
      <c r="H337" s="24">
        <v>2</v>
      </c>
      <c r="I337" s="24">
        <v>11</v>
      </c>
      <c r="J337" s="24">
        <v>8</v>
      </c>
      <c r="K337" s="24">
        <v>270</v>
      </c>
      <c r="L337" s="24">
        <v>0</v>
      </c>
      <c r="M337" s="24">
        <v>1</v>
      </c>
      <c r="N337" s="24">
        <v>3</v>
      </c>
      <c r="O337" s="24">
        <v>0</v>
      </c>
      <c r="P337" s="24">
        <v>0</v>
      </c>
      <c r="Q337" s="24">
        <v>0</v>
      </c>
      <c r="R337" s="24">
        <v>30</v>
      </c>
      <c r="S337" s="24">
        <v>12</v>
      </c>
      <c r="T337" s="24">
        <v>3</v>
      </c>
      <c r="U337" s="24">
        <v>0.54</v>
      </c>
      <c r="V337" s="24">
        <v>7.0000000000000007E-2</v>
      </c>
      <c r="W337" s="24">
        <v>0.61</v>
      </c>
      <c r="X337" s="24">
        <v>5.05</v>
      </c>
      <c r="Y337" t="s">
        <v>1208</v>
      </c>
      <c r="Z337" t="b">
        <v>1</v>
      </c>
      <c r="AA337" s="24" t="str">
        <f t="shared" si="5"/>
        <v>Oli McBurnie</v>
      </c>
    </row>
    <row r="338" spans="1:27" x14ac:dyDescent="0.25">
      <c r="A338" s="24">
        <v>3</v>
      </c>
      <c r="B338" s="24" t="s">
        <v>20</v>
      </c>
      <c r="C338" s="24" t="s">
        <v>578</v>
      </c>
      <c r="D338">
        <v>296</v>
      </c>
      <c r="E338" s="24">
        <v>0</v>
      </c>
      <c r="F338" s="25">
        <v>50</v>
      </c>
      <c r="G338" s="24">
        <v>0</v>
      </c>
      <c r="H338" s="24">
        <v>0</v>
      </c>
      <c r="I338" s="24">
        <v>11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t="s">
        <v>1208</v>
      </c>
      <c r="Z338" t="b">
        <v>1</v>
      </c>
      <c r="AA338" s="24" t="str">
        <f t="shared" si="5"/>
        <v>David Akintola</v>
      </c>
    </row>
    <row r="339" spans="1:27" x14ac:dyDescent="0.25">
      <c r="A339" s="24">
        <v>3</v>
      </c>
      <c r="B339" s="24" t="s">
        <v>579</v>
      </c>
      <c r="C339" s="24" t="s">
        <v>580</v>
      </c>
      <c r="D339">
        <v>297</v>
      </c>
      <c r="E339" s="24">
        <v>0</v>
      </c>
      <c r="F339" s="25">
        <v>45</v>
      </c>
      <c r="G339" s="24">
        <v>0</v>
      </c>
      <c r="H339" s="24">
        <v>0</v>
      </c>
      <c r="I339" s="24">
        <v>11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t="s">
        <v>1209</v>
      </c>
      <c r="Z339" t="b">
        <v>1</v>
      </c>
      <c r="AA339" s="24" t="str">
        <f t="shared" si="5"/>
        <v>Darko Gyabi</v>
      </c>
    </row>
    <row r="340" spans="1:27" x14ac:dyDescent="0.25">
      <c r="A340" s="24">
        <v>4</v>
      </c>
      <c r="B340" s="24" t="s">
        <v>581</v>
      </c>
      <c r="C340" s="24" t="s">
        <v>582</v>
      </c>
      <c r="D340">
        <v>298</v>
      </c>
      <c r="E340" s="24">
        <v>0</v>
      </c>
      <c r="F340" s="25">
        <v>45</v>
      </c>
      <c r="G340" s="24">
        <v>0</v>
      </c>
      <c r="H340" s="24">
        <v>0.2</v>
      </c>
      <c r="I340" s="24">
        <v>11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t="s">
        <v>1211</v>
      </c>
      <c r="Z340" t="b">
        <v>0</v>
      </c>
      <c r="AA340" s="24" t="str">
        <f t="shared" si="5"/>
        <v>Enis Destan</v>
      </c>
    </row>
    <row r="341" spans="1:27" x14ac:dyDescent="0.25">
      <c r="A341" s="24">
        <v>4</v>
      </c>
      <c r="B341" s="24" t="s">
        <v>583</v>
      </c>
      <c r="C341" s="24" t="s">
        <v>584</v>
      </c>
      <c r="D341">
        <v>299</v>
      </c>
      <c r="E341" s="24">
        <v>0</v>
      </c>
      <c r="F341" s="25">
        <v>45</v>
      </c>
      <c r="G341" s="24">
        <v>0</v>
      </c>
      <c r="H341" s="24">
        <v>0</v>
      </c>
      <c r="I341" s="24">
        <v>11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t="s">
        <v>1211</v>
      </c>
      <c r="Z341" t="b">
        <v>0</v>
      </c>
      <c r="AA341" s="24" t="str">
        <f t="shared" si="5"/>
        <v>Mason Burstow</v>
      </c>
    </row>
    <row r="342" spans="1:27" x14ac:dyDescent="0.25">
      <c r="A342" s="24">
        <v>3</v>
      </c>
      <c r="B342" s="24" t="s">
        <v>585</v>
      </c>
      <c r="C342" s="24" t="s">
        <v>586</v>
      </c>
      <c r="D342">
        <v>340</v>
      </c>
      <c r="E342" s="24">
        <v>0</v>
      </c>
      <c r="F342" s="25">
        <v>50</v>
      </c>
      <c r="G342" s="24">
        <v>0</v>
      </c>
      <c r="H342" s="24">
        <v>0</v>
      </c>
      <c r="I342" s="24">
        <v>11</v>
      </c>
      <c r="J342" s="24">
        <v>0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t="s">
        <v>1208</v>
      </c>
      <c r="Z342" t="b">
        <v>1</v>
      </c>
      <c r="AA342" s="24" t="str">
        <f t="shared" si="5"/>
        <v>Joe Gelhardt</v>
      </c>
    </row>
    <row r="343" spans="1:27" x14ac:dyDescent="0.25">
      <c r="A343" s="24">
        <v>2</v>
      </c>
      <c r="B343" s="24" t="s">
        <v>259</v>
      </c>
      <c r="C343" s="24" t="s">
        <v>587</v>
      </c>
      <c r="D343">
        <v>556</v>
      </c>
      <c r="E343" s="24">
        <v>0.3</v>
      </c>
      <c r="F343" s="25">
        <v>40</v>
      </c>
      <c r="G343" s="24">
        <v>1</v>
      </c>
      <c r="H343" s="24">
        <v>2</v>
      </c>
      <c r="I343" s="24">
        <v>11</v>
      </c>
      <c r="J343" s="24">
        <v>1</v>
      </c>
      <c r="K343" s="24">
        <v>5</v>
      </c>
      <c r="L343" s="24">
        <v>0</v>
      </c>
      <c r="M343" s="24">
        <v>0</v>
      </c>
      <c r="N343" s="24">
        <v>0</v>
      </c>
      <c r="O343" s="24">
        <v>0</v>
      </c>
      <c r="P343" s="24">
        <v>0</v>
      </c>
      <c r="Q343" s="24">
        <v>0</v>
      </c>
      <c r="R343" s="24">
        <v>3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7.0000000000000007E-2</v>
      </c>
      <c r="Y343" t="s">
        <v>1208</v>
      </c>
      <c r="Z343" t="b">
        <v>1</v>
      </c>
      <c r="AA343" s="24" t="str">
        <f t="shared" si="5"/>
        <v>Matt Targett</v>
      </c>
    </row>
    <row r="344" spans="1:27" x14ac:dyDescent="0.25">
      <c r="A344" s="24">
        <v>3</v>
      </c>
      <c r="B344" s="24" t="s">
        <v>588</v>
      </c>
      <c r="C344" s="24" t="s">
        <v>589</v>
      </c>
      <c r="D344">
        <v>563</v>
      </c>
      <c r="E344" s="24">
        <v>0.3</v>
      </c>
      <c r="F344" s="25">
        <v>50</v>
      </c>
      <c r="G344" s="24">
        <v>1</v>
      </c>
      <c r="H344" s="24">
        <v>0</v>
      </c>
      <c r="I344" s="24">
        <v>11</v>
      </c>
      <c r="J344" s="24">
        <v>1</v>
      </c>
      <c r="K344" s="24">
        <v>45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6</v>
      </c>
      <c r="S344" s="24">
        <v>3</v>
      </c>
      <c r="T344" s="24">
        <v>1</v>
      </c>
      <c r="U344" s="24">
        <v>0</v>
      </c>
      <c r="V344" s="24">
        <v>0</v>
      </c>
      <c r="W344" s="24">
        <v>0</v>
      </c>
      <c r="X344" s="24">
        <v>1.0900000000000001</v>
      </c>
      <c r="Y344" t="s">
        <v>1208</v>
      </c>
      <c r="Z344" t="b">
        <v>1</v>
      </c>
      <c r="AA344" s="24" t="str">
        <f t="shared" si="5"/>
        <v>Hidemasa Morita</v>
      </c>
    </row>
    <row r="345" spans="1:27" x14ac:dyDescent="0.25">
      <c r="A345" s="24">
        <v>1</v>
      </c>
      <c r="B345" s="24" t="s">
        <v>590</v>
      </c>
      <c r="C345" s="24" t="s">
        <v>591</v>
      </c>
      <c r="D345">
        <v>572</v>
      </c>
      <c r="E345" s="24">
        <v>8.6999999999999993</v>
      </c>
      <c r="F345" s="25">
        <v>46</v>
      </c>
      <c r="G345" s="24">
        <v>8.6999999999999993</v>
      </c>
      <c r="H345" s="24">
        <v>8.8000000000000007</v>
      </c>
      <c r="I345" s="24">
        <v>11</v>
      </c>
      <c r="J345" s="24">
        <v>26</v>
      </c>
      <c r="K345" s="24">
        <v>270</v>
      </c>
      <c r="L345" s="24">
        <v>0</v>
      </c>
      <c r="M345" s="24">
        <v>0</v>
      </c>
      <c r="N345" s="24">
        <v>3</v>
      </c>
      <c r="O345" s="24">
        <v>0</v>
      </c>
      <c r="P345" s="24">
        <v>9</v>
      </c>
      <c r="Q345" s="24">
        <v>6</v>
      </c>
      <c r="R345" s="24">
        <v>98</v>
      </c>
      <c r="S345" s="24">
        <v>0</v>
      </c>
      <c r="T345" s="24">
        <v>3</v>
      </c>
      <c r="U345" s="24">
        <v>0</v>
      </c>
      <c r="V345" s="24">
        <v>0</v>
      </c>
      <c r="W345" s="24">
        <v>0</v>
      </c>
      <c r="X345" s="24">
        <v>5.05</v>
      </c>
      <c r="Y345" t="s">
        <v>1208</v>
      </c>
      <c r="Z345" t="b">
        <v>1</v>
      </c>
      <c r="AA345" s="24" t="str">
        <f t="shared" si="5"/>
        <v>Konstantinos Tzolakis</v>
      </c>
    </row>
    <row r="346" spans="1:27" x14ac:dyDescent="0.25">
      <c r="A346" s="24">
        <v>3</v>
      </c>
      <c r="B346" s="24" t="s">
        <v>592</v>
      </c>
      <c r="C346" s="24" t="s">
        <v>593</v>
      </c>
      <c r="D346">
        <v>574</v>
      </c>
      <c r="E346" s="24">
        <v>0.3</v>
      </c>
      <c r="F346" s="25">
        <v>49</v>
      </c>
      <c r="G346" s="24">
        <v>1</v>
      </c>
      <c r="H346" s="24">
        <v>0.1</v>
      </c>
      <c r="I346" s="24">
        <v>11</v>
      </c>
      <c r="J346" s="24">
        <v>1</v>
      </c>
      <c r="K346" s="24">
        <v>8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  <c r="Q346" s="24">
        <v>0</v>
      </c>
      <c r="R346" s="24">
        <v>4</v>
      </c>
      <c r="S346" s="24">
        <v>1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t="s">
        <v>1208</v>
      </c>
      <c r="Z346" t="b">
        <v>1</v>
      </c>
      <c r="AA346" s="24" t="str">
        <f t="shared" si="5"/>
        <v>Jens Hjertø-Dahl</v>
      </c>
    </row>
    <row r="347" spans="1:27" x14ac:dyDescent="0.25">
      <c r="A347" s="24">
        <v>3</v>
      </c>
      <c r="B347" s="24" t="s">
        <v>594</v>
      </c>
      <c r="C347" s="24" t="s">
        <v>595</v>
      </c>
      <c r="D347">
        <v>576</v>
      </c>
      <c r="E347" s="24">
        <v>2</v>
      </c>
      <c r="F347" s="25">
        <v>50</v>
      </c>
      <c r="G347" s="24">
        <v>2</v>
      </c>
      <c r="H347" s="24">
        <v>0.1</v>
      </c>
      <c r="I347" s="24">
        <v>11</v>
      </c>
      <c r="J347" s="24">
        <v>6</v>
      </c>
      <c r="K347" s="24">
        <v>190</v>
      </c>
      <c r="L347" s="24">
        <v>0</v>
      </c>
      <c r="M347" s="24">
        <v>0</v>
      </c>
      <c r="N347" s="24">
        <v>2</v>
      </c>
      <c r="O347" s="24">
        <v>0</v>
      </c>
      <c r="P347" s="24">
        <v>0</v>
      </c>
      <c r="Q347" s="24">
        <v>0</v>
      </c>
      <c r="R347" s="24">
        <v>14</v>
      </c>
      <c r="S347" s="24">
        <v>15</v>
      </c>
      <c r="T347" s="24">
        <v>3</v>
      </c>
      <c r="U347" s="24">
        <v>0.05</v>
      </c>
      <c r="V347" s="24">
        <v>0.05</v>
      </c>
      <c r="W347" s="24">
        <v>0.1</v>
      </c>
      <c r="X347" s="24">
        <v>4.0599999999999996</v>
      </c>
      <c r="Y347" t="s">
        <v>1208</v>
      </c>
      <c r="Z347" t="b">
        <v>1</v>
      </c>
      <c r="AA347" s="24" t="str">
        <f t="shared" si="5"/>
        <v>Elliot Stroud</v>
      </c>
    </row>
    <row r="348" spans="1:27" x14ac:dyDescent="0.25">
      <c r="A348" s="24">
        <v>2</v>
      </c>
      <c r="B348" s="24" t="s">
        <v>78</v>
      </c>
      <c r="C348" s="24" t="s">
        <v>596</v>
      </c>
      <c r="D348">
        <v>585</v>
      </c>
      <c r="E348" s="24">
        <v>1</v>
      </c>
      <c r="F348" s="25">
        <v>40</v>
      </c>
      <c r="G348" s="24">
        <v>1</v>
      </c>
      <c r="H348" s="24">
        <v>0.6</v>
      </c>
      <c r="I348" s="24">
        <v>11</v>
      </c>
      <c r="J348" s="24">
        <v>3</v>
      </c>
      <c r="K348" s="24">
        <v>76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9</v>
      </c>
      <c r="S348" s="24">
        <v>7</v>
      </c>
      <c r="T348" s="24">
        <v>0</v>
      </c>
      <c r="U348" s="24">
        <v>0</v>
      </c>
      <c r="V348" s="24">
        <v>0</v>
      </c>
      <c r="W348" s="24">
        <v>0</v>
      </c>
      <c r="X348" s="24">
        <v>1.28</v>
      </c>
      <c r="Y348" t="s">
        <v>1208</v>
      </c>
      <c r="Z348" t="b">
        <v>1</v>
      </c>
      <c r="AA348" s="24" t="str">
        <f t="shared" si="5"/>
        <v>Lucas Herrington</v>
      </c>
    </row>
    <row r="349" spans="1:27" x14ac:dyDescent="0.25">
      <c r="A349" s="24">
        <v>2</v>
      </c>
      <c r="B349" s="24" t="s">
        <v>597</v>
      </c>
      <c r="C349" s="24" t="s">
        <v>598</v>
      </c>
      <c r="D349">
        <v>586</v>
      </c>
      <c r="E349" s="24">
        <v>8</v>
      </c>
      <c r="F349" s="25">
        <v>40</v>
      </c>
      <c r="G349" s="24">
        <v>8</v>
      </c>
      <c r="H349" s="24">
        <v>6.5</v>
      </c>
      <c r="I349" s="24">
        <v>11</v>
      </c>
      <c r="J349" s="24">
        <v>24</v>
      </c>
      <c r="K349" s="24">
        <v>191</v>
      </c>
      <c r="L349" s="24">
        <v>1</v>
      </c>
      <c r="M349" s="24">
        <v>0</v>
      </c>
      <c r="N349" s="24">
        <v>2</v>
      </c>
      <c r="O349" s="24">
        <v>0</v>
      </c>
      <c r="P349" s="24">
        <v>0</v>
      </c>
      <c r="Q349" s="24">
        <v>1</v>
      </c>
      <c r="R349" s="24">
        <v>66</v>
      </c>
      <c r="S349" s="24">
        <v>32</v>
      </c>
      <c r="T349" s="24">
        <v>3</v>
      </c>
      <c r="U349" s="24">
        <v>0.32</v>
      </c>
      <c r="V349" s="24">
        <v>0</v>
      </c>
      <c r="W349" s="24">
        <v>0.32</v>
      </c>
      <c r="X349" s="24">
        <v>3.76</v>
      </c>
      <c r="Y349" t="s">
        <v>1208</v>
      </c>
      <c r="Z349" t="b">
        <v>1</v>
      </c>
      <c r="AA349" s="24" t="str">
        <f t="shared" si="5"/>
        <v>Nobel Mendy</v>
      </c>
    </row>
    <row r="350" spans="1:27" x14ac:dyDescent="0.25">
      <c r="A350" s="24">
        <v>3</v>
      </c>
      <c r="B350" s="24" t="s">
        <v>78</v>
      </c>
      <c r="C350" s="24" t="s">
        <v>599</v>
      </c>
      <c r="D350">
        <v>589</v>
      </c>
      <c r="E350" s="24">
        <v>1</v>
      </c>
      <c r="F350" s="25">
        <v>50</v>
      </c>
      <c r="G350" s="24">
        <v>1.5</v>
      </c>
      <c r="H350" s="24">
        <v>0</v>
      </c>
      <c r="I350" s="24">
        <v>11</v>
      </c>
      <c r="J350" s="24">
        <v>3</v>
      </c>
      <c r="K350" s="24">
        <v>126</v>
      </c>
      <c r="L350" s="24">
        <v>0</v>
      </c>
      <c r="M350" s="24">
        <v>0</v>
      </c>
      <c r="N350" s="24">
        <v>1</v>
      </c>
      <c r="O350" s="24">
        <v>0</v>
      </c>
      <c r="P350" s="24">
        <v>0</v>
      </c>
      <c r="Q350" s="24">
        <v>0</v>
      </c>
      <c r="R350" s="24">
        <v>13</v>
      </c>
      <c r="S350" s="24">
        <v>16</v>
      </c>
      <c r="T350" s="24">
        <v>1</v>
      </c>
      <c r="U350" s="24">
        <v>0</v>
      </c>
      <c r="V350" s="24">
        <v>0.02</v>
      </c>
      <c r="W350" s="24">
        <v>0.02</v>
      </c>
      <c r="X350" s="24">
        <v>2.13</v>
      </c>
      <c r="Y350" t="s">
        <v>1208</v>
      </c>
      <c r="Z350" t="b">
        <v>1</v>
      </c>
      <c r="AA350" s="24" t="str">
        <f t="shared" si="5"/>
        <v>Lucas Gourna-Douath</v>
      </c>
    </row>
    <row r="351" spans="1:27" x14ac:dyDescent="0.25">
      <c r="A351" s="24">
        <v>3</v>
      </c>
      <c r="B351" s="24" t="s">
        <v>1247</v>
      </c>
      <c r="C351" s="24" t="s">
        <v>1248</v>
      </c>
      <c r="D351">
        <v>617</v>
      </c>
      <c r="E351" s="24">
        <v>1</v>
      </c>
      <c r="F351" s="25">
        <v>50</v>
      </c>
      <c r="G351" s="24">
        <v>1</v>
      </c>
      <c r="H351" s="24">
        <v>0</v>
      </c>
      <c r="I351" s="24">
        <v>11</v>
      </c>
      <c r="J351" s="24">
        <v>2</v>
      </c>
      <c r="K351" s="24">
        <v>15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8</v>
      </c>
      <c r="S351" s="24">
        <v>0</v>
      </c>
      <c r="T351" s="24">
        <v>0</v>
      </c>
      <c r="U351" s="24">
        <v>0.05</v>
      </c>
      <c r="V351" s="24">
        <v>0</v>
      </c>
      <c r="W351" s="24">
        <v>0.05</v>
      </c>
      <c r="X351" s="24">
        <v>0.18</v>
      </c>
      <c r="Y351" t="s">
        <v>1208</v>
      </c>
      <c r="Z351" t="b">
        <v>1</v>
      </c>
      <c r="AA351" s="24" t="str">
        <f t="shared" si="5"/>
        <v>Mohamed-Ali Cho</v>
      </c>
    </row>
    <row r="352" spans="1:27" x14ac:dyDescent="0.25">
      <c r="A352" s="24">
        <v>4</v>
      </c>
      <c r="B352" s="24" t="s">
        <v>2625</v>
      </c>
      <c r="C352" s="24" t="s">
        <v>2626</v>
      </c>
      <c r="D352">
        <v>632</v>
      </c>
      <c r="E352" s="24">
        <v>0</v>
      </c>
      <c r="F352" s="25">
        <v>50</v>
      </c>
      <c r="G352" s="24">
        <v>0</v>
      </c>
      <c r="H352" s="24">
        <v>0</v>
      </c>
      <c r="I352" s="24">
        <v>11</v>
      </c>
      <c r="J352" s="24">
        <v>0</v>
      </c>
      <c r="K352" s="24">
        <v>0</v>
      </c>
      <c r="L352" s="24">
        <v>0</v>
      </c>
      <c r="M352" s="24">
        <v>0</v>
      </c>
      <c r="N352" s="24">
        <v>0</v>
      </c>
      <c r="O352" s="24">
        <v>0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t="s">
        <v>1208</v>
      </c>
      <c r="Z352" t="b">
        <v>1</v>
      </c>
      <c r="AA352" s="24" t="str">
        <f t="shared" si="5"/>
        <v>Ilyas Ansah</v>
      </c>
    </row>
    <row r="353" spans="1:27" x14ac:dyDescent="0.25">
      <c r="A353" s="24">
        <v>4</v>
      </c>
      <c r="B353" s="24" t="s">
        <v>2627</v>
      </c>
      <c r="C353" s="24" t="s">
        <v>2628</v>
      </c>
      <c r="D353">
        <v>637</v>
      </c>
      <c r="E353" s="24">
        <v>0</v>
      </c>
      <c r="F353" s="25">
        <v>50</v>
      </c>
      <c r="G353" s="24">
        <v>0</v>
      </c>
      <c r="H353" s="24">
        <v>0</v>
      </c>
      <c r="I353" s="24">
        <v>11</v>
      </c>
      <c r="J353" s="24">
        <v>0</v>
      </c>
      <c r="K353" s="24">
        <v>0</v>
      </c>
      <c r="L353" s="24">
        <v>0</v>
      </c>
      <c r="M353" s="24">
        <v>0</v>
      </c>
      <c r="N353" s="24">
        <v>0</v>
      </c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t="s">
        <v>1208</v>
      </c>
      <c r="Z353" t="b">
        <v>1</v>
      </c>
      <c r="AA353" s="24" t="str">
        <f t="shared" si="5"/>
        <v>Robinio Vaz</v>
      </c>
    </row>
    <row r="354" spans="1:27" x14ac:dyDescent="0.25">
      <c r="A354" s="24">
        <v>2</v>
      </c>
      <c r="B354" s="24" t="s">
        <v>2629</v>
      </c>
      <c r="C354" s="24" t="s">
        <v>2630</v>
      </c>
      <c r="D354">
        <v>638</v>
      </c>
      <c r="E354" s="24">
        <v>1</v>
      </c>
      <c r="F354" s="25">
        <v>40</v>
      </c>
      <c r="G354" s="24">
        <v>1</v>
      </c>
      <c r="H354" s="24">
        <v>0.2</v>
      </c>
      <c r="I354" s="24">
        <v>11</v>
      </c>
      <c r="J354" s="24">
        <v>1</v>
      </c>
      <c r="K354" s="24">
        <v>26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24">
        <v>3</v>
      </c>
      <c r="S354" s="24">
        <v>1</v>
      </c>
      <c r="T354" s="24">
        <v>0</v>
      </c>
      <c r="U354" s="24">
        <v>0</v>
      </c>
      <c r="V354" s="24">
        <v>0</v>
      </c>
      <c r="W354" s="24">
        <v>0</v>
      </c>
      <c r="X354" s="24">
        <v>0.12</v>
      </c>
      <c r="Y354" t="s">
        <v>1208</v>
      </c>
      <c r="Z354" t="b">
        <v>1</v>
      </c>
      <c r="AA354" s="24" t="str">
        <f t="shared" si="5"/>
        <v>Brooke Norton-Cuffy</v>
      </c>
    </row>
    <row r="355" spans="1:27" x14ac:dyDescent="0.25">
      <c r="A355" s="24">
        <v>3</v>
      </c>
      <c r="B355" s="24" t="s">
        <v>2631</v>
      </c>
      <c r="C355" s="24" t="s">
        <v>364</v>
      </c>
      <c r="D355">
        <v>642</v>
      </c>
      <c r="E355" s="24">
        <v>1</v>
      </c>
      <c r="F355" s="25">
        <v>55</v>
      </c>
      <c r="G355" s="24">
        <v>1</v>
      </c>
      <c r="H355" s="24">
        <v>0</v>
      </c>
      <c r="I355" s="24">
        <v>11</v>
      </c>
      <c r="J355" s="24">
        <v>1</v>
      </c>
      <c r="K355" s="24">
        <v>27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  <c r="Q355" s="24">
        <v>0</v>
      </c>
      <c r="R355" s="24">
        <v>5</v>
      </c>
      <c r="S355" s="24">
        <v>1</v>
      </c>
      <c r="T355" s="24">
        <v>0</v>
      </c>
      <c r="U355" s="24">
        <v>0</v>
      </c>
      <c r="V355" s="24">
        <v>0.04</v>
      </c>
      <c r="W355" s="24">
        <v>0.04</v>
      </c>
      <c r="X355" s="24">
        <v>0.12</v>
      </c>
      <c r="Y355" t="s">
        <v>1208</v>
      </c>
      <c r="Z355" t="b">
        <v>1</v>
      </c>
      <c r="AA355" s="24" t="str">
        <f t="shared" si="5"/>
        <v>Sorba Thomas</v>
      </c>
    </row>
    <row r="356" spans="1:27" x14ac:dyDescent="0.25">
      <c r="A356" s="24">
        <v>3</v>
      </c>
      <c r="B356" s="24" t="s">
        <v>72</v>
      </c>
      <c r="C356" s="24" t="s">
        <v>2632</v>
      </c>
      <c r="D356">
        <v>645</v>
      </c>
      <c r="E356" s="24">
        <v>0</v>
      </c>
      <c r="F356" s="25">
        <v>50</v>
      </c>
      <c r="G356" s="24">
        <v>0</v>
      </c>
      <c r="H356" s="24">
        <v>0</v>
      </c>
      <c r="I356" s="24">
        <v>11</v>
      </c>
      <c r="J356" s="24">
        <v>0</v>
      </c>
      <c r="K356" s="24">
        <v>0</v>
      </c>
      <c r="L356" s="24">
        <v>0</v>
      </c>
      <c r="M356" s="24">
        <v>0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t="s">
        <v>1208</v>
      </c>
      <c r="Z356" t="b">
        <v>1</v>
      </c>
      <c r="AA356" s="24" t="str">
        <f t="shared" si="5"/>
        <v>Christos Mouzakitis</v>
      </c>
    </row>
    <row r="357" spans="1:27" x14ac:dyDescent="0.25">
      <c r="A357" s="24">
        <v>2</v>
      </c>
      <c r="B357" s="24" t="s">
        <v>600</v>
      </c>
      <c r="C357" s="24" t="s">
        <v>601</v>
      </c>
      <c r="D357">
        <v>259</v>
      </c>
      <c r="E357" s="24">
        <v>2.2999999999999998</v>
      </c>
      <c r="F357" s="25">
        <v>40</v>
      </c>
      <c r="G357" s="24">
        <v>2.2999999999999998</v>
      </c>
      <c r="H357" s="24">
        <v>15.1</v>
      </c>
      <c r="I357" s="24">
        <v>12</v>
      </c>
      <c r="J357" s="24">
        <v>7</v>
      </c>
      <c r="K357" s="24">
        <v>270</v>
      </c>
      <c r="L357" s="24">
        <v>0</v>
      </c>
      <c r="M357" s="24">
        <v>0</v>
      </c>
      <c r="N357" s="24">
        <v>0</v>
      </c>
      <c r="O357" s="24">
        <v>8</v>
      </c>
      <c r="P357" s="24">
        <v>0</v>
      </c>
      <c r="Q357" s="24">
        <v>0</v>
      </c>
      <c r="R357" s="24">
        <v>24</v>
      </c>
      <c r="S357" s="24">
        <v>28</v>
      </c>
      <c r="T357" s="24">
        <v>3</v>
      </c>
      <c r="U357" s="24">
        <v>0</v>
      </c>
      <c r="V357" s="24">
        <v>0.02</v>
      </c>
      <c r="W357" s="24">
        <v>0.02</v>
      </c>
      <c r="X357" s="24">
        <v>6.12</v>
      </c>
      <c r="Y357" t="s">
        <v>1208</v>
      </c>
      <c r="Z357" t="b">
        <v>1</v>
      </c>
      <c r="AA357" s="24" t="str">
        <f t="shared" si="5"/>
        <v>Issa Diop</v>
      </c>
    </row>
    <row r="358" spans="1:27" x14ac:dyDescent="0.25">
      <c r="A358" s="24">
        <v>3</v>
      </c>
      <c r="B358" s="24" t="s">
        <v>602</v>
      </c>
      <c r="C358" s="24" t="s">
        <v>603</v>
      </c>
      <c r="D358">
        <v>267</v>
      </c>
      <c r="E358" s="24">
        <v>2.7</v>
      </c>
      <c r="F358" s="25">
        <v>50</v>
      </c>
      <c r="G358" s="24">
        <v>2.7</v>
      </c>
      <c r="H358" s="24">
        <v>0.1</v>
      </c>
      <c r="I358" s="24">
        <v>12</v>
      </c>
      <c r="J358" s="24">
        <v>8</v>
      </c>
      <c r="K358" s="24">
        <v>252</v>
      </c>
      <c r="L358" s="24">
        <v>0</v>
      </c>
      <c r="M358" s="24">
        <v>1</v>
      </c>
      <c r="N358" s="24">
        <v>0</v>
      </c>
      <c r="O358" s="24">
        <v>7</v>
      </c>
      <c r="P358" s="24">
        <v>0</v>
      </c>
      <c r="Q358" s="24">
        <v>0</v>
      </c>
      <c r="R358" s="24">
        <v>46</v>
      </c>
      <c r="S358" s="24">
        <v>21</v>
      </c>
      <c r="T358" s="24">
        <v>3</v>
      </c>
      <c r="U358" s="24">
        <v>0.02</v>
      </c>
      <c r="V358" s="24">
        <v>0.06</v>
      </c>
      <c r="W358" s="24">
        <v>0.08</v>
      </c>
      <c r="X358" s="24">
        <v>5.26</v>
      </c>
      <c r="Y358" t="s">
        <v>1208</v>
      </c>
      <c r="Z358" t="b">
        <v>1</v>
      </c>
      <c r="AA358" s="24" t="str">
        <f t="shared" si="5"/>
        <v>Saša Lukić</v>
      </c>
    </row>
    <row r="359" spans="1:27" x14ac:dyDescent="0.25">
      <c r="A359" s="24">
        <v>1</v>
      </c>
      <c r="B359" s="24" t="s">
        <v>468</v>
      </c>
      <c r="C359" s="24" t="s">
        <v>604</v>
      </c>
      <c r="D359">
        <v>300</v>
      </c>
      <c r="E359" s="24">
        <v>0</v>
      </c>
      <c r="F359" s="25">
        <v>45</v>
      </c>
      <c r="G359" s="24">
        <v>0</v>
      </c>
      <c r="H359" s="24">
        <v>0.4</v>
      </c>
      <c r="I359" s="24">
        <v>12</v>
      </c>
      <c r="J359" s="24">
        <v>0</v>
      </c>
      <c r="K359" s="24">
        <v>0</v>
      </c>
      <c r="L359" s="24">
        <v>0</v>
      </c>
      <c r="M359" s="24">
        <v>0</v>
      </c>
      <c r="N359" s="24">
        <v>0</v>
      </c>
      <c r="O359" s="24">
        <v>0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t="s">
        <v>1208</v>
      </c>
      <c r="Z359" t="b">
        <v>1</v>
      </c>
      <c r="AA359" s="24" t="str">
        <f t="shared" si="5"/>
        <v>Christian Walton</v>
      </c>
    </row>
    <row r="360" spans="1:27" x14ac:dyDescent="0.25">
      <c r="A360" s="24">
        <v>1</v>
      </c>
      <c r="B360" s="24" t="s">
        <v>153</v>
      </c>
      <c r="C360" s="24" t="s">
        <v>318</v>
      </c>
      <c r="D360">
        <v>301</v>
      </c>
      <c r="E360" s="24">
        <v>0</v>
      </c>
      <c r="F360" s="25">
        <v>40</v>
      </c>
      <c r="G360" s="24">
        <v>0</v>
      </c>
      <c r="H360" s="24">
        <v>4.2</v>
      </c>
      <c r="I360" s="24">
        <v>12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t="s">
        <v>1208</v>
      </c>
      <c r="Z360" t="b">
        <v>1</v>
      </c>
      <c r="AA360" s="24" t="str">
        <f t="shared" si="5"/>
        <v>Alex Palmer</v>
      </c>
    </row>
    <row r="361" spans="1:27" x14ac:dyDescent="0.25">
      <c r="A361" s="24">
        <v>1</v>
      </c>
      <c r="B361" s="24" t="s">
        <v>20</v>
      </c>
      <c r="C361" s="24" t="s">
        <v>605</v>
      </c>
      <c r="D361">
        <v>302</v>
      </c>
      <c r="E361" s="24">
        <v>0</v>
      </c>
      <c r="F361" s="25">
        <v>40</v>
      </c>
      <c r="G361" s="24">
        <v>0</v>
      </c>
      <c r="H361" s="24">
        <v>0.5</v>
      </c>
      <c r="I361" s="24">
        <v>12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v>0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t="s">
        <v>1208</v>
      </c>
      <c r="Z361" t="b">
        <v>1</v>
      </c>
      <c r="AA361" s="24" t="str">
        <f t="shared" si="5"/>
        <v>David Button</v>
      </c>
    </row>
    <row r="362" spans="1:27" x14ac:dyDescent="0.25">
      <c r="A362" s="24">
        <v>2</v>
      </c>
      <c r="B362" s="24" t="s">
        <v>606</v>
      </c>
      <c r="C362" s="24" t="s">
        <v>607</v>
      </c>
      <c r="D362">
        <v>303</v>
      </c>
      <c r="E362" s="24">
        <v>0</v>
      </c>
      <c r="F362" s="25">
        <v>40</v>
      </c>
      <c r="G362" s="24">
        <v>0</v>
      </c>
      <c r="H362" s="24">
        <v>0.5</v>
      </c>
      <c r="I362" s="24">
        <v>12</v>
      </c>
      <c r="J362" s="24">
        <v>0</v>
      </c>
      <c r="K362" s="24">
        <v>0</v>
      </c>
      <c r="L362" s="24">
        <v>0</v>
      </c>
      <c r="M362" s="24">
        <v>0</v>
      </c>
      <c r="N362" s="24">
        <v>0</v>
      </c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t="s">
        <v>1208</v>
      </c>
      <c r="Z362" t="b">
        <v>1</v>
      </c>
      <c r="AA362" s="24" t="str">
        <f t="shared" si="5"/>
        <v>Cédric Kipré</v>
      </c>
    </row>
    <row r="363" spans="1:27" x14ac:dyDescent="0.25">
      <c r="A363" s="24">
        <v>2</v>
      </c>
      <c r="B363" s="24" t="s">
        <v>608</v>
      </c>
      <c r="C363" s="24" t="s">
        <v>609</v>
      </c>
      <c r="D363">
        <v>304</v>
      </c>
      <c r="E363" s="24">
        <v>2.2999999999999998</v>
      </c>
      <c r="F363" s="25">
        <v>40</v>
      </c>
      <c r="G363" s="24">
        <v>2.2999999999999998</v>
      </c>
      <c r="H363" s="24">
        <v>3.1</v>
      </c>
      <c r="I363" s="24">
        <v>12</v>
      </c>
      <c r="J363" s="24">
        <v>7</v>
      </c>
      <c r="K363" s="24">
        <v>270</v>
      </c>
      <c r="L363" s="24">
        <v>0</v>
      </c>
      <c r="M363" s="24">
        <v>0</v>
      </c>
      <c r="N363" s="24">
        <v>0</v>
      </c>
      <c r="O363" s="24">
        <v>8</v>
      </c>
      <c r="P363" s="24">
        <v>0</v>
      </c>
      <c r="Q363" s="24">
        <v>0</v>
      </c>
      <c r="R363" s="24">
        <v>7</v>
      </c>
      <c r="S363" s="24">
        <v>30</v>
      </c>
      <c r="T363" s="24">
        <v>3</v>
      </c>
      <c r="U363" s="24">
        <v>7.0000000000000007E-2</v>
      </c>
      <c r="V363" s="24">
        <v>0.18</v>
      </c>
      <c r="W363" s="24">
        <v>0.25</v>
      </c>
      <c r="X363" s="24">
        <v>6.12</v>
      </c>
      <c r="Y363" t="s">
        <v>1208</v>
      </c>
      <c r="Z363" t="b">
        <v>1</v>
      </c>
      <c r="AA363" s="24" t="str">
        <f t="shared" si="5"/>
        <v>Dara O'Shea</v>
      </c>
    </row>
    <row r="364" spans="1:27" x14ac:dyDescent="0.25">
      <c r="A364" s="24">
        <v>2</v>
      </c>
      <c r="B364" s="24" t="s">
        <v>610</v>
      </c>
      <c r="C364" s="24" t="s">
        <v>611</v>
      </c>
      <c r="D364">
        <v>305</v>
      </c>
      <c r="E364" s="24">
        <v>3</v>
      </c>
      <c r="F364" s="25">
        <v>40</v>
      </c>
      <c r="G364" s="24">
        <v>3</v>
      </c>
      <c r="H364" s="24">
        <v>5.0999999999999996</v>
      </c>
      <c r="I364" s="24">
        <v>12</v>
      </c>
      <c r="J364" s="24">
        <v>9</v>
      </c>
      <c r="K364" s="24">
        <v>270</v>
      </c>
      <c r="L364" s="24">
        <v>1</v>
      </c>
      <c r="M364" s="24">
        <v>0</v>
      </c>
      <c r="N364" s="24">
        <v>0</v>
      </c>
      <c r="O364" s="24">
        <v>8</v>
      </c>
      <c r="P364" s="24">
        <v>0</v>
      </c>
      <c r="Q364" s="24">
        <v>0</v>
      </c>
      <c r="R364" s="24">
        <v>15</v>
      </c>
      <c r="S364" s="24">
        <v>17</v>
      </c>
      <c r="T364" s="24">
        <v>3</v>
      </c>
      <c r="U364" s="24">
        <v>0.65</v>
      </c>
      <c r="V364" s="24">
        <v>0.25</v>
      </c>
      <c r="W364" s="24">
        <v>0.9</v>
      </c>
      <c r="X364" s="24">
        <v>6.12</v>
      </c>
      <c r="Y364" t="s">
        <v>1208</v>
      </c>
      <c r="Z364" t="b">
        <v>1</v>
      </c>
      <c r="AA364" s="24" t="str">
        <f t="shared" si="5"/>
        <v>Leif Davis</v>
      </c>
    </row>
    <row r="365" spans="1:27" x14ac:dyDescent="0.25">
      <c r="A365" s="24">
        <v>2</v>
      </c>
      <c r="B365" s="24" t="s">
        <v>556</v>
      </c>
      <c r="C365" s="24" t="s">
        <v>612</v>
      </c>
      <c r="D365">
        <v>306</v>
      </c>
      <c r="E365" s="24">
        <v>0.7</v>
      </c>
      <c r="F365" s="25">
        <v>40</v>
      </c>
      <c r="G365" s="24">
        <v>0.7</v>
      </c>
      <c r="H365" s="24">
        <v>1.3</v>
      </c>
      <c r="I365" s="24">
        <v>12</v>
      </c>
      <c r="J365" s="24">
        <v>2</v>
      </c>
      <c r="K365" s="24">
        <v>270</v>
      </c>
      <c r="L365" s="24">
        <v>0</v>
      </c>
      <c r="M365" s="24">
        <v>0</v>
      </c>
      <c r="N365" s="24">
        <v>0</v>
      </c>
      <c r="O365" s="24">
        <v>8</v>
      </c>
      <c r="P365" s="24">
        <v>0</v>
      </c>
      <c r="Q365" s="24">
        <v>0</v>
      </c>
      <c r="R365" s="24">
        <v>5</v>
      </c>
      <c r="S365" s="24">
        <v>24</v>
      </c>
      <c r="T365" s="24">
        <v>3</v>
      </c>
      <c r="U365" s="24">
        <v>0</v>
      </c>
      <c r="V365" s="24">
        <v>0.05</v>
      </c>
      <c r="W365" s="24">
        <v>0.05</v>
      </c>
      <c r="X365" s="24">
        <v>6.12</v>
      </c>
      <c r="Y365" t="s">
        <v>1208</v>
      </c>
      <c r="Z365" t="b">
        <v>1</v>
      </c>
      <c r="AA365" s="24" t="str">
        <f t="shared" si="5"/>
        <v>Jacob Greaves</v>
      </c>
    </row>
    <row r="366" spans="1:27" x14ac:dyDescent="0.25">
      <c r="A366" s="24">
        <v>2</v>
      </c>
      <c r="B366" s="24" t="s">
        <v>159</v>
      </c>
      <c r="C366" s="24" t="s">
        <v>471</v>
      </c>
      <c r="D366">
        <v>307</v>
      </c>
      <c r="E366" s="24">
        <v>0</v>
      </c>
      <c r="F366" s="25">
        <v>40</v>
      </c>
      <c r="G366" s="24">
        <v>0</v>
      </c>
      <c r="H366" s="24">
        <v>0.1</v>
      </c>
      <c r="I366" s="24">
        <v>12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t="s">
        <v>1211</v>
      </c>
      <c r="Z366" t="b">
        <v>0</v>
      </c>
      <c r="AA366" s="24" t="str">
        <f t="shared" si="5"/>
        <v>Ben Johnson</v>
      </c>
    </row>
    <row r="367" spans="1:27" x14ac:dyDescent="0.25">
      <c r="A367" s="24">
        <v>2</v>
      </c>
      <c r="B367" s="24" t="s">
        <v>613</v>
      </c>
      <c r="C367" s="24" t="s">
        <v>614</v>
      </c>
      <c r="D367">
        <v>308</v>
      </c>
      <c r="E367" s="24">
        <v>0.3</v>
      </c>
      <c r="F367" s="25">
        <v>40</v>
      </c>
      <c r="G367" s="24">
        <v>1</v>
      </c>
      <c r="H367" s="24">
        <v>0.5</v>
      </c>
      <c r="I367" s="24">
        <v>12</v>
      </c>
      <c r="J367" s="24">
        <v>1</v>
      </c>
      <c r="K367" s="24">
        <v>17</v>
      </c>
      <c r="L367" s="24">
        <v>0</v>
      </c>
      <c r="M367" s="24">
        <v>0</v>
      </c>
      <c r="N367" s="24">
        <v>0</v>
      </c>
      <c r="O367" s="24">
        <v>1</v>
      </c>
      <c r="P367" s="24">
        <v>0</v>
      </c>
      <c r="Q367" s="24">
        <v>0</v>
      </c>
      <c r="R367" s="24">
        <v>-1</v>
      </c>
      <c r="S367" s="24">
        <v>3</v>
      </c>
      <c r="T367" s="24">
        <v>0</v>
      </c>
      <c r="U367" s="24">
        <v>0</v>
      </c>
      <c r="V367" s="24">
        <v>0</v>
      </c>
      <c r="W367" s="24">
        <v>0</v>
      </c>
      <c r="X367" s="24">
        <v>0.86</v>
      </c>
      <c r="Y367" t="s">
        <v>1208</v>
      </c>
      <c r="Z367" t="b">
        <v>1</v>
      </c>
      <c r="AA367" s="24" t="str">
        <f t="shared" si="5"/>
        <v>Darnell Furlong</v>
      </c>
    </row>
    <row r="368" spans="1:27" x14ac:dyDescent="0.25">
      <c r="A368" s="24">
        <v>3</v>
      </c>
      <c r="B368" s="24" t="s">
        <v>615</v>
      </c>
      <c r="C368" s="24" t="s">
        <v>616</v>
      </c>
      <c r="D368">
        <v>309</v>
      </c>
      <c r="E368" s="24">
        <v>2</v>
      </c>
      <c r="F368" s="25">
        <v>50</v>
      </c>
      <c r="G368" s="24">
        <v>3</v>
      </c>
      <c r="H368" s="24">
        <v>0.1</v>
      </c>
      <c r="I368" s="24">
        <v>12</v>
      </c>
      <c r="J368" s="24">
        <v>6</v>
      </c>
      <c r="K368" s="24">
        <v>140</v>
      </c>
      <c r="L368" s="24">
        <v>0</v>
      </c>
      <c r="M368" s="24">
        <v>0</v>
      </c>
      <c r="N368" s="24">
        <v>0</v>
      </c>
      <c r="O368" s="24">
        <v>4</v>
      </c>
      <c r="P368" s="24">
        <v>0</v>
      </c>
      <c r="Q368" s="24">
        <v>0</v>
      </c>
      <c r="R368" s="24">
        <v>32</v>
      </c>
      <c r="S368" s="24">
        <v>21</v>
      </c>
      <c r="T368" s="24">
        <v>2</v>
      </c>
      <c r="U368" s="24">
        <v>0.03</v>
      </c>
      <c r="V368" s="24">
        <v>0.05</v>
      </c>
      <c r="W368" s="24">
        <v>0.08</v>
      </c>
      <c r="X368" s="24">
        <v>3.48</v>
      </c>
      <c r="Y368" t="s">
        <v>1208</v>
      </c>
      <c r="Z368" t="b">
        <v>1</v>
      </c>
      <c r="AA368" s="24" t="str">
        <f t="shared" si="5"/>
        <v>Marcelino Núñez</v>
      </c>
    </row>
    <row r="369" spans="1:27" x14ac:dyDescent="0.25">
      <c r="A369" s="24">
        <v>3</v>
      </c>
      <c r="B369" s="24" t="s">
        <v>617</v>
      </c>
      <c r="C369" s="24" t="s">
        <v>618</v>
      </c>
      <c r="D369">
        <v>310</v>
      </c>
      <c r="E369" s="24">
        <v>0</v>
      </c>
      <c r="F369" s="25">
        <v>50</v>
      </c>
      <c r="G369" s="24">
        <v>0</v>
      </c>
      <c r="H369" s="24">
        <v>0</v>
      </c>
      <c r="I369" s="24">
        <v>12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t="s">
        <v>1209</v>
      </c>
      <c r="Z369" t="b">
        <v>1</v>
      </c>
      <c r="AA369" s="24" t="str">
        <f t="shared" si="5"/>
        <v>Azor Matusiwa</v>
      </c>
    </row>
    <row r="370" spans="1:27" x14ac:dyDescent="0.25">
      <c r="A370" s="24">
        <v>3</v>
      </c>
      <c r="B370" s="24" t="s">
        <v>619</v>
      </c>
      <c r="C370" s="24" t="s">
        <v>620</v>
      </c>
      <c r="D370">
        <v>311</v>
      </c>
      <c r="E370" s="24">
        <v>0</v>
      </c>
      <c r="F370" s="25">
        <v>50</v>
      </c>
      <c r="G370" s="24">
        <v>0</v>
      </c>
      <c r="H370" s="24">
        <v>0</v>
      </c>
      <c r="I370" s="24">
        <v>12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t="s">
        <v>1211</v>
      </c>
      <c r="Z370" t="b">
        <v>0</v>
      </c>
      <c r="AA370" s="24" t="str">
        <f t="shared" si="5"/>
        <v>Wes Burns</v>
      </c>
    </row>
    <row r="371" spans="1:27" x14ac:dyDescent="0.25">
      <c r="A371" s="24">
        <v>3</v>
      </c>
      <c r="B371" s="24" t="s">
        <v>253</v>
      </c>
      <c r="C371" s="24" t="s">
        <v>621</v>
      </c>
      <c r="D371">
        <v>312</v>
      </c>
      <c r="E371" s="24">
        <v>0</v>
      </c>
      <c r="F371" s="25">
        <v>45</v>
      </c>
      <c r="G371" s="24">
        <v>0</v>
      </c>
      <c r="H371" s="24">
        <v>0</v>
      </c>
      <c r="I371" s="24">
        <v>12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t="s">
        <v>1209</v>
      </c>
      <c r="Z371" t="b">
        <v>1</v>
      </c>
      <c r="AA371" s="24" t="str">
        <f t="shared" si="5"/>
        <v>Jack Taylor</v>
      </c>
    </row>
    <row r="372" spans="1:27" x14ac:dyDescent="0.25">
      <c r="A372" s="24">
        <v>3</v>
      </c>
      <c r="B372" s="24" t="s">
        <v>253</v>
      </c>
      <c r="C372" s="24" t="s">
        <v>622</v>
      </c>
      <c r="D372">
        <v>313</v>
      </c>
      <c r="E372" s="24">
        <v>2.7</v>
      </c>
      <c r="F372" s="25">
        <v>55</v>
      </c>
      <c r="G372" s="24">
        <v>4</v>
      </c>
      <c r="H372" s="24">
        <v>0.2</v>
      </c>
      <c r="I372" s="24">
        <v>12</v>
      </c>
      <c r="J372" s="24">
        <v>8</v>
      </c>
      <c r="K372" s="24">
        <v>43</v>
      </c>
      <c r="L372" s="24">
        <v>1</v>
      </c>
      <c r="M372" s="24">
        <v>0</v>
      </c>
      <c r="N372" s="24">
        <v>0</v>
      </c>
      <c r="O372" s="24">
        <v>0</v>
      </c>
      <c r="P372" s="24">
        <v>0</v>
      </c>
      <c r="Q372" s="24">
        <v>1</v>
      </c>
      <c r="R372" s="24">
        <v>30</v>
      </c>
      <c r="S372" s="24">
        <v>4</v>
      </c>
      <c r="T372" s="24">
        <v>0</v>
      </c>
      <c r="U372" s="24">
        <v>0.15</v>
      </c>
      <c r="V372" s="24">
        <v>0.02</v>
      </c>
      <c r="W372" s="24">
        <v>0.17</v>
      </c>
      <c r="X372" s="24">
        <v>0.09</v>
      </c>
      <c r="Y372" t="s">
        <v>1208</v>
      </c>
      <c r="Z372" t="b">
        <v>1</v>
      </c>
      <c r="AA372" s="24" t="str">
        <f t="shared" si="5"/>
        <v>Jack Clarke</v>
      </c>
    </row>
    <row r="373" spans="1:27" x14ac:dyDescent="0.25">
      <c r="A373" s="24">
        <v>3</v>
      </c>
      <c r="B373" s="24" t="s">
        <v>623</v>
      </c>
      <c r="C373" s="24" t="s">
        <v>624</v>
      </c>
      <c r="D373">
        <v>314</v>
      </c>
      <c r="E373" s="24">
        <v>0</v>
      </c>
      <c r="F373" s="25">
        <v>49</v>
      </c>
      <c r="G373" s="24">
        <v>0</v>
      </c>
      <c r="H373" s="24">
        <v>0</v>
      </c>
      <c r="I373" s="24">
        <v>12</v>
      </c>
      <c r="J373" s="24">
        <v>0</v>
      </c>
      <c r="K373" s="24">
        <v>0</v>
      </c>
      <c r="L373" s="24">
        <v>0</v>
      </c>
      <c r="M373" s="24">
        <v>0</v>
      </c>
      <c r="N373" s="24">
        <v>0</v>
      </c>
      <c r="O373" s="24">
        <v>0</v>
      </c>
      <c r="P373" s="24">
        <v>0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t="s">
        <v>1211</v>
      </c>
      <c r="Z373" t="b">
        <v>0</v>
      </c>
      <c r="AA373" s="24" t="str">
        <f t="shared" si="5"/>
        <v>Chiedozie Ogbene</v>
      </c>
    </row>
    <row r="374" spans="1:27" x14ac:dyDescent="0.25">
      <c r="A374" s="24">
        <v>3</v>
      </c>
      <c r="B374" s="24" t="s">
        <v>625</v>
      </c>
      <c r="C374" s="24" t="s">
        <v>626</v>
      </c>
      <c r="D374">
        <v>315</v>
      </c>
      <c r="E374" s="24">
        <v>2.7</v>
      </c>
      <c r="F374" s="25">
        <v>55</v>
      </c>
      <c r="G374" s="24">
        <v>2.7</v>
      </c>
      <c r="H374" s="24">
        <v>0.2</v>
      </c>
      <c r="I374" s="24">
        <v>12</v>
      </c>
      <c r="J374" s="24">
        <v>8</v>
      </c>
      <c r="K374" s="24">
        <v>225</v>
      </c>
      <c r="L374" s="24">
        <v>0</v>
      </c>
      <c r="M374" s="24">
        <v>1</v>
      </c>
      <c r="N374" s="24">
        <v>0</v>
      </c>
      <c r="O374" s="24">
        <v>8</v>
      </c>
      <c r="P374" s="24">
        <v>0</v>
      </c>
      <c r="Q374" s="24">
        <v>0</v>
      </c>
      <c r="R374" s="24">
        <v>61</v>
      </c>
      <c r="S374" s="24">
        <v>17</v>
      </c>
      <c r="T374" s="24">
        <v>3</v>
      </c>
      <c r="U374" s="24">
        <v>0.03</v>
      </c>
      <c r="V374" s="24">
        <v>0.78</v>
      </c>
      <c r="W374" s="24">
        <v>0.81</v>
      </c>
      <c r="X374" s="24">
        <v>5.91</v>
      </c>
      <c r="Y374" t="s">
        <v>1208</v>
      </c>
      <c r="Z374" t="b">
        <v>1</v>
      </c>
      <c r="AA374" s="24" t="str">
        <f t="shared" si="5"/>
        <v>Abdul Fatawu</v>
      </c>
    </row>
    <row r="375" spans="1:27" x14ac:dyDescent="0.25">
      <c r="A375" s="24">
        <v>4</v>
      </c>
      <c r="B375" s="24" t="s">
        <v>627</v>
      </c>
      <c r="C375" s="24" t="s">
        <v>628</v>
      </c>
      <c r="D375">
        <v>316</v>
      </c>
      <c r="E375" s="24">
        <v>4</v>
      </c>
      <c r="F375" s="25">
        <v>55</v>
      </c>
      <c r="G375" s="24">
        <v>4</v>
      </c>
      <c r="H375" s="24">
        <v>1.7</v>
      </c>
      <c r="I375" s="24">
        <v>12</v>
      </c>
      <c r="J375" s="24">
        <v>12</v>
      </c>
      <c r="K375" s="24">
        <v>175</v>
      </c>
      <c r="L375" s="24">
        <v>1</v>
      </c>
      <c r="M375" s="24">
        <v>0</v>
      </c>
      <c r="N375" s="24">
        <v>0</v>
      </c>
      <c r="O375" s="24">
        <v>4</v>
      </c>
      <c r="P375" s="24">
        <v>0</v>
      </c>
      <c r="Q375" s="24">
        <v>3</v>
      </c>
      <c r="R375" s="24">
        <v>56</v>
      </c>
      <c r="S375" s="24">
        <v>7</v>
      </c>
      <c r="T375" s="24">
        <v>3</v>
      </c>
      <c r="U375" s="24">
        <v>1.04</v>
      </c>
      <c r="V375" s="24">
        <v>0.06</v>
      </c>
      <c r="W375" s="24">
        <v>1.1000000000000001</v>
      </c>
      <c r="X375" s="24">
        <v>2.02</v>
      </c>
      <c r="Y375" t="s">
        <v>1208</v>
      </c>
      <c r="Z375" t="b">
        <v>1</v>
      </c>
      <c r="AA375" s="24" t="str">
        <f t="shared" si="5"/>
        <v>Emersonn Correia da Silva</v>
      </c>
    </row>
    <row r="376" spans="1:27" x14ac:dyDescent="0.25">
      <c r="A376" s="24">
        <v>4</v>
      </c>
      <c r="B376" s="24" t="s">
        <v>113</v>
      </c>
      <c r="C376" s="24" t="s">
        <v>629</v>
      </c>
      <c r="D376">
        <v>317</v>
      </c>
      <c r="E376" s="24">
        <v>0</v>
      </c>
      <c r="F376" s="25">
        <v>50</v>
      </c>
      <c r="G376" s="24">
        <v>0</v>
      </c>
      <c r="H376" s="24">
        <v>0.1</v>
      </c>
      <c r="I376" s="24">
        <v>12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t="s">
        <v>1211</v>
      </c>
      <c r="Z376" t="b">
        <v>0</v>
      </c>
      <c r="AA376" s="24" t="str">
        <f t="shared" si="5"/>
        <v>George Hirst</v>
      </c>
    </row>
    <row r="377" spans="1:27" x14ac:dyDescent="0.25">
      <c r="A377" s="24">
        <v>3</v>
      </c>
      <c r="B377" s="24" t="s">
        <v>630</v>
      </c>
      <c r="C377" s="24" t="s">
        <v>631</v>
      </c>
      <c r="D377">
        <v>318</v>
      </c>
      <c r="E377" s="24">
        <v>0</v>
      </c>
      <c r="F377" s="25">
        <v>54</v>
      </c>
      <c r="G377" s="24">
        <v>0</v>
      </c>
      <c r="H377" s="24">
        <v>0.1</v>
      </c>
      <c r="I377" s="24">
        <v>12</v>
      </c>
      <c r="J377" s="24">
        <v>0</v>
      </c>
      <c r="K377" s="24">
        <v>0</v>
      </c>
      <c r="L377" s="24">
        <v>0</v>
      </c>
      <c r="M377" s="24">
        <v>0</v>
      </c>
      <c r="N377" s="24">
        <v>0</v>
      </c>
      <c r="O377" s="24">
        <v>0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  <c r="X377" s="24">
        <v>0</v>
      </c>
      <c r="Y377" t="s">
        <v>1209</v>
      </c>
      <c r="Z377" t="b">
        <v>1</v>
      </c>
      <c r="AA377" s="24" t="str">
        <f t="shared" si="5"/>
        <v>Jaden Philogene</v>
      </c>
    </row>
    <row r="378" spans="1:27" x14ac:dyDescent="0.25">
      <c r="A378" s="24">
        <v>3</v>
      </c>
      <c r="B378" s="24" t="s">
        <v>632</v>
      </c>
      <c r="C378" s="24" t="s">
        <v>633</v>
      </c>
      <c r="D378">
        <v>319</v>
      </c>
      <c r="E378" s="24">
        <v>0</v>
      </c>
      <c r="F378" s="25">
        <v>50</v>
      </c>
      <c r="G378" s="24">
        <v>0</v>
      </c>
      <c r="H378" s="24">
        <v>0</v>
      </c>
      <c r="I378" s="24">
        <v>12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t="s">
        <v>1211</v>
      </c>
      <c r="Z378" t="b">
        <v>0</v>
      </c>
      <c r="AA378" s="24" t="str">
        <f t="shared" si="5"/>
        <v>Sam Szmodics</v>
      </c>
    </row>
    <row r="379" spans="1:27" x14ac:dyDescent="0.25">
      <c r="A379" s="24">
        <v>4</v>
      </c>
      <c r="B379" s="24" t="s">
        <v>634</v>
      </c>
      <c r="C379" s="24" t="s">
        <v>635</v>
      </c>
      <c r="D379">
        <v>320</v>
      </c>
      <c r="E379" s="24">
        <v>2</v>
      </c>
      <c r="F379" s="25">
        <v>50</v>
      </c>
      <c r="G379" s="24">
        <v>3</v>
      </c>
      <c r="H379" s="24">
        <v>1.1000000000000001</v>
      </c>
      <c r="I379" s="24">
        <v>12</v>
      </c>
      <c r="J379" s="24">
        <v>6</v>
      </c>
      <c r="K379" s="24">
        <v>69</v>
      </c>
      <c r="L379" s="24">
        <v>1</v>
      </c>
      <c r="M379" s="24">
        <v>0</v>
      </c>
      <c r="N379" s="24">
        <v>0</v>
      </c>
      <c r="O379" s="24">
        <v>4</v>
      </c>
      <c r="P379" s="24">
        <v>0</v>
      </c>
      <c r="Q379" s="24">
        <v>0</v>
      </c>
      <c r="R379" s="24">
        <v>33</v>
      </c>
      <c r="S379" s="24">
        <v>3</v>
      </c>
      <c r="T379" s="24">
        <v>0</v>
      </c>
      <c r="U379" s="24">
        <v>0.97</v>
      </c>
      <c r="V379" s="24">
        <v>0</v>
      </c>
      <c r="W379" s="24">
        <v>0.97</v>
      </c>
      <c r="X379" s="24">
        <v>4.04</v>
      </c>
      <c r="Y379" t="s">
        <v>1208</v>
      </c>
      <c r="Z379" t="b">
        <v>1</v>
      </c>
      <c r="AA379" s="24" t="str">
        <f t="shared" si="5"/>
        <v>Chuba Akpom</v>
      </c>
    </row>
    <row r="380" spans="1:27" x14ac:dyDescent="0.25">
      <c r="A380" s="24">
        <v>4</v>
      </c>
      <c r="B380" s="24" t="s">
        <v>636</v>
      </c>
      <c r="C380" s="24" t="s">
        <v>637</v>
      </c>
      <c r="D380">
        <v>321</v>
      </c>
      <c r="E380" s="24">
        <v>0.3</v>
      </c>
      <c r="F380" s="25">
        <v>45</v>
      </c>
      <c r="G380" s="24">
        <v>1</v>
      </c>
      <c r="H380" s="24">
        <v>3.4</v>
      </c>
      <c r="I380" s="24">
        <v>12</v>
      </c>
      <c r="J380" s="24">
        <v>1</v>
      </c>
      <c r="K380" s="24">
        <v>10</v>
      </c>
      <c r="L380" s="24">
        <v>0</v>
      </c>
      <c r="M380" s="24">
        <v>0</v>
      </c>
      <c r="N380" s="24">
        <v>0</v>
      </c>
      <c r="O380" s="24">
        <v>0</v>
      </c>
      <c r="P380" s="24">
        <v>0</v>
      </c>
      <c r="Q380" s="24">
        <v>0</v>
      </c>
      <c r="R380" s="24">
        <v>3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0.03</v>
      </c>
      <c r="Y380" t="s">
        <v>1208</v>
      </c>
      <c r="Z380" t="b">
        <v>1</v>
      </c>
      <c r="AA380" s="24" t="str">
        <f t="shared" si="5"/>
        <v>Sindre Walle Egeli</v>
      </c>
    </row>
    <row r="381" spans="1:27" x14ac:dyDescent="0.25">
      <c r="A381" s="24">
        <v>4</v>
      </c>
      <c r="B381" s="24" t="s">
        <v>638</v>
      </c>
      <c r="C381" s="24" t="s">
        <v>639</v>
      </c>
      <c r="D381">
        <v>322</v>
      </c>
      <c r="E381" s="24">
        <v>0</v>
      </c>
      <c r="F381" s="25">
        <v>50</v>
      </c>
      <c r="G381" s="24">
        <v>0</v>
      </c>
      <c r="H381" s="24">
        <v>0.1</v>
      </c>
      <c r="I381" s="24">
        <v>12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t="s">
        <v>1211</v>
      </c>
      <c r="Z381" t="b">
        <v>0</v>
      </c>
      <c r="AA381" s="24" t="str">
        <f t="shared" si="5"/>
        <v>Ali Al-Hamadi</v>
      </c>
    </row>
    <row r="382" spans="1:27" x14ac:dyDescent="0.25">
      <c r="A382" s="24">
        <v>3</v>
      </c>
      <c r="B382" s="24" t="s">
        <v>640</v>
      </c>
      <c r="C382" s="24" t="s">
        <v>641</v>
      </c>
      <c r="D382">
        <v>323</v>
      </c>
      <c r="E382" s="24">
        <v>1</v>
      </c>
      <c r="F382" s="25">
        <v>45</v>
      </c>
      <c r="G382" s="24">
        <v>1</v>
      </c>
      <c r="H382" s="24">
        <v>1.3</v>
      </c>
      <c r="I382" s="24">
        <v>12</v>
      </c>
      <c r="J382" s="24">
        <v>3</v>
      </c>
      <c r="K382" s="24">
        <v>42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12</v>
      </c>
      <c r="S382" s="24">
        <v>5</v>
      </c>
      <c r="T382" s="24">
        <v>0</v>
      </c>
      <c r="U382" s="24">
        <v>0.05</v>
      </c>
      <c r="V382" s="24">
        <v>0</v>
      </c>
      <c r="W382" s="24">
        <v>0.05</v>
      </c>
      <c r="X382" s="24">
        <v>0.21</v>
      </c>
      <c r="Y382" t="s">
        <v>1208</v>
      </c>
      <c r="Z382" t="b">
        <v>1</v>
      </c>
      <c r="AA382" s="24" t="str">
        <f t="shared" si="5"/>
        <v>Kasey McAteer</v>
      </c>
    </row>
    <row r="383" spans="1:27" x14ac:dyDescent="0.25">
      <c r="A383" s="24">
        <v>3</v>
      </c>
      <c r="B383" s="24" t="s">
        <v>642</v>
      </c>
      <c r="C383" s="24" t="s">
        <v>643</v>
      </c>
      <c r="D383">
        <v>324</v>
      </c>
      <c r="E383" s="24">
        <v>0</v>
      </c>
      <c r="F383" s="25">
        <v>49</v>
      </c>
      <c r="G383" s="24">
        <v>0</v>
      </c>
      <c r="H383" s="24">
        <v>0</v>
      </c>
      <c r="I383" s="24">
        <v>12</v>
      </c>
      <c r="J383" s="24">
        <v>0</v>
      </c>
      <c r="K383" s="24">
        <v>0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t="s">
        <v>1208</v>
      </c>
      <c r="Z383" t="b">
        <v>1</v>
      </c>
      <c r="AA383" s="24" t="str">
        <f t="shared" si="5"/>
        <v>Anis Mehmeti</v>
      </c>
    </row>
    <row r="384" spans="1:27" x14ac:dyDescent="0.25">
      <c r="A384" s="24">
        <v>1</v>
      </c>
      <c r="B384" s="24" t="s">
        <v>644</v>
      </c>
      <c r="C384" s="24" t="s">
        <v>645</v>
      </c>
      <c r="D384">
        <v>554</v>
      </c>
      <c r="E384" s="24">
        <v>0</v>
      </c>
      <c r="F384" s="25">
        <v>45</v>
      </c>
      <c r="G384" s="24">
        <v>0</v>
      </c>
      <c r="H384" s="24">
        <v>0</v>
      </c>
      <c r="I384" s="24">
        <v>12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t="s">
        <v>1211</v>
      </c>
      <c r="Z384" t="b">
        <v>0</v>
      </c>
      <c r="AA384" s="24" t="str">
        <f t="shared" si="5"/>
        <v>Kayne van Oevelen</v>
      </c>
    </row>
    <row r="385" spans="1:27" x14ac:dyDescent="0.25">
      <c r="A385" s="24">
        <v>3</v>
      </c>
      <c r="B385" s="24" t="s">
        <v>646</v>
      </c>
      <c r="C385" s="24" t="s">
        <v>647</v>
      </c>
      <c r="D385">
        <v>562</v>
      </c>
      <c r="E385" s="24">
        <v>2</v>
      </c>
      <c r="F385" s="25">
        <v>54</v>
      </c>
      <c r="G385" s="24">
        <v>2</v>
      </c>
      <c r="H385" s="24">
        <v>0.3</v>
      </c>
      <c r="I385" s="24">
        <v>12</v>
      </c>
      <c r="J385" s="24">
        <v>6</v>
      </c>
      <c r="K385" s="24">
        <v>216</v>
      </c>
      <c r="L385" s="24">
        <v>0</v>
      </c>
      <c r="M385" s="24">
        <v>0</v>
      </c>
      <c r="N385" s="24">
        <v>0</v>
      </c>
      <c r="O385" s="24">
        <v>7</v>
      </c>
      <c r="P385" s="24">
        <v>0</v>
      </c>
      <c r="Q385" s="24">
        <v>0</v>
      </c>
      <c r="R385" s="24">
        <v>26</v>
      </c>
      <c r="S385" s="24">
        <v>19</v>
      </c>
      <c r="T385" s="24">
        <v>3</v>
      </c>
      <c r="U385" s="24">
        <v>0.71</v>
      </c>
      <c r="V385" s="24">
        <v>0.01</v>
      </c>
      <c r="W385" s="24">
        <v>0.72</v>
      </c>
      <c r="X385" s="24">
        <v>5.16</v>
      </c>
      <c r="Y385" t="s">
        <v>1208</v>
      </c>
      <c r="Z385" t="b">
        <v>1</v>
      </c>
      <c r="AA385" s="24" t="str">
        <f t="shared" si="5"/>
        <v>Daizen Maeda</v>
      </c>
    </row>
    <row r="386" spans="1:27" x14ac:dyDescent="0.25">
      <c r="A386" s="24">
        <v>1</v>
      </c>
      <c r="B386" s="24" t="s">
        <v>648</v>
      </c>
      <c r="C386" s="24" t="s">
        <v>649</v>
      </c>
      <c r="D386">
        <v>564</v>
      </c>
      <c r="E386" s="24">
        <v>2</v>
      </c>
      <c r="F386" s="25">
        <v>45</v>
      </c>
      <c r="G386" s="24">
        <v>2</v>
      </c>
      <c r="H386" s="24">
        <v>0.6</v>
      </c>
      <c r="I386" s="24">
        <v>12</v>
      </c>
      <c r="J386" s="24">
        <v>6</v>
      </c>
      <c r="K386" s="24">
        <v>270</v>
      </c>
      <c r="L386" s="24">
        <v>0</v>
      </c>
      <c r="M386" s="24">
        <v>0</v>
      </c>
      <c r="N386" s="24">
        <v>0</v>
      </c>
      <c r="O386" s="24">
        <v>8</v>
      </c>
      <c r="P386" s="24">
        <v>13</v>
      </c>
      <c r="Q386" s="24">
        <v>0</v>
      </c>
      <c r="R386" s="24">
        <v>34</v>
      </c>
      <c r="S386" s="24">
        <v>0</v>
      </c>
      <c r="T386" s="24">
        <v>3</v>
      </c>
      <c r="U386" s="24">
        <v>0</v>
      </c>
      <c r="V386" s="24">
        <v>0.01</v>
      </c>
      <c r="W386" s="24">
        <v>0.01</v>
      </c>
      <c r="X386" s="24">
        <v>6.12</v>
      </c>
      <c r="Y386" t="s">
        <v>1208</v>
      </c>
      <c r="Z386" t="b">
        <v>1</v>
      </c>
      <c r="AA386" s="24" t="str">
        <f t="shared" ref="AA386:AA449" si="6">B386&amp;" "&amp;C386</f>
        <v>Kjell Scherpen</v>
      </c>
    </row>
    <row r="387" spans="1:27" x14ac:dyDescent="0.25">
      <c r="A387" s="24">
        <v>3</v>
      </c>
      <c r="B387" s="24" t="s">
        <v>650</v>
      </c>
      <c r="C387" s="24" t="s">
        <v>651</v>
      </c>
      <c r="D387">
        <v>571</v>
      </c>
      <c r="E387" s="24">
        <v>0</v>
      </c>
      <c r="F387" s="25">
        <v>49</v>
      </c>
      <c r="G387" s="24">
        <v>0</v>
      </c>
      <c r="H387" s="24">
        <v>0.1</v>
      </c>
      <c r="I387" s="24">
        <v>12</v>
      </c>
      <c r="J387" s="24">
        <v>0</v>
      </c>
      <c r="K387" s="24">
        <v>0</v>
      </c>
      <c r="L387" s="24">
        <v>0</v>
      </c>
      <c r="M387" s="24">
        <v>0</v>
      </c>
      <c r="N387" s="24">
        <v>0</v>
      </c>
      <c r="O387" s="24">
        <v>0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t="s">
        <v>1208</v>
      </c>
      <c r="Z387" t="b">
        <v>1</v>
      </c>
      <c r="AA387" s="24" t="str">
        <f t="shared" si="6"/>
        <v>Florentino Ibrain Morris Luís</v>
      </c>
    </row>
    <row r="388" spans="1:27" x14ac:dyDescent="0.25">
      <c r="A388" s="24">
        <v>3</v>
      </c>
      <c r="B388" s="24" t="s">
        <v>147</v>
      </c>
      <c r="C388" s="24" t="s">
        <v>652</v>
      </c>
      <c r="D388">
        <v>591</v>
      </c>
      <c r="E388" s="24">
        <v>3.7</v>
      </c>
      <c r="F388" s="25">
        <v>55</v>
      </c>
      <c r="G388" s="24">
        <v>3.7</v>
      </c>
      <c r="H388" s="24">
        <v>0.8</v>
      </c>
      <c r="I388" s="24">
        <v>12</v>
      </c>
      <c r="J388" s="24">
        <v>11</v>
      </c>
      <c r="K388" s="24">
        <v>250</v>
      </c>
      <c r="L388" s="24">
        <v>0</v>
      </c>
      <c r="M388" s="24">
        <v>2</v>
      </c>
      <c r="N388" s="24">
        <v>0</v>
      </c>
      <c r="O388" s="24">
        <v>8</v>
      </c>
      <c r="P388" s="24">
        <v>0</v>
      </c>
      <c r="Q388" s="24">
        <v>0</v>
      </c>
      <c r="R388" s="24">
        <v>65</v>
      </c>
      <c r="S388" s="24">
        <v>21</v>
      </c>
      <c r="T388" s="24">
        <v>3</v>
      </c>
      <c r="U388" s="24">
        <v>0.87</v>
      </c>
      <c r="V388" s="24">
        <v>0.64</v>
      </c>
      <c r="W388" s="24">
        <v>1.51</v>
      </c>
      <c r="X388" s="24">
        <v>6.09</v>
      </c>
      <c r="Y388" t="s">
        <v>1208</v>
      </c>
      <c r="Z388" t="b">
        <v>1</v>
      </c>
      <c r="AA388" s="24" t="str">
        <f t="shared" si="6"/>
        <v>Julio Enciso</v>
      </c>
    </row>
    <row r="389" spans="1:27" x14ac:dyDescent="0.25">
      <c r="A389" s="24">
        <v>2</v>
      </c>
      <c r="B389" s="24" t="s">
        <v>653</v>
      </c>
      <c r="C389" s="24" t="s">
        <v>207</v>
      </c>
      <c r="D389">
        <v>592</v>
      </c>
      <c r="E389" s="24">
        <v>1</v>
      </c>
      <c r="F389" s="25">
        <v>40</v>
      </c>
      <c r="G389" s="24">
        <v>1</v>
      </c>
      <c r="H389" s="24">
        <v>0.9</v>
      </c>
      <c r="I389" s="24">
        <v>12</v>
      </c>
      <c r="J389" s="24">
        <v>3</v>
      </c>
      <c r="K389" s="24">
        <v>39</v>
      </c>
      <c r="L389" s="24">
        <v>0</v>
      </c>
      <c r="M389" s="24">
        <v>0</v>
      </c>
      <c r="N389" s="24">
        <v>0</v>
      </c>
      <c r="O389" s="24">
        <v>1</v>
      </c>
      <c r="P389" s="24">
        <v>0</v>
      </c>
      <c r="Q389" s="24">
        <v>0</v>
      </c>
      <c r="R389" s="24">
        <v>7</v>
      </c>
      <c r="S389" s="24">
        <v>2</v>
      </c>
      <c r="T389" s="24">
        <v>0</v>
      </c>
      <c r="U389" s="24">
        <v>0</v>
      </c>
      <c r="V389" s="24">
        <v>0.02</v>
      </c>
      <c r="W389" s="24">
        <v>0.02</v>
      </c>
      <c r="X389" s="24">
        <v>0.89</v>
      </c>
      <c r="Y389" t="s">
        <v>1208</v>
      </c>
      <c r="Z389" t="b">
        <v>1</v>
      </c>
      <c r="AA389" s="24" t="str">
        <f t="shared" si="6"/>
        <v>Abdoul Ouattara</v>
      </c>
    </row>
    <row r="390" spans="1:27" x14ac:dyDescent="0.25">
      <c r="A390" s="24">
        <v>3</v>
      </c>
      <c r="B390" s="24" t="s">
        <v>1225</v>
      </c>
      <c r="C390" s="24" t="s">
        <v>1226</v>
      </c>
      <c r="D390">
        <v>602</v>
      </c>
      <c r="E390" s="24">
        <v>0</v>
      </c>
      <c r="F390" s="25">
        <v>45</v>
      </c>
      <c r="G390" s="24">
        <v>0</v>
      </c>
      <c r="H390" s="24">
        <v>0</v>
      </c>
      <c r="I390" s="24">
        <v>12</v>
      </c>
      <c r="J390" s="24">
        <v>0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t="s">
        <v>1211</v>
      </c>
      <c r="Z390" t="b">
        <v>0</v>
      </c>
      <c r="AA390" s="24" t="str">
        <f t="shared" si="6"/>
        <v>Cameron Humphreys</v>
      </c>
    </row>
    <row r="391" spans="1:27" x14ac:dyDescent="0.25">
      <c r="A391" s="24">
        <v>3</v>
      </c>
      <c r="B391" s="24" t="s">
        <v>1249</v>
      </c>
      <c r="C391" s="24" t="s">
        <v>537</v>
      </c>
      <c r="D391">
        <v>619</v>
      </c>
      <c r="E391" s="24">
        <v>2.5</v>
      </c>
      <c r="F391" s="25">
        <v>50</v>
      </c>
      <c r="G391" s="24">
        <v>2.5</v>
      </c>
      <c r="H391" s="24">
        <v>0</v>
      </c>
      <c r="I391" s="24">
        <v>12</v>
      </c>
      <c r="J391" s="24">
        <v>5</v>
      </c>
      <c r="K391" s="24">
        <v>105</v>
      </c>
      <c r="L391" s="24">
        <v>0</v>
      </c>
      <c r="M391" s="24">
        <v>0</v>
      </c>
      <c r="N391" s="24">
        <v>0</v>
      </c>
      <c r="O391" s="24">
        <v>4</v>
      </c>
      <c r="P391" s="24">
        <v>0</v>
      </c>
      <c r="Q391" s="24">
        <v>0</v>
      </c>
      <c r="R391" s="24">
        <v>35</v>
      </c>
      <c r="S391" s="24">
        <v>25</v>
      </c>
      <c r="T391" s="24">
        <v>1</v>
      </c>
      <c r="U391" s="24">
        <v>0</v>
      </c>
      <c r="V391" s="24">
        <v>0.03</v>
      </c>
      <c r="W391" s="24">
        <v>0.03</v>
      </c>
      <c r="X391" s="24">
        <v>2.61</v>
      </c>
      <c r="Y391" t="s">
        <v>1208</v>
      </c>
      <c r="Z391" t="b">
        <v>1</v>
      </c>
      <c r="AA391" s="24" t="str">
        <f t="shared" si="6"/>
        <v>Exequiel Palacios</v>
      </c>
    </row>
    <row r="392" spans="1:27" x14ac:dyDescent="0.25">
      <c r="A392" s="24">
        <v>4</v>
      </c>
      <c r="B392" s="24" t="s">
        <v>2419</v>
      </c>
      <c r="C392" s="24" t="s">
        <v>2420</v>
      </c>
      <c r="D392">
        <v>640</v>
      </c>
      <c r="E392" s="24">
        <v>1</v>
      </c>
      <c r="F392" s="25">
        <v>55</v>
      </c>
      <c r="G392" s="24">
        <v>1</v>
      </c>
      <c r="H392" s="24">
        <v>0</v>
      </c>
      <c r="I392" s="24">
        <v>12</v>
      </c>
      <c r="J392" s="24">
        <v>1</v>
      </c>
      <c r="K392" s="24">
        <v>24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24">
        <v>4</v>
      </c>
      <c r="S392" s="24">
        <v>0</v>
      </c>
      <c r="T392" s="24">
        <v>0</v>
      </c>
      <c r="U392" s="24">
        <v>0.02</v>
      </c>
      <c r="V392" s="24">
        <v>0.01</v>
      </c>
      <c r="W392" s="24">
        <v>0.03</v>
      </c>
      <c r="X392" s="24">
        <v>0.06</v>
      </c>
      <c r="Y392" t="s">
        <v>1208</v>
      </c>
      <c r="Z392" t="b">
        <v>1</v>
      </c>
      <c r="AA392" s="24" t="str">
        <f t="shared" si="6"/>
        <v>Zian Flemming</v>
      </c>
    </row>
    <row r="393" spans="1:27" x14ac:dyDescent="0.25">
      <c r="A393" s="24">
        <v>3</v>
      </c>
      <c r="B393" s="24" t="s">
        <v>270</v>
      </c>
      <c r="C393" s="24" t="s">
        <v>228</v>
      </c>
      <c r="D393">
        <v>260</v>
      </c>
      <c r="E393" s="24">
        <v>1.3</v>
      </c>
      <c r="F393" s="25">
        <v>64</v>
      </c>
      <c r="G393" s="24">
        <v>1.3</v>
      </c>
      <c r="H393" s="24">
        <v>3.5</v>
      </c>
      <c r="I393" s="24">
        <v>13</v>
      </c>
      <c r="J393" s="24">
        <v>4</v>
      </c>
      <c r="K393" s="24">
        <v>127</v>
      </c>
      <c r="L393" s="24">
        <v>0</v>
      </c>
      <c r="M393" s="24">
        <v>0</v>
      </c>
      <c r="N393" s="24">
        <v>1</v>
      </c>
      <c r="O393" s="24">
        <v>0</v>
      </c>
      <c r="P393" s="24">
        <v>0</v>
      </c>
      <c r="Q393" s="24">
        <v>0</v>
      </c>
      <c r="R393" s="24">
        <v>15</v>
      </c>
      <c r="S393" s="24">
        <v>9</v>
      </c>
      <c r="T393" s="24">
        <v>1</v>
      </c>
      <c r="U393" s="24">
        <v>0.01</v>
      </c>
      <c r="V393" s="24">
        <v>0.06</v>
      </c>
      <c r="W393" s="24">
        <v>7.0000000000000007E-2</v>
      </c>
      <c r="X393" s="24">
        <v>2.98</v>
      </c>
      <c r="Y393" t="s">
        <v>1208</v>
      </c>
      <c r="Z393" t="b">
        <v>1</v>
      </c>
      <c r="AA393" s="24" t="str">
        <f t="shared" si="6"/>
        <v>Harry Wilson</v>
      </c>
    </row>
    <row r="394" spans="1:27" x14ac:dyDescent="0.25">
      <c r="A394" s="24">
        <v>1</v>
      </c>
      <c r="B394" s="24" t="s">
        <v>654</v>
      </c>
      <c r="C394" s="24" t="s">
        <v>655</v>
      </c>
      <c r="D394">
        <v>326</v>
      </c>
      <c r="E394" s="24">
        <v>0</v>
      </c>
      <c r="F394" s="25">
        <v>45</v>
      </c>
      <c r="G394" s="24">
        <v>0</v>
      </c>
      <c r="H394" s="24">
        <v>0.4</v>
      </c>
      <c r="I394" s="24">
        <v>13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t="s">
        <v>1211</v>
      </c>
      <c r="Z394" t="b">
        <v>0</v>
      </c>
      <c r="AA394" s="24" t="str">
        <f t="shared" si="6"/>
        <v>Lucas Estella Perri</v>
      </c>
    </row>
    <row r="395" spans="1:27" x14ac:dyDescent="0.25">
      <c r="A395" s="24">
        <v>2</v>
      </c>
      <c r="B395" s="24" t="s">
        <v>656</v>
      </c>
      <c r="C395" s="24" t="s">
        <v>657</v>
      </c>
      <c r="D395">
        <v>327</v>
      </c>
      <c r="E395" s="24">
        <v>4</v>
      </c>
      <c r="F395" s="25">
        <v>50</v>
      </c>
      <c r="G395" s="24">
        <v>4</v>
      </c>
      <c r="H395" s="24">
        <v>0.9</v>
      </c>
      <c r="I395" s="24">
        <v>13</v>
      </c>
      <c r="J395" s="24">
        <v>12</v>
      </c>
      <c r="K395" s="24">
        <v>164</v>
      </c>
      <c r="L395" s="24">
        <v>0</v>
      </c>
      <c r="M395" s="24">
        <v>0</v>
      </c>
      <c r="N395" s="24">
        <v>1</v>
      </c>
      <c r="O395" s="24">
        <v>2</v>
      </c>
      <c r="P395" s="24">
        <v>0</v>
      </c>
      <c r="Q395" s="24">
        <v>2</v>
      </c>
      <c r="R395" s="24">
        <v>29</v>
      </c>
      <c r="S395" s="24">
        <v>21</v>
      </c>
      <c r="T395" s="24">
        <v>2</v>
      </c>
      <c r="U395" s="24">
        <v>0.11</v>
      </c>
      <c r="V395" s="24">
        <v>0</v>
      </c>
      <c r="W395" s="24">
        <v>0.11</v>
      </c>
      <c r="X395" s="24">
        <v>3.16</v>
      </c>
      <c r="Y395" t="s">
        <v>1208</v>
      </c>
      <c r="Z395" t="b">
        <v>1</v>
      </c>
      <c r="AA395" s="24" t="str">
        <f t="shared" si="6"/>
        <v>Jaka Bijol</v>
      </c>
    </row>
    <row r="396" spans="1:27" x14ac:dyDescent="0.25">
      <c r="A396" s="24">
        <v>2</v>
      </c>
      <c r="B396" s="24" t="s">
        <v>585</v>
      </c>
      <c r="C396" s="24" t="s">
        <v>658</v>
      </c>
      <c r="D396">
        <v>329</v>
      </c>
      <c r="E396" s="24">
        <v>2.2999999999999998</v>
      </c>
      <c r="F396" s="25">
        <v>44</v>
      </c>
      <c r="G396" s="24">
        <v>3.5</v>
      </c>
      <c r="H396" s="24">
        <v>1.8</v>
      </c>
      <c r="I396" s="24">
        <v>13</v>
      </c>
      <c r="J396" s="24">
        <v>7</v>
      </c>
      <c r="K396" s="24">
        <v>123</v>
      </c>
      <c r="L396" s="24">
        <v>0</v>
      </c>
      <c r="M396" s="24">
        <v>0</v>
      </c>
      <c r="N396" s="24">
        <v>1</v>
      </c>
      <c r="O396" s="24">
        <v>0</v>
      </c>
      <c r="P396" s="24">
        <v>0</v>
      </c>
      <c r="Q396" s="24">
        <v>0</v>
      </c>
      <c r="R396" s="24">
        <v>25</v>
      </c>
      <c r="S396" s="24">
        <v>11</v>
      </c>
      <c r="T396" s="24">
        <v>2</v>
      </c>
      <c r="U396" s="24">
        <v>0.03</v>
      </c>
      <c r="V396" s="24">
        <v>0.06</v>
      </c>
      <c r="W396" s="24">
        <v>0.09</v>
      </c>
      <c r="X396" s="24">
        <v>1.01</v>
      </c>
      <c r="Y396" t="s">
        <v>1209</v>
      </c>
      <c r="Z396" t="b">
        <v>1</v>
      </c>
      <c r="AA396" s="24" t="str">
        <f t="shared" si="6"/>
        <v>Joe Rodon</v>
      </c>
    </row>
    <row r="397" spans="1:27" x14ac:dyDescent="0.25">
      <c r="A397" s="24">
        <v>2</v>
      </c>
      <c r="B397" s="24" t="s">
        <v>659</v>
      </c>
      <c r="C397" s="24" t="s">
        <v>660</v>
      </c>
      <c r="D397">
        <v>330</v>
      </c>
      <c r="E397" s="24">
        <v>7.3</v>
      </c>
      <c r="F397" s="25">
        <v>45</v>
      </c>
      <c r="G397" s="24">
        <v>7.3</v>
      </c>
      <c r="H397" s="24">
        <v>1.1000000000000001</v>
      </c>
      <c r="I397" s="24">
        <v>13</v>
      </c>
      <c r="J397" s="24">
        <v>22</v>
      </c>
      <c r="K397" s="24">
        <v>217</v>
      </c>
      <c r="L397" s="24">
        <v>1</v>
      </c>
      <c r="M397" s="24">
        <v>0</v>
      </c>
      <c r="N397" s="24">
        <v>2</v>
      </c>
      <c r="O397" s="24">
        <v>1</v>
      </c>
      <c r="P397" s="24">
        <v>0</v>
      </c>
      <c r="Q397" s="24">
        <v>3</v>
      </c>
      <c r="R397" s="24">
        <v>63</v>
      </c>
      <c r="S397" s="24">
        <v>12</v>
      </c>
      <c r="T397" s="24">
        <v>3</v>
      </c>
      <c r="U397" s="24">
        <v>0.9</v>
      </c>
      <c r="V397" s="24">
        <v>0.03</v>
      </c>
      <c r="W397" s="24">
        <v>0.93</v>
      </c>
      <c r="X397" s="24">
        <v>1.64</v>
      </c>
      <c r="Y397" t="s">
        <v>1208</v>
      </c>
      <c r="Z397" t="b">
        <v>1</v>
      </c>
      <c r="AA397" s="24" t="str">
        <f t="shared" si="6"/>
        <v>Jayden Bogle</v>
      </c>
    </row>
    <row r="398" spans="1:27" x14ac:dyDescent="0.25">
      <c r="A398" s="24">
        <v>2</v>
      </c>
      <c r="B398" s="24" t="s">
        <v>26</v>
      </c>
      <c r="C398" s="24" t="s">
        <v>661</v>
      </c>
      <c r="D398">
        <v>331</v>
      </c>
      <c r="E398" s="24">
        <v>0.7</v>
      </c>
      <c r="F398" s="25">
        <v>45</v>
      </c>
      <c r="G398" s="24">
        <v>2</v>
      </c>
      <c r="H398" s="24">
        <v>0</v>
      </c>
      <c r="I398" s="24">
        <v>13</v>
      </c>
      <c r="J398" s="24">
        <v>2</v>
      </c>
      <c r="K398" s="24">
        <v>90</v>
      </c>
      <c r="L398" s="24">
        <v>0</v>
      </c>
      <c r="M398" s="24">
        <v>0</v>
      </c>
      <c r="N398" s="24">
        <v>0</v>
      </c>
      <c r="O398" s="24">
        <v>1</v>
      </c>
      <c r="P398" s="24">
        <v>0</v>
      </c>
      <c r="Q398" s="24">
        <v>0</v>
      </c>
      <c r="R398" s="24">
        <v>9</v>
      </c>
      <c r="S398" s="24">
        <v>5</v>
      </c>
      <c r="T398" s="24">
        <v>1</v>
      </c>
      <c r="U398" s="24">
        <v>0</v>
      </c>
      <c r="V398" s="24">
        <v>0</v>
      </c>
      <c r="W398" s="24">
        <v>0</v>
      </c>
      <c r="X398" s="24">
        <v>2.19</v>
      </c>
      <c r="Y398" t="s">
        <v>1208</v>
      </c>
      <c r="Z398" t="b">
        <v>1</v>
      </c>
      <c r="AA398" s="24" t="str">
        <f t="shared" si="6"/>
        <v>Gabriel Gudmundsson</v>
      </c>
    </row>
    <row r="399" spans="1:27" x14ac:dyDescent="0.25">
      <c r="A399" s="24">
        <v>2</v>
      </c>
      <c r="B399" s="24" t="s">
        <v>135</v>
      </c>
      <c r="C399" s="24" t="s">
        <v>155</v>
      </c>
      <c r="D399">
        <v>332</v>
      </c>
      <c r="E399" s="24">
        <v>5.3</v>
      </c>
      <c r="F399" s="25">
        <v>45</v>
      </c>
      <c r="G399" s="24">
        <v>5.3</v>
      </c>
      <c r="H399" s="24">
        <v>1.5</v>
      </c>
      <c r="I399" s="24">
        <v>13</v>
      </c>
      <c r="J399" s="24">
        <v>16</v>
      </c>
      <c r="K399" s="24">
        <v>270</v>
      </c>
      <c r="L399" s="24">
        <v>0</v>
      </c>
      <c r="M399" s="24">
        <v>0</v>
      </c>
      <c r="N399" s="24">
        <v>1</v>
      </c>
      <c r="O399" s="24">
        <v>2</v>
      </c>
      <c r="P399" s="24">
        <v>0</v>
      </c>
      <c r="Q399" s="24">
        <v>2</v>
      </c>
      <c r="R399" s="24">
        <v>49</v>
      </c>
      <c r="S399" s="24">
        <v>30</v>
      </c>
      <c r="T399" s="24">
        <v>3</v>
      </c>
      <c r="U399" s="24">
        <v>0.17</v>
      </c>
      <c r="V399" s="24">
        <v>0.02</v>
      </c>
      <c r="W399" s="24">
        <v>0.19</v>
      </c>
      <c r="X399" s="24">
        <v>4.5199999999999996</v>
      </c>
      <c r="Y399" t="s">
        <v>1208</v>
      </c>
      <c r="Z399" t="b">
        <v>1</v>
      </c>
      <c r="AA399" s="24" t="str">
        <f t="shared" si="6"/>
        <v>James Justin</v>
      </c>
    </row>
    <row r="400" spans="1:27" x14ac:dyDescent="0.25">
      <c r="A400" s="24">
        <v>2</v>
      </c>
      <c r="B400" s="24" t="s">
        <v>662</v>
      </c>
      <c r="C400" s="24" t="s">
        <v>663</v>
      </c>
      <c r="D400">
        <v>333</v>
      </c>
      <c r="E400" s="24">
        <v>0</v>
      </c>
      <c r="F400" s="25">
        <v>45</v>
      </c>
      <c r="G400" s="24">
        <v>0</v>
      </c>
      <c r="H400" s="24">
        <v>0</v>
      </c>
      <c r="I400" s="24">
        <v>13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t="s">
        <v>1211</v>
      </c>
      <c r="Z400" t="b">
        <v>0</v>
      </c>
      <c r="AA400" s="24" t="str">
        <f t="shared" si="6"/>
        <v>Sebastiaan Bornauw</v>
      </c>
    </row>
    <row r="401" spans="1:27" x14ac:dyDescent="0.25">
      <c r="A401" s="24">
        <v>2</v>
      </c>
      <c r="B401" s="24" t="s">
        <v>664</v>
      </c>
      <c r="C401" s="24" t="s">
        <v>665</v>
      </c>
      <c r="D401">
        <v>334</v>
      </c>
      <c r="E401" s="24">
        <v>4.7</v>
      </c>
      <c r="F401" s="25">
        <v>50</v>
      </c>
      <c r="G401" s="24">
        <v>4.7</v>
      </c>
      <c r="H401" s="24">
        <v>3.3</v>
      </c>
      <c r="I401" s="24">
        <v>13</v>
      </c>
      <c r="J401" s="24">
        <v>14</v>
      </c>
      <c r="K401" s="24">
        <v>270</v>
      </c>
      <c r="L401" s="24">
        <v>0</v>
      </c>
      <c r="M401" s="24">
        <v>0</v>
      </c>
      <c r="N401" s="24">
        <v>1</v>
      </c>
      <c r="O401" s="24">
        <v>2</v>
      </c>
      <c r="P401" s="24">
        <v>0</v>
      </c>
      <c r="Q401" s="24">
        <v>0</v>
      </c>
      <c r="R401" s="24">
        <v>52</v>
      </c>
      <c r="S401" s="24">
        <v>39</v>
      </c>
      <c r="T401" s="24">
        <v>3</v>
      </c>
      <c r="U401" s="24">
        <v>0.09</v>
      </c>
      <c r="V401" s="24">
        <v>0.02</v>
      </c>
      <c r="W401" s="24">
        <v>0.11</v>
      </c>
      <c r="X401" s="24">
        <v>4.5199999999999996</v>
      </c>
      <c r="Y401" t="s">
        <v>1208</v>
      </c>
      <c r="Z401" t="b">
        <v>1</v>
      </c>
      <c r="AA401" s="24" t="str">
        <f t="shared" si="6"/>
        <v>Tarik Muharemović</v>
      </c>
    </row>
    <row r="402" spans="1:27" x14ac:dyDescent="0.25">
      <c r="A402" s="24">
        <v>3</v>
      </c>
      <c r="B402" s="24" t="s">
        <v>666</v>
      </c>
      <c r="C402" s="24" t="s">
        <v>667</v>
      </c>
      <c r="D402">
        <v>335</v>
      </c>
      <c r="E402" s="24">
        <v>6.3</v>
      </c>
      <c r="F402" s="25">
        <v>60</v>
      </c>
      <c r="G402" s="24">
        <v>6.3</v>
      </c>
      <c r="H402" s="24">
        <v>2.9</v>
      </c>
      <c r="I402" s="24">
        <v>13</v>
      </c>
      <c r="J402" s="24">
        <v>19</v>
      </c>
      <c r="K402" s="24">
        <v>270</v>
      </c>
      <c r="L402" s="24">
        <v>1</v>
      </c>
      <c r="M402" s="24">
        <v>0</v>
      </c>
      <c r="N402" s="24">
        <v>1</v>
      </c>
      <c r="O402" s="24">
        <v>2</v>
      </c>
      <c r="P402" s="24">
        <v>0</v>
      </c>
      <c r="Q402" s="24">
        <v>3</v>
      </c>
      <c r="R402" s="24">
        <v>57</v>
      </c>
      <c r="S402" s="24">
        <v>38</v>
      </c>
      <c r="T402" s="24">
        <v>3</v>
      </c>
      <c r="U402" s="24">
        <v>0.49</v>
      </c>
      <c r="V402" s="24">
        <v>0.16</v>
      </c>
      <c r="W402" s="24">
        <v>0.65</v>
      </c>
      <c r="X402" s="24">
        <v>4.5199999999999996</v>
      </c>
      <c r="Y402" t="s">
        <v>1208</v>
      </c>
      <c r="Z402" t="b">
        <v>1</v>
      </c>
      <c r="AA402" s="24" t="str">
        <f t="shared" si="6"/>
        <v>Anton Stach</v>
      </c>
    </row>
    <row r="403" spans="1:27" x14ac:dyDescent="0.25">
      <c r="A403" s="24">
        <v>3</v>
      </c>
      <c r="B403" s="24" t="s">
        <v>668</v>
      </c>
      <c r="C403" s="24" t="s">
        <v>669</v>
      </c>
      <c r="D403">
        <v>336</v>
      </c>
      <c r="E403" s="24">
        <v>2</v>
      </c>
      <c r="F403" s="25">
        <v>59</v>
      </c>
      <c r="G403" s="24">
        <v>2</v>
      </c>
      <c r="H403" s="24">
        <v>0.3</v>
      </c>
      <c r="I403" s="24">
        <v>13</v>
      </c>
      <c r="J403" s="24">
        <v>6</v>
      </c>
      <c r="K403" s="24">
        <v>153</v>
      </c>
      <c r="L403" s="24">
        <v>0</v>
      </c>
      <c r="M403" s="24">
        <v>0</v>
      </c>
      <c r="N403" s="24">
        <v>1</v>
      </c>
      <c r="O403" s="24">
        <v>1</v>
      </c>
      <c r="P403" s="24">
        <v>0</v>
      </c>
      <c r="Q403" s="24">
        <v>0</v>
      </c>
      <c r="R403" s="24">
        <v>30</v>
      </c>
      <c r="S403" s="24">
        <v>7</v>
      </c>
      <c r="T403" s="24">
        <v>2</v>
      </c>
      <c r="U403" s="24">
        <v>0.08</v>
      </c>
      <c r="V403" s="24">
        <v>0.18</v>
      </c>
      <c r="W403" s="24">
        <v>0.26</v>
      </c>
      <c r="X403" s="24">
        <v>1.1100000000000001</v>
      </c>
      <c r="Y403" t="s">
        <v>1208</v>
      </c>
      <c r="Z403" t="b">
        <v>1</v>
      </c>
      <c r="AA403" s="24" t="str">
        <f t="shared" si="6"/>
        <v>Noah Okafor</v>
      </c>
    </row>
    <row r="404" spans="1:27" x14ac:dyDescent="0.25">
      <c r="A404" s="24">
        <v>3</v>
      </c>
      <c r="B404" s="24" t="s">
        <v>670</v>
      </c>
      <c r="C404" s="24" t="s">
        <v>671</v>
      </c>
      <c r="D404">
        <v>337</v>
      </c>
      <c r="E404" s="24">
        <v>1.7</v>
      </c>
      <c r="F404" s="25">
        <v>54</v>
      </c>
      <c r="G404" s="24">
        <v>1.7</v>
      </c>
      <c r="H404" s="24">
        <v>0.7</v>
      </c>
      <c r="I404" s="24">
        <v>13</v>
      </c>
      <c r="J404" s="24">
        <v>5</v>
      </c>
      <c r="K404" s="24">
        <v>154</v>
      </c>
      <c r="L404" s="24">
        <v>0</v>
      </c>
      <c r="M404" s="24">
        <v>0</v>
      </c>
      <c r="N404" s="24">
        <v>1</v>
      </c>
      <c r="O404" s="24">
        <v>2</v>
      </c>
      <c r="P404" s="24">
        <v>0</v>
      </c>
      <c r="Q404" s="24">
        <v>0</v>
      </c>
      <c r="R404" s="24">
        <v>27</v>
      </c>
      <c r="S404" s="24">
        <v>10</v>
      </c>
      <c r="T404" s="24">
        <v>2</v>
      </c>
      <c r="U404" s="24">
        <v>0.01</v>
      </c>
      <c r="V404" s="24">
        <v>0.02</v>
      </c>
      <c r="W404" s="24">
        <v>0.03</v>
      </c>
      <c r="X404" s="24">
        <v>3.08</v>
      </c>
      <c r="Y404" t="s">
        <v>1208</v>
      </c>
      <c r="Z404" t="b">
        <v>1</v>
      </c>
      <c r="AA404" s="24" t="str">
        <f t="shared" si="6"/>
        <v>Brenden Aaronson</v>
      </c>
    </row>
    <row r="405" spans="1:27" x14ac:dyDescent="0.25">
      <c r="A405" s="24">
        <v>3</v>
      </c>
      <c r="B405" s="24" t="s">
        <v>59</v>
      </c>
      <c r="C405" s="24" t="s">
        <v>672</v>
      </c>
      <c r="D405">
        <v>338</v>
      </c>
      <c r="E405" s="24">
        <v>3</v>
      </c>
      <c r="F405" s="25">
        <v>55</v>
      </c>
      <c r="G405" s="24">
        <v>3</v>
      </c>
      <c r="H405" s="24">
        <v>1.1000000000000001</v>
      </c>
      <c r="I405" s="24">
        <v>13</v>
      </c>
      <c r="J405" s="24">
        <v>9</v>
      </c>
      <c r="K405" s="24">
        <v>270</v>
      </c>
      <c r="L405" s="24">
        <v>0</v>
      </c>
      <c r="M405" s="24">
        <v>0</v>
      </c>
      <c r="N405" s="24">
        <v>1</v>
      </c>
      <c r="O405" s="24">
        <v>2</v>
      </c>
      <c r="P405" s="24">
        <v>0</v>
      </c>
      <c r="Q405" s="24">
        <v>0</v>
      </c>
      <c r="R405" s="24">
        <v>43</v>
      </c>
      <c r="S405" s="24">
        <v>34</v>
      </c>
      <c r="T405" s="24">
        <v>3</v>
      </c>
      <c r="U405" s="24">
        <v>0.01</v>
      </c>
      <c r="V405" s="24">
        <v>0.14000000000000001</v>
      </c>
      <c r="W405" s="24">
        <v>0.15</v>
      </c>
      <c r="X405" s="24">
        <v>4.5199999999999996</v>
      </c>
      <c r="Y405" t="s">
        <v>1208</v>
      </c>
      <c r="Z405" t="b">
        <v>1</v>
      </c>
      <c r="AA405" s="24" t="str">
        <f t="shared" si="6"/>
        <v>Ethan Ampadu</v>
      </c>
    </row>
    <row r="406" spans="1:27" x14ac:dyDescent="0.25">
      <c r="A406" s="24">
        <v>3</v>
      </c>
      <c r="B406" s="24" t="s">
        <v>673</v>
      </c>
      <c r="C406" s="24" t="s">
        <v>674</v>
      </c>
      <c r="D406">
        <v>339</v>
      </c>
      <c r="E406" s="24">
        <v>0.3</v>
      </c>
      <c r="F406" s="25">
        <v>49</v>
      </c>
      <c r="G406" s="24">
        <v>1</v>
      </c>
      <c r="H406" s="24">
        <v>0.1</v>
      </c>
      <c r="I406" s="24">
        <v>13</v>
      </c>
      <c r="J406" s="24">
        <v>1</v>
      </c>
      <c r="K406" s="24">
        <v>8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  <c r="Q406" s="24">
        <v>0</v>
      </c>
      <c r="R406" s="24">
        <v>3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7.0000000000000007E-2</v>
      </c>
      <c r="Y406" t="s">
        <v>1208</v>
      </c>
      <c r="Z406" t="b">
        <v>1</v>
      </c>
      <c r="AA406" s="24" t="str">
        <f t="shared" si="6"/>
        <v>Sean Longstaff</v>
      </c>
    </row>
    <row r="407" spans="1:27" x14ac:dyDescent="0.25">
      <c r="A407" s="24">
        <v>3</v>
      </c>
      <c r="B407" s="24" t="s">
        <v>675</v>
      </c>
      <c r="C407" s="24" t="s">
        <v>676</v>
      </c>
      <c r="D407">
        <v>341</v>
      </c>
      <c r="E407" s="24">
        <v>0</v>
      </c>
      <c r="F407" s="25">
        <v>50</v>
      </c>
      <c r="G407" s="24">
        <v>0</v>
      </c>
      <c r="H407" s="24">
        <v>0</v>
      </c>
      <c r="I407" s="24">
        <v>13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t="s">
        <v>1211</v>
      </c>
      <c r="Z407" t="b">
        <v>0</v>
      </c>
      <c r="AA407" s="24" t="str">
        <f t="shared" si="6"/>
        <v>Wilfried Gnonto</v>
      </c>
    </row>
    <row r="408" spans="1:27" x14ac:dyDescent="0.25">
      <c r="A408" s="24">
        <v>3</v>
      </c>
      <c r="B408" s="24" t="s">
        <v>253</v>
      </c>
      <c r="C408" s="24" t="s">
        <v>493</v>
      </c>
      <c r="D408">
        <v>342</v>
      </c>
      <c r="E408" s="24">
        <v>0</v>
      </c>
      <c r="F408" s="25">
        <v>50</v>
      </c>
      <c r="G408" s="24">
        <v>0</v>
      </c>
      <c r="H408" s="24">
        <v>0</v>
      </c>
      <c r="I408" s="24">
        <v>13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t="s">
        <v>1211</v>
      </c>
      <c r="Z408" t="b">
        <v>0</v>
      </c>
      <c r="AA408" s="24" t="str">
        <f t="shared" si="6"/>
        <v>Jack Harrison</v>
      </c>
    </row>
    <row r="409" spans="1:27" x14ac:dyDescent="0.25">
      <c r="A409" s="24">
        <v>3</v>
      </c>
      <c r="B409" s="24" t="s">
        <v>416</v>
      </c>
      <c r="C409" s="24" t="s">
        <v>135</v>
      </c>
      <c r="D409">
        <v>343</v>
      </c>
      <c r="E409" s="24">
        <v>0.3</v>
      </c>
      <c r="F409" s="25">
        <v>50</v>
      </c>
      <c r="G409" s="24">
        <v>1</v>
      </c>
      <c r="H409" s="24">
        <v>0.1</v>
      </c>
      <c r="I409" s="24">
        <v>13</v>
      </c>
      <c r="J409" s="24">
        <v>1</v>
      </c>
      <c r="K409" s="24">
        <v>22</v>
      </c>
      <c r="L409" s="24">
        <v>0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2</v>
      </c>
      <c r="S409" s="24">
        <v>2</v>
      </c>
      <c r="T409" s="24">
        <v>0</v>
      </c>
      <c r="U409" s="24">
        <v>0.24</v>
      </c>
      <c r="V409" s="24">
        <v>0.01</v>
      </c>
      <c r="W409" s="24">
        <v>0.25</v>
      </c>
      <c r="X409" s="24">
        <v>0.93</v>
      </c>
      <c r="Y409" t="s">
        <v>1208</v>
      </c>
      <c r="Z409" t="b">
        <v>1</v>
      </c>
      <c r="AA409" s="24" t="str">
        <f t="shared" si="6"/>
        <v>Daniel James</v>
      </c>
    </row>
    <row r="410" spans="1:27" x14ac:dyDescent="0.25">
      <c r="A410" s="24">
        <v>3</v>
      </c>
      <c r="B410" s="24" t="s">
        <v>677</v>
      </c>
      <c r="C410" s="24" t="s">
        <v>678</v>
      </c>
      <c r="D410">
        <v>344</v>
      </c>
      <c r="E410" s="24">
        <v>0</v>
      </c>
      <c r="F410" s="25">
        <v>50</v>
      </c>
      <c r="G410" s="24">
        <v>0</v>
      </c>
      <c r="H410" s="24">
        <v>0</v>
      </c>
      <c r="I410" s="24">
        <v>13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t="s">
        <v>1210</v>
      </c>
      <c r="Z410" t="b">
        <v>1</v>
      </c>
      <c r="AA410" s="24" t="str">
        <f t="shared" si="6"/>
        <v>Ilia Gruev</v>
      </c>
    </row>
    <row r="411" spans="1:27" x14ac:dyDescent="0.25">
      <c r="A411" s="24">
        <v>3</v>
      </c>
      <c r="B411" s="24" t="s">
        <v>679</v>
      </c>
      <c r="C411" s="24" t="s">
        <v>680</v>
      </c>
      <c r="D411">
        <v>345</v>
      </c>
      <c r="E411" s="24">
        <v>2</v>
      </c>
      <c r="F411" s="25">
        <v>49</v>
      </c>
      <c r="G411" s="24">
        <v>3</v>
      </c>
      <c r="H411" s="24">
        <v>0.2</v>
      </c>
      <c r="I411" s="24">
        <v>13</v>
      </c>
      <c r="J411" s="24">
        <v>6</v>
      </c>
      <c r="K411" s="24">
        <v>117</v>
      </c>
      <c r="L411" s="24">
        <v>0</v>
      </c>
      <c r="M411" s="24">
        <v>1</v>
      </c>
      <c r="N411" s="24">
        <v>0</v>
      </c>
      <c r="O411" s="24">
        <v>1</v>
      </c>
      <c r="P411" s="24">
        <v>0</v>
      </c>
      <c r="Q411" s="24">
        <v>0</v>
      </c>
      <c r="R411" s="24">
        <v>24</v>
      </c>
      <c r="S411" s="24">
        <v>19</v>
      </c>
      <c r="T411" s="24">
        <v>1</v>
      </c>
      <c r="U411" s="24">
        <v>0.53</v>
      </c>
      <c r="V411" s="24">
        <v>0.02</v>
      </c>
      <c r="W411" s="24">
        <v>0.55000000000000004</v>
      </c>
      <c r="X411" s="24">
        <v>2</v>
      </c>
      <c r="Y411" t="s">
        <v>1208</v>
      </c>
      <c r="Z411" t="b">
        <v>1</v>
      </c>
      <c r="AA411" s="24" t="str">
        <f t="shared" si="6"/>
        <v>Tanaka Ao</v>
      </c>
    </row>
    <row r="412" spans="1:27" x14ac:dyDescent="0.25">
      <c r="A412" s="24">
        <v>4</v>
      </c>
      <c r="B412" s="24" t="s">
        <v>681</v>
      </c>
      <c r="C412" s="24" t="s">
        <v>682</v>
      </c>
      <c r="D412">
        <v>346</v>
      </c>
      <c r="E412" s="24">
        <v>3.3</v>
      </c>
      <c r="F412" s="25">
        <v>60</v>
      </c>
      <c r="G412" s="24">
        <v>3.3</v>
      </c>
      <c r="H412" s="24">
        <v>24.7</v>
      </c>
      <c r="I412" s="24">
        <v>13</v>
      </c>
      <c r="J412" s="24">
        <v>10</v>
      </c>
      <c r="K412" s="24">
        <v>252</v>
      </c>
      <c r="L412" s="24">
        <v>1</v>
      </c>
      <c r="M412" s="24">
        <v>0</v>
      </c>
      <c r="N412" s="24">
        <v>1</v>
      </c>
      <c r="O412" s="24">
        <v>2</v>
      </c>
      <c r="P412" s="24">
        <v>0</v>
      </c>
      <c r="Q412" s="24">
        <v>2</v>
      </c>
      <c r="R412" s="24">
        <v>29</v>
      </c>
      <c r="S412" s="24">
        <v>9</v>
      </c>
      <c r="T412" s="24">
        <v>3</v>
      </c>
      <c r="U412" s="24">
        <v>1.61</v>
      </c>
      <c r="V412" s="24">
        <v>0.08</v>
      </c>
      <c r="W412" s="24">
        <v>1.69</v>
      </c>
      <c r="X412" s="24">
        <v>3.2</v>
      </c>
      <c r="Y412" t="s">
        <v>1208</v>
      </c>
      <c r="Z412" t="b">
        <v>1</v>
      </c>
      <c r="AA412" s="24" t="str">
        <f t="shared" si="6"/>
        <v>Dominic Calvert-Lewin</v>
      </c>
    </row>
    <row r="413" spans="1:27" x14ac:dyDescent="0.25">
      <c r="A413" s="24">
        <v>4</v>
      </c>
      <c r="B413" s="24" t="s">
        <v>683</v>
      </c>
      <c r="C413" s="24" t="s">
        <v>684</v>
      </c>
      <c r="D413">
        <v>347</v>
      </c>
      <c r="E413" s="24">
        <v>1.7</v>
      </c>
      <c r="F413" s="25">
        <v>54</v>
      </c>
      <c r="G413" s="24">
        <v>2.5</v>
      </c>
      <c r="H413" s="24">
        <v>0.5</v>
      </c>
      <c r="I413" s="24">
        <v>13</v>
      </c>
      <c r="J413" s="24">
        <v>5</v>
      </c>
      <c r="K413" s="24">
        <v>38</v>
      </c>
      <c r="L413" s="24">
        <v>0</v>
      </c>
      <c r="M413" s="24">
        <v>1</v>
      </c>
      <c r="N413" s="24">
        <v>0</v>
      </c>
      <c r="O413" s="24">
        <v>0</v>
      </c>
      <c r="P413" s="24">
        <v>0</v>
      </c>
      <c r="Q413" s="24">
        <v>0</v>
      </c>
      <c r="R413" s="24">
        <v>20</v>
      </c>
      <c r="S413" s="24">
        <v>1</v>
      </c>
      <c r="T413" s="24">
        <v>0</v>
      </c>
      <c r="U413" s="24">
        <v>0.27</v>
      </c>
      <c r="V413" s="24">
        <v>0.14000000000000001</v>
      </c>
      <c r="W413" s="24">
        <v>0.41</v>
      </c>
      <c r="X413" s="24">
        <v>2.25</v>
      </c>
      <c r="Y413" t="s">
        <v>1208</v>
      </c>
      <c r="Z413" t="b">
        <v>1</v>
      </c>
      <c r="AA413" s="24" t="str">
        <f t="shared" si="6"/>
        <v>Lukas Nmecha</v>
      </c>
    </row>
    <row r="414" spans="1:27" x14ac:dyDescent="0.25">
      <c r="A414" s="24">
        <v>4</v>
      </c>
      <c r="B414" s="24" t="s">
        <v>685</v>
      </c>
      <c r="C414" s="24" t="s">
        <v>686</v>
      </c>
      <c r="D414">
        <v>348</v>
      </c>
      <c r="E414" s="24">
        <v>0</v>
      </c>
      <c r="F414" s="25">
        <v>50</v>
      </c>
      <c r="G414" s="24">
        <v>0</v>
      </c>
      <c r="H414" s="24">
        <v>0.1</v>
      </c>
      <c r="I414" s="24">
        <v>13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t="s">
        <v>1211</v>
      </c>
      <c r="Z414" t="b">
        <v>0</v>
      </c>
      <c r="AA414" s="24" t="str">
        <f t="shared" si="6"/>
        <v>Joël Piroe</v>
      </c>
    </row>
    <row r="415" spans="1:27" x14ac:dyDescent="0.25">
      <c r="A415" s="24">
        <v>4</v>
      </c>
      <c r="B415" s="24" t="s">
        <v>687</v>
      </c>
      <c r="C415" s="24" t="s">
        <v>688</v>
      </c>
      <c r="D415">
        <v>349</v>
      </c>
      <c r="E415" s="24">
        <v>0</v>
      </c>
      <c r="F415" s="25">
        <v>45</v>
      </c>
      <c r="G415" s="24">
        <v>0</v>
      </c>
      <c r="H415" s="24">
        <v>0.1</v>
      </c>
      <c r="I415" s="24">
        <v>13</v>
      </c>
      <c r="J415" s="24">
        <v>0</v>
      </c>
      <c r="K415" s="24">
        <v>0</v>
      </c>
      <c r="L415" s="24">
        <v>0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t="s">
        <v>1209</v>
      </c>
      <c r="Z415" t="b">
        <v>1</v>
      </c>
      <c r="AA415" s="24" t="str">
        <f t="shared" si="6"/>
        <v>Mateo Joseph Fernández-Regatillo</v>
      </c>
    </row>
    <row r="416" spans="1:27" x14ac:dyDescent="0.25">
      <c r="A416" s="24">
        <v>1</v>
      </c>
      <c r="B416" s="24" t="s">
        <v>135</v>
      </c>
      <c r="C416" s="24" t="s">
        <v>689</v>
      </c>
      <c r="D416">
        <v>385</v>
      </c>
      <c r="E416" s="24">
        <v>5</v>
      </c>
      <c r="F416" s="25">
        <v>50</v>
      </c>
      <c r="G416" s="24">
        <v>5</v>
      </c>
      <c r="H416" s="24">
        <v>5.3</v>
      </c>
      <c r="I416" s="24">
        <v>13</v>
      </c>
      <c r="J416" s="24">
        <v>15</v>
      </c>
      <c r="K416" s="24">
        <v>270</v>
      </c>
      <c r="L416" s="24">
        <v>0</v>
      </c>
      <c r="M416" s="24">
        <v>0</v>
      </c>
      <c r="N416" s="24">
        <v>1</v>
      </c>
      <c r="O416" s="24">
        <v>2</v>
      </c>
      <c r="P416" s="24">
        <v>11</v>
      </c>
      <c r="Q416" s="24">
        <v>2</v>
      </c>
      <c r="R416" s="24">
        <v>66</v>
      </c>
      <c r="S416" s="24">
        <v>0</v>
      </c>
      <c r="T416" s="24">
        <v>3</v>
      </c>
      <c r="U416" s="24">
        <v>0</v>
      </c>
      <c r="V416" s="24">
        <v>0</v>
      </c>
      <c r="W416" s="24">
        <v>0</v>
      </c>
      <c r="X416" s="24">
        <v>4.5199999999999996</v>
      </c>
      <c r="Y416" t="s">
        <v>1208</v>
      </c>
      <c r="Z416" t="b">
        <v>1</v>
      </c>
      <c r="AA416" s="24" t="str">
        <f t="shared" si="6"/>
        <v>James Trafford</v>
      </c>
    </row>
    <row r="417" spans="1:27" x14ac:dyDescent="0.25">
      <c r="A417" s="24">
        <v>2</v>
      </c>
      <c r="B417" s="24" t="s">
        <v>752</v>
      </c>
      <c r="C417" s="24" t="s">
        <v>1130</v>
      </c>
      <c r="D417">
        <v>598</v>
      </c>
      <c r="E417" s="24">
        <v>1.7</v>
      </c>
      <c r="F417" s="25">
        <v>45</v>
      </c>
      <c r="G417" s="24">
        <v>2.5</v>
      </c>
      <c r="H417" s="24">
        <v>0</v>
      </c>
      <c r="I417" s="24">
        <v>13</v>
      </c>
      <c r="J417" s="24">
        <v>5</v>
      </c>
      <c r="K417" s="24">
        <v>146</v>
      </c>
      <c r="L417" s="24">
        <v>0</v>
      </c>
      <c r="M417" s="24">
        <v>0</v>
      </c>
      <c r="N417" s="24">
        <v>0</v>
      </c>
      <c r="O417" s="24">
        <v>2</v>
      </c>
      <c r="P417" s="24">
        <v>0</v>
      </c>
      <c r="Q417" s="24">
        <v>0</v>
      </c>
      <c r="R417" s="24">
        <v>21</v>
      </c>
      <c r="S417" s="24">
        <v>16</v>
      </c>
      <c r="T417" s="24">
        <v>1</v>
      </c>
      <c r="U417" s="24">
        <v>0</v>
      </c>
      <c r="V417" s="24">
        <v>0.56999999999999995</v>
      </c>
      <c r="W417" s="24">
        <v>0.56999999999999995</v>
      </c>
      <c r="X417" s="24">
        <v>3.51</v>
      </c>
      <c r="Y417" t="s">
        <v>1208</v>
      </c>
      <c r="Z417" t="b">
        <v>1</v>
      </c>
      <c r="AA417" s="24" t="str">
        <f t="shared" si="6"/>
        <v>Nico Elvedi</v>
      </c>
    </row>
    <row r="418" spans="1:27" x14ac:dyDescent="0.25">
      <c r="A418" s="24">
        <v>2</v>
      </c>
      <c r="B418" s="24" t="s">
        <v>659</v>
      </c>
      <c r="C418" s="24" t="s">
        <v>1227</v>
      </c>
      <c r="D418">
        <v>603</v>
      </c>
      <c r="E418" s="24">
        <v>0</v>
      </c>
      <c r="F418" s="25">
        <v>40</v>
      </c>
      <c r="G418" s="24">
        <v>0</v>
      </c>
      <c r="H418" s="24">
        <v>0.1</v>
      </c>
      <c r="I418" s="24">
        <v>13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t="s">
        <v>1208</v>
      </c>
      <c r="Z418" t="b">
        <v>1</v>
      </c>
      <c r="AA418" s="24" t="str">
        <f t="shared" si="6"/>
        <v>Jayden Lienou</v>
      </c>
    </row>
    <row r="419" spans="1:27" x14ac:dyDescent="0.25">
      <c r="A419" s="24">
        <v>3</v>
      </c>
      <c r="B419" s="24" t="s">
        <v>507</v>
      </c>
      <c r="C419" s="24" t="s">
        <v>1228</v>
      </c>
      <c r="D419">
        <v>604</v>
      </c>
      <c r="E419" s="24">
        <v>0</v>
      </c>
      <c r="F419" s="25">
        <v>45</v>
      </c>
      <c r="G419" s="24">
        <v>0</v>
      </c>
      <c r="H419" s="24">
        <v>0.1</v>
      </c>
      <c r="I419" s="24">
        <v>13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t="s">
        <v>1208</v>
      </c>
      <c r="Z419" t="b">
        <v>1</v>
      </c>
      <c r="AA419" s="24" t="str">
        <f t="shared" si="6"/>
        <v>Alfie Cresswell</v>
      </c>
    </row>
    <row r="420" spans="1:27" x14ac:dyDescent="0.25">
      <c r="A420" s="24">
        <v>1</v>
      </c>
      <c r="B420" s="24" t="s">
        <v>153</v>
      </c>
      <c r="C420" s="24" t="s">
        <v>1250</v>
      </c>
      <c r="D420">
        <v>625</v>
      </c>
      <c r="E420" s="24">
        <v>0</v>
      </c>
      <c r="F420" s="25">
        <v>40</v>
      </c>
      <c r="G420" s="24">
        <v>0</v>
      </c>
      <c r="H420" s="24">
        <v>0.2</v>
      </c>
      <c r="I420" s="24">
        <v>13</v>
      </c>
      <c r="J420" s="24">
        <v>0</v>
      </c>
      <c r="K420" s="24">
        <v>0</v>
      </c>
      <c r="L420" s="24">
        <v>0</v>
      </c>
      <c r="M420" s="24">
        <v>0</v>
      </c>
      <c r="N420" s="24">
        <v>0</v>
      </c>
      <c r="O420" s="24">
        <v>0</v>
      </c>
      <c r="P420" s="24">
        <v>0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t="s">
        <v>1208</v>
      </c>
      <c r="Z420" t="b">
        <v>1</v>
      </c>
      <c r="AA420" s="24" t="str">
        <f t="shared" si="6"/>
        <v>Alex Cairns</v>
      </c>
    </row>
    <row r="421" spans="1:27" x14ac:dyDescent="0.25">
      <c r="A421" s="24">
        <v>1</v>
      </c>
      <c r="B421" s="24" t="s">
        <v>193</v>
      </c>
      <c r="C421" s="24" t="s">
        <v>1251</v>
      </c>
      <c r="D421">
        <v>629</v>
      </c>
      <c r="E421" s="24">
        <v>0</v>
      </c>
      <c r="F421" s="25">
        <v>40</v>
      </c>
      <c r="G421" s="24">
        <v>0</v>
      </c>
      <c r="H421" s="24">
        <v>0.3</v>
      </c>
      <c r="I421" s="24">
        <v>13</v>
      </c>
      <c r="J421" s="24">
        <v>0</v>
      </c>
      <c r="K421" s="24">
        <v>0</v>
      </c>
      <c r="L421" s="24">
        <v>0</v>
      </c>
      <c r="M421" s="24">
        <v>0</v>
      </c>
      <c r="N421" s="24">
        <v>0</v>
      </c>
      <c r="O421" s="24">
        <v>0</v>
      </c>
      <c r="P421" s="24">
        <v>0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t="s">
        <v>1208</v>
      </c>
      <c r="Z421" t="b">
        <v>1</v>
      </c>
      <c r="AA421" s="24" t="str">
        <f t="shared" si="6"/>
        <v>Michael Zetterer</v>
      </c>
    </row>
    <row r="422" spans="1:27" x14ac:dyDescent="0.25">
      <c r="A422" s="24">
        <v>2</v>
      </c>
      <c r="B422" s="24" t="s">
        <v>2633</v>
      </c>
      <c r="C422" s="24" t="s">
        <v>2634</v>
      </c>
      <c r="D422">
        <v>641</v>
      </c>
      <c r="E422" s="24">
        <v>0</v>
      </c>
      <c r="F422" s="25">
        <v>45</v>
      </c>
      <c r="G422" s="24">
        <v>0</v>
      </c>
      <c r="H422" s="24">
        <v>0</v>
      </c>
      <c r="I422" s="24">
        <v>13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t="s">
        <v>1208</v>
      </c>
      <c r="Z422" t="b">
        <v>1</v>
      </c>
      <c r="AA422" s="24" t="str">
        <f t="shared" si="6"/>
        <v>Melvin Bard</v>
      </c>
    </row>
    <row r="423" spans="1:27" x14ac:dyDescent="0.25">
      <c r="A423" s="24">
        <v>3</v>
      </c>
      <c r="B423" s="24" t="s">
        <v>2635</v>
      </c>
      <c r="C423" s="24" t="s">
        <v>2636</v>
      </c>
      <c r="D423">
        <v>648</v>
      </c>
      <c r="E423" s="24">
        <v>0</v>
      </c>
      <c r="F423" s="25">
        <v>50</v>
      </c>
      <c r="G423" s="24">
        <v>0</v>
      </c>
      <c r="H423" s="24">
        <v>0</v>
      </c>
      <c r="I423" s="24">
        <v>13</v>
      </c>
      <c r="J423" s="24">
        <v>0</v>
      </c>
      <c r="K423" s="24">
        <v>0</v>
      </c>
      <c r="L423" s="24">
        <v>0</v>
      </c>
      <c r="M423" s="24">
        <v>0</v>
      </c>
      <c r="N423" s="24">
        <v>0</v>
      </c>
      <c r="O423" s="24">
        <v>0</v>
      </c>
      <c r="P423" s="24">
        <v>0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t="s">
        <v>1208</v>
      </c>
      <c r="Z423" t="b">
        <v>1</v>
      </c>
      <c r="AA423" s="24" t="str">
        <f t="shared" si="6"/>
        <v>Jean-Mattéo Bahoya</v>
      </c>
    </row>
    <row r="424" spans="1:27" x14ac:dyDescent="0.25">
      <c r="A424" s="24">
        <v>1</v>
      </c>
      <c r="B424" s="24" t="s">
        <v>690</v>
      </c>
      <c r="C424" s="24" t="s">
        <v>691</v>
      </c>
      <c r="D424">
        <v>350</v>
      </c>
      <c r="E424" s="24">
        <v>3.3</v>
      </c>
      <c r="F424" s="25">
        <v>55</v>
      </c>
      <c r="G424" s="24">
        <v>3.3</v>
      </c>
      <c r="H424" s="24">
        <v>3.8</v>
      </c>
      <c r="I424" s="24">
        <v>14</v>
      </c>
      <c r="J424" s="24">
        <v>10</v>
      </c>
      <c r="K424" s="24">
        <v>270</v>
      </c>
      <c r="L424" s="24">
        <v>0</v>
      </c>
      <c r="M424" s="24">
        <v>0</v>
      </c>
      <c r="N424" s="24">
        <v>1</v>
      </c>
      <c r="O424" s="24">
        <v>4</v>
      </c>
      <c r="P424" s="24">
        <v>9</v>
      </c>
      <c r="Q424" s="24">
        <v>1</v>
      </c>
      <c r="R424" s="24">
        <v>37</v>
      </c>
      <c r="S424" s="24">
        <v>0</v>
      </c>
      <c r="T424" s="24">
        <v>3</v>
      </c>
      <c r="U424" s="24">
        <v>0</v>
      </c>
      <c r="V424" s="24">
        <v>0</v>
      </c>
      <c r="W424" s="24">
        <v>0</v>
      </c>
      <c r="X424" s="24">
        <v>4.63</v>
      </c>
      <c r="Y424" t="s">
        <v>1208</v>
      </c>
      <c r="Z424" t="b">
        <v>1</v>
      </c>
      <c r="AA424" s="24" t="str">
        <f t="shared" si="6"/>
        <v>Alisson Becker</v>
      </c>
    </row>
    <row r="425" spans="1:27" x14ac:dyDescent="0.25">
      <c r="A425" s="24">
        <v>1</v>
      </c>
      <c r="B425" s="24" t="s">
        <v>692</v>
      </c>
      <c r="C425" s="24" t="s">
        <v>693</v>
      </c>
      <c r="D425">
        <v>351</v>
      </c>
      <c r="E425" s="24">
        <v>0</v>
      </c>
      <c r="F425" s="25">
        <v>49</v>
      </c>
      <c r="G425" s="24">
        <v>0</v>
      </c>
      <c r="H425" s="24">
        <v>0.1</v>
      </c>
      <c r="I425" s="24">
        <v>14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t="s">
        <v>1208</v>
      </c>
      <c r="Z425" t="b">
        <v>1</v>
      </c>
      <c r="AA425" s="24" t="str">
        <f t="shared" si="6"/>
        <v>Giorgi Mamardashvili</v>
      </c>
    </row>
    <row r="426" spans="1:27" x14ac:dyDescent="0.25">
      <c r="A426" s="24">
        <v>1</v>
      </c>
      <c r="B426" s="24" t="s">
        <v>694</v>
      </c>
      <c r="C426" s="24" t="s">
        <v>695</v>
      </c>
      <c r="D426">
        <v>352</v>
      </c>
      <c r="E426" s="24">
        <v>0</v>
      </c>
      <c r="F426" s="25">
        <v>40</v>
      </c>
      <c r="G426" s="24">
        <v>0</v>
      </c>
      <c r="H426" s="24">
        <v>1.1000000000000001</v>
      </c>
      <c r="I426" s="24">
        <v>14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t="s">
        <v>1208</v>
      </c>
      <c r="Z426" t="b">
        <v>1</v>
      </c>
      <c r="AA426" s="24" t="str">
        <f t="shared" si="6"/>
        <v>Freddie Woodman</v>
      </c>
    </row>
    <row r="427" spans="1:27" x14ac:dyDescent="0.25">
      <c r="A427" s="24">
        <v>1</v>
      </c>
      <c r="B427" s="24" t="s">
        <v>696</v>
      </c>
      <c r="C427" s="24" t="s">
        <v>697</v>
      </c>
      <c r="D427">
        <v>353</v>
      </c>
      <c r="E427" s="24">
        <v>0</v>
      </c>
      <c r="F427" s="25">
        <v>40</v>
      </c>
      <c r="G427" s="24">
        <v>0</v>
      </c>
      <c r="H427" s="24">
        <v>0</v>
      </c>
      <c r="I427" s="24">
        <v>14</v>
      </c>
      <c r="J427" s="24">
        <v>0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t="s">
        <v>1211</v>
      </c>
      <c r="Z427" t="b">
        <v>0</v>
      </c>
      <c r="AA427" s="24" t="str">
        <f t="shared" si="6"/>
        <v>Armin Pecsi</v>
      </c>
    </row>
    <row r="428" spans="1:27" x14ac:dyDescent="0.25">
      <c r="A428" s="24">
        <v>1</v>
      </c>
      <c r="B428" s="24" t="s">
        <v>698</v>
      </c>
      <c r="C428" s="24" t="s">
        <v>699</v>
      </c>
      <c r="D428">
        <v>354</v>
      </c>
      <c r="E428" s="24">
        <v>0</v>
      </c>
      <c r="F428" s="25">
        <v>40</v>
      </c>
      <c r="G428" s="24">
        <v>0</v>
      </c>
      <c r="H428" s="24">
        <v>0</v>
      </c>
      <c r="I428" s="24">
        <v>14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t="s">
        <v>1209</v>
      </c>
      <c r="Z428" t="b">
        <v>1</v>
      </c>
      <c r="AA428" s="24" t="str">
        <f t="shared" si="6"/>
        <v>Vitezslav Jaros</v>
      </c>
    </row>
    <row r="429" spans="1:27" x14ac:dyDescent="0.25">
      <c r="A429" s="24">
        <v>1</v>
      </c>
      <c r="B429" s="24" t="s">
        <v>543</v>
      </c>
      <c r="C429" s="24" t="s">
        <v>700</v>
      </c>
      <c r="D429">
        <v>355</v>
      </c>
      <c r="E429" s="24">
        <v>0</v>
      </c>
      <c r="F429" s="25">
        <v>40</v>
      </c>
      <c r="G429" s="24">
        <v>0</v>
      </c>
      <c r="H429" s="24">
        <v>0.2</v>
      </c>
      <c r="I429" s="24">
        <v>14</v>
      </c>
      <c r="J429" s="24">
        <v>0</v>
      </c>
      <c r="K429" s="24">
        <v>0</v>
      </c>
      <c r="L429" s="24">
        <v>0</v>
      </c>
      <c r="M429" s="24">
        <v>0</v>
      </c>
      <c r="N429" s="24">
        <v>0</v>
      </c>
      <c r="O429" s="24">
        <v>0</v>
      </c>
      <c r="P429" s="24">
        <v>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t="s">
        <v>1208</v>
      </c>
      <c r="Z429" t="b">
        <v>1</v>
      </c>
      <c r="AA429" s="24" t="str">
        <f t="shared" si="6"/>
        <v>Harvey Davies</v>
      </c>
    </row>
    <row r="430" spans="1:27" x14ac:dyDescent="0.25">
      <c r="A430" s="24">
        <v>2</v>
      </c>
      <c r="B430" s="24" t="s">
        <v>701</v>
      </c>
      <c r="C430" s="24" t="s">
        <v>702</v>
      </c>
      <c r="D430">
        <v>356</v>
      </c>
      <c r="E430" s="24">
        <v>3</v>
      </c>
      <c r="F430" s="25">
        <v>65</v>
      </c>
      <c r="G430" s="24">
        <v>3</v>
      </c>
      <c r="H430" s="24">
        <v>17.3</v>
      </c>
      <c r="I430" s="24">
        <v>14</v>
      </c>
      <c r="J430" s="24">
        <v>9</v>
      </c>
      <c r="K430" s="24">
        <v>270</v>
      </c>
      <c r="L430" s="24">
        <v>0</v>
      </c>
      <c r="M430" s="24">
        <v>0</v>
      </c>
      <c r="N430" s="24">
        <v>1</v>
      </c>
      <c r="O430" s="24">
        <v>4</v>
      </c>
      <c r="P430" s="24">
        <v>0</v>
      </c>
      <c r="Q430" s="24">
        <v>0</v>
      </c>
      <c r="R430" s="24">
        <v>45</v>
      </c>
      <c r="S430" s="24">
        <v>25</v>
      </c>
      <c r="T430" s="24">
        <v>3</v>
      </c>
      <c r="U430" s="24">
        <v>0.25</v>
      </c>
      <c r="V430" s="24">
        <v>0.06</v>
      </c>
      <c r="W430" s="24">
        <v>0.31</v>
      </c>
      <c r="X430" s="24">
        <v>4.63</v>
      </c>
      <c r="Y430" t="s">
        <v>1208</v>
      </c>
      <c r="Z430" t="b">
        <v>1</v>
      </c>
      <c r="AA430" s="24" t="str">
        <f t="shared" si="6"/>
        <v>Virgil van Dijk</v>
      </c>
    </row>
    <row r="431" spans="1:27" x14ac:dyDescent="0.25">
      <c r="A431" s="24">
        <v>2</v>
      </c>
      <c r="B431" s="24" t="s">
        <v>703</v>
      </c>
      <c r="C431" s="24" t="s">
        <v>704</v>
      </c>
      <c r="D431">
        <v>357</v>
      </c>
      <c r="E431" s="24">
        <v>0.3</v>
      </c>
      <c r="F431" s="25">
        <v>54</v>
      </c>
      <c r="G431" s="24">
        <v>0.5</v>
      </c>
      <c r="H431" s="24">
        <v>2.6</v>
      </c>
      <c r="I431" s="24">
        <v>14</v>
      </c>
      <c r="J431" s="24">
        <v>1</v>
      </c>
      <c r="K431" s="24">
        <v>160</v>
      </c>
      <c r="L431" s="24">
        <v>0</v>
      </c>
      <c r="M431" s="24">
        <v>0</v>
      </c>
      <c r="N431" s="24">
        <v>0</v>
      </c>
      <c r="O431" s="24">
        <v>4</v>
      </c>
      <c r="P431" s="24">
        <v>0</v>
      </c>
      <c r="Q431" s="24">
        <v>0</v>
      </c>
      <c r="R431" s="24">
        <v>12</v>
      </c>
      <c r="S431" s="24">
        <v>8</v>
      </c>
      <c r="T431" s="24">
        <v>2</v>
      </c>
      <c r="U431" s="24">
        <v>0.01</v>
      </c>
      <c r="V431" s="24">
        <v>0.11</v>
      </c>
      <c r="W431" s="24">
        <v>0.12</v>
      </c>
      <c r="X431" s="24">
        <v>3.81</v>
      </c>
      <c r="Y431" t="s">
        <v>1208</v>
      </c>
      <c r="Z431" t="b">
        <v>1</v>
      </c>
      <c r="AA431" s="24" t="str">
        <f t="shared" si="6"/>
        <v>Jeremie Frimpong</v>
      </c>
    </row>
    <row r="432" spans="1:27" x14ac:dyDescent="0.25">
      <c r="A432" s="24">
        <v>2</v>
      </c>
      <c r="B432" s="24" t="s">
        <v>705</v>
      </c>
      <c r="C432" s="24" t="s">
        <v>706</v>
      </c>
      <c r="D432">
        <v>358</v>
      </c>
      <c r="E432" s="24">
        <v>2</v>
      </c>
      <c r="F432" s="25">
        <v>54</v>
      </c>
      <c r="G432" s="24">
        <v>2</v>
      </c>
      <c r="H432" s="24">
        <v>2.8</v>
      </c>
      <c r="I432" s="24">
        <v>14</v>
      </c>
      <c r="J432" s="24">
        <v>6</v>
      </c>
      <c r="K432" s="24">
        <v>250</v>
      </c>
      <c r="L432" s="24">
        <v>0</v>
      </c>
      <c r="M432" s="24">
        <v>0</v>
      </c>
      <c r="N432" s="24">
        <v>1</v>
      </c>
      <c r="O432" s="24">
        <v>4</v>
      </c>
      <c r="P432" s="24">
        <v>0</v>
      </c>
      <c r="Q432" s="24">
        <v>0</v>
      </c>
      <c r="R432" s="24">
        <v>35</v>
      </c>
      <c r="S432" s="24">
        <v>20</v>
      </c>
      <c r="T432" s="24">
        <v>3</v>
      </c>
      <c r="U432" s="24">
        <v>0.02</v>
      </c>
      <c r="V432" s="24">
        <v>0.06</v>
      </c>
      <c r="W432" s="24">
        <v>0.08</v>
      </c>
      <c r="X432" s="24">
        <v>4.5599999999999996</v>
      </c>
      <c r="Y432" t="s">
        <v>1208</v>
      </c>
      <c r="Z432" t="b">
        <v>1</v>
      </c>
      <c r="AA432" s="24" t="str">
        <f t="shared" si="6"/>
        <v>Milos Kerkez</v>
      </c>
    </row>
    <row r="433" spans="1:27" x14ac:dyDescent="0.25">
      <c r="A433" s="24">
        <v>2</v>
      </c>
      <c r="B433" s="24" t="s">
        <v>585</v>
      </c>
      <c r="C433" s="24" t="s">
        <v>707</v>
      </c>
      <c r="D433">
        <v>359</v>
      </c>
      <c r="E433" s="24">
        <v>0</v>
      </c>
      <c r="F433" s="25">
        <v>50</v>
      </c>
      <c r="G433" s="24">
        <v>0</v>
      </c>
      <c r="H433" s="24">
        <v>0</v>
      </c>
      <c r="I433" s="24">
        <v>14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t="s">
        <v>1209</v>
      </c>
      <c r="Z433" t="b">
        <v>1</v>
      </c>
      <c r="AA433" s="24" t="str">
        <f t="shared" si="6"/>
        <v>Joe Gomez</v>
      </c>
    </row>
    <row r="434" spans="1:27" x14ac:dyDescent="0.25">
      <c r="A434" s="24">
        <v>2</v>
      </c>
      <c r="B434" s="24" t="s">
        <v>708</v>
      </c>
      <c r="C434" s="24" t="s">
        <v>111</v>
      </c>
      <c r="D434">
        <v>360</v>
      </c>
      <c r="E434" s="24">
        <v>0</v>
      </c>
      <c r="F434" s="25">
        <v>50</v>
      </c>
      <c r="G434" s="24">
        <v>0</v>
      </c>
      <c r="H434" s="24">
        <v>0</v>
      </c>
      <c r="I434" s="24">
        <v>14</v>
      </c>
      <c r="J434" s="24">
        <v>0</v>
      </c>
      <c r="K434" s="24">
        <v>0</v>
      </c>
      <c r="L434" s="24">
        <v>0</v>
      </c>
      <c r="M434" s="24">
        <v>0</v>
      </c>
      <c r="N434" s="24">
        <v>0</v>
      </c>
      <c r="O434" s="24">
        <v>0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t="s">
        <v>1209</v>
      </c>
      <c r="Z434" t="b">
        <v>1</v>
      </c>
      <c r="AA434" s="24" t="str">
        <f t="shared" si="6"/>
        <v>Conor Bradley</v>
      </c>
    </row>
    <row r="435" spans="1:27" x14ac:dyDescent="0.25">
      <c r="A435" s="24">
        <v>2</v>
      </c>
      <c r="B435" s="24" t="s">
        <v>709</v>
      </c>
      <c r="C435" s="24" t="s">
        <v>710</v>
      </c>
      <c r="D435">
        <v>361</v>
      </c>
      <c r="E435" s="24">
        <v>0</v>
      </c>
      <c r="F435" s="25">
        <v>40</v>
      </c>
      <c r="G435" s="24">
        <v>0</v>
      </c>
      <c r="H435" s="24">
        <v>0.1</v>
      </c>
      <c r="I435" s="24">
        <v>14</v>
      </c>
      <c r="J435" s="24">
        <v>0</v>
      </c>
      <c r="K435" s="24">
        <v>0</v>
      </c>
      <c r="L435" s="24">
        <v>0</v>
      </c>
      <c r="M435" s="24">
        <v>0</v>
      </c>
      <c r="N435" s="24">
        <v>0</v>
      </c>
      <c r="O435" s="24">
        <v>0</v>
      </c>
      <c r="P435" s="24">
        <v>0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t="s">
        <v>1208</v>
      </c>
      <c r="Z435" t="b">
        <v>1</v>
      </c>
      <c r="AA435" s="24" t="str">
        <f t="shared" si="6"/>
        <v>Wellity Lucky</v>
      </c>
    </row>
    <row r="436" spans="1:27" x14ac:dyDescent="0.25">
      <c r="A436" s="24">
        <v>2</v>
      </c>
      <c r="B436" s="24" t="s">
        <v>711</v>
      </c>
      <c r="C436" s="24" t="s">
        <v>712</v>
      </c>
      <c r="D436">
        <v>362</v>
      </c>
      <c r="E436" s="24">
        <v>3</v>
      </c>
      <c r="F436" s="25">
        <v>50</v>
      </c>
      <c r="G436" s="24">
        <v>3</v>
      </c>
      <c r="H436" s="24">
        <v>2.6</v>
      </c>
      <c r="I436" s="24">
        <v>14</v>
      </c>
      <c r="J436" s="24">
        <v>9</v>
      </c>
      <c r="K436" s="24">
        <v>235</v>
      </c>
      <c r="L436" s="24">
        <v>0</v>
      </c>
      <c r="M436" s="24">
        <v>0</v>
      </c>
      <c r="N436" s="24">
        <v>1</v>
      </c>
      <c r="O436" s="24">
        <v>4</v>
      </c>
      <c r="P436" s="24">
        <v>0</v>
      </c>
      <c r="Q436" s="24">
        <v>0</v>
      </c>
      <c r="R436" s="24">
        <v>50</v>
      </c>
      <c r="S436" s="24">
        <v>23</v>
      </c>
      <c r="T436" s="24">
        <v>3</v>
      </c>
      <c r="U436" s="24">
        <v>0</v>
      </c>
      <c r="V436" s="24">
        <v>0.1</v>
      </c>
      <c r="W436" s="24">
        <v>0.1</v>
      </c>
      <c r="X436" s="24">
        <v>4.0199999999999996</v>
      </c>
      <c r="Y436" t="s">
        <v>1208</v>
      </c>
      <c r="Z436" t="b">
        <v>1</v>
      </c>
      <c r="AA436" s="24" t="str">
        <f t="shared" si="6"/>
        <v>Jeremy Jacquet</v>
      </c>
    </row>
    <row r="437" spans="1:27" x14ac:dyDescent="0.25">
      <c r="A437" s="24">
        <v>2</v>
      </c>
      <c r="B437" s="24" t="s">
        <v>713</v>
      </c>
      <c r="C437" s="24" t="s">
        <v>714</v>
      </c>
      <c r="D437">
        <v>363</v>
      </c>
      <c r="E437" s="24">
        <v>0</v>
      </c>
      <c r="F437" s="25">
        <v>40</v>
      </c>
      <c r="G437" s="24">
        <v>0</v>
      </c>
      <c r="H437" s="24">
        <v>0</v>
      </c>
      <c r="I437" s="24">
        <v>14</v>
      </c>
      <c r="J437" s="24">
        <v>0</v>
      </c>
      <c r="K437" s="24">
        <v>0</v>
      </c>
      <c r="L437" s="24">
        <v>0</v>
      </c>
      <c r="M437" s="24">
        <v>0</v>
      </c>
      <c r="N437" s="24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t="s">
        <v>1209</v>
      </c>
      <c r="Z437" t="b">
        <v>1</v>
      </c>
      <c r="AA437" s="24" t="str">
        <f t="shared" si="6"/>
        <v>Giovanni Leoni</v>
      </c>
    </row>
    <row r="438" spans="1:27" x14ac:dyDescent="0.25">
      <c r="A438" s="24">
        <v>2</v>
      </c>
      <c r="B438" s="24" t="s">
        <v>715</v>
      </c>
      <c r="C438" s="24" t="s">
        <v>716</v>
      </c>
      <c r="D438">
        <v>364</v>
      </c>
      <c r="E438" s="24">
        <v>0.3</v>
      </c>
      <c r="F438" s="25">
        <v>49</v>
      </c>
      <c r="G438" s="24">
        <v>1</v>
      </c>
      <c r="H438" s="24">
        <v>0.1</v>
      </c>
      <c r="I438" s="24">
        <v>14</v>
      </c>
      <c r="J438" s="24">
        <v>1</v>
      </c>
      <c r="K438" s="24">
        <v>19</v>
      </c>
      <c r="L438" s="24">
        <v>0</v>
      </c>
      <c r="M438" s="24">
        <v>0</v>
      </c>
      <c r="N438" s="24">
        <v>0</v>
      </c>
      <c r="O438" s="24">
        <v>0</v>
      </c>
      <c r="P438" s="24">
        <v>0</v>
      </c>
      <c r="Q438" s="24">
        <v>0</v>
      </c>
      <c r="R438" s="24">
        <v>4</v>
      </c>
      <c r="S438" s="24">
        <v>0</v>
      </c>
      <c r="T438" s="24">
        <v>0</v>
      </c>
      <c r="U438" s="24">
        <v>0.04</v>
      </c>
      <c r="V438" s="24">
        <v>0.01</v>
      </c>
      <c r="W438" s="24">
        <v>0.05</v>
      </c>
      <c r="X438" s="24">
        <v>7.0000000000000007E-2</v>
      </c>
      <c r="Y438" t="s">
        <v>1208</v>
      </c>
      <c r="Z438" t="b">
        <v>1</v>
      </c>
      <c r="AA438" s="24" t="str">
        <f t="shared" si="6"/>
        <v>Kostas Tsimikas</v>
      </c>
    </row>
    <row r="439" spans="1:27" x14ac:dyDescent="0.25">
      <c r="A439" s="24">
        <v>2</v>
      </c>
      <c r="B439" s="24" t="s">
        <v>517</v>
      </c>
      <c r="C439" s="24" t="s">
        <v>717</v>
      </c>
      <c r="D439">
        <v>365</v>
      </c>
      <c r="E439" s="24">
        <v>0</v>
      </c>
      <c r="F439" s="25">
        <v>40</v>
      </c>
      <c r="G439" s="24">
        <v>0</v>
      </c>
      <c r="H439" s="24">
        <v>0.1</v>
      </c>
      <c r="I439" s="24">
        <v>14</v>
      </c>
      <c r="J439" s="24">
        <v>0</v>
      </c>
      <c r="K439" s="24">
        <v>0</v>
      </c>
      <c r="L439" s="24">
        <v>0</v>
      </c>
      <c r="M439" s="24">
        <v>0</v>
      </c>
      <c r="N439" s="24">
        <v>0</v>
      </c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t="s">
        <v>1211</v>
      </c>
      <c r="Z439" t="b">
        <v>0</v>
      </c>
      <c r="AA439" s="24" t="str">
        <f t="shared" si="6"/>
        <v>Calvin Ramsay</v>
      </c>
    </row>
    <row r="440" spans="1:27" x14ac:dyDescent="0.25">
      <c r="A440" s="24">
        <v>3</v>
      </c>
      <c r="B440" s="24" t="s">
        <v>718</v>
      </c>
      <c r="C440" s="24" t="s">
        <v>719</v>
      </c>
      <c r="D440">
        <v>366</v>
      </c>
      <c r="E440" s="24">
        <v>3</v>
      </c>
      <c r="F440" s="25">
        <v>74</v>
      </c>
      <c r="G440" s="24">
        <v>3</v>
      </c>
      <c r="H440" s="24">
        <v>8.8000000000000007</v>
      </c>
      <c r="I440" s="24">
        <v>14</v>
      </c>
      <c r="J440" s="24">
        <v>9</v>
      </c>
      <c r="K440" s="24">
        <v>242</v>
      </c>
      <c r="L440" s="24">
        <v>0</v>
      </c>
      <c r="M440" s="24">
        <v>1</v>
      </c>
      <c r="N440" s="24">
        <v>1</v>
      </c>
      <c r="O440" s="24">
        <v>4</v>
      </c>
      <c r="P440" s="24">
        <v>0</v>
      </c>
      <c r="Q440" s="24">
        <v>0</v>
      </c>
      <c r="R440" s="24">
        <v>53</v>
      </c>
      <c r="S440" s="24">
        <v>19</v>
      </c>
      <c r="T440" s="24">
        <v>3</v>
      </c>
      <c r="U440" s="24">
        <v>0.67</v>
      </c>
      <c r="V440" s="24">
        <v>0.28999999999999998</v>
      </c>
      <c r="W440" s="24">
        <v>0.96</v>
      </c>
      <c r="X440" s="24">
        <v>3.46</v>
      </c>
      <c r="Y440" t="s">
        <v>1208</v>
      </c>
      <c r="Z440" t="b">
        <v>1</v>
      </c>
      <c r="AA440" s="24" t="str">
        <f t="shared" si="6"/>
        <v>Florian Wirtz</v>
      </c>
    </row>
    <row r="441" spans="1:27" x14ac:dyDescent="0.25">
      <c r="A441" s="24">
        <v>3</v>
      </c>
      <c r="B441" s="24" t="s">
        <v>553</v>
      </c>
      <c r="C441" s="24" t="s">
        <v>720</v>
      </c>
      <c r="D441">
        <v>367</v>
      </c>
      <c r="E441" s="24">
        <v>9.3000000000000007</v>
      </c>
      <c r="F441" s="25">
        <v>72</v>
      </c>
      <c r="G441" s="24">
        <v>9.3000000000000007</v>
      </c>
      <c r="H441" s="24">
        <v>12.7</v>
      </c>
      <c r="I441" s="24">
        <v>14</v>
      </c>
      <c r="J441" s="24">
        <v>28</v>
      </c>
      <c r="K441" s="24">
        <v>250</v>
      </c>
      <c r="L441" s="24">
        <v>1</v>
      </c>
      <c r="M441" s="24">
        <v>3</v>
      </c>
      <c r="N441" s="24">
        <v>1</v>
      </c>
      <c r="O441" s="24">
        <v>4</v>
      </c>
      <c r="P441" s="24">
        <v>0</v>
      </c>
      <c r="Q441" s="24">
        <v>5</v>
      </c>
      <c r="R441" s="24">
        <v>97</v>
      </c>
      <c r="S441" s="24">
        <v>25</v>
      </c>
      <c r="T441" s="24">
        <v>3</v>
      </c>
      <c r="U441" s="24">
        <v>0.36</v>
      </c>
      <c r="V441" s="24">
        <v>1.2</v>
      </c>
      <c r="W441" s="24">
        <v>1.56</v>
      </c>
      <c r="X441" s="24">
        <v>4.5599999999999996</v>
      </c>
      <c r="Y441" t="s">
        <v>1208</v>
      </c>
      <c r="Z441" t="b">
        <v>1</v>
      </c>
      <c r="AA441" s="24" t="str">
        <f t="shared" si="6"/>
        <v>Cody Gakpo</v>
      </c>
    </row>
    <row r="442" spans="1:27" x14ac:dyDescent="0.25">
      <c r="A442" s="24">
        <v>3</v>
      </c>
      <c r="B442" s="24" t="s">
        <v>721</v>
      </c>
      <c r="C442" s="24" t="s">
        <v>722</v>
      </c>
      <c r="D442">
        <v>368</v>
      </c>
      <c r="E442" s="24">
        <v>5</v>
      </c>
      <c r="F442" s="25">
        <v>70</v>
      </c>
      <c r="G442" s="24">
        <v>5</v>
      </c>
      <c r="H442" s="24">
        <v>39.299999999999997</v>
      </c>
      <c r="I442" s="24">
        <v>14</v>
      </c>
      <c r="J442" s="24">
        <v>15</v>
      </c>
      <c r="K442" s="24">
        <v>270</v>
      </c>
      <c r="L442" s="24">
        <v>1</v>
      </c>
      <c r="M442" s="24">
        <v>0</v>
      </c>
      <c r="N442" s="24">
        <v>1</v>
      </c>
      <c r="O442" s="24">
        <v>4</v>
      </c>
      <c r="P442" s="24">
        <v>0</v>
      </c>
      <c r="Q442" s="24">
        <v>1</v>
      </c>
      <c r="R442" s="24">
        <v>73</v>
      </c>
      <c r="S442" s="24">
        <v>29</v>
      </c>
      <c r="T442" s="24">
        <v>3</v>
      </c>
      <c r="U442" s="24">
        <v>1.17</v>
      </c>
      <c r="V442" s="24">
        <v>0.52</v>
      </c>
      <c r="W442" s="24">
        <v>1.69</v>
      </c>
      <c r="X442" s="24">
        <v>4.63</v>
      </c>
      <c r="Y442" t="s">
        <v>1208</v>
      </c>
      <c r="Z442" t="b">
        <v>1</v>
      </c>
      <c r="AA442" s="24" t="str">
        <f t="shared" si="6"/>
        <v>Dominik Szoboszlai</v>
      </c>
    </row>
    <row r="443" spans="1:27" x14ac:dyDescent="0.25">
      <c r="A443" s="24">
        <v>3</v>
      </c>
      <c r="B443" s="24" t="s">
        <v>448</v>
      </c>
      <c r="C443" s="24" t="s">
        <v>723</v>
      </c>
      <c r="D443">
        <v>369</v>
      </c>
      <c r="E443" s="24">
        <v>1</v>
      </c>
      <c r="F443" s="25">
        <v>58</v>
      </c>
      <c r="G443" s="24">
        <v>1.5</v>
      </c>
      <c r="H443" s="24">
        <v>0.7</v>
      </c>
      <c r="I443" s="24">
        <v>14</v>
      </c>
      <c r="J443" s="24">
        <v>3</v>
      </c>
      <c r="K443" s="24">
        <v>81</v>
      </c>
      <c r="L443" s="24">
        <v>0</v>
      </c>
      <c r="M443" s="24">
        <v>0</v>
      </c>
      <c r="N443" s="24">
        <v>0</v>
      </c>
      <c r="O443" s="24">
        <v>2</v>
      </c>
      <c r="P443" s="24">
        <v>0</v>
      </c>
      <c r="Q443" s="24">
        <v>0</v>
      </c>
      <c r="R443" s="24">
        <v>14</v>
      </c>
      <c r="S443" s="24">
        <v>3</v>
      </c>
      <c r="T443" s="24">
        <v>1</v>
      </c>
      <c r="U443" s="24">
        <v>0.04</v>
      </c>
      <c r="V443" s="24">
        <v>0.05</v>
      </c>
      <c r="W443" s="24">
        <v>0.09</v>
      </c>
      <c r="X443" s="24">
        <v>0.57999999999999996</v>
      </c>
      <c r="Y443" t="s">
        <v>1208</v>
      </c>
      <c r="Z443" t="b">
        <v>1</v>
      </c>
      <c r="AA443" s="24" t="str">
        <f t="shared" si="6"/>
        <v>Rio Ngumoha</v>
      </c>
    </row>
    <row r="444" spans="1:27" x14ac:dyDescent="0.25">
      <c r="A444" s="24">
        <v>3</v>
      </c>
      <c r="B444" s="24" t="s">
        <v>724</v>
      </c>
      <c r="C444" s="24" t="s">
        <v>725</v>
      </c>
      <c r="D444">
        <v>370</v>
      </c>
      <c r="E444" s="24">
        <v>0</v>
      </c>
      <c r="F444" s="25">
        <v>54</v>
      </c>
      <c r="G444" s="24">
        <v>0</v>
      </c>
      <c r="H444" s="24">
        <v>0.1</v>
      </c>
      <c r="I444" s="24">
        <v>14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t="s">
        <v>1209</v>
      </c>
      <c r="Z444" t="b">
        <v>1</v>
      </c>
      <c r="AA444" s="24" t="str">
        <f t="shared" si="6"/>
        <v>Federico Chiesa</v>
      </c>
    </row>
    <row r="445" spans="1:27" x14ac:dyDescent="0.25">
      <c r="A445" s="24">
        <v>3</v>
      </c>
      <c r="B445" s="24" t="s">
        <v>164</v>
      </c>
      <c r="C445" s="24" t="s">
        <v>726</v>
      </c>
      <c r="D445">
        <v>371</v>
      </c>
      <c r="E445" s="24">
        <v>2.2999999999999998</v>
      </c>
      <c r="F445" s="25">
        <v>59</v>
      </c>
      <c r="G445" s="24">
        <v>2.2999999999999998</v>
      </c>
      <c r="H445" s="24">
        <v>1.5</v>
      </c>
      <c r="I445" s="24">
        <v>14</v>
      </c>
      <c r="J445" s="24">
        <v>7</v>
      </c>
      <c r="K445" s="24">
        <v>122</v>
      </c>
      <c r="L445" s="24">
        <v>0</v>
      </c>
      <c r="M445" s="24">
        <v>1</v>
      </c>
      <c r="N445" s="24">
        <v>0</v>
      </c>
      <c r="O445" s="24">
        <v>2</v>
      </c>
      <c r="P445" s="24">
        <v>0</v>
      </c>
      <c r="Q445" s="24">
        <v>0</v>
      </c>
      <c r="R445" s="24">
        <v>35</v>
      </c>
      <c r="S445" s="24">
        <v>14</v>
      </c>
      <c r="T445" s="24">
        <v>1</v>
      </c>
      <c r="U445" s="24">
        <v>0.06</v>
      </c>
      <c r="V445" s="24">
        <v>0.06</v>
      </c>
      <c r="W445" s="24">
        <v>0.12</v>
      </c>
      <c r="X445" s="24">
        <v>1.34</v>
      </c>
      <c r="Y445" t="s">
        <v>1208</v>
      </c>
      <c r="Z445" t="b">
        <v>1</v>
      </c>
      <c r="AA445" s="24" t="str">
        <f t="shared" si="6"/>
        <v>Ryan Gravenberch</v>
      </c>
    </row>
    <row r="446" spans="1:27" x14ac:dyDescent="0.25">
      <c r="A446" s="24">
        <v>3</v>
      </c>
      <c r="B446" s="24" t="s">
        <v>727</v>
      </c>
      <c r="C446" s="24" t="s">
        <v>728</v>
      </c>
      <c r="D446">
        <v>372</v>
      </c>
      <c r="E446" s="24">
        <v>1.7</v>
      </c>
      <c r="F446" s="25">
        <v>54</v>
      </c>
      <c r="G446" s="24">
        <v>1.7</v>
      </c>
      <c r="H446" s="24">
        <v>1.4</v>
      </c>
      <c r="I446" s="24">
        <v>14</v>
      </c>
      <c r="J446" s="24">
        <v>5</v>
      </c>
      <c r="K446" s="24">
        <v>186</v>
      </c>
      <c r="L446" s="24">
        <v>0</v>
      </c>
      <c r="M446" s="24">
        <v>0</v>
      </c>
      <c r="N446" s="24">
        <v>1</v>
      </c>
      <c r="O446" s="24">
        <v>2</v>
      </c>
      <c r="P446" s="24">
        <v>0</v>
      </c>
      <c r="Q446" s="24">
        <v>0</v>
      </c>
      <c r="R446" s="24">
        <v>33</v>
      </c>
      <c r="S446" s="24">
        <v>24</v>
      </c>
      <c r="T446" s="24">
        <v>2</v>
      </c>
      <c r="U446" s="24">
        <v>0.08</v>
      </c>
      <c r="V446" s="24">
        <v>0.42</v>
      </c>
      <c r="W446" s="24">
        <v>0.5</v>
      </c>
      <c r="X446" s="24">
        <v>3.9</v>
      </c>
      <c r="Y446" t="s">
        <v>1208</v>
      </c>
      <c r="Z446" t="b">
        <v>1</v>
      </c>
      <c r="AA446" s="24" t="str">
        <f t="shared" si="6"/>
        <v>Alexis Mac Allister</v>
      </c>
    </row>
    <row r="447" spans="1:27" x14ac:dyDescent="0.25">
      <c r="A447" s="24">
        <v>3</v>
      </c>
      <c r="B447" s="24" t="s">
        <v>729</v>
      </c>
      <c r="C447" s="24" t="s">
        <v>730</v>
      </c>
      <c r="D447">
        <v>373</v>
      </c>
      <c r="E447" s="24">
        <v>0</v>
      </c>
      <c r="F447" s="25">
        <v>55</v>
      </c>
      <c r="G447" s="24">
        <v>0</v>
      </c>
      <c r="H447" s="24">
        <v>0</v>
      </c>
      <c r="I447" s="24">
        <v>14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t="s">
        <v>1211</v>
      </c>
      <c r="Z447" t="b">
        <v>0</v>
      </c>
      <c r="AA447" s="24" t="str">
        <f t="shared" si="6"/>
        <v>Curtis Jones</v>
      </c>
    </row>
    <row r="448" spans="1:27" x14ac:dyDescent="0.25">
      <c r="A448" s="24">
        <v>3</v>
      </c>
      <c r="B448" s="24" t="s">
        <v>731</v>
      </c>
      <c r="C448" s="24" t="s">
        <v>732</v>
      </c>
      <c r="D448">
        <v>374</v>
      </c>
      <c r="E448" s="24">
        <v>0</v>
      </c>
      <c r="F448" s="25">
        <v>50</v>
      </c>
      <c r="G448" s="24">
        <v>0</v>
      </c>
      <c r="H448" s="24">
        <v>0.1</v>
      </c>
      <c r="I448" s="24">
        <v>14</v>
      </c>
      <c r="J448" s="24">
        <v>0</v>
      </c>
      <c r="K448" s="24">
        <v>0</v>
      </c>
      <c r="L448" s="24">
        <v>0</v>
      </c>
      <c r="M448" s="24">
        <v>0</v>
      </c>
      <c r="N448" s="24">
        <v>0</v>
      </c>
      <c r="O448" s="24">
        <v>0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t="s">
        <v>1208</v>
      </c>
      <c r="Z448" t="b">
        <v>1</v>
      </c>
      <c r="AA448" s="24" t="str">
        <f t="shared" si="6"/>
        <v>Endo Wataru</v>
      </c>
    </row>
    <row r="449" spans="1:27" x14ac:dyDescent="0.25">
      <c r="A449" s="24">
        <v>3</v>
      </c>
      <c r="B449" s="24" t="s">
        <v>733</v>
      </c>
      <c r="C449" s="24" t="s">
        <v>734</v>
      </c>
      <c r="D449">
        <v>375</v>
      </c>
      <c r="E449" s="24">
        <v>0.7</v>
      </c>
      <c r="F449" s="25">
        <v>49</v>
      </c>
      <c r="G449" s="24">
        <v>1</v>
      </c>
      <c r="H449" s="24">
        <v>0</v>
      </c>
      <c r="I449" s="24">
        <v>14</v>
      </c>
      <c r="J449" s="24">
        <v>2</v>
      </c>
      <c r="K449" s="24">
        <v>19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  <c r="Q449" s="24">
        <v>0</v>
      </c>
      <c r="R449" s="24">
        <v>6</v>
      </c>
      <c r="S449" s="24">
        <v>5</v>
      </c>
      <c r="T449" s="24">
        <v>0</v>
      </c>
      <c r="U449" s="24">
        <v>0</v>
      </c>
      <c r="V449" s="24">
        <v>0</v>
      </c>
      <c r="W449" s="24">
        <v>0</v>
      </c>
      <c r="X449" s="24">
        <v>0.22</v>
      </c>
      <c r="Y449" t="s">
        <v>1208</v>
      </c>
      <c r="Z449" t="b">
        <v>1</v>
      </c>
      <c r="AA449" s="24" t="str">
        <f t="shared" si="6"/>
        <v>Trey Nyoni</v>
      </c>
    </row>
    <row r="450" spans="1:27" x14ac:dyDescent="0.25">
      <c r="A450" s="24">
        <v>3</v>
      </c>
      <c r="B450" s="24" t="s">
        <v>735</v>
      </c>
      <c r="C450" s="24" t="s">
        <v>736</v>
      </c>
      <c r="D450">
        <v>376</v>
      </c>
      <c r="E450" s="24">
        <v>0</v>
      </c>
      <c r="F450" s="25">
        <v>50</v>
      </c>
      <c r="G450" s="24">
        <v>0</v>
      </c>
      <c r="H450" s="24">
        <v>0</v>
      </c>
      <c r="I450" s="24">
        <v>14</v>
      </c>
      <c r="J450" s="24">
        <v>0</v>
      </c>
      <c r="K450" s="24">
        <v>0</v>
      </c>
      <c r="L450" s="24">
        <v>0</v>
      </c>
      <c r="M450" s="24">
        <v>0</v>
      </c>
      <c r="N450" s="24">
        <v>0</v>
      </c>
      <c r="O450" s="24">
        <v>0</v>
      </c>
      <c r="P450" s="24">
        <v>0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t="s">
        <v>1211</v>
      </c>
      <c r="Z450" t="b">
        <v>0</v>
      </c>
      <c r="AA450" s="24" t="str">
        <f t="shared" ref="AA450:AA513" si="7">B450&amp;" "&amp;C450</f>
        <v>Stefan Bajčetić Maquieira</v>
      </c>
    </row>
    <row r="451" spans="1:27" x14ac:dyDescent="0.25">
      <c r="A451" s="24">
        <v>3</v>
      </c>
      <c r="B451" s="24" t="s">
        <v>92</v>
      </c>
      <c r="C451" s="24" t="s">
        <v>737</v>
      </c>
      <c r="D451">
        <v>377</v>
      </c>
      <c r="E451" s="24">
        <v>4.3</v>
      </c>
      <c r="F451" s="25">
        <v>65</v>
      </c>
      <c r="G451" s="24">
        <v>4.3</v>
      </c>
      <c r="H451" s="24">
        <v>1.3</v>
      </c>
      <c r="I451" s="24">
        <v>14</v>
      </c>
      <c r="J451" s="24">
        <v>13</v>
      </c>
      <c r="K451" s="24">
        <v>180</v>
      </c>
      <c r="L451" s="24">
        <v>1</v>
      </c>
      <c r="M451" s="24">
        <v>1</v>
      </c>
      <c r="N451" s="24">
        <v>1</v>
      </c>
      <c r="O451" s="24">
        <v>2</v>
      </c>
      <c r="P451" s="24">
        <v>0</v>
      </c>
      <c r="Q451" s="24">
        <v>0</v>
      </c>
      <c r="R451" s="24">
        <v>48</v>
      </c>
      <c r="S451" s="24">
        <v>11</v>
      </c>
      <c r="T451" s="24">
        <v>2</v>
      </c>
      <c r="U451" s="24">
        <v>0.42</v>
      </c>
      <c r="V451" s="24">
        <v>0.25</v>
      </c>
      <c r="W451" s="24">
        <v>0.67</v>
      </c>
      <c r="X451" s="24">
        <v>3.95</v>
      </c>
      <c r="Y451" t="s">
        <v>1208</v>
      </c>
      <c r="Z451" t="b">
        <v>1</v>
      </c>
      <c r="AA451" s="24" t="str">
        <f t="shared" si="7"/>
        <v>Victor Munoz</v>
      </c>
    </row>
    <row r="452" spans="1:27" x14ac:dyDescent="0.25">
      <c r="A452" s="24">
        <v>3</v>
      </c>
      <c r="B452" s="24" t="s">
        <v>135</v>
      </c>
      <c r="C452" s="24" t="s">
        <v>738</v>
      </c>
      <c r="D452">
        <v>378</v>
      </c>
      <c r="E452" s="24">
        <v>0</v>
      </c>
      <c r="F452" s="25">
        <v>45</v>
      </c>
      <c r="G452" s="24">
        <v>0</v>
      </c>
      <c r="H452" s="24">
        <v>0.2</v>
      </c>
      <c r="I452" s="24">
        <v>14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t="s">
        <v>1208</v>
      </c>
      <c r="Z452" t="b">
        <v>1</v>
      </c>
      <c r="AA452" s="24" t="str">
        <f t="shared" si="7"/>
        <v>James McConnell</v>
      </c>
    </row>
    <row r="453" spans="1:27" x14ac:dyDescent="0.25">
      <c r="A453" s="24">
        <v>4</v>
      </c>
      <c r="B453" s="24" t="s">
        <v>739</v>
      </c>
      <c r="C453" s="24" t="s">
        <v>740</v>
      </c>
      <c r="D453">
        <v>379</v>
      </c>
      <c r="E453" s="24">
        <v>7.7</v>
      </c>
      <c r="F453" s="25">
        <v>90</v>
      </c>
      <c r="G453" s="24">
        <v>7.7</v>
      </c>
      <c r="H453" s="24">
        <v>19</v>
      </c>
      <c r="I453" s="24">
        <v>14</v>
      </c>
      <c r="J453" s="24">
        <v>23</v>
      </c>
      <c r="K453" s="24">
        <v>243</v>
      </c>
      <c r="L453" s="24">
        <v>3</v>
      </c>
      <c r="M453" s="24">
        <v>0</v>
      </c>
      <c r="N453" s="24">
        <v>1</v>
      </c>
      <c r="O453" s="24">
        <v>4</v>
      </c>
      <c r="P453" s="24">
        <v>0</v>
      </c>
      <c r="Q453" s="24">
        <v>5</v>
      </c>
      <c r="R453" s="24">
        <v>97</v>
      </c>
      <c r="S453" s="24">
        <v>5</v>
      </c>
      <c r="T453" s="24">
        <v>3</v>
      </c>
      <c r="U453" s="24">
        <v>2.29</v>
      </c>
      <c r="V453" s="24">
        <v>0.06</v>
      </c>
      <c r="W453" s="24">
        <v>2.35</v>
      </c>
      <c r="X453" s="24">
        <v>4.46</v>
      </c>
      <c r="Y453" t="s">
        <v>1208</v>
      </c>
      <c r="Z453" t="b">
        <v>1</v>
      </c>
      <c r="AA453" s="24" t="str">
        <f t="shared" si="7"/>
        <v>Alexander Isak</v>
      </c>
    </row>
    <row r="454" spans="1:27" x14ac:dyDescent="0.25">
      <c r="A454" s="24">
        <v>4</v>
      </c>
      <c r="B454" s="24" t="s">
        <v>741</v>
      </c>
      <c r="C454" s="24" t="s">
        <v>742</v>
      </c>
      <c r="D454">
        <v>380</v>
      </c>
      <c r="E454" s="24">
        <v>0</v>
      </c>
      <c r="F454" s="25">
        <v>74</v>
      </c>
      <c r="G454" s="24">
        <v>0</v>
      </c>
      <c r="H454" s="24">
        <v>0.1</v>
      </c>
      <c r="I454" s="24">
        <v>14</v>
      </c>
      <c r="J454" s="24">
        <v>0</v>
      </c>
      <c r="K454" s="24">
        <v>0</v>
      </c>
      <c r="L454" s="24">
        <v>0</v>
      </c>
      <c r="M454" s="24">
        <v>0</v>
      </c>
      <c r="N454" s="24">
        <v>0</v>
      </c>
      <c r="O454" s="24">
        <v>0</v>
      </c>
      <c r="P454" s="24">
        <v>0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t="s">
        <v>1209</v>
      </c>
      <c r="Z454" t="b">
        <v>1</v>
      </c>
      <c r="AA454" s="24" t="str">
        <f t="shared" si="7"/>
        <v>Hugo Ekitiké</v>
      </c>
    </row>
    <row r="455" spans="1:27" x14ac:dyDescent="0.25">
      <c r="A455" s="24">
        <v>3</v>
      </c>
      <c r="B455" s="24" t="s">
        <v>157</v>
      </c>
      <c r="C455" s="24" t="s">
        <v>743</v>
      </c>
      <c r="D455">
        <v>381</v>
      </c>
      <c r="E455" s="24">
        <v>0.7</v>
      </c>
      <c r="F455" s="25">
        <v>50</v>
      </c>
      <c r="G455" s="24">
        <v>1</v>
      </c>
      <c r="H455" s="24">
        <v>0</v>
      </c>
      <c r="I455" s="24">
        <v>14</v>
      </c>
      <c r="J455" s="24">
        <v>2</v>
      </c>
      <c r="K455" s="24">
        <v>13</v>
      </c>
      <c r="L455" s="24">
        <v>0</v>
      </c>
      <c r="M455" s="24">
        <v>0</v>
      </c>
      <c r="N455" s="24">
        <v>0</v>
      </c>
      <c r="O455" s="24">
        <v>0</v>
      </c>
      <c r="P455" s="24">
        <v>0</v>
      </c>
      <c r="Q455" s="24">
        <v>0</v>
      </c>
      <c r="R455" s="24">
        <v>7</v>
      </c>
      <c r="S455" s="24">
        <v>1</v>
      </c>
      <c r="T455" s="24">
        <v>0</v>
      </c>
      <c r="U455" s="24">
        <v>0.03</v>
      </c>
      <c r="V455" s="24">
        <v>0</v>
      </c>
      <c r="W455" s="24">
        <v>0.03</v>
      </c>
      <c r="X455" s="24">
        <v>0.57999999999999996</v>
      </c>
      <c r="Y455" t="s">
        <v>1208</v>
      </c>
      <c r="Z455" t="b">
        <v>1</v>
      </c>
      <c r="AA455" s="24" t="str">
        <f t="shared" si="7"/>
        <v>Lewis Koumas</v>
      </c>
    </row>
    <row r="456" spans="1:27" x14ac:dyDescent="0.25">
      <c r="A456" s="24">
        <v>4</v>
      </c>
      <c r="B456" s="24" t="s">
        <v>659</v>
      </c>
      <c r="C456" s="24" t="s">
        <v>744</v>
      </c>
      <c r="D456">
        <v>382</v>
      </c>
      <c r="E456" s="24">
        <v>0</v>
      </c>
      <c r="F456" s="25">
        <v>45</v>
      </c>
      <c r="G456" s="24">
        <v>0</v>
      </c>
      <c r="H456" s="24">
        <v>0.1</v>
      </c>
      <c r="I456" s="24">
        <v>14</v>
      </c>
      <c r="J456" s="24">
        <v>0</v>
      </c>
      <c r="K456" s="24">
        <v>0</v>
      </c>
      <c r="L456" s="24">
        <v>0</v>
      </c>
      <c r="M456" s="24">
        <v>0</v>
      </c>
      <c r="N456" s="24">
        <v>0</v>
      </c>
      <c r="O456" s="24">
        <v>0</v>
      </c>
      <c r="P456" s="24">
        <v>0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t="s">
        <v>1208</v>
      </c>
      <c r="Z456" t="b">
        <v>1</v>
      </c>
      <c r="AA456" s="24" t="str">
        <f t="shared" si="7"/>
        <v>Jayden Danns</v>
      </c>
    </row>
    <row r="457" spans="1:27" x14ac:dyDescent="0.25">
      <c r="A457" s="24">
        <v>3</v>
      </c>
      <c r="B457" s="24" t="s">
        <v>543</v>
      </c>
      <c r="C457" s="24" t="s">
        <v>745</v>
      </c>
      <c r="D457">
        <v>383</v>
      </c>
      <c r="E457" s="24">
        <v>0</v>
      </c>
      <c r="F457" s="25">
        <v>54</v>
      </c>
      <c r="G457" s="24">
        <v>0</v>
      </c>
      <c r="H457" s="24">
        <v>0</v>
      </c>
      <c r="I457" s="24">
        <v>14</v>
      </c>
      <c r="J457" s="24">
        <v>0</v>
      </c>
      <c r="K457" s="24">
        <v>0</v>
      </c>
      <c r="L457" s="24">
        <v>0</v>
      </c>
      <c r="M457" s="24">
        <v>0</v>
      </c>
      <c r="N457" s="24">
        <v>0</v>
      </c>
      <c r="O457" s="24">
        <v>0</v>
      </c>
      <c r="P457" s="24">
        <v>0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t="s">
        <v>1211</v>
      </c>
      <c r="Z457" t="b">
        <v>0</v>
      </c>
      <c r="AA457" s="24" t="str">
        <f t="shared" si="7"/>
        <v>Harvey Elliott</v>
      </c>
    </row>
    <row r="458" spans="1:27" x14ac:dyDescent="0.25">
      <c r="A458" s="24">
        <v>2</v>
      </c>
      <c r="B458" s="24" t="s">
        <v>746</v>
      </c>
      <c r="C458" s="24" t="s">
        <v>747</v>
      </c>
      <c r="D458">
        <v>579</v>
      </c>
      <c r="E458" s="24">
        <v>3</v>
      </c>
      <c r="F458" s="25">
        <v>54</v>
      </c>
      <c r="G458" s="24">
        <v>3</v>
      </c>
      <c r="H458" s="24">
        <v>2.2000000000000002</v>
      </c>
      <c r="I458" s="24">
        <v>14</v>
      </c>
      <c r="J458" s="24">
        <v>9</v>
      </c>
      <c r="K458" s="24">
        <v>123</v>
      </c>
      <c r="L458" s="24">
        <v>0</v>
      </c>
      <c r="M458" s="24">
        <v>0</v>
      </c>
      <c r="N458" s="24">
        <v>1</v>
      </c>
      <c r="O458" s="24">
        <v>0</v>
      </c>
      <c r="P458" s="24">
        <v>0</v>
      </c>
      <c r="Q458" s="24">
        <v>0</v>
      </c>
      <c r="R458" s="24">
        <v>29</v>
      </c>
      <c r="S458" s="24">
        <v>15</v>
      </c>
      <c r="T458" s="24">
        <v>1</v>
      </c>
      <c r="U458" s="24">
        <v>0</v>
      </c>
      <c r="V458" s="24">
        <v>0.05</v>
      </c>
      <c r="W458" s="24">
        <v>0.05</v>
      </c>
      <c r="X458" s="24">
        <v>1.36</v>
      </c>
      <c r="Y458" t="s">
        <v>1208</v>
      </c>
      <c r="Z458" t="b">
        <v>1</v>
      </c>
      <c r="AA458" s="24" t="str">
        <f t="shared" si="7"/>
        <v>Ronald Araujo</v>
      </c>
    </row>
    <row r="459" spans="1:27" x14ac:dyDescent="0.25">
      <c r="A459" s="24">
        <v>3</v>
      </c>
      <c r="B459" s="24" t="s">
        <v>111</v>
      </c>
      <c r="C459" s="24" t="s">
        <v>1252</v>
      </c>
      <c r="D459">
        <v>627</v>
      </c>
      <c r="E459" s="24">
        <v>1</v>
      </c>
      <c r="F459" s="25">
        <v>80</v>
      </c>
      <c r="G459" s="24">
        <v>1</v>
      </c>
      <c r="H459" s="24">
        <v>1.6</v>
      </c>
      <c r="I459" s="24">
        <v>14</v>
      </c>
      <c r="J459" s="24">
        <v>1</v>
      </c>
      <c r="K459" s="24">
        <v>26</v>
      </c>
      <c r="L459" s="24">
        <v>0</v>
      </c>
      <c r="M459" s="24">
        <v>0</v>
      </c>
      <c r="N459" s="24">
        <v>0</v>
      </c>
      <c r="O459" s="24">
        <v>0</v>
      </c>
      <c r="P459" s="24">
        <v>0</v>
      </c>
      <c r="Q459" s="24">
        <v>0</v>
      </c>
      <c r="R459" s="24">
        <v>5</v>
      </c>
      <c r="S459" s="24">
        <v>0</v>
      </c>
      <c r="T459" s="24">
        <v>0</v>
      </c>
      <c r="U459" s="24">
        <v>0</v>
      </c>
      <c r="V459" s="24">
        <v>7.0000000000000007E-2</v>
      </c>
      <c r="W459" s="24">
        <v>7.0000000000000007E-2</v>
      </c>
      <c r="X459" s="24">
        <v>0.17</v>
      </c>
      <c r="Y459" t="s">
        <v>1208</v>
      </c>
      <c r="Z459" t="b">
        <v>1</v>
      </c>
      <c r="AA459" s="24" t="str">
        <f t="shared" si="7"/>
        <v>Bradley Barcola</v>
      </c>
    </row>
    <row r="460" spans="1:27" x14ac:dyDescent="0.25">
      <c r="A460" s="24">
        <v>3</v>
      </c>
      <c r="B460" s="24" t="s">
        <v>319</v>
      </c>
      <c r="C460" s="24" t="s">
        <v>320</v>
      </c>
      <c r="D460">
        <v>155</v>
      </c>
      <c r="E460" s="24">
        <v>1.3</v>
      </c>
      <c r="F460" s="25">
        <v>69</v>
      </c>
      <c r="G460" s="24">
        <v>2</v>
      </c>
      <c r="H460" s="24">
        <v>3.3</v>
      </c>
      <c r="I460" s="24">
        <v>15</v>
      </c>
      <c r="J460" s="24">
        <v>4</v>
      </c>
      <c r="K460" s="24">
        <v>100</v>
      </c>
      <c r="L460" s="24">
        <v>0</v>
      </c>
      <c r="M460" s="24">
        <v>0</v>
      </c>
      <c r="N460" s="24">
        <v>1</v>
      </c>
      <c r="O460" s="24">
        <v>0</v>
      </c>
      <c r="P460" s="24">
        <v>0</v>
      </c>
      <c r="Q460" s="24">
        <v>0</v>
      </c>
      <c r="R460" s="24">
        <v>23</v>
      </c>
      <c r="S460" s="24">
        <v>6</v>
      </c>
      <c r="T460" s="24">
        <v>1</v>
      </c>
      <c r="U460" s="24">
        <v>0.13</v>
      </c>
      <c r="V460" s="24">
        <v>0.14000000000000001</v>
      </c>
      <c r="W460" s="24">
        <v>0.27</v>
      </c>
      <c r="X460" s="24">
        <v>1.28</v>
      </c>
      <c r="Y460" t="s">
        <v>1208</v>
      </c>
      <c r="Z460" t="b">
        <v>1</v>
      </c>
      <c r="AA460" s="24" t="str">
        <f t="shared" si="7"/>
        <v>Enzo Fernández</v>
      </c>
    </row>
    <row r="461" spans="1:27" x14ac:dyDescent="0.25">
      <c r="A461" s="24">
        <v>3</v>
      </c>
      <c r="B461" s="24" t="s">
        <v>486</v>
      </c>
      <c r="C461" s="24" t="s">
        <v>487</v>
      </c>
      <c r="D461">
        <v>237</v>
      </c>
      <c r="E461" s="24">
        <v>5.3</v>
      </c>
      <c r="F461" s="25">
        <v>59</v>
      </c>
      <c r="G461" s="24">
        <v>5.3</v>
      </c>
      <c r="H461" s="24">
        <v>10.6</v>
      </c>
      <c r="I461" s="24">
        <v>15</v>
      </c>
      <c r="J461" s="24">
        <v>16</v>
      </c>
      <c r="K461" s="24">
        <v>266</v>
      </c>
      <c r="L461" s="24">
        <v>0</v>
      </c>
      <c r="M461" s="24">
        <v>1</v>
      </c>
      <c r="N461" s="24">
        <v>2</v>
      </c>
      <c r="O461" s="24">
        <v>1</v>
      </c>
      <c r="P461" s="24">
        <v>0</v>
      </c>
      <c r="Q461" s="24">
        <v>1</v>
      </c>
      <c r="R461" s="24">
        <v>64</v>
      </c>
      <c r="S461" s="24">
        <v>30</v>
      </c>
      <c r="T461" s="24">
        <v>3</v>
      </c>
      <c r="U461" s="24">
        <v>0.28000000000000003</v>
      </c>
      <c r="V461" s="24">
        <v>0.43</v>
      </c>
      <c r="W461" s="24">
        <v>0.71</v>
      </c>
      <c r="X461" s="24">
        <v>5.47</v>
      </c>
      <c r="Y461" t="s">
        <v>1208</v>
      </c>
      <c r="Z461" t="b">
        <v>1</v>
      </c>
      <c r="AA461" s="24" t="str">
        <f t="shared" si="7"/>
        <v>Iliman Ndiaye</v>
      </c>
    </row>
    <row r="462" spans="1:27" x14ac:dyDescent="0.25">
      <c r="A462" s="24">
        <v>1</v>
      </c>
      <c r="B462" s="24" t="s">
        <v>749</v>
      </c>
      <c r="C462" s="24" t="s">
        <v>750</v>
      </c>
      <c r="D462">
        <v>384</v>
      </c>
      <c r="E462" s="24">
        <v>3.3</v>
      </c>
      <c r="F462" s="25">
        <v>55</v>
      </c>
      <c r="G462" s="24">
        <v>3.3</v>
      </c>
      <c r="H462" s="24">
        <v>7.8</v>
      </c>
      <c r="I462" s="24">
        <v>15</v>
      </c>
      <c r="J462" s="24">
        <v>10</v>
      </c>
      <c r="K462" s="24">
        <v>270</v>
      </c>
      <c r="L462" s="24">
        <v>0</v>
      </c>
      <c r="M462" s="24">
        <v>0</v>
      </c>
      <c r="N462" s="24">
        <v>1</v>
      </c>
      <c r="O462" s="24">
        <v>2</v>
      </c>
      <c r="P462" s="24">
        <v>7</v>
      </c>
      <c r="Q462" s="24">
        <v>0</v>
      </c>
      <c r="R462" s="24">
        <v>46</v>
      </c>
      <c r="S462" s="24">
        <v>0</v>
      </c>
      <c r="T462" s="24">
        <v>3</v>
      </c>
      <c r="U462" s="24">
        <v>0</v>
      </c>
      <c r="V462" s="24">
        <v>0</v>
      </c>
      <c r="W462" s="24">
        <v>0</v>
      </c>
      <c r="X462" s="24">
        <v>2.68</v>
      </c>
      <c r="Y462" t="s">
        <v>1208</v>
      </c>
      <c r="Z462" t="b">
        <v>1</v>
      </c>
      <c r="AA462" s="24" t="str">
        <f t="shared" si="7"/>
        <v>Gianluigi Donnarumma</v>
      </c>
    </row>
    <row r="463" spans="1:27" x14ac:dyDescent="0.25">
      <c r="A463" s="24">
        <v>1</v>
      </c>
      <c r="B463" s="24" t="s">
        <v>151</v>
      </c>
      <c r="C463" s="24" t="s">
        <v>751</v>
      </c>
      <c r="D463">
        <v>386</v>
      </c>
      <c r="E463" s="24">
        <v>0</v>
      </c>
      <c r="F463" s="25">
        <v>45</v>
      </c>
      <c r="G463" s="24">
        <v>0</v>
      </c>
      <c r="H463" s="24">
        <v>0</v>
      </c>
      <c r="I463" s="24">
        <v>15</v>
      </c>
      <c r="J463" s="24">
        <v>0</v>
      </c>
      <c r="K463" s="24">
        <v>0</v>
      </c>
      <c r="L463" s="24">
        <v>0</v>
      </c>
      <c r="M463" s="24">
        <v>0</v>
      </c>
      <c r="N463" s="24">
        <v>0</v>
      </c>
      <c r="O463" s="24">
        <v>0</v>
      </c>
      <c r="P463" s="24">
        <v>0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t="s">
        <v>1208</v>
      </c>
      <c r="Z463" t="b">
        <v>1</v>
      </c>
      <c r="AA463" s="24" t="str">
        <f t="shared" si="7"/>
        <v>Marcus Bettinelli</v>
      </c>
    </row>
    <row r="464" spans="1:27" x14ac:dyDescent="0.25">
      <c r="A464" s="24">
        <v>2</v>
      </c>
      <c r="B464" s="24" t="s">
        <v>752</v>
      </c>
      <c r="C464" s="24" t="s">
        <v>753</v>
      </c>
      <c r="D464">
        <v>387</v>
      </c>
      <c r="E464" s="24">
        <v>1.3</v>
      </c>
      <c r="F464" s="25">
        <v>65</v>
      </c>
      <c r="G464" s="24">
        <v>2</v>
      </c>
      <c r="H464" s="24">
        <v>16.2</v>
      </c>
      <c r="I464" s="24">
        <v>15</v>
      </c>
      <c r="J464" s="24">
        <v>4</v>
      </c>
      <c r="K464" s="24">
        <v>150</v>
      </c>
      <c r="L464" s="24">
        <v>0</v>
      </c>
      <c r="M464" s="24">
        <v>0</v>
      </c>
      <c r="N464" s="24">
        <v>0</v>
      </c>
      <c r="O464" s="24">
        <v>2</v>
      </c>
      <c r="P464" s="24">
        <v>0</v>
      </c>
      <c r="Q464" s="24">
        <v>0</v>
      </c>
      <c r="R464" s="24">
        <v>16</v>
      </c>
      <c r="S464" s="24">
        <v>3</v>
      </c>
      <c r="T464" s="24">
        <v>2</v>
      </c>
      <c r="U464" s="24">
        <v>0.09</v>
      </c>
      <c r="V464" s="24">
        <v>0.43</v>
      </c>
      <c r="W464" s="24">
        <v>0.52</v>
      </c>
      <c r="X464" s="24">
        <v>1.21</v>
      </c>
      <c r="Y464" t="s">
        <v>1210</v>
      </c>
      <c r="Z464" t="b">
        <v>1</v>
      </c>
      <c r="AA464" s="24" t="str">
        <f t="shared" si="7"/>
        <v>Nico O'Reilly</v>
      </c>
    </row>
    <row r="465" spans="1:27" x14ac:dyDescent="0.25">
      <c r="A465" s="24">
        <v>2</v>
      </c>
      <c r="B465" s="24" t="s">
        <v>340</v>
      </c>
      <c r="C465" s="24" t="s">
        <v>754</v>
      </c>
      <c r="D465">
        <v>388</v>
      </c>
      <c r="E465" s="24">
        <v>6.7</v>
      </c>
      <c r="F465" s="25">
        <v>60</v>
      </c>
      <c r="G465" s="24">
        <v>6.7</v>
      </c>
      <c r="H465" s="24">
        <v>18.7</v>
      </c>
      <c r="I465" s="24">
        <v>15</v>
      </c>
      <c r="J465" s="24">
        <v>20</v>
      </c>
      <c r="K465" s="24">
        <v>270</v>
      </c>
      <c r="L465" s="24">
        <v>1</v>
      </c>
      <c r="M465" s="24">
        <v>0</v>
      </c>
      <c r="N465" s="24">
        <v>1</v>
      </c>
      <c r="O465" s="24">
        <v>2</v>
      </c>
      <c r="P465" s="24">
        <v>0</v>
      </c>
      <c r="Q465" s="24">
        <v>4</v>
      </c>
      <c r="R465" s="24">
        <v>74</v>
      </c>
      <c r="S465" s="24">
        <v>18</v>
      </c>
      <c r="T465" s="24">
        <v>3</v>
      </c>
      <c r="U465" s="24">
        <v>0.89</v>
      </c>
      <c r="V465" s="24">
        <v>0.38</v>
      </c>
      <c r="W465" s="24">
        <v>1.27</v>
      </c>
      <c r="X465" s="24">
        <v>2.68</v>
      </c>
      <c r="Y465" t="s">
        <v>1208</v>
      </c>
      <c r="Z465" t="b">
        <v>1</v>
      </c>
      <c r="AA465" s="24" t="str">
        <f t="shared" si="7"/>
        <v>Marc Guéhi</v>
      </c>
    </row>
    <row r="466" spans="1:27" x14ac:dyDescent="0.25">
      <c r="A466" s="24">
        <v>2</v>
      </c>
      <c r="B466" s="24" t="s">
        <v>442</v>
      </c>
      <c r="C466" s="24" t="s">
        <v>755</v>
      </c>
      <c r="D466">
        <v>389</v>
      </c>
      <c r="E466" s="24">
        <v>0.3</v>
      </c>
      <c r="F466" s="25">
        <v>59</v>
      </c>
      <c r="G466" s="24">
        <v>1</v>
      </c>
      <c r="H466" s="24">
        <v>1</v>
      </c>
      <c r="I466" s="24">
        <v>15</v>
      </c>
      <c r="J466" s="24">
        <v>1</v>
      </c>
      <c r="K466" s="24">
        <v>33</v>
      </c>
      <c r="L466" s="24">
        <v>0</v>
      </c>
      <c r="M466" s="24">
        <v>0</v>
      </c>
      <c r="N466" s="24">
        <v>0</v>
      </c>
      <c r="O466" s="24">
        <v>0</v>
      </c>
      <c r="P466" s="24">
        <v>0</v>
      </c>
      <c r="Q466" s="24">
        <v>0</v>
      </c>
      <c r="R466" s="24">
        <v>4</v>
      </c>
      <c r="S466" s="24">
        <v>1</v>
      </c>
      <c r="T466" s="24">
        <v>0</v>
      </c>
      <c r="U466" s="24">
        <v>0</v>
      </c>
      <c r="V466" s="24">
        <v>0.04</v>
      </c>
      <c r="W466" s="24">
        <v>0.04</v>
      </c>
      <c r="X466" s="24">
        <v>0.1</v>
      </c>
      <c r="Y466" t="s">
        <v>1208</v>
      </c>
      <c r="Z466" t="b">
        <v>1</v>
      </c>
      <c r="AA466" s="24" t="str">
        <f t="shared" si="7"/>
        <v>Matheus Nunes</v>
      </c>
    </row>
    <row r="467" spans="1:27" x14ac:dyDescent="0.25">
      <c r="A467" s="24">
        <v>2</v>
      </c>
      <c r="B467" s="24" t="s">
        <v>756</v>
      </c>
      <c r="C467" s="24" t="s">
        <v>757</v>
      </c>
      <c r="D467">
        <v>390</v>
      </c>
      <c r="E467" s="24">
        <v>3.3</v>
      </c>
      <c r="F467" s="25">
        <v>55</v>
      </c>
      <c r="G467" s="24">
        <v>3.3</v>
      </c>
      <c r="H467" s="24">
        <v>1.8</v>
      </c>
      <c r="I467" s="24">
        <v>15</v>
      </c>
      <c r="J467" s="24">
        <v>10</v>
      </c>
      <c r="K467" s="24">
        <v>270</v>
      </c>
      <c r="L467" s="24">
        <v>0</v>
      </c>
      <c r="M467" s="24">
        <v>0</v>
      </c>
      <c r="N467" s="24">
        <v>1</v>
      </c>
      <c r="O467" s="24">
        <v>2</v>
      </c>
      <c r="P467" s="24">
        <v>0</v>
      </c>
      <c r="Q467" s="24">
        <v>0</v>
      </c>
      <c r="R467" s="24">
        <v>55</v>
      </c>
      <c r="S467" s="24">
        <v>15</v>
      </c>
      <c r="T467" s="24">
        <v>3</v>
      </c>
      <c r="U467" s="24">
        <v>0.09</v>
      </c>
      <c r="V467" s="24">
        <v>0.74</v>
      </c>
      <c r="W467" s="24">
        <v>0.83</v>
      </c>
      <c r="X467" s="24">
        <v>2.68</v>
      </c>
      <c r="Y467" t="s">
        <v>1208</v>
      </c>
      <c r="Z467" t="b">
        <v>1</v>
      </c>
      <c r="AA467" s="24" t="str">
        <f t="shared" si="7"/>
        <v>Rúben dos Santos Gato Alves Dias</v>
      </c>
    </row>
    <row r="468" spans="1:27" x14ac:dyDescent="0.25">
      <c r="A468" s="24">
        <v>2</v>
      </c>
      <c r="B468" s="24" t="s">
        <v>758</v>
      </c>
      <c r="C468" s="24" t="s">
        <v>759</v>
      </c>
      <c r="D468">
        <v>391</v>
      </c>
      <c r="E468" s="24">
        <v>7.3</v>
      </c>
      <c r="F468" s="25">
        <v>56</v>
      </c>
      <c r="G468" s="24">
        <v>7.3</v>
      </c>
      <c r="H468" s="24">
        <v>19.600000000000001</v>
      </c>
      <c r="I468" s="24">
        <v>15</v>
      </c>
      <c r="J468" s="24">
        <v>22</v>
      </c>
      <c r="K468" s="24">
        <v>254</v>
      </c>
      <c r="L468" s="24">
        <v>1</v>
      </c>
      <c r="M468" s="24">
        <v>1</v>
      </c>
      <c r="N468" s="24">
        <v>1</v>
      </c>
      <c r="O468" s="24">
        <v>2</v>
      </c>
      <c r="P468" s="24">
        <v>0</v>
      </c>
      <c r="Q468" s="24">
        <v>3</v>
      </c>
      <c r="R468" s="24">
        <v>77</v>
      </c>
      <c r="S468" s="24">
        <v>17</v>
      </c>
      <c r="T468" s="24">
        <v>3</v>
      </c>
      <c r="U468" s="24">
        <v>0.2</v>
      </c>
      <c r="V468" s="24">
        <v>0.11</v>
      </c>
      <c r="W468" s="24">
        <v>0.31</v>
      </c>
      <c r="X468" s="24">
        <v>2.68</v>
      </c>
      <c r="Y468" t="s">
        <v>1208</v>
      </c>
      <c r="Z468" t="b">
        <v>1</v>
      </c>
      <c r="AA468" s="24" t="str">
        <f t="shared" si="7"/>
        <v>Joško Gvardiol</v>
      </c>
    </row>
    <row r="469" spans="1:27" x14ac:dyDescent="0.25">
      <c r="A469" s="24">
        <v>2</v>
      </c>
      <c r="B469" s="24" t="s">
        <v>760</v>
      </c>
      <c r="C469" s="24" t="s">
        <v>761</v>
      </c>
      <c r="D469">
        <v>392</v>
      </c>
      <c r="E469" s="24">
        <v>0</v>
      </c>
      <c r="F469" s="25">
        <v>54</v>
      </c>
      <c r="G469" s="24">
        <v>0</v>
      </c>
      <c r="H469" s="24">
        <v>0.5</v>
      </c>
      <c r="I469" s="24">
        <v>15</v>
      </c>
      <c r="J469" s="24">
        <v>0</v>
      </c>
      <c r="K469" s="24">
        <v>0</v>
      </c>
      <c r="L469" s="24">
        <v>0</v>
      </c>
      <c r="M469" s="24">
        <v>0</v>
      </c>
      <c r="N469" s="24">
        <v>0</v>
      </c>
      <c r="O469" s="24">
        <v>0</v>
      </c>
      <c r="P469" s="24">
        <v>0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t="s">
        <v>1208</v>
      </c>
      <c r="Z469" t="b">
        <v>1</v>
      </c>
      <c r="AA469" s="24" t="str">
        <f t="shared" si="7"/>
        <v>Rayan Aït-Nouri</v>
      </c>
    </row>
    <row r="470" spans="1:27" x14ac:dyDescent="0.25">
      <c r="A470" s="24">
        <v>2</v>
      </c>
      <c r="B470" s="24" t="s">
        <v>762</v>
      </c>
      <c r="C470" s="24" t="s">
        <v>763</v>
      </c>
      <c r="D470">
        <v>393</v>
      </c>
      <c r="E470" s="24">
        <v>3</v>
      </c>
      <c r="F470" s="25">
        <v>55</v>
      </c>
      <c r="G470" s="24">
        <v>3</v>
      </c>
      <c r="H470" s="24">
        <v>1.6</v>
      </c>
      <c r="I470" s="24">
        <v>15</v>
      </c>
      <c r="J470" s="24">
        <v>9</v>
      </c>
      <c r="K470" s="24">
        <v>268</v>
      </c>
      <c r="L470" s="24">
        <v>0</v>
      </c>
      <c r="M470" s="24">
        <v>0</v>
      </c>
      <c r="N470" s="24">
        <v>1</v>
      </c>
      <c r="O470" s="24">
        <v>2</v>
      </c>
      <c r="P470" s="24">
        <v>0</v>
      </c>
      <c r="Q470" s="24">
        <v>0</v>
      </c>
      <c r="R470" s="24">
        <v>53</v>
      </c>
      <c r="S470" s="24">
        <v>17</v>
      </c>
      <c r="T470" s="24">
        <v>3</v>
      </c>
      <c r="U470" s="24">
        <v>0</v>
      </c>
      <c r="V470" s="24">
        <v>0.06</v>
      </c>
      <c r="W470" s="24">
        <v>0.06</v>
      </c>
      <c r="X470" s="24">
        <v>2.68</v>
      </c>
      <c r="Y470" t="s">
        <v>1208</v>
      </c>
      <c r="Z470" t="b">
        <v>1</v>
      </c>
      <c r="AA470" s="24" t="str">
        <f t="shared" si="7"/>
        <v>Abdukodir Khusanov</v>
      </c>
    </row>
    <row r="471" spans="1:27" x14ac:dyDescent="0.25">
      <c r="A471" s="24">
        <v>2</v>
      </c>
      <c r="B471" s="24" t="s">
        <v>57</v>
      </c>
      <c r="C471" s="24" t="s">
        <v>764</v>
      </c>
      <c r="D471">
        <v>394</v>
      </c>
      <c r="E471" s="24">
        <v>0</v>
      </c>
      <c r="F471" s="25">
        <v>50</v>
      </c>
      <c r="G471" s="24">
        <v>0</v>
      </c>
      <c r="H471" s="24">
        <v>0</v>
      </c>
      <c r="I471" s="24">
        <v>15</v>
      </c>
      <c r="J471" s="24">
        <v>0</v>
      </c>
      <c r="K471" s="24">
        <v>0</v>
      </c>
      <c r="L471" s="24">
        <v>0</v>
      </c>
      <c r="M471" s="24">
        <v>0</v>
      </c>
      <c r="N471" s="24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t="s">
        <v>1211</v>
      </c>
      <c r="Z471" t="b">
        <v>0</v>
      </c>
      <c r="AA471" s="24" t="str">
        <f t="shared" si="7"/>
        <v>Max Alleyne</v>
      </c>
    </row>
    <row r="472" spans="1:27" x14ac:dyDescent="0.25">
      <c r="A472" s="24">
        <v>2</v>
      </c>
      <c r="B472" s="24" t="s">
        <v>195</v>
      </c>
      <c r="C472" s="24" t="s">
        <v>157</v>
      </c>
      <c r="D472">
        <v>395</v>
      </c>
      <c r="E472" s="24">
        <v>0.3</v>
      </c>
      <c r="F472" s="25">
        <v>45</v>
      </c>
      <c r="G472" s="24">
        <v>1</v>
      </c>
      <c r="H472" s="24">
        <v>0.2</v>
      </c>
      <c r="I472" s="24">
        <v>15</v>
      </c>
      <c r="J472" s="24">
        <v>1</v>
      </c>
      <c r="K472" s="24">
        <v>56</v>
      </c>
      <c r="L472" s="24">
        <v>0</v>
      </c>
      <c r="M472" s="24">
        <v>0</v>
      </c>
      <c r="N472" s="24">
        <v>0</v>
      </c>
      <c r="O472" s="24">
        <v>1</v>
      </c>
      <c r="P472" s="24">
        <v>0</v>
      </c>
      <c r="Q472" s="24">
        <v>0</v>
      </c>
      <c r="R472" s="24">
        <v>-1</v>
      </c>
      <c r="S472" s="24">
        <v>2</v>
      </c>
      <c r="T472" s="24">
        <v>1</v>
      </c>
      <c r="U472" s="24">
        <v>0.17</v>
      </c>
      <c r="V472" s="24">
        <v>0.02</v>
      </c>
      <c r="W472" s="24">
        <v>0.19</v>
      </c>
      <c r="X472" s="24">
        <v>0.55000000000000004</v>
      </c>
      <c r="Y472" t="s">
        <v>1208</v>
      </c>
      <c r="Z472" t="b">
        <v>1</v>
      </c>
      <c r="AA472" s="24" t="str">
        <f t="shared" si="7"/>
        <v>Rico Lewis</v>
      </c>
    </row>
    <row r="473" spans="1:27" x14ac:dyDescent="0.25">
      <c r="A473" s="24">
        <v>2</v>
      </c>
      <c r="B473" s="24" t="s">
        <v>765</v>
      </c>
      <c r="C473" s="24" t="s">
        <v>766</v>
      </c>
      <c r="D473">
        <v>396</v>
      </c>
      <c r="E473" s="24">
        <v>0.3</v>
      </c>
      <c r="F473" s="25">
        <v>45</v>
      </c>
      <c r="G473" s="24">
        <v>1</v>
      </c>
      <c r="H473" s="24">
        <v>0</v>
      </c>
      <c r="I473" s="24">
        <v>15</v>
      </c>
      <c r="J473" s="24">
        <v>1</v>
      </c>
      <c r="K473" s="24">
        <v>1</v>
      </c>
      <c r="L473" s="24">
        <v>0</v>
      </c>
      <c r="M473" s="24">
        <v>0</v>
      </c>
      <c r="N473" s="24">
        <v>0</v>
      </c>
      <c r="O473" s="24">
        <v>0</v>
      </c>
      <c r="P473" s="24">
        <v>0</v>
      </c>
      <c r="Q473" s="24">
        <v>0</v>
      </c>
      <c r="R473" s="24">
        <v>3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t="s">
        <v>1208</v>
      </c>
      <c r="Z473" t="b">
        <v>1</v>
      </c>
      <c r="AA473" s="24" t="str">
        <f t="shared" si="7"/>
        <v>Vitor de Oliveira Nunes dos Reis</v>
      </c>
    </row>
    <row r="474" spans="1:27" x14ac:dyDescent="0.25">
      <c r="A474" s="24">
        <v>3</v>
      </c>
      <c r="B474" s="24" t="s">
        <v>767</v>
      </c>
      <c r="C474" s="24" t="s">
        <v>768</v>
      </c>
      <c r="D474">
        <v>397</v>
      </c>
      <c r="E474" s="24">
        <v>4.3</v>
      </c>
      <c r="F474" s="25">
        <v>84</v>
      </c>
      <c r="G474" s="24">
        <v>4.3</v>
      </c>
      <c r="H474" s="24">
        <v>18.5</v>
      </c>
      <c r="I474" s="24">
        <v>15</v>
      </c>
      <c r="J474" s="24">
        <v>13</v>
      </c>
      <c r="K474" s="24">
        <v>270</v>
      </c>
      <c r="L474" s="24">
        <v>0</v>
      </c>
      <c r="M474" s="24">
        <v>2</v>
      </c>
      <c r="N474" s="24">
        <v>1</v>
      </c>
      <c r="O474" s="24">
        <v>2</v>
      </c>
      <c r="P474" s="24">
        <v>0</v>
      </c>
      <c r="Q474" s="24">
        <v>0</v>
      </c>
      <c r="R474" s="24">
        <v>75</v>
      </c>
      <c r="S474" s="24">
        <v>12</v>
      </c>
      <c r="T474" s="24">
        <v>3</v>
      </c>
      <c r="U474" s="24">
        <v>0.17</v>
      </c>
      <c r="V474" s="24">
        <v>0.93</v>
      </c>
      <c r="W474" s="24">
        <v>1.1000000000000001</v>
      </c>
      <c r="X474" s="24">
        <v>2.68</v>
      </c>
      <c r="Y474" t="s">
        <v>1208</v>
      </c>
      <c r="Z474" t="b">
        <v>1</v>
      </c>
      <c r="AA474" s="24" t="str">
        <f t="shared" si="7"/>
        <v>Antoine Semenyo</v>
      </c>
    </row>
    <row r="475" spans="1:27" x14ac:dyDescent="0.25">
      <c r="A475" s="24">
        <v>3</v>
      </c>
      <c r="B475" s="24" t="s">
        <v>769</v>
      </c>
      <c r="C475" s="24" t="s">
        <v>770</v>
      </c>
      <c r="D475">
        <v>398</v>
      </c>
      <c r="E475" s="24">
        <v>3.7</v>
      </c>
      <c r="F475" s="25">
        <v>70</v>
      </c>
      <c r="G475" s="24">
        <v>3.7</v>
      </c>
      <c r="H475" s="24">
        <v>5.0999999999999996</v>
      </c>
      <c r="I475" s="24">
        <v>15</v>
      </c>
      <c r="J475" s="24">
        <v>11</v>
      </c>
      <c r="K475" s="24">
        <v>195</v>
      </c>
      <c r="L475" s="24">
        <v>0</v>
      </c>
      <c r="M475" s="24">
        <v>2</v>
      </c>
      <c r="N475" s="24">
        <v>0</v>
      </c>
      <c r="O475" s="24">
        <v>2</v>
      </c>
      <c r="P475" s="24">
        <v>0</v>
      </c>
      <c r="Q475" s="24">
        <v>1</v>
      </c>
      <c r="R475" s="24">
        <v>56</v>
      </c>
      <c r="S475" s="24">
        <v>14</v>
      </c>
      <c r="T475" s="24">
        <v>2</v>
      </c>
      <c r="U475" s="24">
        <v>1.61</v>
      </c>
      <c r="V475" s="24">
        <v>0.86</v>
      </c>
      <c r="W475" s="24">
        <v>2.4700000000000002</v>
      </c>
      <c r="X475" s="24">
        <v>1.81</v>
      </c>
      <c r="Y475" t="s">
        <v>1208</v>
      </c>
      <c r="Z475" t="b">
        <v>1</v>
      </c>
      <c r="AA475" s="24" t="str">
        <f t="shared" si="7"/>
        <v>Phil Foden</v>
      </c>
    </row>
    <row r="476" spans="1:27" x14ac:dyDescent="0.25">
      <c r="A476" s="24">
        <v>3</v>
      </c>
      <c r="B476" s="24" t="s">
        <v>760</v>
      </c>
      <c r="C476" s="24" t="s">
        <v>771</v>
      </c>
      <c r="D476">
        <v>399</v>
      </c>
      <c r="E476" s="24">
        <v>8.3000000000000007</v>
      </c>
      <c r="F476" s="25">
        <v>78</v>
      </c>
      <c r="G476" s="24">
        <v>8.3000000000000007</v>
      </c>
      <c r="H476" s="24">
        <v>30.5</v>
      </c>
      <c r="I476" s="24">
        <v>15</v>
      </c>
      <c r="J476" s="24">
        <v>25</v>
      </c>
      <c r="K476" s="24">
        <v>173</v>
      </c>
      <c r="L476" s="24">
        <v>2</v>
      </c>
      <c r="M476" s="24">
        <v>2</v>
      </c>
      <c r="N476" s="24">
        <v>1</v>
      </c>
      <c r="O476" s="24">
        <v>1</v>
      </c>
      <c r="P476" s="24">
        <v>0</v>
      </c>
      <c r="Q476" s="24">
        <v>4</v>
      </c>
      <c r="R476" s="24">
        <v>111</v>
      </c>
      <c r="S476" s="24">
        <v>6</v>
      </c>
      <c r="T476" s="24">
        <v>2</v>
      </c>
      <c r="U476" s="24">
        <v>0.56000000000000005</v>
      </c>
      <c r="V476" s="24">
        <v>1.35</v>
      </c>
      <c r="W476" s="24">
        <v>1.91</v>
      </c>
      <c r="X476" s="24">
        <v>1.62</v>
      </c>
      <c r="Y476" t="s">
        <v>1208</v>
      </c>
      <c r="Z476" t="b">
        <v>1</v>
      </c>
      <c r="AA476" s="24" t="str">
        <f t="shared" si="7"/>
        <v>Rayan Cherki</v>
      </c>
    </row>
    <row r="477" spans="1:27" x14ac:dyDescent="0.25">
      <c r="A477" s="24">
        <v>3</v>
      </c>
      <c r="B477" s="24" t="s">
        <v>772</v>
      </c>
      <c r="C477" s="24" t="s">
        <v>773</v>
      </c>
      <c r="D477">
        <v>400</v>
      </c>
      <c r="E477" s="24">
        <v>0</v>
      </c>
      <c r="F477" s="25">
        <v>74</v>
      </c>
      <c r="G477" s="24">
        <v>0</v>
      </c>
      <c r="H477" s="24">
        <v>0.8</v>
      </c>
      <c r="I477" s="24">
        <v>15</v>
      </c>
      <c r="J477" s="24">
        <v>0</v>
      </c>
      <c r="K477" s="24">
        <v>0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t="s">
        <v>1209</v>
      </c>
      <c r="Z477" t="b">
        <v>1</v>
      </c>
      <c r="AA477" s="24" t="str">
        <f t="shared" si="7"/>
        <v>Jérémy Doku</v>
      </c>
    </row>
    <row r="478" spans="1:27" x14ac:dyDescent="0.25">
      <c r="A478" s="24">
        <v>3</v>
      </c>
      <c r="B478" s="24" t="s">
        <v>776</v>
      </c>
      <c r="C478" s="24" t="s">
        <v>777</v>
      </c>
      <c r="D478">
        <v>402</v>
      </c>
      <c r="E478" s="24">
        <v>0</v>
      </c>
      <c r="F478" s="25">
        <v>65</v>
      </c>
      <c r="G478" s="24">
        <v>0</v>
      </c>
      <c r="H478" s="24">
        <v>0</v>
      </c>
      <c r="I478" s="24">
        <v>15</v>
      </c>
      <c r="J478" s="24">
        <v>0</v>
      </c>
      <c r="K478" s="24">
        <v>0</v>
      </c>
      <c r="L478" s="24">
        <v>0</v>
      </c>
      <c r="M478" s="24">
        <v>0</v>
      </c>
      <c r="N478" s="24">
        <v>0</v>
      </c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t="s">
        <v>1211</v>
      </c>
      <c r="Z478" t="b">
        <v>0</v>
      </c>
      <c r="AA478" s="24" t="str">
        <f t="shared" si="7"/>
        <v>Rodrigo 'Rodri' Hernandez Cascante</v>
      </c>
    </row>
    <row r="479" spans="1:27" x14ac:dyDescent="0.25">
      <c r="A479" s="24">
        <v>3</v>
      </c>
      <c r="B479" s="24" t="s">
        <v>780</v>
      </c>
      <c r="C479" s="24" t="s">
        <v>781</v>
      </c>
      <c r="D479">
        <v>404</v>
      </c>
      <c r="E479" s="24">
        <v>0</v>
      </c>
      <c r="F479" s="25">
        <v>60</v>
      </c>
      <c r="G479" s="24">
        <v>0</v>
      </c>
      <c r="H479" s="24">
        <v>0</v>
      </c>
      <c r="I479" s="24">
        <v>15</v>
      </c>
      <c r="J479" s="24">
        <v>0</v>
      </c>
      <c r="K479" s="24">
        <v>0</v>
      </c>
      <c r="L479" s="24">
        <v>0</v>
      </c>
      <c r="M479" s="24">
        <v>0</v>
      </c>
      <c r="N479" s="24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t="s">
        <v>1211</v>
      </c>
      <c r="Z479" t="b">
        <v>0</v>
      </c>
      <c r="AA479" s="24" t="str">
        <f t="shared" si="7"/>
        <v>Tijjani Reijnders</v>
      </c>
    </row>
    <row r="480" spans="1:27" x14ac:dyDescent="0.25">
      <c r="A480" s="24">
        <v>3</v>
      </c>
      <c r="B480" s="24" t="s">
        <v>687</v>
      </c>
      <c r="C480" s="24" t="s">
        <v>783</v>
      </c>
      <c r="D480">
        <v>406</v>
      </c>
      <c r="E480" s="24">
        <v>0.7</v>
      </c>
      <c r="F480" s="25">
        <v>54</v>
      </c>
      <c r="G480" s="24">
        <v>1</v>
      </c>
      <c r="H480" s="24">
        <v>0.1</v>
      </c>
      <c r="I480" s="24">
        <v>15</v>
      </c>
      <c r="J480" s="24">
        <v>2</v>
      </c>
      <c r="K480" s="24">
        <v>42</v>
      </c>
      <c r="L480" s="24">
        <v>0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12</v>
      </c>
      <c r="S480" s="24">
        <v>2</v>
      </c>
      <c r="T480" s="24">
        <v>0</v>
      </c>
      <c r="U480" s="24">
        <v>0</v>
      </c>
      <c r="V480" s="24">
        <v>0.02</v>
      </c>
      <c r="W480" s="24">
        <v>0.02</v>
      </c>
      <c r="X480" s="24">
        <v>0.1</v>
      </c>
      <c r="Y480" t="s">
        <v>1208</v>
      </c>
      <c r="Z480" t="b">
        <v>1</v>
      </c>
      <c r="AA480" s="24" t="str">
        <f t="shared" si="7"/>
        <v>Mateo Kovačić</v>
      </c>
    </row>
    <row r="481" spans="1:27" x14ac:dyDescent="0.25">
      <c r="A481" s="24">
        <v>3</v>
      </c>
      <c r="B481" s="24" t="s">
        <v>784</v>
      </c>
      <c r="C481" s="24" t="s">
        <v>785</v>
      </c>
      <c r="D481">
        <v>407</v>
      </c>
      <c r="E481" s="24">
        <v>0</v>
      </c>
      <c r="F481" s="25">
        <v>49</v>
      </c>
      <c r="G481" s="24">
        <v>0</v>
      </c>
      <c r="H481" s="24">
        <v>0</v>
      </c>
      <c r="I481" s="24">
        <v>15</v>
      </c>
      <c r="J481" s="24">
        <v>0</v>
      </c>
      <c r="K481" s="24">
        <v>0</v>
      </c>
      <c r="L481" s="24">
        <v>0</v>
      </c>
      <c r="M481" s="24">
        <v>0</v>
      </c>
      <c r="N481" s="24">
        <v>0</v>
      </c>
      <c r="O481" s="24">
        <v>0</v>
      </c>
      <c r="P481" s="24">
        <v>0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t="s">
        <v>1211</v>
      </c>
      <c r="Z481" t="b">
        <v>0</v>
      </c>
      <c r="AA481" s="24" t="str">
        <f t="shared" si="7"/>
        <v>Claudio Echeverri</v>
      </c>
    </row>
    <row r="482" spans="1:27" x14ac:dyDescent="0.25">
      <c r="A482" s="24">
        <v>3</v>
      </c>
      <c r="B482" s="24" t="s">
        <v>786</v>
      </c>
      <c r="C482" s="24" t="s">
        <v>541</v>
      </c>
      <c r="D482">
        <v>408</v>
      </c>
      <c r="E482" s="24">
        <v>0</v>
      </c>
      <c r="F482" s="25">
        <v>50</v>
      </c>
      <c r="G482" s="24">
        <v>0</v>
      </c>
      <c r="H482" s="24">
        <v>0</v>
      </c>
      <c r="I482" s="24">
        <v>15</v>
      </c>
      <c r="J482" s="24">
        <v>0</v>
      </c>
      <c r="K482" s="24">
        <v>0</v>
      </c>
      <c r="L482" s="24">
        <v>0</v>
      </c>
      <c r="M482" s="24">
        <v>0</v>
      </c>
      <c r="N482" s="24">
        <v>0</v>
      </c>
      <c r="O482" s="24">
        <v>0</v>
      </c>
      <c r="P482" s="24">
        <v>0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t="s">
        <v>1211</v>
      </c>
      <c r="Z482" t="b">
        <v>0</v>
      </c>
      <c r="AA482" s="24" t="str">
        <f t="shared" si="7"/>
        <v>Kalvin Phillips</v>
      </c>
    </row>
    <row r="483" spans="1:27" x14ac:dyDescent="0.25">
      <c r="A483" s="24">
        <v>3</v>
      </c>
      <c r="B483" s="24" t="s">
        <v>787</v>
      </c>
      <c r="C483" s="24" t="s">
        <v>788</v>
      </c>
      <c r="D483">
        <v>409</v>
      </c>
      <c r="E483" s="24">
        <v>0</v>
      </c>
      <c r="F483" s="25">
        <v>45</v>
      </c>
      <c r="G483" s="24">
        <v>0</v>
      </c>
      <c r="H483" s="24">
        <v>0.1</v>
      </c>
      <c r="I483" s="24">
        <v>15</v>
      </c>
      <c r="J483" s="24">
        <v>0</v>
      </c>
      <c r="K483" s="24">
        <v>0</v>
      </c>
      <c r="L483" s="24">
        <v>0</v>
      </c>
      <c r="M483" s="24">
        <v>0</v>
      </c>
      <c r="N483" s="24">
        <v>0</v>
      </c>
      <c r="O483" s="24">
        <v>0</v>
      </c>
      <c r="P483" s="24">
        <v>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t="s">
        <v>1211</v>
      </c>
      <c r="Z483" t="b">
        <v>0</v>
      </c>
      <c r="AA483" s="24" t="str">
        <f t="shared" si="7"/>
        <v>Divine Mukasa</v>
      </c>
    </row>
    <row r="484" spans="1:27" x14ac:dyDescent="0.25">
      <c r="A484" s="24">
        <v>3</v>
      </c>
      <c r="B484" s="24" t="s">
        <v>711</v>
      </c>
      <c r="C484" s="24" t="s">
        <v>789</v>
      </c>
      <c r="D484">
        <v>410</v>
      </c>
      <c r="E484" s="24">
        <v>0</v>
      </c>
      <c r="F484" s="25">
        <v>49</v>
      </c>
      <c r="G484" s="24">
        <v>0</v>
      </c>
      <c r="H484" s="24">
        <v>0</v>
      </c>
      <c r="I484" s="24">
        <v>15</v>
      </c>
      <c r="J484" s="24">
        <v>0</v>
      </c>
      <c r="K484" s="24">
        <v>0</v>
      </c>
      <c r="L484" s="24">
        <v>0</v>
      </c>
      <c r="M484" s="24">
        <v>0</v>
      </c>
      <c r="N484" s="24">
        <v>0</v>
      </c>
      <c r="O484" s="24">
        <v>0</v>
      </c>
      <c r="P484" s="24">
        <v>0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t="s">
        <v>1211</v>
      </c>
      <c r="Z484" t="b">
        <v>0</v>
      </c>
      <c r="AA484" s="24" t="str">
        <f t="shared" si="7"/>
        <v>Jeremy Monga</v>
      </c>
    </row>
    <row r="485" spans="1:27" x14ac:dyDescent="0.25">
      <c r="A485" s="24">
        <v>4</v>
      </c>
      <c r="B485" s="24" t="s">
        <v>790</v>
      </c>
      <c r="C485" s="24" t="s">
        <v>791</v>
      </c>
      <c r="D485">
        <v>411</v>
      </c>
      <c r="E485" s="24">
        <v>8</v>
      </c>
      <c r="F485" s="25">
        <v>155</v>
      </c>
      <c r="G485" s="24">
        <v>8</v>
      </c>
      <c r="H485" s="24">
        <v>71.2</v>
      </c>
      <c r="I485" s="24">
        <v>15</v>
      </c>
      <c r="J485" s="24">
        <v>24</v>
      </c>
      <c r="K485" s="24">
        <v>270</v>
      </c>
      <c r="L485" s="24">
        <v>3</v>
      </c>
      <c r="M485" s="24">
        <v>0</v>
      </c>
      <c r="N485" s="24">
        <v>1</v>
      </c>
      <c r="O485" s="24">
        <v>2</v>
      </c>
      <c r="P485" s="24">
        <v>0</v>
      </c>
      <c r="Q485" s="24">
        <v>6</v>
      </c>
      <c r="R485" s="24">
        <v>106</v>
      </c>
      <c r="S485" s="24">
        <v>15</v>
      </c>
      <c r="T485" s="24">
        <v>3</v>
      </c>
      <c r="U485" s="24">
        <v>2.46</v>
      </c>
      <c r="V485" s="24">
        <v>0.5</v>
      </c>
      <c r="W485" s="24">
        <v>2.96</v>
      </c>
      <c r="X485" s="24">
        <v>2.68</v>
      </c>
      <c r="Y485" t="s">
        <v>1208</v>
      </c>
      <c r="Z485" t="b">
        <v>1</v>
      </c>
      <c r="AA485" s="24" t="str">
        <f t="shared" si="7"/>
        <v>Erling Haaland</v>
      </c>
    </row>
    <row r="486" spans="1:27" x14ac:dyDescent="0.25">
      <c r="A486" s="24">
        <v>3</v>
      </c>
      <c r="B486" s="24" t="s">
        <v>594</v>
      </c>
      <c r="C486" s="24" t="s">
        <v>792</v>
      </c>
      <c r="D486">
        <v>481</v>
      </c>
      <c r="E486" s="24">
        <v>2.7</v>
      </c>
      <c r="F486" s="25">
        <v>63</v>
      </c>
      <c r="G486" s="24">
        <v>2.7</v>
      </c>
      <c r="H486" s="24">
        <v>4.7</v>
      </c>
      <c r="I486" s="24">
        <v>15</v>
      </c>
      <c r="J486" s="24">
        <v>8</v>
      </c>
      <c r="K486" s="24">
        <v>233</v>
      </c>
      <c r="L486" s="24">
        <v>0</v>
      </c>
      <c r="M486" s="24">
        <v>0</v>
      </c>
      <c r="N486" s="24">
        <v>1</v>
      </c>
      <c r="O486" s="24">
        <v>2</v>
      </c>
      <c r="P486" s="24">
        <v>0</v>
      </c>
      <c r="Q486" s="24">
        <v>0</v>
      </c>
      <c r="R486" s="24">
        <v>62</v>
      </c>
      <c r="S486" s="24">
        <v>31</v>
      </c>
      <c r="T486" s="24">
        <v>3</v>
      </c>
      <c r="U486" s="24">
        <v>0.09</v>
      </c>
      <c r="V486" s="24">
        <v>0.64</v>
      </c>
      <c r="W486" s="24">
        <v>0.73</v>
      </c>
      <c r="X486" s="24">
        <v>2.58</v>
      </c>
      <c r="Y486" t="s">
        <v>1208</v>
      </c>
      <c r="Z486" t="b">
        <v>1</v>
      </c>
      <c r="AA486" s="24" t="str">
        <f t="shared" si="7"/>
        <v>Elliot Anderson</v>
      </c>
    </row>
    <row r="487" spans="1:27" x14ac:dyDescent="0.25">
      <c r="A487" s="24">
        <v>1</v>
      </c>
      <c r="B487" s="24" t="s">
        <v>793</v>
      </c>
      <c r="C487" s="24" t="s">
        <v>794</v>
      </c>
      <c r="D487">
        <v>587</v>
      </c>
      <c r="E487" s="24">
        <v>0</v>
      </c>
      <c r="F487" s="25">
        <v>50</v>
      </c>
      <c r="G487" s="24">
        <v>0</v>
      </c>
      <c r="H487" s="24">
        <v>0</v>
      </c>
      <c r="I487" s="24">
        <v>15</v>
      </c>
      <c r="J487" s="24">
        <v>0</v>
      </c>
      <c r="K487" s="24">
        <v>0</v>
      </c>
      <c r="L487" s="24">
        <v>0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0</v>
      </c>
      <c r="W487" s="24">
        <v>0</v>
      </c>
      <c r="X487" s="24">
        <v>0</v>
      </c>
      <c r="Y487" t="s">
        <v>1208</v>
      </c>
      <c r="Z487" t="b">
        <v>1</v>
      </c>
      <c r="AA487" s="24" t="str">
        <f t="shared" si="7"/>
        <v>Gerónimo Rulli</v>
      </c>
    </row>
    <row r="488" spans="1:27" x14ac:dyDescent="0.25">
      <c r="A488" s="24">
        <v>3</v>
      </c>
      <c r="B488" s="24" t="s">
        <v>1253</v>
      </c>
      <c r="C488" s="24" t="s">
        <v>1254</v>
      </c>
      <c r="D488">
        <v>616</v>
      </c>
      <c r="E488" s="24">
        <v>1</v>
      </c>
      <c r="F488" s="25">
        <v>55</v>
      </c>
      <c r="G488" s="24">
        <v>1</v>
      </c>
      <c r="H488" s="24">
        <v>0.1</v>
      </c>
      <c r="I488" s="24">
        <v>15</v>
      </c>
      <c r="J488" s="24">
        <v>2</v>
      </c>
      <c r="K488" s="24">
        <v>22</v>
      </c>
      <c r="L488" s="24">
        <v>0</v>
      </c>
      <c r="M488" s="24">
        <v>0</v>
      </c>
      <c r="N488" s="24">
        <v>0</v>
      </c>
      <c r="O488" s="24">
        <v>0</v>
      </c>
      <c r="P488" s="24">
        <v>0</v>
      </c>
      <c r="Q488" s="24">
        <v>0</v>
      </c>
      <c r="R488" s="24">
        <v>8</v>
      </c>
      <c r="S488" s="24">
        <v>6</v>
      </c>
      <c r="T488" s="24">
        <v>0</v>
      </c>
      <c r="U488" s="24">
        <v>0</v>
      </c>
      <c r="V488" s="24">
        <v>0.12</v>
      </c>
      <c r="W488" s="24">
        <v>0.12</v>
      </c>
      <c r="X488" s="24">
        <v>0.37</v>
      </c>
      <c r="Y488" t="s">
        <v>1208</v>
      </c>
      <c r="Z488" t="b">
        <v>1</v>
      </c>
      <c r="AA488" s="24" t="str">
        <f t="shared" si="7"/>
        <v>Ayyoub Bouaddi</v>
      </c>
    </row>
    <row r="489" spans="1:27" x14ac:dyDescent="0.25">
      <c r="A489" s="24">
        <v>3</v>
      </c>
      <c r="B489" s="24" t="s">
        <v>164</v>
      </c>
      <c r="C489" s="24" t="s">
        <v>1255</v>
      </c>
      <c r="D489">
        <v>621</v>
      </c>
      <c r="E489" s="24">
        <v>1</v>
      </c>
      <c r="F489" s="25">
        <v>45</v>
      </c>
      <c r="G489" s="24">
        <v>1</v>
      </c>
      <c r="H489" s="24">
        <v>0.1</v>
      </c>
      <c r="I489" s="24">
        <v>15</v>
      </c>
      <c r="J489" s="24">
        <v>2</v>
      </c>
      <c r="K489" s="24">
        <v>11</v>
      </c>
      <c r="L489" s="24">
        <v>0</v>
      </c>
      <c r="M489" s="24">
        <v>0</v>
      </c>
      <c r="N489" s="24">
        <v>0</v>
      </c>
      <c r="O489" s="24">
        <v>0</v>
      </c>
      <c r="P489" s="24">
        <v>0</v>
      </c>
      <c r="Q489" s="24">
        <v>0</v>
      </c>
      <c r="R489" s="24">
        <v>8</v>
      </c>
      <c r="S489" s="24">
        <v>4</v>
      </c>
      <c r="T489" s="24">
        <v>0</v>
      </c>
      <c r="U489" s="24">
        <v>0.1</v>
      </c>
      <c r="V489" s="24">
        <v>0</v>
      </c>
      <c r="W489" s="24">
        <v>0.1</v>
      </c>
      <c r="X489" s="24">
        <v>0.02</v>
      </c>
      <c r="Y489" t="s">
        <v>1208</v>
      </c>
      <c r="Z489" t="b">
        <v>1</v>
      </c>
      <c r="AA489" s="24" t="str">
        <f t="shared" si="7"/>
        <v>Ryan McAidoo</v>
      </c>
    </row>
    <row r="490" spans="1:27" x14ac:dyDescent="0.25">
      <c r="A490" s="24">
        <v>2</v>
      </c>
      <c r="B490" s="24" t="s">
        <v>1256</v>
      </c>
      <c r="C490" s="24" t="s">
        <v>1257</v>
      </c>
      <c r="D490">
        <v>622</v>
      </c>
      <c r="E490" s="24">
        <v>0.5</v>
      </c>
      <c r="F490" s="25">
        <v>40</v>
      </c>
      <c r="G490" s="24">
        <v>1</v>
      </c>
      <c r="H490" s="24">
        <v>0.2</v>
      </c>
      <c r="I490" s="24">
        <v>15</v>
      </c>
      <c r="J490" s="24">
        <v>1</v>
      </c>
      <c r="K490" s="24">
        <v>1</v>
      </c>
      <c r="L490" s="24">
        <v>0</v>
      </c>
      <c r="M490" s="24">
        <v>0</v>
      </c>
      <c r="N490" s="24">
        <v>0</v>
      </c>
      <c r="O490" s="24">
        <v>0</v>
      </c>
      <c r="P490" s="24">
        <v>0</v>
      </c>
      <c r="Q490" s="24">
        <v>0</v>
      </c>
      <c r="R490" s="24">
        <v>3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t="s">
        <v>1208</v>
      </c>
      <c r="Z490" t="b">
        <v>1</v>
      </c>
      <c r="AA490" s="24" t="str">
        <f t="shared" si="7"/>
        <v>Kaden Braithwaite</v>
      </c>
    </row>
    <row r="491" spans="1:27" x14ac:dyDescent="0.25">
      <c r="A491" s="24">
        <v>3</v>
      </c>
      <c r="B491" s="24" t="s">
        <v>1258</v>
      </c>
      <c r="C491" s="24" t="s">
        <v>1259</v>
      </c>
      <c r="D491">
        <v>628</v>
      </c>
      <c r="E491" s="24">
        <v>0</v>
      </c>
      <c r="F491" s="25">
        <v>60</v>
      </c>
      <c r="G491" s="24">
        <v>0</v>
      </c>
      <c r="H491" s="24">
        <v>0</v>
      </c>
      <c r="I491" s="24">
        <v>15</v>
      </c>
      <c r="J491" s="24">
        <v>0</v>
      </c>
      <c r="K491" s="24">
        <v>0</v>
      </c>
      <c r="L491" s="24">
        <v>0</v>
      </c>
      <c r="M491" s="24">
        <v>0</v>
      </c>
      <c r="N491" s="24">
        <v>0</v>
      </c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t="s">
        <v>1208</v>
      </c>
      <c r="Z491" t="b">
        <v>1</v>
      </c>
      <c r="AA491" s="24" t="str">
        <f t="shared" si="7"/>
        <v>Allan Andrade Elias</v>
      </c>
    </row>
    <row r="492" spans="1:27" x14ac:dyDescent="0.25">
      <c r="A492" s="24">
        <v>3</v>
      </c>
      <c r="B492" s="24" t="s">
        <v>2841</v>
      </c>
      <c r="C492" s="24" t="s">
        <v>2842</v>
      </c>
      <c r="D492">
        <v>653</v>
      </c>
      <c r="E492" s="24">
        <v>0</v>
      </c>
      <c r="F492" s="25">
        <v>45</v>
      </c>
      <c r="G492" s="24">
        <v>0</v>
      </c>
      <c r="H492" s="24">
        <v>0</v>
      </c>
      <c r="I492" s="24">
        <v>15</v>
      </c>
      <c r="J492" s="24">
        <v>0</v>
      </c>
      <c r="K492" s="24">
        <v>0</v>
      </c>
      <c r="L492" s="24">
        <v>0</v>
      </c>
      <c r="M492" s="24">
        <v>0</v>
      </c>
      <c r="N492" s="24">
        <v>0</v>
      </c>
      <c r="O492" s="24">
        <v>0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t="s">
        <v>1208</v>
      </c>
      <c r="Z492" t="b">
        <v>1</v>
      </c>
      <c r="AA492" s="24" t="str">
        <f t="shared" si="7"/>
        <v>Floyd Samba</v>
      </c>
    </row>
    <row r="493" spans="1:27" x14ac:dyDescent="0.25">
      <c r="A493" s="24">
        <v>3</v>
      </c>
      <c r="B493" s="24" t="s">
        <v>795</v>
      </c>
      <c r="C493" s="24" t="s">
        <v>796</v>
      </c>
      <c r="D493">
        <v>43</v>
      </c>
      <c r="E493" s="24">
        <v>2.7</v>
      </c>
      <c r="F493" s="25">
        <v>59</v>
      </c>
      <c r="G493" s="24">
        <v>2.7</v>
      </c>
      <c r="H493" s="24">
        <v>1.9</v>
      </c>
      <c r="I493" s="24">
        <v>16</v>
      </c>
      <c r="J493" s="24">
        <v>8</v>
      </c>
      <c r="K493" s="24">
        <v>246</v>
      </c>
      <c r="L493" s="24">
        <v>0</v>
      </c>
      <c r="M493" s="24">
        <v>0</v>
      </c>
      <c r="N493" s="24">
        <v>0</v>
      </c>
      <c r="O493" s="24">
        <v>6</v>
      </c>
      <c r="P493" s="24">
        <v>0</v>
      </c>
      <c r="Q493" s="24">
        <v>0</v>
      </c>
      <c r="R493" s="24">
        <v>56</v>
      </c>
      <c r="S493" s="24">
        <v>25</v>
      </c>
      <c r="T493" s="24">
        <v>3</v>
      </c>
      <c r="U493" s="24">
        <v>0.56000000000000005</v>
      </c>
      <c r="V493" s="24">
        <v>0.28000000000000003</v>
      </c>
      <c r="W493" s="24">
        <v>0.84</v>
      </c>
      <c r="X493" s="24">
        <v>4.01</v>
      </c>
      <c r="Y493" t="s">
        <v>1208</v>
      </c>
      <c r="Z493" t="b">
        <v>1</v>
      </c>
      <c r="AA493" s="24" t="str">
        <f t="shared" si="7"/>
        <v>Youri Tielemans</v>
      </c>
    </row>
    <row r="494" spans="1:27" x14ac:dyDescent="0.25">
      <c r="A494" s="24">
        <v>3</v>
      </c>
      <c r="B494" s="24" t="s">
        <v>268</v>
      </c>
      <c r="C494" s="24" t="s">
        <v>269</v>
      </c>
      <c r="D494">
        <v>131</v>
      </c>
      <c r="E494" s="24">
        <v>0</v>
      </c>
      <c r="F494" s="25">
        <v>50</v>
      </c>
      <c r="G494" s="24">
        <v>0</v>
      </c>
      <c r="H494" s="24">
        <v>0.1</v>
      </c>
      <c r="I494" s="24">
        <v>16</v>
      </c>
      <c r="J494" s="24">
        <v>0</v>
      </c>
      <c r="K494" s="24">
        <v>0</v>
      </c>
      <c r="L494" s="24">
        <v>0</v>
      </c>
      <c r="M494" s="24">
        <v>0</v>
      </c>
      <c r="N494" s="24">
        <v>0</v>
      </c>
      <c r="O494" s="24">
        <v>0</v>
      </c>
      <c r="P494" s="24">
        <v>0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t="s">
        <v>1209</v>
      </c>
      <c r="Z494" t="b">
        <v>1</v>
      </c>
      <c r="AA494" s="24" t="str">
        <f t="shared" si="7"/>
        <v>Carlos Baleba</v>
      </c>
    </row>
    <row r="495" spans="1:27" x14ac:dyDescent="0.25">
      <c r="A495" s="24">
        <v>3</v>
      </c>
      <c r="B495" s="24" t="s">
        <v>797</v>
      </c>
      <c r="C495" s="24" t="s">
        <v>798</v>
      </c>
      <c r="D495">
        <v>162</v>
      </c>
      <c r="E495" s="24">
        <v>1.3</v>
      </c>
      <c r="F495" s="25">
        <v>49</v>
      </c>
      <c r="G495" s="24">
        <v>1.3</v>
      </c>
      <c r="H495" s="24">
        <v>0.8</v>
      </c>
      <c r="I495" s="24">
        <v>16</v>
      </c>
      <c r="J495" s="24">
        <v>4</v>
      </c>
      <c r="K495" s="24">
        <v>82</v>
      </c>
      <c r="L495" s="24">
        <v>0</v>
      </c>
      <c r="M495" s="24">
        <v>0</v>
      </c>
      <c r="N495" s="24">
        <v>0</v>
      </c>
      <c r="O495" s="24">
        <v>4</v>
      </c>
      <c r="P495" s="24">
        <v>0</v>
      </c>
      <c r="Q495" s="24">
        <v>0</v>
      </c>
      <c r="R495" s="24">
        <v>23</v>
      </c>
      <c r="S495" s="24">
        <v>18</v>
      </c>
      <c r="T495" s="24">
        <v>1</v>
      </c>
      <c r="U495" s="24">
        <v>0</v>
      </c>
      <c r="V495" s="24">
        <v>0.24</v>
      </c>
      <c r="W495" s="24">
        <v>0.24</v>
      </c>
      <c r="X495" s="24">
        <v>2.0299999999999998</v>
      </c>
      <c r="Y495" t="s">
        <v>1208</v>
      </c>
      <c r="Z495" t="b">
        <v>1</v>
      </c>
      <c r="AA495" s="24" t="str">
        <f t="shared" si="7"/>
        <v>Andrey Nascimento dos Santos</v>
      </c>
    </row>
    <row r="496" spans="1:27" x14ac:dyDescent="0.25">
      <c r="A496" s="24">
        <v>1</v>
      </c>
      <c r="B496" s="24" t="s">
        <v>799</v>
      </c>
      <c r="C496" s="24" t="s">
        <v>800</v>
      </c>
      <c r="D496">
        <v>325</v>
      </c>
      <c r="E496" s="24">
        <v>0</v>
      </c>
      <c r="F496" s="25">
        <v>45</v>
      </c>
      <c r="G496" s="24">
        <v>0</v>
      </c>
      <c r="H496" s="24">
        <v>0</v>
      </c>
      <c r="I496" s="24">
        <v>16</v>
      </c>
      <c r="J496" s="24">
        <v>0</v>
      </c>
      <c r="K496" s="24">
        <v>0</v>
      </c>
      <c r="L496" s="24">
        <v>0</v>
      </c>
      <c r="M496" s="24">
        <v>0</v>
      </c>
      <c r="N496" s="24">
        <v>0</v>
      </c>
      <c r="O496" s="24">
        <v>0</v>
      </c>
      <c r="P496" s="24">
        <v>0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t="s">
        <v>1208</v>
      </c>
      <c r="Z496" t="b">
        <v>1</v>
      </c>
      <c r="AA496" s="24" t="str">
        <f t="shared" si="7"/>
        <v>Karl Darlow</v>
      </c>
    </row>
    <row r="497" spans="1:27" x14ac:dyDescent="0.25">
      <c r="A497" s="24">
        <v>1</v>
      </c>
      <c r="B497" s="24" t="s">
        <v>801</v>
      </c>
      <c r="C497" s="24" t="s">
        <v>802</v>
      </c>
      <c r="D497">
        <v>412</v>
      </c>
      <c r="E497" s="24">
        <v>1.7</v>
      </c>
      <c r="F497" s="25">
        <v>50</v>
      </c>
      <c r="G497" s="24">
        <v>1.7</v>
      </c>
      <c r="H497" s="24">
        <v>12.8</v>
      </c>
      <c r="I497" s="24">
        <v>16</v>
      </c>
      <c r="J497" s="24">
        <v>5</v>
      </c>
      <c r="K497" s="24">
        <v>270</v>
      </c>
      <c r="L497" s="24">
        <v>0</v>
      </c>
      <c r="M497" s="24">
        <v>0</v>
      </c>
      <c r="N497" s="24">
        <v>0</v>
      </c>
      <c r="O497" s="24">
        <v>6</v>
      </c>
      <c r="P497" s="24">
        <v>9</v>
      </c>
      <c r="Q497" s="24">
        <v>0</v>
      </c>
      <c r="R497" s="24">
        <v>31</v>
      </c>
      <c r="S497" s="24">
        <v>0</v>
      </c>
      <c r="T497" s="24">
        <v>3</v>
      </c>
      <c r="U497" s="24">
        <v>0</v>
      </c>
      <c r="V497" s="24">
        <v>0</v>
      </c>
      <c r="W497" s="24">
        <v>0</v>
      </c>
      <c r="X497" s="24">
        <v>4.08</v>
      </c>
      <c r="Y497" t="s">
        <v>1208</v>
      </c>
      <c r="Z497" t="b">
        <v>1</v>
      </c>
      <c r="AA497" s="24" t="str">
        <f t="shared" si="7"/>
        <v>Senne Lammens</v>
      </c>
    </row>
    <row r="498" spans="1:27" x14ac:dyDescent="0.25">
      <c r="A498" s="24">
        <v>1</v>
      </c>
      <c r="B498" s="24" t="s">
        <v>803</v>
      </c>
      <c r="C498" s="24" t="s">
        <v>804</v>
      </c>
      <c r="D498">
        <v>413</v>
      </c>
      <c r="E498" s="24">
        <v>0</v>
      </c>
      <c r="F498" s="25">
        <v>45</v>
      </c>
      <c r="G498" s="24">
        <v>0</v>
      </c>
      <c r="H498" s="24">
        <v>0</v>
      </c>
      <c r="I498" s="24">
        <v>16</v>
      </c>
      <c r="J498" s="24">
        <v>0</v>
      </c>
      <c r="K498" s="24">
        <v>0</v>
      </c>
      <c r="L498" s="24">
        <v>0</v>
      </c>
      <c r="M498" s="24">
        <v>0</v>
      </c>
      <c r="N498" s="24">
        <v>0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t="s">
        <v>1211</v>
      </c>
      <c r="Z498" t="b">
        <v>0</v>
      </c>
      <c r="AA498" s="24" t="str">
        <f t="shared" si="7"/>
        <v>Altay Bayındır</v>
      </c>
    </row>
    <row r="499" spans="1:27" x14ac:dyDescent="0.25">
      <c r="A499" s="24">
        <v>1</v>
      </c>
      <c r="B499" s="24" t="s">
        <v>272</v>
      </c>
      <c r="C499" s="24" t="s">
        <v>805</v>
      </c>
      <c r="D499">
        <v>414</v>
      </c>
      <c r="E499" s="24">
        <v>0</v>
      </c>
      <c r="F499" s="25">
        <v>40</v>
      </c>
      <c r="G499" s="24">
        <v>0</v>
      </c>
      <c r="H499" s="24">
        <v>0.1</v>
      </c>
      <c r="I499" s="24">
        <v>16</v>
      </c>
      <c r="J499" s="24">
        <v>0</v>
      </c>
      <c r="K499" s="24">
        <v>0</v>
      </c>
      <c r="L499" s="24">
        <v>0</v>
      </c>
      <c r="M499" s="24">
        <v>0</v>
      </c>
      <c r="N499" s="24">
        <v>0</v>
      </c>
      <c r="O499" s="24">
        <v>0</v>
      </c>
      <c r="P499" s="24">
        <v>0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t="s">
        <v>1209</v>
      </c>
      <c r="Z499" t="b">
        <v>1</v>
      </c>
      <c r="AA499" s="24" t="str">
        <f t="shared" si="7"/>
        <v>Tom Heaton</v>
      </c>
    </row>
    <row r="500" spans="1:27" x14ac:dyDescent="0.25">
      <c r="A500" s="24">
        <v>3</v>
      </c>
      <c r="B500" s="24" t="s">
        <v>806</v>
      </c>
      <c r="C500" s="24" t="s">
        <v>807</v>
      </c>
      <c r="D500">
        <v>415</v>
      </c>
      <c r="E500" s="24">
        <v>0.7</v>
      </c>
      <c r="F500" s="25">
        <v>59</v>
      </c>
      <c r="G500" s="24">
        <v>0.7</v>
      </c>
      <c r="H500" s="24">
        <v>0.7</v>
      </c>
      <c r="I500" s="24">
        <v>16</v>
      </c>
      <c r="J500" s="24">
        <v>2</v>
      </c>
      <c r="K500" s="24">
        <v>75</v>
      </c>
      <c r="L500" s="24">
        <v>0</v>
      </c>
      <c r="M500" s="24">
        <v>0</v>
      </c>
      <c r="N500" s="24">
        <v>0</v>
      </c>
      <c r="O500" s="24">
        <v>5</v>
      </c>
      <c r="P500" s="24">
        <v>0</v>
      </c>
      <c r="Q500" s="24">
        <v>0</v>
      </c>
      <c r="R500" s="24">
        <v>-4</v>
      </c>
      <c r="S500" s="24">
        <v>6</v>
      </c>
      <c r="T500" s="24">
        <v>1</v>
      </c>
      <c r="U500" s="24">
        <v>0.65</v>
      </c>
      <c r="V500" s="24">
        <v>0.05</v>
      </c>
      <c r="W500" s="24">
        <v>0.7</v>
      </c>
      <c r="X500" s="24">
        <v>2.2799999999999998</v>
      </c>
      <c r="Y500" t="s">
        <v>1208</v>
      </c>
      <c r="Z500" t="b">
        <v>1</v>
      </c>
      <c r="AA500" s="24" t="str">
        <f t="shared" si="7"/>
        <v>Patrick Dorgu</v>
      </c>
    </row>
    <row r="501" spans="1:27" x14ac:dyDescent="0.25">
      <c r="A501" s="24">
        <v>2</v>
      </c>
      <c r="B501" s="24" t="s">
        <v>808</v>
      </c>
      <c r="C501" s="24" t="s">
        <v>809</v>
      </c>
      <c r="D501">
        <v>416</v>
      </c>
      <c r="E501" s="24">
        <v>0</v>
      </c>
      <c r="F501" s="25">
        <v>50</v>
      </c>
      <c r="G501" s="24">
        <v>0</v>
      </c>
      <c r="H501" s="24">
        <v>0</v>
      </c>
      <c r="I501" s="24">
        <v>16</v>
      </c>
      <c r="J501" s="24">
        <v>0</v>
      </c>
      <c r="K501" s="24">
        <v>0</v>
      </c>
      <c r="L501" s="24">
        <v>0</v>
      </c>
      <c r="M501" s="24">
        <v>0</v>
      </c>
      <c r="N501" s="24">
        <v>0</v>
      </c>
      <c r="O501" s="24">
        <v>0</v>
      </c>
      <c r="P501" s="24">
        <v>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t="s">
        <v>1209</v>
      </c>
      <c r="Z501" t="b">
        <v>1</v>
      </c>
      <c r="AA501" s="24" t="str">
        <f t="shared" si="7"/>
        <v>Matthijs de Ligt</v>
      </c>
    </row>
    <row r="502" spans="1:27" x14ac:dyDescent="0.25">
      <c r="A502" s="24">
        <v>2</v>
      </c>
      <c r="B502" s="24" t="s">
        <v>810</v>
      </c>
      <c r="C502" s="24" t="s">
        <v>811</v>
      </c>
      <c r="D502">
        <v>417</v>
      </c>
      <c r="E502" s="24">
        <v>1.3</v>
      </c>
      <c r="F502" s="25">
        <v>49</v>
      </c>
      <c r="G502" s="24">
        <v>1.3</v>
      </c>
      <c r="H502" s="24">
        <v>2</v>
      </c>
      <c r="I502" s="24">
        <v>16</v>
      </c>
      <c r="J502" s="24">
        <v>4</v>
      </c>
      <c r="K502" s="24">
        <v>166</v>
      </c>
      <c r="L502" s="24">
        <v>0</v>
      </c>
      <c r="M502" s="24">
        <v>0</v>
      </c>
      <c r="N502" s="24">
        <v>0</v>
      </c>
      <c r="O502" s="24">
        <v>2</v>
      </c>
      <c r="P502" s="24">
        <v>0</v>
      </c>
      <c r="Q502" s="24">
        <v>0</v>
      </c>
      <c r="R502" s="24">
        <v>26</v>
      </c>
      <c r="S502" s="24">
        <v>11</v>
      </c>
      <c r="T502" s="24">
        <v>2</v>
      </c>
      <c r="U502" s="24">
        <v>0.16</v>
      </c>
      <c r="V502" s="24">
        <v>0.13</v>
      </c>
      <c r="W502" s="24">
        <v>0.28999999999999998</v>
      </c>
      <c r="X502" s="24">
        <v>1.98</v>
      </c>
      <c r="Y502" t="s">
        <v>1208</v>
      </c>
      <c r="Z502" t="b">
        <v>1</v>
      </c>
      <c r="AA502" s="24" t="str">
        <f t="shared" si="7"/>
        <v>Diogo Dalot Teixeira</v>
      </c>
    </row>
    <row r="503" spans="1:27" x14ac:dyDescent="0.25">
      <c r="A503" s="24">
        <v>2</v>
      </c>
      <c r="B503" s="24" t="s">
        <v>270</v>
      </c>
      <c r="C503" s="24" t="s">
        <v>812</v>
      </c>
      <c r="D503">
        <v>418</v>
      </c>
      <c r="E503" s="24">
        <v>2.2999999999999998</v>
      </c>
      <c r="F503" s="25">
        <v>50</v>
      </c>
      <c r="G503" s="24">
        <v>2.2999999999999998</v>
      </c>
      <c r="H503" s="24">
        <v>13.1</v>
      </c>
      <c r="I503" s="24">
        <v>16</v>
      </c>
      <c r="J503" s="24">
        <v>7</v>
      </c>
      <c r="K503" s="24">
        <v>270</v>
      </c>
      <c r="L503" s="24">
        <v>0</v>
      </c>
      <c r="M503" s="24">
        <v>1</v>
      </c>
      <c r="N503" s="24">
        <v>0</v>
      </c>
      <c r="O503" s="24">
        <v>6</v>
      </c>
      <c r="P503" s="24">
        <v>0</v>
      </c>
      <c r="Q503" s="24">
        <v>0</v>
      </c>
      <c r="R503" s="24">
        <v>29</v>
      </c>
      <c r="S503" s="24">
        <v>21</v>
      </c>
      <c r="T503" s="24">
        <v>3</v>
      </c>
      <c r="U503" s="24">
        <v>7.0000000000000007E-2</v>
      </c>
      <c r="V503" s="24">
        <v>0.42</v>
      </c>
      <c r="W503" s="24">
        <v>0.49</v>
      </c>
      <c r="X503" s="24">
        <v>4.08</v>
      </c>
      <c r="Y503" t="s">
        <v>1208</v>
      </c>
      <c r="Z503" t="b">
        <v>1</v>
      </c>
      <c r="AA503" s="24" t="str">
        <f t="shared" si="7"/>
        <v>Harry Maguire</v>
      </c>
    </row>
    <row r="504" spans="1:27" x14ac:dyDescent="0.25">
      <c r="A504" s="24">
        <v>2</v>
      </c>
      <c r="B504" s="24" t="s">
        <v>813</v>
      </c>
      <c r="C504" s="24" t="s">
        <v>814</v>
      </c>
      <c r="D504">
        <v>419</v>
      </c>
      <c r="E504" s="24">
        <v>1.3</v>
      </c>
      <c r="F504" s="25">
        <v>50</v>
      </c>
      <c r="G504" s="24">
        <v>2</v>
      </c>
      <c r="H504" s="24">
        <v>1.2</v>
      </c>
      <c r="I504" s="24">
        <v>16</v>
      </c>
      <c r="J504" s="24">
        <v>4</v>
      </c>
      <c r="K504" s="24">
        <v>180</v>
      </c>
      <c r="L504" s="24">
        <v>0</v>
      </c>
      <c r="M504" s="24">
        <v>0</v>
      </c>
      <c r="N504" s="24">
        <v>0</v>
      </c>
      <c r="O504" s="24">
        <v>4</v>
      </c>
      <c r="P504" s="24">
        <v>0</v>
      </c>
      <c r="Q504" s="24">
        <v>0</v>
      </c>
      <c r="R504" s="24">
        <v>9</v>
      </c>
      <c r="S504" s="24">
        <v>10</v>
      </c>
      <c r="T504" s="24">
        <v>2</v>
      </c>
      <c r="U504" s="24">
        <v>0.03</v>
      </c>
      <c r="V504" s="24">
        <v>0.06</v>
      </c>
      <c r="W504" s="24">
        <v>0.09</v>
      </c>
      <c r="X504" s="24">
        <v>3.07</v>
      </c>
      <c r="Y504" t="s">
        <v>1208</v>
      </c>
      <c r="Z504" t="b">
        <v>1</v>
      </c>
      <c r="AA504" s="24" t="str">
        <f t="shared" si="7"/>
        <v>Lisandro Martínez</v>
      </c>
    </row>
    <row r="505" spans="1:27" x14ac:dyDescent="0.25">
      <c r="A505" s="24">
        <v>2</v>
      </c>
      <c r="B505" s="24" t="s">
        <v>815</v>
      </c>
      <c r="C505" s="24" t="s">
        <v>816</v>
      </c>
      <c r="D505">
        <v>420</v>
      </c>
      <c r="E505" s="24">
        <v>0.7</v>
      </c>
      <c r="F505" s="25">
        <v>49</v>
      </c>
      <c r="G505" s="24">
        <v>1</v>
      </c>
      <c r="H505" s="24">
        <v>0.5</v>
      </c>
      <c r="I505" s="24">
        <v>16</v>
      </c>
      <c r="J505" s="24">
        <v>2</v>
      </c>
      <c r="K505" s="24">
        <v>22</v>
      </c>
      <c r="L505" s="24">
        <v>0</v>
      </c>
      <c r="M505" s="24">
        <v>0</v>
      </c>
      <c r="N505" s="24">
        <v>0</v>
      </c>
      <c r="O505" s="24">
        <v>2</v>
      </c>
      <c r="P505" s="24">
        <v>0</v>
      </c>
      <c r="Q505" s="24">
        <v>0</v>
      </c>
      <c r="R505" s="24">
        <v>-1</v>
      </c>
      <c r="S505" s="24">
        <v>5</v>
      </c>
      <c r="T505" s="24">
        <v>0</v>
      </c>
      <c r="U505" s="24">
        <v>0</v>
      </c>
      <c r="V505" s="24">
        <v>0.02</v>
      </c>
      <c r="W505" s="24">
        <v>0.02</v>
      </c>
      <c r="X505" s="24">
        <v>1.0900000000000001</v>
      </c>
      <c r="Y505" t="s">
        <v>1208</v>
      </c>
      <c r="Z505" t="b">
        <v>1</v>
      </c>
      <c r="AA505" s="24" t="str">
        <f t="shared" si="7"/>
        <v>Leny Yoro</v>
      </c>
    </row>
    <row r="506" spans="1:27" x14ac:dyDescent="0.25">
      <c r="A506" s="24">
        <v>2</v>
      </c>
      <c r="B506" s="24" t="s">
        <v>817</v>
      </c>
      <c r="C506" s="24" t="s">
        <v>818</v>
      </c>
      <c r="D506">
        <v>421</v>
      </c>
      <c r="E506" s="24">
        <v>0.3</v>
      </c>
      <c r="F506" s="25">
        <v>44</v>
      </c>
      <c r="G506" s="24">
        <v>1</v>
      </c>
      <c r="H506" s="24">
        <v>0.3</v>
      </c>
      <c r="I506" s="24">
        <v>16</v>
      </c>
      <c r="J506" s="24">
        <v>1</v>
      </c>
      <c r="K506" s="24">
        <v>90</v>
      </c>
      <c r="L506" s="24">
        <v>0</v>
      </c>
      <c r="M506" s="24">
        <v>0</v>
      </c>
      <c r="N506" s="24">
        <v>0</v>
      </c>
      <c r="O506" s="24">
        <v>2</v>
      </c>
      <c r="P506" s="24">
        <v>0</v>
      </c>
      <c r="Q506" s="24">
        <v>0</v>
      </c>
      <c r="R506" s="24">
        <v>5</v>
      </c>
      <c r="S506" s="24">
        <v>2</v>
      </c>
      <c r="T506" s="24">
        <v>1</v>
      </c>
      <c r="U506" s="24">
        <v>0.12</v>
      </c>
      <c r="V506" s="24">
        <v>0.04</v>
      </c>
      <c r="W506" s="24">
        <v>0.16</v>
      </c>
      <c r="X506" s="24">
        <v>1.01</v>
      </c>
      <c r="Y506" t="s">
        <v>1208</v>
      </c>
      <c r="Z506" t="b">
        <v>1</v>
      </c>
      <c r="AA506" s="24" t="str">
        <f t="shared" si="7"/>
        <v>Ayden Heaven</v>
      </c>
    </row>
    <row r="507" spans="1:27" x14ac:dyDescent="0.25">
      <c r="A507" s="24">
        <v>2</v>
      </c>
      <c r="B507" s="24" t="s">
        <v>819</v>
      </c>
      <c r="C507" s="24" t="s">
        <v>820</v>
      </c>
      <c r="D507">
        <v>422</v>
      </c>
      <c r="E507" s="24">
        <v>1</v>
      </c>
      <c r="F507" s="25">
        <v>45</v>
      </c>
      <c r="G507" s="24">
        <v>1</v>
      </c>
      <c r="H507" s="24">
        <v>0.6</v>
      </c>
      <c r="I507" s="24">
        <v>16</v>
      </c>
      <c r="J507" s="24">
        <v>3</v>
      </c>
      <c r="K507" s="24">
        <v>97</v>
      </c>
      <c r="L507" s="24">
        <v>0</v>
      </c>
      <c r="M507" s="24">
        <v>0</v>
      </c>
      <c r="N507" s="24">
        <v>0</v>
      </c>
      <c r="O507" s="24">
        <v>4</v>
      </c>
      <c r="P507" s="24">
        <v>0</v>
      </c>
      <c r="Q507" s="24">
        <v>0</v>
      </c>
      <c r="R507" s="24">
        <v>6</v>
      </c>
      <c r="S507" s="24">
        <v>6</v>
      </c>
      <c r="T507" s="24">
        <v>1</v>
      </c>
      <c r="U507" s="24">
        <v>0.22</v>
      </c>
      <c r="V507" s="24">
        <v>0.06</v>
      </c>
      <c r="W507" s="24">
        <v>0.28000000000000003</v>
      </c>
      <c r="X507" s="24">
        <v>2.08</v>
      </c>
      <c r="Y507" t="s">
        <v>1208</v>
      </c>
      <c r="Z507" t="b">
        <v>1</v>
      </c>
      <c r="AA507" s="24" t="str">
        <f t="shared" si="7"/>
        <v>Noussair Mazraoui</v>
      </c>
    </row>
    <row r="508" spans="1:27" x14ac:dyDescent="0.25">
      <c r="A508" s="24">
        <v>2</v>
      </c>
      <c r="B508" s="24" t="s">
        <v>375</v>
      </c>
      <c r="C508" s="24" t="s">
        <v>821</v>
      </c>
      <c r="D508">
        <v>423</v>
      </c>
      <c r="E508" s="24">
        <v>2.2999999999999998</v>
      </c>
      <c r="F508" s="25">
        <v>44</v>
      </c>
      <c r="G508" s="24">
        <v>2.2999999999999998</v>
      </c>
      <c r="H508" s="24">
        <v>14.5</v>
      </c>
      <c r="I508" s="24">
        <v>16</v>
      </c>
      <c r="J508" s="24">
        <v>7</v>
      </c>
      <c r="K508" s="24">
        <v>252</v>
      </c>
      <c r="L508" s="24">
        <v>0</v>
      </c>
      <c r="M508" s="24">
        <v>1</v>
      </c>
      <c r="N508" s="24">
        <v>0</v>
      </c>
      <c r="O508" s="24">
        <v>4</v>
      </c>
      <c r="P508" s="24">
        <v>0</v>
      </c>
      <c r="Q508" s="24">
        <v>0</v>
      </c>
      <c r="R508" s="24">
        <v>47</v>
      </c>
      <c r="S508" s="24">
        <v>20</v>
      </c>
      <c r="T508" s="24">
        <v>3</v>
      </c>
      <c r="U508" s="24">
        <v>0.02</v>
      </c>
      <c r="V508" s="24">
        <v>0.51</v>
      </c>
      <c r="W508" s="24">
        <v>0.53</v>
      </c>
      <c r="X508" s="24">
        <v>3.01</v>
      </c>
      <c r="Y508" t="s">
        <v>1208</v>
      </c>
      <c r="Z508" t="b">
        <v>1</v>
      </c>
      <c r="AA508" s="24" t="str">
        <f t="shared" si="7"/>
        <v>Luke Shaw</v>
      </c>
    </row>
    <row r="509" spans="1:27" x14ac:dyDescent="0.25">
      <c r="A509" s="24">
        <v>2</v>
      </c>
      <c r="B509" s="24" t="s">
        <v>270</v>
      </c>
      <c r="C509" s="24" t="s">
        <v>822</v>
      </c>
      <c r="D509">
        <v>424</v>
      </c>
      <c r="E509" s="24">
        <v>0</v>
      </c>
      <c r="F509" s="25">
        <v>40</v>
      </c>
      <c r="G509" s="24">
        <v>0</v>
      </c>
      <c r="H509" s="24">
        <v>0.2</v>
      </c>
      <c r="I509" s="24">
        <v>16</v>
      </c>
      <c r="J509" s="24">
        <v>0</v>
      </c>
      <c r="K509" s="24">
        <v>0</v>
      </c>
      <c r="L509" s="24">
        <v>0</v>
      </c>
      <c r="M509" s="24">
        <v>0</v>
      </c>
      <c r="N509" s="24">
        <v>0</v>
      </c>
      <c r="O509" s="24">
        <v>0</v>
      </c>
      <c r="P509" s="24">
        <v>0</v>
      </c>
      <c r="Q509" s="24">
        <v>0</v>
      </c>
      <c r="R509" s="24">
        <v>0</v>
      </c>
      <c r="S509" s="24">
        <v>0</v>
      </c>
      <c r="T509" s="24">
        <v>0</v>
      </c>
      <c r="U509" s="24">
        <v>0</v>
      </c>
      <c r="V509" s="24">
        <v>0</v>
      </c>
      <c r="W509" s="24">
        <v>0</v>
      </c>
      <c r="X509" s="24">
        <v>0</v>
      </c>
      <c r="Y509" t="s">
        <v>1208</v>
      </c>
      <c r="Z509" t="b">
        <v>1</v>
      </c>
      <c r="AA509" s="24" t="str">
        <f t="shared" si="7"/>
        <v>Harry Amass</v>
      </c>
    </row>
    <row r="510" spans="1:27" x14ac:dyDescent="0.25">
      <c r="A510" s="24">
        <v>2</v>
      </c>
      <c r="B510" s="24" t="s">
        <v>161</v>
      </c>
      <c r="C510" s="24" t="s">
        <v>823</v>
      </c>
      <c r="D510">
        <v>425</v>
      </c>
      <c r="E510" s="24">
        <v>0</v>
      </c>
      <c r="F510" s="25">
        <v>40</v>
      </c>
      <c r="G510" s="24">
        <v>0</v>
      </c>
      <c r="H510" s="24">
        <v>0</v>
      </c>
      <c r="I510" s="24">
        <v>16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t="s">
        <v>1211</v>
      </c>
      <c r="Z510" t="b">
        <v>0</v>
      </c>
      <c r="AA510" s="24" t="str">
        <f t="shared" si="7"/>
        <v>Tyler Fredricson</v>
      </c>
    </row>
    <row r="511" spans="1:27" x14ac:dyDescent="0.25">
      <c r="A511" s="24">
        <v>3</v>
      </c>
      <c r="B511" s="24" t="s">
        <v>70</v>
      </c>
      <c r="C511" s="24" t="s">
        <v>824</v>
      </c>
      <c r="D511">
        <v>426</v>
      </c>
      <c r="E511" s="24">
        <v>9</v>
      </c>
      <c r="F511" s="25">
        <v>120</v>
      </c>
      <c r="G511" s="24">
        <v>9</v>
      </c>
      <c r="H511" s="24">
        <v>47.4</v>
      </c>
      <c r="I511" s="24">
        <v>16</v>
      </c>
      <c r="J511" s="24">
        <v>27</v>
      </c>
      <c r="K511" s="24">
        <v>270</v>
      </c>
      <c r="L511" s="24">
        <v>3</v>
      </c>
      <c r="M511" s="24">
        <v>1</v>
      </c>
      <c r="N511" s="24">
        <v>0</v>
      </c>
      <c r="O511" s="24">
        <v>6</v>
      </c>
      <c r="P511" s="24">
        <v>0</v>
      </c>
      <c r="Q511" s="24">
        <v>3</v>
      </c>
      <c r="R511" s="24">
        <v>116</v>
      </c>
      <c r="S511" s="24">
        <v>16</v>
      </c>
      <c r="T511" s="24">
        <v>3</v>
      </c>
      <c r="U511" s="24">
        <v>2.25</v>
      </c>
      <c r="V511" s="24">
        <v>0.8</v>
      </c>
      <c r="W511" s="24">
        <v>3.05</v>
      </c>
      <c r="X511" s="24">
        <v>4.08</v>
      </c>
      <c r="Y511" t="s">
        <v>1208</v>
      </c>
      <c r="Z511" t="b">
        <v>1</v>
      </c>
      <c r="AA511" s="24" t="str">
        <f t="shared" si="7"/>
        <v>Bruno Borges Fernandes</v>
      </c>
    </row>
    <row r="512" spans="1:27" x14ac:dyDescent="0.25">
      <c r="A512" s="24">
        <v>3</v>
      </c>
      <c r="B512" s="24" t="s">
        <v>825</v>
      </c>
      <c r="C512" s="24" t="s">
        <v>826</v>
      </c>
      <c r="D512">
        <v>427</v>
      </c>
      <c r="E512" s="24">
        <v>7</v>
      </c>
      <c r="F512" s="25">
        <v>79</v>
      </c>
      <c r="G512" s="24">
        <v>7</v>
      </c>
      <c r="H512" s="24">
        <v>26</v>
      </c>
      <c r="I512" s="24">
        <v>16</v>
      </c>
      <c r="J512" s="24">
        <v>21</v>
      </c>
      <c r="K512" s="24">
        <v>270</v>
      </c>
      <c r="L512" s="24">
        <v>2</v>
      </c>
      <c r="M512" s="24">
        <v>1</v>
      </c>
      <c r="N512" s="24">
        <v>0</v>
      </c>
      <c r="O512" s="24">
        <v>6</v>
      </c>
      <c r="P512" s="24">
        <v>0</v>
      </c>
      <c r="Q512" s="24">
        <v>3</v>
      </c>
      <c r="R512" s="24">
        <v>78</v>
      </c>
      <c r="S512" s="24">
        <v>17</v>
      </c>
      <c r="T512" s="24">
        <v>3</v>
      </c>
      <c r="U512" s="24">
        <v>2.31</v>
      </c>
      <c r="V512" s="24">
        <v>0.47</v>
      </c>
      <c r="W512" s="24">
        <v>2.78</v>
      </c>
      <c r="X512" s="24">
        <v>4.08</v>
      </c>
      <c r="Y512" t="s">
        <v>1208</v>
      </c>
      <c r="Z512" t="b">
        <v>1</v>
      </c>
      <c r="AA512" s="24" t="str">
        <f t="shared" si="7"/>
        <v>Bryan Mbeumo</v>
      </c>
    </row>
    <row r="513" spans="1:27" x14ac:dyDescent="0.25">
      <c r="A513" s="24">
        <v>3</v>
      </c>
      <c r="B513" s="24" t="s">
        <v>442</v>
      </c>
      <c r="C513" s="24" t="s">
        <v>827</v>
      </c>
      <c r="D513">
        <v>428</v>
      </c>
      <c r="E513" s="24">
        <v>4.7</v>
      </c>
      <c r="F513" s="25">
        <v>79</v>
      </c>
      <c r="G513" s="24">
        <v>4.7</v>
      </c>
      <c r="H513" s="24">
        <v>7.3</v>
      </c>
      <c r="I513" s="24">
        <v>16</v>
      </c>
      <c r="J513" s="24">
        <v>14</v>
      </c>
      <c r="K513" s="24">
        <v>227</v>
      </c>
      <c r="L513" s="24">
        <v>0</v>
      </c>
      <c r="M513" s="24">
        <v>2</v>
      </c>
      <c r="N513" s="24">
        <v>1</v>
      </c>
      <c r="O513" s="24">
        <v>3</v>
      </c>
      <c r="P513" s="24">
        <v>0</v>
      </c>
      <c r="Q513" s="24">
        <v>1</v>
      </c>
      <c r="R513" s="24">
        <v>55</v>
      </c>
      <c r="S513" s="24">
        <v>8</v>
      </c>
      <c r="T513" s="24">
        <v>3</v>
      </c>
      <c r="U513" s="24">
        <v>0.47</v>
      </c>
      <c r="V513" s="24">
        <v>0.41</v>
      </c>
      <c r="W513" s="24">
        <v>0.88</v>
      </c>
      <c r="X513" s="24">
        <v>2.72</v>
      </c>
      <c r="Y513" t="s">
        <v>1208</v>
      </c>
      <c r="Z513" t="b">
        <v>1</v>
      </c>
      <c r="AA513" s="24" t="str">
        <f t="shared" si="7"/>
        <v>Matheus Santos Carneiro da Cunha</v>
      </c>
    </row>
    <row r="514" spans="1:27" x14ac:dyDescent="0.25">
      <c r="A514" s="24">
        <v>3</v>
      </c>
      <c r="B514" s="24" t="s">
        <v>151</v>
      </c>
      <c r="C514" s="24" t="s">
        <v>828</v>
      </c>
      <c r="D514">
        <v>429</v>
      </c>
      <c r="E514" s="24">
        <v>2</v>
      </c>
      <c r="F514" s="25">
        <v>70</v>
      </c>
      <c r="G514" s="24">
        <v>2</v>
      </c>
      <c r="H514" s="24">
        <v>1.6</v>
      </c>
      <c r="I514" s="24">
        <v>16</v>
      </c>
      <c r="J514" s="24">
        <v>6</v>
      </c>
      <c r="K514" s="24">
        <v>193</v>
      </c>
      <c r="L514" s="24">
        <v>0</v>
      </c>
      <c r="M514" s="24">
        <v>0</v>
      </c>
      <c r="N514" s="24">
        <v>1</v>
      </c>
      <c r="O514" s="24">
        <v>1</v>
      </c>
      <c r="P514" s="24">
        <v>0</v>
      </c>
      <c r="Q514" s="24">
        <v>0</v>
      </c>
      <c r="R514" s="24">
        <v>37</v>
      </c>
      <c r="S514" s="24">
        <v>11</v>
      </c>
      <c r="T514" s="24">
        <v>2</v>
      </c>
      <c r="U514" s="24">
        <v>0.26</v>
      </c>
      <c r="V514" s="24">
        <v>0.21</v>
      </c>
      <c r="W514" s="24">
        <v>0.47</v>
      </c>
      <c r="X514" s="24">
        <v>1.8</v>
      </c>
      <c r="Y514" t="s">
        <v>1208</v>
      </c>
      <c r="Z514" t="b">
        <v>1</v>
      </c>
      <c r="AA514" s="24" t="str">
        <f t="shared" ref="AA514:AA577" si="8">B514&amp;" "&amp;C514</f>
        <v>Marcus Rashford</v>
      </c>
    </row>
    <row r="515" spans="1:27" x14ac:dyDescent="0.25">
      <c r="A515" s="24">
        <v>3</v>
      </c>
      <c r="B515" s="24" t="s">
        <v>583</v>
      </c>
      <c r="C515" s="24" t="s">
        <v>829</v>
      </c>
      <c r="D515">
        <v>430</v>
      </c>
      <c r="E515" s="24">
        <v>0</v>
      </c>
      <c r="F515" s="25">
        <v>54</v>
      </c>
      <c r="G515" s="24">
        <v>0</v>
      </c>
      <c r="H515" s="24">
        <v>0</v>
      </c>
      <c r="I515" s="24">
        <v>16</v>
      </c>
      <c r="J515" s="24">
        <v>0</v>
      </c>
      <c r="K515" s="24">
        <v>0</v>
      </c>
      <c r="L515" s="24">
        <v>0</v>
      </c>
      <c r="M515" s="24">
        <v>0</v>
      </c>
      <c r="N515" s="24">
        <v>0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t="s">
        <v>1208</v>
      </c>
      <c r="Z515" t="b">
        <v>1</v>
      </c>
      <c r="AA515" s="24" t="str">
        <f t="shared" si="8"/>
        <v>Mason Mount</v>
      </c>
    </row>
    <row r="516" spans="1:27" x14ac:dyDescent="0.25">
      <c r="A516" s="24">
        <v>3</v>
      </c>
      <c r="B516" s="24" t="s">
        <v>830</v>
      </c>
      <c r="C516" s="24" t="s">
        <v>831</v>
      </c>
      <c r="D516">
        <v>431</v>
      </c>
      <c r="E516" s="24">
        <v>0</v>
      </c>
      <c r="F516" s="25">
        <v>58</v>
      </c>
      <c r="G516" s="24">
        <v>0</v>
      </c>
      <c r="H516" s="24">
        <v>0.4</v>
      </c>
      <c r="I516" s="24">
        <v>16</v>
      </c>
      <c r="J516" s="24">
        <v>0</v>
      </c>
      <c r="K516" s="24">
        <v>0</v>
      </c>
      <c r="L516" s="24">
        <v>0</v>
      </c>
      <c r="M516" s="24">
        <v>0</v>
      </c>
      <c r="N516" s="24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t="s">
        <v>1209</v>
      </c>
      <c r="Z516" t="b">
        <v>1</v>
      </c>
      <c r="AA516" s="24" t="str">
        <f t="shared" si="8"/>
        <v>Amad Diallo</v>
      </c>
    </row>
    <row r="517" spans="1:27" x14ac:dyDescent="0.25">
      <c r="A517" s="24">
        <v>3</v>
      </c>
      <c r="B517" s="24" t="s">
        <v>832</v>
      </c>
      <c r="C517" s="24" t="s">
        <v>833</v>
      </c>
      <c r="D517">
        <v>432</v>
      </c>
      <c r="E517" s="24">
        <v>4.7</v>
      </c>
      <c r="F517" s="25">
        <v>55</v>
      </c>
      <c r="G517" s="24">
        <v>4.7</v>
      </c>
      <c r="H517" s="24">
        <v>1.2</v>
      </c>
      <c r="I517" s="24">
        <v>16</v>
      </c>
      <c r="J517" s="24">
        <v>14</v>
      </c>
      <c r="K517" s="24">
        <v>185</v>
      </c>
      <c r="L517" s="24">
        <v>0</v>
      </c>
      <c r="M517" s="24">
        <v>1</v>
      </c>
      <c r="N517" s="24">
        <v>0</v>
      </c>
      <c r="O517" s="24">
        <v>2</v>
      </c>
      <c r="P517" s="24">
        <v>0</v>
      </c>
      <c r="Q517" s="24">
        <v>2</v>
      </c>
      <c r="R517" s="24">
        <v>64</v>
      </c>
      <c r="S517" s="24">
        <v>31</v>
      </c>
      <c r="T517" s="24">
        <v>2</v>
      </c>
      <c r="U517" s="24">
        <v>0.21</v>
      </c>
      <c r="V517" s="24">
        <v>0.35</v>
      </c>
      <c r="W517" s="24">
        <v>0.56000000000000005</v>
      </c>
      <c r="X517" s="24">
        <v>2.0499999999999998</v>
      </c>
      <c r="Y517" t="s">
        <v>1208</v>
      </c>
      <c r="Z517" t="b">
        <v>1</v>
      </c>
      <c r="AA517" s="24" t="str">
        <f t="shared" si="8"/>
        <v>Kobbie Mainoo</v>
      </c>
    </row>
    <row r="518" spans="1:27" x14ac:dyDescent="0.25">
      <c r="A518" s="24">
        <v>3</v>
      </c>
      <c r="B518" s="24" t="s">
        <v>834</v>
      </c>
      <c r="C518" s="24" t="s">
        <v>835</v>
      </c>
      <c r="D518">
        <v>433</v>
      </c>
      <c r="E518" s="24">
        <v>0</v>
      </c>
      <c r="F518" s="25">
        <v>50</v>
      </c>
      <c r="G518" s="24">
        <v>0</v>
      </c>
      <c r="H518" s="24">
        <v>0</v>
      </c>
      <c r="I518" s="24">
        <v>16</v>
      </c>
      <c r="J518" s="24">
        <v>0</v>
      </c>
      <c r="K518" s="24">
        <v>0</v>
      </c>
      <c r="L518" s="24">
        <v>0</v>
      </c>
      <c r="M518" s="24">
        <v>0</v>
      </c>
      <c r="N518" s="24">
        <v>0</v>
      </c>
      <c r="O518" s="24">
        <v>0</v>
      </c>
      <c r="P518" s="24">
        <v>0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t="s">
        <v>1209</v>
      </c>
      <c r="Z518" t="b">
        <v>1</v>
      </c>
      <c r="AA518" s="24" t="str">
        <f t="shared" si="8"/>
        <v>Manuel Ugarte Ribeiro</v>
      </c>
    </row>
    <row r="519" spans="1:27" x14ac:dyDescent="0.25">
      <c r="A519" s="24">
        <v>3</v>
      </c>
      <c r="B519" s="24" t="s">
        <v>253</v>
      </c>
      <c r="C519" s="24" t="s">
        <v>836</v>
      </c>
      <c r="D519">
        <v>434</v>
      </c>
      <c r="E519" s="24">
        <v>0</v>
      </c>
      <c r="F519" s="25">
        <v>50</v>
      </c>
      <c r="G519" s="24">
        <v>0</v>
      </c>
      <c r="H519" s="24">
        <v>0</v>
      </c>
      <c r="I519" s="24">
        <v>16</v>
      </c>
      <c r="J519" s="24">
        <v>0</v>
      </c>
      <c r="K519" s="24">
        <v>0</v>
      </c>
      <c r="L519" s="24">
        <v>0</v>
      </c>
      <c r="M519" s="24">
        <v>0</v>
      </c>
      <c r="N519" s="24">
        <v>0</v>
      </c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t="s">
        <v>1208</v>
      </c>
      <c r="Z519" t="b">
        <v>1</v>
      </c>
      <c r="AA519" s="24" t="str">
        <f t="shared" si="8"/>
        <v>Jack Fletcher</v>
      </c>
    </row>
    <row r="520" spans="1:27" x14ac:dyDescent="0.25">
      <c r="A520" s="24">
        <v>3</v>
      </c>
      <c r="B520" s="24" t="s">
        <v>538</v>
      </c>
      <c r="C520" s="24" t="s">
        <v>837</v>
      </c>
      <c r="D520">
        <v>435</v>
      </c>
      <c r="E520" s="24">
        <v>0.3</v>
      </c>
      <c r="F520" s="25">
        <v>50</v>
      </c>
      <c r="G520" s="24">
        <v>1</v>
      </c>
      <c r="H520" s="24">
        <v>0.1</v>
      </c>
      <c r="I520" s="24">
        <v>16</v>
      </c>
      <c r="J520" s="24">
        <v>1</v>
      </c>
      <c r="K520" s="24">
        <v>10</v>
      </c>
      <c r="L520" s="24">
        <v>0</v>
      </c>
      <c r="M520" s="24">
        <v>0</v>
      </c>
      <c r="N520" s="24">
        <v>0</v>
      </c>
      <c r="O520" s="24">
        <v>0</v>
      </c>
      <c r="P520" s="24">
        <v>0</v>
      </c>
      <c r="Q520" s="24">
        <v>0</v>
      </c>
      <c r="R520" s="24">
        <v>3</v>
      </c>
      <c r="S520" s="24">
        <v>1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t="s">
        <v>1208</v>
      </c>
      <c r="Z520" t="b">
        <v>1</v>
      </c>
      <c r="AA520" s="24" t="str">
        <f t="shared" si="8"/>
        <v>Shea Lacey</v>
      </c>
    </row>
    <row r="521" spans="1:27" x14ac:dyDescent="0.25">
      <c r="A521" s="24">
        <v>3</v>
      </c>
      <c r="B521" s="24" t="s">
        <v>838</v>
      </c>
      <c r="C521" s="24" t="s">
        <v>839</v>
      </c>
      <c r="D521">
        <v>436</v>
      </c>
      <c r="E521" s="24">
        <v>0</v>
      </c>
      <c r="F521" s="25">
        <v>50</v>
      </c>
      <c r="G521" s="24">
        <v>0</v>
      </c>
      <c r="H521" s="24">
        <v>0</v>
      </c>
      <c r="I521" s="24">
        <v>16</v>
      </c>
      <c r="J521" s="24">
        <v>0</v>
      </c>
      <c r="K521" s="24">
        <v>0</v>
      </c>
      <c r="L521" s="24">
        <v>0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t="s">
        <v>1211</v>
      </c>
      <c r="Z521" t="b">
        <v>0</v>
      </c>
      <c r="AA521" s="24" t="str">
        <f t="shared" si="8"/>
        <v>Toby Collyer</v>
      </c>
    </row>
    <row r="522" spans="1:27" x14ac:dyDescent="0.25">
      <c r="A522" s="24">
        <v>3</v>
      </c>
      <c r="B522" s="24" t="s">
        <v>840</v>
      </c>
      <c r="C522" s="24" t="s">
        <v>841</v>
      </c>
      <c r="D522">
        <v>437</v>
      </c>
      <c r="E522" s="24">
        <v>0</v>
      </c>
      <c r="F522" s="25">
        <v>45</v>
      </c>
      <c r="G522" s="24">
        <v>0</v>
      </c>
      <c r="H522" s="24">
        <v>0.2</v>
      </c>
      <c r="I522" s="24">
        <v>16</v>
      </c>
      <c r="J522" s="24">
        <v>0</v>
      </c>
      <c r="K522" s="24">
        <v>0</v>
      </c>
      <c r="L522" s="24">
        <v>0</v>
      </c>
      <c r="M522" s="24">
        <v>0</v>
      </c>
      <c r="N522" s="24">
        <v>0</v>
      </c>
      <c r="O522" s="24">
        <v>0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t="s">
        <v>1208</v>
      </c>
      <c r="Z522" t="b">
        <v>1</v>
      </c>
      <c r="AA522" s="24" t="str">
        <f t="shared" si="8"/>
        <v>Bendito Mantato</v>
      </c>
    </row>
    <row r="523" spans="1:27" x14ac:dyDescent="0.25">
      <c r="A523" s="24">
        <v>3</v>
      </c>
      <c r="B523" s="24" t="s">
        <v>161</v>
      </c>
      <c r="C523" s="24" t="s">
        <v>836</v>
      </c>
      <c r="D523">
        <v>438</v>
      </c>
      <c r="E523" s="24">
        <v>0</v>
      </c>
      <c r="F523" s="25">
        <v>45</v>
      </c>
      <c r="G523" s="24">
        <v>0</v>
      </c>
      <c r="H523" s="24">
        <v>0.3</v>
      </c>
      <c r="I523" s="24">
        <v>16</v>
      </c>
      <c r="J523" s="24">
        <v>0</v>
      </c>
      <c r="K523" s="24">
        <v>0</v>
      </c>
      <c r="L523" s="24">
        <v>0</v>
      </c>
      <c r="M523" s="24">
        <v>0</v>
      </c>
      <c r="N523" s="24">
        <v>0</v>
      </c>
      <c r="O523" s="24">
        <v>0</v>
      </c>
      <c r="P523" s="24">
        <v>0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t="s">
        <v>1208</v>
      </c>
      <c r="Z523" t="b">
        <v>1</v>
      </c>
      <c r="AA523" s="24" t="str">
        <f t="shared" si="8"/>
        <v>Tyler Fletcher</v>
      </c>
    </row>
    <row r="524" spans="1:27" x14ac:dyDescent="0.25">
      <c r="A524" s="24">
        <v>4</v>
      </c>
      <c r="B524" s="24" t="s">
        <v>38</v>
      </c>
      <c r="C524" s="24" t="s">
        <v>842</v>
      </c>
      <c r="D524">
        <v>439</v>
      </c>
      <c r="E524" s="24">
        <v>2.2999999999999998</v>
      </c>
      <c r="F524" s="25">
        <v>70</v>
      </c>
      <c r="G524" s="24">
        <v>2.2999999999999998</v>
      </c>
      <c r="H524" s="24">
        <v>1.6</v>
      </c>
      <c r="I524" s="24">
        <v>16</v>
      </c>
      <c r="J524" s="24">
        <v>7</v>
      </c>
      <c r="K524" s="24">
        <v>53</v>
      </c>
      <c r="L524" s="24">
        <v>1</v>
      </c>
      <c r="M524" s="24">
        <v>0</v>
      </c>
      <c r="N524" s="24">
        <v>0</v>
      </c>
      <c r="O524" s="24">
        <v>3</v>
      </c>
      <c r="P524" s="24">
        <v>0</v>
      </c>
      <c r="Q524" s="24">
        <v>0</v>
      </c>
      <c r="R524" s="24">
        <v>35</v>
      </c>
      <c r="S524" s="24">
        <v>3</v>
      </c>
      <c r="T524" s="24">
        <v>0</v>
      </c>
      <c r="U524" s="24">
        <v>0.33</v>
      </c>
      <c r="V524" s="24">
        <v>0.01</v>
      </c>
      <c r="W524" s="24">
        <v>0.34</v>
      </c>
      <c r="X524" s="24">
        <v>1.43</v>
      </c>
      <c r="Y524" t="s">
        <v>1208</v>
      </c>
      <c r="Z524" t="b">
        <v>1</v>
      </c>
      <c r="AA524" s="24" t="str">
        <f t="shared" si="8"/>
        <v>Benjamin Sesko</v>
      </c>
    </row>
    <row r="525" spans="1:27" x14ac:dyDescent="0.25">
      <c r="A525" s="24">
        <v>4</v>
      </c>
      <c r="B525" s="24" t="s">
        <v>843</v>
      </c>
      <c r="C525" s="24" t="s">
        <v>844</v>
      </c>
      <c r="D525">
        <v>440</v>
      </c>
      <c r="E525" s="24">
        <v>0</v>
      </c>
      <c r="F525" s="25">
        <v>54</v>
      </c>
      <c r="G525" s="24">
        <v>0</v>
      </c>
      <c r="H525" s="24">
        <v>0.5</v>
      </c>
      <c r="I525" s="24">
        <v>16</v>
      </c>
      <c r="J525" s="24">
        <v>0</v>
      </c>
      <c r="K525" s="24">
        <v>0</v>
      </c>
      <c r="L525" s="24">
        <v>0</v>
      </c>
      <c r="M525" s="24">
        <v>0</v>
      </c>
      <c r="N525" s="24">
        <v>0</v>
      </c>
      <c r="O525" s="24">
        <v>0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t="s">
        <v>1208</v>
      </c>
      <c r="Z525" t="b">
        <v>1</v>
      </c>
      <c r="AA525" s="24" t="str">
        <f t="shared" si="8"/>
        <v>Joshua Zirkzee</v>
      </c>
    </row>
    <row r="526" spans="1:27" x14ac:dyDescent="0.25">
      <c r="A526" s="24">
        <v>4</v>
      </c>
      <c r="B526" s="24" t="s">
        <v>845</v>
      </c>
      <c r="C526" s="24" t="s">
        <v>846</v>
      </c>
      <c r="D526">
        <v>441</v>
      </c>
      <c r="E526" s="24">
        <v>0</v>
      </c>
      <c r="F526" s="25">
        <v>45</v>
      </c>
      <c r="G526" s="24">
        <v>0</v>
      </c>
      <c r="H526" s="24">
        <v>1.2</v>
      </c>
      <c r="I526" s="24">
        <v>16</v>
      </c>
      <c r="J526" s="24">
        <v>0</v>
      </c>
      <c r="K526" s="24">
        <v>0</v>
      </c>
      <c r="L526" s="24">
        <v>0</v>
      </c>
      <c r="M526" s="24">
        <v>0</v>
      </c>
      <c r="N526" s="24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t="s">
        <v>1208</v>
      </c>
      <c r="Z526" t="b">
        <v>1</v>
      </c>
      <c r="AA526" s="24" t="str">
        <f t="shared" si="8"/>
        <v>Chido Obi</v>
      </c>
    </row>
    <row r="527" spans="1:27" x14ac:dyDescent="0.25">
      <c r="A527" s="24">
        <v>3</v>
      </c>
      <c r="B527" s="24" t="s">
        <v>752</v>
      </c>
      <c r="C527" s="24" t="s">
        <v>782</v>
      </c>
      <c r="D527">
        <v>405</v>
      </c>
      <c r="E527" s="24">
        <v>1.3</v>
      </c>
      <c r="F527" s="25">
        <v>55</v>
      </c>
      <c r="G527" s="24">
        <v>2</v>
      </c>
      <c r="H527" s="24">
        <v>0.3</v>
      </c>
      <c r="I527" s="24">
        <v>17</v>
      </c>
      <c r="J527" s="24">
        <v>4</v>
      </c>
      <c r="K527" s="24">
        <v>146</v>
      </c>
      <c r="L527" s="24">
        <v>0</v>
      </c>
      <c r="M527" s="24">
        <v>0</v>
      </c>
      <c r="N527" s="24">
        <v>1</v>
      </c>
      <c r="O527" s="24">
        <v>2</v>
      </c>
      <c r="P527" s="24">
        <v>0</v>
      </c>
      <c r="Q527" s="24">
        <v>0</v>
      </c>
      <c r="R527" s="24">
        <v>20</v>
      </c>
      <c r="S527" s="24">
        <v>11</v>
      </c>
      <c r="T527" s="24">
        <v>2</v>
      </c>
      <c r="U527" s="24">
        <v>0</v>
      </c>
      <c r="V527" s="24">
        <v>0.21</v>
      </c>
      <c r="W527" s="24">
        <v>0.21</v>
      </c>
      <c r="X527" s="24">
        <v>2.0699999999999998</v>
      </c>
      <c r="Y527" t="s">
        <v>1208</v>
      </c>
      <c r="Z527" t="b">
        <v>1</v>
      </c>
      <c r="AA527" s="24" t="str">
        <f t="shared" si="8"/>
        <v>Nico González Iglesias</v>
      </c>
    </row>
    <row r="528" spans="1:27" x14ac:dyDescent="0.25">
      <c r="A528" s="24">
        <v>1</v>
      </c>
      <c r="B528" s="24" t="s">
        <v>847</v>
      </c>
      <c r="C528" s="24" t="s">
        <v>848</v>
      </c>
      <c r="D528">
        <v>442</v>
      </c>
      <c r="E528" s="24">
        <v>0</v>
      </c>
      <c r="F528" s="25">
        <v>49</v>
      </c>
      <c r="G528" s="24">
        <v>0</v>
      </c>
      <c r="H528" s="24">
        <v>1.1000000000000001</v>
      </c>
      <c r="I528" s="24">
        <v>17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t="s">
        <v>1208</v>
      </c>
      <c r="Z528" t="b">
        <v>1</v>
      </c>
      <c r="AA528" s="24" t="str">
        <f t="shared" si="8"/>
        <v>Nick Pope</v>
      </c>
    </row>
    <row r="529" spans="1:27" x14ac:dyDescent="0.25">
      <c r="A529" s="24">
        <v>1</v>
      </c>
      <c r="B529" s="24" t="s">
        <v>473</v>
      </c>
      <c r="C529" s="24" t="s">
        <v>849</v>
      </c>
      <c r="D529">
        <v>443</v>
      </c>
      <c r="E529" s="24">
        <v>0</v>
      </c>
      <c r="F529" s="25">
        <v>45</v>
      </c>
      <c r="G529" s="24">
        <v>0</v>
      </c>
      <c r="H529" s="24">
        <v>0</v>
      </c>
      <c r="I529" s="24">
        <v>17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t="s">
        <v>1208</v>
      </c>
      <c r="Z529" t="b">
        <v>1</v>
      </c>
      <c r="AA529" s="24" t="str">
        <f t="shared" si="8"/>
        <v>Mark Gillespie</v>
      </c>
    </row>
    <row r="530" spans="1:27" x14ac:dyDescent="0.25">
      <c r="A530" s="24">
        <v>1</v>
      </c>
      <c r="B530" s="24" t="s">
        <v>850</v>
      </c>
      <c r="C530" s="24" t="s">
        <v>851</v>
      </c>
      <c r="D530">
        <v>444</v>
      </c>
      <c r="E530" s="24">
        <v>0</v>
      </c>
      <c r="F530" s="25">
        <v>45</v>
      </c>
      <c r="G530" s="24">
        <v>0</v>
      </c>
      <c r="H530" s="24">
        <v>0</v>
      </c>
      <c r="I530" s="24">
        <v>17</v>
      </c>
      <c r="J530" s="24">
        <v>0</v>
      </c>
      <c r="K530" s="24">
        <v>0</v>
      </c>
      <c r="L530" s="24">
        <v>0</v>
      </c>
      <c r="M530" s="24">
        <v>0</v>
      </c>
      <c r="N530" s="24">
        <v>0</v>
      </c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t="s">
        <v>1208</v>
      </c>
      <c r="Z530" t="b">
        <v>1</v>
      </c>
      <c r="AA530" s="24" t="str">
        <f t="shared" si="8"/>
        <v>Ewen Jaouen</v>
      </c>
    </row>
    <row r="531" spans="1:27" x14ac:dyDescent="0.25">
      <c r="A531" s="24">
        <v>2</v>
      </c>
      <c r="B531" s="24" t="s">
        <v>852</v>
      </c>
      <c r="C531" s="24" t="s">
        <v>853</v>
      </c>
      <c r="D531">
        <v>445</v>
      </c>
      <c r="E531" s="24">
        <v>2.7</v>
      </c>
      <c r="F531" s="25">
        <v>50</v>
      </c>
      <c r="G531" s="24">
        <v>2.7</v>
      </c>
      <c r="H531" s="24">
        <v>2.2000000000000002</v>
      </c>
      <c r="I531" s="24">
        <v>17</v>
      </c>
      <c r="J531" s="24">
        <v>8</v>
      </c>
      <c r="K531" s="24">
        <v>270</v>
      </c>
      <c r="L531" s="24">
        <v>0</v>
      </c>
      <c r="M531" s="24">
        <v>0</v>
      </c>
      <c r="N531" s="24">
        <v>1</v>
      </c>
      <c r="O531" s="24">
        <v>4</v>
      </c>
      <c r="P531" s="24">
        <v>0</v>
      </c>
      <c r="Q531" s="24">
        <v>0</v>
      </c>
      <c r="R531" s="24">
        <v>25</v>
      </c>
      <c r="S531" s="24">
        <v>21</v>
      </c>
      <c r="T531" s="24">
        <v>3</v>
      </c>
      <c r="U531" s="24">
        <v>0</v>
      </c>
      <c r="V531" s="24">
        <v>7.0000000000000007E-2</v>
      </c>
      <c r="W531" s="24">
        <v>7.0000000000000007E-2</v>
      </c>
      <c r="X531" s="24">
        <v>5.47</v>
      </c>
      <c r="Y531" t="s">
        <v>1208</v>
      </c>
      <c r="Z531" t="b">
        <v>1</v>
      </c>
      <c r="AA531" s="24" t="str">
        <f t="shared" si="8"/>
        <v>Malick Thiaw</v>
      </c>
    </row>
    <row r="532" spans="1:27" x14ac:dyDescent="0.25">
      <c r="A532" s="24">
        <v>2</v>
      </c>
      <c r="B532" s="24" t="s">
        <v>854</v>
      </c>
      <c r="C532" s="24" t="s">
        <v>855</v>
      </c>
      <c r="D532">
        <v>446</v>
      </c>
      <c r="E532" s="24">
        <v>0.3</v>
      </c>
      <c r="F532" s="25">
        <v>50</v>
      </c>
      <c r="G532" s="24">
        <v>1</v>
      </c>
      <c r="H532" s="24">
        <v>0.2</v>
      </c>
      <c r="I532" s="24">
        <v>17</v>
      </c>
      <c r="J532" s="24">
        <v>1</v>
      </c>
      <c r="K532" s="24">
        <v>1</v>
      </c>
      <c r="L532" s="24">
        <v>0</v>
      </c>
      <c r="M532" s="24">
        <v>0</v>
      </c>
      <c r="N532" s="24">
        <v>0</v>
      </c>
      <c r="O532" s="24">
        <v>1</v>
      </c>
      <c r="P532" s="24">
        <v>0</v>
      </c>
      <c r="Q532" s="24">
        <v>0</v>
      </c>
      <c r="R532" s="24">
        <v>-1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0.79</v>
      </c>
      <c r="Y532" t="s">
        <v>1208</v>
      </c>
      <c r="Z532" t="b">
        <v>1</v>
      </c>
      <c r="AA532" s="24" t="str">
        <f t="shared" si="8"/>
        <v>Fabian Schär</v>
      </c>
    </row>
    <row r="533" spans="1:27" x14ac:dyDescent="0.25">
      <c r="A533" s="24">
        <v>2</v>
      </c>
      <c r="B533" s="24" t="s">
        <v>856</v>
      </c>
      <c r="C533" s="24" t="s">
        <v>857</v>
      </c>
      <c r="D533">
        <v>447</v>
      </c>
      <c r="E533" s="24">
        <v>3</v>
      </c>
      <c r="F533" s="25">
        <v>50</v>
      </c>
      <c r="G533" s="24">
        <v>3</v>
      </c>
      <c r="H533" s="24">
        <v>0.7</v>
      </c>
      <c r="I533" s="24">
        <v>17</v>
      </c>
      <c r="J533" s="24">
        <v>9</v>
      </c>
      <c r="K533" s="24">
        <v>270</v>
      </c>
      <c r="L533" s="24">
        <v>0</v>
      </c>
      <c r="M533" s="24">
        <v>0</v>
      </c>
      <c r="N533" s="24">
        <v>1</v>
      </c>
      <c r="O533" s="24">
        <v>4</v>
      </c>
      <c r="P533" s="24">
        <v>0</v>
      </c>
      <c r="Q533" s="24">
        <v>0</v>
      </c>
      <c r="R533" s="24">
        <v>29</v>
      </c>
      <c r="S533" s="24">
        <v>24</v>
      </c>
      <c r="T533" s="24">
        <v>3</v>
      </c>
      <c r="U533" s="24">
        <v>0.01</v>
      </c>
      <c r="V533" s="24">
        <v>0.17</v>
      </c>
      <c r="W533" s="24">
        <v>0.18</v>
      </c>
      <c r="X533" s="24">
        <v>5.47</v>
      </c>
      <c r="Y533" t="s">
        <v>1208</v>
      </c>
      <c r="Z533" t="b">
        <v>1</v>
      </c>
      <c r="AA533" s="24" t="str">
        <f t="shared" si="8"/>
        <v>Sven Botman</v>
      </c>
    </row>
    <row r="534" spans="1:27" x14ac:dyDescent="0.25">
      <c r="A534" s="24">
        <v>2</v>
      </c>
      <c r="B534" s="24" t="s">
        <v>858</v>
      </c>
      <c r="C534" s="24" t="s">
        <v>859</v>
      </c>
      <c r="D534">
        <v>448</v>
      </c>
      <c r="E534" s="24">
        <v>0</v>
      </c>
      <c r="F534" s="25">
        <v>49</v>
      </c>
      <c r="G534" s="24">
        <v>0</v>
      </c>
      <c r="H534" s="24">
        <v>1</v>
      </c>
      <c r="I534" s="24">
        <v>17</v>
      </c>
      <c r="J534" s="24">
        <v>0</v>
      </c>
      <c r="K534" s="24">
        <v>0</v>
      </c>
      <c r="L534" s="24">
        <v>0</v>
      </c>
      <c r="M534" s="24">
        <v>0</v>
      </c>
      <c r="N534" s="24">
        <v>0</v>
      </c>
      <c r="O534" s="24">
        <v>0</v>
      </c>
      <c r="P534" s="24">
        <v>0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t="s">
        <v>1209</v>
      </c>
      <c r="Z534" t="b">
        <v>1</v>
      </c>
      <c r="AA534" s="24" t="str">
        <f t="shared" si="8"/>
        <v>Dan Burn</v>
      </c>
    </row>
    <row r="535" spans="1:27" x14ac:dyDescent="0.25">
      <c r="A535" s="24">
        <v>2</v>
      </c>
      <c r="B535" s="24" t="s">
        <v>157</v>
      </c>
      <c r="C535" s="24" t="s">
        <v>860</v>
      </c>
      <c r="D535">
        <v>449</v>
      </c>
      <c r="E535" s="24">
        <v>6</v>
      </c>
      <c r="F535" s="25">
        <v>51</v>
      </c>
      <c r="G535" s="24">
        <v>6</v>
      </c>
      <c r="H535" s="24">
        <v>11.1</v>
      </c>
      <c r="I535" s="24">
        <v>17</v>
      </c>
      <c r="J535" s="24">
        <v>18</v>
      </c>
      <c r="K535" s="24">
        <v>269</v>
      </c>
      <c r="L535" s="24">
        <v>0</v>
      </c>
      <c r="M535" s="24">
        <v>1</v>
      </c>
      <c r="N535" s="24">
        <v>1</v>
      </c>
      <c r="O535" s="24">
        <v>4</v>
      </c>
      <c r="P535" s="24">
        <v>0</v>
      </c>
      <c r="Q535" s="24">
        <v>3</v>
      </c>
      <c r="R535" s="24">
        <v>80</v>
      </c>
      <c r="S535" s="24">
        <v>30</v>
      </c>
      <c r="T535" s="24">
        <v>3</v>
      </c>
      <c r="U535" s="24">
        <v>0.04</v>
      </c>
      <c r="V535" s="24">
        <v>0.67</v>
      </c>
      <c r="W535" s="24">
        <v>0.71</v>
      </c>
      <c r="X535" s="24">
        <v>5.45</v>
      </c>
      <c r="Y535" t="s">
        <v>1208</v>
      </c>
      <c r="Z535" t="b">
        <v>1</v>
      </c>
      <c r="AA535" s="24" t="str">
        <f t="shared" si="8"/>
        <v>Lewis Hall</v>
      </c>
    </row>
    <row r="536" spans="1:27" x14ac:dyDescent="0.25">
      <c r="A536" s="24">
        <v>2</v>
      </c>
      <c r="B536" s="24" t="s">
        <v>861</v>
      </c>
      <c r="C536" s="24" t="s">
        <v>862</v>
      </c>
      <c r="D536">
        <v>450</v>
      </c>
      <c r="E536" s="24">
        <v>0.3</v>
      </c>
      <c r="F536" s="25">
        <v>49</v>
      </c>
      <c r="G536" s="24">
        <v>1</v>
      </c>
      <c r="H536" s="24">
        <v>0</v>
      </c>
      <c r="I536" s="24">
        <v>17</v>
      </c>
      <c r="J536" s="24">
        <v>1</v>
      </c>
      <c r="K536" s="24">
        <v>1</v>
      </c>
      <c r="L536" s="24">
        <v>0</v>
      </c>
      <c r="M536" s="24">
        <v>0</v>
      </c>
      <c r="N536" s="24">
        <v>0</v>
      </c>
      <c r="O536" s="24">
        <v>0</v>
      </c>
      <c r="P536" s="24">
        <v>0</v>
      </c>
      <c r="Q536" s="24">
        <v>0</v>
      </c>
      <c r="R536" s="24">
        <v>3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0.02</v>
      </c>
      <c r="Y536" t="s">
        <v>1208</v>
      </c>
      <c r="Z536" t="b">
        <v>1</v>
      </c>
      <c r="AA536" s="24" t="str">
        <f t="shared" si="8"/>
        <v>Tino Livramento</v>
      </c>
    </row>
    <row r="537" spans="1:27" x14ac:dyDescent="0.25">
      <c r="A537" s="24">
        <v>2</v>
      </c>
      <c r="B537" s="24" t="s">
        <v>153</v>
      </c>
      <c r="C537" s="24" t="s">
        <v>863</v>
      </c>
      <c r="D537">
        <v>451</v>
      </c>
      <c r="E537" s="24">
        <v>0</v>
      </c>
      <c r="F537" s="25">
        <v>40</v>
      </c>
      <c r="G537" s="24">
        <v>0</v>
      </c>
      <c r="H537" s="24">
        <v>0.1</v>
      </c>
      <c r="I537" s="24">
        <v>17</v>
      </c>
      <c r="J537" s="24">
        <v>0</v>
      </c>
      <c r="K537" s="24">
        <v>0</v>
      </c>
      <c r="L537" s="24">
        <v>0</v>
      </c>
      <c r="M537" s="24">
        <v>0</v>
      </c>
      <c r="N537" s="24">
        <v>0</v>
      </c>
      <c r="O537" s="24">
        <v>0</v>
      </c>
      <c r="P537" s="24">
        <v>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t="s">
        <v>1211</v>
      </c>
      <c r="Z537" t="b">
        <v>0</v>
      </c>
      <c r="AA537" s="24" t="str">
        <f t="shared" si="8"/>
        <v>Alex Murphy</v>
      </c>
    </row>
    <row r="538" spans="1:27" x14ac:dyDescent="0.25">
      <c r="A538" s="24">
        <v>3</v>
      </c>
      <c r="B538" s="24" t="s">
        <v>543</v>
      </c>
      <c r="C538" s="24" t="s">
        <v>864</v>
      </c>
      <c r="D538">
        <v>453</v>
      </c>
      <c r="E538" s="24">
        <v>5.7</v>
      </c>
      <c r="F538" s="25">
        <v>60</v>
      </c>
      <c r="G538" s="24">
        <v>5.7</v>
      </c>
      <c r="H538" s="24">
        <v>1.7</v>
      </c>
      <c r="I538" s="24">
        <v>17</v>
      </c>
      <c r="J538" s="24">
        <v>17</v>
      </c>
      <c r="K538" s="24">
        <v>270</v>
      </c>
      <c r="L538" s="24">
        <v>1</v>
      </c>
      <c r="M538" s="24">
        <v>1</v>
      </c>
      <c r="N538" s="24">
        <v>1</v>
      </c>
      <c r="O538" s="24">
        <v>4</v>
      </c>
      <c r="P538" s="24">
        <v>0</v>
      </c>
      <c r="Q538" s="24">
        <v>2</v>
      </c>
      <c r="R538" s="24">
        <v>58</v>
      </c>
      <c r="S538" s="24">
        <v>18</v>
      </c>
      <c r="T538" s="24">
        <v>3</v>
      </c>
      <c r="U538" s="24">
        <v>0.22</v>
      </c>
      <c r="V538" s="24">
        <v>0.06</v>
      </c>
      <c r="W538" s="24">
        <v>0.28000000000000003</v>
      </c>
      <c r="X538" s="24">
        <v>5.47</v>
      </c>
      <c r="Y538" t="s">
        <v>1208</v>
      </c>
      <c r="Z538" t="b">
        <v>1</v>
      </c>
      <c r="AA538" s="24" t="str">
        <f t="shared" si="8"/>
        <v>Harvey Barnes</v>
      </c>
    </row>
    <row r="539" spans="1:27" x14ac:dyDescent="0.25">
      <c r="A539" s="24">
        <v>3</v>
      </c>
      <c r="B539" s="24" t="s">
        <v>222</v>
      </c>
      <c r="C539" s="24" t="s">
        <v>865</v>
      </c>
      <c r="D539">
        <v>454</v>
      </c>
      <c r="E539" s="24">
        <v>6</v>
      </c>
      <c r="F539" s="25">
        <v>61</v>
      </c>
      <c r="G539" s="24">
        <v>6</v>
      </c>
      <c r="H539" s="24">
        <v>10.8</v>
      </c>
      <c r="I539" s="24">
        <v>17</v>
      </c>
      <c r="J539" s="24">
        <v>18</v>
      </c>
      <c r="K539" s="24">
        <v>232</v>
      </c>
      <c r="L539" s="24">
        <v>2</v>
      </c>
      <c r="M539" s="24">
        <v>0</v>
      </c>
      <c r="N539" s="24">
        <v>1</v>
      </c>
      <c r="O539" s="24">
        <v>3</v>
      </c>
      <c r="P539" s="24">
        <v>0</v>
      </c>
      <c r="Q539" s="24">
        <v>2</v>
      </c>
      <c r="R539" s="24">
        <v>71</v>
      </c>
      <c r="S539" s="24">
        <v>9</v>
      </c>
      <c r="T539" s="24">
        <v>3</v>
      </c>
      <c r="U539" s="24">
        <v>0.42</v>
      </c>
      <c r="V539" s="24">
        <v>0.34</v>
      </c>
      <c r="W539" s="24">
        <v>0.76</v>
      </c>
      <c r="X539" s="24">
        <v>4.01</v>
      </c>
      <c r="Y539" t="s">
        <v>1208</v>
      </c>
      <c r="Z539" t="b">
        <v>1</v>
      </c>
      <c r="AA539" s="24" t="str">
        <f t="shared" si="8"/>
        <v>Anthony Elanga</v>
      </c>
    </row>
    <row r="540" spans="1:27" x14ac:dyDescent="0.25">
      <c r="A540" s="24">
        <v>3</v>
      </c>
      <c r="B540" s="24" t="s">
        <v>556</v>
      </c>
      <c r="C540" s="24" t="s">
        <v>866</v>
      </c>
      <c r="D540">
        <v>456</v>
      </c>
      <c r="E540" s="24">
        <v>2.2999999999999998</v>
      </c>
      <c r="F540" s="25">
        <v>49</v>
      </c>
      <c r="G540" s="24">
        <v>2.2999999999999998</v>
      </c>
      <c r="H540" s="24">
        <v>0.3</v>
      </c>
      <c r="I540" s="24">
        <v>17</v>
      </c>
      <c r="J540" s="24">
        <v>7</v>
      </c>
      <c r="K540" s="24">
        <v>69</v>
      </c>
      <c r="L540" s="24">
        <v>1</v>
      </c>
      <c r="M540" s="24">
        <v>0</v>
      </c>
      <c r="N540" s="24">
        <v>0</v>
      </c>
      <c r="O540" s="24">
        <v>1</v>
      </c>
      <c r="P540" s="24">
        <v>0</v>
      </c>
      <c r="Q540" s="24">
        <v>0</v>
      </c>
      <c r="R540" s="24">
        <v>26</v>
      </c>
      <c r="S540" s="24">
        <v>11</v>
      </c>
      <c r="T540" s="24">
        <v>0</v>
      </c>
      <c r="U540" s="24">
        <v>0.17</v>
      </c>
      <c r="V540" s="24">
        <v>0.16</v>
      </c>
      <c r="W540" s="24">
        <v>0.33</v>
      </c>
      <c r="X540" s="24">
        <v>1.92</v>
      </c>
      <c r="Y540" t="s">
        <v>1208</v>
      </c>
      <c r="Z540" t="b">
        <v>1</v>
      </c>
      <c r="AA540" s="24" t="str">
        <f t="shared" si="8"/>
        <v>Jacob Ramsey</v>
      </c>
    </row>
    <row r="541" spans="1:27" x14ac:dyDescent="0.25">
      <c r="A541" s="24">
        <v>3</v>
      </c>
      <c r="B541" s="24" t="s">
        <v>556</v>
      </c>
      <c r="C541" s="24" t="s">
        <v>863</v>
      </c>
      <c r="D541">
        <v>457</v>
      </c>
      <c r="E541" s="24">
        <v>0.7</v>
      </c>
      <c r="F541" s="25">
        <v>59</v>
      </c>
      <c r="G541" s="24">
        <v>0.7</v>
      </c>
      <c r="H541" s="24">
        <v>0.1</v>
      </c>
      <c r="I541" s="24">
        <v>17</v>
      </c>
      <c r="J541" s="24">
        <v>2</v>
      </c>
      <c r="K541" s="24">
        <v>35</v>
      </c>
      <c r="L541" s="24">
        <v>0</v>
      </c>
      <c r="M541" s="24">
        <v>0</v>
      </c>
      <c r="N541" s="24">
        <v>0</v>
      </c>
      <c r="O541" s="24">
        <v>1</v>
      </c>
      <c r="P541" s="24">
        <v>0</v>
      </c>
      <c r="Q541" s="24">
        <v>0</v>
      </c>
      <c r="R541" s="24">
        <v>7</v>
      </c>
      <c r="S541" s="24">
        <v>6</v>
      </c>
      <c r="T541" s="24">
        <v>0</v>
      </c>
      <c r="U541" s="24">
        <v>0</v>
      </c>
      <c r="V541" s="24">
        <v>0.2</v>
      </c>
      <c r="W541" s="24">
        <v>0.2</v>
      </c>
      <c r="X541" s="24">
        <v>1.46</v>
      </c>
      <c r="Y541" t="s">
        <v>1208</v>
      </c>
      <c r="Z541" t="b">
        <v>1</v>
      </c>
      <c r="AA541" s="24" t="str">
        <f t="shared" si="8"/>
        <v>Jacob Murphy</v>
      </c>
    </row>
    <row r="542" spans="1:27" x14ac:dyDescent="0.25">
      <c r="A542" s="24">
        <v>3</v>
      </c>
      <c r="B542" s="24" t="s">
        <v>867</v>
      </c>
      <c r="C542" s="24" t="s">
        <v>868</v>
      </c>
      <c r="D542">
        <v>458</v>
      </c>
      <c r="E542" s="24">
        <v>0</v>
      </c>
      <c r="F542" s="25">
        <v>54</v>
      </c>
      <c r="G542" s="24">
        <v>0</v>
      </c>
      <c r="H542" s="24">
        <v>0</v>
      </c>
      <c r="I542" s="24">
        <v>17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4">
        <v>0</v>
      </c>
      <c r="P542" s="24">
        <v>0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t="s">
        <v>1209</v>
      </c>
      <c r="Z542" t="b">
        <v>1</v>
      </c>
      <c r="AA542" s="24" t="str">
        <f t="shared" si="8"/>
        <v>Joelinton Cássio Apolinário de Lira</v>
      </c>
    </row>
    <row r="543" spans="1:27" x14ac:dyDescent="0.25">
      <c r="A543" s="24">
        <v>3</v>
      </c>
      <c r="B543" s="24" t="s">
        <v>157</v>
      </c>
      <c r="C543" s="24" t="s">
        <v>869</v>
      </c>
      <c r="D543">
        <v>459</v>
      </c>
      <c r="E543" s="24">
        <v>2.7</v>
      </c>
      <c r="F543" s="25">
        <v>55</v>
      </c>
      <c r="G543" s="24">
        <v>2.7</v>
      </c>
      <c r="H543" s="24">
        <v>0.1</v>
      </c>
      <c r="I543" s="24">
        <v>17</v>
      </c>
      <c r="J543" s="24">
        <v>8</v>
      </c>
      <c r="K543" s="24">
        <v>227</v>
      </c>
      <c r="L543" s="24">
        <v>0</v>
      </c>
      <c r="M543" s="24">
        <v>0</v>
      </c>
      <c r="N543" s="24">
        <v>1</v>
      </c>
      <c r="O543" s="24">
        <v>3</v>
      </c>
      <c r="P543" s="24">
        <v>0</v>
      </c>
      <c r="Q543" s="24">
        <v>0</v>
      </c>
      <c r="R543" s="24">
        <v>40</v>
      </c>
      <c r="S543" s="24">
        <v>26</v>
      </c>
      <c r="T543" s="24">
        <v>3</v>
      </c>
      <c r="U543" s="24">
        <v>0.05</v>
      </c>
      <c r="V543" s="24">
        <v>7.0000000000000007E-2</v>
      </c>
      <c r="W543" s="24">
        <v>0.12</v>
      </c>
      <c r="X543" s="24">
        <v>4.3899999999999997</v>
      </c>
      <c r="Y543" t="s">
        <v>1208</v>
      </c>
      <c r="Z543" t="b">
        <v>1</v>
      </c>
      <c r="AA543" s="24" t="str">
        <f t="shared" si="8"/>
        <v>Lewis Miley</v>
      </c>
    </row>
    <row r="544" spans="1:27" x14ac:dyDescent="0.25">
      <c r="A544" s="24">
        <v>3</v>
      </c>
      <c r="B544" s="24" t="s">
        <v>585</v>
      </c>
      <c r="C544" s="24" t="s">
        <v>870</v>
      </c>
      <c r="D544">
        <v>460</v>
      </c>
      <c r="E544" s="24">
        <v>3.7</v>
      </c>
      <c r="F544" s="25">
        <v>50</v>
      </c>
      <c r="G544" s="24">
        <v>3.7</v>
      </c>
      <c r="H544" s="24">
        <v>0.5</v>
      </c>
      <c r="I544" s="24">
        <v>17</v>
      </c>
      <c r="J544" s="24">
        <v>11</v>
      </c>
      <c r="K544" s="24">
        <v>166</v>
      </c>
      <c r="L544" s="24">
        <v>1</v>
      </c>
      <c r="M544" s="24">
        <v>0</v>
      </c>
      <c r="N544" s="24">
        <v>1</v>
      </c>
      <c r="O544" s="24">
        <v>3</v>
      </c>
      <c r="P544" s="24">
        <v>0</v>
      </c>
      <c r="Q544" s="24">
        <v>0</v>
      </c>
      <c r="R544" s="24">
        <v>34</v>
      </c>
      <c r="S544" s="24">
        <v>8</v>
      </c>
      <c r="T544" s="24">
        <v>2</v>
      </c>
      <c r="U544" s="24">
        <v>0.52</v>
      </c>
      <c r="V544" s="24">
        <v>0.2</v>
      </c>
      <c r="W544" s="24">
        <v>0.72</v>
      </c>
      <c r="X544" s="24">
        <v>3.57</v>
      </c>
      <c r="Y544" t="s">
        <v>1208</v>
      </c>
      <c r="Z544" t="b">
        <v>1</v>
      </c>
      <c r="AA544" s="24" t="str">
        <f t="shared" si="8"/>
        <v>Joe Willock</v>
      </c>
    </row>
    <row r="545" spans="1:27" x14ac:dyDescent="0.25">
      <c r="A545" s="24">
        <v>3</v>
      </c>
      <c r="B545" s="24" t="s">
        <v>871</v>
      </c>
      <c r="C545" s="24" t="s">
        <v>872</v>
      </c>
      <c r="D545">
        <v>461</v>
      </c>
      <c r="E545" s="24">
        <v>0.3</v>
      </c>
      <c r="F545" s="25">
        <v>59</v>
      </c>
      <c r="G545" s="24">
        <v>1</v>
      </c>
      <c r="H545" s="24">
        <v>0.1</v>
      </c>
      <c r="I545" s="24">
        <v>17</v>
      </c>
      <c r="J545" s="24">
        <v>1</v>
      </c>
      <c r="K545" s="24">
        <v>1</v>
      </c>
      <c r="L545" s="24">
        <v>0</v>
      </c>
      <c r="M545" s="24">
        <v>0</v>
      </c>
      <c r="N545" s="24">
        <v>0</v>
      </c>
      <c r="O545" s="24">
        <v>0</v>
      </c>
      <c r="P545" s="24">
        <v>0</v>
      </c>
      <c r="Q545" s="24">
        <v>0</v>
      </c>
      <c r="R545" s="24">
        <v>3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t="s">
        <v>1208</v>
      </c>
      <c r="Z545" t="b">
        <v>1</v>
      </c>
      <c r="AA545" s="24" t="str">
        <f t="shared" si="8"/>
        <v>Bazoumana Touré</v>
      </c>
    </row>
    <row r="546" spans="1:27" x14ac:dyDescent="0.25">
      <c r="A546" s="24">
        <v>3</v>
      </c>
      <c r="B546" s="24" t="s">
        <v>673</v>
      </c>
      <c r="C546" s="24" t="s">
        <v>873</v>
      </c>
      <c r="D546">
        <v>462</v>
      </c>
      <c r="E546" s="24">
        <v>1</v>
      </c>
      <c r="F546" s="25">
        <v>49</v>
      </c>
      <c r="G546" s="24">
        <v>1</v>
      </c>
      <c r="H546" s="24">
        <v>0.1</v>
      </c>
      <c r="I546" s="24">
        <v>17</v>
      </c>
      <c r="J546" s="24">
        <v>3</v>
      </c>
      <c r="K546" s="24">
        <v>87</v>
      </c>
      <c r="L546" s="24">
        <v>0</v>
      </c>
      <c r="M546" s="24">
        <v>0</v>
      </c>
      <c r="N546" s="24">
        <v>0</v>
      </c>
      <c r="O546" s="24">
        <v>1</v>
      </c>
      <c r="P546" s="24">
        <v>0</v>
      </c>
      <c r="Q546" s="24">
        <v>0</v>
      </c>
      <c r="R546" s="24">
        <v>10</v>
      </c>
      <c r="S546" s="24">
        <v>7</v>
      </c>
      <c r="T546" s="24">
        <v>1</v>
      </c>
      <c r="U546" s="24">
        <v>0</v>
      </c>
      <c r="V546" s="24">
        <v>0</v>
      </c>
      <c r="W546" s="24">
        <v>0</v>
      </c>
      <c r="X546" s="24">
        <v>1.9</v>
      </c>
      <c r="Y546" t="s">
        <v>1208</v>
      </c>
      <c r="Z546" t="b">
        <v>1</v>
      </c>
      <c r="AA546" s="24" t="str">
        <f t="shared" si="8"/>
        <v>Sean Steur</v>
      </c>
    </row>
    <row r="547" spans="1:27" x14ac:dyDescent="0.25">
      <c r="A547" s="24">
        <v>4</v>
      </c>
      <c r="B547" s="24" t="s">
        <v>847</v>
      </c>
      <c r="C547" s="24" t="s">
        <v>874</v>
      </c>
      <c r="D547">
        <v>463</v>
      </c>
      <c r="E547" s="24">
        <v>1.3</v>
      </c>
      <c r="F547" s="25">
        <v>59</v>
      </c>
      <c r="G547" s="24">
        <v>4</v>
      </c>
      <c r="H547" s="24">
        <v>0.8</v>
      </c>
      <c r="I547" s="24">
        <v>17</v>
      </c>
      <c r="J547" s="24">
        <v>4</v>
      </c>
      <c r="K547" s="24">
        <v>19</v>
      </c>
      <c r="L547" s="24">
        <v>0</v>
      </c>
      <c r="M547" s="24">
        <v>1</v>
      </c>
      <c r="N547" s="24">
        <v>0</v>
      </c>
      <c r="O547" s="24">
        <v>0</v>
      </c>
      <c r="P547" s="24">
        <v>0</v>
      </c>
      <c r="Q547" s="24">
        <v>0</v>
      </c>
      <c r="R547" s="24">
        <v>18</v>
      </c>
      <c r="S547" s="24">
        <v>0</v>
      </c>
      <c r="T547" s="24">
        <v>0</v>
      </c>
      <c r="U547" s="24">
        <v>0.02</v>
      </c>
      <c r="V547" s="24">
        <v>0.01</v>
      </c>
      <c r="W547" s="24">
        <v>0.03</v>
      </c>
      <c r="X547" s="24">
        <v>0.38</v>
      </c>
      <c r="Y547" t="s">
        <v>1211</v>
      </c>
      <c r="Z547" t="b">
        <v>0</v>
      </c>
      <c r="AA547" s="24" t="str">
        <f t="shared" si="8"/>
        <v>Nick Woltemade</v>
      </c>
    </row>
    <row r="548" spans="1:27" x14ac:dyDescent="0.25">
      <c r="A548" s="24">
        <v>4</v>
      </c>
      <c r="B548" s="24" t="s">
        <v>875</v>
      </c>
      <c r="C548" s="24" t="s">
        <v>876</v>
      </c>
      <c r="D548">
        <v>464</v>
      </c>
      <c r="E548" s="24">
        <v>4.3</v>
      </c>
      <c r="F548" s="25">
        <v>62</v>
      </c>
      <c r="G548" s="24">
        <v>4.3</v>
      </c>
      <c r="H548" s="24">
        <v>16.600000000000001</v>
      </c>
      <c r="I548" s="24">
        <v>17</v>
      </c>
      <c r="J548" s="24">
        <v>13</v>
      </c>
      <c r="K548" s="24">
        <v>261</v>
      </c>
      <c r="L548" s="24">
        <v>1</v>
      </c>
      <c r="M548" s="24">
        <v>1</v>
      </c>
      <c r="N548" s="24">
        <v>1</v>
      </c>
      <c r="O548" s="24">
        <v>3</v>
      </c>
      <c r="P548" s="24">
        <v>0</v>
      </c>
      <c r="Q548" s="24">
        <v>2</v>
      </c>
      <c r="R548" s="24">
        <v>51</v>
      </c>
      <c r="S548" s="24">
        <v>17</v>
      </c>
      <c r="T548" s="24">
        <v>3</v>
      </c>
      <c r="U548" s="24">
        <v>1.35</v>
      </c>
      <c r="V548" s="24">
        <v>0.05</v>
      </c>
      <c r="W548" s="24">
        <v>1.4</v>
      </c>
      <c r="X548" s="24">
        <v>4.3</v>
      </c>
      <c r="Y548" t="s">
        <v>1208</v>
      </c>
      <c r="Z548" t="b">
        <v>1</v>
      </c>
      <c r="AA548" s="24" t="str">
        <f t="shared" si="8"/>
        <v>Yoane Wissa</v>
      </c>
    </row>
    <row r="549" spans="1:27" x14ac:dyDescent="0.25">
      <c r="A549" s="24">
        <v>4</v>
      </c>
      <c r="B549" s="24" t="s">
        <v>30</v>
      </c>
      <c r="C549" s="24" t="s">
        <v>877</v>
      </c>
      <c r="D549">
        <v>465</v>
      </c>
      <c r="E549" s="24">
        <v>1.3</v>
      </c>
      <c r="F549" s="25">
        <v>59</v>
      </c>
      <c r="G549" s="24">
        <v>4</v>
      </c>
      <c r="H549" s="24">
        <v>0.5</v>
      </c>
      <c r="I549" s="24">
        <v>17</v>
      </c>
      <c r="J549" s="24">
        <v>4</v>
      </c>
      <c r="K549" s="24">
        <v>55</v>
      </c>
      <c r="L549" s="24">
        <v>0</v>
      </c>
      <c r="M549" s="24">
        <v>1</v>
      </c>
      <c r="N549" s="24">
        <v>0</v>
      </c>
      <c r="O549" s="24">
        <v>1</v>
      </c>
      <c r="P549" s="24">
        <v>0</v>
      </c>
      <c r="Q549" s="24">
        <v>0</v>
      </c>
      <c r="R549" s="24">
        <v>18</v>
      </c>
      <c r="S549" s="24">
        <v>5</v>
      </c>
      <c r="T549" s="24">
        <v>1</v>
      </c>
      <c r="U549" s="24">
        <v>0.06</v>
      </c>
      <c r="V549" s="24">
        <v>0.14000000000000001</v>
      </c>
      <c r="W549" s="24">
        <v>0.2</v>
      </c>
      <c r="X549" s="24">
        <v>1.48</v>
      </c>
      <c r="Y549" t="s">
        <v>1209</v>
      </c>
      <c r="Z549" t="b">
        <v>1</v>
      </c>
      <c r="AA549" s="24" t="str">
        <f t="shared" si="8"/>
        <v>William Osula</v>
      </c>
    </row>
    <row r="550" spans="1:27" x14ac:dyDescent="0.25">
      <c r="A550" s="24">
        <v>4</v>
      </c>
      <c r="B550" s="24" t="s">
        <v>673</v>
      </c>
      <c r="C550" s="24" t="s">
        <v>878</v>
      </c>
      <c r="D550">
        <v>466</v>
      </c>
      <c r="E550" s="24">
        <v>0</v>
      </c>
      <c r="F550" s="25">
        <v>45</v>
      </c>
      <c r="G550" s="24">
        <v>0</v>
      </c>
      <c r="H550" s="24">
        <v>0.7</v>
      </c>
      <c r="I550" s="24">
        <v>17</v>
      </c>
      <c r="J550" s="24">
        <v>0</v>
      </c>
      <c r="K550" s="24">
        <v>0</v>
      </c>
      <c r="L550" s="24">
        <v>0</v>
      </c>
      <c r="M550" s="24">
        <v>0</v>
      </c>
      <c r="N550" s="24">
        <v>0</v>
      </c>
      <c r="O550" s="24">
        <v>0</v>
      </c>
      <c r="P550" s="24">
        <v>0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t="s">
        <v>1211</v>
      </c>
      <c r="Z550" t="b">
        <v>0</v>
      </c>
      <c r="AA550" s="24" t="str">
        <f t="shared" si="8"/>
        <v>Sean Neave</v>
      </c>
    </row>
    <row r="551" spans="1:27" x14ac:dyDescent="0.25">
      <c r="A551" s="24">
        <v>3</v>
      </c>
      <c r="B551" s="24" t="s">
        <v>879</v>
      </c>
      <c r="C551" s="24" t="s">
        <v>880</v>
      </c>
      <c r="D551">
        <v>559</v>
      </c>
      <c r="E551" s="24">
        <v>0.3</v>
      </c>
      <c r="F551" s="25">
        <v>49</v>
      </c>
      <c r="G551" s="24">
        <v>1</v>
      </c>
      <c r="H551" s="24">
        <v>0.1</v>
      </c>
      <c r="I551" s="24">
        <v>17</v>
      </c>
      <c r="J551" s="24">
        <v>1</v>
      </c>
      <c r="K551" s="24">
        <v>14</v>
      </c>
      <c r="L551" s="24">
        <v>0</v>
      </c>
      <c r="M551" s="24">
        <v>0</v>
      </c>
      <c r="N551" s="24">
        <v>0</v>
      </c>
      <c r="O551" s="24">
        <v>1</v>
      </c>
      <c r="P551" s="24">
        <v>0</v>
      </c>
      <c r="Q551" s="24">
        <v>0</v>
      </c>
      <c r="R551" s="24">
        <v>5</v>
      </c>
      <c r="S551" s="24">
        <v>2</v>
      </c>
      <c r="T551" s="24">
        <v>0</v>
      </c>
      <c r="U551" s="24">
        <v>0</v>
      </c>
      <c r="V551" s="24">
        <v>0</v>
      </c>
      <c r="W551" s="24">
        <v>0</v>
      </c>
      <c r="X551" s="24">
        <v>1.04</v>
      </c>
      <c r="Y551" t="s">
        <v>1208</v>
      </c>
      <c r="Z551" t="b">
        <v>1</v>
      </c>
      <c r="AA551" s="24" t="str">
        <f t="shared" si="8"/>
        <v>Aladji Bamba</v>
      </c>
    </row>
    <row r="552" spans="1:27" x14ac:dyDescent="0.25">
      <c r="A552" s="24">
        <v>1</v>
      </c>
      <c r="B552" s="24" t="s">
        <v>881</v>
      </c>
      <c r="C552" s="24" t="s">
        <v>882</v>
      </c>
      <c r="D552">
        <v>567</v>
      </c>
      <c r="E552" s="24">
        <v>3.3</v>
      </c>
      <c r="F552" s="25">
        <v>50</v>
      </c>
      <c r="G552" s="24">
        <v>3.3</v>
      </c>
      <c r="H552" s="24">
        <v>1.2</v>
      </c>
      <c r="I552" s="24">
        <v>17</v>
      </c>
      <c r="J552" s="24">
        <v>10</v>
      </c>
      <c r="K552" s="24">
        <v>270</v>
      </c>
      <c r="L552" s="24">
        <v>0</v>
      </c>
      <c r="M552" s="24">
        <v>0</v>
      </c>
      <c r="N552" s="24">
        <v>1</v>
      </c>
      <c r="O552" s="24">
        <v>4</v>
      </c>
      <c r="P552" s="24">
        <v>13</v>
      </c>
      <c r="Q552" s="24">
        <v>0</v>
      </c>
      <c r="R552" s="24">
        <v>56</v>
      </c>
      <c r="S552" s="24">
        <v>0</v>
      </c>
      <c r="T552" s="24">
        <v>3</v>
      </c>
      <c r="U552" s="24">
        <v>0</v>
      </c>
      <c r="V552" s="24">
        <v>0</v>
      </c>
      <c r="W552" s="24">
        <v>0</v>
      </c>
      <c r="X552" s="24">
        <v>5.47</v>
      </c>
      <c r="Y552" t="s">
        <v>1208</v>
      </c>
      <c r="Z552" t="b">
        <v>1</v>
      </c>
      <c r="AA552" s="24" t="str">
        <f t="shared" si="8"/>
        <v>Lukás Hornícek</v>
      </c>
    </row>
    <row r="553" spans="1:27" x14ac:dyDescent="0.25">
      <c r="A553" s="24">
        <v>2</v>
      </c>
      <c r="B553" s="24" t="s">
        <v>1034</v>
      </c>
      <c r="C553" s="24" t="s">
        <v>1035</v>
      </c>
      <c r="D553">
        <v>593</v>
      </c>
      <c r="E553" s="24">
        <v>4.3</v>
      </c>
      <c r="F553" s="25">
        <v>45</v>
      </c>
      <c r="G553" s="24">
        <v>4.3</v>
      </c>
      <c r="H553" s="24">
        <v>3.6</v>
      </c>
      <c r="I553" s="24">
        <v>17</v>
      </c>
      <c r="J553" s="24">
        <v>13</v>
      </c>
      <c r="K553" s="24">
        <v>270</v>
      </c>
      <c r="L553" s="24">
        <v>0</v>
      </c>
      <c r="M553" s="24">
        <v>1</v>
      </c>
      <c r="N553" s="24">
        <v>1</v>
      </c>
      <c r="O553" s="24">
        <v>4</v>
      </c>
      <c r="P553" s="24">
        <v>0</v>
      </c>
      <c r="Q553" s="24">
        <v>2</v>
      </c>
      <c r="R553" s="24">
        <v>39</v>
      </c>
      <c r="S553" s="24">
        <v>18</v>
      </c>
      <c r="T553" s="24">
        <v>3</v>
      </c>
      <c r="U553" s="24">
        <v>0.14000000000000001</v>
      </c>
      <c r="V553" s="24">
        <v>0.08</v>
      </c>
      <c r="W553" s="24">
        <v>0.22</v>
      </c>
      <c r="X553" s="24">
        <v>5.47</v>
      </c>
      <c r="Y553" t="s">
        <v>1208</v>
      </c>
      <c r="Z553" t="b">
        <v>1</v>
      </c>
      <c r="AA553" s="24" t="str">
        <f t="shared" si="8"/>
        <v>Amar Dedic</v>
      </c>
    </row>
    <row r="554" spans="1:27" x14ac:dyDescent="0.25">
      <c r="A554" s="24">
        <v>2</v>
      </c>
      <c r="B554" s="24" t="s">
        <v>1229</v>
      </c>
      <c r="C554" s="24" t="s">
        <v>1230</v>
      </c>
      <c r="D554">
        <v>609</v>
      </c>
      <c r="E554" s="24">
        <v>0</v>
      </c>
      <c r="F554" s="25">
        <v>40</v>
      </c>
      <c r="G554" s="24">
        <v>0</v>
      </c>
      <c r="H554" s="24">
        <v>0.3</v>
      </c>
      <c r="I554" s="24">
        <v>17</v>
      </c>
      <c r="J554" s="24">
        <v>0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t="s">
        <v>1208</v>
      </c>
      <c r="Z554" t="b">
        <v>1</v>
      </c>
      <c r="AA554" s="24" t="str">
        <f t="shared" si="8"/>
        <v>Leo Shahar</v>
      </c>
    </row>
    <row r="555" spans="1:27" x14ac:dyDescent="0.25">
      <c r="A555" s="24">
        <v>4</v>
      </c>
      <c r="B555" s="24" t="s">
        <v>2637</v>
      </c>
      <c r="C555" s="24" t="s">
        <v>2638</v>
      </c>
      <c r="D555">
        <v>634</v>
      </c>
      <c r="E555" s="24">
        <v>1</v>
      </c>
      <c r="F555" s="25">
        <v>60</v>
      </c>
      <c r="G555" s="24">
        <v>1</v>
      </c>
      <c r="H555" s="24">
        <v>0.1</v>
      </c>
      <c r="I555" s="24">
        <v>17</v>
      </c>
      <c r="J555" s="24">
        <v>1</v>
      </c>
      <c r="K555" s="24">
        <v>27</v>
      </c>
      <c r="L555" s="24">
        <v>0</v>
      </c>
      <c r="M555" s="24">
        <v>0</v>
      </c>
      <c r="N555" s="24">
        <v>0</v>
      </c>
      <c r="O555" s="24">
        <v>0</v>
      </c>
      <c r="P555" s="24">
        <v>0</v>
      </c>
      <c r="Q555" s="24">
        <v>0</v>
      </c>
      <c r="R555" s="24">
        <v>4</v>
      </c>
      <c r="S555" s="24">
        <v>1</v>
      </c>
      <c r="T555" s="24">
        <v>0</v>
      </c>
      <c r="U555" s="24">
        <v>0</v>
      </c>
      <c r="V555" s="24">
        <v>0</v>
      </c>
      <c r="W555" s="24">
        <v>0</v>
      </c>
      <c r="X555" s="24">
        <v>0.04</v>
      </c>
      <c r="Y555" t="s">
        <v>1208</v>
      </c>
      <c r="Z555" t="b">
        <v>1</v>
      </c>
      <c r="AA555" s="24" t="str">
        <f t="shared" si="8"/>
        <v>Matias Fernandez-Pardo</v>
      </c>
    </row>
    <row r="556" spans="1:27" x14ac:dyDescent="0.25">
      <c r="A556" s="24">
        <v>4</v>
      </c>
      <c r="B556" s="24" t="s">
        <v>338</v>
      </c>
      <c r="C556" s="24" t="s">
        <v>339</v>
      </c>
      <c r="D556">
        <v>167</v>
      </c>
      <c r="E556" s="24">
        <v>1</v>
      </c>
      <c r="F556" s="25">
        <v>55</v>
      </c>
      <c r="G556" s="24">
        <v>1.5</v>
      </c>
      <c r="H556" s="24">
        <v>0.8</v>
      </c>
      <c r="I556" s="24">
        <v>18</v>
      </c>
      <c r="J556" s="24">
        <v>3</v>
      </c>
      <c r="K556" s="24">
        <v>97</v>
      </c>
      <c r="L556" s="24">
        <v>0</v>
      </c>
      <c r="M556" s="24">
        <v>0</v>
      </c>
      <c r="N556" s="24">
        <v>1</v>
      </c>
      <c r="O556" s="24">
        <v>1</v>
      </c>
      <c r="P556" s="24">
        <v>0</v>
      </c>
      <c r="Q556" s="24">
        <v>0</v>
      </c>
      <c r="R556" s="24">
        <v>15</v>
      </c>
      <c r="S556" s="24">
        <v>5</v>
      </c>
      <c r="T556" s="24">
        <v>1</v>
      </c>
      <c r="U556" s="24">
        <v>0.13</v>
      </c>
      <c r="V556" s="24">
        <v>0.06</v>
      </c>
      <c r="W556" s="24">
        <v>0.19</v>
      </c>
      <c r="X556" s="24">
        <v>1.22</v>
      </c>
      <c r="Y556" t="s">
        <v>1208</v>
      </c>
      <c r="Z556" t="b">
        <v>1</v>
      </c>
      <c r="AA556" s="24" t="str">
        <f t="shared" si="8"/>
        <v>Liam Delap</v>
      </c>
    </row>
    <row r="557" spans="1:27" x14ac:dyDescent="0.25">
      <c r="A557" s="24">
        <v>2</v>
      </c>
      <c r="B557" s="24" t="s">
        <v>416</v>
      </c>
      <c r="C557" s="24" t="s">
        <v>417</v>
      </c>
      <c r="D557">
        <v>201</v>
      </c>
      <c r="E557" s="24">
        <v>0.3</v>
      </c>
      <c r="F557" s="25">
        <v>54</v>
      </c>
      <c r="G557" s="24">
        <v>0.5</v>
      </c>
      <c r="H557" s="24">
        <v>6.1</v>
      </c>
      <c r="I557" s="24">
        <v>18</v>
      </c>
      <c r="J557" s="24">
        <v>1</v>
      </c>
      <c r="K557" s="24">
        <v>85</v>
      </c>
      <c r="L557" s="24">
        <v>0</v>
      </c>
      <c r="M557" s="24">
        <v>0</v>
      </c>
      <c r="N557" s="24">
        <v>0</v>
      </c>
      <c r="O557" s="24">
        <v>2</v>
      </c>
      <c r="P557" s="24">
        <v>0</v>
      </c>
      <c r="Q557" s="24">
        <v>0</v>
      </c>
      <c r="R557" s="24">
        <v>1</v>
      </c>
      <c r="S557" s="24">
        <v>5</v>
      </c>
      <c r="T557" s="24">
        <v>1</v>
      </c>
      <c r="U557" s="24">
        <v>0.26</v>
      </c>
      <c r="V557" s="24">
        <v>0.01</v>
      </c>
      <c r="W557" s="24">
        <v>0.27</v>
      </c>
      <c r="X557" s="24">
        <v>1.1000000000000001</v>
      </c>
      <c r="Y557" t="s">
        <v>1208</v>
      </c>
      <c r="Z557" t="b">
        <v>1</v>
      </c>
      <c r="AA557" s="24" t="str">
        <f t="shared" si="8"/>
        <v>Daniel Muñoz Mejía</v>
      </c>
    </row>
    <row r="558" spans="1:27" x14ac:dyDescent="0.25">
      <c r="A558" s="24">
        <v>1</v>
      </c>
      <c r="B558" s="24" t="s">
        <v>883</v>
      </c>
      <c r="C558" s="24" t="s">
        <v>884</v>
      </c>
      <c r="D558">
        <v>467</v>
      </c>
      <c r="E558" s="24">
        <v>3</v>
      </c>
      <c r="F558" s="25">
        <v>50</v>
      </c>
      <c r="G558" s="24">
        <v>3</v>
      </c>
      <c r="H558" s="24">
        <v>1.4</v>
      </c>
      <c r="I558" s="24">
        <v>18</v>
      </c>
      <c r="J558" s="24">
        <v>9</v>
      </c>
      <c r="K558" s="24">
        <v>270</v>
      </c>
      <c r="L558" s="24">
        <v>0</v>
      </c>
      <c r="M558" s="24">
        <v>0</v>
      </c>
      <c r="N558" s="24">
        <v>1</v>
      </c>
      <c r="O558" s="24">
        <v>3</v>
      </c>
      <c r="P558" s="24">
        <v>4</v>
      </c>
      <c r="Q558" s="24">
        <v>0</v>
      </c>
      <c r="R558" s="24">
        <v>38</v>
      </c>
      <c r="S558" s="24">
        <v>0</v>
      </c>
      <c r="T558" s="24">
        <v>3</v>
      </c>
      <c r="U558" s="24">
        <v>0</v>
      </c>
      <c r="V558" s="24">
        <v>0.01</v>
      </c>
      <c r="W558" s="24">
        <v>0.01</v>
      </c>
      <c r="X558" s="24">
        <v>3.28</v>
      </c>
      <c r="Y558" t="s">
        <v>1208</v>
      </c>
      <c r="Z558" t="b">
        <v>1</v>
      </c>
      <c r="AA558" s="24" t="str">
        <f t="shared" si="8"/>
        <v>Matz Sels</v>
      </c>
    </row>
    <row r="559" spans="1:27" x14ac:dyDescent="0.25">
      <c r="A559" s="24">
        <v>1</v>
      </c>
      <c r="B559" s="24" t="s">
        <v>885</v>
      </c>
      <c r="C559" s="24" t="s">
        <v>886</v>
      </c>
      <c r="D559">
        <v>468</v>
      </c>
      <c r="E559" s="24">
        <v>0</v>
      </c>
      <c r="F559" s="25">
        <v>45</v>
      </c>
      <c r="G559" s="24">
        <v>0</v>
      </c>
      <c r="H559" s="24">
        <v>0.1</v>
      </c>
      <c r="I559" s="24">
        <v>18</v>
      </c>
      <c r="J559" s="24">
        <v>0</v>
      </c>
      <c r="K559" s="24">
        <v>0</v>
      </c>
      <c r="L559" s="24">
        <v>0</v>
      </c>
      <c r="M559" s="24">
        <v>0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t="s">
        <v>1208</v>
      </c>
      <c r="Z559" t="b">
        <v>1</v>
      </c>
      <c r="AA559" s="24" t="str">
        <f t="shared" si="8"/>
        <v>John Victor Maciel Furtado</v>
      </c>
    </row>
    <row r="560" spans="1:27" x14ac:dyDescent="0.25">
      <c r="A560" s="24">
        <v>2</v>
      </c>
      <c r="B560" s="24" t="s">
        <v>887</v>
      </c>
      <c r="C560" s="24" t="s">
        <v>888</v>
      </c>
      <c r="D560">
        <v>469</v>
      </c>
      <c r="E560" s="24">
        <v>5</v>
      </c>
      <c r="F560" s="25">
        <v>50</v>
      </c>
      <c r="G560" s="24">
        <v>5</v>
      </c>
      <c r="H560" s="24">
        <v>8.3000000000000007</v>
      </c>
      <c r="I560" s="24">
        <v>18</v>
      </c>
      <c r="J560" s="24">
        <v>15</v>
      </c>
      <c r="K560" s="24">
        <v>270</v>
      </c>
      <c r="L560" s="24">
        <v>0</v>
      </c>
      <c r="M560" s="24">
        <v>1</v>
      </c>
      <c r="N560" s="24">
        <v>1</v>
      </c>
      <c r="O560" s="24">
        <v>3</v>
      </c>
      <c r="P560" s="24">
        <v>0</v>
      </c>
      <c r="Q560" s="24">
        <v>1</v>
      </c>
      <c r="R560" s="24">
        <v>57</v>
      </c>
      <c r="S560" s="24">
        <v>24</v>
      </c>
      <c r="T560" s="24">
        <v>3</v>
      </c>
      <c r="U560" s="24">
        <v>0.12</v>
      </c>
      <c r="V560" s="24">
        <v>0.24</v>
      </c>
      <c r="W560" s="24">
        <v>0.36</v>
      </c>
      <c r="X560" s="24">
        <v>3.28</v>
      </c>
      <c r="Y560" t="s">
        <v>1208</v>
      </c>
      <c r="Z560" t="b">
        <v>1</v>
      </c>
      <c r="AA560" s="24" t="str">
        <f t="shared" si="8"/>
        <v>Neco Williams</v>
      </c>
    </row>
    <row r="561" spans="1:27" x14ac:dyDescent="0.25">
      <c r="A561" s="24">
        <v>2</v>
      </c>
      <c r="B561" s="24" t="s">
        <v>889</v>
      </c>
      <c r="C561" s="24" t="s">
        <v>890</v>
      </c>
      <c r="D561">
        <v>470</v>
      </c>
      <c r="E561" s="24">
        <v>0</v>
      </c>
      <c r="F561" s="25">
        <v>50</v>
      </c>
      <c r="G561" s="24">
        <v>0</v>
      </c>
      <c r="H561" s="24">
        <v>0</v>
      </c>
      <c r="I561" s="24">
        <v>18</v>
      </c>
      <c r="J561" s="24">
        <v>0</v>
      </c>
      <c r="K561" s="24">
        <v>0</v>
      </c>
      <c r="L561" s="24">
        <v>0</v>
      </c>
      <c r="M561" s="24">
        <v>0</v>
      </c>
      <c r="N561" s="24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t="s">
        <v>1211</v>
      </c>
      <c r="Z561" t="b">
        <v>0</v>
      </c>
      <c r="AA561" s="24" t="str">
        <f t="shared" si="8"/>
        <v>Felipe Rodrigues da Silva</v>
      </c>
    </row>
    <row r="562" spans="1:27" x14ac:dyDescent="0.25">
      <c r="A562" s="24">
        <v>2</v>
      </c>
      <c r="B562" s="24" t="s">
        <v>891</v>
      </c>
      <c r="C562" s="24" t="s">
        <v>892</v>
      </c>
      <c r="D562">
        <v>471</v>
      </c>
      <c r="E562" s="24">
        <v>4</v>
      </c>
      <c r="F562" s="25">
        <v>55</v>
      </c>
      <c r="G562" s="24">
        <v>4</v>
      </c>
      <c r="H562" s="24">
        <v>1.6</v>
      </c>
      <c r="I562" s="24">
        <v>18</v>
      </c>
      <c r="J562" s="24">
        <v>12</v>
      </c>
      <c r="K562" s="24">
        <v>270</v>
      </c>
      <c r="L562" s="24">
        <v>0</v>
      </c>
      <c r="M562" s="24">
        <v>0</v>
      </c>
      <c r="N562" s="24">
        <v>1</v>
      </c>
      <c r="O562" s="24">
        <v>3</v>
      </c>
      <c r="P562" s="24">
        <v>0</v>
      </c>
      <c r="Q562" s="24">
        <v>0</v>
      </c>
      <c r="R562" s="24">
        <v>34</v>
      </c>
      <c r="S562" s="24">
        <v>31</v>
      </c>
      <c r="T562" s="24">
        <v>3</v>
      </c>
      <c r="U562" s="24">
        <v>0.11</v>
      </c>
      <c r="V562" s="24">
        <v>0.03</v>
      </c>
      <c r="W562" s="24">
        <v>0.14000000000000001</v>
      </c>
      <c r="X562" s="24">
        <v>3.28</v>
      </c>
      <c r="Y562" t="s">
        <v>1208</v>
      </c>
      <c r="Z562" t="b">
        <v>1</v>
      </c>
      <c r="AA562" s="24" t="str">
        <f t="shared" si="8"/>
        <v>Nikola Milenković</v>
      </c>
    </row>
    <row r="563" spans="1:27" x14ac:dyDescent="0.25">
      <c r="A563" s="24">
        <v>2</v>
      </c>
      <c r="B563" s="24" t="s">
        <v>893</v>
      </c>
      <c r="C563" s="24" t="s">
        <v>894</v>
      </c>
      <c r="D563">
        <v>472</v>
      </c>
      <c r="E563" s="24">
        <v>4.3</v>
      </c>
      <c r="F563" s="25">
        <v>55</v>
      </c>
      <c r="G563" s="24">
        <v>4.3</v>
      </c>
      <c r="H563" s="24">
        <v>1.6</v>
      </c>
      <c r="I563" s="24">
        <v>18</v>
      </c>
      <c r="J563" s="24">
        <v>13</v>
      </c>
      <c r="K563" s="24">
        <v>269</v>
      </c>
      <c r="L563" s="24">
        <v>0</v>
      </c>
      <c r="M563" s="24">
        <v>0</v>
      </c>
      <c r="N563" s="24">
        <v>1</v>
      </c>
      <c r="O563" s="24">
        <v>3</v>
      </c>
      <c r="P563" s="24">
        <v>0</v>
      </c>
      <c r="Q563" s="24">
        <v>0</v>
      </c>
      <c r="R563" s="24">
        <v>42</v>
      </c>
      <c r="S563" s="24">
        <v>30</v>
      </c>
      <c r="T563" s="24">
        <v>3</v>
      </c>
      <c r="U563" s="24">
        <v>0.35</v>
      </c>
      <c r="V563" s="24">
        <v>0.28000000000000003</v>
      </c>
      <c r="W563" s="24">
        <v>0.63</v>
      </c>
      <c r="X563" s="24">
        <v>3.28</v>
      </c>
      <c r="Y563" t="s">
        <v>1208</v>
      </c>
      <c r="Z563" t="b">
        <v>1</v>
      </c>
      <c r="AA563" s="24" t="str">
        <f t="shared" si="8"/>
        <v>Murillo Costa dos Santos</v>
      </c>
    </row>
    <row r="564" spans="1:27" x14ac:dyDescent="0.25">
      <c r="A564" s="24">
        <v>2</v>
      </c>
      <c r="B564" s="24" t="s">
        <v>895</v>
      </c>
      <c r="C564" s="24" t="s">
        <v>896</v>
      </c>
      <c r="D564">
        <v>473</v>
      </c>
      <c r="E564" s="24">
        <v>2</v>
      </c>
      <c r="F564" s="25">
        <v>45</v>
      </c>
      <c r="G564" s="24">
        <v>2</v>
      </c>
      <c r="H564" s="24">
        <v>2.9</v>
      </c>
      <c r="I564" s="24">
        <v>18</v>
      </c>
      <c r="J564" s="24">
        <v>6</v>
      </c>
      <c r="K564" s="24">
        <v>216</v>
      </c>
      <c r="L564" s="24">
        <v>0</v>
      </c>
      <c r="M564" s="24">
        <v>0</v>
      </c>
      <c r="N564" s="24">
        <v>1</v>
      </c>
      <c r="O564" s="24">
        <v>2</v>
      </c>
      <c r="P564" s="24">
        <v>0</v>
      </c>
      <c r="Q564" s="24">
        <v>0</v>
      </c>
      <c r="R564" s="24">
        <v>34</v>
      </c>
      <c r="S564" s="24">
        <v>14</v>
      </c>
      <c r="T564" s="24">
        <v>3</v>
      </c>
      <c r="U564" s="24">
        <v>0.04</v>
      </c>
      <c r="V564" s="24">
        <v>0.52</v>
      </c>
      <c r="W564" s="24">
        <v>0.56000000000000005</v>
      </c>
      <c r="X564" s="24">
        <v>2.9</v>
      </c>
      <c r="Y564" t="s">
        <v>1208</v>
      </c>
      <c r="Z564" t="b">
        <v>1</v>
      </c>
      <c r="AA564" s="24" t="str">
        <f t="shared" si="8"/>
        <v>Ola Aina</v>
      </c>
    </row>
    <row r="565" spans="1:27" x14ac:dyDescent="0.25">
      <c r="A565" s="24">
        <v>2</v>
      </c>
      <c r="B565" s="24" t="s">
        <v>897</v>
      </c>
      <c r="C565" s="24" t="s">
        <v>898</v>
      </c>
      <c r="D565">
        <v>474</v>
      </c>
      <c r="E565" s="24">
        <v>3.3</v>
      </c>
      <c r="F565" s="25">
        <v>45</v>
      </c>
      <c r="G565" s="24">
        <v>3.3</v>
      </c>
      <c r="H565" s="24">
        <v>0.2</v>
      </c>
      <c r="I565" s="24">
        <v>18</v>
      </c>
      <c r="J565" s="24">
        <v>10</v>
      </c>
      <c r="K565" s="24">
        <v>270</v>
      </c>
      <c r="L565" s="24">
        <v>0</v>
      </c>
      <c r="M565" s="24">
        <v>0</v>
      </c>
      <c r="N565" s="24">
        <v>1</v>
      </c>
      <c r="O565" s="24">
        <v>3</v>
      </c>
      <c r="P565" s="24">
        <v>0</v>
      </c>
      <c r="Q565" s="24">
        <v>0</v>
      </c>
      <c r="R565" s="24">
        <v>35</v>
      </c>
      <c r="S565" s="24">
        <v>28</v>
      </c>
      <c r="T565" s="24">
        <v>3</v>
      </c>
      <c r="U565" s="24">
        <v>0.03</v>
      </c>
      <c r="V565" s="24">
        <v>0.01</v>
      </c>
      <c r="W565" s="24">
        <v>0.04</v>
      </c>
      <c r="X565" s="24">
        <v>3.28</v>
      </c>
      <c r="Y565" t="s">
        <v>1208</v>
      </c>
      <c r="Z565" t="b">
        <v>1</v>
      </c>
      <c r="AA565" s="24" t="str">
        <f t="shared" si="8"/>
        <v>Jair Paula da Cunha Filho</v>
      </c>
    </row>
    <row r="566" spans="1:27" x14ac:dyDescent="0.25">
      <c r="A566" s="24">
        <v>2</v>
      </c>
      <c r="B566" s="24" t="s">
        <v>899</v>
      </c>
      <c r="C566" s="24" t="s">
        <v>900</v>
      </c>
      <c r="D566">
        <v>475</v>
      </c>
      <c r="E566" s="24">
        <v>0</v>
      </c>
      <c r="F566" s="25">
        <v>45</v>
      </c>
      <c r="G566" s="24">
        <v>0</v>
      </c>
      <c r="H566" s="24">
        <v>0</v>
      </c>
      <c r="I566" s="24">
        <v>18</v>
      </c>
      <c r="J566" s="24">
        <v>0</v>
      </c>
      <c r="K566" s="24">
        <v>0</v>
      </c>
      <c r="L566" s="24">
        <v>0</v>
      </c>
      <c r="M566" s="24">
        <v>0</v>
      </c>
      <c r="N566" s="24">
        <v>0</v>
      </c>
      <c r="O566" s="24">
        <v>0</v>
      </c>
      <c r="P566" s="24">
        <v>0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t="s">
        <v>1209</v>
      </c>
      <c r="Z566" t="b">
        <v>1</v>
      </c>
      <c r="AA566" s="24" t="str">
        <f t="shared" si="8"/>
        <v>Nicolò Savona</v>
      </c>
    </row>
    <row r="567" spans="1:27" x14ac:dyDescent="0.25">
      <c r="A567" s="24">
        <v>2</v>
      </c>
      <c r="B567" s="24" t="s">
        <v>774</v>
      </c>
      <c r="C567" s="24" t="s">
        <v>419</v>
      </c>
      <c r="D567">
        <v>476</v>
      </c>
      <c r="E567" s="24">
        <v>0</v>
      </c>
      <c r="F567" s="25">
        <v>40</v>
      </c>
      <c r="G567" s="24">
        <v>0</v>
      </c>
      <c r="H567" s="24">
        <v>0.2</v>
      </c>
      <c r="I567" s="24">
        <v>18</v>
      </c>
      <c r="J567" s="24">
        <v>0</v>
      </c>
      <c r="K567" s="24">
        <v>0</v>
      </c>
      <c r="L567" s="24">
        <v>0</v>
      </c>
      <c r="M567" s="24">
        <v>0</v>
      </c>
      <c r="N567" s="24">
        <v>0</v>
      </c>
      <c r="O567" s="24">
        <v>0</v>
      </c>
      <c r="P567" s="24">
        <v>0</v>
      </c>
      <c r="Q567" s="24">
        <v>0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t="s">
        <v>1208</v>
      </c>
      <c r="Z567" t="b">
        <v>1</v>
      </c>
      <c r="AA567" s="24" t="str">
        <f t="shared" si="8"/>
        <v>Omar Richards</v>
      </c>
    </row>
    <row r="568" spans="1:27" x14ac:dyDescent="0.25">
      <c r="A568" s="24">
        <v>2</v>
      </c>
      <c r="B568" s="24" t="s">
        <v>901</v>
      </c>
      <c r="C568" s="24" t="s">
        <v>902</v>
      </c>
      <c r="D568">
        <v>477</v>
      </c>
      <c r="E568" s="24">
        <v>0</v>
      </c>
      <c r="F568" s="25">
        <v>40</v>
      </c>
      <c r="G568" s="24">
        <v>0</v>
      </c>
      <c r="H568" s="24">
        <v>0.2</v>
      </c>
      <c r="I568" s="24">
        <v>18</v>
      </c>
      <c r="J568" s="24">
        <v>0</v>
      </c>
      <c r="K568" s="24">
        <v>0</v>
      </c>
      <c r="L568" s="24">
        <v>0</v>
      </c>
      <c r="M568" s="24">
        <v>0</v>
      </c>
      <c r="N568" s="24">
        <v>0</v>
      </c>
      <c r="O568" s="24">
        <v>0</v>
      </c>
      <c r="P568" s="24">
        <v>0</v>
      </c>
      <c r="Q568" s="24">
        <v>0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t="s">
        <v>1211</v>
      </c>
      <c r="Z568" t="b">
        <v>0</v>
      </c>
      <c r="AA568" s="24" t="str">
        <f t="shared" si="8"/>
        <v>Zach Abbott</v>
      </c>
    </row>
    <row r="569" spans="1:27" x14ac:dyDescent="0.25">
      <c r="A569" s="24">
        <v>2</v>
      </c>
      <c r="B569" s="24" t="s">
        <v>903</v>
      </c>
      <c r="C569" s="24" t="s">
        <v>904</v>
      </c>
      <c r="D569">
        <v>478</v>
      </c>
      <c r="E569" s="24">
        <v>0.7</v>
      </c>
      <c r="F569" s="25">
        <v>45</v>
      </c>
      <c r="G569" s="24">
        <v>1</v>
      </c>
      <c r="H569" s="24">
        <v>0</v>
      </c>
      <c r="I569" s="24">
        <v>18</v>
      </c>
      <c r="J569" s="24">
        <v>2</v>
      </c>
      <c r="K569" s="24">
        <v>20</v>
      </c>
      <c r="L569" s="24">
        <v>0</v>
      </c>
      <c r="M569" s="24">
        <v>0</v>
      </c>
      <c r="N569" s="24">
        <v>0</v>
      </c>
      <c r="O569" s="24">
        <v>1</v>
      </c>
      <c r="P569" s="24">
        <v>0</v>
      </c>
      <c r="Q569" s="24">
        <v>0</v>
      </c>
      <c r="R569" s="24">
        <v>3</v>
      </c>
      <c r="S569" s="24">
        <v>1</v>
      </c>
      <c r="T569" s="24">
        <v>0</v>
      </c>
      <c r="U569" s="24">
        <v>0</v>
      </c>
      <c r="V569" s="24">
        <v>0</v>
      </c>
      <c r="W569" s="24">
        <v>0</v>
      </c>
      <c r="X569" s="24">
        <v>0.13</v>
      </c>
      <c r="Y569" t="s">
        <v>1208</v>
      </c>
      <c r="Z569" t="b">
        <v>1</v>
      </c>
      <c r="AA569" s="24" t="str">
        <f t="shared" si="8"/>
        <v>Luca Netz</v>
      </c>
    </row>
    <row r="570" spans="1:27" x14ac:dyDescent="0.25">
      <c r="A570" s="24">
        <v>2</v>
      </c>
      <c r="B570" s="24" t="s">
        <v>161</v>
      </c>
      <c r="C570" s="24" t="s">
        <v>905</v>
      </c>
      <c r="D570">
        <v>479</v>
      </c>
      <c r="E570" s="24">
        <v>0</v>
      </c>
      <c r="F570" s="25">
        <v>40</v>
      </c>
      <c r="G570" s="24">
        <v>0</v>
      </c>
      <c r="H570" s="24">
        <v>0.1</v>
      </c>
      <c r="I570" s="24">
        <v>18</v>
      </c>
      <c r="J570" s="24">
        <v>0</v>
      </c>
      <c r="K570" s="24">
        <v>0</v>
      </c>
      <c r="L570" s="24">
        <v>0</v>
      </c>
      <c r="M570" s="24">
        <v>0</v>
      </c>
      <c r="N570" s="24">
        <v>0</v>
      </c>
      <c r="O570" s="24">
        <v>0</v>
      </c>
      <c r="P570" s="24">
        <v>0</v>
      </c>
      <c r="Q570" s="24">
        <v>0</v>
      </c>
      <c r="R570" s="24">
        <v>0</v>
      </c>
      <c r="S570" s="24">
        <v>0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t="s">
        <v>1211</v>
      </c>
      <c r="Z570" t="b">
        <v>0</v>
      </c>
      <c r="AA570" s="24" t="str">
        <f t="shared" si="8"/>
        <v>Tyler Bindon</v>
      </c>
    </row>
    <row r="571" spans="1:27" x14ac:dyDescent="0.25">
      <c r="A571" s="24">
        <v>3</v>
      </c>
      <c r="B571" s="24" t="s">
        <v>287</v>
      </c>
      <c r="C571" s="24" t="s">
        <v>906</v>
      </c>
      <c r="D571">
        <v>480</v>
      </c>
      <c r="E571" s="24">
        <v>6</v>
      </c>
      <c r="F571" s="25">
        <v>79</v>
      </c>
      <c r="G571" s="24">
        <v>6</v>
      </c>
      <c r="H571" s="24">
        <v>9.3000000000000007</v>
      </c>
      <c r="I571" s="24">
        <v>18</v>
      </c>
      <c r="J571" s="24">
        <v>18</v>
      </c>
      <c r="K571" s="24">
        <v>270</v>
      </c>
      <c r="L571" s="24">
        <v>1</v>
      </c>
      <c r="M571" s="24">
        <v>1</v>
      </c>
      <c r="N571" s="24">
        <v>1</v>
      </c>
      <c r="O571" s="24">
        <v>3</v>
      </c>
      <c r="P571" s="24">
        <v>0</v>
      </c>
      <c r="Q571" s="24">
        <v>3</v>
      </c>
      <c r="R571" s="24">
        <v>49</v>
      </c>
      <c r="S571" s="24">
        <v>15</v>
      </c>
      <c r="T571" s="24">
        <v>3</v>
      </c>
      <c r="U571" s="24">
        <v>1.4</v>
      </c>
      <c r="V571" s="24">
        <v>0.11</v>
      </c>
      <c r="W571" s="24">
        <v>1.51</v>
      </c>
      <c r="X571" s="24">
        <v>3.28</v>
      </c>
      <c r="Y571" t="s">
        <v>1208</v>
      </c>
      <c r="Z571" t="b">
        <v>1</v>
      </c>
      <c r="AA571" s="24" t="str">
        <f t="shared" si="8"/>
        <v>Morgan Gibbs-White</v>
      </c>
    </row>
    <row r="572" spans="1:27" x14ac:dyDescent="0.25">
      <c r="A572" s="24">
        <v>3</v>
      </c>
      <c r="B572" s="24" t="s">
        <v>227</v>
      </c>
      <c r="C572" s="24" t="s">
        <v>907</v>
      </c>
      <c r="D572">
        <v>482</v>
      </c>
      <c r="E572" s="24">
        <v>0.3</v>
      </c>
      <c r="F572" s="25">
        <v>59</v>
      </c>
      <c r="G572" s="24">
        <v>1</v>
      </c>
      <c r="H572" s="24">
        <v>0.2</v>
      </c>
      <c r="I572" s="24">
        <v>18</v>
      </c>
      <c r="J572" s="24">
        <v>1</v>
      </c>
      <c r="K572" s="24">
        <v>1</v>
      </c>
      <c r="L572" s="24">
        <v>0</v>
      </c>
      <c r="M572" s="24">
        <v>0</v>
      </c>
      <c r="N572" s="24">
        <v>0</v>
      </c>
      <c r="O572" s="24">
        <v>0</v>
      </c>
      <c r="P572" s="24">
        <v>0</v>
      </c>
      <c r="Q572" s="24">
        <v>0</v>
      </c>
      <c r="R572" s="24">
        <v>2</v>
      </c>
      <c r="S572" s="24">
        <v>0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t="s">
        <v>1208</v>
      </c>
      <c r="Z572" t="b">
        <v>1</v>
      </c>
      <c r="AA572" s="24" t="str">
        <f t="shared" si="8"/>
        <v>Callum Hudson-Odoi</v>
      </c>
    </row>
    <row r="573" spans="1:27" x14ac:dyDescent="0.25">
      <c r="A573" s="24">
        <v>3</v>
      </c>
      <c r="B573" s="24" t="s">
        <v>858</v>
      </c>
      <c r="C573" s="24" t="s">
        <v>908</v>
      </c>
      <c r="D573">
        <v>483</v>
      </c>
      <c r="E573" s="24">
        <v>4.3</v>
      </c>
      <c r="F573" s="25">
        <v>55</v>
      </c>
      <c r="G573" s="24">
        <v>4.3</v>
      </c>
      <c r="H573" s="24">
        <v>0.7</v>
      </c>
      <c r="I573" s="24">
        <v>18</v>
      </c>
      <c r="J573" s="24">
        <v>13</v>
      </c>
      <c r="K573" s="24">
        <v>184</v>
      </c>
      <c r="L573" s="24">
        <v>1</v>
      </c>
      <c r="M573" s="24">
        <v>0</v>
      </c>
      <c r="N573" s="24">
        <v>1</v>
      </c>
      <c r="O573" s="24">
        <v>1</v>
      </c>
      <c r="P573" s="24">
        <v>0</v>
      </c>
      <c r="Q573" s="24">
        <v>2</v>
      </c>
      <c r="R573" s="24">
        <v>40</v>
      </c>
      <c r="S573" s="24">
        <v>17</v>
      </c>
      <c r="T573" s="24">
        <v>3</v>
      </c>
      <c r="U573" s="24">
        <v>0.35</v>
      </c>
      <c r="V573" s="24">
        <v>0.63</v>
      </c>
      <c r="W573" s="24">
        <v>0.98</v>
      </c>
      <c r="X573" s="24">
        <v>2.48</v>
      </c>
      <c r="Y573" t="s">
        <v>1208</v>
      </c>
      <c r="Z573" t="b">
        <v>1</v>
      </c>
      <c r="AA573" s="24" t="str">
        <f t="shared" si="8"/>
        <v>Dan Ndoye</v>
      </c>
    </row>
    <row r="574" spans="1:27" x14ac:dyDescent="0.25">
      <c r="A574" s="24">
        <v>3</v>
      </c>
      <c r="B574" s="24" t="s">
        <v>909</v>
      </c>
      <c r="C574" s="24" t="s">
        <v>910</v>
      </c>
      <c r="D574">
        <v>484</v>
      </c>
      <c r="E574" s="24">
        <v>0</v>
      </c>
      <c r="F574" s="25">
        <v>54</v>
      </c>
      <c r="G574" s="24">
        <v>0</v>
      </c>
      <c r="H574" s="24">
        <v>0.1</v>
      </c>
      <c r="I574" s="24">
        <v>18</v>
      </c>
      <c r="J574" s="24">
        <v>0</v>
      </c>
      <c r="K574" s="24">
        <v>0</v>
      </c>
      <c r="L574" s="24">
        <v>0</v>
      </c>
      <c r="M574" s="24">
        <v>0</v>
      </c>
      <c r="N574" s="24">
        <v>0</v>
      </c>
      <c r="O574" s="24">
        <v>0</v>
      </c>
      <c r="P574" s="24">
        <v>0</v>
      </c>
      <c r="Q574" s="24">
        <v>0</v>
      </c>
      <c r="R574" s="24">
        <v>0</v>
      </c>
      <c r="S574" s="24">
        <v>0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t="s">
        <v>1211</v>
      </c>
      <c r="Z574" t="b">
        <v>0</v>
      </c>
      <c r="AA574" s="24" t="str">
        <f t="shared" si="8"/>
        <v>Omari Hutchinson</v>
      </c>
    </row>
    <row r="575" spans="1:27" x14ac:dyDescent="0.25">
      <c r="A575" s="24">
        <v>3</v>
      </c>
      <c r="B575" s="24" t="s">
        <v>911</v>
      </c>
      <c r="C575" s="24" t="s">
        <v>912</v>
      </c>
      <c r="D575">
        <v>485</v>
      </c>
      <c r="E575" s="24">
        <v>0</v>
      </c>
      <c r="F575" s="25">
        <v>55</v>
      </c>
      <c r="G575" s="24">
        <v>0</v>
      </c>
      <c r="H575" s="24">
        <v>0</v>
      </c>
      <c r="I575" s="24">
        <v>18</v>
      </c>
      <c r="J575" s="24">
        <v>0</v>
      </c>
      <c r="K575" s="24">
        <v>0</v>
      </c>
      <c r="L575" s="24">
        <v>0</v>
      </c>
      <c r="M575" s="24">
        <v>0</v>
      </c>
      <c r="N575" s="24">
        <v>0</v>
      </c>
      <c r="O575" s="24">
        <v>0</v>
      </c>
      <c r="P575" s="24">
        <v>0</v>
      </c>
      <c r="Q575" s="24">
        <v>0</v>
      </c>
      <c r="R575" s="24">
        <v>0</v>
      </c>
      <c r="S575" s="24">
        <v>0</v>
      </c>
      <c r="T575" s="24">
        <v>0</v>
      </c>
      <c r="U575" s="24">
        <v>0</v>
      </c>
      <c r="V575" s="24">
        <v>0</v>
      </c>
      <c r="W575" s="24">
        <v>0</v>
      </c>
      <c r="X575" s="24">
        <v>0</v>
      </c>
      <c r="Y575" t="s">
        <v>1211</v>
      </c>
      <c r="Z575" t="b">
        <v>0</v>
      </c>
      <c r="AA575" s="24" t="str">
        <f t="shared" si="8"/>
        <v>Dilane Bakwa</v>
      </c>
    </row>
    <row r="576" spans="1:27" x14ac:dyDescent="0.25">
      <c r="A576" s="24">
        <v>3</v>
      </c>
      <c r="B576" s="24" t="s">
        <v>135</v>
      </c>
      <c r="C576" s="24" t="s">
        <v>913</v>
      </c>
      <c r="D576">
        <v>486</v>
      </c>
      <c r="E576" s="24">
        <v>2.2999999999999998</v>
      </c>
      <c r="F576" s="25">
        <v>55</v>
      </c>
      <c r="G576" s="24">
        <v>2.2999999999999998</v>
      </c>
      <c r="H576" s="24">
        <v>0.1</v>
      </c>
      <c r="I576" s="24">
        <v>18</v>
      </c>
      <c r="J576" s="24">
        <v>7</v>
      </c>
      <c r="K576" s="24">
        <v>253</v>
      </c>
      <c r="L576" s="24">
        <v>0</v>
      </c>
      <c r="M576" s="24">
        <v>0</v>
      </c>
      <c r="N576" s="24">
        <v>2</v>
      </c>
      <c r="O576" s="24">
        <v>2</v>
      </c>
      <c r="P576" s="24">
        <v>0</v>
      </c>
      <c r="Q576" s="24">
        <v>0</v>
      </c>
      <c r="R576" s="24">
        <v>56</v>
      </c>
      <c r="S576" s="24">
        <v>23</v>
      </c>
      <c r="T576" s="24">
        <v>3</v>
      </c>
      <c r="U576" s="24">
        <v>0.13</v>
      </c>
      <c r="V576" s="24">
        <v>0.54</v>
      </c>
      <c r="W576" s="24">
        <v>0.67</v>
      </c>
      <c r="X576" s="24">
        <v>3.15</v>
      </c>
      <c r="Y576" t="s">
        <v>1208</v>
      </c>
      <c r="Z576" t="b">
        <v>1</v>
      </c>
      <c r="AA576" s="24" t="str">
        <f t="shared" si="8"/>
        <v>James McAtee</v>
      </c>
    </row>
    <row r="577" spans="1:27" x14ac:dyDescent="0.25">
      <c r="A577" s="24">
        <v>3</v>
      </c>
      <c r="B577" s="24" t="s">
        <v>914</v>
      </c>
      <c r="C577" s="24" t="s">
        <v>915</v>
      </c>
      <c r="D577">
        <v>487</v>
      </c>
      <c r="E577" s="24">
        <v>0.3</v>
      </c>
      <c r="F577" s="25">
        <v>49</v>
      </c>
      <c r="G577" s="24">
        <v>1</v>
      </c>
      <c r="H577" s="24">
        <v>0.1</v>
      </c>
      <c r="I577" s="24">
        <v>18</v>
      </c>
      <c r="J577" s="24">
        <v>1</v>
      </c>
      <c r="K577" s="24">
        <v>1</v>
      </c>
      <c r="L577" s="24">
        <v>0</v>
      </c>
      <c r="M577" s="24">
        <v>0</v>
      </c>
      <c r="N577" s="24">
        <v>0</v>
      </c>
      <c r="O577" s="24">
        <v>0</v>
      </c>
      <c r="P577" s="24">
        <v>0</v>
      </c>
      <c r="Q577" s="24">
        <v>0</v>
      </c>
      <c r="R577" s="24">
        <v>3</v>
      </c>
      <c r="S577" s="24">
        <v>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t="s">
        <v>1208</v>
      </c>
      <c r="Z577" t="b">
        <v>1</v>
      </c>
      <c r="AA577" s="24" t="str">
        <f t="shared" si="8"/>
        <v>Nicolás Domínguez</v>
      </c>
    </row>
    <row r="578" spans="1:27" x14ac:dyDescent="0.25">
      <c r="A578" s="24">
        <v>3</v>
      </c>
      <c r="B578" s="24" t="s">
        <v>916</v>
      </c>
      <c r="C578" s="24" t="s">
        <v>230</v>
      </c>
      <c r="D578">
        <v>488</v>
      </c>
      <c r="E578" s="24">
        <v>0.7</v>
      </c>
      <c r="F578" s="25">
        <v>49</v>
      </c>
      <c r="G578" s="24">
        <v>2</v>
      </c>
      <c r="H578" s="24">
        <v>0.6</v>
      </c>
      <c r="I578" s="24">
        <v>18</v>
      </c>
      <c r="J578" s="24">
        <v>2</v>
      </c>
      <c r="K578" s="24">
        <v>90</v>
      </c>
      <c r="L578" s="24">
        <v>0</v>
      </c>
      <c r="M578" s="24">
        <v>0</v>
      </c>
      <c r="N578" s="24">
        <v>0</v>
      </c>
      <c r="O578" s="24">
        <v>1</v>
      </c>
      <c r="P578" s="24">
        <v>0</v>
      </c>
      <c r="Q578" s="24">
        <v>0</v>
      </c>
      <c r="R578" s="24">
        <v>10</v>
      </c>
      <c r="S578" s="24">
        <v>6</v>
      </c>
      <c r="T578" s="24">
        <v>1</v>
      </c>
      <c r="U578" s="24">
        <v>0.03</v>
      </c>
      <c r="V578" s="24">
        <v>0.01</v>
      </c>
      <c r="W578" s="24">
        <v>0.04</v>
      </c>
      <c r="X578" s="24">
        <v>0.47</v>
      </c>
      <c r="Y578" t="s">
        <v>1208</v>
      </c>
      <c r="Z578" t="b">
        <v>1</v>
      </c>
      <c r="AA578" s="24" t="str">
        <f t="shared" ref="AA578:AA641" si="9">B578&amp;" "&amp;C578</f>
        <v>Ibrahim Sangaré</v>
      </c>
    </row>
    <row r="579" spans="1:27" x14ac:dyDescent="0.25">
      <c r="A579" s="24">
        <v>3</v>
      </c>
      <c r="B579" s="24" t="s">
        <v>164</v>
      </c>
      <c r="C579" s="24" t="s">
        <v>917</v>
      </c>
      <c r="D579">
        <v>489</v>
      </c>
      <c r="E579" s="24">
        <v>0</v>
      </c>
      <c r="F579" s="25">
        <v>45</v>
      </c>
      <c r="G579" s="24">
        <v>0</v>
      </c>
      <c r="H579" s="24">
        <v>1.4</v>
      </c>
      <c r="I579" s="24">
        <v>18</v>
      </c>
      <c r="J579" s="24">
        <v>0</v>
      </c>
      <c r="K579" s="24">
        <v>0</v>
      </c>
      <c r="L579" s="24">
        <v>0</v>
      </c>
      <c r="M579" s="24">
        <v>0</v>
      </c>
      <c r="N579" s="24">
        <v>0</v>
      </c>
      <c r="O579" s="24">
        <v>0</v>
      </c>
      <c r="P579" s="24">
        <v>0</v>
      </c>
      <c r="Q579" s="24">
        <v>0</v>
      </c>
      <c r="R579" s="24">
        <v>0</v>
      </c>
      <c r="S579" s="24">
        <v>0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t="s">
        <v>1208</v>
      </c>
      <c r="Z579" t="b">
        <v>1</v>
      </c>
      <c r="AA579" s="24" t="str">
        <f t="shared" si="9"/>
        <v>Ryan Yates</v>
      </c>
    </row>
    <row r="580" spans="1:27" x14ac:dyDescent="0.25">
      <c r="A580" s="24">
        <v>4</v>
      </c>
      <c r="B580" s="24" t="s">
        <v>418</v>
      </c>
      <c r="C580" s="24" t="s">
        <v>918</v>
      </c>
      <c r="D580">
        <v>490</v>
      </c>
      <c r="E580" s="24">
        <v>0.7</v>
      </c>
      <c r="F580" s="25">
        <v>59</v>
      </c>
      <c r="G580" s="24">
        <v>1</v>
      </c>
      <c r="H580" s="24">
        <v>1.1000000000000001</v>
      </c>
      <c r="I580" s="24">
        <v>18</v>
      </c>
      <c r="J580" s="24">
        <v>2</v>
      </c>
      <c r="K580" s="24">
        <v>44</v>
      </c>
      <c r="L580" s="24">
        <v>0</v>
      </c>
      <c r="M580" s="24">
        <v>0</v>
      </c>
      <c r="N580" s="24">
        <v>0</v>
      </c>
      <c r="O580" s="24">
        <v>1</v>
      </c>
      <c r="P580" s="24">
        <v>0</v>
      </c>
      <c r="Q580" s="24">
        <v>0</v>
      </c>
      <c r="R580" s="24">
        <v>6</v>
      </c>
      <c r="S580" s="24">
        <v>1</v>
      </c>
      <c r="T580" s="24">
        <v>0</v>
      </c>
      <c r="U580" s="24">
        <v>0.12</v>
      </c>
      <c r="V580" s="24">
        <v>0.01</v>
      </c>
      <c r="W580" s="24">
        <v>0.13</v>
      </c>
      <c r="X580" s="24">
        <v>0.4</v>
      </c>
      <c r="Y580" t="s">
        <v>1208</v>
      </c>
      <c r="Z580" t="b">
        <v>1</v>
      </c>
      <c r="AA580" s="24" t="str">
        <f t="shared" si="9"/>
        <v>Chris Wood</v>
      </c>
    </row>
    <row r="581" spans="1:27" x14ac:dyDescent="0.25">
      <c r="A581" s="24">
        <v>4</v>
      </c>
      <c r="B581" s="24" t="s">
        <v>919</v>
      </c>
      <c r="C581" s="24" t="s">
        <v>920</v>
      </c>
      <c r="D581">
        <v>491</v>
      </c>
      <c r="E581" s="24">
        <v>1.3</v>
      </c>
      <c r="F581" s="25">
        <v>59</v>
      </c>
      <c r="G581" s="24">
        <v>1.3</v>
      </c>
      <c r="H581" s="24">
        <v>2.8</v>
      </c>
      <c r="I581" s="24">
        <v>18</v>
      </c>
      <c r="J581" s="24">
        <v>4</v>
      </c>
      <c r="K581" s="24">
        <v>211</v>
      </c>
      <c r="L581" s="24">
        <v>0</v>
      </c>
      <c r="M581" s="24">
        <v>0</v>
      </c>
      <c r="N581" s="24">
        <v>0</v>
      </c>
      <c r="O581" s="24">
        <v>3</v>
      </c>
      <c r="P581" s="24">
        <v>0</v>
      </c>
      <c r="Q581" s="24">
        <v>0</v>
      </c>
      <c r="R581" s="24">
        <v>15</v>
      </c>
      <c r="S581" s="24">
        <v>9</v>
      </c>
      <c r="T581" s="24">
        <v>2</v>
      </c>
      <c r="U581" s="24">
        <v>0.96</v>
      </c>
      <c r="V581" s="24">
        <v>0.06</v>
      </c>
      <c r="W581" s="24">
        <v>1.02</v>
      </c>
      <c r="X581" s="24">
        <v>2.48</v>
      </c>
      <c r="Y581" t="s">
        <v>1208</v>
      </c>
      <c r="Z581" t="b">
        <v>1</v>
      </c>
      <c r="AA581" s="24" t="str">
        <f t="shared" si="9"/>
        <v>Igor Jesus Maciel da Cruz</v>
      </c>
    </row>
    <row r="582" spans="1:27" x14ac:dyDescent="0.25">
      <c r="A582" s="24">
        <v>4</v>
      </c>
      <c r="B582" s="24" t="s">
        <v>921</v>
      </c>
      <c r="C582" s="24" t="s">
        <v>922</v>
      </c>
      <c r="D582">
        <v>493</v>
      </c>
      <c r="E582" s="24">
        <v>0.3</v>
      </c>
      <c r="F582" s="25">
        <v>54</v>
      </c>
      <c r="G582" s="24">
        <v>1</v>
      </c>
      <c r="H582" s="24">
        <v>0.1</v>
      </c>
      <c r="I582" s="24">
        <v>18</v>
      </c>
      <c r="J582" s="24">
        <v>1</v>
      </c>
      <c r="K582" s="24">
        <v>1</v>
      </c>
      <c r="L582" s="24">
        <v>0</v>
      </c>
      <c r="M582" s="24">
        <v>0</v>
      </c>
      <c r="N582" s="24">
        <v>0</v>
      </c>
      <c r="O582" s="24">
        <v>0</v>
      </c>
      <c r="P582" s="24">
        <v>0</v>
      </c>
      <c r="Q582" s="24">
        <v>0</v>
      </c>
      <c r="R582" s="24">
        <v>3</v>
      </c>
      <c r="S582" s="24">
        <v>0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t="s">
        <v>1208</v>
      </c>
      <c r="Z582" t="b">
        <v>1</v>
      </c>
      <c r="AA582" s="24" t="str">
        <f t="shared" si="9"/>
        <v>Arnaud Kalimuendo</v>
      </c>
    </row>
    <row r="583" spans="1:27" x14ac:dyDescent="0.25">
      <c r="A583" s="24">
        <v>3</v>
      </c>
      <c r="B583" s="24" t="s">
        <v>923</v>
      </c>
      <c r="C583" s="24" t="s">
        <v>924</v>
      </c>
      <c r="D583">
        <v>558</v>
      </c>
      <c r="E583" s="24">
        <v>2.7</v>
      </c>
      <c r="F583" s="25">
        <v>50</v>
      </c>
      <c r="G583" s="24">
        <v>2.7</v>
      </c>
      <c r="H583" s="24">
        <v>0.1</v>
      </c>
      <c r="I583" s="24">
        <v>18</v>
      </c>
      <c r="J583" s="24">
        <v>8</v>
      </c>
      <c r="K583" s="24">
        <v>196</v>
      </c>
      <c r="L583" s="24">
        <v>0</v>
      </c>
      <c r="M583" s="24">
        <v>0</v>
      </c>
      <c r="N583" s="24">
        <v>1</v>
      </c>
      <c r="O583" s="24">
        <v>3</v>
      </c>
      <c r="P583" s="24">
        <v>0</v>
      </c>
      <c r="Q583" s="24">
        <v>0</v>
      </c>
      <c r="R583" s="24">
        <v>36</v>
      </c>
      <c r="S583" s="24">
        <v>26</v>
      </c>
      <c r="T583" s="24">
        <v>2</v>
      </c>
      <c r="U583" s="24">
        <v>0.08</v>
      </c>
      <c r="V583" s="24">
        <v>0.06</v>
      </c>
      <c r="W583" s="24">
        <v>0.14000000000000001</v>
      </c>
      <c r="X583" s="24">
        <v>2.94</v>
      </c>
      <c r="Y583" t="s">
        <v>1208</v>
      </c>
      <c r="Z583" t="b">
        <v>1</v>
      </c>
      <c r="AA583" s="24" t="str">
        <f t="shared" si="9"/>
        <v>Xaver Schlager</v>
      </c>
    </row>
    <row r="584" spans="1:27" x14ac:dyDescent="0.25">
      <c r="A584" s="24">
        <v>2</v>
      </c>
      <c r="B584" s="24" t="s">
        <v>925</v>
      </c>
      <c r="C584" s="24" t="s">
        <v>926</v>
      </c>
      <c r="D584">
        <v>581</v>
      </c>
      <c r="E584" s="24">
        <v>0.3</v>
      </c>
      <c r="F584" s="25">
        <v>54</v>
      </c>
      <c r="G584" s="24">
        <v>1</v>
      </c>
      <c r="H584" s="24">
        <v>0.6</v>
      </c>
      <c r="I584" s="24">
        <v>18</v>
      </c>
      <c r="J584" s="24">
        <v>1</v>
      </c>
      <c r="K584" s="24">
        <v>1</v>
      </c>
      <c r="L584" s="24">
        <v>0</v>
      </c>
      <c r="M584" s="24">
        <v>0</v>
      </c>
      <c r="N584" s="24">
        <v>0</v>
      </c>
      <c r="O584" s="24">
        <v>0</v>
      </c>
      <c r="P584" s="24">
        <v>0</v>
      </c>
      <c r="Q584" s="24">
        <v>0</v>
      </c>
      <c r="R584" s="24">
        <v>3</v>
      </c>
      <c r="S584" s="24">
        <v>0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t="s">
        <v>1208</v>
      </c>
      <c r="Z584" t="b">
        <v>1</v>
      </c>
      <c r="AA584" s="24" t="str">
        <f t="shared" si="9"/>
        <v>Ousmane Diomande</v>
      </c>
    </row>
    <row r="585" spans="1:27" x14ac:dyDescent="0.25">
      <c r="A585" s="24">
        <v>1</v>
      </c>
      <c r="B585" s="24" t="s">
        <v>927</v>
      </c>
      <c r="C585" s="24" t="s">
        <v>928</v>
      </c>
      <c r="D585">
        <v>590</v>
      </c>
      <c r="E585" s="24">
        <v>0</v>
      </c>
      <c r="F585" s="25">
        <v>45</v>
      </c>
      <c r="G585" s="24">
        <v>0</v>
      </c>
      <c r="H585" s="24">
        <v>0.1</v>
      </c>
      <c r="I585" s="24">
        <v>18</v>
      </c>
      <c r="J585" s="24">
        <v>0</v>
      </c>
      <c r="K585" s="24">
        <v>0</v>
      </c>
      <c r="L585" s="24">
        <v>0</v>
      </c>
      <c r="M585" s="24">
        <v>0</v>
      </c>
      <c r="N585" s="24">
        <v>0</v>
      </c>
      <c r="O585" s="24">
        <v>0</v>
      </c>
      <c r="P585" s="24">
        <v>0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t="s">
        <v>1208</v>
      </c>
      <c r="Z585" t="b">
        <v>1</v>
      </c>
      <c r="AA585" s="24" t="str">
        <f t="shared" si="9"/>
        <v>Steven Benda</v>
      </c>
    </row>
    <row r="586" spans="1:27" x14ac:dyDescent="0.25">
      <c r="A586" s="24">
        <v>2</v>
      </c>
      <c r="B586" s="24" t="s">
        <v>929</v>
      </c>
      <c r="C586" s="24" t="s">
        <v>930</v>
      </c>
      <c r="D586">
        <v>112</v>
      </c>
      <c r="E586" s="24">
        <v>3.3</v>
      </c>
      <c r="F586" s="25">
        <v>49</v>
      </c>
      <c r="G586" s="24">
        <v>3.3</v>
      </c>
      <c r="H586" s="24">
        <v>7.1</v>
      </c>
      <c r="I586" s="24">
        <v>19</v>
      </c>
      <c r="J586" s="24">
        <v>10</v>
      </c>
      <c r="K586" s="24">
        <v>270</v>
      </c>
      <c r="L586" s="24">
        <v>0</v>
      </c>
      <c r="M586" s="24">
        <v>0</v>
      </c>
      <c r="N586" s="24">
        <v>1</v>
      </c>
      <c r="O586" s="24">
        <v>5</v>
      </c>
      <c r="P586" s="24">
        <v>0</v>
      </c>
      <c r="Q586" s="24">
        <v>2</v>
      </c>
      <c r="R586" s="24">
        <v>41</v>
      </c>
      <c r="S586" s="24">
        <v>21</v>
      </c>
      <c r="T586" s="24">
        <v>3</v>
      </c>
      <c r="U586" s="24">
        <v>0.2</v>
      </c>
      <c r="V586" s="24">
        <v>7.0000000000000007E-2</v>
      </c>
      <c r="W586" s="24">
        <v>0.27</v>
      </c>
      <c r="X586" s="24">
        <v>5.51</v>
      </c>
      <c r="Y586" t="s">
        <v>1208</v>
      </c>
      <c r="Z586" t="b">
        <v>1</v>
      </c>
      <c r="AA586" s="24" t="str">
        <f t="shared" si="9"/>
        <v>Jan Paul van Hecke</v>
      </c>
    </row>
    <row r="587" spans="1:27" x14ac:dyDescent="0.25">
      <c r="A587" s="24">
        <v>2</v>
      </c>
      <c r="B587" s="24" t="s">
        <v>306</v>
      </c>
      <c r="C587" s="24" t="s">
        <v>307</v>
      </c>
      <c r="D587">
        <v>147</v>
      </c>
      <c r="E587" s="24">
        <v>0</v>
      </c>
      <c r="F587" s="25">
        <v>44</v>
      </c>
      <c r="G587" s="24">
        <v>0</v>
      </c>
      <c r="H587" s="24">
        <v>0.2</v>
      </c>
      <c r="I587" s="24">
        <v>19</v>
      </c>
      <c r="J587" s="24">
        <v>0</v>
      </c>
      <c r="K587" s="24">
        <v>0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t="s">
        <v>1208</v>
      </c>
      <c r="Z587" t="b">
        <v>1</v>
      </c>
      <c r="AA587" s="24" t="str">
        <f t="shared" si="9"/>
        <v>Tosin Adarabioyo</v>
      </c>
    </row>
    <row r="588" spans="1:27" x14ac:dyDescent="0.25">
      <c r="A588" s="24">
        <v>4</v>
      </c>
      <c r="B588" s="24" t="s">
        <v>774</v>
      </c>
      <c r="C588" s="24" t="s">
        <v>775</v>
      </c>
      <c r="D588">
        <v>401</v>
      </c>
      <c r="E588" s="24">
        <v>1.3</v>
      </c>
      <c r="F588" s="25">
        <v>70</v>
      </c>
      <c r="G588" s="24">
        <v>2</v>
      </c>
      <c r="H588" s="24">
        <v>2.2000000000000002</v>
      </c>
      <c r="I588" s="24">
        <v>19</v>
      </c>
      <c r="J588" s="24">
        <v>4</v>
      </c>
      <c r="K588" s="24">
        <v>173</v>
      </c>
      <c r="L588" s="24">
        <v>0</v>
      </c>
      <c r="M588" s="24">
        <v>0</v>
      </c>
      <c r="N588" s="24">
        <v>1</v>
      </c>
      <c r="O588" s="24">
        <v>2</v>
      </c>
      <c r="P588" s="24">
        <v>0</v>
      </c>
      <c r="Q588" s="24">
        <v>0</v>
      </c>
      <c r="R588" s="24">
        <v>20</v>
      </c>
      <c r="S588" s="24">
        <v>4</v>
      </c>
      <c r="T588" s="24">
        <v>2</v>
      </c>
      <c r="U588" s="24">
        <v>0.34</v>
      </c>
      <c r="V588" s="24">
        <v>0.08</v>
      </c>
      <c r="W588" s="24">
        <v>0.42</v>
      </c>
      <c r="X588" s="24">
        <v>1.6</v>
      </c>
      <c r="Y588" t="s">
        <v>1208</v>
      </c>
      <c r="Z588" t="b">
        <v>1</v>
      </c>
      <c r="AA588" s="24" t="str">
        <f t="shared" si="9"/>
        <v>Omar Marmoush</v>
      </c>
    </row>
    <row r="589" spans="1:27" x14ac:dyDescent="0.25">
      <c r="A589" s="24">
        <v>3</v>
      </c>
      <c r="B589" s="24" t="s">
        <v>778</v>
      </c>
      <c r="C589" s="24" t="s">
        <v>779</v>
      </c>
      <c r="D589">
        <v>403</v>
      </c>
      <c r="E589" s="24">
        <v>1</v>
      </c>
      <c r="F589" s="25">
        <v>65</v>
      </c>
      <c r="G589" s="24">
        <v>3</v>
      </c>
      <c r="H589" s="24">
        <v>0.7</v>
      </c>
      <c r="I589" s="24">
        <v>19</v>
      </c>
      <c r="J589" s="24">
        <v>3</v>
      </c>
      <c r="K589" s="24">
        <v>60</v>
      </c>
      <c r="L589" s="24">
        <v>0</v>
      </c>
      <c r="M589" s="24">
        <v>0</v>
      </c>
      <c r="N589" s="24">
        <v>1</v>
      </c>
      <c r="O589" s="24">
        <v>0</v>
      </c>
      <c r="P589" s="24">
        <v>0</v>
      </c>
      <c r="Q589" s="24">
        <v>0</v>
      </c>
      <c r="R589" s="24">
        <v>15</v>
      </c>
      <c r="S589" s="24">
        <v>0</v>
      </c>
      <c r="T589" s="24">
        <v>1</v>
      </c>
      <c r="U589" s="24">
        <v>0.02</v>
      </c>
      <c r="V589" s="24">
        <v>0.27</v>
      </c>
      <c r="W589" s="24">
        <v>0.28999999999999998</v>
      </c>
      <c r="X589" s="24">
        <v>0.49</v>
      </c>
      <c r="Y589" t="s">
        <v>1208</v>
      </c>
      <c r="Z589" t="b">
        <v>1</v>
      </c>
      <c r="AA589" s="24" t="str">
        <f t="shared" si="9"/>
        <v>Sávio Moreira de Oliveira</v>
      </c>
    </row>
    <row r="590" spans="1:27" x14ac:dyDescent="0.25">
      <c r="A590" s="24">
        <v>3</v>
      </c>
      <c r="B590" s="24" t="s">
        <v>931</v>
      </c>
      <c r="C590" s="24" t="s">
        <v>932</v>
      </c>
      <c r="D590">
        <v>455</v>
      </c>
      <c r="E590" s="24">
        <v>3</v>
      </c>
      <c r="F590" s="25">
        <v>54</v>
      </c>
      <c r="G590" s="24">
        <v>3</v>
      </c>
      <c r="H590" s="24">
        <v>2.7</v>
      </c>
      <c r="I590" s="24">
        <v>19</v>
      </c>
      <c r="J590" s="24">
        <v>9</v>
      </c>
      <c r="K590" s="24">
        <v>254</v>
      </c>
      <c r="L590" s="24">
        <v>0</v>
      </c>
      <c r="M590" s="24">
        <v>0</v>
      </c>
      <c r="N590" s="24">
        <v>1</v>
      </c>
      <c r="O590" s="24">
        <v>5</v>
      </c>
      <c r="P590" s="24">
        <v>0</v>
      </c>
      <c r="Q590" s="24">
        <v>0</v>
      </c>
      <c r="R590" s="24">
        <v>52</v>
      </c>
      <c r="S590" s="24">
        <v>20</v>
      </c>
      <c r="T590" s="24">
        <v>3</v>
      </c>
      <c r="U590" s="24">
        <v>0.09</v>
      </c>
      <c r="V590" s="24">
        <v>0.09</v>
      </c>
      <c r="W590" s="24">
        <v>0.18</v>
      </c>
      <c r="X590" s="24">
        <v>5.51</v>
      </c>
      <c r="Y590" t="s">
        <v>1208</v>
      </c>
      <c r="Z590" t="b">
        <v>1</v>
      </c>
      <c r="AA590" s="24" t="str">
        <f t="shared" si="9"/>
        <v>Sandro Tonali</v>
      </c>
    </row>
    <row r="591" spans="1:27" x14ac:dyDescent="0.25">
      <c r="A591" s="24">
        <v>1</v>
      </c>
      <c r="B591" s="24" t="s">
        <v>933</v>
      </c>
      <c r="C591" s="24" t="s">
        <v>934</v>
      </c>
      <c r="D591">
        <v>494</v>
      </c>
      <c r="E591" s="24">
        <v>0</v>
      </c>
      <c r="F591" s="25">
        <v>45</v>
      </c>
      <c r="G591" s="24">
        <v>0</v>
      </c>
      <c r="H591" s="24">
        <v>0.2</v>
      </c>
      <c r="I591" s="24">
        <v>19</v>
      </c>
      <c r="J591" s="24">
        <v>0</v>
      </c>
      <c r="K591" s="24">
        <v>0</v>
      </c>
      <c r="L591" s="24">
        <v>0</v>
      </c>
      <c r="M591" s="24">
        <v>0</v>
      </c>
      <c r="N591" s="24">
        <v>0</v>
      </c>
      <c r="O591" s="24">
        <v>0</v>
      </c>
      <c r="P591" s="24">
        <v>0</v>
      </c>
      <c r="Q591" s="24">
        <v>0</v>
      </c>
      <c r="R591" s="24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t="s">
        <v>1211</v>
      </c>
      <c r="Z591" t="b">
        <v>0</v>
      </c>
      <c r="AA591" s="24" t="str">
        <f t="shared" si="9"/>
        <v>Guglielmo Vicario</v>
      </c>
    </row>
    <row r="592" spans="1:27" x14ac:dyDescent="0.25">
      <c r="A592" s="24">
        <v>1</v>
      </c>
      <c r="B592" s="24" t="s">
        <v>397</v>
      </c>
      <c r="C592" s="24" t="s">
        <v>935</v>
      </c>
      <c r="D592">
        <v>495</v>
      </c>
      <c r="E592" s="24">
        <v>0</v>
      </c>
      <c r="F592" s="25">
        <v>40</v>
      </c>
      <c r="G592" s="24">
        <v>0</v>
      </c>
      <c r="H592" s="24">
        <v>1</v>
      </c>
      <c r="I592" s="24">
        <v>19</v>
      </c>
      <c r="J592" s="24">
        <v>0</v>
      </c>
      <c r="K592" s="24">
        <v>0</v>
      </c>
      <c r="L592" s="24">
        <v>0</v>
      </c>
      <c r="M592" s="24">
        <v>0</v>
      </c>
      <c r="N592" s="24">
        <v>0</v>
      </c>
      <c r="O592" s="24">
        <v>0</v>
      </c>
      <c r="P592" s="24">
        <v>0</v>
      </c>
      <c r="Q592" s="24">
        <v>0</v>
      </c>
      <c r="R592" s="24">
        <v>0</v>
      </c>
      <c r="S592" s="24">
        <v>0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t="s">
        <v>1208</v>
      </c>
      <c r="Z592" t="b">
        <v>1</v>
      </c>
      <c r="AA592" s="24" t="str">
        <f t="shared" si="9"/>
        <v>Brandon Austin</v>
      </c>
    </row>
    <row r="593" spans="1:27" x14ac:dyDescent="0.25">
      <c r="A593" s="24">
        <v>1</v>
      </c>
      <c r="B593" s="24" t="s">
        <v>936</v>
      </c>
      <c r="C593" s="24" t="s">
        <v>937</v>
      </c>
      <c r="D593">
        <v>496</v>
      </c>
      <c r="E593" s="24">
        <v>3</v>
      </c>
      <c r="F593" s="25">
        <v>45</v>
      </c>
      <c r="G593" s="24">
        <v>3</v>
      </c>
      <c r="H593" s="24">
        <v>18.899999999999999</v>
      </c>
      <c r="I593" s="24">
        <v>19</v>
      </c>
      <c r="J593" s="24">
        <v>9</v>
      </c>
      <c r="K593" s="24">
        <v>270</v>
      </c>
      <c r="L593" s="24">
        <v>0</v>
      </c>
      <c r="M593" s="24">
        <v>0</v>
      </c>
      <c r="N593" s="24">
        <v>1</v>
      </c>
      <c r="O593" s="24">
        <v>5</v>
      </c>
      <c r="P593" s="24">
        <v>6</v>
      </c>
      <c r="Q593" s="24">
        <v>0</v>
      </c>
      <c r="R593" s="24">
        <v>43</v>
      </c>
      <c r="S593" s="24">
        <v>0</v>
      </c>
      <c r="T593" s="24">
        <v>3</v>
      </c>
      <c r="U593" s="24">
        <v>0</v>
      </c>
      <c r="V593" s="24">
        <v>0</v>
      </c>
      <c r="W593" s="24">
        <v>0</v>
      </c>
      <c r="X593" s="24">
        <v>5.51</v>
      </c>
      <c r="Y593" t="s">
        <v>1208</v>
      </c>
      <c r="Z593" t="b">
        <v>1</v>
      </c>
      <c r="AA593" s="24" t="str">
        <f t="shared" si="9"/>
        <v>Antonín Kinský</v>
      </c>
    </row>
    <row r="594" spans="1:27" x14ac:dyDescent="0.25">
      <c r="A594" s="24">
        <v>1</v>
      </c>
      <c r="B594" s="24" t="s">
        <v>48</v>
      </c>
      <c r="C594" s="24" t="s">
        <v>938</v>
      </c>
      <c r="D594">
        <v>497</v>
      </c>
      <c r="E594" s="24">
        <v>0</v>
      </c>
      <c r="F594" s="25">
        <v>40</v>
      </c>
      <c r="G594" s="24">
        <v>0</v>
      </c>
      <c r="H594" s="24">
        <v>17.899999999999999</v>
      </c>
      <c r="I594" s="24">
        <v>19</v>
      </c>
      <c r="J594" s="24">
        <v>0</v>
      </c>
      <c r="K594" s="24">
        <v>0</v>
      </c>
      <c r="L594" s="24">
        <v>0</v>
      </c>
      <c r="M594" s="24">
        <v>0</v>
      </c>
      <c r="N594" s="24">
        <v>0</v>
      </c>
      <c r="O594" s="24">
        <v>0</v>
      </c>
      <c r="P594" s="24">
        <v>0</v>
      </c>
      <c r="Q594" s="24">
        <v>0</v>
      </c>
      <c r="R594" s="24">
        <v>0</v>
      </c>
      <c r="S594" s="24">
        <v>0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t="s">
        <v>1208</v>
      </c>
      <c r="Z594" t="b">
        <v>1</v>
      </c>
      <c r="AA594" s="24" t="str">
        <f t="shared" si="9"/>
        <v>Martin Dubravka</v>
      </c>
    </row>
    <row r="595" spans="1:27" x14ac:dyDescent="0.25">
      <c r="A595" s="24">
        <v>2</v>
      </c>
      <c r="B595" s="24" t="s">
        <v>939</v>
      </c>
      <c r="C595" s="24" t="s">
        <v>940</v>
      </c>
      <c r="D595">
        <v>498</v>
      </c>
      <c r="E595" s="24">
        <v>1</v>
      </c>
      <c r="F595" s="25">
        <v>59</v>
      </c>
      <c r="G595" s="24">
        <v>3</v>
      </c>
      <c r="H595" s="24">
        <v>5.0999999999999996</v>
      </c>
      <c r="I595" s="24">
        <v>19</v>
      </c>
      <c r="J595" s="24">
        <v>3</v>
      </c>
      <c r="K595" s="24">
        <v>90</v>
      </c>
      <c r="L595" s="24">
        <v>0</v>
      </c>
      <c r="M595" s="24">
        <v>0</v>
      </c>
      <c r="N595" s="24">
        <v>0</v>
      </c>
      <c r="O595" s="24">
        <v>3</v>
      </c>
      <c r="P595" s="24">
        <v>0</v>
      </c>
      <c r="Q595" s="24">
        <v>0</v>
      </c>
      <c r="R595" s="24">
        <v>10</v>
      </c>
      <c r="S595" s="24">
        <v>16</v>
      </c>
      <c r="T595" s="24">
        <v>1</v>
      </c>
      <c r="U595" s="24">
        <v>0</v>
      </c>
      <c r="V595" s="24">
        <v>0.02</v>
      </c>
      <c r="W595" s="24">
        <v>0.02</v>
      </c>
      <c r="X595" s="24">
        <v>3.87</v>
      </c>
      <c r="Y595" t="s">
        <v>1208</v>
      </c>
      <c r="Z595" t="b">
        <v>1</v>
      </c>
      <c r="AA595" s="24" t="str">
        <f t="shared" si="9"/>
        <v>Marcos Senesi Barón</v>
      </c>
    </row>
    <row r="596" spans="1:27" x14ac:dyDescent="0.25">
      <c r="A596" s="24">
        <v>2</v>
      </c>
      <c r="B596" s="24" t="s">
        <v>321</v>
      </c>
      <c r="C596" s="24" t="s">
        <v>941</v>
      </c>
      <c r="D596">
        <v>499</v>
      </c>
      <c r="E596" s="24">
        <v>2.7</v>
      </c>
      <c r="F596" s="25">
        <v>55</v>
      </c>
      <c r="G596" s="24">
        <v>4</v>
      </c>
      <c r="H596" s="24">
        <v>11.5</v>
      </c>
      <c r="I596" s="24">
        <v>19</v>
      </c>
      <c r="J596" s="24">
        <v>8</v>
      </c>
      <c r="K596" s="24">
        <v>180</v>
      </c>
      <c r="L596" s="24">
        <v>0</v>
      </c>
      <c r="M596" s="24">
        <v>0</v>
      </c>
      <c r="N596" s="24">
        <v>1</v>
      </c>
      <c r="O596" s="24">
        <v>2</v>
      </c>
      <c r="P596" s="24">
        <v>0</v>
      </c>
      <c r="Q596" s="24">
        <v>1</v>
      </c>
      <c r="R596" s="24">
        <v>29</v>
      </c>
      <c r="S596" s="24">
        <v>8</v>
      </c>
      <c r="T596" s="24">
        <v>2</v>
      </c>
      <c r="U596" s="24">
        <v>0.36</v>
      </c>
      <c r="V596" s="24">
        <v>0.16</v>
      </c>
      <c r="W596" s="24">
        <v>0.52</v>
      </c>
      <c r="X596" s="24">
        <v>1.64</v>
      </c>
      <c r="Y596" t="s">
        <v>1208</v>
      </c>
      <c r="Z596" t="b">
        <v>1</v>
      </c>
      <c r="AA596" s="24" t="str">
        <f t="shared" si="9"/>
        <v>Pedro Porro Sauceda</v>
      </c>
    </row>
    <row r="597" spans="1:27" x14ac:dyDescent="0.25">
      <c r="A597" s="24">
        <v>2</v>
      </c>
      <c r="B597" s="24" t="s">
        <v>942</v>
      </c>
      <c r="C597" s="24" t="s">
        <v>943</v>
      </c>
      <c r="D597">
        <v>500</v>
      </c>
      <c r="E597" s="24">
        <v>0</v>
      </c>
      <c r="F597" s="25">
        <v>50</v>
      </c>
      <c r="G597" s="24">
        <v>0</v>
      </c>
      <c r="H597" s="24">
        <v>0.1</v>
      </c>
      <c r="I597" s="24">
        <v>19</v>
      </c>
      <c r="J597" s="24">
        <v>0</v>
      </c>
      <c r="K597" s="24">
        <v>0</v>
      </c>
      <c r="L597" s="24">
        <v>0</v>
      </c>
      <c r="M597" s="24">
        <v>0</v>
      </c>
      <c r="N597" s="24">
        <v>0</v>
      </c>
      <c r="O597" s="24">
        <v>0</v>
      </c>
      <c r="P597" s="24">
        <v>0</v>
      </c>
      <c r="Q597" s="24">
        <v>0</v>
      </c>
      <c r="R597" s="24">
        <v>0</v>
      </c>
      <c r="S597" s="24">
        <v>0</v>
      </c>
      <c r="T597" s="24">
        <v>0</v>
      </c>
      <c r="U597" s="24">
        <v>0</v>
      </c>
      <c r="V597" s="24">
        <v>0</v>
      </c>
      <c r="W597" s="24">
        <v>0</v>
      </c>
      <c r="X597" s="24">
        <v>0</v>
      </c>
      <c r="Y597" t="s">
        <v>1211</v>
      </c>
      <c r="Z597" t="b">
        <v>0</v>
      </c>
      <c r="AA597" s="24" t="str">
        <f t="shared" si="9"/>
        <v>Cristian Romero</v>
      </c>
    </row>
    <row r="598" spans="1:27" x14ac:dyDescent="0.25">
      <c r="A598" s="24">
        <v>2</v>
      </c>
      <c r="B598" s="24" t="s">
        <v>945</v>
      </c>
      <c r="C598" s="24" t="s">
        <v>946</v>
      </c>
      <c r="D598">
        <v>502</v>
      </c>
      <c r="E598" s="24">
        <v>2</v>
      </c>
      <c r="F598" s="25">
        <v>45</v>
      </c>
      <c r="G598" s="24">
        <v>2</v>
      </c>
      <c r="H598" s="24">
        <v>3</v>
      </c>
      <c r="I598" s="24">
        <v>19</v>
      </c>
      <c r="J598" s="24">
        <v>6</v>
      </c>
      <c r="K598" s="24">
        <v>186</v>
      </c>
      <c r="L598" s="24">
        <v>0</v>
      </c>
      <c r="M598" s="24">
        <v>0</v>
      </c>
      <c r="N598" s="24">
        <v>0</v>
      </c>
      <c r="O598" s="24">
        <v>4</v>
      </c>
      <c r="P598" s="24">
        <v>0</v>
      </c>
      <c r="Q598" s="24">
        <v>0</v>
      </c>
      <c r="R598" s="24">
        <v>23</v>
      </c>
      <c r="S598" s="24">
        <v>15</v>
      </c>
      <c r="T598" s="24">
        <v>2</v>
      </c>
      <c r="U598" s="24">
        <v>0.06</v>
      </c>
      <c r="V598" s="24">
        <v>0.08</v>
      </c>
      <c r="W598" s="24">
        <v>0.14000000000000001</v>
      </c>
      <c r="X598" s="24">
        <v>4.78</v>
      </c>
      <c r="Y598" t="s">
        <v>1208</v>
      </c>
      <c r="Z598" t="b">
        <v>1</v>
      </c>
      <c r="AA598" s="24" t="str">
        <f t="shared" si="9"/>
        <v>Andrew Robertson</v>
      </c>
    </row>
    <row r="599" spans="1:27" x14ac:dyDescent="0.25">
      <c r="A599" s="24">
        <v>2</v>
      </c>
      <c r="B599" s="24" t="s">
        <v>947</v>
      </c>
      <c r="C599" s="24" t="s">
        <v>948</v>
      </c>
      <c r="D599">
        <v>503</v>
      </c>
      <c r="E599" s="24">
        <v>3</v>
      </c>
      <c r="F599" s="25">
        <v>50</v>
      </c>
      <c r="G599" s="24">
        <v>4.5</v>
      </c>
      <c r="H599" s="24">
        <v>3.8</v>
      </c>
      <c r="I599" s="24">
        <v>19</v>
      </c>
      <c r="J599" s="24">
        <v>9</v>
      </c>
      <c r="K599" s="24">
        <v>180</v>
      </c>
      <c r="L599" s="24">
        <v>0</v>
      </c>
      <c r="M599" s="24">
        <v>0</v>
      </c>
      <c r="N599" s="24">
        <v>1</v>
      </c>
      <c r="O599" s="24">
        <v>2</v>
      </c>
      <c r="P599" s="24">
        <v>0</v>
      </c>
      <c r="Q599" s="24">
        <v>3</v>
      </c>
      <c r="R599" s="24">
        <v>35</v>
      </c>
      <c r="S599" s="24">
        <v>17</v>
      </c>
      <c r="T599" s="24">
        <v>2</v>
      </c>
      <c r="U599" s="24">
        <v>0.56999999999999995</v>
      </c>
      <c r="V599" s="24">
        <v>0.02</v>
      </c>
      <c r="W599" s="24">
        <v>0.59</v>
      </c>
      <c r="X599" s="24">
        <v>1.64</v>
      </c>
      <c r="Y599" t="s">
        <v>1208</v>
      </c>
      <c r="Z599" t="b">
        <v>1</v>
      </c>
      <c r="AA599" s="24" t="str">
        <f t="shared" si="9"/>
        <v>Micky van de Ven</v>
      </c>
    </row>
    <row r="600" spans="1:27" x14ac:dyDescent="0.25">
      <c r="A600" s="24">
        <v>2</v>
      </c>
      <c r="B600" s="24" t="s">
        <v>949</v>
      </c>
      <c r="C600" s="24" t="s">
        <v>950</v>
      </c>
      <c r="D600">
        <v>505</v>
      </c>
      <c r="E600" s="24">
        <v>0</v>
      </c>
      <c r="F600" s="25">
        <v>45</v>
      </c>
      <c r="G600" s="24">
        <v>0</v>
      </c>
      <c r="H600" s="24">
        <v>0.3</v>
      </c>
      <c r="I600" s="24">
        <v>19</v>
      </c>
      <c r="J600" s="24">
        <v>0</v>
      </c>
      <c r="K600" s="24">
        <v>0</v>
      </c>
      <c r="L600" s="24">
        <v>0</v>
      </c>
      <c r="M600" s="24">
        <v>0</v>
      </c>
      <c r="N600" s="24">
        <v>0</v>
      </c>
      <c r="O600" s="24">
        <v>0</v>
      </c>
      <c r="P600" s="24">
        <v>0</v>
      </c>
      <c r="Q600" s="24">
        <v>0</v>
      </c>
      <c r="R600" s="24">
        <v>0</v>
      </c>
      <c r="S600" s="24">
        <v>0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t="s">
        <v>1211</v>
      </c>
      <c r="Z600" t="b">
        <v>0</v>
      </c>
      <c r="AA600" s="24" t="str">
        <f t="shared" si="9"/>
        <v>Djed Spence</v>
      </c>
    </row>
    <row r="601" spans="1:27" x14ac:dyDescent="0.25">
      <c r="A601" s="24">
        <v>2</v>
      </c>
      <c r="B601" s="24" t="s">
        <v>951</v>
      </c>
      <c r="C601" s="24" t="s">
        <v>952</v>
      </c>
      <c r="D601">
        <v>506</v>
      </c>
      <c r="E601" s="24">
        <v>2.2999999999999998</v>
      </c>
      <c r="F601" s="25">
        <v>45</v>
      </c>
      <c r="G601" s="24">
        <v>2.2999999999999998</v>
      </c>
      <c r="H601" s="24">
        <v>0.4</v>
      </c>
      <c r="I601" s="24">
        <v>19</v>
      </c>
      <c r="J601" s="24">
        <v>7</v>
      </c>
      <c r="K601" s="24">
        <v>86</v>
      </c>
      <c r="L601" s="24">
        <v>0</v>
      </c>
      <c r="M601" s="24">
        <v>0</v>
      </c>
      <c r="N601" s="24">
        <v>1</v>
      </c>
      <c r="O601" s="24">
        <v>1</v>
      </c>
      <c r="P601" s="24">
        <v>0</v>
      </c>
      <c r="Q601" s="24">
        <v>0</v>
      </c>
      <c r="R601" s="24">
        <v>21</v>
      </c>
      <c r="S601" s="24">
        <v>4</v>
      </c>
      <c r="T601" s="24">
        <v>1</v>
      </c>
      <c r="U601" s="24">
        <v>0</v>
      </c>
      <c r="V601" s="24">
        <v>0.23</v>
      </c>
      <c r="W601" s="24">
        <v>0.23</v>
      </c>
      <c r="X601" s="24">
        <v>1.17</v>
      </c>
      <c r="Y601" t="s">
        <v>1208</v>
      </c>
      <c r="Z601" t="b">
        <v>1</v>
      </c>
      <c r="AA601" s="24" t="str">
        <f t="shared" si="9"/>
        <v>Destiny Udogie</v>
      </c>
    </row>
    <row r="602" spans="1:27" x14ac:dyDescent="0.25">
      <c r="A602" s="24">
        <v>2</v>
      </c>
      <c r="B602" s="24" t="s">
        <v>953</v>
      </c>
      <c r="C602" s="24" t="s">
        <v>541</v>
      </c>
      <c r="D602">
        <v>507</v>
      </c>
      <c r="E602" s="24">
        <v>0</v>
      </c>
      <c r="F602" s="25">
        <v>45</v>
      </c>
      <c r="G602" s="24">
        <v>0</v>
      </c>
      <c r="H602" s="24">
        <v>0</v>
      </c>
      <c r="I602" s="24">
        <v>19</v>
      </c>
      <c r="J602" s="24">
        <v>0</v>
      </c>
      <c r="K602" s="24">
        <v>0</v>
      </c>
      <c r="L602" s="24">
        <v>0</v>
      </c>
      <c r="M602" s="24">
        <v>0</v>
      </c>
      <c r="N602" s="24">
        <v>0</v>
      </c>
      <c r="O602" s="24">
        <v>0</v>
      </c>
      <c r="P602" s="24">
        <v>0</v>
      </c>
      <c r="Q602" s="24">
        <v>0</v>
      </c>
      <c r="R602" s="24">
        <v>0</v>
      </c>
      <c r="S602" s="24">
        <v>0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t="s">
        <v>1211</v>
      </c>
      <c r="Z602" t="b">
        <v>0</v>
      </c>
      <c r="AA602" s="24" t="str">
        <f t="shared" si="9"/>
        <v>Ashley Phillips</v>
      </c>
    </row>
    <row r="603" spans="1:27" x14ac:dyDescent="0.25">
      <c r="A603" s="24">
        <v>2</v>
      </c>
      <c r="B603" s="24" t="s">
        <v>159</v>
      </c>
      <c r="C603" s="24" t="s">
        <v>700</v>
      </c>
      <c r="D603">
        <v>508</v>
      </c>
      <c r="E603" s="24">
        <v>0</v>
      </c>
      <c r="F603" s="25">
        <v>40</v>
      </c>
      <c r="G603" s="24">
        <v>0</v>
      </c>
      <c r="H603" s="24">
        <v>0.9</v>
      </c>
      <c r="I603" s="24">
        <v>19</v>
      </c>
      <c r="J603" s="24">
        <v>0</v>
      </c>
      <c r="K603" s="24">
        <v>0</v>
      </c>
      <c r="L603" s="24">
        <v>0</v>
      </c>
      <c r="M603" s="24">
        <v>0</v>
      </c>
      <c r="N603" s="24">
        <v>0</v>
      </c>
      <c r="O603" s="24">
        <v>0</v>
      </c>
      <c r="P603" s="24">
        <v>0</v>
      </c>
      <c r="Q603" s="24">
        <v>0</v>
      </c>
      <c r="R603" s="24">
        <v>0</v>
      </c>
      <c r="S603" s="24">
        <v>0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t="s">
        <v>1208</v>
      </c>
      <c r="Z603" t="b">
        <v>1</v>
      </c>
      <c r="AA603" s="24" t="str">
        <f t="shared" si="9"/>
        <v>Ben Davies</v>
      </c>
    </row>
    <row r="604" spans="1:27" x14ac:dyDescent="0.25">
      <c r="A604" s="24">
        <v>2</v>
      </c>
      <c r="B604" s="24" t="s">
        <v>954</v>
      </c>
      <c r="C604" s="24" t="s">
        <v>955</v>
      </c>
      <c r="D604">
        <v>509</v>
      </c>
      <c r="E604" s="24">
        <v>0</v>
      </c>
      <c r="F604" s="25">
        <v>40</v>
      </c>
      <c r="G604" s="24">
        <v>0</v>
      </c>
      <c r="H604" s="24">
        <v>0.1</v>
      </c>
      <c r="I604" s="24">
        <v>19</v>
      </c>
      <c r="J604" s="24">
        <v>0</v>
      </c>
      <c r="K604" s="24">
        <v>0</v>
      </c>
      <c r="L604" s="24">
        <v>0</v>
      </c>
      <c r="M604" s="24">
        <v>0</v>
      </c>
      <c r="N604" s="24">
        <v>0</v>
      </c>
      <c r="O604" s="24">
        <v>0</v>
      </c>
      <c r="P604" s="24">
        <v>0</v>
      </c>
      <c r="Q604" s="24">
        <v>0</v>
      </c>
      <c r="R604" s="24">
        <v>0</v>
      </c>
      <c r="S604" s="24">
        <v>0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t="s">
        <v>1208</v>
      </c>
      <c r="Z604" t="b">
        <v>1</v>
      </c>
      <c r="AA604" s="24" t="str">
        <f t="shared" si="9"/>
        <v>Jun'ai Byfield</v>
      </c>
    </row>
    <row r="605" spans="1:27" x14ac:dyDescent="0.25">
      <c r="A605" s="24">
        <v>2</v>
      </c>
      <c r="B605" s="24" t="s">
        <v>135</v>
      </c>
      <c r="C605" s="24" t="s">
        <v>956</v>
      </c>
      <c r="D605">
        <v>510</v>
      </c>
      <c r="E605" s="24">
        <v>0</v>
      </c>
      <c r="F605" s="25">
        <v>40</v>
      </c>
      <c r="G605" s="24">
        <v>0</v>
      </c>
      <c r="H605" s="24">
        <v>0.1</v>
      </c>
      <c r="I605" s="24">
        <v>19</v>
      </c>
      <c r="J605" s="24">
        <v>0</v>
      </c>
      <c r="K605" s="24">
        <v>0</v>
      </c>
      <c r="L605" s="24">
        <v>0</v>
      </c>
      <c r="M605" s="24">
        <v>0</v>
      </c>
      <c r="N605" s="24">
        <v>0</v>
      </c>
      <c r="O605" s="24">
        <v>0</v>
      </c>
      <c r="P605" s="24">
        <v>0</v>
      </c>
      <c r="Q605" s="24">
        <v>0</v>
      </c>
      <c r="R605" s="24">
        <v>0</v>
      </c>
      <c r="S605" s="24">
        <v>0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t="s">
        <v>1208</v>
      </c>
      <c r="Z605" t="b">
        <v>1</v>
      </c>
      <c r="AA605" s="24" t="str">
        <f t="shared" si="9"/>
        <v>James Rowswell</v>
      </c>
    </row>
    <row r="606" spans="1:27" x14ac:dyDescent="0.25">
      <c r="A606" s="24">
        <v>2</v>
      </c>
      <c r="B606" s="24" t="s">
        <v>957</v>
      </c>
      <c r="C606" s="24" t="s">
        <v>958</v>
      </c>
      <c r="D606">
        <v>511</v>
      </c>
      <c r="E606" s="24">
        <v>0</v>
      </c>
      <c r="F606" s="25">
        <v>40</v>
      </c>
      <c r="G606" s="24">
        <v>0</v>
      </c>
      <c r="H606" s="24">
        <v>0.2</v>
      </c>
      <c r="I606" s="24">
        <v>19</v>
      </c>
      <c r="J606" s="24">
        <v>0</v>
      </c>
      <c r="K606" s="24">
        <v>0</v>
      </c>
      <c r="L606" s="24">
        <v>0</v>
      </c>
      <c r="M606" s="24">
        <v>0</v>
      </c>
      <c r="N606" s="24">
        <v>0</v>
      </c>
      <c r="O606" s="24">
        <v>0</v>
      </c>
      <c r="P606" s="24">
        <v>0</v>
      </c>
      <c r="Q606" s="24">
        <v>0</v>
      </c>
      <c r="R606" s="24">
        <v>0</v>
      </c>
      <c r="S606" s="24">
        <v>0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t="s">
        <v>1211</v>
      </c>
      <c r="Z606" t="b">
        <v>0</v>
      </c>
      <c r="AA606" s="24" t="str">
        <f t="shared" si="9"/>
        <v>João Victor de Souza Menezes</v>
      </c>
    </row>
    <row r="607" spans="1:27" x14ac:dyDescent="0.25">
      <c r="A607" s="24">
        <v>3</v>
      </c>
      <c r="B607" s="24" t="s">
        <v>959</v>
      </c>
      <c r="C607" s="24" t="s">
        <v>960</v>
      </c>
      <c r="D607">
        <v>512</v>
      </c>
      <c r="E607" s="24">
        <v>0.7</v>
      </c>
      <c r="F607" s="25">
        <v>65</v>
      </c>
      <c r="G607" s="24">
        <v>1</v>
      </c>
      <c r="H607" s="24">
        <v>0.1</v>
      </c>
      <c r="I607" s="24">
        <v>19</v>
      </c>
      <c r="J607" s="24">
        <v>2</v>
      </c>
      <c r="K607" s="24">
        <v>51</v>
      </c>
      <c r="L607" s="24">
        <v>0</v>
      </c>
      <c r="M607" s="24">
        <v>0</v>
      </c>
      <c r="N607" s="24">
        <v>0</v>
      </c>
      <c r="O607" s="24">
        <v>1</v>
      </c>
      <c r="P607" s="24">
        <v>0</v>
      </c>
      <c r="Q607" s="24">
        <v>0</v>
      </c>
      <c r="R607" s="24">
        <v>17</v>
      </c>
      <c r="S607" s="24">
        <v>5</v>
      </c>
      <c r="T607" s="24">
        <v>0</v>
      </c>
      <c r="U607" s="24">
        <v>0.04</v>
      </c>
      <c r="V607" s="24">
        <v>0.17</v>
      </c>
      <c r="W607" s="24">
        <v>0.21</v>
      </c>
      <c r="X607" s="24">
        <v>0.67</v>
      </c>
      <c r="Y607" t="s">
        <v>1208</v>
      </c>
      <c r="Z607" t="b">
        <v>1</v>
      </c>
      <c r="AA607" s="24" t="str">
        <f t="shared" si="9"/>
        <v>Mohammed Kudus</v>
      </c>
    </row>
    <row r="608" spans="1:27" x14ac:dyDescent="0.25">
      <c r="A608" s="24">
        <v>3</v>
      </c>
      <c r="B608" s="24" t="s">
        <v>961</v>
      </c>
      <c r="C608" s="24" t="s">
        <v>962</v>
      </c>
      <c r="D608">
        <v>513</v>
      </c>
      <c r="E608" s="24">
        <v>0</v>
      </c>
      <c r="F608" s="25">
        <v>60</v>
      </c>
      <c r="G608" s="24">
        <v>0</v>
      </c>
      <c r="H608" s="24">
        <v>0</v>
      </c>
      <c r="I608" s="24">
        <v>19</v>
      </c>
      <c r="J608" s="24">
        <v>0</v>
      </c>
      <c r="K608" s="24">
        <v>0</v>
      </c>
      <c r="L608" s="24">
        <v>0</v>
      </c>
      <c r="M608" s="24">
        <v>0</v>
      </c>
      <c r="N608" s="24">
        <v>0</v>
      </c>
      <c r="O608" s="24">
        <v>0</v>
      </c>
      <c r="P608" s="24">
        <v>0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t="s">
        <v>1209</v>
      </c>
      <c r="Z608" t="b">
        <v>1</v>
      </c>
      <c r="AA608" s="24" t="str">
        <f t="shared" si="9"/>
        <v>Xavi Simons</v>
      </c>
    </row>
    <row r="609" spans="1:27" x14ac:dyDescent="0.25">
      <c r="A609" s="24">
        <v>3</v>
      </c>
      <c r="B609" s="24" t="s">
        <v>963</v>
      </c>
      <c r="C609" s="24" t="s">
        <v>964</v>
      </c>
      <c r="D609">
        <v>514</v>
      </c>
      <c r="E609" s="24">
        <v>2.2999999999999998</v>
      </c>
      <c r="F609" s="25">
        <v>59</v>
      </c>
      <c r="G609" s="24">
        <v>2.2999999999999998</v>
      </c>
      <c r="H609" s="24">
        <v>0.3</v>
      </c>
      <c r="I609" s="24">
        <v>19</v>
      </c>
      <c r="J609" s="24">
        <v>7</v>
      </c>
      <c r="K609" s="24">
        <v>230</v>
      </c>
      <c r="L609" s="24">
        <v>0</v>
      </c>
      <c r="M609" s="24">
        <v>0</v>
      </c>
      <c r="N609" s="24">
        <v>1</v>
      </c>
      <c r="O609" s="24">
        <v>4</v>
      </c>
      <c r="P609" s="24">
        <v>0</v>
      </c>
      <c r="Q609" s="24">
        <v>0</v>
      </c>
      <c r="R609" s="24">
        <v>38</v>
      </c>
      <c r="S609" s="24">
        <v>13</v>
      </c>
      <c r="T609" s="24">
        <v>3</v>
      </c>
      <c r="U609" s="24">
        <v>0.2</v>
      </c>
      <c r="V609" s="24">
        <v>0.14000000000000001</v>
      </c>
      <c r="W609" s="24">
        <v>0.34</v>
      </c>
      <c r="X609" s="24">
        <v>5.1100000000000003</v>
      </c>
      <c r="Y609" t="s">
        <v>1208</v>
      </c>
      <c r="Z609" t="b">
        <v>1</v>
      </c>
      <c r="AA609" s="24" t="str">
        <f t="shared" si="9"/>
        <v>Mathys Tel</v>
      </c>
    </row>
    <row r="610" spans="1:27" x14ac:dyDescent="0.25">
      <c r="A610" s="24">
        <v>3</v>
      </c>
      <c r="B610" s="24" t="s">
        <v>135</v>
      </c>
      <c r="C610" s="24" t="s">
        <v>965</v>
      </c>
      <c r="D610">
        <v>515</v>
      </c>
      <c r="E610" s="24">
        <v>0.3</v>
      </c>
      <c r="F610" s="25">
        <v>64</v>
      </c>
      <c r="G610" s="24">
        <v>1</v>
      </c>
      <c r="H610" s="24">
        <v>0.5</v>
      </c>
      <c r="I610" s="24">
        <v>19</v>
      </c>
      <c r="J610" s="24">
        <v>1</v>
      </c>
      <c r="K610" s="24">
        <v>22</v>
      </c>
      <c r="L610" s="24">
        <v>0</v>
      </c>
      <c r="M610" s="24">
        <v>0</v>
      </c>
      <c r="N610" s="24">
        <v>0</v>
      </c>
      <c r="O610" s="24">
        <v>0</v>
      </c>
      <c r="P610" s="24">
        <v>0</v>
      </c>
      <c r="Q610" s="24">
        <v>0</v>
      </c>
      <c r="R610" s="24">
        <v>6</v>
      </c>
      <c r="S610" s="24">
        <v>2</v>
      </c>
      <c r="T610" s="24">
        <v>0</v>
      </c>
      <c r="U610" s="24">
        <v>0</v>
      </c>
      <c r="V610" s="24">
        <v>0.01</v>
      </c>
      <c r="W610" s="24">
        <v>0.01</v>
      </c>
      <c r="X610" s="24">
        <v>0.85</v>
      </c>
      <c r="Y610" t="s">
        <v>1210</v>
      </c>
      <c r="Z610" t="b">
        <v>1</v>
      </c>
      <c r="AA610" s="24" t="str">
        <f t="shared" si="9"/>
        <v>James Maddison</v>
      </c>
    </row>
    <row r="611" spans="1:27" x14ac:dyDescent="0.25">
      <c r="A611" s="24">
        <v>3</v>
      </c>
      <c r="B611" s="24" t="s">
        <v>531</v>
      </c>
      <c r="C611" s="24" t="s">
        <v>966</v>
      </c>
      <c r="D611">
        <v>516</v>
      </c>
      <c r="E611" s="24">
        <v>2.7</v>
      </c>
      <c r="F611" s="25">
        <v>55</v>
      </c>
      <c r="G611" s="24">
        <v>2.7</v>
      </c>
      <c r="H611" s="24">
        <v>0.2</v>
      </c>
      <c r="I611" s="24">
        <v>19</v>
      </c>
      <c r="J611" s="24">
        <v>8</v>
      </c>
      <c r="K611" s="24">
        <v>225</v>
      </c>
      <c r="L611" s="24">
        <v>0</v>
      </c>
      <c r="M611" s="24">
        <v>0</v>
      </c>
      <c r="N611" s="24">
        <v>1</v>
      </c>
      <c r="O611" s="24">
        <v>3</v>
      </c>
      <c r="P611" s="24">
        <v>0</v>
      </c>
      <c r="Q611" s="24">
        <v>0</v>
      </c>
      <c r="R611" s="24">
        <v>39</v>
      </c>
      <c r="S611" s="24">
        <v>33</v>
      </c>
      <c r="T611" s="24">
        <v>2</v>
      </c>
      <c r="U611" s="24">
        <v>0.02</v>
      </c>
      <c r="V611" s="24">
        <v>0.04</v>
      </c>
      <c r="W611" s="24">
        <v>0.06</v>
      </c>
      <c r="X611" s="24">
        <v>3.82</v>
      </c>
      <c r="Y611" t="s">
        <v>1208</v>
      </c>
      <c r="Z611" t="b">
        <v>1</v>
      </c>
      <c r="AA611" s="24" t="str">
        <f t="shared" si="9"/>
        <v>Rodrigo Bentancur</v>
      </c>
    </row>
    <row r="612" spans="1:27" x14ac:dyDescent="0.25">
      <c r="A612" s="24">
        <v>3</v>
      </c>
      <c r="B612" s="24" t="s">
        <v>228</v>
      </c>
      <c r="C612" s="24" t="s">
        <v>967</v>
      </c>
      <c r="D612">
        <v>517</v>
      </c>
      <c r="E612" s="24">
        <v>0</v>
      </c>
      <c r="F612" s="25">
        <v>55</v>
      </c>
      <c r="G612" s="24">
        <v>0</v>
      </c>
      <c r="H612" s="24">
        <v>0</v>
      </c>
      <c r="I612" s="24">
        <v>19</v>
      </c>
      <c r="J612" s="24">
        <v>0</v>
      </c>
      <c r="K612" s="24">
        <v>0</v>
      </c>
      <c r="L612" s="24">
        <v>0</v>
      </c>
      <c r="M612" s="24">
        <v>0</v>
      </c>
      <c r="N612" s="24">
        <v>0</v>
      </c>
      <c r="O612" s="24">
        <v>0</v>
      </c>
      <c r="P612" s="24">
        <v>0</v>
      </c>
      <c r="Q612" s="24">
        <v>0</v>
      </c>
      <c r="R612" s="24">
        <v>0</v>
      </c>
      <c r="S612" s="24">
        <v>0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t="s">
        <v>1209</v>
      </c>
      <c r="Z612" t="b">
        <v>1</v>
      </c>
      <c r="AA612" s="24" t="str">
        <f t="shared" si="9"/>
        <v>Wilson Odobert</v>
      </c>
    </row>
    <row r="613" spans="1:27" x14ac:dyDescent="0.25">
      <c r="A613" s="24">
        <v>3</v>
      </c>
      <c r="B613" s="24" t="s">
        <v>968</v>
      </c>
      <c r="C613" s="24" t="s">
        <v>312</v>
      </c>
      <c r="D613">
        <v>518</v>
      </c>
      <c r="E613" s="24">
        <v>0</v>
      </c>
      <c r="F613" s="25">
        <v>49</v>
      </c>
      <c r="G613" s="24">
        <v>0</v>
      </c>
      <c r="H613" s="24">
        <v>0.1</v>
      </c>
      <c r="I613" s="24">
        <v>19</v>
      </c>
      <c r="J613" s="24">
        <v>0</v>
      </c>
      <c r="K613" s="24">
        <v>0</v>
      </c>
      <c r="L613" s="24">
        <v>0</v>
      </c>
      <c r="M613" s="24">
        <v>0</v>
      </c>
      <c r="N613" s="24">
        <v>0</v>
      </c>
      <c r="O613" s="24">
        <v>0</v>
      </c>
      <c r="P613" s="24">
        <v>0</v>
      </c>
      <c r="Q613" s="24">
        <v>0</v>
      </c>
      <c r="R613" s="24">
        <v>0</v>
      </c>
      <c r="S613" s="24">
        <v>0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t="s">
        <v>1211</v>
      </c>
      <c r="Z613" t="b">
        <v>0</v>
      </c>
      <c r="AA613" s="24" t="str">
        <f t="shared" si="9"/>
        <v>Pape Matar Sarr</v>
      </c>
    </row>
    <row r="614" spans="1:27" x14ac:dyDescent="0.25">
      <c r="A614" s="24">
        <v>3</v>
      </c>
      <c r="B614" s="24" t="s">
        <v>708</v>
      </c>
      <c r="C614" s="24" t="s">
        <v>969</v>
      </c>
      <c r="D614">
        <v>519</v>
      </c>
      <c r="E614" s="24">
        <v>1</v>
      </c>
      <c r="F614" s="25">
        <v>54</v>
      </c>
      <c r="G614" s="24">
        <v>1.5</v>
      </c>
      <c r="H614" s="24">
        <v>0.2</v>
      </c>
      <c r="I614" s="24">
        <v>19</v>
      </c>
      <c r="J614" s="24">
        <v>3</v>
      </c>
      <c r="K614" s="24">
        <v>128</v>
      </c>
      <c r="L614" s="24">
        <v>0</v>
      </c>
      <c r="M614" s="24">
        <v>0</v>
      </c>
      <c r="N614" s="24">
        <v>1</v>
      </c>
      <c r="O614" s="24">
        <v>2</v>
      </c>
      <c r="P614" s="24">
        <v>0</v>
      </c>
      <c r="Q614" s="24">
        <v>0</v>
      </c>
      <c r="R614" s="24">
        <v>24</v>
      </c>
      <c r="S614" s="24">
        <v>14</v>
      </c>
      <c r="T614" s="24">
        <v>2</v>
      </c>
      <c r="U614" s="24">
        <v>0.02</v>
      </c>
      <c r="V614" s="24">
        <v>0.12</v>
      </c>
      <c r="W614" s="24">
        <v>0.14000000000000001</v>
      </c>
      <c r="X614" s="24">
        <v>2.58</v>
      </c>
      <c r="Y614" t="s">
        <v>1208</v>
      </c>
      <c r="Z614" t="b">
        <v>1</v>
      </c>
      <c r="AA614" s="24" t="str">
        <f t="shared" si="9"/>
        <v>Conor Gallagher</v>
      </c>
    </row>
    <row r="615" spans="1:27" x14ac:dyDescent="0.25">
      <c r="A615" s="24">
        <v>3</v>
      </c>
      <c r="B615" s="24" t="s">
        <v>78</v>
      </c>
      <c r="C615" s="24" t="s">
        <v>970</v>
      </c>
      <c r="D615">
        <v>520</v>
      </c>
      <c r="E615" s="24">
        <v>0.3</v>
      </c>
      <c r="F615" s="25">
        <v>54</v>
      </c>
      <c r="G615" s="24">
        <v>1</v>
      </c>
      <c r="H615" s="24">
        <v>0.2</v>
      </c>
      <c r="I615" s="24">
        <v>19</v>
      </c>
      <c r="J615" s="24">
        <v>1</v>
      </c>
      <c r="K615" s="24">
        <v>45</v>
      </c>
      <c r="L615" s="24">
        <v>0</v>
      </c>
      <c r="M615" s="24">
        <v>0</v>
      </c>
      <c r="N615" s="24">
        <v>0</v>
      </c>
      <c r="O615" s="24">
        <v>2</v>
      </c>
      <c r="P615" s="24">
        <v>0</v>
      </c>
      <c r="Q615" s="24">
        <v>0</v>
      </c>
      <c r="R615" s="24">
        <v>2</v>
      </c>
      <c r="S615" s="24">
        <v>8</v>
      </c>
      <c r="T615" s="24">
        <v>1</v>
      </c>
      <c r="U615" s="24">
        <v>0</v>
      </c>
      <c r="V615" s="24">
        <v>0.01</v>
      </c>
      <c r="W615" s="24">
        <v>0.01</v>
      </c>
      <c r="X615" s="24">
        <v>1.7</v>
      </c>
      <c r="Y615" t="s">
        <v>1208</v>
      </c>
      <c r="Z615" t="b">
        <v>1</v>
      </c>
      <c r="AA615" s="24" t="str">
        <f t="shared" si="9"/>
        <v>Lucas Bergvall</v>
      </c>
    </row>
    <row r="616" spans="1:27" x14ac:dyDescent="0.25">
      <c r="A616" s="24">
        <v>3</v>
      </c>
      <c r="B616" s="24" t="s">
        <v>971</v>
      </c>
      <c r="C616" s="24" t="s">
        <v>972</v>
      </c>
      <c r="D616">
        <v>521</v>
      </c>
      <c r="E616" s="24">
        <v>0</v>
      </c>
      <c r="F616" s="25">
        <v>65</v>
      </c>
      <c r="G616" s="24">
        <v>0</v>
      </c>
      <c r="H616" s="24">
        <v>0</v>
      </c>
      <c r="I616" s="24">
        <v>19</v>
      </c>
      <c r="J616" s="24">
        <v>0</v>
      </c>
      <c r="K616" s="24">
        <v>0</v>
      </c>
      <c r="L616" s="24">
        <v>0</v>
      </c>
      <c r="M616" s="24">
        <v>0</v>
      </c>
      <c r="N616" s="24">
        <v>0</v>
      </c>
      <c r="O616" s="24">
        <v>0</v>
      </c>
      <c r="P616" s="24">
        <v>0</v>
      </c>
      <c r="Q616" s="24">
        <v>0</v>
      </c>
      <c r="R616" s="24">
        <v>0</v>
      </c>
      <c r="S616" s="24">
        <v>0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t="s">
        <v>1209</v>
      </c>
      <c r="Z616" t="b">
        <v>1</v>
      </c>
      <c r="AA616" s="24" t="str">
        <f t="shared" si="9"/>
        <v>Dejan Kulusevski</v>
      </c>
    </row>
    <row r="617" spans="1:27" x14ac:dyDescent="0.25">
      <c r="A617" s="24">
        <v>3</v>
      </c>
      <c r="B617" s="24" t="s">
        <v>973</v>
      </c>
      <c r="C617" s="24" t="s">
        <v>974</v>
      </c>
      <c r="D617">
        <v>522</v>
      </c>
      <c r="E617" s="24">
        <v>1.3</v>
      </c>
      <c r="F617" s="25">
        <v>50</v>
      </c>
      <c r="G617" s="24">
        <v>2</v>
      </c>
      <c r="H617" s="24">
        <v>0.2</v>
      </c>
      <c r="I617" s="24">
        <v>19</v>
      </c>
      <c r="J617" s="24">
        <v>4</v>
      </c>
      <c r="K617" s="24">
        <v>152</v>
      </c>
      <c r="L617" s="24">
        <v>0</v>
      </c>
      <c r="M617" s="24">
        <v>0</v>
      </c>
      <c r="N617" s="24">
        <v>0</v>
      </c>
      <c r="O617" s="24">
        <v>4</v>
      </c>
      <c r="P617" s="24">
        <v>0</v>
      </c>
      <c r="Q617" s="24">
        <v>0</v>
      </c>
      <c r="R617" s="24">
        <v>24</v>
      </c>
      <c r="S617" s="24">
        <v>11</v>
      </c>
      <c r="T617" s="24">
        <v>2</v>
      </c>
      <c r="U617" s="24">
        <v>0</v>
      </c>
      <c r="V617" s="24">
        <v>0.01</v>
      </c>
      <c r="W617" s="24">
        <v>0.01</v>
      </c>
      <c r="X617" s="24">
        <v>3.91</v>
      </c>
      <c r="Y617" t="s">
        <v>1208</v>
      </c>
      <c r="Z617" t="b">
        <v>1</v>
      </c>
      <c r="AA617" s="24" t="str">
        <f t="shared" si="9"/>
        <v>Archie Gray</v>
      </c>
    </row>
    <row r="618" spans="1:27" x14ac:dyDescent="0.25">
      <c r="A618" s="24">
        <v>3</v>
      </c>
      <c r="B618" s="24" t="s">
        <v>975</v>
      </c>
      <c r="C618" s="24" t="s">
        <v>976</v>
      </c>
      <c r="D618">
        <v>523</v>
      </c>
      <c r="E618" s="24">
        <v>1</v>
      </c>
      <c r="F618" s="25">
        <v>50</v>
      </c>
      <c r="G618" s="24">
        <v>1.5</v>
      </c>
      <c r="H618" s="24">
        <v>0.1</v>
      </c>
      <c r="I618" s="24">
        <v>19</v>
      </c>
      <c r="J618" s="24">
        <v>3</v>
      </c>
      <c r="K618" s="24">
        <v>89</v>
      </c>
      <c r="L618" s="24">
        <v>0</v>
      </c>
      <c r="M618" s="24">
        <v>0</v>
      </c>
      <c r="N618" s="24">
        <v>0</v>
      </c>
      <c r="O618" s="24">
        <v>4</v>
      </c>
      <c r="P618" s="24">
        <v>0</v>
      </c>
      <c r="Q618" s="24">
        <v>0</v>
      </c>
      <c r="R618" s="24">
        <v>11</v>
      </c>
      <c r="S618" s="24">
        <v>3</v>
      </c>
      <c r="T618" s="24">
        <v>1</v>
      </c>
      <c r="U618" s="24">
        <v>0.4</v>
      </c>
      <c r="V618" s="24">
        <v>0.02</v>
      </c>
      <c r="W618" s="24">
        <v>0.42</v>
      </c>
      <c r="X618" s="24">
        <v>3.26</v>
      </c>
      <c r="Y618" t="s">
        <v>1211</v>
      </c>
      <c r="Z618" t="b">
        <v>0</v>
      </c>
      <c r="AA618" s="24" t="str">
        <f t="shared" si="9"/>
        <v>Mikey Moore</v>
      </c>
    </row>
    <row r="619" spans="1:27" x14ac:dyDescent="0.25">
      <c r="A619" s="24">
        <v>3</v>
      </c>
      <c r="B619" s="24" t="s">
        <v>227</v>
      </c>
      <c r="C619" s="24" t="s">
        <v>977</v>
      </c>
      <c r="D619">
        <v>524</v>
      </c>
      <c r="E619" s="24">
        <v>0</v>
      </c>
      <c r="F619" s="25">
        <v>45</v>
      </c>
      <c r="G619" s="24">
        <v>0</v>
      </c>
      <c r="H619" s="24">
        <v>0.7</v>
      </c>
      <c r="I619" s="24">
        <v>19</v>
      </c>
      <c r="J619" s="24">
        <v>0</v>
      </c>
      <c r="K619" s="24">
        <v>0</v>
      </c>
      <c r="L619" s="24">
        <v>0</v>
      </c>
      <c r="M619" s="24">
        <v>0</v>
      </c>
      <c r="N619" s="24">
        <v>0</v>
      </c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0</v>
      </c>
      <c r="U619" s="24">
        <v>0</v>
      </c>
      <c r="V619" s="24">
        <v>0</v>
      </c>
      <c r="W619" s="24">
        <v>0</v>
      </c>
      <c r="X619" s="24">
        <v>0</v>
      </c>
      <c r="Y619" t="s">
        <v>1208</v>
      </c>
      <c r="Z619" t="b">
        <v>1</v>
      </c>
      <c r="AA619" s="24" t="str">
        <f t="shared" si="9"/>
        <v>Callum Olusesi</v>
      </c>
    </row>
    <row r="620" spans="1:27" x14ac:dyDescent="0.25">
      <c r="A620" s="24">
        <v>3</v>
      </c>
      <c r="B620" s="24" t="s">
        <v>978</v>
      </c>
      <c r="C620" s="24" t="s">
        <v>979</v>
      </c>
      <c r="D620">
        <v>525</v>
      </c>
      <c r="E620" s="24">
        <v>1</v>
      </c>
      <c r="F620" s="25">
        <v>59</v>
      </c>
      <c r="G620" s="24">
        <v>1</v>
      </c>
      <c r="H620" s="24">
        <v>1.1000000000000001</v>
      </c>
      <c r="I620" s="24">
        <v>19</v>
      </c>
      <c r="J620" s="24">
        <v>3</v>
      </c>
      <c r="K620" s="24">
        <v>142</v>
      </c>
      <c r="L620" s="24">
        <v>0</v>
      </c>
      <c r="M620" s="24">
        <v>0</v>
      </c>
      <c r="N620" s="24">
        <v>0</v>
      </c>
      <c r="O620" s="24">
        <v>3</v>
      </c>
      <c r="P620" s="24">
        <v>0</v>
      </c>
      <c r="Q620" s="24">
        <v>0</v>
      </c>
      <c r="R620" s="24">
        <v>33</v>
      </c>
      <c r="S620" s="24">
        <v>10</v>
      </c>
      <c r="T620" s="24">
        <v>1</v>
      </c>
      <c r="U620" s="24">
        <v>0.01</v>
      </c>
      <c r="V620" s="24">
        <v>0.23</v>
      </c>
      <c r="W620" s="24">
        <v>0.24</v>
      </c>
      <c r="X620" s="24">
        <v>2.94</v>
      </c>
      <c r="Y620" t="s">
        <v>1208</v>
      </c>
      <c r="Z620" t="b">
        <v>1</v>
      </c>
      <c r="AA620" s="24" t="str">
        <f t="shared" si="9"/>
        <v>Mateus Fernandes</v>
      </c>
    </row>
    <row r="621" spans="1:27" x14ac:dyDescent="0.25">
      <c r="A621" s="24">
        <v>4</v>
      </c>
      <c r="B621" s="24" t="s">
        <v>681</v>
      </c>
      <c r="C621" s="24" t="s">
        <v>980</v>
      </c>
      <c r="D621">
        <v>526</v>
      </c>
      <c r="E621" s="24">
        <v>1</v>
      </c>
      <c r="F621" s="25">
        <v>59</v>
      </c>
      <c r="G621" s="24">
        <v>1</v>
      </c>
      <c r="H621" s="24">
        <v>1</v>
      </c>
      <c r="I621" s="24">
        <v>19</v>
      </c>
      <c r="J621" s="24">
        <v>3</v>
      </c>
      <c r="K621" s="24">
        <v>43</v>
      </c>
      <c r="L621" s="24">
        <v>0</v>
      </c>
      <c r="M621" s="24">
        <v>0</v>
      </c>
      <c r="N621" s="24">
        <v>0</v>
      </c>
      <c r="O621" s="24">
        <v>0</v>
      </c>
      <c r="P621" s="24">
        <v>0</v>
      </c>
      <c r="Q621" s="24">
        <v>0</v>
      </c>
      <c r="R621" s="24">
        <v>8</v>
      </c>
      <c r="S621" s="24">
        <v>1</v>
      </c>
      <c r="T621" s="24">
        <v>0</v>
      </c>
      <c r="U621" s="24">
        <v>0.44</v>
      </c>
      <c r="V621" s="24">
        <v>0</v>
      </c>
      <c r="W621" s="24">
        <v>0.44</v>
      </c>
      <c r="X621" s="24">
        <v>0.89</v>
      </c>
      <c r="Y621" t="s">
        <v>1208</v>
      </c>
      <c r="Z621" t="b">
        <v>1</v>
      </c>
      <c r="AA621" s="24" t="str">
        <f t="shared" si="9"/>
        <v>Dominic Solanke-Mitchell</v>
      </c>
    </row>
    <row r="622" spans="1:27" x14ac:dyDescent="0.25">
      <c r="A622" s="24">
        <v>4</v>
      </c>
      <c r="B622" s="24" t="s">
        <v>981</v>
      </c>
      <c r="C622" s="24" t="s">
        <v>982</v>
      </c>
      <c r="D622">
        <v>527</v>
      </c>
      <c r="E622" s="24">
        <v>0.7</v>
      </c>
      <c r="F622" s="25">
        <v>59</v>
      </c>
      <c r="G622" s="24">
        <v>2</v>
      </c>
      <c r="H622" s="24">
        <v>1.3</v>
      </c>
      <c r="I622" s="24">
        <v>19</v>
      </c>
      <c r="J622" s="24">
        <v>2</v>
      </c>
      <c r="K622" s="24">
        <v>67</v>
      </c>
      <c r="L622" s="24">
        <v>0</v>
      </c>
      <c r="M622" s="24">
        <v>0</v>
      </c>
      <c r="N622" s="24">
        <v>0</v>
      </c>
      <c r="O622" s="24">
        <v>3</v>
      </c>
      <c r="P622" s="24">
        <v>0</v>
      </c>
      <c r="Q622" s="24">
        <v>0</v>
      </c>
      <c r="R622" s="24">
        <v>6</v>
      </c>
      <c r="S622" s="24">
        <v>1</v>
      </c>
      <c r="T622" s="24">
        <v>1</v>
      </c>
      <c r="U622" s="24">
        <v>0</v>
      </c>
      <c r="V622" s="24">
        <v>0</v>
      </c>
      <c r="W622" s="24">
        <v>0</v>
      </c>
      <c r="X622" s="24">
        <v>3.02</v>
      </c>
      <c r="Y622" t="s">
        <v>1211</v>
      </c>
      <c r="Z622" t="b">
        <v>0</v>
      </c>
      <c r="AA622" s="24" t="str">
        <f t="shared" si="9"/>
        <v>Richarlison de Andrade</v>
      </c>
    </row>
    <row r="623" spans="1:27" x14ac:dyDescent="0.25">
      <c r="A623" s="24">
        <v>4</v>
      </c>
      <c r="B623" s="24" t="s">
        <v>983</v>
      </c>
      <c r="C623" s="24" t="s">
        <v>984</v>
      </c>
      <c r="D623">
        <v>528</v>
      </c>
      <c r="E623" s="24">
        <v>0</v>
      </c>
      <c r="F623" s="25">
        <v>45</v>
      </c>
      <c r="G623" s="24">
        <v>0</v>
      </c>
      <c r="H623" s="24">
        <v>1.5</v>
      </c>
      <c r="I623" s="24">
        <v>19</v>
      </c>
      <c r="J623" s="24">
        <v>0</v>
      </c>
      <c r="K623" s="24">
        <v>0</v>
      </c>
      <c r="L623" s="24">
        <v>0</v>
      </c>
      <c r="M623" s="24">
        <v>0</v>
      </c>
      <c r="N623" s="24">
        <v>0</v>
      </c>
      <c r="O623" s="24">
        <v>0</v>
      </c>
      <c r="P623" s="24">
        <v>0</v>
      </c>
      <c r="Q623" s="24">
        <v>0</v>
      </c>
      <c r="R623" s="24">
        <v>0</v>
      </c>
      <c r="S623" s="24">
        <v>0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t="s">
        <v>1211</v>
      </c>
      <c r="Z623" t="b">
        <v>0</v>
      </c>
      <c r="AA623" s="24" t="str">
        <f t="shared" si="9"/>
        <v>Dane Scarlett</v>
      </c>
    </row>
    <row r="624" spans="1:27" x14ac:dyDescent="0.25">
      <c r="A624" s="24">
        <v>3</v>
      </c>
      <c r="B624" s="24" t="s">
        <v>353</v>
      </c>
      <c r="C624" s="24" t="s">
        <v>354</v>
      </c>
      <c r="D624">
        <v>578</v>
      </c>
      <c r="E624" s="24">
        <v>0.3</v>
      </c>
      <c r="F624" s="25">
        <v>54</v>
      </c>
      <c r="G624" s="24">
        <v>1</v>
      </c>
      <c r="H624" s="24">
        <v>0.1</v>
      </c>
      <c r="I624" s="24">
        <v>19</v>
      </c>
      <c r="J624" s="24">
        <v>1</v>
      </c>
      <c r="K624" s="24">
        <v>16</v>
      </c>
      <c r="L624" s="24">
        <v>0</v>
      </c>
      <c r="M624" s="24">
        <v>0</v>
      </c>
      <c r="N624" s="24">
        <v>0</v>
      </c>
      <c r="O624" s="24">
        <v>0</v>
      </c>
      <c r="P624" s="24">
        <v>0</v>
      </c>
      <c r="Q624" s="24">
        <v>0</v>
      </c>
      <c r="R624" s="24">
        <v>3</v>
      </c>
      <c r="S624" s="24">
        <v>0</v>
      </c>
      <c r="T624" s="24">
        <v>0</v>
      </c>
      <c r="U624" s="24">
        <v>0</v>
      </c>
      <c r="V624" s="24">
        <v>0</v>
      </c>
      <c r="W624" s="24">
        <v>0</v>
      </c>
      <c r="X624" s="24">
        <v>0.16</v>
      </c>
      <c r="Y624" t="s">
        <v>1208</v>
      </c>
      <c r="Z624" t="b">
        <v>1</v>
      </c>
      <c r="AA624" s="24" t="str">
        <f t="shared" si="9"/>
        <v>Mykhailo Mudryk</v>
      </c>
    </row>
    <row r="625" spans="1:27" x14ac:dyDescent="0.25">
      <c r="A625" s="24">
        <v>3</v>
      </c>
      <c r="B625" s="24" t="s">
        <v>903</v>
      </c>
      <c r="C625" s="24" t="s">
        <v>1231</v>
      </c>
      <c r="D625">
        <v>601</v>
      </c>
      <c r="E625" s="24">
        <v>0</v>
      </c>
      <c r="F625" s="25">
        <v>45</v>
      </c>
      <c r="G625" s="24">
        <v>0</v>
      </c>
      <c r="H625" s="24">
        <v>0.1</v>
      </c>
      <c r="I625" s="24">
        <v>19</v>
      </c>
      <c r="J625" s="24">
        <v>0</v>
      </c>
      <c r="K625" s="24">
        <v>0</v>
      </c>
      <c r="L625" s="24">
        <v>0</v>
      </c>
      <c r="M625" s="24">
        <v>0</v>
      </c>
      <c r="N625" s="24">
        <v>0</v>
      </c>
      <c r="O625" s="24">
        <v>0</v>
      </c>
      <c r="P625" s="24">
        <v>0</v>
      </c>
      <c r="Q625" s="24">
        <v>0</v>
      </c>
      <c r="R625" s="24">
        <v>0</v>
      </c>
      <c r="S625" s="24">
        <v>0</v>
      </c>
      <c r="T625" s="24">
        <v>0</v>
      </c>
      <c r="U625" s="24">
        <v>0</v>
      </c>
      <c r="V625" s="24">
        <v>0</v>
      </c>
      <c r="W625" s="24">
        <v>0</v>
      </c>
      <c r="X625" s="24">
        <v>0</v>
      </c>
      <c r="Y625" t="s">
        <v>1208</v>
      </c>
      <c r="Z625" t="b">
        <v>1</v>
      </c>
      <c r="AA625" s="24" t="str">
        <f t="shared" si="9"/>
        <v>Luca Williams-Barnett</v>
      </c>
    </row>
    <row r="626" spans="1:27" x14ac:dyDescent="0.25">
      <c r="A626" s="24">
        <v>2</v>
      </c>
      <c r="B626" s="24" t="s">
        <v>204</v>
      </c>
      <c r="C626" s="24" t="s">
        <v>944</v>
      </c>
      <c r="D626">
        <v>501</v>
      </c>
      <c r="E626" s="24">
        <v>0.7</v>
      </c>
      <c r="F626" s="25">
        <v>50</v>
      </c>
      <c r="G626" s="24">
        <v>2</v>
      </c>
      <c r="H626" s="24">
        <v>0.2</v>
      </c>
      <c r="I626" s="24">
        <v>20</v>
      </c>
      <c r="J626" s="24">
        <v>2</v>
      </c>
      <c r="K626" s="24">
        <v>90</v>
      </c>
      <c r="L626" s="24">
        <v>0</v>
      </c>
      <c r="M626" s="24">
        <v>0</v>
      </c>
      <c r="N626" s="24">
        <v>0</v>
      </c>
      <c r="O626" s="24">
        <v>1</v>
      </c>
      <c r="P626" s="24">
        <v>0</v>
      </c>
      <c r="Q626" s="24">
        <v>0</v>
      </c>
      <c r="R626" s="24">
        <v>9</v>
      </c>
      <c r="S626" s="24">
        <v>8</v>
      </c>
      <c r="T626" s="24">
        <v>1</v>
      </c>
      <c r="U626" s="24">
        <v>0</v>
      </c>
      <c r="V626" s="24">
        <v>0.08</v>
      </c>
      <c r="W626" s="24">
        <v>0.08</v>
      </c>
      <c r="X626" s="24">
        <v>1.21</v>
      </c>
      <c r="Y626" t="s">
        <v>1208</v>
      </c>
      <c r="Z626" t="b">
        <v>1</v>
      </c>
      <c r="AA626" s="24" t="str">
        <f t="shared" si="9"/>
        <v>Kevin Danso</v>
      </c>
    </row>
    <row r="627" spans="1:27" x14ac:dyDescent="0.25">
      <c r="A627" s="24">
        <v>1</v>
      </c>
      <c r="B627" s="24" t="s">
        <v>985</v>
      </c>
      <c r="C627" s="24" t="s">
        <v>986</v>
      </c>
      <c r="D627">
        <v>529</v>
      </c>
      <c r="E627" s="24">
        <v>3</v>
      </c>
      <c r="F627" s="25">
        <v>50</v>
      </c>
      <c r="G627" s="24">
        <v>3</v>
      </c>
      <c r="H627" s="24">
        <v>3.2</v>
      </c>
      <c r="I627" s="24">
        <v>20</v>
      </c>
      <c r="J627" s="24">
        <v>9</v>
      </c>
      <c r="K627" s="24">
        <v>270</v>
      </c>
      <c r="L627" s="24">
        <v>0</v>
      </c>
      <c r="M627" s="24">
        <v>0</v>
      </c>
      <c r="N627" s="24">
        <v>1</v>
      </c>
      <c r="O627" s="24">
        <v>3</v>
      </c>
      <c r="P627" s="24">
        <v>2</v>
      </c>
      <c r="Q627" s="24">
        <v>0</v>
      </c>
      <c r="R627" s="24">
        <v>40</v>
      </c>
      <c r="S627" s="24">
        <v>0</v>
      </c>
      <c r="T627" s="24">
        <v>3</v>
      </c>
      <c r="U627" s="24">
        <v>0</v>
      </c>
      <c r="V627" s="24">
        <v>0</v>
      </c>
      <c r="W627" s="24">
        <v>0</v>
      </c>
      <c r="X627" s="24">
        <v>3.96</v>
      </c>
      <c r="Y627" t="s">
        <v>1208</v>
      </c>
      <c r="Z627" t="b">
        <v>1</v>
      </c>
      <c r="AA627" s="24" t="str">
        <f t="shared" si="9"/>
        <v>Robin Roefs</v>
      </c>
    </row>
    <row r="628" spans="1:27" x14ac:dyDescent="0.25">
      <c r="A628" s="24">
        <v>1</v>
      </c>
      <c r="B628" s="24" t="s">
        <v>222</v>
      </c>
      <c r="C628" s="24" t="s">
        <v>482</v>
      </c>
      <c r="D628">
        <v>530</v>
      </c>
      <c r="E628" s="24">
        <v>0</v>
      </c>
      <c r="F628" s="25">
        <v>40</v>
      </c>
      <c r="G628" s="24">
        <v>0</v>
      </c>
      <c r="H628" s="24">
        <v>0.1</v>
      </c>
      <c r="I628" s="24">
        <v>20</v>
      </c>
      <c r="J628" s="24">
        <v>0</v>
      </c>
      <c r="K628" s="24">
        <v>0</v>
      </c>
      <c r="L628" s="24">
        <v>0</v>
      </c>
      <c r="M628" s="24">
        <v>0</v>
      </c>
      <c r="N628" s="24">
        <v>0</v>
      </c>
      <c r="O628" s="24">
        <v>0</v>
      </c>
      <c r="P628" s="24">
        <v>0</v>
      </c>
      <c r="Q628" s="24">
        <v>0</v>
      </c>
      <c r="R628" s="24">
        <v>0</v>
      </c>
      <c r="S628" s="24">
        <v>0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t="s">
        <v>1211</v>
      </c>
      <c r="Z628" t="b">
        <v>0</v>
      </c>
      <c r="AA628" s="24" t="str">
        <f t="shared" si="9"/>
        <v>Anthony Patterson</v>
      </c>
    </row>
    <row r="629" spans="1:27" x14ac:dyDescent="0.25">
      <c r="A629" s="24">
        <v>1</v>
      </c>
      <c r="B629" s="24" t="s">
        <v>987</v>
      </c>
      <c r="C629" s="24" t="s">
        <v>988</v>
      </c>
      <c r="D629">
        <v>531</v>
      </c>
      <c r="E629" s="24">
        <v>0</v>
      </c>
      <c r="F629" s="25">
        <v>45</v>
      </c>
      <c r="G629" s="24">
        <v>0</v>
      </c>
      <c r="H629" s="24">
        <v>0.1</v>
      </c>
      <c r="I629" s="24">
        <v>20</v>
      </c>
      <c r="J629" s="24">
        <v>0</v>
      </c>
      <c r="K629" s="24">
        <v>0</v>
      </c>
      <c r="L629" s="24">
        <v>0</v>
      </c>
      <c r="M629" s="24">
        <v>0</v>
      </c>
      <c r="N629" s="24">
        <v>0</v>
      </c>
      <c r="O629" s="24">
        <v>0</v>
      </c>
      <c r="P629" s="24">
        <v>0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t="s">
        <v>1208</v>
      </c>
      <c r="Z629" t="b">
        <v>1</v>
      </c>
      <c r="AA629" s="24" t="str">
        <f t="shared" si="9"/>
        <v>Melker Ellborg</v>
      </c>
    </row>
    <row r="630" spans="1:27" x14ac:dyDescent="0.25">
      <c r="A630" s="24">
        <v>2</v>
      </c>
      <c r="B630" s="24" t="s">
        <v>416</v>
      </c>
      <c r="C630" s="24" t="s">
        <v>989</v>
      </c>
      <c r="D630">
        <v>532</v>
      </c>
      <c r="E630" s="24">
        <v>4</v>
      </c>
      <c r="F630" s="25">
        <v>49</v>
      </c>
      <c r="G630" s="24">
        <v>4</v>
      </c>
      <c r="H630" s="24">
        <v>3.7</v>
      </c>
      <c r="I630" s="24">
        <v>20</v>
      </c>
      <c r="J630" s="24">
        <v>12</v>
      </c>
      <c r="K630" s="24">
        <v>270</v>
      </c>
      <c r="L630" s="24">
        <v>0</v>
      </c>
      <c r="M630" s="24">
        <v>0</v>
      </c>
      <c r="N630" s="24">
        <v>1</v>
      </c>
      <c r="O630" s="24">
        <v>3</v>
      </c>
      <c r="P630" s="24">
        <v>0</v>
      </c>
      <c r="Q630" s="24">
        <v>0</v>
      </c>
      <c r="R630" s="24">
        <v>43</v>
      </c>
      <c r="S630" s="24">
        <v>29</v>
      </c>
      <c r="T630" s="24">
        <v>3</v>
      </c>
      <c r="U630" s="24">
        <v>0.09</v>
      </c>
      <c r="V630" s="24">
        <v>0.15</v>
      </c>
      <c r="W630" s="24">
        <v>0.24</v>
      </c>
      <c r="X630" s="24">
        <v>3.96</v>
      </c>
      <c r="Y630" t="s">
        <v>1208</v>
      </c>
      <c r="Z630" t="b">
        <v>1</v>
      </c>
      <c r="AA630" s="24" t="str">
        <f t="shared" si="9"/>
        <v>Daniel Ballard</v>
      </c>
    </row>
    <row r="631" spans="1:27" x14ac:dyDescent="0.25">
      <c r="A631" s="24">
        <v>2</v>
      </c>
      <c r="B631" s="24" t="s">
        <v>990</v>
      </c>
      <c r="C631" s="24" t="s">
        <v>991</v>
      </c>
      <c r="D631">
        <v>533</v>
      </c>
      <c r="E631" s="24">
        <v>4.3</v>
      </c>
      <c r="F631" s="25">
        <v>55</v>
      </c>
      <c r="G631" s="24">
        <v>6.5</v>
      </c>
      <c r="H631" s="24">
        <v>2.2999999999999998</v>
      </c>
      <c r="I631" s="24">
        <v>20</v>
      </c>
      <c r="J631" s="24">
        <v>13</v>
      </c>
      <c r="K631" s="24">
        <v>180</v>
      </c>
      <c r="L631" s="24">
        <v>0</v>
      </c>
      <c r="M631" s="24">
        <v>0</v>
      </c>
      <c r="N631" s="24">
        <v>1</v>
      </c>
      <c r="O631" s="24">
        <v>1</v>
      </c>
      <c r="P631" s="24">
        <v>0</v>
      </c>
      <c r="Q631" s="24">
        <v>1</v>
      </c>
      <c r="R631" s="24">
        <v>44</v>
      </c>
      <c r="S631" s="24">
        <v>33</v>
      </c>
      <c r="T631" s="24">
        <v>2</v>
      </c>
      <c r="U631" s="24">
        <v>0</v>
      </c>
      <c r="V631" s="24">
        <v>0.03</v>
      </c>
      <c r="W631" s="24">
        <v>0.03</v>
      </c>
      <c r="X631" s="24">
        <v>2.16</v>
      </c>
      <c r="Y631" t="s">
        <v>1208</v>
      </c>
      <c r="Z631" t="b">
        <v>1</v>
      </c>
      <c r="AA631" s="24" t="str">
        <f t="shared" si="9"/>
        <v>Nordi Mukiele</v>
      </c>
    </row>
    <row r="632" spans="1:27" x14ac:dyDescent="0.25">
      <c r="A632" s="24">
        <v>2</v>
      </c>
      <c r="B632" s="24" t="s">
        <v>992</v>
      </c>
      <c r="C632" s="24" t="s">
        <v>993</v>
      </c>
      <c r="D632">
        <v>534</v>
      </c>
      <c r="E632" s="24">
        <v>3</v>
      </c>
      <c r="F632" s="25">
        <v>45</v>
      </c>
      <c r="G632" s="24">
        <v>3</v>
      </c>
      <c r="H632" s="24">
        <v>4.8</v>
      </c>
      <c r="I632" s="24">
        <v>20</v>
      </c>
      <c r="J632" s="24">
        <v>9</v>
      </c>
      <c r="K632" s="24">
        <v>195</v>
      </c>
      <c r="L632" s="24">
        <v>0</v>
      </c>
      <c r="M632" s="24">
        <v>0</v>
      </c>
      <c r="N632" s="24">
        <v>1</v>
      </c>
      <c r="O632" s="24">
        <v>1</v>
      </c>
      <c r="P632" s="24">
        <v>0</v>
      </c>
      <c r="Q632" s="24">
        <v>0</v>
      </c>
      <c r="R632" s="24">
        <v>46</v>
      </c>
      <c r="S632" s="24">
        <v>12</v>
      </c>
      <c r="T632" s="24">
        <v>2</v>
      </c>
      <c r="U632" s="24">
        <v>0.04</v>
      </c>
      <c r="V632" s="24">
        <v>0.28000000000000003</v>
      </c>
      <c r="W632" s="24">
        <v>0.32</v>
      </c>
      <c r="X632" s="24">
        <v>3.09</v>
      </c>
      <c r="Y632" t="s">
        <v>1208</v>
      </c>
      <c r="Z632" t="b">
        <v>1</v>
      </c>
      <c r="AA632" s="24" t="str">
        <f t="shared" si="9"/>
        <v>Trai Hume</v>
      </c>
    </row>
    <row r="633" spans="1:27" x14ac:dyDescent="0.25">
      <c r="A633" s="24">
        <v>2</v>
      </c>
      <c r="B633" s="24" t="s">
        <v>774</v>
      </c>
      <c r="C633" s="24" t="s">
        <v>994</v>
      </c>
      <c r="D633">
        <v>535</v>
      </c>
      <c r="E633" s="24">
        <v>0.3</v>
      </c>
      <c r="F633" s="25">
        <v>49</v>
      </c>
      <c r="G633" s="24">
        <v>1</v>
      </c>
      <c r="H633" s="24">
        <v>0.3</v>
      </c>
      <c r="I633" s="24">
        <v>20</v>
      </c>
      <c r="J633" s="24">
        <v>1</v>
      </c>
      <c r="K633" s="24">
        <v>23</v>
      </c>
      <c r="L633" s="24">
        <v>0</v>
      </c>
      <c r="M633" s="24">
        <v>0</v>
      </c>
      <c r="N633" s="24">
        <v>0</v>
      </c>
      <c r="O633" s="24">
        <v>1</v>
      </c>
      <c r="P633" s="24">
        <v>0</v>
      </c>
      <c r="Q633" s="24">
        <v>0</v>
      </c>
      <c r="R633" s="24">
        <v>2</v>
      </c>
      <c r="S633" s="24">
        <v>0</v>
      </c>
      <c r="T633" s="24">
        <v>0</v>
      </c>
      <c r="U633" s="24">
        <v>0</v>
      </c>
      <c r="V633" s="24">
        <v>0.01</v>
      </c>
      <c r="W633" s="24">
        <v>0.01</v>
      </c>
      <c r="X633" s="24">
        <v>0.1</v>
      </c>
      <c r="Y633" t="s">
        <v>1208</v>
      </c>
      <c r="Z633" t="b">
        <v>1</v>
      </c>
      <c r="AA633" s="24" t="str">
        <f t="shared" si="9"/>
        <v>Omar Alderete</v>
      </c>
    </row>
    <row r="634" spans="1:27" x14ac:dyDescent="0.25">
      <c r="A634" s="24">
        <v>2</v>
      </c>
      <c r="B634" s="24" t="s">
        <v>995</v>
      </c>
      <c r="C634" s="24" t="s">
        <v>996</v>
      </c>
      <c r="D634">
        <v>536</v>
      </c>
      <c r="E634" s="24">
        <v>3</v>
      </c>
      <c r="F634" s="25">
        <v>45</v>
      </c>
      <c r="G634" s="24">
        <v>3</v>
      </c>
      <c r="H634" s="24">
        <v>0.4</v>
      </c>
      <c r="I634" s="24">
        <v>20</v>
      </c>
      <c r="J634" s="24">
        <v>9</v>
      </c>
      <c r="K634" s="24">
        <v>270</v>
      </c>
      <c r="L634" s="24">
        <v>0</v>
      </c>
      <c r="M634" s="24">
        <v>0</v>
      </c>
      <c r="N634" s="24">
        <v>1</v>
      </c>
      <c r="O634" s="24">
        <v>3</v>
      </c>
      <c r="P634" s="24">
        <v>0</v>
      </c>
      <c r="Q634" s="24">
        <v>0</v>
      </c>
      <c r="R634" s="24">
        <v>49</v>
      </c>
      <c r="S634" s="24">
        <v>22</v>
      </c>
      <c r="T634" s="24">
        <v>3</v>
      </c>
      <c r="U634" s="24">
        <v>0</v>
      </c>
      <c r="V634" s="24">
        <v>0.31</v>
      </c>
      <c r="W634" s="24">
        <v>0.31</v>
      </c>
      <c r="X634" s="24">
        <v>3.96</v>
      </c>
      <c r="Y634" t="s">
        <v>1208</v>
      </c>
      <c r="Z634" t="b">
        <v>1</v>
      </c>
      <c r="AA634" s="24" t="str">
        <f t="shared" si="9"/>
        <v>Reinildo Mandava</v>
      </c>
    </row>
    <row r="635" spans="1:27" x14ac:dyDescent="0.25">
      <c r="A635" s="24">
        <v>2</v>
      </c>
      <c r="B635" s="24" t="s">
        <v>997</v>
      </c>
      <c r="C635" s="24" t="s">
        <v>998</v>
      </c>
      <c r="D635">
        <v>537</v>
      </c>
      <c r="E635" s="24">
        <v>0</v>
      </c>
      <c r="F635" s="25">
        <v>45</v>
      </c>
      <c r="G635" s="24">
        <v>0</v>
      </c>
      <c r="H635" s="24">
        <v>0</v>
      </c>
      <c r="I635" s="24">
        <v>20</v>
      </c>
      <c r="J635" s="24">
        <v>0</v>
      </c>
      <c r="K635" s="24">
        <v>0</v>
      </c>
      <c r="L635" s="24">
        <v>0</v>
      </c>
      <c r="M635" s="24">
        <v>0</v>
      </c>
      <c r="N635" s="24">
        <v>0</v>
      </c>
      <c r="O635" s="24">
        <v>0</v>
      </c>
      <c r="P635" s="24">
        <v>0</v>
      </c>
      <c r="Q635" s="24">
        <v>0</v>
      </c>
      <c r="R635" s="24">
        <v>0</v>
      </c>
      <c r="S635" s="24">
        <v>0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t="s">
        <v>1211</v>
      </c>
      <c r="Z635" t="b">
        <v>0</v>
      </c>
      <c r="AA635" s="24" t="str">
        <f t="shared" si="9"/>
        <v>Jenson Seelt</v>
      </c>
    </row>
    <row r="636" spans="1:27" x14ac:dyDescent="0.25">
      <c r="A636" s="24">
        <v>2</v>
      </c>
      <c r="B636" s="24" t="s">
        <v>999</v>
      </c>
      <c r="C636" s="24" t="s">
        <v>1000</v>
      </c>
      <c r="D636">
        <v>538</v>
      </c>
      <c r="E636" s="24">
        <v>0</v>
      </c>
      <c r="F636" s="25">
        <v>40</v>
      </c>
      <c r="G636" s="24">
        <v>0</v>
      </c>
      <c r="H636" s="24">
        <v>0</v>
      </c>
      <c r="I636" s="24">
        <v>20</v>
      </c>
      <c r="J636" s="24">
        <v>0</v>
      </c>
      <c r="K636" s="24">
        <v>0</v>
      </c>
      <c r="L636" s="24">
        <v>0</v>
      </c>
      <c r="M636" s="24">
        <v>0</v>
      </c>
      <c r="N636" s="24">
        <v>0</v>
      </c>
      <c r="O636" s="24">
        <v>0</v>
      </c>
      <c r="P636" s="24">
        <v>0</v>
      </c>
      <c r="Q636" s="24">
        <v>0</v>
      </c>
      <c r="R636" s="24">
        <v>0</v>
      </c>
      <c r="S636" s="24">
        <v>0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t="s">
        <v>1211</v>
      </c>
      <c r="Z636" t="b">
        <v>0</v>
      </c>
      <c r="AA636" s="24" t="str">
        <f t="shared" si="9"/>
        <v>Leo Fuhr Hjelde</v>
      </c>
    </row>
    <row r="637" spans="1:27" x14ac:dyDescent="0.25">
      <c r="A637" s="24">
        <v>2</v>
      </c>
      <c r="B637" s="24" t="s">
        <v>375</v>
      </c>
      <c r="C637" s="24" t="s">
        <v>1001</v>
      </c>
      <c r="D637">
        <v>539</v>
      </c>
      <c r="E637" s="24">
        <v>0.3</v>
      </c>
      <c r="F637" s="25">
        <v>40</v>
      </c>
      <c r="G637" s="24">
        <v>1</v>
      </c>
      <c r="H637" s="24">
        <v>2.9</v>
      </c>
      <c r="I637" s="24">
        <v>20</v>
      </c>
      <c r="J637" s="24">
        <v>1</v>
      </c>
      <c r="K637" s="24">
        <v>66</v>
      </c>
      <c r="L637" s="24">
        <v>0</v>
      </c>
      <c r="M637" s="24">
        <v>0</v>
      </c>
      <c r="N637" s="24">
        <v>0</v>
      </c>
      <c r="O637" s="24">
        <v>1</v>
      </c>
      <c r="P637" s="24">
        <v>0</v>
      </c>
      <c r="Q637" s="24">
        <v>0</v>
      </c>
      <c r="R637" s="24">
        <v>1</v>
      </c>
      <c r="S637" s="24">
        <v>5</v>
      </c>
      <c r="T637" s="24">
        <v>1</v>
      </c>
      <c r="U637" s="24">
        <v>0.01</v>
      </c>
      <c r="V637" s="24">
        <v>0.01</v>
      </c>
      <c r="W637" s="24">
        <v>0.02</v>
      </c>
      <c r="X637" s="24">
        <v>1.69</v>
      </c>
      <c r="Y637" t="s">
        <v>1208</v>
      </c>
      <c r="Z637" t="b">
        <v>1</v>
      </c>
      <c r="AA637" s="24" t="str">
        <f t="shared" si="9"/>
        <v>Luke O'Nien</v>
      </c>
    </row>
    <row r="638" spans="1:27" x14ac:dyDescent="0.25">
      <c r="A638" s="24">
        <v>2</v>
      </c>
      <c r="B638" s="24" t="s">
        <v>1002</v>
      </c>
      <c r="C638" s="24" t="s">
        <v>1003</v>
      </c>
      <c r="D638">
        <v>540</v>
      </c>
      <c r="E638" s="24">
        <v>0</v>
      </c>
      <c r="F638" s="25">
        <v>40</v>
      </c>
      <c r="G638" s="24">
        <v>0</v>
      </c>
      <c r="H638" s="24">
        <v>0.2</v>
      </c>
      <c r="I638" s="24">
        <v>20</v>
      </c>
      <c r="J638" s="24">
        <v>0</v>
      </c>
      <c r="K638" s="24">
        <v>0</v>
      </c>
      <c r="L638" s="24">
        <v>0</v>
      </c>
      <c r="M638" s="24">
        <v>0</v>
      </c>
      <c r="N638" s="24">
        <v>0</v>
      </c>
      <c r="O638" s="24">
        <v>0</v>
      </c>
      <c r="P638" s="24">
        <v>0</v>
      </c>
      <c r="Q638" s="24">
        <v>0</v>
      </c>
      <c r="R638" s="24">
        <v>0</v>
      </c>
      <c r="S638" s="24">
        <v>0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t="s">
        <v>1211</v>
      </c>
      <c r="Z638" t="b">
        <v>0</v>
      </c>
      <c r="AA638" s="24" t="str">
        <f t="shared" si="9"/>
        <v>Arthur Masuaku</v>
      </c>
    </row>
    <row r="639" spans="1:27" x14ac:dyDescent="0.25">
      <c r="A639" s="24">
        <v>2</v>
      </c>
      <c r="B639" s="24" t="s">
        <v>364</v>
      </c>
      <c r="C639" s="24" t="s">
        <v>1004</v>
      </c>
      <c r="D639">
        <v>541</v>
      </c>
      <c r="E639" s="24">
        <v>3</v>
      </c>
      <c r="F639" s="25">
        <v>45</v>
      </c>
      <c r="G639" s="24">
        <v>3</v>
      </c>
      <c r="H639" s="24">
        <v>0.3</v>
      </c>
      <c r="I639" s="24">
        <v>20</v>
      </c>
      <c r="J639" s="24">
        <v>9</v>
      </c>
      <c r="K639" s="24">
        <v>243</v>
      </c>
      <c r="L639" s="24">
        <v>0</v>
      </c>
      <c r="M639" s="24">
        <v>0</v>
      </c>
      <c r="N639" s="24">
        <v>1</v>
      </c>
      <c r="O639" s="24">
        <v>3</v>
      </c>
      <c r="P639" s="24">
        <v>0</v>
      </c>
      <c r="Q639" s="24">
        <v>0</v>
      </c>
      <c r="R639" s="24">
        <v>32</v>
      </c>
      <c r="S639" s="24">
        <v>14</v>
      </c>
      <c r="T639" s="24">
        <v>3</v>
      </c>
      <c r="U639" s="24">
        <v>0.21</v>
      </c>
      <c r="V639" s="24">
        <v>0.13</v>
      </c>
      <c r="W639" s="24">
        <v>0.34</v>
      </c>
      <c r="X639" s="24">
        <v>3.51</v>
      </c>
      <c r="Y639" t="s">
        <v>1208</v>
      </c>
      <c r="Z639" t="b">
        <v>1</v>
      </c>
      <c r="AA639" s="24" t="str">
        <f t="shared" si="9"/>
        <v>Thomas Meunier</v>
      </c>
    </row>
    <row r="640" spans="1:27" x14ac:dyDescent="0.25">
      <c r="A640" s="24">
        <v>3</v>
      </c>
      <c r="B640" s="24" t="s">
        <v>319</v>
      </c>
      <c r="C640" s="24" t="s">
        <v>1005</v>
      </c>
      <c r="D640">
        <v>542</v>
      </c>
      <c r="E640" s="24">
        <v>4.3</v>
      </c>
      <c r="F640" s="25">
        <v>59</v>
      </c>
      <c r="G640" s="24">
        <v>4.3</v>
      </c>
      <c r="H640" s="24">
        <v>5.3</v>
      </c>
      <c r="I640" s="24">
        <v>20</v>
      </c>
      <c r="J640" s="24">
        <v>13</v>
      </c>
      <c r="K640" s="24">
        <v>258</v>
      </c>
      <c r="L640" s="24">
        <v>1</v>
      </c>
      <c r="M640" s="24">
        <v>0</v>
      </c>
      <c r="N640" s="24">
        <v>1</v>
      </c>
      <c r="O640" s="24">
        <v>2</v>
      </c>
      <c r="P640" s="24">
        <v>0</v>
      </c>
      <c r="Q640" s="24">
        <v>1</v>
      </c>
      <c r="R640" s="24">
        <v>51</v>
      </c>
      <c r="S640" s="24">
        <v>14</v>
      </c>
      <c r="T640" s="24">
        <v>3</v>
      </c>
      <c r="U640" s="24">
        <v>1.21</v>
      </c>
      <c r="V640" s="24">
        <v>0.23</v>
      </c>
      <c r="W640" s="24">
        <v>1.44</v>
      </c>
      <c r="X640" s="24">
        <v>3.76</v>
      </c>
      <c r="Y640" t="s">
        <v>1208</v>
      </c>
      <c r="Z640" t="b">
        <v>1</v>
      </c>
      <c r="AA640" s="24" t="str">
        <f t="shared" si="9"/>
        <v>Enzo Le Fée</v>
      </c>
    </row>
    <row r="641" spans="1:27" x14ac:dyDescent="0.25">
      <c r="A641" s="24">
        <v>3</v>
      </c>
      <c r="B641" s="24" t="s">
        <v>1006</v>
      </c>
      <c r="C641" s="24" t="s">
        <v>1007</v>
      </c>
      <c r="D641">
        <v>543</v>
      </c>
      <c r="E641" s="24">
        <v>1.7</v>
      </c>
      <c r="F641" s="25">
        <v>54</v>
      </c>
      <c r="G641" s="24">
        <v>2.5</v>
      </c>
      <c r="H641" s="24">
        <v>0</v>
      </c>
      <c r="I641" s="24">
        <v>20</v>
      </c>
      <c r="J641" s="24">
        <v>5</v>
      </c>
      <c r="K641" s="24">
        <v>28</v>
      </c>
      <c r="L641" s="24">
        <v>0</v>
      </c>
      <c r="M641" s="24">
        <v>1</v>
      </c>
      <c r="N641" s="24">
        <v>0</v>
      </c>
      <c r="O641" s="24">
        <v>1</v>
      </c>
      <c r="P641" s="24">
        <v>0</v>
      </c>
      <c r="Q641" s="24">
        <v>0</v>
      </c>
      <c r="R641" s="24">
        <v>18</v>
      </c>
      <c r="S641" s="24">
        <v>0</v>
      </c>
      <c r="T641" s="24">
        <v>0</v>
      </c>
      <c r="U641" s="24">
        <v>0.03</v>
      </c>
      <c r="V641" s="24">
        <v>0.16</v>
      </c>
      <c r="W641" s="24">
        <v>0.19</v>
      </c>
      <c r="X641" s="24">
        <v>0.12</v>
      </c>
      <c r="Y641" t="s">
        <v>1209</v>
      </c>
      <c r="Z641" t="b">
        <v>1</v>
      </c>
      <c r="AA641" s="24" t="str">
        <f t="shared" si="9"/>
        <v>Habib Diarra</v>
      </c>
    </row>
    <row r="642" spans="1:27" x14ac:dyDescent="0.25">
      <c r="A642" s="24">
        <v>3</v>
      </c>
      <c r="B642" s="24" t="s">
        <v>1008</v>
      </c>
      <c r="C642" s="24" t="s">
        <v>1009</v>
      </c>
      <c r="D642">
        <v>544</v>
      </c>
      <c r="E642" s="24">
        <v>6</v>
      </c>
      <c r="F642" s="25">
        <v>55</v>
      </c>
      <c r="G642" s="24">
        <v>6</v>
      </c>
      <c r="H642" s="24">
        <v>4.5</v>
      </c>
      <c r="I642" s="24">
        <v>20</v>
      </c>
      <c r="J642" s="24">
        <v>18</v>
      </c>
      <c r="K642" s="24">
        <v>270</v>
      </c>
      <c r="L642" s="24">
        <v>0</v>
      </c>
      <c r="M642" s="24">
        <v>1</v>
      </c>
      <c r="N642" s="24">
        <v>1</v>
      </c>
      <c r="O642" s="24">
        <v>3</v>
      </c>
      <c r="P642" s="24">
        <v>0</v>
      </c>
      <c r="Q642" s="24">
        <v>5</v>
      </c>
      <c r="R642" s="24">
        <v>72</v>
      </c>
      <c r="S642" s="24">
        <v>35</v>
      </c>
      <c r="T642" s="24">
        <v>3</v>
      </c>
      <c r="U642" s="24">
        <v>0.06</v>
      </c>
      <c r="V642" s="24">
        <v>0.56999999999999995</v>
      </c>
      <c r="W642" s="24">
        <v>0.63</v>
      </c>
      <c r="X642" s="24">
        <v>3.96</v>
      </c>
      <c r="Y642" t="s">
        <v>1208</v>
      </c>
      <c r="Z642" t="b">
        <v>1</v>
      </c>
      <c r="AA642" s="24" t="str">
        <f t="shared" ref="AA642:AA655" si="10">B642&amp;" "&amp;C642</f>
        <v>Granit Xhaka</v>
      </c>
    </row>
    <row r="643" spans="1:27" x14ac:dyDescent="0.25">
      <c r="A643" s="24">
        <v>3</v>
      </c>
      <c r="B643" s="24" t="s">
        <v>668</v>
      </c>
      <c r="C643" s="24" t="s">
        <v>1010</v>
      </c>
      <c r="D643">
        <v>545</v>
      </c>
      <c r="E643" s="24">
        <v>2</v>
      </c>
      <c r="F643" s="25">
        <v>50</v>
      </c>
      <c r="G643" s="24">
        <v>2</v>
      </c>
      <c r="H643" s="24">
        <v>0.3</v>
      </c>
      <c r="I643" s="24">
        <v>20</v>
      </c>
      <c r="J643" s="24">
        <v>6</v>
      </c>
      <c r="K643" s="24">
        <v>253</v>
      </c>
      <c r="L643" s="24">
        <v>0</v>
      </c>
      <c r="M643" s="24">
        <v>0</v>
      </c>
      <c r="N643" s="24">
        <v>1</v>
      </c>
      <c r="O643" s="24">
        <v>3</v>
      </c>
      <c r="P643" s="24">
        <v>0</v>
      </c>
      <c r="Q643" s="24">
        <v>0</v>
      </c>
      <c r="R643" s="24">
        <v>55</v>
      </c>
      <c r="S643" s="24">
        <v>16</v>
      </c>
      <c r="T643" s="24">
        <v>3</v>
      </c>
      <c r="U643" s="24">
        <v>0.36</v>
      </c>
      <c r="V643" s="24">
        <v>0.23</v>
      </c>
      <c r="W643" s="24">
        <v>0.59</v>
      </c>
      <c r="X643" s="24">
        <v>3.57</v>
      </c>
      <c r="Y643" t="s">
        <v>1208</v>
      </c>
      <c r="Z643" t="b">
        <v>1</v>
      </c>
      <c r="AA643" s="24" t="str">
        <f t="shared" si="10"/>
        <v>Noah Sadiki</v>
      </c>
    </row>
    <row r="644" spans="1:27" x14ac:dyDescent="0.25">
      <c r="A644" s="24">
        <v>3</v>
      </c>
      <c r="B644" s="24" t="s">
        <v>1011</v>
      </c>
      <c r="C644" s="24" t="s">
        <v>1012</v>
      </c>
      <c r="D644">
        <v>546</v>
      </c>
      <c r="E644" s="24">
        <v>0</v>
      </c>
      <c r="F644" s="25">
        <v>49</v>
      </c>
      <c r="G644" s="24">
        <v>0</v>
      </c>
      <c r="H644" s="24">
        <v>0</v>
      </c>
      <c r="I644" s="24">
        <v>20</v>
      </c>
      <c r="J644" s="24">
        <v>0</v>
      </c>
      <c r="K644" s="24">
        <v>0</v>
      </c>
      <c r="L644" s="24">
        <v>0</v>
      </c>
      <c r="M644" s="24">
        <v>0</v>
      </c>
      <c r="N644" s="24">
        <v>0</v>
      </c>
      <c r="O644" s="24">
        <v>0</v>
      </c>
      <c r="P644" s="24">
        <v>0</v>
      </c>
      <c r="Q644" s="24">
        <v>0</v>
      </c>
      <c r="R644" s="24">
        <v>0</v>
      </c>
      <c r="S644" s="24">
        <v>0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t="s">
        <v>1211</v>
      </c>
      <c r="Z644" t="b">
        <v>0</v>
      </c>
      <c r="AA644" s="24" t="str">
        <f t="shared" si="10"/>
        <v>Simon Adingra</v>
      </c>
    </row>
    <row r="645" spans="1:27" x14ac:dyDescent="0.25">
      <c r="A645" s="24">
        <v>3</v>
      </c>
      <c r="B645" s="24" t="s">
        <v>1013</v>
      </c>
      <c r="C645" s="24" t="s">
        <v>1014</v>
      </c>
      <c r="D645">
        <v>547</v>
      </c>
      <c r="E645" s="24">
        <v>0.3</v>
      </c>
      <c r="F645" s="25">
        <v>49</v>
      </c>
      <c r="G645" s="24">
        <v>1</v>
      </c>
      <c r="H645" s="24">
        <v>0</v>
      </c>
      <c r="I645" s="24">
        <v>20</v>
      </c>
      <c r="J645" s="24">
        <v>1</v>
      </c>
      <c r="K645" s="24">
        <v>1</v>
      </c>
      <c r="L645" s="24">
        <v>0</v>
      </c>
      <c r="M645" s="24">
        <v>0</v>
      </c>
      <c r="N645" s="24">
        <v>0</v>
      </c>
      <c r="O645" s="24">
        <v>0</v>
      </c>
      <c r="P645" s="24">
        <v>0</v>
      </c>
      <c r="Q645" s="24">
        <v>0</v>
      </c>
      <c r="R645" s="24">
        <v>2</v>
      </c>
      <c r="S645" s="24">
        <v>1</v>
      </c>
      <c r="T645" s="24">
        <v>0</v>
      </c>
      <c r="U645" s="24">
        <v>0.17</v>
      </c>
      <c r="V645" s="24">
        <v>0</v>
      </c>
      <c r="W645" s="24">
        <v>0.17</v>
      </c>
      <c r="X645" s="24">
        <v>0.09</v>
      </c>
      <c r="Y645" t="s">
        <v>1208</v>
      </c>
      <c r="Z645" t="b">
        <v>1</v>
      </c>
      <c r="AA645" s="24" t="str">
        <f t="shared" si="10"/>
        <v>Romaine Mundle</v>
      </c>
    </row>
    <row r="646" spans="1:27" x14ac:dyDescent="0.25">
      <c r="A646" s="24">
        <v>3</v>
      </c>
      <c r="B646" s="24" t="s">
        <v>418</v>
      </c>
      <c r="C646" s="24" t="s">
        <v>1015</v>
      </c>
      <c r="D646">
        <v>548</v>
      </c>
      <c r="E646" s="24">
        <v>0.7</v>
      </c>
      <c r="F646" s="25">
        <v>49</v>
      </c>
      <c r="G646" s="24">
        <v>1</v>
      </c>
      <c r="H646" s="24">
        <v>0.1</v>
      </c>
      <c r="I646" s="24">
        <v>20</v>
      </c>
      <c r="J646" s="24">
        <v>2</v>
      </c>
      <c r="K646" s="24">
        <v>17</v>
      </c>
      <c r="L646" s="24">
        <v>0</v>
      </c>
      <c r="M646" s="24">
        <v>0</v>
      </c>
      <c r="N646" s="24">
        <v>0</v>
      </c>
      <c r="O646" s="24">
        <v>1</v>
      </c>
      <c r="P646" s="24">
        <v>0</v>
      </c>
      <c r="Q646" s="24">
        <v>0</v>
      </c>
      <c r="R646" s="24">
        <v>6</v>
      </c>
      <c r="S646" s="24">
        <v>1</v>
      </c>
      <c r="T646" s="24">
        <v>0</v>
      </c>
      <c r="U646" s="24">
        <v>0</v>
      </c>
      <c r="V646" s="24">
        <v>0</v>
      </c>
      <c r="W646" s="24">
        <v>0</v>
      </c>
      <c r="X646" s="24">
        <v>0.44</v>
      </c>
      <c r="Y646" t="s">
        <v>1208</v>
      </c>
      <c r="Z646" t="b">
        <v>1</v>
      </c>
      <c r="AA646" s="24" t="str">
        <f t="shared" si="10"/>
        <v>Chris Rigg</v>
      </c>
    </row>
    <row r="647" spans="1:27" x14ac:dyDescent="0.25">
      <c r="A647" s="24">
        <v>3</v>
      </c>
      <c r="B647" s="24" t="s">
        <v>1016</v>
      </c>
      <c r="C647" s="24" t="s">
        <v>1017</v>
      </c>
      <c r="D647">
        <v>549</v>
      </c>
      <c r="E647" s="24">
        <v>0.3</v>
      </c>
      <c r="F647" s="25">
        <v>54</v>
      </c>
      <c r="G647" s="24">
        <v>1</v>
      </c>
      <c r="H647" s="24">
        <v>0.2</v>
      </c>
      <c r="I647" s="24">
        <v>20</v>
      </c>
      <c r="J647" s="24">
        <v>1</v>
      </c>
      <c r="K647" s="24">
        <v>31</v>
      </c>
      <c r="L647" s="24">
        <v>0</v>
      </c>
      <c r="M647" s="24">
        <v>0</v>
      </c>
      <c r="N647" s="24">
        <v>0</v>
      </c>
      <c r="O647" s="24">
        <v>1</v>
      </c>
      <c r="P647" s="24">
        <v>0</v>
      </c>
      <c r="Q647" s="24">
        <v>0</v>
      </c>
      <c r="R647" s="24">
        <v>1</v>
      </c>
      <c r="S647" s="24">
        <v>2</v>
      </c>
      <c r="T647" s="24">
        <v>0</v>
      </c>
      <c r="U647" s="24">
        <v>0</v>
      </c>
      <c r="V647" s="24">
        <v>0</v>
      </c>
      <c r="W647" s="24">
        <v>0</v>
      </c>
      <c r="X647" s="24">
        <v>0.14000000000000001</v>
      </c>
      <c r="Y647" t="s">
        <v>1208</v>
      </c>
      <c r="Z647" t="b">
        <v>1</v>
      </c>
      <c r="AA647" s="24" t="str">
        <f t="shared" si="10"/>
        <v>Chemsdine Talbi</v>
      </c>
    </row>
    <row r="648" spans="1:27" x14ac:dyDescent="0.25">
      <c r="A648" s="24">
        <v>3</v>
      </c>
      <c r="B648" s="24" t="s">
        <v>1018</v>
      </c>
      <c r="C648" s="24" t="s">
        <v>1019</v>
      </c>
      <c r="D648">
        <v>550</v>
      </c>
      <c r="E648" s="24">
        <v>0</v>
      </c>
      <c r="F648" s="25">
        <v>50</v>
      </c>
      <c r="G648" s="24">
        <v>0</v>
      </c>
      <c r="H648" s="24">
        <v>0</v>
      </c>
      <c r="I648" s="24">
        <v>20</v>
      </c>
      <c r="J648" s="24">
        <v>0</v>
      </c>
      <c r="K648" s="24">
        <v>0</v>
      </c>
      <c r="L648" s="24">
        <v>0</v>
      </c>
      <c r="M648" s="24">
        <v>0</v>
      </c>
      <c r="N648" s="24">
        <v>0</v>
      </c>
      <c r="O648" s="24">
        <v>0</v>
      </c>
      <c r="P648" s="24">
        <v>0</v>
      </c>
      <c r="Q648" s="24">
        <v>0</v>
      </c>
      <c r="R648" s="24">
        <v>0</v>
      </c>
      <c r="S648" s="24">
        <v>0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t="s">
        <v>1208</v>
      </c>
      <c r="Z648" t="b">
        <v>1</v>
      </c>
      <c r="AA648" s="24" t="str">
        <f t="shared" si="10"/>
        <v>Djiamgone Jocelin Ta Bi</v>
      </c>
    </row>
    <row r="649" spans="1:27" x14ac:dyDescent="0.25">
      <c r="A649" s="24">
        <v>3</v>
      </c>
      <c r="B649" s="24" t="s">
        <v>1020</v>
      </c>
      <c r="C649" s="24" t="s">
        <v>1021</v>
      </c>
      <c r="D649">
        <v>551</v>
      </c>
      <c r="E649" s="24">
        <v>3.3</v>
      </c>
      <c r="F649" s="25">
        <v>50</v>
      </c>
      <c r="G649" s="24">
        <v>3.3</v>
      </c>
      <c r="H649" s="24">
        <v>0.1</v>
      </c>
      <c r="I649" s="24">
        <v>20</v>
      </c>
      <c r="J649" s="24">
        <v>10</v>
      </c>
      <c r="K649" s="24">
        <v>185</v>
      </c>
      <c r="L649" s="24">
        <v>1</v>
      </c>
      <c r="M649" s="24">
        <v>0</v>
      </c>
      <c r="N649" s="24">
        <v>1</v>
      </c>
      <c r="O649" s="24">
        <v>2</v>
      </c>
      <c r="P649" s="24">
        <v>0</v>
      </c>
      <c r="Q649" s="24">
        <v>0</v>
      </c>
      <c r="R649" s="24">
        <v>47</v>
      </c>
      <c r="S649" s="24">
        <v>17</v>
      </c>
      <c r="T649" s="24">
        <v>3</v>
      </c>
      <c r="U649" s="24">
        <v>0.15</v>
      </c>
      <c r="V649" s="24">
        <v>0.12</v>
      </c>
      <c r="W649" s="24">
        <v>0.27</v>
      </c>
      <c r="X649" s="24">
        <v>3</v>
      </c>
      <c r="Y649" t="s">
        <v>1208</v>
      </c>
      <c r="Z649" t="b">
        <v>1</v>
      </c>
      <c r="AA649" s="24" t="str">
        <f t="shared" si="10"/>
        <v>Nilson Angulo</v>
      </c>
    </row>
    <row r="650" spans="1:27" x14ac:dyDescent="0.25">
      <c r="A650" s="24">
        <v>4</v>
      </c>
      <c r="B650" s="24" t="s">
        <v>127</v>
      </c>
      <c r="C650" s="24" t="s">
        <v>1022</v>
      </c>
      <c r="D650">
        <v>552</v>
      </c>
      <c r="E650" s="24">
        <v>2</v>
      </c>
      <c r="F650" s="25">
        <v>59</v>
      </c>
      <c r="G650" s="24">
        <v>2</v>
      </c>
      <c r="H650" s="24">
        <v>8.3000000000000007</v>
      </c>
      <c r="I650" s="24">
        <v>20</v>
      </c>
      <c r="J650" s="24">
        <v>6</v>
      </c>
      <c r="K650" s="24">
        <v>219</v>
      </c>
      <c r="L650" s="24">
        <v>0</v>
      </c>
      <c r="M650" s="24">
        <v>0</v>
      </c>
      <c r="N650" s="24">
        <v>1</v>
      </c>
      <c r="O650" s="24">
        <v>2</v>
      </c>
      <c r="P650" s="24">
        <v>0</v>
      </c>
      <c r="Q650" s="24">
        <v>0</v>
      </c>
      <c r="R650" s="24">
        <v>17</v>
      </c>
      <c r="S650" s="24">
        <v>7</v>
      </c>
      <c r="T650" s="24">
        <v>3</v>
      </c>
      <c r="U650" s="24">
        <v>0.59</v>
      </c>
      <c r="V650" s="24">
        <v>0.06</v>
      </c>
      <c r="W650" s="24">
        <v>0.65</v>
      </c>
      <c r="X650" s="24">
        <v>3.48</v>
      </c>
      <c r="Y650" t="s">
        <v>1208</v>
      </c>
      <c r="Z650" t="b">
        <v>1</v>
      </c>
      <c r="AA650" s="24" t="str">
        <f t="shared" si="10"/>
        <v>Brian Brobbey</v>
      </c>
    </row>
    <row r="651" spans="1:27" x14ac:dyDescent="0.25">
      <c r="A651" s="24">
        <v>4</v>
      </c>
      <c r="B651" s="24" t="s">
        <v>228</v>
      </c>
      <c r="C651" s="24" t="s">
        <v>1023</v>
      </c>
      <c r="D651">
        <v>553</v>
      </c>
      <c r="E651" s="24">
        <v>4.3</v>
      </c>
      <c r="F651" s="25">
        <v>55</v>
      </c>
      <c r="G651" s="24">
        <v>4.3</v>
      </c>
      <c r="H651" s="24">
        <v>1.3</v>
      </c>
      <c r="I651" s="24">
        <v>20</v>
      </c>
      <c r="J651" s="24">
        <v>13</v>
      </c>
      <c r="K651" s="24">
        <v>75</v>
      </c>
      <c r="L651" s="24">
        <v>1</v>
      </c>
      <c r="M651" s="24">
        <v>1</v>
      </c>
      <c r="N651" s="24">
        <v>0</v>
      </c>
      <c r="O651" s="24">
        <v>1</v>
      </c>
      <c r="P651" s="24">
        <v>0</v>
      </c>
      <c r="Q651" s="24">
        <v>3</v>
      </c>
      <c r="R651" s="24">
        <v>47</v>
      </c>
      <c r="S651" s="24">
        <v>2</v>
      </c>
      <c r="T651" s="24">
        <v>0</v>
      </c>
      <c r="U651" s="24">
        <v>1.49</v>
      </c>
      <c r="V651" s="24">
        <v>0.01</v>
      </c>
      <c r="W651" s="24">
        <v>1.5</v>
      </c>
      <c r="X651" s="24">
        <v>0.92</v>
      </c>
      <c r="Y651" t="s">
        <v>1208</v>
      </c>
      <c r="Z651" t="b">
        <v>1</v>
      </c>
      <c r="AA651" s="24" t="str">
        <f t="shared" si="10"/>
        <v>Wilson Isidor</v>
      </c>
    </row>
    <row r="652" spans="1:27" x14ac:dyDescent="0.25">
      <c r="A652" s="24">
        <v>2</v>
      </c>
      <c r="B652" s="24" t="s">
        <v>1232</v>
      </c>
      <c r="C652" s="24" t="s">
        <v>1233</v>
      </c>
      <c r="D652">
        <v>612</v>
      </c>
      <c r="E652" s="24">
        <v>0</v>
      </c>
      <c r="F652" s="25">
        <v>45</v>
      </c>
      <c r="G652" s="24">
        <v>0</v>
      </c>
      <c r="H652" s="24">
        <v>0</v>
      </c>
      <c r="I652" s="24">
        <v>20</v>
      </c>
      <c r="J652" s="24">
        <v>0</v>
      </c>
      <c r="K652" s="24">
        <v>0</v>
      </c>
      <c r="L652" s="24">
        <v>0</v>
      </c>
      <c r="M652" s="24">
        <v>0</v>
      </c>
      <c r="N652" s="24">
        <v>0</v>
      </c>
      <c r="O652" s="24">
        <v>0</v>
      </c>
      <c r="P652" s="24">
        <v>0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t="s">
        <v>1208</v>
      </c>
      <c r="Z652" t="b">
        <v>1</v>
      </c>
      <c r="AA652" s="24" t="str">
        <f t="shared" si="10"/>
        <v>Dayann Méthalie</v>
      </c>
    </row>
    <row r="653" spans="1:27" x14ac:dyDescent="0.25">
      <c r="A653" s="24">
        <v>3</v>
      </c>
      <c r="B653" s="24" t="s">
        <v>1234</v>
      </c>
      <c r="C653" s="24" t="s">
        <v>1235</v>
      </c>
      <c r="D653">
        <v>613</v>
      </c>
      <c r="E653" s="24">
        <v>0</v>
      </c>
      <c r="F653" s="25">
        <v>45</v>
      </c>
      <c r="G653" s="24">
        <v>0</v>
      </c>
      <c r="H653" s="24">
        <v>0.2</v>
      </c>
      <c r="I653" s="24">
        <v>20</v>
      </c>
      <c r="J653" s="24">
        <v>0</v>
      </c>
      <c r="K653" s="24">
        <v>0</v>
      </c>
      <c r="L653" s="24">
        <v>0</v>
      </c>
      <c r="M653" s="24">
        <v>0</v>
      </c>
      <c r="N653" s="24">
        <v>0</v>
      </c>
      <c r="O653" s="24">
        <v>0</v>
      </c>
      <c r="P653" s="24">
        <v>0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t="s">
        <v>1208</v>
      </c>
      <c r="Z653" t="b">
        <v>1</v>
      </c>
      <c r="AA653" s="24" t="str">
        <f t="shared" si="10"/>
        <v>Jules Ahoka</v>
      </c>
    </row>
    <row r="654" spans="1:27" x14ac:dyDescent="0.25">
      <c r="A654" s="24">
        <v>3</v>
      </c>
      <c r="B654" s="24" t="s">
        <v>852</v>
      </c>
      <c r="C654" s="24" t="s">
        <v>303</v>
      </c>
      <c r="D654">
        <v>646</v>
      </c>
      <c r="E654" s="24">
        <v>1</v>
      </c>
      <c r="F654" s="25">
        <v>55</v>
      </c>
      <c r="G654" s="24">
        <v>1</v>
      </c>
      <c r="H654" s="24">
        <v>0</v>
      </c>
      <c r="I654" s="24">
        <v>20</v>
      </c>
      <c r="J654" s="24">
        <v>1</v>
      </c>
      <c r="K654" s="24">
        <v>16</v>
      </c>
      <c r="L654" s="24">
        <v>0</v>
      </c>
      <c r="M654" s="24">
        <v>0</v>
      </c>
      <c r="N654" s="24">
        <v>0</v>
      </c>
      <c r="O654" s="24">
        <v>0</v>
      </c>
      <c r="P654" s="24">
        <v>0</v>
      </c>
      <c r="Q654" s="24">
        <v>0</v>
      </c>
      <c r="R654" s="24">
        <v>3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0.39</v>
      </c>
      <c r="Y654" t="s">
        <v>1208</v>
      </c>
      <c r="Z654" t="b">
        <v>1</v>
      </c>
      <c r="AA654" s="24" t="str">
        <f t="shared" si="10"/>
        <v>Malick Fofana</v>
      </c>
    </row>
    <row r="655" spans="1:27" x14ac:dyDescent="0.25">
      <c r="A655" s="24">
        <v>4</v>
      </c>
      <c r="B655" s="24" t="s">
        <v>2325</v>
      </c>
      <c r="C655" s="24" t="s">
        <v>1021</v>
      </c>
      <c r="D655">
        <v>651</v>
      </c>
      <c r="E655" s="24">
        <v>0</v>
      </c>
      <c r="F655" s="25">
        <v>45</v>
      </c>
      <c r="G655" s="24">
        <v>0</v>
      </c>
      <c r="H655" s="24">
        <v>0.3</v>
      </c>
      <c r="I655" s="24">
        <v>20</v>
      </c>
      <c r="J655" s="24">
        <v>0</v>
      </c>
      <c r="K655" s="24">
        <v>0</v>
      </c>
      <c r="L655" s="24">
        <v>0</v>
      </c>
      <c r="M655" s="24">
        <v>0</v>
      </c>
      <c r="N655" s="24">
        <v>0</v>
      </c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t="s">
        <v>1208</v>
      </c>
      <c r="Z655" t="b">
        <v>1</v>
      </c>
      <c r="AA655" s="24" t="str">
        <f t="shared" si="10"/>
        <v>Juan Angulo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217E-02D0-47E9-AD50-402213C52DD2}">
  <dimension ref="A1:BG596"/>
  <sheetViews>
    <sheetView topLeftCell="AL1" workbookViewId="0">
      <selection activeCell="AT2" sqref="AT2"/>
    </sheetView>
  </sheetViews>
  <sheetFormatPr defaultRowHeight="15" x14ac:dyDescent="0.25"/>
  <cols>
    <col min="1" max="1" width="30.7109375" customWidth="1"/>
    <col min="2" max="2" width="10.42578125" customWidth="1"/>
    <col min="4" max="4" width="13.140625" bestFit="1" customWidth="1"/>
    <col min="5" max="5" width="9.140625" style="4" customWidth="1"/>
    <col min="6" max="6" width="19.28515625" style="4" bestFit="1" customWidth="1"/>
    <col min="7" max="7" width="12.42578125" style="4" bestFit="1" customWidth="1"/>
    <col min="8" max="8" width="16" bestFit="1" customWidth="1"/>
    <col min="9" max="9" width="10.5703125" customWidth="1"/>
    <col min="10" max="10" width="14.42578125" bestFit="1" customWidth="1"/>
    <col min="11" max="11" width="9.42578125" bestFit="1" customWidth="1"/>
    <col min="12" max="12" width="13.5703125" customWidth="1"/>
    <col min="15" max="15" width="10.140625" bestFit="1" customWidth="1"/>
    <col min="18" max="18" width="11.5703125" customWidth="1"/>
    <col min="19" max="19" width="9.5703125" bestFit="1" customWidth="1"/>
    <col min="22" max="22" width="12.28515625" customWidth="1"/>
    <col min="23" max="23" width="9.7109375" customWidth="1"/>
    <col min="24" max="24" width="14.85546875" bestFit="1" customWidth="1"/>
    <col min="25" max="25" width="20.7109375" bestFit="1" customWidth="1"/>
    <col min="26" max="26" width="9.140625" style="8"/>
    <col min="27" max="27" width="25.28515625" style="8" bestFit="1" customWidth="1"/>
    <col min="28" max="28" width="14.28515625" style="2" bestFit="1" customWidth="1"/>
    <col min="29" max="29" width="8.7109375" style="2" bestFit="1" customWidth="1"/>
    <col min="30" max="32" width="8.7109375" style="8" customWidth="1"/>
    <col min="33" max="33" width="8.7109375" style="2" customWidth="1"/>
    <col min="34" max="34" width="18.42578125" style="2" customWidth="1"/>
    <col min="35" max="40" width="8.7109375" style="2" customWidth="1"/>
    <col min="41" max="41" width="9.140625" style="3"/>
    <col min="45" max="45" width="9.140625" style="2"/>
    <col min="46" max="46" width="25" bestFit="1" customWidth="1"/>
    <col min="47" max="48" width="25" customWidth="1"/>
    <col min="49" max="49" width="16.85546875" bestFit="1" customWidth="1"/>
    <col min="50" max="50" width="17.5703125" bestFit="1" customWidth="1"/>
    <col min="51" max="51" width="16" bestFit="1" customWidth="1"/>
    <col min="52" max="52" width="28.28515625" bestFit="1" customWidth="1"/>
    <col min="53" max="53" width="21.140625" bestFit="1" customWidth="1"/>
    <col min="54" max="54" width="23" bestFit="1" customWidth="1"/>
    <col min="55" max="55" width="18" bestFit="1" customWidth="1"/>
    <col min="56" max="56" width="14.140625" bestFit="1" customWidth="1"/>
    <col min="57" max="57" width="21" bestFit="1" customWidth="1"/>
    <col min="58" max="58" width="21.85546875" bestFit="1" customWidth="1"/>
    <col min="59" max="59" width="14.42578125" bestFit="1" customWidth="1"/>
  </cols>
  <sheetData>
    <row r="1" spans="1:59" x14ac:dyDescent="0.25">
      <c r="A1" t="s">
        <v>1036</v>
      </c>
      <c r="B1" t="s">
        <v>1037</v>
      </c>
      <c r="C1" t="s">
        <v>1041</v>
      </c>
      <c r="D1" t="s">
        <v>1120</v>
      </c>
      <c r="E1" s="4" t="s">
        <v>0</v>
      </c>
      <c r="F1" t="s">
        <v>1203</v>
      </c>
      <c r="G1" t="s">
        <v>1204</v>
      </c>
      <c r="H1" t="s">
        <v>1205</v>
      </c>
      <c r="I1" t="s">
        <v>1039</v>
      </c>
      <c r="J1" t="s">
        <v>1122</v>
      </c>
      <c r="K1" t="s">
        <v>1123</v>
      </c>
      <c r="L1" t="s">
        <v>1042</v>
      </c>
      <c r="M1" t="s">
        <v>1038</v>
      </c>
      <c r="N1" t="s">
        <v>1043</v>
      </c>
      <c r="O1" t="s">
        <v>1044</v>
      </c>
      <c r="P1" t="s">
        <v>1045</v>
      </c>
      <c r="Q1" t="s">
        <v>1046</v>
      </c>
      <c r="R1" t="s">
        <v>1047</v>
      </c>
      <c r="S1" s="5" t="s">
        <v>1048</v>
      </c>
      <c r="T1" t="s">
        <v>1049</v>
      </c>
      <c r="U1" t="s">
        <v>1050</v>
      </c>
      <c r="V1" t="s">
        <v>1040</v>
      </c>
      <c r="W1" t="s">
        <v>1051</v>
      </c>
      <c r="X1" t="s">
        <v>1118</v>
      </c>
      <c r="Y1" t="s">
        <v>1198</v>
      </c>
      <c r="Z1" s="8" t="s">
        <v>1131</v>
      </c>
      <c r="AA1" t="s">
        <v>1137</v>
      </c>
      <c r="AB1" s="2" t="s">
        <v>1138</v>
      </c>
      <c r="AC1" s="2" t="s">
        <v>1139</v>
      </c>
      <c r="AD1" s="8" t="s">
        <v>2</v>
      </c>
      <c r="AE1" t="s">
        <v>1140</v>
      </c>
      <c r="AF1" t="s">
        <v>1</v>
      </c>
      <c r="AG1" s="2" t="s">
        <v>1141</v>
      </c>
      <c r="AH1" s="2" t="s">
        <v>1142</v>
      </c>
      <c r="AI1" s="2" t="s">
        <v>1143</v>
      </c>
      <c r="AJ1" s="2" t="s">
        <v>1144</v>
      </c>
      <c r="AK1" s="2" t="s">
        <v>1145</v>
      </c>
      <c r="AL1" s="2" t="s">
        <v>1146</v>
      </c>
      <c r="AM1" t="s">
        <v>1147</v>
      </c>
      <c r="AN1" t="s">
        <v>1148</v>
      </c>
      <c r="AO1" s="3" t="s">
        <v>1132</v>
      </c>
      <c r="AP1" t="s">
        <v>1133</v>
      </c>
      <c r="AQ1" t="s">
        <v>1134</v>
      </c>
      <c r="AR1" t="s">
        <v>1135</v>
      </c>
      <c r="AS1" s="2" t="s">
        <v>1136</v>
      </c>
      <c r="AT1" t="s">
        <v>2806</v>
      </c>
      <c r="AU1" t="s">
        <v>1199</v>
      </c>
      <c r="AV1" t="s">
        <v>1200</v>
      </c>
      <c r="AW1" t="s">
        <v>1177</v>
      </c>
      <c r="AX1" t="s">
        <v>1178</v>
      </c>
      <c r="AY1" t="s">
        <v>1179</v>
      </c>
      <c r="AZ1" t="s">
        <v>1180</v>
      </c>
      <c r="BA1" t="s">
        <v>2804</v>
      </c>
      <c r="BB1" t="s">
        <v>1181</v>
      </c>
      <c r="BC1" t="s">
        <v>1182</v>
      </c>
      <c r="BD1" t="s">
        <v>1214</v>
      </c>
      <c r="BE1" t="s">
        <v>2807</v>
      </c>
      <c r="BF1" t="s">
        <v>2808</v>
      </c>
      <c r="BG1" t="s">
        <v>2809</v>
      </c>
    </row>
    <row r="2" spans="1:59" x14ac:dyDescent="0.25">
      <c r="A2" t="str">
        <f>tblPlayers[first_name]&amp;" "&amp;tblPlayers[second_name]</f>
        <v>David Raya Martín</v>
      </c>
      <c r="B2" t="str">
        <f>_xlfn.SWITCH(tblPlayers[element_type],1,"GK",2,"DEF",3,"MID",4,"FWD")</f>
        <v>GK</v>
      </c>
      <c r="C2">
        <f>tblPlayers[team]</f>
        <v>1</v>
      </c>
      <c r="D2" t="str">
        <f>INDEX(tblTeams[Column1.short_name],MATCH(C2,tblTeams[Column1.id],0))</f>
        <v>ARS</v>
      </c>
      <c r="E2" s="4">
        <f>INDEX(FPL_Raw_Data!$F:$F,MATCH(A2,FPL_Raw_Data!$AA:$AA,0))/10</f>
        <v>6</v>
      </c>
      <c r="F2" s="4" t="str">
        <f>tblPlayers[[#This Row],[status]]</f>
        <v>a</v>
      </c>
      <c r="G2" s="4" t="b">
        <f>tblPlayers[[#This Row],[can_select]]</f>
        <v>1</v>
      </c>
      <c r="H2">
        <f>IF(AND(Table8[[#This Row],[Availability Status]]="a",Table8[[#This Row],[Can Select]]=TRUE),1,0)</f>
        <v>1</v>
      </c>
      <c r="I2">
        <f>tblPlayers[minutes]</f>
        <v>270</v>
      </c>
      <c r="J2" s="2">
        <f>Table8[[#This Row],[Minutes]]/90</f>
        <v>3</v>
      </c>
      <c r="K2" s="5">
        <f>IFERROR(Z2/(FIXTURE_ANALYSIS!$B$1-1),0)</f>
        <v>1</v>
      </c>
      <c r="L2">
        <f>tblPlayers[total_points]</f>
        <v>15</v>
      </c>
      <c r="M2">
        <f>tblPlayers[points_per_game]</f>
        <v>5</v>
      </c>
      <c r="N2">
        <f>tblPlayers[form]</f>
        <v>5</v>
      </c>
      <c r="O2">
        <f>tblPlayers[expected_goals]</f>
        <v>0</v>
      </c>
      <c r="P2">
        <f>tblPlayers[expected_assists]</f>
        <v>0.01</v>
      </c>
      <c r="Q2">
        <f>tblPlayers[expected_goal_involvements]</f>
        <v>0.01</v>
      </c>
      <c r="R2" s="2">
        <f t="shared" ref="R2:R65" si="0">IF(I2=0,0,L2/I2*90)</f>
        <v>5</v>
      </c>
      <c r="S2" s="5">
        <f t="shared" ref="S2:S65" si="1">IF(I2=0,0,O2/I2*90)</f>
        <v>0</v>
      </c>
      <c r="T2" s="5">
        <f t="shared" ref="T2:T65" si="2">IF(I2=0,0,P2/I2*90)</f>
        <v>3.3333333333333331E-3</v>
      </c>
      <c r="U2" s="5">
        <f t="shared" ref="U2:U65" si="3">IF(I2=0,0,Q2/I2*90)</f>
        <v>3.3333333333333331E-3</v>
      </c>
      <c r="V2" s="3">
        <f t="shared" ref="V2:V65" si="4">IF(E2=0,0,L2/E2)</f>
        <v>2.5</v>
      </c>
      <c r="W2" s="5">
        <f t="shared" ref="W2:W65" si="5">IF(E2=0,0,Q2/E2)</f>
        <v>1.6666666666666668E-3</v>
      </c>
      <c r="X2" s="5">
        <f>IFERROR(IF(OR($B2="MID",$B2="FWD"),INDEX(FIXTURE_ANALYSIS!$Q:$Q,MATCH($D2,FIXTURE_ANALYSIS!$A:$A,0)),INDEX(FIXTURE_ANALYSIS!$R:$R,MATCH($D2,FIXTURE_ANALYSIS!$A:$A,0))),1)</f>
        <v>1.1808551992225462</v>
      </c>
      <c r="Y2" s="5">
        <f t="shared" ref="Y2:Y65" si="6">X2</f>
        <v>1.1808551992225462</v>
      </c>
      <c r="Z2" s="8">
        <f>INDEX(FPL_Raw_Data!$T:$T,MATCH(A2,FPL_Raw_Data!$AA:$AA,0))</f>
        <v>3</v>
      </c>
      <c r="AA2" s="8">
        <f>INDEX(FPL_Raw_Data!$S:$S,MATCH(A2,FPL_Raw_Data!$AA:$AA,0))</f>
        <v>0</v>
      </c>
      <c r="AB2" s="2">
        <f t="shared" ref="AB2:AB65" si="7">IF(B2="DEF",MIN(AA2/10,1),IF(OR(B2="MID",B2="FWD"),MIN(AA2/12,1),0))</f>
        <v>0</v>
      </c>
      <c r="AC2" s="2">
        <f>INDEX(FPL_Raw_Data!$Q:$Q,MATCH(A2,FPL_Raw_Data!$AA:$AA,0))</f>
        <v>0</v>
      </c>
      <c r="AD2" s="8">
        <f>INDEX(FPL_Raw_Data!$R:$R,MATCH(A2,FPL_Raw_Data!$AA:$AA,0))</f>
        <v>60</v>
      </c>
      <c r="AE2" s="8">
        <f>INDEX(FPL_Raw_Data!$N:$N,MATCH(A2,FPL_Raw_Data!$AA:$AA,0))</f>
        <v>2</v>
      </c>
      <c r="AF2" s="8">
        <f>INDEX(FPL_Raw_Data!$L:$L,MATCH(A2,FPL_Raw_Data!$AA:$AA,0))</f>
        <v>0</v>
      </c>
      <c r="AG2" s="2">
        <f>INDEX(FPL_Raw_Data!$M:$M,MATCH(A2,FPL_Raw_Data!$AA:$AA,0))</f>
        <v>0</v>
      </c>
      <c r="AH2" s="2">
        <f t="shared" ref="AH2:AH65" si="8">IF(B2="GK",S2*10,IF(B2="DEF",S2*6,IF(B2="MID",S2*5,S2*4)))</f>
        <v>0</v>
      </c>
      <c r="AI2" s="2">
        <f t="shared" ref="AI2:AI65" si="9">T2*3</f>
        <v>9.9999999999999985E-3</v>
      </c>
      <c r="AJ2" s="2">
        <f t="shared" ref="AJ2:AJ65" si="10">K2*2</f>
        <v>2</v>
      </c>
      <c r="AK2" s="2">
        <f t="shared" ref="AK2:AK65" si="11">AB2*2</f>
        <v>0</v>
      </c>
      <c r="AL2" s="2">
        <f t="shared" ref="AL2:AL65" si="12">IFERROR(AE2/Z2,0)</f>
        <v>0.66666666666666663</v>
      </c>
      <c r="AM2" s="2">
        <f t="shared" ref="AM2:AM65" si="13">IF(OR(B2="GK",B2="DEF"),AL2*4,IF(B2="MID",AL2*1,0))</f>
        <v>2.6666666666666665</v>
      </c>
      <c r="AN2" s="2">
        <f t="shared" ref="AN2:AN65" si="14">IFERROR(AC2/Z2,0)</f>
        <v>0</v>
      </c>
      <c r="AO2" s="3">
        <f t="shared" ref="AO2:AO65" si="15">IFERROR(_xlfn.PERCENTRANK.INC($R$2:$R$700,R2)*100,0)</f>
        <v>75.400000000000006</v>
      </c>
      <c r="AP2">
        <f t="shared" ref="AP2:AP65" si="16">IFERROR(_xlfn.PERCENTRANK.INC($U$2:$U$700,U2)*100,0)</f>
        <v>50.8</v>
      </c>
      <c r="AQ2">
        <f t="shared" ref="AQ2:AQ65" si="17">IFERROR(_xlfn.PERCENTRANK.INC($V$2:$V$700,V2)*100,0)</f>
        <v>91.7</v>
      </c>
      <c r="AR2">
        <f t="shared" ref="AR2:AR65" si="18">IFERROR(_xlfn.PERCENTRANK.INC($W$2:$W$700,W2)*100,0)</f>
        <v>51</v>
      </c>
      <c r="AS2" s="2">
        <f t="shared" ref="AS2:AS65" si="19">K2*100</f>
        <v>100</v>
      </c>
      <c r="AT2" s="2">
        <f>IFERROR(INDEX(Player_Model!$BC$2:$BC$596,MATCH($A2,Player_Model!$A$2:$A$596,0)),0)</f>
        <v>6.1779861745127054</v>
      </c>
      <c r="AU2" s="2">
        <f>Table8[[#This Row],[Model Expected Points]]*Table8[[#This Row],[Fixture Adjustment]]</f>
        <v>7.2953070948983365</v>
      </c>
      <c r="AV2" s="2">
        <f>Table8[[#This Row],[Fixture Adjusted Points / 90]]/Table8[[#This Row],[Price]]</f>
        <v>1.2158845158163893</v>
      </c>
      <c r="AW2">
        <f t="shared" ref="AW2:AW65" si="20">IF(OR(B2="MID",B2="FWD"),AVERAGE(AO2,AP2),IF(B2="DEF",AP2,0))</f>
        <v>0</v>
      </c>
      <c r="AX2">
        <f t="shared" ref="AX2:AX65" si="21">IF(B2="GK",AVERAGE(AS2,X2),IF(B2="DEF",AVERAGE(AB2,X2),IF(B2="MID",AB2,0)))</f>
        <v>50.590427599611274</v>
      </c>
      <c r="AY2" s="2">
        <f t="shared" ref="AY2:AY65" si="22">AS2</f>
        <v>100</v>
      </c>
      <c r="AZ2" s="5">
        <f t="shared" ref="AZ2:AZ65" si="23">X2</f>
        <v>1.1808551992225462</v>
      </c>
      <c r="BA2">
        <f>Table8[[#This Row],[Model Score2]]</f>
        <v>6.1779861745127054</v>
      </c>
      <c r="BB2">
        <f>IFERROR(INDEX(Player_Model!$BG$2:$BG$596,MATCH($A2,Player_Model!$A$2:$A$596,0)),"")</f>
        <v>2</v>
      </c>
      <c r="BC2" t="str">
        <f t="shared" ref="BC2:BC65" si="24">IF(BB2=1,"TOP PICK",IF(BB2&lt;=5,"STRONG PICK",IF(BB2&lt;=10,"CONSIDER","AVOID")))</f>
        <v>STRONG PICK</v>
      </c>
      <c r="BD2">
        <f>IF(H2=1,Table8[[#This Row],[Model Score]],-10000)</f>
        <v>6.1779861745127054</v>
      </c>
      <c r="BE2">
        <f>IFERROR(INDEX(Player_Model!$BF$2:$BF$596,MATCH($A2,Player_Model!$A$2:$A$596,0)),"")</f>
        <v>38</v>
      </c>
      <c r="BF2">
        <f>IFERROR(INDEX(Player_Model!$BG$2:$BG$596,MATCH($A2,Player_Model!$A$2:$A$596,0)),"")</f>
        <v>2</v>
      </c>
      <c r="BG2">
        <f>IFERROR(INDEX(Player_Model!$BE$2:$BE$596,MATCH($A2,Player_Model!$A$2:$A$596,0)),0)</f>
        <v>6.1779861745127054</v>
      </c>
    </row>
    <row r="3" spans="1:59" x14ac:dyDescent="0.25">
      <c r="A3" t="str">
        <f>tblPlayers[first_name]&amp;" "&amp;tblPlayers[second_name]</f>
        <v>Kepa Arrizabalaga Revuelta</v>
      </c>
      <c r="B3" t="str">
        <f>_xlfn.SWITCH(tblPlayers[element_type],1,"GK",2,"DEF",3,"MID",4,"FWD")</f>
        <v>GK</v>
      </c>
      <c r="C3">
        <f>tblPlayers[team]</f>
        <v>1</v>
      </c>
      <c r="D3" t="str">
        <f>INDEX(tblTeams[Column1.short_name],MATCH(C3,tblTeams[Column1.id],0))</f>
        <v>ARS</v>
      </c>
      <c r="E3" s="4">
        <f>INDEX(FPL_Raw_Data!$F:$F,MATCH(A3,FPL_Raw_Data!$AA:$AA,0))/10</f>
        <v>4.9000000000000004</v>
      </c>
      <c r="F3" s="4" t="str">
        <f>tblPlayers[[#This Row],[status]]</f>
        <v>a</v>
      </c>
      <c r="G3" s="4" t="b">
        <f>tblPlayers[[#This Row],[can_select]]</f>
        <v>1</v>
      </c>
      <c r="H3">
        <f>IF(AND(Table8[[#This Row],[Availability Status]]="a",Table8[[#This Row],[Can Select]]=TRUE),1,0)</f>
        <v>1</v>
      </c>
      <c r="I3">
        <f>tblPlayers[minutes]</f>
        <v>0</v>
      </c>
      <c r="J3" s="2">
        <f>Table8[[#This Row],[Minutes]]/90</f>
        <v>0</v>
      </c>
      <c r="K3" s="5">
        <f>IFERROR(Z3/(FIXTURE_ANALYSIS!$B$1-1),0)</f>
        <v>0</v>
      </c>
      <c r="L3">
        <f>tblPlayers[total_points]</f>
        <v>0</v>
      </c>
      <c r="M3">
        <f>tblPlayers[points_per_game]</f>
        <v>0</v>
      </c>
      <c r="N3">
        <f>tblPlayers[form]</f>
        <v>0</v>
      </c>
      <c r="O3">
        <f>tblPlayers[expected_goals]</f>
        <v>0</v>
      </c>
      <c r="P3">
        <f>tblPlayers[expected_assists]</f>
        <v>0</v>
      </c>
      <c r="Q3">
        <f>tblPlayers[expected_goal_involvements]</f>
        <v>0</v>
      </c>
      <c r="R3" s="2">
        <f t="shared" si="0"/>
        <v>0</v>
      </c>
      <c r="S3" s="5">
        <f t="shared" si="1"/>
        <v>0</v>
      </c>
      <c r="T3" s="5">
        <f t="shared" si="2"/>
        <v>0</v>
      </c>
      <c r="U3" s="5">
        <f t="shared" si="3"/>
        <v>0</v>
      </c>
      <c r="V3" s="3">
        <f t="shared" si="4"/>
        <v>0</v>
      </c>
      <c r="W3" s="5">
        <f t="shared" si="5"/>
        <v>0</v>
      </c>
      <c r="X3" s="5">
        <f>IFERROR(IF(OR($B3="MID",$B3="FWD"),INDEX(FIXTURE_ANALYSIS!$Q:$Q,MATCH($D3,FIXTURE_ANALYSIS!$A:$A,0)),INDEX(FIXTURE_ANALYSIS!$R:$R,MATCH($D3,FIXTURE_ANALYSIS!$A:$A,0))),1)</f>
        <v>1.1808551992225462</v>
      </c>
      <c r="Y3" s="5">
        <f t="shared" si="6"/>
        <v>1.1808551992225462</v>
      </c>
      <c r="Z3" s="8">
        <f>INDEX(FPL_Raw_Data!$T:$T,MATCH(A3,FPL_Raw_Data!$AA:$AA,0))</f>
        <v>0</v>
      </c>
      <c r="AA3" s="8">
        <f>INDEX(FPL_Raw_Data!$S:$S,MATCH(A3,FPL_Raw_Data!$AA:$AA,0))</f>
        <v>0</v>
      </c>
      <c r="AB3" s="2">
        <f t="shared" si="7"/>
        <v>0</v>
      </c>
      <c r="AC3" s="2">
        <f>INDEX(FPL_Raw_Data!$Q:$Q,MATCH(A3,FPL_Raw_Data!$AA:$AA,0))</f>
        <v>0</v>
      </c>
      <c r="AD3" s="8">
        <f>INDEX(FPL_Raw_Data!$R:$R,MATCH(A3,FPL_Raw_Data!$AA:$AA,0))</f>
        <v>0</v>
      </c>
      <c r="AE3" s="8">
        <f>INDEX(FPL_Raw_Data!$N:$N,MATCH(A3,FPL_Raw_Data!$AA:$AA,0))</f>
        <v>0</v>
      </c>
      <c r="AF3" s="8">
        <f>INDEX(FPL_Raw_Data!$L:$L,MATCH(A3,FPL_Raw_Data!$AA:$AA,0))</f>
        <v>0</v>
      </c>
      <c r="AG3" s="2">
        <f>INDEX(FPL_Raw_Data!$M:$M,MATCH(A3,FPL_Raw_Data!$AA:$AA,0))</f>
        <v>0</v>
      </c>
      <c r="AH3" s="2">
        <f t="shared" si="8"/>
        <v>0</v>
      </c>
      <c r="AI3" s="2">
        <f t="shared" si="9"/>
        <v>0</v>
      </c>
      <c r="AJ3" s="2">
        <f t="shared" si="10"/>
        <v>0</v>
      </c>
      <c r="AK3" s="2">
        <f t="shared" si="11"/>
        <v>0</v>
      </c>
      <c r="AL3" s="2">
        <f t="shared" si="12"/>
        <v>0</v>
      </c>
      <c r="AM3" s="2">
        <f t="shared" si="13"/>
        <v>0</v>
      </c>
      <c r="AN3" s="2">
        <f t="shared" si="14"/>
        <v>0</v>
      </c>
      <c r="AO3" s="3">
        <f t="shared" si="15"/>
        <v>0.1</v>
      </c>
      <c r="AP3">
        <f t="shared" si="16"/>
        <v>0</v>
      </c>
      <c r="AQ3">
        <f t="shared" si="17"/>
        <v>0.1</v>
      </c>
      <c r="AR3">
        <f t="shared" si="18"/>
        <v>0</v>
      </c>
      <c r="AS3" s="2">
        <f t="shared" si="19"/>
        <v>0</v>
      </c>
      <c r="AT3" s="2">
        <f>IFERROR(INDEX(Player_Model!$BC$2:$BC$596,MATCH($A3,Player_Model!$A$2:$A$596,0)),0)</f>
        <v>0</v>
      </c>
      <c r="AU3" s="2">
        <f>Table8[[#This Row],[Model Expected Points]]*Table8[[#This Row],[Fixture Adjustment]]</f>
        <v>0</v>
      </c>
      <c r="AV3" s="2">
        <f>Table8[[#This Row],[Fixture Adjusted Points / 90]]/Table8[[#This Row],[Price]]</f>
        <v>0</v>
      </c>
      <c r="AW3">
        <f t="shared" si="20"/>
        <v>0</v>
      </c>
      <c r="AX3">
        <f t="shared" si="21"/>
        <v>0.59042759961127311</v>
      </c>
      <c r="AY3" s="2">
        <f t="shared" si="22"/>
        <v>0</v>
      </c>
      <c r="AZ3" s="5">
        <f t="shared" si="23"/>
        <v>1.1808551992225462</v>
      </c>
      <c r="BA3">
        <f>Table8[[#This Row],[Model Score2]]</f>
        <v>0</v>
      </c>
      <c r="BB3">
        <f>IFERROR(INDEX(Player_Model!$BG$2:$BG$596,MATCH($A3,Player_Model!$A$2:$A$596,0)),"")</f>
        <v>22</v>
      </c>
      <c r="BC3" t="str">
        <f t="shared" si="24"/>
        <v>AVOID</v>
      </c>
      <c r="BD3">
        <f>IF(H3=1,Table8[[#This Row],[Model Score]],-10000)</f>
        <v>0</v>
      </c>
      <c r="BE3">
        <f>IFERROR(INDEX(Player_Model!$BF$2:$BF$596,MATCH($A3,Player_Model!$A$2:$A$596,0)),"")</f>
        <v>253</v>
      </c>
      <c r="BF3">
        <f>IFERROR(INDEX(Player_Model!$BG$2:$BG$596,MATCH($A3,Player_Model!$A$2:$A$596,0)),"")</f>
        <v>22</v>
      </c>
      <c r="BG3">
        <f>IFERROR(INDEX(Player_Model!$BE$2:$BE$596,MATCH($A3,Player_Model!$A$2:$A$596,0)),0)</f>
        <v>0</v>
      </c>
    </row>
    <row r="4" spans="1:59" x14ac:dyDescent="0.25">
      <c r="A4" t="str">
        <f>tblPlayers[first_name]&amp;" "&amp;tblPlayers[second_name]</f>
        <v>Illan Meslier</v>
      </c>
      <c r="B4" t="str">
        <f>_xlfn.SWITCH(tblPlayers[element_type],1,"GK",2,"DEF",3,"MID",4,"FWD")</f>
        <v>GK</v>
      </c>
      <c r="C4">
        <f>tblPlayers[team]</f>
        <v>1</v>
      </c>
      <c r="D4" t="str">
        <f>INDEX(tblTeams[Column1.short_name],MATCH(C4,tblTeams[Column1.id],0))</f>
        <v>ARS</v>
      </c>
      <c r="E4" s="4">
        <f>INDEX(FPL_Raw_Data!$F:$F,MATCH(A4,FPL_Raw_Data!$AA:$AA,0))/10</f>
        <v>4.9000000000000004</v>
      </c>
      <c r="F4" s="4" t="str">
        <f>tblPlayers[[#This Row],[status]]</f>
        <v>a</v>
      </c>
      <c r="G4" s="4" t="b">
        <f>tblPlayers[[#This Row],[can_select]]</f>
        <v>1</v>
      </c>
      <c r="H4">
        <f>IF(AND(Table8[[#This Row],[Availability Status]]="a",Table8[[#This Row],[Can Select]]=TRUE),1,0)</f>
        <v>1</v>
      </c>
      <c r="I4">
        <f>tblPlayers[minutes]</f>
        <v>0</v>
      </c>
      <c r="J4" s="2">
        <f>Table8[[#This Row],[Minutes]]/90</f>
        <v>0</v>
      </c>
      <c r="K4" s="5">
        <f>IFERROR(Z4/(FIXTURE_ANALYSIS!$B$1-1),0)</f>
        <v>0</v>
      </c>
      <c r="L4">
        <f>tblPlayers[total_points]</f>
        <v>0</v>
      </c>
      <c r="M4">
        <f>tblPlayers[points_per_game]</f>
        <v>0</v>
      </c>
      <c r="N4">
        <f>tblPlayers[form]</f>
        <v>0</v>
      </c>
      <c r="O4">
        <f>tblPlayers[expected_goals]</f>
        <v>0</v>
      </c>
      <c r="P4">
        <f>tblPlayers[expected_assists]</f>
        <v>0</v>
      </c>
      <c r="Q4">
        <f>tblPlayers[expected_goal_involvements]</f>
        <v>0</v>
      </c>
      <c r="R4" s="2">
        <f t="shared" si="0"/>
        <v>0</v>
      </c>
      <c r="S4" s="5">
        <f t="shared" si="1"/>
        <v>0</v>
      </c>
      <c r="T4" s="5">
        <f t="shared" si="2"/>
        <v>0</v>
      </c>
      <c r="U4" s="5">
        <f t="shared" si="3"/>
        <v>0</v>
      </c>
      <c r="V4" s="3">
        <f t="shared" si="4"/>
        <v>0</v>
      </c>
      <c r="W4" s="5">
        <f t="shared" si="5"/>
        <v>0</v>
      </c>
      <c r="X4" s="5">
        <f>IFERROR(IF(OR($B4="MID",$B4="FWD"),INDEX(FIXTURE_ANALYSIS!$Q:$Q,MATCH($D4,FIXTURE_ANALYSIS!$A:$A,0)),INDEX(FIXTURE_ANALYSIS!$R:$R,MATCH($D4,FIXTURE_ANALYSIS!$A:$A,0))),1)</f>
        <v>1.1808551992225462</v>
      </c>
      <c r="Y4" s="5">
        <f t="shared" si="6"/>
        <v>1.1808551992225462</v>
      </c>
      <c r="Z4" s="8">
        <f>INDEX(FPL_Raw_Data!$T:$T,MATCH(A4,FPL_Raw_Data!$AA:$AA,0))</f>
        <v>0</v>
      </c>
      <c r="AA4" s="8">
        <f>INDEX(FPL_Raw_Data!$S:$S,MATCH(A4,FPL_Raw_Data!$AA:$AA,0))</f>
        <v>0</v>
      </c>
      <c r="AB4" s="2">
        <f t="shared" si="7"/>
        <v>0</v>
      </c>
      <c r="AC4" s="2">
        <f>INDEX(FPL_Raw_Data!$Q:$Q,MATCH(A4,FPL_Raw_Data!$AA:$AA,0))</f>
        <v>0</v>
      </c>
      <c r="AD4" s="8">
        <f>INDEX(FPL_Raw_Data!$R:$R,MATCH(A4,FPL_Raw_Data!$AA:$AA,0))</f>
        <v>0</v>
      </c>
      <c r="AE4" s="8">
        <f>INDEX(FPL_Raw_Data!$N:$N,MATCH(A4,FPL_Raw_Data!$AA:$AA,0))</f>
        <v>0</v>
      </c>
      <c r="AF4" s="8">
        <f>INDEX(FPL_Raw_Data!$L:$L,MATCH(A4,FPL_Raw_Data!$AA:$AA,0))</f>
        <v>0</v>
      </c>
      <c r="AG4" s="2">
        <f>INDEX(FPL_Raw_Data!$M:$M,MATCH(A4,FPL_Raw_Data!$AA:$AA,0))</f>
        <v>0</v>
      </c>
      <c r="AH4" s="2">
        <f t="shared" si="8"/>
        <v>0</v>
      </c>
      <c r="AI4" s="2">
        <f t="shared" si="9"/>
        <v>0</v>
      </c>
      <c r="AJ4" s="2">
        <f t="shared" si="10"/>
        <v>0</v>
      </c>
      <c r="AK4" s="2">
        <f t="shared" si="11"/>
        <v>0</v>
      </c>
      <c r="AL4" s="2">
        <f t="shared" si="12"/>
        <v>0</v>
      </c>
      <c r="AM4" s="2">
        <f t="shared" si="13"/>
        <v>0</v>
      </c>
      <c r="AN4" s="2">
        <f t="shared" si="14"/>
        <v>0</v>
      </c>
      <c r="AO4" s="3">
        <f t="shared" si="15"/>
        <v>0.1</v>
      </c>
      <c r="AP4">
        <f t="shared" si="16"/>
        <v>0</v>
      </c>
      <c r="AQ4">
        <f t="shared" si="17"/>
        <v>0.1</v>
      </c>
      <c r="AR4">
        <f t="shared" si="18"/>
        <v>0</v>
      </c>
      <c r="AS4" s="2">
        <f t="shared" si="19"/>
        <v>0</v>
      </c>
      <c r="AT4" s="2">
        <f>IFERROR(INDEX(Player_Model!$BC$2:$BC$596,MATCH($A4,Player_Model!$A$2:$A$596,0)),0)</f>
        <v>0</v>
      </c>
      <c r="AU4" s="2">
        <f>Table8[[#This Row],[Model Expected Points]]*Table8[[#This Row],[Fixture Adjustment]]</f>
        <v>0</v>
      </c>
      <c r="AV4" s="2">
        <f>Table8[[#This Row],[Fixture Adjusted Points / 90]]/Table8[[#This Row],[Price]]</f>
        <v>0</v>
      </c>
      <c r="AW4">
        <f t="shared" si="20"/>
        <v>0</v>
      </c>
      <c r="AX4">
        <f t="shared" si="21"/>
        <v>0.59042759961127311</v>
      </c>
      <c r="AY4" s="2">
        <f t="shared" si="22"/>
        <v>0</v>
      </c>
      <c r="AZ4" s="5">
        <f t="shared" si="23"/>
        <v>1.1808551992225462</v>
      </c>
      <c r="BA4">
        <f>Table8[[#This Row],[Model Score2]]</f>
        <v>0</v>
      </c>
      <c r="BB4">
        <f>IFERROR(INDEX(Player_Model!$BG$2:$BG$596,MATCH($A4,Player_Model!$A$2:$A$596,0)),"")</f>
        <v>23</v>
      </c>
      <c r="BC4" t="str">
        <f t="shared" si="24"/>
        <v>AVOID</v>
      </c>
      <c r="BD4">
        <f>IF(H4=1,Table8[[#This Row],[Model Score]],-10000)</f>
        <v>0</v>
      </c>
      <c r="BE4">
        <f>IFERROR(INDEX(Player_Model!$BF$2:$BF$596,MATCH($A4,Player_Model!$A$2:$A$596,0)),"")</f>
        <v>253</v>
      </c>
      <c r="BF4">
        <f>IFERROR(INDEX(Player_Model!$BG$2:$BG$596,MATCH($A4,Player_Model!$A$2:$A$596,0)),"")</f>
        <v>23</v>
      </c>
      <c r="BG4">
        <f>IFERROR(INDEX(Player_Model!$BE$2:$BE$596,MATCH($A4,Player_Model!$A$2:$A$596,0)),0)</f>
        <v>0</v>
      </c>
    </row>
    <row r="5" spans="1:59" x14ac:dyDescent="0.25">
      <c r="A5" t="str">
        <f>tblPlayers[first_name]&amp;" "&amp;tblPlayers[second_name]</f>
        <v>Gabriel dos Santos Magalhães</v>
      </c>
      <c r="B5" t="str">
        <f>_xlfn.SWITCH(tblPlayers[element_type],1,"GK",2,"DEF",3,"MID",4,"FWD")</f>
        <v>DEF</v>
      </c>
      <c r="C5">
        <f>tblPlayers[team]</f>
        <v>1</v>
      </c>
      <c r="D5" t="str">
        <f>INDEX(tblTeams[Column1.short_name],MATCH(C5,tblTeams[Column1.id],0))</f>
        <v>ARS</v>
      </c>
      <c r="E5" s="4">
        <f>INDEX(FPL_Raw_Data!$F:$F,MATCH(A5,FPL_Raw_Data!$AA:$AA,0))/10</f>
        <v>8</v>
      </c>
      <c r="F5" s="4" t="str">
        <f>tblPlayers[[#This Row],[status]]</f>
        <v>a</v>
      </c>
      <c r="G5" s="4" t="b">
        <f>tblPlayers[[#This Row],[can_select]]</f>
        <v>1</v>
      </c>
      <c r="H5">
        <f>IF(AND(Table8[[#This Row],[Availability Status]]="a",Table8[[#This Row],[Can Select]]=TRUE),1,0)</f>
        <v>1</v>
      </c>
      <c r="I5">
        <f>tblPlayers[minutes]</f>
        <v>270</v>
      </c>
      <c r="J5" s="2">
        <f>Table8[[#This Row],[Minutes]]/90</f>
        <v>3</v>
      </c>
      <c r="K5" s="5">
        <f>IFERROR(Z5/(FIXTURE_ANALYSIS!$B$1-1),0)</f>
        <v>1</v>
      </c>
      <c r="L5">
        <f>tblPlayers[total_points]</f>
        <v>15</v>
      </c>
      <c r="M5">
        <f>tblPlayers[points_per_game]</f>
        <v>5</v>
      </c>
      <c r="N5">
        <f>tblPlayers[form]</f>
        <v>5</v>
      </c>
      <c r="O5">
        <f>tblPlayers[expected_goals]</f>
        <v>0.49</v>
      </c>
      <c r="P5">
        <f>tblPlayers[expected_assists]</f>
        <v>0.05</v>
      </c>
      <c r="Q5">
        <f>tblPlayers[expected_goal_involvements]</f>
        <v>0.54</v>
      </c>
      <c r="R5" s="2">
        <f t="shared" si="0"/>
        <v>5</v>
      </c>
      <c r="S5" s="5">
        <f t="shared" si="1"/>
        <v>0.16333333333333333</v>
      </c>
      <c r="T5" s="5">
        <f t="shared" si="2"/>
        <v>1.666666666666667E-2</v>
      </c>
      <c r="U5" s="5">
        <f t="shared" si="3"/>
        <v>0.18</v>
      </c>
      <c r="V5" s="3">
        <f t="shared" si="4"/>
        <v>1.875</v>
      </c>
      <c r="W5" s="5">
        <f t="shared" si="5"/>
        <v>6.7500000000000004E-2</v>
      </c>
      <c r="X5" s="5">
        <f>IFERROR(IF(OR($B5="MID",$B5="FWD"),INDEX(FIXTURE_ANALYSIS!$Q:$Q,MATCH($D5,FIXTURE_ANALYSIS!$A:$A,0)),INDEX(FIXTURE_ANALYSIS!$R:$R,MATCH($D5,FIXTURE_ANALYSIS!$A:$A,0))),1)</f>
        <v>1.1808551992225462</v>
      </c>
      <c r="Y5" s="5">
        <f t="shared" si="6"/>
        <v>1.1808551992225462</v>
      </c>
      <c r="Z5" s="8">
        <f>INDEX(FPL_Raw_Data!$T:$T,MATCH(A5,FPL_Raw_Data!$AA:$AA,0))</f>
        <v>3</v>
      </c>
      <c r="AA5" s="8">
        <f>INDEX(FPL_Raw_Data!$S:$S,MATCH(A5,FPL_Raw_Data!$AA:$AA,0))</f>
        <v>21</v>
      </c>
      <c r="AB5" s="2">
        <f t="shared" si="7"/>
        <v>1</v>
      </c>
      <c r="AC5" s="2">
        <f>INDEX(FPL_Raw_Data!$Q:$Q,MATCH(A5,FPL_Raw_Data!$AA:$AA,0))</f>
        <v>0</v>
      </c>
      <c r="AD5" s="8">
        <f>INDEX(FPL_Raw_Data!$R:$R,MATCH(A5,FPL_Raw_Data!$AA:$AA,0))</f>
        <v>54</v>
      </c>
      <c r="AE5" s="8">
        <f>INDEX(FPL_Raw_Data!$N:$N,MATCH(A5,FPL_Raw_Data!$AA:$AA,0))</f>
        <v>2</v>
      </c>
      <c r="AF5" s="8">
        <f>INDEX(FPL_Raw_Data!$L:$L,MATCH(A5,FPL_Raw_Data!$AA:$AA,0))</f>
        <v>0</v>
      </c>
      <c r="AG5" s="2">
        <f>INDEX(FPL_Raw_Data!$M:$M,MATCH(A5,FPL_Raw_Data!$AA:$AA,0))</f>
        <v>0</v>
      </c>
      <c r="AH5" s="2">
        <f t="shared" si="8"/>
        <v>0.98</v>
      </c>
      <c r="AI5" s="2">
        <f t="shared" si="9"/>
        <v>5.000000000000001E-2</v>
      </c>
      <c r="AJ5" s="2">
        <f t="shared" si="10"/>
        <v>2</v>
      </c>
      <c r="AK5" s="2">
        <f t="shared" si="11"/>
        <v>2</v>
      </c>
      <c r="AL5" s="2">
        <f t="shared" si="12"/>
        <v>0.66666666666666663</v>
      </c>
      <c r="AM5" s="2">
        <f t="shared" si="13"/>
        <v>2.6666666666666665</v>
      </c>
      <c r="AN5" s="2">
        <f t="shared" si="14"/>
        <v>0</v>
      </c>
      <c r="AO5" s="3">
        <f t="shared" si="15"/>
        <v>75.400000000000006</v>
      </c>
      <c r="AP5">
        <f t="shared" si="16"/>
        <v>74.7</v>
      </c>
      <c r="AQ5">
        <f t="shared" si="17"/>
        <v>85.3</v>
      </c>
      <c r="AR5">
        <f t="shared" si="18"/>
        <v>79.600000000000009</v>
      </c>
      <c r="AS5" s="2">
        <f t="shared" si="19"/>
        <v>100</v>
      </c>
      <c r="AT5" s="2">
        <f>IFERROR(INDEX(Player_Model!$BC$2:$BC$596,MATCH($A5,Player_Model!$A$2:$A$596,0)),0)</f>
        <v>8.1528292883759335</v>
      </c>
      <c r="AU5" s="2">
        <f>Table8[[#This Row],[Model Expected Points]]*Table8[[#This Row],[Fixture Adjustment]]</f>
        <v>9.6273108535525722</v>
      </c>
      <c r="AV5" s="2">
        <f>Table8[[#This Row],[Fixture Adjusted Points / 90]]/Table8[[#This Row],[Price]]</f>
        <v>1.2034138566940715</v>
      </c>
      <c r="AW5">
        <f t="shared" si="20"/>
        <v>74.7</v>
      </c>
      <c r="AX5">
        <f t="shared" si="21"/>
        <v>1.0904275996112731</v>
      </c>
      <c r="AY5" s="2">
        <f t="shared" si="22"/>
        <v>100</v>
      </c>
      <c r="AZ5" s="5">
        <f t="shared" si="23"/>
        <v>1.1808551992225462</v>
      </c>
      <c r="BA5">
        <f>Table8[[#This Row],[Model Score2]]</f>
        <v>8.1528292883759335</v>
      </c>
      <c r="BB5">
        <f>IFERROR(INDEX(Player_Model!$BG$2:$BG$596,MATCH($A5,Player_Model!$A$2:$A$596,0)),"")</f>
        <v>6</v>
      </c>
      <c r="BC5" t="str">
        <f t="shared" si="24"/>
        <v>CONSIDER</v>
      </c>
      <c r="BD5">
        <f>IF(H5=1,Table8[[#This Row],[Model Score]],-10000)</f>
        <v>8.1528292883759335</v>
      </c>
      <c r="BE5">
        <f>IFERROR(INDEX(Player_Model!$BF$2:$BF$596,MATCH($A5,Player_Model!$A$2:$A$596,0)),"")</f>
        <v>7</v>
      </c>
      <c r="BF5">
        <f>IFERROR(INDEX(Player_Model!$BG$2:$BG$596,MATCH($A5,Player_Model!$A$2:$A$596,0)),"")</f>
        <v>6</v>
      </c>
      <c r="BG5">
        <f>IFERROR(INDEX(Player_Model!$BE$2:$BE$596,MATCH($A5,Player_Model!$A$2:$A$596,0)),0)</f>
        <v>8.1528292883759335</v>
      </c>
    </row>
    <row r="6" spans="1:59" x14ac:dyDescent="0.25">
      <c r="A6" t="str">
        <f>tblPlayers[first_name]&amp;" "&amp;tblPlayers[second_name]</f>
        <v>Jurriën Timber</v>
      </c>
      <c r="B6" t="str">
        <f>_xlfn.SWITCH(tblPlayers[element_type],1,"GK",2,"DEF",3,"MID",4,"FWD")</f>
        <v>DEF</v>
      </c>
      <c r="C6">
        <f>tblPlayers[team]</f>
        <v>1</v>
      </c>
      <c r="D6" t="str">
        <f>INDEX(tblTeams[Column1.short_name],MATCH(C6,tblTeams[Column1.id],0))</f>
        <v>ARS</v>
      </c>
      <c r="E6" s="4">
        <f>INDEX(FPL_Raw_Data!$F:$F,MATCH(A6,FPL_Raw_Data!$AA:$AA,0))/10</f>
        <v>6.5</v>
      </c>
      <c r="F6" s="4" t="str">
        <f>tblPlayers[[#This Row],[status]]</f>
        <v>d</v>
      </c>
      <c r="G6" s="4" t="b">
        <f>tblPlayers[[#This Row],[can_select]]</f>
        <v>1</v>
      </c>
      <c r="H6">
        <f>IF(AND(Table8[[#This Row],[Availability Status]]="a",Table8[[#This Row],[Can Select]]=TRUE),1,0)</f>
        <v>0</v>
      </c>
      <c r="I6">
        <f>tblPlayers[minutes]</f>
        <v>0</v>
      </c>
      <c r="J6" s="2">
        <f>Table8[[#This Row],[Minutes]]/90</f>
        <v>0</v>
      </c>
      <c r="K6" s="5">
        <f>IFERROR(Z6/(FIXTURE_ANALYSIS!$B$1-1),0)</f>
        <v>0</v>
      </c>
      <c r="L6">
        <f>tblPlayers[total_points]</f>
        <v>0</v>
      </c>
      <c r="M6">
        <f>tblPlayers[points_per_game]</f>
        <v>0</v>
      </c>
      <c r="N6">
        <f>tblPlayers[form]</f>
        <v>0</v>
      </c>
      <c r="O6">
        <f>tblPlayers[expected_goals]</f>
        <v>0</v>
      </c>
      <c r="P6">
        <f>tblPlayers[expected_assists]</f>
        <v>0</v>
      </c>
      <c r="Q6">
        <f>tblPlayers[expected_goal_involvements]</f>
        <v>0</v>
      </c>
      <c r="R6" s="2">
        <f t="shared" si="0"/>
        <v>0</v>
      </c>
      <c r="S6" s="5">
        <f t="shared" si="1"/>
        <v>0</v>
      </c>
      <c r="T6" s="5">
        <f t="shared" si="2"/>
        <v>0</v>
      </c>
      <c r="U6" s="5">
        <f t="shared" si="3"/>
        <v>0</v>
      </c>
      <c r="V6" s="3">
        <f t="shared" si="4"/>
        <v>0</v>
      </c>
      <c r="W6" s="5">
        <f t="shared" si="5"/>
        <v>0</v>
      </c>
      <c r="X6" s="5">
        <f>IFERROR(IF(OR($B6="MID",$B6="FWD"),INDEX(FIXTURE_ANALYSIS!$Q:$Q,MATCH($D6,FIXTURE_ANALYSIS!$A:$A,0)),INDEX(FIXTURE_ANALYSIS!$R:$R,MATCH($D6,FIXTURE_ANALYSIS!$A:$A,0))),1)</f>
        <v>1.1808551992225462</v>
      </c>
      <c r="Y6" s="5">
        <f t="shared" si="6"/>
        <v>1.1808551992225462</v>
      </c>
      <c r="Z6" s="8">
        <f>INDEX(FPL_Raw_Data!$T:$T,MATCH(A6,FPL_Raw_Data!$AA:$AA,0))</f>
        <v>0</v>
      </c>
      <c r="AA6" s="8">
        <f>INDEX(FPL_Raw_Data!$S:$S,MATCH(A6,FPL_Raw_Data!$AA:$AA,0))</f>
        <v>0</v>
      </c>
      <c r="AB6" s="2">
        <f t="shared" si="7"/>
        <v>0</v>
      </c>
      <c r="AC6" s="2">
        <f>INDEX(FPL_Raw_Data!$Q:$Q,MATCH(A6,FPL_Raw_Data!$AA:$AA,0))</f>
        <v>0</v>
      </c>
      <c r="AD6" s="8">
        <f>INDEX(FPL_Raw_Data!$R:$R,MATCH(A6,FPL_Raw_Data!$AA:$AA,0))</f>
        <v>0</v>
      </c>
      <c r="AE6" s="8">
        <f>INDEX(FPL_Raw_Data!$N:$N,MATCH(A6,FPL_Raw_Data!$AA:$AA,0))</f>
        <v>0</v>
      </c>
      <c r="AF6" s="8">
        <f>INDEX(FPL_Raw_Data!$L:$L,MATCH(A6,FPL_Raw_Data!$AA:$AA,0))</f>
        <v>0</v>
      </c>
      <c r="AG6" s="2">
        <f>INDEX(FPL_Raw_Data!$M:$M,MATCH(A6,FPL_Raw_Data!$AA:$AA,0))</f>
        <v>0</v>
      </c>
      <c r="AH6" s="2">
        <f t="shared" si="8"/>
        <v>0</v>
      </c>
      <c r="AI6" s="2">
        <f t="shared" si="9"/>
        <v>0</v>
      </c>
      <c r="AJ6" s="2">
        <f t="shared" si="10"/>
        <v>0</v>
      </c>
      <c r="AK6" s="2">
        <f t="shared" si="11"/>
        <v>0</v>
      </c>
      <c r="AL6" s="2">
        <f t="shared" si="12"/>
        <v>0</v>
      </c>
      <c r="AM6" s="2">
        <f t="shared" si="13"/>
        <v>0</v>
      </c>
      <c r="AN6" s="2">
        <f t="shared" si="14"/>
        <v>0</v>
      </c>
      <c r="AO6" s="3">
        <f t="shared" si="15"/>
        <v>0.1</v>
      </c>
      <c r="AP6">
        <f t="shared" si="16"/>
        <v>0</v>
      </c>
      <c r="AQ6">
        <f t="shared" si="17"/>
        <v>0.1</v>
      </c>
      <c r="AR6">
        <f t="shared" si="18"/>
        <v>0</v>
      </c>
      <c r="AS6" s="2">
        <f t="shared" si="19"/>
        <v>0</v>
      </c>
      <c r="AT6" s="2">
        <f>IFERROR(INDEX(Player_Model!$BC$2:$BC$596,MATCH($A6,Player_Model!$A$2:$A$596,0)),0)</f>
        <v>-0.19680919987042436</v>
      </c>
      <c r="AU6" s="2">
        <f>Table8[[#This Row],[Model Expected Points]]*Table8[[#This Row],[Fixture Adjustment]]</f>
        <v>-0.23240316692181986</v>
      </c>
      <c r="AV6" s="2">
        <f>Table8[[#This Row],[Fixture Adjusted Points / 90]]/Table8[[#This Row],[Price]]</f>
        <v>-3.5754333372587668E-2</v>
      </c>
      <c r="AW6">
        <f t="shared" si="20"/>
        <v>0</v>
      </c>
      <c r="AX6">
        <f t="shared" si="21"/>
        <v>0.59042759961127311</v>
      </c>
      <c r="AY6" s="2">
        <f t="shared" si="22"/>
        <v>0</v>
      </c>
      <c r="AZ6" s="5">
        <f t="shared" si="23"/>
        <v>1.1808551992225462</v>
      </c>
      <c r="BA6">
        <f>Table8[[#This Row],[Model Score2]]</f>
        <v>-0.19680919987042436</v>
      </c>
      <c r="BB6">
        <f>IFERROR(INDEX(Player_Model!$BG$2:$BG$596,MATCH($A6,Player_Model!$A$2:$A$596,0)),"")</f>
        <v>105</v>
      </c>
      <c r="BC6" t="str">
        <f t="shared" si="24"/>
        <v>AVOID</v>
      </c>
      <c r="BD6">
        <f>IF(H6=1,Table8[[#This Row],[Model Score]],-10000)</f>
        <v>-10000</v>
      </c>
      <c r="BE6">
        <f>IFERROR(INDEX(Player_Model!$BF$2:$BF$596,MATCH($A6,Player_Model!$A$2:$A$596,0)),"")</f>
        <v>508</v>
      </c>
      <c r="BF6">
        <f>IFERROR(INDEX(Player_Model!$BG$2:$BG$596,MATCH($A6,Player_Model!$A$2:$A$596,0)),"")</f>
        <v>105</v>
      </c>
      <c r="BG6">
        <f>IFERROR(INDEX(Player_Model!$BE$2:$BE$596,MATCH($A6,Player_Model!$A$2:$A$596,0)),0)</f>
        <v>-0.19680919987042436</v>
      </c>
    </row>
    <row r="7" spans="1:59" x14ac:dyDescent="0.25">
      <c r="A7" t="str">
        <f>tblPlayers[first_name]&amp;" "&amp;tblPlayers[second_name]</f>
        <v>William Saliba</v>
      </c>
      <c r="B7" t="str">
        <f>_xlfn.SWITCH(tblPlayers[element_type],1,"GK",2,"DEF",3,"MID",4,"FWD")</f>
        <v>DEF</v>
      </c>
      <c r="C7">
        <f>tblPlayers[team]</f>
        <v>1</v>
      </c>
      <c r="D7" t="str">
        <f>INDEX(tblTeams[Column1.short_name],MATCH(C7,tblTeams[Column1.id],0))</f>
        <v>ARS</v>
      </c>
      <c r="E7" s="4">
        <f>INDEX(FPL_Raw_Data!$F:$F,MATCH(A7,FPL_Raw_Data!$AA:$AA,0))/10</f>
        <v>6</v>
      </c>
      <c r="F7" s="4" t="str">
        <f>tblPlayers[[#This Row],[status]]</f>
        <v>i</v>
      </c>
      <c r="G7" s="4" t="b">
        <f>tblPlayers[[#This Row],[can_select]]</f>
        <v>1</v>
      </c>
      <c r="H7">
        <f>IF(AND(Table8[[#This Row],[Availability Status]]="a",Table8[[#This Row],[Can Select]]=TRUE),1,0)</f>
        <v>0</v>
      </c>
      <c r="I7">
        <f>tblPlayers[minutes]</f>
        <v>0</v>
      </c>
      <c r="J7" s="2">
        <f>Table8[[#This Row],[Minutes]]/90</f>
        <v>0</v>
      </c>
      <c r="K7" s="5">
        <f>IFERROR(Z7/(FIXTURE_ANALYSIS!$B$1-1),0)</f>
        <v>0</v>
      </c>
      <c r="L7">
        <f>tblPlayers[total_points]</f>
        <v>0</v>
      </c>
      <c r="M7">
        <f>tblPlayers[points_per_game]</f>
        <v>0</v>
      </c>
      <c r="N7">
        <f>tblPlayers[form]</f>
        <v>0</v>
      </c>
      <c r="O7">
        <f>tblPlayers[expected_goals]</f>
        <v>0</v>
      </c>
      <c r="P7">
        <f>tblPlayers[expected_assists]</f>
        <v>0</v>
      </c>
      <c r="Q7">
        <f>tblPlayers[expected_goal_involvements]</f>
        <v>0</v>
      </c>
      <c r="R7" s="2">
        <f t="shared" si="0"/>
        <v>0</v>
      </c>
      <c r="S7" s="5">
        <f t="shared" si="1"/>
        <v>0</v>
      </c>
      <c r="T7" s="5">
        <f t="shared" si="2"/>
        <v>0</v>
      </c>
      <c r="U7" s="5">
        <f t="shared" si="3"/>
        <v>0</v>
      </c>
      <c r="V7" s="3">
        <f t="shared" si="4"/>
        <v>0</v>
      </c>
      <c r="W7" s="5">
        <f t="shared" si="5"/>
        <v>0</v>
      </c>
      <c r="X7" s="5">
        <f>IFERROR(IF(OR($B7="MID",$B7="FWD"),INDEX(FIXTURE_ANALYSIS!$Q:$Q,MATCH($D7,FIXTURE_ANALYSIS!$A:$A,0)),INDEX(FIXTURE_ANALYSIS!$R:$R,MATCH($D7,FIXTURE_ANALYSIS!$A:$A,0))),1)</f>
        <v>1.1808551992225462</v>
      </c>
      <c r="Y7" s="5">
        <f t="shared" si="6"/>
        <v>1.1808551992225462</v>
      </c>
      <c r="Z7" s="8">
        <f>INDEX(FPL_Raw_Data!$T:$T,MATCH(A7,FPL_Raw_Data!$AA:$AA,0))</f>
        <v>0</v>
      </c>
      <c r="AA7" s="8">
        <f>INDEX(FPL_Raw_Data!$S:$S,MATCH(A7,FPL_Raw_Data!$AA:$AA,0))</f>
        <v>0</v>
      </c>
      <c r="AB7" s="2">
        <f t="shared" si="7"/>
        <v>0</v>
      </c>
      <c r="AC7" s="2">
        <f>INDEX(FPL_Raw_Data!$Q:$Q,MATCH(A7,FPL_Raw_Data!$AA:$AA,0))</f>
        <v>0</v>
      </c>
      <c r="AD7" s="8">
        <f>INDEX(FPL_Raw_Data!$R:$R,MATCH(A7,FPL_Raw_Data!$AA:$AA,0))</f>
        <v>0</v>
      </c>
      <c r="AE7" s="8">
        <f>INDEX(FPL_Raw_Data!$N:$N,MATCH(A7,FPL_Raw_Data!$AA:$AA,0))</f>
        <v>0</v>
      </c>
      <c r="AF7" s="8">
        <f>INDEX(FPL_Raw_Data!$L:$L,MATCH(A7,FPL_Raw_Data!$AA:$AA,0))</f>
        <v>0</v>
      </c>
      <c r="AG7" s="2">
        <f>INDEX(FPL_Raw_Data!$M:$M,MATCH(A7,FPL_Raw_Data!$AA:$AA,0))</f>
        <v>0</v>
      </c>
      <c r="AH7" s="2">
        <f t="shared" si="8"/>
        <v>0</v>
      </c>
      <c r="AI7" s="2">
        <f t="shared" si="9"/>
        <v>0</v>
      </c>
      <c r="AJ7" s="2">
        <f t="shared" si="10"/>
        <v>0</v>
      </c>
      <c r="AK7" s="2">
        <f t="shared" si="11"/>
        <v>0</v>
      </c>
      <c r="AL7" s="2">
        <f t="shared" si="12"/>
        <v>0</v>
      </c>
      <c r="AM7" s="2">
        <f t="shared" si="13"/>
        <v>0</v>
      </c>
      <c r="AN7" s="2">
        <f t="shared" si="14"/>
        <v>0</v>
      </c>
      <c r="AO7" s="3">
        <f t="shared" si="15"/>
        <v>0.1</v>
      </c>
      <c r="AP7">
        <f t="shared" si="16"/>
        <v>0</v>
      </c>
      <c r="AQ7">
        <f t="shared" si="17"/>
        <v>0.1</v>
      </c>
      <c r="AR7">
        <f t="shared" si="18"/>
        <v>0</v>
      </c>
      <c r="AS7" s="2">
        <f t="shared" si="19"/>
        <v>0</v>
      </c>
      <c r="AT7" s="2">
        <f>IFERROR(INDEX(Player_Model!$BC$2:$BC$596,MATCH($A7,Player_Model!$A$2:$A$596,0)),0)</f>
        <v>-0.19680919987042436</v>
      </c>
      <c r="AU7" s="2">
        <f>Table8[[#This Row],[Model Expected Points]]*Table8[[#This Row],[Fixture Adjustment]]</f>
        <v>-0.23240316692181986</v>
      </c>
      <c r="AV7" s="2">
        <f>Table8[[#This Row],[Fixture Adjusted Points / 90]]/Table8[[#This Row],[Price]]</f>
        <v>-3.8733861153636646E-2</v>
      </c>
      <c r="AW7">
        <f t="shared" si="20"/>
        <v>0</v>
      </c>
      <c r="AX7">
        <f t="shared" si="21"/>
        <v>0.59042759961127311</v>
      </c>
      <c r="AY7" s="2">
        <f t="shared" si="22"/>
        <v>0</v>
      </c>
      <c r="AZ7" s="5">
        <f t="shared" si="23"/>
        <v>1.1808551992225462</v>
      </c>
      <c r="BA7">
        <f>Table8[[#This Row],[Model Score2]]</f>
        <v>-0.19680919987042436</v>
      </c>
      <c r="BB7">
        <f>IFERROR(INDEX(Player_Model!$BG$2:$BG$596,MATCH($A7,Player_Model!$A$2:$A$596,0)),"")</f>
        <v>106</v>
      </c>
      <c r="BC7" t="str">
        <f t="shared" si="24"/>
        <v>AVOID</v>
      </c>
      <c r="BD7">
        <f>IF(H7=1,Table8[[#This Row],[Model Score]],-10000)</f>
        <v>-10000</v>
      </c>
      <c r="BE7">
        <f>IFERROR(INDEX(Player_Model!$BF$2:$BF$596,MATCH($A7,Player_Model!$A$2:$A$596,0)),"")</f>
        <v>508</v>
      </c>
      <c r="BF7">
        <f>IFERROR(INDEX(Player_Model!$BG$2:$BG$596,MATCH($A7,Player_Model!$A$2:$A$596,0)),"")</f>
        <v>106</v>
      </c>
      <c r="BG7">
        <f>IFERROR(INDEX(Player_Model!$BE$2:$BE$596,MATCH($A7,Player_Model!$A$2:$A$596,0)),0)</f>
        <v>-0.19680919987042436</v>
      </c>
    </row>
    <row r="8" spans="1:59" x14ac:dyDescent="0.25">
      <c r="A8" t="str">
        <f>tblPlayers[first_name]&amp;" "&amp;tblPlayers[second_name]</f>
        <v>Myles Lewis-Skelly</v>
      </c>
      <c r="B8" t="str">
        <f>_xlfn.SWITCH(tblPlayers[element_type],1,"GK",2,"DEF",3,"MID",4,"FWD")</f>
        <v>MID</v>
      </c>
      <c r="C8">
        <f>tblPlayers[team]</f>
        <v>1</v>
      </c>
      <c r="D8" t="str">
        <f>INDEX(tblTeams[Column1.short_name],MATCH(C8,tblTeams[Column1.id],0))</f>
        <v>ARS</v>
      </c>
      <c r="E8" s="4">
        <f>INDEX(FPL_Raw_Data!$F:$F,MATCH(A8,FPL_Raw_Data!$AA:$AA,0))/10</f>
        <v>5.5</v>
      </c>
      <c r="F8" s="4" t="str">
        <f>tblPlayers[[#This Row],[status]]</f>
        <v>a</v>
      </c>
      <c r="G8" s="4" t="b">
        <f>tblPlayers[[#This Row],[can_select]]</f>
        <v>1</v>
      </c>
      <c r="H8">
        <f>IF(AND(Table8[[#This Row],[Availability Status]]="a",Table8[[#This Row],[Can Select]]=TRUE),1,0)</f>
        <v>1</v>
      </c>
      <c r="I8">
        <f>tblPlayers[minutes]</f>
        <v>226</v>
      </c>
      <c r="J8" s="2">
        <f>Table8[[#This Row],[Minutes]]/90</f>
        <v>2.5111111111111111</v>
      </c>
      <c r="K8" s="5">
        <f>IFERROR(Z8/(FIXTURE_ANALYSIS!$B$1-1),0)</f>
        <v>1</v>
      </c>
      <c r="L8">
        <f>tblPlayers[total_points]</f>
        <v>8</v>
      </c>
      <c r="M8">
        <f>tblPlayers[points_per_game]</f>
        <v>2.7</v>
      </c>
      <c r="N8">
        <f>tblPlayers[form]</f>
        <v>2.7</v>
      </c>
      <c r="O8">
        <f>tblPlayers[expected_goals]</f>
        <v>0.16</v>
      </c>
      <c r="P8">
        <f>tblPlayers[expected_assists]</f>
        <v>0.23</v>
      </c>
      <c r="Q8">
        <f>tblPlayers[expected_goal_involvements]</f>
        <v>0.39</v>
      </c>
      <c r="R8" s="2">
        <f t="shared" si="0"/>
        <v>3.1858407079646018</v>
      </c>
      <c r="S8" s="5">
        <f t="shared" si="1"/>
        <v>6.3716814159292035E-2</v>
      </c>
      <c r="T8" s="5">
        <f t="shared" si="2"/>
        <v>9.1592920353982296E-2</v>
      </c>
      <c r="U8" s="5">
        <f t="shared" si="3"/>
        <v>0.15530973451327434</v>
      </c>
      <c r="V8" s="3">
        <f t="shared" si="4"/>
        <v>1.4545454545454546</v>
      </c>
      <c r="W8" s="5">
        <f t="shared" si="5"/>
        <v>7.0909090909090908E-2</v>
      </c>
      <c r="X8" s="5">
        <f>IFERROR(IF(OR($B8="MID",$B8="FWD"),INDEX(FIXTURE_ANALYSIS!$Q:$Q,MATCH($D8,FIXTURE_ANALYSIS!$A:$A,0)),INDEX(FIXTURE_ANALYSIS!$R:$R,MATCH($D8,FIXTURE_ANALYSIS!$A:$A,0))),1)</f>
        <v>1.0430363321799305</v>
      </c>
      <c r="Y8" s="5">
        <f t="shared" si="6"/>
        <v>1.0430363321799305</v>
      </c>
      <c r="Z8" s="8">
        <f>INDEX(FPL_Raw_Data!$T:$T,MATCH(A8,FPL_Raw_Data!$AA:$AA,0))</f>
        <v>3</v>
      </c>
      <c r="AA8" s="8">
        <f>INDEX(FPL_Raw_Data!$S:$S,MATCH(A8,FPL_Raw_Data!$AA:$AA,0))</f>
        <v>14</v>
      </c>
      <c r="AB8" s="2">
        <f t="shared" si="7"/>
        <v>1</v>
      </c>
      <c r="AC8" s="2">
        <f>INDEX(FPL_Raw_Data!$Q:$Q,MATCH(A8,FPL_Raw_Data!$AA:$AA,0))</f>
        <v>0</v>
      </c>
      <c r="AD8" s="8">
        <f>INDEX(FPL_Raw_Data!$R:$R,MATCH(A8,FPL_Raw_Data!$AA:$AA,0))</f>
        <v>35</v>
      </c>
      <c r="AE8" s="8">
        <f>INDEX(FPL_Raw_Data!$N:$N,MATCH(A8,FPL_Raw_Data!$AA:$AA,0))</f>
        <v>2</v>
      </c>
      <c r="AF8" s="8">
        <f>INDEX(FPL_Raw_Data!$L:$L,MATCH(A8,FPL_Raw_Data!$AA:$AA,0))</f>
        <v>0</v>
      </c>
      <c r="AG8" s="2">
        <f>INDEX(FPL_Raw_Data!$M:$M,MATCH(A8,FPL_Raw_Data!$AA:$AA,0))</f>
        <v>0</v>
      </c>
      <c r="AH8" s="2">
        <f t="shared" si="8"/>
        <v>0.31858407079646017</v>
      </c>
      <c r="AI8" s="2">
        <f t="shared" si="9"/>
        <v>0.27477876106194687</v>
      </c>
      <c r="AJ8" s="2">
        <f t="shared" si="10"/>
        <v>2</v>
      </c>
      <c r="AK8" s="2">
        <f t="shared" si="11"/>
        <v>2</v>
      </c>
      <c r="AL8" s="2">
        <f t="shared" si="12"/>
        <v>0.66666666666666663</v>
      </c>
      <c r="AM8" s="2">
        <f t="shared" si="13"/>
        <v>0.66666666666666663</v>
      </c>
      <c r="AN8" s="2">
        <f t="shared" si="14"/>
        <v>0</v>
      </c>
      <c r="AO8" s="3">
        <f t="shared" si="15"/>
        <v>61.4</v>
      </c>
      <c r="AP8">
        <f t="shared" si="16"/>
        <v>72.8</v>
      </c>
      <c r="AQ8">
        <f t="shared" si="17"/>
        <v>77.2</v>
      </c>
      <c r="AR8">
        <f t="shared" si="18"/>
        <v>80.400000000000006</v>
      </c>
      <c r="AS8" s="2">
        <f t="shared" si="19"/>
        <v>100</v>
      </c>
      <c r="AT8" s="2">
        <f>IFERROR(INDEX(Player_Model!$BC$2:$BC$596,MATCH($A8,Player_Model!$A$2:$A$596,0)),0)</f>
        <v>4.2470160751625192</v>
      </c>
      <c r="AU8" s="2">
        <f>Table8[[#This Row],[Model Expected Points]]*Table8[[#This Row],[Fixture Adjustment]]</f>
        <v>4.4297920697467186</v>
      </c>
      <c r="AV8" s="2">
        <f>Table8[[#This Row],[Fixture Adjusted Points / 90]]/Table8[[#This Row],[Price]]</f>
        <v>0.8054167399539488</v>
      </c>
      <c r="AW8">
        <f t="shared" si="20"/>
        <v>67.099999999999994</v>
      </c>
      <c r="AX8">
        <f t="shared" si="21"/>
        <v>1</v>
      </c>
      <c r="AY8" s="2">
        <f t="shared" si="22"/>
        <v>100</v>
      </c>
      <c r="AZ8" s="5">
        <f t="shared" si="23"/>
        <v>1.0430363321799305</v>
      </c>
      <c r="BA8">
        <f>Table8[[#This Row],[Model Score2]]</f>
        <v>4.2470160751625192</v>
      </c>
      <c r="BB8">
        <f>IFERROR(INDEX(Player_Model!$BG$2:$BG$596,MATCH($A8,Player_Model!$A$2:$A$596,0)),"")</f>
        <v>69</v>
      </c>
      <c r="BC8" t="str">
        <f t="shared" si="24"/>
        <v>AVOID</v>
      </c>
      <c r="BD8">
        <f>IF(H8=1,Table8[[#This Row],[Model Score]],-10000)</f>
        <v>4.2470160751625192</v>
      </c>
      <c r="BE8">
        <f>IFERROR(INDEX(Player_Model!$BF$2:$BF$596,MATCH($A8,Player_Model!$A$2:$A$596,0)),"")</f>
        <v>140</v>
      </c>
      <c r="BF8">
        <f>IFERROR(INDEX(Player_Model!$BG$2:$BG$596,MATCH($A8,Player_Model!$A$2:$A$596,0)),"")</f>
        <v>69</v>
      </c>
      <c r="BG8">
        <f>IFERROR(INDEX(Player_Model!$BE$2:$BE$596,MATCH($A8,Player_Model!$A$2:$A$596,0)),0)</f>
        <v>4.2470160751625192</v>
      </c>
    </row>
    <row r="9" spans="1:59" x14ac:dyDescent="0.25">
      <c r="A9" t="str">
        <f>tblPlayers[first_name]&amp;" "&amp;tblPlayers[second_name]</f>
        <v>Riccardo Calafiori</v>
      </c>
      <c r="B9" t="str">
        <f>_xlfn.SWITCH(tblPlayers[element_type],1,"GK",2,"DEF",3,"MID",4,"FWD")</f>
        <v>DEF</v>
      </c>
      <c r="C9">
        <f>tblPlayers[team]</f>
        <v>1</v>
      </c>
      <c r="D9" t="str">
        <f>INDEX(tblTeams[Column1.short_name],MATCH(C9,tblTeams[Column1.id],0))</f>
        <v>ARS</v>
      </c>
      <c r="E9" s="4">
        <f>INDEX(FPL_Raw_Data!$F:$F,MATCH(A9,FPL_Raw_Data!$AA:$AA,0))/10</f>
        <v>5.7</v>
      </c>
      <c r="F9" s="4" t="str">
        <f>tblPlayers[[#This Row],[status]]</f>
        <v>a</v>
      </c>
      <c r="G9" s="4" t="b">
        <f>tblPlayers[[#This Row],[can_select]]</f>
        <v>1</v>
      </c>
      <c r="H9">
        <f>IF(AND(Table8[[#This Row],[Availability Status]]="a",Table8[[#This Row],[Can Select]]=TRUE),1,0)</f>
        <v>1</v>
      </c>
      <c r="I9">
        <f>tblPlayers[minutes]</f>
        <v>236</v>
      </c>
      <c r="J9" s="2">
        <f>Table8[[#This Row],[Minutes]]/90</f>
        <v>2.6222222222222222</v>
      </c>
      <c r="K9" s="5">
        <f>IFERROR(Z9/(FIXTURE_ANALYSIS!$B$1-1),0)</f>
        <v>1</v>
      </c>
      <c r="L9">
        <f>tblPlayers[total_points]</f>
        <v>22</v>
      </c>
      <c r="M9">
        <f>tblPlayers[points_per_game]</f>
        <v>7.3</v>
      </c>
      <c r="N9">
        <f>tblPlayers[form]</f>
        <v>7.3</v>
      </c>
      <c r="O9">
        <f>tblPlayers[expected_goals]</f>
        <v>0.54</v>
      </c>
      <c r="P9">
        <f>tblPlayers[expected_assists]</f>
        <v>0.57999999999999996</v>
      </c>
      <c r="Q9">
        <f>tblPlayers[expected_goal_involvements]</f>
        <v>1.1200000000000001</v>
      </c>
      <c r="R9" s="2">
        <f t="shared" si="0"/>
        <v>8.3898305084745761</v>
      </c>
      <c r="S9" s="5">
        <f t="shared" si="1"/>
        <v>0.20593220338983054</v>
      </c>
      <c r="T9" s="5">
        <f t="shared" si="2"/>
        <v>0.22118644067796608</v>
      </c>
      <c r="U9" s="5">
        <f t="shared" si="3"/>
        <v>0.42711864406779665</v>
      </c>
      <c r="V9" s="3">
        <f t="shared" si="4"/>
        <v>3.8596491228070176</v>
      </c>
      <c r="W9" s="5">
        <f t="shared" si="5"/>
        <v>0.19649122807017544</v>
      </c>
      <c r="X9" s="5">
        <f>IFERROR(IF(OR($B9="MID",$B9="FWD"),INDEX(FIXTURE_ANALYSIS!$Q:$Q,MATCH($D9,FIXTURE_ANALYSIS!$A:$A,0)),INDEX(FIXTURE_ANALYSIS!$R:$R,MATCH($D9,FIXTURE_ANALYSIS!$A:$A,0))),1)</f>
        <v>1.1808551992225462</v>
      </c>
      <c r="Y9" s="5">
        <f t="shared" si="6"/>
        <v>1.1808551992225462</v>
      </c>
      <c r="Z9" s="8">
        <f>INDEX(FPL_Raw_Data!$T:$T,MATCH(A9,FPL_Raw_Data!$AA:$AA,0))</f>
        <v>3</v>
      </c>
      <c r="AA9" s="8">
        <f>INDEX(FPL_Raw_Data!$S:$S,MATCH(A9,FPL_Raw_Data!$AA:$AA,0))</f>
        <v>9</v>
      </c>
      <c r="AB9" s="2">
        <f t="shared" si="7"/>
        <v>0.9</v>
      </c>
      <c r="AC9" s="2">
        <f>INDEX(FPL_Raw_Data!$Q:$Q,MATCH(A9,FPL_Raw_Data!$AA:$AA,0))</f>
        <v>2</v>
      </c>
      <c r="AD9" s="8">
        <f>INDEX(FPL_Raw_Data!$R:$R,MATCH(A9,FPL_Raw_Data!$AA:$AA,0))</f>
        <v>61</v>
      </c>
      <c r="AE9" s="8">
        <f>INDEX(FPL_Raw_Data!$N:$N,MATCH(A9,FPL_Raw_Data!$AA:$AA,0))</f>
        <v>2</v>
      </c>
      <c r="AF9" s="8">
        <f>INDEX(FPL_Raw_Data!$L:$L,MATCH(A9,FPL_Raw_Data!$AA:$AA,0))</f>
        <v>0</v>
      </c>
      <c r="AG9" s="2">
        <f>INDEX(FPL_Raw_Data!$M:$M,MATCH(A9,FPL_Raw_Data!$AA:$AA,0))</f>
        <v>2</v>
      </c>
      <c r="AH9" s="2">
        <f t="shared" si="8"/>
        <v>1.2355932203389832</v>
      </c>
      <c r="AI9" s="2">
        <f t="shared" si="9"/>
        <v>0.66355932203389822</v>
      </c>
      <c r="AJ9" s="2">
        <f t="shared" si="10"/>
        <v>2</v>
      </c>
      <c r="AK9" s="2">
        <f t="shared" si="11"/>
        <v>1.8</v>
      </c>
      <c r="AL9" s="2">
        <f t="shared" si="12"/>
        <v>0.66666666666666663</v>
      </c>
      <c r="AM9" s="2">
        <f t="shared" si="13"/>
        <v>2.6666666666666665</v>
      </c>
      <c r="AN9" s="2">
        <f t="shared" si="14"/>
        <v>0.66666666666666663</v>
      </c>
      <c r="AO9" s="3">
        <f t="shared" si="15"/>
        <v>90.5</v>
      </c>
      <c r="AP9">
        <f t="shared" si="16"/>
        <v>89.5</v>
      </c>
      <c r="AQ9">
        <f t="shared" si="17"/>
        <v>98.1</v>
      </c>
      <c r="AR9">
        <f t="shared" si="18"/>
        <v>94.399999999999991</v>
      </c>
      <c r="AS9" s="2">
        <f t="shared" si="19"/>
        <v>100</v>
      </c>
      <c r="AT9" s="2">
        <f>IFERROR(INDEX(Player_Model!$BC$2:$BC$596,MATCH($A9,Player_Model!$A$2:$A$596,0)),0)</f>
        <v>8.1388646109651503</v>
      </c>
      <c r="AU9" s="2">
        <f>Table8[[#This Row],[Model Expected Points]]*Table8[[#This Row],[Fixture Adjustment]]</f>
        <v>9.6108205916265845</v>
      </c>
      <c r="AV9" s="2">
        <f>Table8[[#This Row],[Fixture Adjusted Points / 90]]/Table8[[#This Row],[Price]]</f>
        <v>1.6861088757239622</v>
      </c>
      <c r="AW9">
        <f t="shared" si="20"/>
        <v>89.5</v>
      </c>
      <c r="AX9">
        <f t="shared" si="21"/>
        <v>1.0404275996112731</v>
      </c>
      <c r="AY9" s="2">
        <f t="shared" si="22"/>
        <v>100</v>
      </c>
      <c r="AZ9" s="5">
        <f t="shared" si="23"/>
        <v>1.1808551992225462</v>
      </c>
      <c r="BA9">
        <f>Table8[[#This Row],[Model Score2]]</f>
        <v>8.1388646109651503</v>
      </c>
      <c r="BB9">
        <f>IFERROR(INDEX(Player_Model!$BG$2:$BG$596,MATCH($A9,Player_Model!$A$2:$A$596,0)),"")</f>
        <v>8</v>
      </c>
      <c r="BC9" t="str">
        <f t="shared" si="24"/>
        <v>CONSIDER</v>
      </c>
      <c r="BD9">
        <f>IF(H9=1,Table8[[#This Row],[Model Score]],-10000)</f>
        <v>8.1388646109651503</v>
      </c>
      <c r="BE9">
        <f>IFERROR(INDEX(Player_Model!$BF$2:$BF$596,MATCH($A9,Player_Model!$A$2:$A$596,0)),"")</f>
        <v>9</v>
      </c>
      <c r="BF9">
        <f>IFERROR(INDEX(Player_Model!$BG$2:$BG$596,MATCH($A9,Player_Model!$A$2:$A$596,0)),"")</f>
        <v>8</v>
      </c>
      <c r="BG9">
        <f>IFERROR(INDEX(Player_Model!$BE$2:$BE$596,MATCH($A9,Player_Model!$A$2:$A$596,0)),0)</f>
        <v>8.1388646109651503</v>
      </c>
    </row>
    <row r="10" spans="1:59" x14ac:dyDescent="0.25">
      <c r="A10" t="str">
        <f>tblPlayers[first_name]&amp;" "&amp;tblPlayers[second_name]</f>
        <v>Piero Hincapié</v>
      </c>
      <c r="B10" t="str">
        <f>_xlfn.SWITCH(tblPlayers[element_type],1,"GK",2,"DEF",3,"MID",4,"FWD")</f>
        <v>DEF</v>
      </c>
      <c r="C10">
        <f>tblPlayers[team]</f>
        <v>1</v>
      </c>
      <c r="D10" t="str">
        <f>INDEX(tblTeams[Column1.short_name],MATCH(C10,tblTeams[Column1.id],0))</f>
        <v>ARS</v>
      </c>
      <c r="E10" s="4">
        <f>INDEX(FPL_Raw_Data!$F:$F,MATCH(A10,FPL_Raw_Data!$AA:$AA,0))/10</f>
        <v>5.3</v>
      </c>
      <c r="F10" s="4" t="str">
        <f>tblPlayers[[#This Row],[status]]</f>
        <v>a</v>
      </c>
      <c r="G10" s="4" t="b">
        <f>tblPlayers[[#This Row],[can_select]]</f>
        <v>1</v>
      </c>
      <c r="H10">
        <f>IF(AND(Table8[[#This Row],[Availability Status]]="a",Table8[[#This Row],[Can Select]]=TRUE),1,0)</f>
        <v>1</v>
      </c>
      <c r="I10">
        <f>tblPlayers[minutes]</f>
        <v>32</v>
      </c>
      <c r="J10" s="2">
        <f>Table8[[#This Row],[Minutes]]/90</f>
        <v>0.35555555555555557</v>
      </c>
      <c r="K10" s="5">
        <f>IFERROR(Z10/(FIXTURE_ANALYSIS!$B$1-1),0)</f>
        <v>0</v>
      </c>
      <c r="L10">
        <f>tblPlayers[total_points]</f>
        <v>2</v>
      </c>
      <c r="M10">
        <f>tblPlayers[points_per_game]</f>
        <v>1</v>
      </c>
      <c r="N10">
        <f>tblPlayers[form]</f>
        <v>0.7</v>
      </c>
      <c r="O10">
        <f>tblPlayers[expected_goals]</f>
        <v>0</v>
      </c>
      <c r="P10">
        <f>tblPlayers[expected_assists]</f>
        <v>0</v>
      </c>
      <c r="Q10">
        <f>tblPlayers[expected_goal_involvements]</f>
        <v>0</v>
      </c>
      <c r="R10" s="2">
        <f t="shared" si="0"/>
        <v>5.625</v>
      </c>
      <c r="S10" s="5">
        <f t="shared" si="1"/>
        <v>0</v>
      </c>
      <c r="T10" s="5">
        <f t="shared" si="2"/>
        <v>0</v>
      </c>
      <c r="U10" s="5">
        <f t="shared" si="3"/>
        <v>0</v>
      </c>
      <c r="V10" s="3">
        <f t="shared" si="4"/>
        <v>0.37735849056603776</v>
      </c>
      <c r="W10" s="5">
        <f t="shared" si="5"/>
        <v>0</v>
      </c>
      <c r="X10" s="5">
        <f>IFERROR(IF(OR($B10="MID",$B10="FWD"),INDEX(FIXTURE_ANALYSIS!$Q:$Q,MATCH($D10,FIXTURE_ANALYSIS!$A:$A,0)),INDEX(FIXTURE_ANALYSIS!$R:$R,MATCH($D10,FIXTURE_ANALYSIS!$A:$A,0))),1)</f>
        <v>1.1808551992225462</v>
      </c>
      <c r="Y10" s="5">
        <f t="shared" si="6"/>
        <v>1.1808551992225462</v>
      </c>
      <c r="Z10" s="8">
        <f>INDEX(FPL_Raw_Data!$T:$T,MATCH(A10,FPL_Raw_Data!$AA:$AA,0))</f>
        <v>0</v>
      </c>
      <c r="AA10" s="8">
        <f>INDEX(FPL_Raw_Data!$S:$S,MATCH(A10,FPL_Raw_Data!$AA:$AA,0))</f>
        <v>3</v>
      </c>
      <c r="AB10" s="2">
        <f t="shared" si="7"/>
        <v>0.3</v>
      </c>
      <c r="AC10" s="2">
        <f>INDEX(FPL_Raw_Data!$Q:$Q,MATCH(A10,FPL_Raw_Data!$AA:$AA,0))</f>
        <v>0</v>
      </c>
      <c r="AD10" s="8">
        <f>INDEX(FPL_Raw_Data!$R:$R,MATCH(A10,FPL_Raw_Data!$AA:$AA,0))</f>
        <v>6</v>
      </c>
      <c r="AE10" s="8">
        <f>INDEX(FPL_Raw_Data!$N:$N,MATCH(A10,FPL_Raw_Data!$AA:$AA,0))</f>
        <v>0</v>
      </c>
      <c r="AF10" s="8">
        <f>INDEX(FPL_Raw_Data!$L:$L,MATCH(A10,FPL_Raw_Data!$AA:$AA,0))</f>
        <v>0</v>
      </c>
      <c r="AG10" s="2">
        <f>INDEX(FPL_Raw_Data!$M:$M,MATCH(A10,FPL_Raw_Data!$AA:$AA,0))</f>
        <v>0</v>
      </c>
      <c r="AH10" s="2">
        <f t="shared" si="8"/>
        <v>0</v>
      </c>
      <c r="AI10" s="2">
        <f t="shared" si="9"/>
        <v>0</v>
      </c>
      <c r="AJ10" s="2">
        <f t="shared" si="10"/>
        <v>0</v>
      </c>
      <c r="AK10" s="2">
        <f t="shared" si="11"/>
        <v>0.6</v>
      </c>
      <c r="AL10" s="2">
        <f t="shared" si="12"/>
        <v>0</v>
      </c>
      <c r="AM10" s="2">
        <f t="shared" si="13"/>
        <v>0</v>
      </c>
      <c r="AN10" s="2">
        <f t="shared" si="14"/>
        <v>0</v>
      </c>
      <c r="AO10" s="3">
        <f t="shared" si="15"/>
        <v>79.2</v>
      </c>
      <c r="AP10">
        <f t="shared" si="16"/>
        <v>0</v>
      </c>
      <c r="AQ10">
        <f t="shared" si="17"/>
        <v>53.1</v>
      </c>
      <c r="AR10">
        <f t="shared" si="18"/>
        <v>0</v>
      </c>
      <c r="AS10" s="2">
        <f t="shared" si="19"/>
        <v>0</v>
      </c>
      <c r="AT10" s="2">
        <f>IFERROR(INDEX(Player_Model!$BC$2:$BC$596,MATCH($A10,Player_Model!$A$2:$A$596,0)),0)</f>
        <v>-0.19680919987042436</v>
      </c>
      <c r="AU10" s="2">
        <f>Table8[[#This Row],[Model Expected Points]]*Table8[[#This Row],[Fixture Adjustment]]</f>
        <v>-0.23240316692181986</v>
      </c>
      <c r="AV10" s="2">
        <f>Table8[[#This Row],[Fixture Adjusted Points / 90]]/Table8[[#This Row],[Price]]</f>
        <v>-4.3849654136192427E-2</v>
      </c>
      <c r="AW10">
        <f t="shared" si="20"/>
        <v>0</v>
      </c>
      <c r="AX10">
        <f t="shared" si="21"/>
        <v>0.74042759961127314</v>
      </c>
      <c r="AY10" s="2">
        <f t="shared" si="22"/>
        <v>0</v>
      </c>
      <c r="AZ10" s="5">
        <f t="shared" si="23"/>
        <v>1.1808551992225462</v>
      </c>
      <c r="BA10">
        <f>Table8[[#This Row],[Model Score2]]</f>
        <v>-0.19680919987042436</v>
      </c>
      <c r="BB10">
        <f>IFERROR(INDEX(Player_Model!$BG$2:$BG$596,MATCH($A10,Player_Model!$A$2:$A$596,0)),"")</f>
        <v>107</v>
      </c>
      <c r="BC10" t="str">
        <f t="shared" si="24"/>
        <v>AVOID</v>
      </c>
      <c r="BD10">
        <f>IF(H10=1,Table8[[#This Row],[Model Score]],-10000)</f>
        <v>-0.19680919987042436</v>
      </c>
      <c r="BE10">
        <f>IFERROR(INDEX(Player_Model!$BF$2:$BF$596,MATCH($A10,Player_Model!$A$2:$A$596,0)),"")</f>
        <v>508</v>
      </c>
      <c r="BF10">
        <f>IFERROR(INDEX(Player_Model!$BG$2:$BG$596,MATCH($A10,Player_Model!$A$2:$A$596,0)),"")</f>
        <v>107</v>
      </c>
      <c r="BG10">
        <f>IFERROR(INDEX(Player_Model!$BE$2:$BE$596,MATCH($A10,Player_Model!$A$2:$A$596,0)),0)</f>
        <v>-0.19680919987042436</v>
      </c>
    </row>
    <row r="11" spans="1:59" x14ac:dyDescent="0.25">
      <c r="A11" t="str">
        <f>tblPlayers[first_name]&amp;" "&amp;tblPlayers[second_name]</f>
        <v>Benjamin White</v>
      </c>
      <c r="B11" t="str">
        <f>_xlfn.SWITCH(tblPlayers[element_type],1,"GK",2,"DEF",3,"MID",4,"FWD")</f>
        <v>DEF</v>
      </c>
      <c r="C11">
        <f>tblPlayers[team]</f>
        <v>1</v>
      </c>
      <c r="D11" t="str">
        <f>INDEX(tblTeams[Column1.short_name],MATCH(C11,tblTeams[Column1.id],0))</f>
        <v>ARS</v>
      </c>
      <c r="E11" s="4">
        <f>INDEX(FPL_Raw_Data!$F:$F,MATCH(A11,FPL_Raw_Data!$AA:$AA,0))/10</f>
        <v>5.5</v>
      </c>
      <c r="F11" s="4" t="str">
        <f>tblPlayers[[#This Row],[status]]</f>
        <v>a</v>
      </c>
      <c r="G11" s="4" t="b">
        <f>tblPlayers[[#This Row],[can_select]]</f>
        <v>1</v>
      </c>
      <c r="H11">
        <f>IF(AND(Table8[[#This Row],[Availability Status]]="a",Table8[[#This Row],[Can Select]]=TRUE),1,0)</f>
        <v>1</v>
      </c>
      <c r="I11">
        <f>tblPlayers[minutes]</f>
        <v>270</v>
      </c>
      <c r="J11" s="2">
        <f>Table8[[#This Row],[Minutes]]/90</f>
        <v>3</v>
      </c>
      <c r="K11" s="5">
        <f>IFERROR(Z11/(FIXTURE_ANALYSIS!$B$1-1),0)</f>
        <v>1</v>
      </c>
      <c r="L11">
        <f>tblPlayers[total_points]</f>
        <v>20</v>
      </c>
      <c r="M11">
        <f>tblPlayers[points_per_game]</f>
        <v>6.7</v>
      </c>
      <c r="N11">
        <f>tblPlayers[form]</f>
        <v>6.7</v>
      </c>
      <c r="O11">
        <f>tblPlayers[expected_goals]</f>
        <v>0.18</v>
      </c>
      <c r="P11">
        <f>tblPlayers[expected_assists]</f>
        <v>0.28999999999999998</v>
      </c>
      <c r="Q11">
        <f>tblPlayers[expected_goal_involvements]</f>
        <v>0.47</v>
      </c>
      <c r="R11" s="2">
        <f t="shared" si="0"/>
        <v>6.6666666666666661</v>
      </c>
      <c r="S11" s="5">
        <f t="shared" si="1"/>
        <v>0.06</v>
      </c>
      <c r="T11" s="5">
        <f t="shared" si="2"/>
        <v>9.6666666666666665E-2</v>
      </c>
      <c r="U11" s="5">
        <f t="shared" si="3"/>
        <v>0.15666666666666665</v>
      </c>
      <c r="V11" s="3">
        <f t="shared" si="4"/>
        <v>3.6363636363636362</v>
      </c>
      <c r="W11" s="5">
        <f t="shared" si="5"/>
        <v>8.545454545454545E-2</v>
      </c>
      <c r="X11" s="5">
        <f>IFERROR(IF(OR($B11="MID",$B11="FWD"),INDEX(FIXTURE_ANALYSIS!$Q:$Q,MATCH($D11,FIXTURE_ANALYSIS!$A:$A,0)),INDEX(FIXTURE_ANALYSIS!$R:$R,MATCH($D11,FIXTURE_ANALYSIS!$A:$A,0))),1)</f>
        <v>1.1808551992225462</v>
      </c>
      <c r="Y11" s="5">
        <f t="shared" si="6"/>
        <v>1.1808551992225462</v>
      </c>
      <c r="Z11" s="8">
        <f>INDEX(FPL_Raw_Data!$T:$T,MATCH(A11,FPL_Raw_Data!$AA:$AA,0))</f>
        <v>3</v>
      </c>
      <c r="AA11" s="8">
        <f>INDEX(FPL_Raw_Data!$S:$S,MATCH(A11,FPL_Raw_Data!$AA:$AA,0))</f>
        <v>15</v>
      </c>
      <c r="AB11" s="2">
        <f t="shared" si="7"/>
        <v>1</v>
      </c>
      <c r="AC11" s="2">
        <f>INDEX(FPL_Raw_Data!$Q:$Q,MATCH(A11,FPL_Raw_Data!$AA:$AA,0))</f>
        <v>3</v>
      </c>
      <c r="AD11" s="8">
        <f>INDEX(FPL_Raw_Data!$R:$R,MATCH(A11,FPL_Raw_Data!$AA:$AA,0))</f>
        <v>74</v>
      </c>
      <c r="AE11" s="8">
        <f>INDEX(FPL_Raw_Data!$N:$N,MATCH(A11,FPL_Raw_Data!$AA:$AA,0))</f>
        <v>2</v>
      </c>
      <c r="AF11" s="8">
        <f>INDEX(FPL_Raw_Data!$L:$L,MATCH(A11,FPL_Raw_Data!$AA:$AA,0))</f>
        <v>0</v>
      </c>
      <c r="AG11" s="2">
        <f>INDEX(FPL_Raw_Data!$M:$M,MATCH(A11,FPL_Raw_Data!$AA:$AA,0))</f>
        <v>1</v>
      </c>
      <c r="AH11" s="2">
        <f t="shared" si="8"/>
        <v>0.36</v>
      </c>
      <c r="AI11" s="2">
        <f t="shared" si="9"/>
        <v>0.28999999999999998</v>
      </c>
      <c r="AJ11" s="2">
        <f t="shared" si="10"/>
        <v>2</v>
      </c>
      <c r="AK11" s="2">
        <f t="shared" si="11"/>
        <v>2</v>
      </c>
      <c r="AL11" s="2">
        <f t="shared" si="12"/>
        <v>0.66666666666666663</v>
      </c>
      <c r="AM11" s="2">
        <f t="shared" si="13"/>
        <v>2.6666666666666665</v>
      </c>
      <c r="AN11" s="2">
        <f t="shared" si="14"/>
        <v>1</v>
      </c>
      <c r="AO11" s="3">
        <f t="shared" si="15"/>
        <v>84.8</v>
      </c>
      <c r="AP11">
        <f t="shared" si="16"/>
        <v>73</v>
      </c>
      <c r="AQ11">
        <f t="shared" si="17"/>
        <v>97.6</v>
      </c>
      <c r="AR11">
        <f t="shared" si="18"/>
        <v>82.8</v>
      </c>
      <c r="AS11" s="2">
        <f t="shared" si="19"/>
        <v>100</v>
      </c>
      <c r="AT11" s="2">
        <f>IFERROR(INDEX(Player_Model!$BC$2:$BC$596,MATCH($A11,Player_Model!$A$2:$A$596,0)),0)</f>
        <v>7.2527706231935127</v>
      </c>
      <c r="AU11" s="2">
        <f>Table8[[#This Row],[Model Expected Points]]*Table8[[#This Row],[Fixture Adjustment]]</f>
        <v>8.5644718991666053</v>
      </c>
      <c r="AV11" s="2">
        <f>Table8[[#This Row],[Fixture Adjusted Points / 90]]/Table8[[#This Row],[Price]]</f>
        <v>1.5571767089393829</v>
      </c>
      <c r="AW11">
        <f t="shared" si="20"/>
        <v>73</v>
      </c>
      <c r="AX11">
        <f t="shared" si="21"/>
        <v>1.0904275996112731</v>
      </c>
      <c r="AY11" s="2">
        <f t="shared" si="22"/>
        <v>100</v>
      </c>
      <c r="AZ11" s="5">
        <f t="shared" si="23"/>
        <v>1.1808551992225462</v>
      </c>
      <c r="BA11">
        <f>Table8[[#This Row],[Model Score2]]</f>
        <v>7.2527706231935127</v>
      </c>
      <c r="BB11">
        <f>IFERROR(INDEX(Player_Model!$BG$2:$BG$596,MATCH($A11,Player_Model!$A$2:$A$596,0)),"")</f>
        <v>9</v>
      </c>
      <c r="BC11" t="str">
        <f t="shared" si="24"/>
        <v>CONSIDER</v>
      </c>
      <c r="BD11">
        <f>IF(H11=1,Table8[[#This Row],[Model Score]],-10000)</f>
        <v>7.2527706231935127</v>
      </c>
      <c r="BE11">
        <f>IFERROR(INDEX(Player_Model!$BF$2:$BF$596,MATCH($A11,Player_Model!$A$2:$A$596,0)),"")</f>
        <v>17</v>
      </c>
      <c r="BF11">
        <f>IFERROR(INDEX(Player_Model!$BG$2:$BG$596,MATCH($A11,Player_Model!$A$2:$A$596,0)),"")</f>
        <v>9</v>
      </c>
      <c r="BG11">
        <f>IFERROR(INDEX(Player_Model!$BE$2:$BE$596,MATCH($A11,Player_Model!$A$2:$A$596,0)),0)</f>
        <v>7.2527706231935127</v>
      </c>
    </row>
    <row r="12" spans="1:59" x14ac:dyDescent="0.25">
      <c r="A12" t="str">
        <f>tblPlayers[first_name]&amp;" "&amp;tblPlayers[second_name]</f>
        <v>Cristhian Mosquera</v>
      </c>
      <c r="B12" t="str">
        <f>_xlfn.SWITCH(tblPlayers[element_type],1,"GK",2,"DEF",3,"MID",4,"FWD")</f>
        <v>DEF</v>
      </c>
      <c r="C12">
        <f>tblPlayers[team]</f>
        <v>1</v>
      </c>
      <c r="D12" t="str">
        <f>INDEX(tblTeams[Column1.short_name],MATCH(C12,tblTeams[Column1.id],0))</f>
        <v>ARS</v>
      </c>
      <c r="E12" s="4">
        <f>INDEX(FPL_Raw_Data!$F:$F,MATCH(A12,FPL_Raw_Data!$AA:$AA,0))/10</f>
        <v>5.4</v>
      </c>
      <c r="F12" s="4" t="str">
        <f>tblPlayers[[#This Row],[status]]</f>
        <v>d</v>
      </c>
      <c r="G12" s="4" t="b">
        <f>tblPlayers[[#This Row],[can_select]]</f>
        <v>1</v>
      </c>
      <c r="H12">
        <f>IF(AND(Table8[[#This Row],[Availability Status]]="a",Table8[[#This Row],[Can Select]]=TRUE),1,0)</f>
        <v>0</v>
      </c>
      <c r="I12">
        <f>tblPlayers[minutes]</f>
        <v>168</v>
      </c>
      <c r="J12" s="2">
        <f>Table8[[#This Row],[Minutes]]/90</f>
        <v>1.8666666666666667</v>
      </c>
      <c r="K12" s="5">
        <f>IFERROR(Z12/(FIXTURE_ANALYSIS!$B$1-1),0)</f>
        <v>0.66666666666666663</v>
      </c>
      <c r="L12">
        <f>tblPlayers[total_points]</f>
        <v>12</v>
      </c>
      <c r="M12">
        <f>tblPlayers[points_per_game]</f>
        <v>6</v>
      </c>
      <c r="N12">
        <f>tblPlayers[form]</f>
        <v>4</v>
      </c>
      <c r="O12">
        <f>tblPlayers[expected_goals]</f>
        <v>0</v>
      </c>
      <c r="P12">
        <f>tblPlayers[expected_assists]</f>
        <v>0.01</v>
      </c>
      <c r="Q12">
        <f>tblPlayers[expected_goal_involvements]</f>
        <v>0.01</v>
      </c>
      <c r="R12" s="2">
        <f t="shared" si="0"/>
        <v>6.4285714285714279</v>
      </c>
      <c r="S12" s="5">
        <f t="shared" si="1"/>
        <v>0</v>
      </c>
      <c r="T12" s="5">
        <f t="shared" si="2"/>
        <v>5.3571428571428572E-3</v>
      </c>
      <c r="U12" s="5">
        <f t="shared" si="3"/>
        <v>5.3571428571428572E-3</v>
      </c>
      <c r="V12" s="3">
        <f t="shared" si="4"/>
        <v>2.2222222222222219</v>
      </c>
      <c r="W12" s="5">
        <f t="shared" si="5"/>
        <v>1.8518518518518517E-3</v>
      </c>
      <c r="X12" s="5">
        <f>IFERROR(IF(OR($B12="MID",$B12="FWD"),INDEX(FIXTURE_ANALYSIS!$Q:$Q,MATCH($D12,FIXTURE_ANALYSIS!$A:$A,0)),INDEX(FIXTURE_ANALYSIS!$R:$R,MATCH($D12,FIXTURE_ANALYSIS!$A:$A,0))),1)</f>
        <v>1.1808551992225462</v>
      </c>
      <c r="Y12" s="5">
        <f t="shared" si="6"/>
        <v>1.1808551992225462</v>
      </c>
      <c r="Z12" s="8">
        <f>INDEX(FPL_Raw_Data!$T:$T,MATCH(A12,FPL_Raw_Data!$AA:$AA,0))</f>
        <v>2</v>
      </c>
      <c r="AA12" s="8">
        <f>INDEX(FPL_Raw_Data!$S:$S,MATCH(A12,FPL_Raw_Data!$AA:$AA,0))</f>
        <v>10</v>
      </c>
      <c r="AB12" s="2">
        <f t="shared" si="7"/>
        <v>1</v>
      </c>
      <c r="AC12" s="2">
        <f>INDEX(FPL_Raw_Data!$Q:$Q,MATCH(A12,FPL_Raw_Data!$AA:$AA,0))</f>
        <v>0</v>
      </c>
      <c r="AD12" s="8">
        <f>INDEX(FPL_Raw_Data!$R:$R,MATCH(A12,FPL_Raw_Data!$AA:$AA,0))</f>
        <v>52</v>
      </c>
      <c r="AE12" s="8">
        <f>INDEX(FPL_Raw_Data!$N:$N,MATCH(A12,FPL_Raw_Data!$AA:$AA,0))</f>
        <v>2</v>
      </c>
      <c r="AF12" s="8">
        <f>INDEX(FPL_Raw_Data!$L:$L,MATCH(A12,FPL_Raw_Data!$AA:$AA,0))</f>
        <v>0</v>
      </c>
      <c r="AG12" s="2">
        <f>INDEX(FPL_Raw_Data!$M:$M,MATCH(A12,FPL_Raw_Data!$AA:$AA,0))</f>
        <v>0</v>
      </c>
      <c r="AH12" s="2">
        <f t="shared" si="8"/>
        <v>0</v>
      </c>
      <c r="AI12" s="2">
        <f t="shared" si="9"/>
        <v>1.607142857142857E-2</v>
      </c>
      <c r="AJ12" s="2">
        <f t="shared" si="10"/>
        <v>1.3333333333333333</v>
      </c>
      <c r="AK12" s="2">
        <f t="shared" si="11"/>
        <v>2</v>
      </c>
      <c r="AL12" s="2">
        <f t="shared" si="12"/>
        <v>1</v>
      </c>
      <c r="AM12" s="2">
        <f t="shared" si="13"/>
        <v>4</v>
      </c>
      <c r="AN12" s="2">
        <f t="shared" si="14"/>
        <v>0</v>
      </c>
      <c r="AO12" s="3">
        <f t="shared" si="15"/>
        <v>83.1</v>
      </c>
      <c r="AP12">
        <f t="shared" si="16"/>
        <v>51.800000000000004</v>
      </c>
      <c r="AQ12">
        <f t="shared" si="17"/>
        <v>89</v>
      </c>
      <c r="AR12">
        <f t="shared" si="18"/>
        <v>51.300000000000004</v>
      </c>
      <c r="AS12" s="2">
        <f t="shared" si="19"/>
        <v>66.666666666666657</v>
      </c>
      <c r="AT12" s="2">
        <f>IFERROR(INDEX(Player_Model!$BC$2:$BC$596,MATCH($A12,Player_Model!$A$2:$A$596,0)),0)</f>
        <v>8.2822420018347476</v>
      </c>
      <c r="AU12" s="2">
        <f>Table8[[#This Row],[Model Expected Points]]*Table8[[#This Row],[Fixture Adjustment]]</f>
        <v>9.7801285290859106</v>
      </c>
      <c r="AV12" s="2">
        <f>Table8[[#This Row],[Fixture Adjusted Points / 90]]/Table8[[#This Row],[Price]]</f>
        <v>1.8111349127936871</v>
      </c>
      <c r="AW12">
        <f t="shared" si="20"/>
        <v>51.800000000000004</v>
      </c>
      <c r="AX12">
        <f t="shared" si="21"/>
        <v>1.0904275996112731</v>
      </c>
      <c r="AY12" s="2">
        <f t="shared" si="22"/>
        <v>66.666666666666657</v>
      </c>
      <c r="AZ12" s="5">
        <f t="shared" si="23"/>
        <v>1.1808551992225462</v>
      </c>
      <c r="BA12">
        <f>Table8[[#This Row],[Model Score2]]</f>
        <v>8.2822420018347476</v>
      </c>
      <c r="BB12">
        <f>IFERROR(INDEX(Player_Model!$BG$2:$BG$596,MATCH($A12,Player_Model!$A$2:$A$596,0)),"")</f>
        <v>5</v>
      </c>
      <c r="BC12" t="str">
        <f t="shared" si="24"/>
        <v>STRONG PICK</v>
      </c>
      <c r="BD12">
        <f>IF(H12=1,Table8[[#This Row],[Model Score]],-10000)</f>
        <v>-10000</v>
      </c>
      <c r="BE12">
        <f>IFERROR(INDEX(Player_Model!$BF$2:$BF$596,MATCH($A12,Player_Model!$A$2:$A$596,0)),"")</f>
        <v>6</v>
      </c>
      <c r="BF12">
        <f>IFERROR(INDEX(Player_Model!$BG$2:$BG$596,MATCH($A12,Player_Model!$A$2:$A$596,0)),"")</f>
        <v>5</v>
      </c>
      <c r="BG12">
        <f>IFERROR(INDEX(Player_Model!$BE$2:$BE$596,MATCH($A12,Player_Model!$A$2:$A$596,0)),0)</f>
        <v>8.2822420018347476</v>
      </c>
    </row>
    <row r="13" spans="1:59" x14ac:dyDescent="0.25">
      <c r="A13" t="str">
        <f>tblPlayers[first_name]&amp;" "&amp;tblPlayers[second_name]</f>
        <v>Bukayo Saka</v>
      </c>
      <c r="B13" t="str">
        <f>_xlfn.SWITCH(tblPlayers[element_type],1,"GK",2,"DEF",3,"MID",4,"FWD")</f>
        <v>MID</v>
      </c>
      <c r="C13">
        <f>tblPlayers[team]</f>
        <v>1</v>
      </c>
      <c r="D13" t="str">
        <f>INDEX(tblTeams[Column1.short_name],MATCH(C13,tblTeams[Column1.id],0))</f>
        <v>ARS</v>
      </c>
      <c r="E13" s="4">
        <f>INDEX(FPL_Raw_Data!$F:$F,MATCH(A13,FPL_Raw_Data!$AA:$AA,0))/10</f>
        <v>9.5</v>
      </c>
      <c r="F13" s="4" t="str">
        <f>tblPlayers[[#This Row],[status]]</f>
        <v>a</v>
      </c>
      <c r="G13" s="4" t="b">
        <f>tblPlayers[[#This Row],[can_select]]</f>
        <v>1</v>
      </c>
      <c r="H13">
        <f>IF(AND(Table8[[#This Row],[Availability Status]]="a",Table8[[#This Row],[Can Select]]=TRUE),1,0)</f>
        <v>1</v>
      </c>
      <c r="I13">
        <f>tblPlayers[minutes]</f>
        <v>246</v>
      </c>
      <c r="J13" s="2">
        <f>Table8[[#This Row],[Minutes]]/90</f>
        <v>2.7333333333333334</v>
      </c>
      <c r="K13" s="5">
        <f>IFERROR(Z13/(FIXTURE_ANALYSIS!$B$1-1),0)</f>
        <v>1</v>
      </c>
      <c r="L13">
        <f>tblPlayers[total_points]</f>
        <v>22</v>
      </c>
      <c r="M13">
        <f>tblPlayers[points_per_game]</f>
        <v>7.3</v>
      </c>
      <c r="N13">
        <f>tblPlayers[form]</f>
        <v>7.3</v>
      </c>
      <c r="O13">
        <f>tblPlayers[expected_goals]</f>
        <v>1.5</v>
      </c>
      <c r="P13">
        <f>tblPlayers[expected_assists]</f>
        <v>0.35</v>
      </c>
      <c r="Q13">
        <f>tblPlayers[expected_goal_involvements]</f>
        <v>1.85</v>
      </c>
      <c r="R13" s="2">
        <f t="shared" si="0"/>
        <v>8.0487804878048781</v>
      </c>
      <c r="S13" s="5">
        <f t="shared" si="1"/>
        <v>0.54878048780487809</v>
      </c>
      <c r="T13" s="5">
        <f t="shared" si="2"/>
        <v>0.12804878048780488</v>
      </c>
      <c r="U13" s="5">
        <f t="shared" si="3"/>
        <v>0.67682926829268297</v>
      </c>
      <c r="V13" s="3">
        <f t="shared" si="4"/>
        <v>2.3157894736842106</v>
      </c>
      <c r="W13" s="5">
        <f t="shared" si="5"/>
        <v>0.19473684210526318</v>
      </c>
      <c r="X13" s="5">
        <f>IFERROR(IF(OR($B13="MID",$B13="FWD"),INDEX(FIXTURE_ANALYSIS!$Q:$Q,MATCH($D13,FIXTURE_ANALYSIS!$A:$A,0)),INDEX(FIXTURE_ANALYSIS!$R:$R,MATCH($D13,FIXTURE_ANALYSIS!$A:$A,0))),1)</f>
        <v>1.0430363321799305</v>
      </c>
      <c r="Y13" s="5">
        <f t="shared" si="6"/>
        <v>1.0430363321799305</v>
      </c>
      <c r="Z13" s="8">
        <f>INDEX(FPL_Raw_Data!$T:$T,MATCH(A13,FPL_Raw_Data!$AA:$AA,0))</f>
        <v>3</v>
      </c>
      <c r="AA13" s="8">
        <f>INDEX(FPL_Raw_Data!$S:$S,MATCH(A13,FPL_Raw_Data!$AA:$AA,0))</f>
        <v>22</v>
      </c>
      <c r="AB13" s="2">
        <f t="shared" si="7"/>
        <v>1</v>
      </c>
      <c r="AC13" s="2">
        <f>INDEX(FPL_Raw_Data!$Q:$Q,MATCH(A13,FPL_Raw_Data!$AA:$AA,0))</f>
        <v>4</v>
      </c>
      <c r="AD13" s="8">
        <f>INDEX(FPL_Raw_Data!$R:$R,MATCH(A13,FPL_Raw_Data!$AA:$AA,0))</f>
        <v>95</v>
      </c>
      <c r="AE13" s="8">
        <f>INDEX(FPL_Raw_Data!$N:$N,MATCH(A13,FPL_Raw_Data!$AA:$AA,0))</f>
        <v>2</v>
      </c>
      <c r="AF13" s="8">
        <f>INDEX(FPL_Raw_Data!$L:$L,MATCH(A13,FPL_Raw_Data!$AA:$AA,0))</f>
        <v>2</v>
      </c>
      <c r="AG13" s="2">
        <f>INDEX(FPL_Raw_Data!$M:$M,MATCH(A13,FPL_Raw_Data!$AA:$AA,0))</f>
        <v>0</v>
      </c>
      <c r="AH13" s="2">
        <f t="shared" si="8"/>
        <v>2.7439024390243905</v>
      </c>
      <c r="AI13" s="2">
        <f t="shared" si="9"/>
        <v>0.38414634146341464</v>
      </c>
      <c r="AJ13" s="2">
        <f t="shared" si="10"/>
        <v>2</v>
      </c>
      <c r="AK13" s="2">
        <f t="shared" si="11"/>
        <v>2</v>
      </c>
      <c r="AL13" s="2">
        <f t="shared" si="12"/>
        <v>0.66666666666666663</v>
      </c>
      <c r="AM13" s="2">
        <f t="shared" si="13"/>
        <v>0.66666666666666663</v>
      </c>
      <c r="AN13" s="2">
        <f t="shared" si="14"/>
        <v>1.3333333333333333</v>
      </c>
      <c r="AO13" s="3">
        <f t="shared" si="15"/>
        <v>89.5</v>
      </c>
      <c r="AP13">
        <f t="shared" si="16"/>
        <v>95.199999999999989</v>
      </c>
      <c r="AQ13">
        <f t="shared" si="17"/>
        <v>90.2</v>
      </c>
      <c r="AR13">
        <f t="shared" si="18"/>
        <v>94.199999999999989</v>
      </c>
      <c r="AS13" s="2">
        <f t="shared" si="19"/>
        <v>100</v>
      </c>
      <c r="AT13" s="2">
        <f>IFERROR(INDEX(Player_Model!$BC$2:$BC$596,MATCH($A13,Player_Model!$A$2:$A$596,0)),0)</f>
        <v>7.3785097207058286</v>
      </c>
      <c r="AU13" s="2">
        <f>Table8[[#This Row],[Model Expected Points]]*Table8[[#This Row],[Fixture Adjustment]]</f>
        <v>7.6960537160389713</v>
      </c>
      <c r="AV13" s="2">
        <f>Table8[[#This Row],[Fixture Adjusted Points / 90]]/Table8[[#This Row],[Price]]</f>
        <v>0.81011091747778641</v>
      </c>
      <c r="AW13">
        <f t="shared" si="20"/>
        <v>92.35</v>
      </c>
      <c r="AX13">
        <f t="shared" si="21"/>
        <v>1</v>
      </c>
      <c r="AY13" s="2">
        <f t="shared" si="22"/>
        <v>100</v>
      </c>
      <c r="AZ13" s="5">
        <f t="shared" si="23"/>
        <v>1.0430363321799305</v>
      </c>
      <c r="BA13">
        <f>Table8[[#This Row],[Model Score2]]</f>
        <v>7.3785097207058286</v>
      </c>
      <c r="BB13">
        <f>IFERROR(INDEX(Player_Model!$BG$2:$BG$596,MATCH($A13,Player_Model!$A$2:$A$596,0)),"")</f>
        <v>6</v>
      </c>
      <c r="BC13" t="str">
        <f t="shared" si="24"/>
        <v>CONSIDER</v>
      </c>
      <c r="BD13">
        <f>IF(H13=1,Table8[[#This Row],[Model Score]],-10000)</f>
        <v>7.3785097207058286</v>
      </c>
      <c r="BE13">
        <f>IFERROR(INDEX(Player_Model!$BF$2:$BF$596,MATCH($A13,Player_Model!$A$2:$A$596,0)),"")</f>
        <v>16</v>
      </c>
      <c r="BF13">
        <f>IFERROR(INDEX(Player_Model!$BG$2:$BG$596,MATCH($A13,Player_Model!$A$2:$A$596,0)),"")</f>
        <v>6</v>
      </c>
      <c r="BG13">
        <f>IFERROR(INDEX(Player_Model!$BE$2:$BE$596,MATCH($A13,Player_Model!$A$2:$A$596,0)),0)</f>
        <v>7.3785097207058286</v>
      </c>
    </row>
    <row r="14" spans="1:59" x14ac:dyDescent="0.25">
      <c r="A14" t="str">
        <f>tblPlayers[first_name]&amp;" "&amp;tblPlayers[second_name]</f>
        <v>Declan Rice</v>
      </c>
      <c r="B14" t="str">
        <f>_xlfn.SWITCH(tblPlayers[element_type],1,"GK",2,"DEF",3,"MID",4,"FWD")</f>
        <v>MID</v>
      </c>
      <c r="C14">
        <f>tblPlayers[team]</f>
        <v>1</v>
      </c>
      <c r="D14" t="str">
        <f>INDEX(tblTeams[Column1.short_name],MATCH(C14,tblTeams[Column1.id],0))</f>
        <v>ARS</v>
      </c>
      <c r="E14" s="4">
        <f>INDEX(FPL_Raw_Data!$F:$F,MATCH(A14,FPL_Raw_Data!$AA:$AA,0))/10</f>
        <v>7.4</v>
      </c>
      <c r="F14" s="4" t="str">
        <f>tblPlayers[[#This Row],[status]]</f>
        <v>a</v>
      </c>
      <c r="G14" s="4" t="b">
        <f>tblPlayers[[#This Row],[can_select]]</f>
        <v>1</v>
      </c>
      <c r="H14">
        <f>IF(AND(Table8[[#This Row],[Availability Status]]="a",Table8[[#This Row],[Can Select]]=TRUE),1,0)</f>
        <v>1</v>
      </c>
      <c r="I14">
        <f>tblPlayers[minutes]</f>
        <v>241</v>
      </c>
      <c r="J14" s="2">
        <f>Table8[[#This Row],[Minutes]]/90</f>
        <v>2.6777777777777776</v>
      </c>
      <c r="K14" s="5">
        <f>IFERROR(Z14/(FIXTURE_ANALYSIS!$B$1-1),0)</f>
        <v>1</v>
      </c>
      <c r="L14">
        <f>tblPlayers[total_points]</f>
        <v>13</v>
      </c>
      <c r="M14">
        <f>tblPlayers[points_per_game]</f>
        <v>4.3</v>
      </c>
      <c r="N14">
        <f>tblPlayers[form]</f>
        <v>4.3</v>
      </c>
      <c r="O14">
        <f>tblPlayers[expected_goals]</f>
        <v>0.1</v>
      </c>
      <c r="P14">
        <f>tblPlayers[expected_assists]</f>
        <v>0.26</v>
      </c>
      <c r="Q14">
        <f>tblPlayers[expected_goal_involvements]</f>
        <v>0.36</v>
      </c>
      <c r="R14" s="2">
        <f t="shared" si="0"/>
        <v>4.8547717842323657</v>
      </c>
      <c r="S14" s="5">
        <f t="shared" si="1"/>
        <v>3.7344398340248969E-2</v>
      </c>
      <c r="T14" s="5">
        <f t="shared" si="2"/>
        <v>9.7095435684647305E-2</v>
      </c>
      <c r="U14" s="5">
        <f t="shared" si="3"/>
        <v>0.13443983402489626</v>
      </c>
      <c r="V14" s="3">
        <f t="shared" si="4"/>
        <v>1.7567567567567566</v>
      </c>
      <c r="W14" s="5">
        <f t="shared" si="5"/>
        <v>4.8648648648648644E-2</v>
      </c>
      <c r="X14" s="5">
        <f>IFERROR(IF(OR($B14="MID",$B14="FWD"),INDEX(FIXTURE_ANALYSIS!$Q:$Q,MATCH($D14,FIXTURE_ANALYSIS!$A:$A,0)),INDEX(FIXTURE_ANALYSIS!$R:$R,MATCH($D14,FIXTURE_ANALYSIS!$A:$A,0))),1)</f>
        <v>1.0430363321799305</v>
      </c>
      <c r="Y14" s="5">
        <f t="shared" si="6"/>
        <v>1.0430363321799305</v>
      </c>
      <c r="Z14" s="8">
        <f>INDEX(FPL_Raw_Data!$T:$T,MATCH(A14,FPL_Raw_Data!$AA:$AA,0))</f>
        <v>3</v>
      </c>
      <c r="AA14" s="8">
        <f>INDEX(FPL_Raw_Data!$S:$S,MATCH(A14,FPL_Raw_Data!$AA:$AA,0))</f>
        <v>24</v>
      </c>
      <c r="AB14" s="2">
        <f t="shared" si="7"/>
        <v>1</v>
      </c>
      <c r="AC14" s="2">
        <f>INDEX(FPL_Raw_Data!$Q:$Q,MATCH(A14,FPL_Raw_Data!$AA:$AA,0))</f>
        <v>0</v>
      </c>
      <c r="AD14" s="8">
        <f>INDEX(FPL_Raw_Data!$R:$R,MATCH(A14,FPL_Raw_Data!$AA:$AA,0))</f>
        <v>51</v>
      </c>
      <c r="AE14" s="8">
        <f>INDEX(FPL_Raw_Data!$N:$N,MATCH(A14,FPL_Raw_Data!$AA:$AA,0))</f>
        <v>2</v>
      </c>
      <c r="AF14" s="8">
        <f>INDEX(FPL_Raw_Data!$L:$L,MATCH(A14,FPL_Raw_Data!$AA:$AA,0))</f>
        <v>0</v>
      </c>
      <c r="AG14" s="2">
        <f>INDEX(FPL_Raw_Data!$M:$M,MATCH(A14,FPL_Raw_Data!$AA:$AA,0))</f>
        <v>1</v>
      </c>
      <c r="AH14" s="2">
        <f t="shared" si="8"/>
        <v>0.18672199170124484</v>
      </c>
      <c r="AI14" s="2">
        <f t="shared" si="9"/>
        <v>0.29128630705394193</v>
      </c>
      <c r="AJ14" s="2">
        <f t="shared" si="10"/>
        <v>2</v>
      </c>
      <c r="AK14" s="2">
        <f t="shared" si="11"/>
        <v>2</v>
      </c>
      <c r="AL14" s="2">
        <f t="shared" si="12"/>
        <v>0.66666666666666663</v>
      </c>
      <c r="AM14" s="2">
        <f t="shared" si="13"/>
        <v>0.66666666666666663</v>
      </c>
      <c r="AN14" s="2">
        <f t="shared" si="14"/>
        <v>0</v>
      </c>
      <c r="AO14" s="3">
        <f t="shared" si="15"/>
        <v>74.7</v>
      </c>
      <c r="AP14">
        <f t="shared" si="16"/>
        <v>71.2</v>
      </c>
      <c r="AQ14">
        <f t="shared" si="17"/>
        <v>83.1</v>
      </c>
      <c r="AR14">
        <f t="shared" si="18"/>
        <v>75.2</v>
      </c>
      <c r="AS14" s="2">
        <f t="shared" si="19"/>
        <v>100</v>
      </c>
      <c r="AT14" s="2">
        <f>IFERROR(INDEX(Player_Model!$BC$2:$BC$596,MATCH($A14,Player_Model!$A$2:$A$596,0)),0)</f>
        <v>4.957880196263396</v>
      </c>
      <c r="AU14" s="2">
        <f>Table8[[#This Row],[Model Expected Points]]*Table8[[#This Row],[Fixture Adjustment]]</f>
        <v>5.1712491752980867</v>
      </c>
      <c r="AV14" s="2">
        <f>Table8[[#This Row],[Fixture Adjusted Points / 90]]/Table8[[#This Row],[Price]]</f>
        <v>0.69881745612136303</v>
      </c>
      <c r="AW14">
        <f t="shared" si="20"/>
        <v>72.95</v>
      </c>
      <c r="AX14">
        <f t="shared" si="21"/>
        <v>1</v>
      </c>
      <c r="AY14" s="2">
        <f t="shared" si="22"/>
        <v>100</v>
      </c>
      <c r="AZ14" s="5">
        <f t="shared" si="23"/>
        <v>1.0430363321799305</v>
      </c>
      <c r="BA14">
        <f>Table8[[#This Row],[Model Score2]]</f>
        <v>4.957880196263396</v>
      </c>
      <c r="BB14">
        <f>IFERROR(INDEX(Player_Model!$BG$2:$BG$596,MATCH($A14,Player_Model!$A$2:$A$596,0)),"")</f>
        <v>45</v>
      </c>
      <c r="BC14" t="str">
        <f t="shared" si="24"/>
        <v>AVOID</v>
      </c>
      <c r="BD14">
        <f>IF(H14=1,Table8[[#This Row],[Model Score]],-10000)</f>
        <v>4.957880196263396</v>
      </c>
      <c r="BE14">
        <f>IFERROR(INDEX(Player_Model!$BF$2:$BF$596,MATCH($A14,Player_Model!$A$2:$A$596,0)),"")</f>
        <v>97</v>
      </c>
      <c r="BF14">
        <f>IFERROR(INDEX(Player_Model!$BG$2:$BG$596,MATCH($A14,Player_Model!$A$2:$A$596,0)),"")</f>
        <v>45</v>
      </c>
      <c r="BG14">
        <f>IFERROR(INDEX(Player_Model!$BE$2:$BE$596,MATCH($A14,Player_Model!$A$2:$A$596,0)),0)</f>
        <v>4.957880196263396</v>
      </c>
    </row>
    <row r="15" spans="1:59" x14ac:dyDescent="0.25">
      <c r="A15" t="str">
        <f>tblPlayers[first_name]&amp;" "&amp;tblPlayers[second_name]</f>
        <v>Eberechi Eze</v>
      </c>
      <c r="B15" t="str">
        <f>_xlfn.SWITCH(tblPlayers[element_type],1,"GK",2,"DEF",3,"MID",4,"FWD")</f>
        <v>MID</v>
      </c>
      <c r="C15">
        <f>tblPlayers[team]</f>
        <v>1</v>
      </c>
      <c r="D15" t="str">
        <f>INDEX(tblTeams[Column1.short_name],MATCH(C15,tblTeams[Column1.id],0))</f>
        <v>ARS</v>
      </c>
      <c r="E15" s="4">
        <f>INDEX(FPL_Raw_Data!$F:$F,MATCH(A15,FPL_Raw_Data!$AA:$AA,0))/10</f>
        <v>6.4</v>
      </c>
      <c r="F15" s="4" t="str">
        <f>tblPlayers[[#This Row],[status]]</f>
        <v>a</v>
      </c>
      <c r="G15" s="4" t="b">
        <f>tblPlayers[[#This Row],[can_select]]</f>
        <v>1</v>
      </c>
      <c r="H15">
        <f>IF(AND(Table8[[#This Row],[Availability Status]]="a",Table8[[#This Row],[Can Select]]=TRUE),1,0)</f>
        <v>1</v>
      </c>
      <c r="I15">
        <f>tblPlayers[minutes]</f>
        <v>59</v>
      </c>
      <c r="J15" s="2">
        <f>Table8[[#This Row],[Minutes]]/90</f>
        <v>0.65555555555555556</v>
      </c>
      <c r="K15" s="5">
        <f>IFERROR(Z15/(FIXTURE_ANALYSIS!$B$1-1),0)</f>
        <v>0</v>
      </c>
      <c r="L15">
        <f>tblPlayers[total_points]</f>
        <v>2</v>
      </c>
      <c r="M15">
        <f>tblPlayers[points_per_game]</f>
        <v>1</v>
      </c>
      <c r="N15">
        <f>tblPlayers[form]</f>
        <v>0.7</v>
      </c>
      <c r="O15">
        <f>tblPlayers[expected_goals]</f>
        <v>0.04</v>
      </c>
      <c r="P15">
        <f>tblPlayers[expected_assists]</f>
        <v>7.0000000000000007E-2</v>
      </c>
      <c r="Q15">
        <f>tblPlayers[expected_goal_involvements]</f>
        <v>0.11</v>
      </c>
      <c r="R15" s="2">
        <f t="shared" si="0"/>
        <v>3.0508474576271185</v>
      </c>
      <c r="S15" s="5">
        <f t="shared" si="1"/>
        <v>6.1016949152542375E-2</v>
      </c>
      <c r="T15" s="5">
        <f t="shared" si="2"/>
        <v>0.10677966101694916</v>
      </c>
      <c r="U15" s="5">
        <f t="shared" si="3"/>
        <v>0.16779661016949154</v>
      </c>
      <c r="V15" s="3">
        <f t="shared" si="4"/>
        <v>0.3125</v>
      </c>
      <c r="W15" s="5">
        <f t="shared" si="5"/>
        <v>1.7187499999999998E-2</v>
      </c>
      <c r="X15" s="5">
        <f>IFERROR(IF(OR($B15="MID",$B15="FWD"),INDEX(FIXTURE_ANALYSIS!$Q:$Q,MATCH($D15,FIXTURE_ANALYSIS!$A:$A,0)),INDEX(FIXTURE_ANALYSIS!$R:$R,MATCH($D15,FIXTURE_ANALYSIS!$A:$A,0))),1)</f>
        <v>1.0430363321799305</v>
      </c>
      <c r="Y15" s="5">
        <f t="shared" si="6"/>
        <v>1.0430363321799305</v>
      </c>
      <c r="Z15" s="8">
        <f>INDEX(FPL_Raw_Data!$T:$T,MATCH(A15,FPL_Raw_Data!$AA:$AA,0))</f>
        <v>0</v>
      </c>
      <c r="AA15" s="8">
        <f>INDEX(FPL_Raw_Data!$S:$S,MATCH(A15,FPL_Raw_Data!$AA:$AA,0))</f>
        <v>5</v>
      </c>
      <c r="AB15" s="2">
        <f t="shared" si="7"/>
        <v>0.41666666666666669</v>
      </c>
      <c r="AC15" s="2">
        <f>INDEX(FPL_Raw_Data!$Q:$Q,MATCH(A15,FPL_Raw_Data!$AA:$AA,0))</f>
        <v>0</v>
      </c>
      <c r="AD15" s="8">
        <f>INDEX(FPL_Raw_Data!$R:$R,MATCH(A15,FPL_Raw_Data!$AA:$AA,0))</f>
        <v>10</v>
      </c>
      <c r="AE15" s="8">
        <f>INDEX(FPL_Raw_Data!$N:$N,MATCH(A15,FPL_Raw_Data!$AA:$AA,0))</f>
        <v>0</v>
      </c>
      <c r="AF15" s="8">
        <f>INDEX(FPL_Raw_Data!$L:$L,MATCH(A15,FPL_Raw_Data!$AA:$AA,0))</f>
        <v>0</v>
      </c>
      <c r="AG15" s="2">
        <f>INDEX(FPL_Raw_Data!$M:$M,MATCH(A15,FPL_Raw_Data!$AA:$AA,0))</f>
        <v>0</v>
      </c>
      <c r="AH15" s="2">
        <f t="shared" si="8"/>
        <v>0.30508474576271188</v>
      </c>
      <c r="AI15" s="2">
        <f t="shared" si="9"/>
        <v>0.32033898305084751</v>
      </c>
      <c r="AJ15" s="2">
        <f t="shared" si="10"/>
        <v>0</v>
      </c>
      <c r="AK15" s="2">
        <f t="shared" si="11"/>
        <v>0.83333333333333337</v>
      </c>
      <c r="AL15" s="2">
        <f t="shared" si="12"/>
        <v>0</v>
      </c>
      <c r="AM15" s="2">
        <f t="shared" si="13"/>
        <v>0</v>
      </c>
      <c r="AN15" s="2">
        <f t="shared" si="14"/>
        <v>0</v>
      </c>
      <c r="AO15" s="3">
        <f t="shared" si="15"/>
        <v>60.4</v>
      </c>
      <c r="AP15">
        <f t="shared" si="16"/>
        <v>74</v>
      </c>
      <c r="AQ15">
        <f t="shared" si="17"/>
        <v>50.1</v>
      </c>
      <c r="AR15">
        <f t="shared" si="18"/>
        <v>64.400000000000006</v>
      </c>
      <c r="AS15" s="2">
        <f t="shared" si="19"/>
        <v>0</v>
      </c>
      <c r="AT15" s="2">
        <f>IFERROR(INDEX(Player_Model!$BC$2:$BC$596,MATCH($A15,Player_Model!$A$2:$A$596,0)),0)</f>
        <v>0</v>
      </c>
      <c r="AU15" s="2">
        <f>Table8[[#This Row],[Model Expected Points]]*Table8[[#This Row],[Fixture Adjustment]]</f>
        <v>0</v>
      </c>
      <c r="AV15" s="2">
        <f>Table8[[#This Row],[Fixture Adjusted Points / 90]]/Table8[[#This Row],[Price]]</f>
        <v>0</v>
      </c>
      <c r="AW15">
        <f t="shared" si="20"/>
        <v>67.2</v>
      </c>
      <c r="AX15">
        <f t="shared" si="21"/>
        <v>0.41666666666666669</v>
      </c>
      <c r="AY15" s="2">
        <f t="shared" si="22"/>
        <v>0</v>
      </c>
      <c r="AZ15" s="5">
        <f t="shared" si="23"/>
        <v>1.0430363321799305</v>
      </c>
      <c r="BA15">
        <f>Table8[[#This Row],[Model Score2]]</f>
        <v>0</v>
      </c>
      <c r="BB15">
        <f>IFERROR(INDEX(Player_Model!$BG$2:$BG$596,MATCH($A15,Player_Model!$A$2:$A$596,0)),"")</f>
        <v>111</v>
      </c>
      <c r="BC15" t="str">
        <f t="shared" si="24"/>
        <v>AVOID</v>
      </c>
      <c r="BD15">
        <f>IF(H15=1,Table8[[#This Row],[Model Score]],-10000)</f>
        <v>0</v>
      </c>
      <c r="BE15">
        <f>IFERROR(INDEX(Player_Model!$BF$2:$BF$596,MATCH($A15,Player_Model!$A$2:$A$596,0)),"")</f>
        <v>253</v>
      </c>
      <c r="BF15">
        <f>IFERROR(INDEX(Player_Model!$BG$2:$BG$596,MATCH($A15,Player_Model!$A$2:$A$596,0)),"")</f>
        <v>111</v>
      </c>
      <c r="BG15">
        <f>IFERROR(INDEX(Player_Model!$BE$2:$BE$596,MATCH($A15,Player_Model!$A$2:$A$596,0)),0)</f>
        <v>0</v>
      </c>
    </row>
    <row r="16" spans="1:59" x14ac:dyDescent="0.25">
      <c r="A16" t="str">
        <f>tblPlayers[first_name]&amp;" "&amp;tblPlayers[second_name]</f>
        <v>Martin Ødegaard</v>
      </c>
      <c r="B16" t="str">
        <f>_xlfn.SWITCH(tblPlayers[element_type],1,"GK",2,"DEF",3,"MID",4,"FWD")</f>
        <v>MID</v>
      </c>
      <c r="C16">
        <f>tblPlayers[team]</f>
        <v>1</v>
      </c>
      <c r="D16" t="str">
        <f>INDEX(tblTeams[Column1.short_name],MATCH(C16,tblTeams[Column1.id],0))</f>
        <v>ARS</v>
      </c>
      <c r="E16" s="4">
        <f>INDEX(FPL_Raw_Data!$F:$F,MATCH(A16,FPL_Raw_Data!$AA:$AA,0))/10</f>
        <v>6.6</v>
      </c>
      <c r="F16" s="4" t="str">
        <f>tblPlayers[[#This Row],[status]]</f>
        <v>a</v>
      </c>
      <c r="G16" s="4" t="b">
        <f>tblPlayers[[#This Row],[can_select]]</f>
        <v>1</v>
      </c>
      <c r="H16">
        <f>IF(AND(Table8[[#This Row],[Availability Status]]="a",Table8[[#This Row],[Can Select]]=TRUE),1,0)</f>
        <v>1</v>
      </c>
      <c r="I16">
        <f>tblPlayers[minutes]</f>
        <v>221</v>
      </c>
      <c r="J16" s="2">
        <f>Table8[[#This Row],[Minutes]]/90</f>
        <v>2.4555555555555557</v>
      </c>
      <c r="K16" s="5">
        <f>IFERROR(Z16/(FIXTURE_ANALYSIS!$B$1-1),0)</f>
        <v>1</v>
      </c>
      <c r="L16">
        <f>tblPlayers[total_points]</f>
        <v>24</v>
      </c>
      <c r="M16">
        <f>tblPlayers[points_per_game]</f>
        <v>8</v>
      </c>
      <c r="N16">
        <f>tblPlayers[form]</f>
        <v>8</v>
      </c>
      <c r="O16">
        <f>tblPlayers[expected_goals]</f>
        <v>1.01</v>
      </c>
      <c r="P16">
        <f>tblPlayers[expected_assists]</f>
        <v>1.05</v>
      </c>
      <c r="Q16">
        <f>tblPlayers[expected_goal_involvements]</f>
        <v>2.06</v>
      </c>
      <c r="R16" s="2">
        <f t="shared" si="0"/>
        <v>9.7737556561085981</v>
      </c>
      <c r="S16" s="5">
        <f t="shared" si="1"/>
        <v>0.41131221719457017</v>
      </c>
      <c r="T16" s="5">
        <f t="shared" si="2"/>
        <v>0.42760180995475117</v>
      </c>
      <c r="U16" s="5">
        <f t="shared" si="3"/>
        <v>0.8389140271493214</v>
      </c>
      <c r="V16" s="3">
        <f t="shared" si="4"/>
        <v>3.6363636363636367</v>
      </c>
      <c r="W16" s="5">
        <f t="shared" si="5"/>
        <v>0.31212121212121213</v>
      </c>
      <c r="X16" s="5">
        <f>IFERROR(IF(OR($B16="MID",$B16="FWD"),INDEX(FIXTURE_ANALYSIS!$Q:$Q,MATCH($D16,FIXTURE_ANALYSIS!$A:$A,0)),INDEX(FIXTURE_ANALYSIS!$R:$R,MATCH($D16,FIXTURE_ANALYSIS!$A:$A,0))),1)</f>
        <v>1.0430363321799305</v>
      </c>
      <c r="Y16" s="5">
        <f t="shared" si="6"/>
        <v>1.0430363321799305</v>
      </c>
      <c r="Z16" s="8">
        <f>INDEX(FPL_Raw_Data!$T:$T,MATCH(A16,FPL_Raw_Data!$AA:$AA,0))</f>
        <v>3</v>
      </c>
      <c r="AA16" s="8">
        <f>INDEX(FPL_Raw_Data!$S:$S,MATCH(A16,FPL_Raw_Data!$AA:$AA,0))</f>
        <v>16</v>
      </c>
      <c r="AB16" s="2">
        <f t="shared" si="7"/>
        <v>1</v>
      </c>
      <c r="AC16" s="2">
        <f>INDEX(FPL_Raw_Data!$Q:$Q,MATCH(A16,FPL_Raw_Data!$AA:$AA,0))</f>
        <v>6</v>
      </c>
      <c r="AD16" s="8">
        <f>INDEX(FPL_Raw_Data!$R:$R,MATCH(A16,FPL_Raw_Data!$AA:$AA,0))</f>
        <v>101</v>
      </c>
      <c r="AE16" s="8">
        <f>INDEX(FPL_Raw_Data!$N:$N,MATCH(A16,FPL_Raw_Data!$AA:$AA,0))</f>
        <v>2</v>
      </c>
      <c r="AF16" s="8">
        <f>INDEX(FPL_Raw_Data!$L:$L,MATCH(A16,FPL_Raw_Data!$AA:$AA,0))</f>
        <v>2</v>
      </c>
      <c r="AG16" s="2">
        <f>INDEX(FPL_Raw_Data!$M:$M,MATCH(A16,FPL_Raw_Data!$AA:$AA,0))</f>
        <v>0</v>
      </c>
      <c r="AH16" s="2">
        <f t="shared" si="8"/>
        <v>2.0565610859728509</v>
      </c>
      <c r="AI16" s="2">
        <f t="shared" si="9"/>
        <v>1.2828054298642535</v>
      </c>
      <c r="AJ16" s="2">
        <f t="shared" si="10"/>
        <v>2</v>
      </c>
      <c r="AK16" s="2">
        <f t="shared" si="11"/>
        <v>2</v>
      </c>
      <c r="AL16" s="2">
        <f t="shared" si="12"/>
        <v>0.66666666666666663</v>
      </c>
      <c r="AM16" s="2">
        <f t="shared" si="13"/>
        <v>0.66666666666666663</v>
      </c>
      <c r="AN16" s="2">
        <f t="shared" si="14"/>
        <v>2</v>
      </c>
      <c r="AO16" s="3">
        <f t="shared" si="15"/>
        <v>92.7</v>
      </c>
      <c r="AP16">
        <f t="shared" si="16"/>
        <v>96.2</v>
      </c>
      <c r="AQ16">
        <f t="shared" si="17"/>
        <v>97.8</v>
      </c>
      <c r="AR16">
        <f t="shared" si="18"/>
        <v>99.3</v>
      </c>
      <c r="AS16" s="2">
        <f t="shared" si="19"/>
        <v>100</v>
      </c>
      <c r="AT16" s="2">
        <f>IFERROR(INDEX(Player_Model!$BC$2:$BC$596,MATCH($A16,Player_Model!$A$2:$A$596,0)),0)</f>
        <v>6.8862224690766149</v>
      </c>
      <c r="AU16" s="2">
        <f>Table8[[#This Row],[Model Expected Points]]*Table8[[#This Row],[Fixture Adjustment]]</f>
        <v>7.1825802267206971</v>
      </c>
      <c r="AV16" s="2">
        <f>Table8[[#This Row],[Fixture Adjusted Points / 90]]/Table8[[#This Row],[Price]]</f>
        <v>1.0882697313213179</v>
      </c>
      <c r="AW16">
        <f t="shared" si="20"/>
        <v>94.45</v>
      </c>
      <c r="AX16">
        <f t="shared" si="21"/>
        <v>1</v>
      </c>
      <c r="AY16" s="2">
        <f t="shared" si="22"/>
        <v>100</v>
      </c>
      <c r="AZ16" s="5">
        <f t="shared" si="23"/>
        <v>1.0430363321799305</v>
      </c>
      <c r="BA16">
        <f>Table8[[#This Row],[Model Score2]]</f>
        <v>6.8862224690766149</v>
      </c>
      <c r="BB16">
        <f>IFERROR(INDEX(Player_Model!$BG$2:$BG$596,MATCH($A16,Player_Model!$A$2:$A$596,0)),"")</f>
        <v>10</v>
      </c>
      <c r="BC16" t="str">
        <f t="shared" si="24"/>
        <v>CONSIDER</v>
      </c>
      <c r="BD16">
        <f>IF(H16=1,Table8[[#This Row],[Model Score]],-10000)</f>
        <v>6.8862224690766149</v>
      </c>
      <c r="BE16">
        <f>IFERROR(INDEX(Player_Model!$BF$2:$BF$596,MATCH($A16,Player_Model!$A$2:$A$596,0)),"")</f>
        <v>23</v>
      </c>
      <c r="BF16">
        <f>IFERROR(INDEX(Player_Model!$BG$2:$BG$596,MATCH($A16,Player_Model!$A$2:$A$596,0)),"")</f>
        <v>10</v>
      </c>
      <c r="BG16">
        <f>IFERROR(INDEX(Player_Model!$BE$2:$BE$596,MATCH($A16,Player_Model!$A$2:$A$596,0)),0)</f>
        <v>6.8862224690766149</v>
      </c>
    </row>
    <row r="17" spans="1:59" x14ac:dyDescent="0.25">
      <c r="A17" t="str">
        <f>tblPlayers[first_name]&amp;" "&amp;tblPlayers[second_name]</f>
        <v>Noni Madueke</v>
      </c>
      <c r="B17" t="str">
        <f>_xlfn.SWITCH(tblPlayers[element_type],1,"GK",2,"DEF",3,"MID",4,"FWD")</f>
        <v>MID</v>
      </c>
      <c r="C17">
        <f>tblPlayers[team]</f>
        <v>1</v>
      </c>
      <c r="D17" t="str">
        <f>INDEX(tblTeams[Column1.short_name],MATCH(C17,tblTeams[Column1.id],0))</f>
        <v>ARS</v>
      </c>
      <c r="E17" s="4">
        <f>INDEX(FPL_Raw_Data!$F:$F,MATCH(A17,FPL_Raw_Data!$AA:$AA,0))/10</f>
        <v>6.3</v>
      </c>
      <c r="F17" s="4" t="str">
        <f>tblPlayers[[#This Row],[status]]</f>
        <v>a</v>
      </c>
      <c r="G17" s="4" t="b">
        <f>tblPlayers[[#This Row],[can_select]]</f>
        <v>1</v>
      </c>
      <c r="H17">
        <f>IF(AND(Table8[[#This Row],[Availability Status]]="a",Table8[[#This Row],[Can Select]]=TRUE),1,0)</f>
        <v>1</v>
      </c>
      <c r="I17">
        <f>tblPlayers[minutes]</f>
        <v>23</v>
      </c>
      <c r="J17" s="2">
        <f>Table8[[#This Row],[Minutes]]/90</f>
        <v>0.25555555555555554</v>
      </c>
      <c r="K17" s="5">
        <f>IFERROR(Z17/(FIXTURE_ANALYSIS!$B$1-1),0)</f>
        <v>0</v>
      </c>
      <c r="L17">
        <f>tblPlayers[total_points]</f>
        <v>2</v>
      </c>
      <c r="M17">
        <f>tblPlayers[points_per_game]</f>
        <v>1</v>
      </c>
      <c r="N17">
        <f>tblPlayers[form]</f>
        <v>0.7</v>
      </c>
      <c r="O17">
        <f>tblPlayers[expected_goals]</f>
        <v>0</v>
      </c>
      <c r="P17">
        <f>tblPlayers[expected_assists]</f>
        <v>0.05</v>
      </c>
      <c r="Q17">
        <f>tblPlayers[expected_goal_involvements]</f>
        <v>0.05</v>
      </c>
      <c r="R17" s="2">
        <f t="shared" si="0"/>
        <v>7.8260869565217392</v>
      </c>
      <c r="S17" s="5">
        <f t="shared" si="1"/>
        <v>0</v>
      </c>
      <c r="T17" s="5">
        <f t="shared" si="2"/>
        <v>0.19565217391304349</v>
      </c>
      <c r="U17" s="5">
        <f t="shared" si="3"/>
        <v>0.19565217391304349</v>
      </c>
      <c r="V17" s="3">
        <f t="shared" si="4"/>
        <v>0.31746031746031744</v>
      </c>
      <c r="W17" s="5">
        <f t="shared" si="5"/>
        <v>7.9365079365079378E-3</v>
      </c>
      <c r="X17" s="5">
        <f>IFERROR(IF(OR($B17="MID",$B17="FWD"),INDEX(FIXTURE_ANALYSIS!$Q:$Q,MATCH($D17,FIXTURE_ANALYSIS!$A:$A,0)),INDEX(FIXTURE_ANALYSIS!$R:$R,MATCH($D17,FIXTURE_ANALYSIS!$A:$A,0))),1)</f>
        <v>1.0430363321799305</v>
      </c>
      <c r="Y17" s="5">
        <f t="shared" si="6"/>
        <v>1.0430363321799305</v>
      </c>
      <c r="Z17" s="8">
        <f>INDEX(FPL_Raw_Data!$T:$T,MATCH(A17,FPL_Raw_Data!$AA:$AA,0))</f>
        <v>0</v>
      </c>
      <c r="AA17" s="8">
        <f>INDEX(FPL_Raw_Data!$S:$S,MATCH(A17,FPL_Raw_Data!$AA:$AA,0))</f>
        <v>3</v>
      </c>
      <c r="AB17" s="2">
        <f t="shared" si="7"/>
        <v>0.25</v>
      </c>
      <c r="AC17" s="2">
        <f>INDEX(FPL_Raw_Data!$Q:$Q,MATCH(A17,FPL_Raw_Data!$AA:$AA,0))</f>
        <v>0</v>
      </c>
      <c r="AD17" s="8">
        <f>INDEX(FPL_Raw_Data!$R:$R,MATCH(A17,FPL_Raw_Data!$AA:$AA,0))</f>
        <v>11</v>
      </c>
      <c r="AE17" s="8">
        <f>INDEX(FPL_Raw_Data!$N:$N,MATCH(A17,FPL_Raw_Data!$AA:$AA,0))</f>
        <v>0</v>
      </c>
      <c r="AF17" s="8">
        <f>INDEX(FPL_Raw_Data!$L:$L,MATCH(A17,FPL_Raw_Data!$AA:$AA,0))</f>
        <v>0</v>
      </c>
      <c r="AG17" s="2">
        <f>INDEX(FPL_Raw_Data!$M:$M,MATCH(A17,FPL_Raw_Data!$AA:$AA,0))</f>
        <v>0</v>
      </c>
      <c r="AH17" s="2">
        <f t="shared" si="8"/>
        <v>0</v>
      </c>
      <c r="AI17" s="2">
        <f t="shared" si="9"/>
        <v>0.58695652173913049</v>
      </c>
      <c r="AJ17" s="2">
        <f t="shared" si="10"/>
        <v>0</v>
      </c>
      <c r="AK17" s="2">
        <f t="shared" si="11"/>
        <v>0.5</v>
      </c>
      <c r="AL17" s="2">
        <f t="shared" si="12"/>
        <v>0</v>
      </c>
      <c r="AM17" s="2">
        <f t="shared" si="13"/>
        <v>0</v>
      </c>
      <c r="AN17" s="2">
        <f t="shared" si="14"/>
        <v>0</v>
      </c>
      <c r="AO17" s="3">
        <f t="shared" si="15"/>
        <v>88.7</v>
      </c>
      <c r="AP17">
        <f t="shared" si="16"/>
        <v>76</v>
      </c>
      <c r="AQ17">
        <f t="shared" si="17"/>
        <v>50.6</v>
      </c>
      <c r="AR17">
        <f t="shared" si="18"/>
        <v>58.5</v>
      </c>
      <c r="AS17" s="2">
        <f t="shared" si="19"/>
        <v>0</v>
      </c>
      <c r="AT17" s="2">
        <f>IFERROR(INDEX(Player_Model!$BC$2:$BC$596,MATCH($A17,Player_Model!$A$2:$A$596,0)),0)</f>
        <v>0</v>
      </c>
      <c r="AU17" s="2">
        <f>Table8[[#This Row],[Model Expected Points]]*Table8[[#This Row],[Fixture Adjustment]]</f>
        <v>0</v>
      </c>
      <c r="AV17" s="2">
        <f>Table8[[#This Row],[Fixture Adjusted Points / 90]]/Table8[[#This Row],[Price]]</f>
        <v>0</v>
      </c>
      <c r="AW17">
        <f t="shared" si="20"/>
        <v>82.35</v>
      </c>
      <c r="AX17">
        <f t="shared" si="21"/>
        <v>0.25</v>
      </c>
      <c r="AY17" s="2">
        <f t="shared" si="22"/>
        <v>0</v>
      </c>
      <c r="AZ17" s="5">
        <f t="shared" si="23"/>
        <v>1.0430363321799305</v>
      </c>
      <c r="BA17">
        <f>Table8[[#This Row],[Model Score2]]</f>
        <v>0</v>
      </c>
      <c r="BB17">
        <f>IFERROR(INDEX(Player_Model!$BG$2:$BG$596,MATCH($A17,Player_Model!$A$2:$A$596,0)),"")</f>
        <v>112</v>
      </c>
      <c r="BC17" t="str">
        <f t="shared" si="24"/>
        <v>AVOID</v>
      </c>
      <c r="BD17">
        <f>IF(H17=1,Table8[[#This Row],[Model Score]],-10000)</f>
        <v>0</v>
      </c>
      <c r="BE17">
        <f>IFERROR(INDEX(Player_Model!$BF$2:$BF$596,MATCH($A17,Player_Model!$A$2:$A$596,0)),"")</f>
        <v>253</v>
      </c>
      <c r="BF17">
        <f>IFERROR(INDEX(Player_Model!$BG$2:$BG$596,MATCH($A17,Player_Model!$A$2:$A$596,0)),"")</f>
        <v>112</v>
      </c>
      <c r="BG17">
        <f>IFERROR(INDEX(Player_Model!$BE$2:$BE$596,MATCH($A17,Player_Model!$A$2:$A$596,0)),0)</f>
        <v>0</v>
      </c>
    </row>
    <row r="18" spans="1:59" x14ac:dyDescent="0.25">
      <c r="A18" t="str">
        <f>tblPlayers[first_name]&amp;" "&amp;tblPlayers[second_name]</f>
        <v>Mikel Merino Zazón</v>
      </c>
      <c r="B18" t="str">
        <f>_xlfn.SWITCH(tblPlayers[element_type],1,"GK",2,"DEF",3,"MID",4,"FWD")</f>
        <v>MID</v>
      </c>
      <c r="C18">
        <f>tblPlayers[team]</f>
        <v>1</v>
      </c>
      <c r="D18" t="str">
        <f>INDEX(tblTeams[Column1.short_name],MATCH(C18,tblTeams[Column1.id],0))</f>
        <v>ARS</v>
      </c>
      <c r="E18" s="4">
        <f>INDEX(FPL_Raw_Data!$F:$F,MATCH(A18,FPL_Raw_Data!$AA:$AA,0))/10</f>
        <v>5.9</v>
      </c>
      <c r="F18" s="4" t="str">
        <f>tblPlayers[[#This Row],[status]]</f>
        <v>a</v>
      </c>
      <c r="G18" s="4" t="b">
        <f>tblPlayers[[#This Row],[can_select]]</f>
        <v>1</v>
      </c>
      <c r="H18">
        <f>IF(AND(Table8[[#This Row],[Availability Status]]="a",Table8[[#This Row],[Can Select]]=TRUE),1,0)</f>
        <v>1</v>
      </c>
      <c r="I18">
        <f>tblPlayers[minutes]</f>
        <v>46</v>
      </c>
      <c r="J18" s="2">
        <f>Table8[[#This Row],[Minutes]]/90</f>
        <v>0.51111111111111107</v>
      </c>
      <c r="K18" s="5">
        <f>IFERROR(Z18/(FIXTURE_ANALYSIS!$B$1-1),0)</f>
        <v>0</v>
      </c>
      <c r="L18">
        <f>tblPlayers[total_points]</f>
        <v>2</v>
      </c>
      <c r="M18">
        <f>tblPlayers[points_per_game]</f>
        <v>0.7</v>
      </c>
      <c r="N18">
        <f>tblPlayers[form]</f>
        <v>0.7</v>
      </c>
      <c r="O18">
        <f>tblPlayers[expected_goals]</f>
        <v>0.14000000000000001</v>
      </c>
      <c r="P18">
        <f>tblPlayers[expected_assists]</f>
        <v>0.02</v>
      </c>
      <c r="Q18">
        <f>tblPlayers[expected_goal_involvements]</f>
        <v>0.16</v>
      </c>
      <c r="R18" s="2">
        <f t="shared" si="0"/>
        <v>3.9130434782608696</v>
      </c>
      <c r="S18" s="5">
        <f t="shared" si="1"/>
        <v>0.2739130434782609</v>
      </c>
      <c r="T18" s="5">
        <f t="shared" si="2"/>
        <v>3.9130434782608699E-2</v>
      </c>
      <c r="U18" s="5">
        <f t="shared" si="3"/>
        <v>0.31304347826086959</v>
      </c>
      <c r="V18" s="3">
        <f t="shared" si="4"/>
        <v>0.33898305084745761</v>
      </c>
      <c r="W18" s="5">
        <f t="shared" si="5"/>
        <v>2.7118644067796609E-2</v>
      </c>
      <c r="X18" s="5">
        <f>IFERROR(IF(OR($B18="MID",$B18="FWD"),INDEX(FIXTURE_ANALYSIS!$Q:$Q,MATCH($D18,FIXTURE_ANALYSIS!$A:$A,0)),INDEX(FIXTURE_ANALYSIS!$R:$R,MATCH($D18,FIXTURE_ANALYSIS!$A:$A,0))),1)</f>
        <v>1.0430363321799305</v>
      </c>
      <c r="Y18" s="5">
        <f t="shared" si="6"/>
        <v>1.0430363321799305</v>
      </c>
      <c r="Z18" s="8">
        <f>INDEX(FPL_Raw_Data!$T:$T,MATCH(A18,FPL_Raw_Data!$AA:$AA,0))</f>
        <v>0</v>
      </c>
      <c r="AA18" s="8">
        <f>INDEX(FPL_Raw_Data!$S:$S,MATCH(A18,FPL_Raw_Data!$AA:$AA,0))</f>
        <v>6</v>
      </c>
      <c r="AB18" s="2">
        <f t="shared" si="7"/>
        <v>0.5</v>
      </c>
      <c r="AC18" s="2">
        <f>INDEX(FPL_Raw_Data!$Q:$Q,MATCH(A18,FPL_Raw_Data!$AA:$AA,0))</f>
        <v>0</v>
      </c>
      <c r="AD18" s="8">
        <f>INDEX(FPL_Raw_Data!$R:$R,MATCH(A18,FPL_Raw_Data!$AA:$AA,0))</f>
        <v>12</v>
      </c>
      <c r="AE18" s="8">
        <f>INDEX(FPL_Raw_Data!$N:$N,MATCH(A18,FPL_Raw_Data!$AA:$AA,0))</f>
        <v>0</v>
      </c>
      <c r="AF18" s="8">
        <f>INDEX(FPL_Raw_Data!$L:$L,MATCH(A18,FPL_Raw_Data!$AA:$AA,0))</f>
        <v>0</v>
      </c>
      <c r="AG18" s="2">
        <f>INDEX(FPL_Raw_Data!$M:$M,MATCH(A18,FPL_Raw_Data!$AA:$AA,0))</f>
        <v>0</v>
      </c>
      <c r="AH18" s="2">
        <f t="shared" si="8"/>
        <v>1.3695652173913044</v>
      </c>
      <c r="AI18" s="2">
        <f t="shared" si="9"/>
        <v>0.1173913043478261</v>
      </c>
      <c r="AJ18" s="2">
        <f t="shared" si="10"/>
        <v>0</v>
      </c>
      <c r="AK18" s="2">
        <f t="shared" si="11"/>
        <v>1</v>
      </c>
      <c r="AL18" s="2">
        <f t="shared" si="12"/>
        <v>0</v>
      </c>
      <c r="AM18" s="2">
        <f t="shared" si="13"/>
        <v>0</v>
      </c>
      <c r="AN18" s="2">
        <f t="shared" si="14"/>
        <v>0</v>
      </c>
      <c r="AO18" s="3">
        <f t="shared" si="15"/>
        <v>68.8</v>
      </c>
      <c r="AP18">
        <f t="shared" si="16"/>
        <v>84.6</v>
      </c>
      <c r="AQ18">
        <f t="shared" si="17"/>
        <v>50.8</v>
      </c>
      <c r="AR18">
        <f t="shared" si="18"/>
        <v>69.599999999999994</v>
      </c>
      <c r="AS18" s="2">
        <f t="shared" si="19"/>
        <v>0</v>
      </c>
      <c r="AT18" s="2">
        <f>IFERROR(INDEX(Player_Model!$BC$2:$BC$596,MATCH($A18,Player_Model!$A$2:$A$596,0)),0)</f>
        <v>0</v>
      </c>
      <c r="AU18" s="2">
        <f>Table8[[#This Row],[Model Expected Points]]*Table8[[#This Row],[Fixture Adjustment]]</f>
        <v>0</v>
      </c>
      <c r="AV18" s="2">
        <f>Table8[[#This Row],[Fixture Adjusted Points / 90]]/Table8[[#This Row],[Price]]</f>
        <v>0</v>
      </c>
      <c r="AW18">
        <f t="shared" si="20"/>
        <v>76.699999999999989</v>
      </c>
      <c r="AX18">
        <f t="shared" si="21"/>
        <v>0.5</v>
      </c>
      <c r="AY18" s="2">
        <f t="shared" si="22"/>
        <v>0</v>
      </c>
      <c r="AZ18" s="5">
        <f t="shared" si="23"/>
        <v>1.0430363321799305</v>
      </c>
      <c r="BA18">
        <f>Table8[[#This Row],[Model Score2]]</f>
        <v>0</v>
      </c>
      <c r="BB18">
        <f>IFERROR(INDEX(Player_Model!$BG$2:$BG$596,MATCH($A18,Player_Model!$A$2:$A$596,0)),"")</f>
        <v>113</v>
      </c>
      <c r="BC18" t="str">
        <f t="shared" si="24"/>
        <v>AVOID</v>
      </c>
      <c r="BD18">
        <f>IF(H18=1,Table8[[#This Row],[Model Score]],-10000)</f>
        <v>0</v>
      </c>
      <c r="BE18">
        <f>IFERROR(INDEX(Player_Model!$BF$2:$BF$596,MATCH($A18,Player_Model!$A$2:$A$596,0)),"")</f>
        <v>253</v>
      </c>
      <c r="BF18">
        <f>IFERROR(INDEX(Player_Model!$BG$2:$BG$596,MATCH($A18,Player_Model!$A$2:$A$596,0)),"")</f>
        <v>113</v>
      </c>
      <c r="BG18">
        <f>IFERROR(INDEX(Player_Model!$BE$2:$BE$596,MATCH($A18,Player_Model!$A$2:$A$596,0)),0)</f>
        <v>0</v>
      </c>
    </row>
    <row r="19" spans="1:59" x14ac:dyDescent="0.25">
      <c r="A19" t="str">
        <f>tblPlayers[first_name]&amp;" "&amp;tblPlayers[second_name]</f>
        <v>Gabriel Martinelli Silva</v>
      </c>
      <c r="B19" t="str">
        <f>_xlfn.SWITCH(tblPlayers[element_type],1,"GK",2,"DEF",3,"MID",4,"FWD")</f>
        <v>MID</v>
      </c>
      <c r="C19">
        <f>tblPlayers[team]</f>
        <v>1</v>
      </c>
      <c r="D19" t="str">
        <f>INDEX(tblTeams[Column1.short_name],MATCH(C19,tblTeams[Column1.id],0))</f>
        <v>ARS</v>
      </c>
      <c r="E19" s="4">
        <f>INDEX(FPL_Raw_Data!$F:$F,MATCH(A19,FPL_Raw_Data!$AA:$AA,0))/10</f>
        <v>6.3</v>
      </c>
      <c r="F19" s="4" t="str">
        <f>tblPlayers[[#This Row],[status]]</f>
        <v>u</v>
      </c>
      <c r="G19" s="4" t="b">
        <f>tblPlayers[[#This Row],[can_select]]</f>
        <v>0</v>
      </c>
      <c r="H19">
        <f>IF(AND(Table8[[#This Row],[Availability Status]]="a",Table8[[#This Row],[Can Select]]=TRUE),1,0)</f>
        <v>0</v>
      </c>
      <c r="I19">
        <f>tblPlayers[minutes]</f>
        <v>0</v>
      </c>
      <c r="J19" s="2">
        <f>Table8[[#This Row],[Minutes]]/90</f>
        <v>0</v>
      </c>
      <c r="K19" s="5">
        <f>IFERROR(Z19/(FIXTURE_ANALYSIS!$B$1-1),0)</f>
        <v>0</v>
      </c>
      <c r="L19">
        <f>tblPlayers[total_points]</f>
        <v>0</v>
      </c>
      <c r="M19">
        <f>tblPlayers[points_per_game]</f>
        <v>0</v>
      </c>
      <c r="N19">
        <f>tblPlayers[form]</f>
        <v>0</v>
      </c>
      <c r="O19">
        <f>tblPlayers[expected_goals]</f>
        <v>0</v>
      </c>
      <c r="P19">
        <f>tblPlayers[expected_assists]</f>
        <v>0</v>
      </c>
      <c r="Q19">
        <f>tblPlayers[expected_goal_involvements]</f>
        <v>0</v>
      </c>
      <c r="R19" s="2">
        <f t="shared" si="0"/>
        <v>0</v>
      </c>
      <c r="S19" s="5">
        <f t="shared" si="1"/>
        <v>0</v>
      </c>
      <c r="T19" s="5">
        <f t="shared" si="2"/>
        <v>0</v>
      </c>
      <c r="U19" s="5">
        <f t="shared" si="3"/>
        <v>0</v>
      </c>
      <c r="V19" s="3">
        <f t="shared" si="4"/>
        <v>0</v>
      </c>
      <c r="W19" s="5">
        <f t="shared" si="5"/>
        <v>0</v>
      </c>
      <c r="X19" s="5">
        <f>IFERROR(IF(OR($B19="MID",$B19="FWD"),INDEX(FIXTURE_ANALYSIS!$Q:$Q,MATCH($D19,FIXTURE_ANALYSIS!$A:$A,0)),INDEX(FIXTURE_ANALYSIS!$R:$R,MATCH($D19,FIXTURE_ANALYSIS!$A:$A,0))),1)</f>
        <v>1.0430363321799305</v>
      </c>
      <c r="Y19" s="5">
        <f t="shared" si="6"/>
        <v>1.0430363321799305</v>
      </c>
      <c r="Z19" s="8">
        <f>INDEX(FPL_Raw_Data!$T:$T,MATCH(A19,FPL_Raw_Data!$AA:$AA,0))</f>
        <v>0</v>
      </c>
      <c r="AA19" s="8">
        <f>INDEX(FPL_Raw_Data!$S:$S,MATCH(A19,FPL_Raw_Data!$AA:$AA,0))</f>
        <v>0</v>
      </c>
      <c r="AB19" s="2">
        <f t="shared" si="7"/>
        <v>0</v>
      </c>
      <c r="AC19" s="2">
        <f>INDEX(FPL_Raw_Data!$Q:$Q,MATCH(A19,FPL_Raw_Data!$AA:$AA,0))</f>
        <v>0</v>
      </c>
      <c r="AD19" s="8">
        <f>INDEX(FPL_Raw_Data!$R:$R,MATCH(A19,FPL_Raw_Data!$AA:$AA,0))</f>
        <v>0</v>
      </c>
      <c r="AE19" s="8">
        <f>INDEX(FPL_Raw_Data!$N:$N,MATCH(A19,FPL_Raw_Data!$AA:$AA,0))</f>
        <v>0</v>
      </c>
      <c r="AF19" s="8">
        <f>INDEX(FPL_Raw_Data!$L:$L,MATCH(A19,FPL_Raw_Data!$AA:$AA,0))</f>
        <v>0</v>
      </c>
      <c r="AG19" s="2">
        <f>INDEX(FPL_Raw_Data!$M:$M,MATCH(A19,FPL_Raw_Data!$AA:$AA,0))</f>
        <v>0</v>
      </c>
      <c r="AH19" s="2">
        <f t="shared" si="8"/>
        <v>0</v>
      </c>
      <c r="AI19" s="2">
        <f t="shared" si="9"/>
        <v>0</v>
      </c>
      <c r="AJ19" s="2">
        <f t="shared" si="10"/>
        <v>0</v>
      </c>
      <c r="AK19" s="2">
        <f t="shared" si="11"/>
        <v>0</v>
      </c>
      <c r="AL19" s="2">
        <f t="shared" si="12"/>
        <v>0</v>
      </c>
      <c r="AM19" s="2">
        <f t="shared" si="13"/>
        <v>0</v>
      </c>
      <c r="AN19" s="2">
        <f t="shared" si="14"/>
        <v>0</v>
      </c>
      <c r="AO19" s="3">
        <f t="shared" si="15"/>
        <v>0.1</v>
      </c>
      <c r="AP19">
        <f t="shared" si="16"/>
        <v>0</v>
      </c>
      <c r="AQ19">
        <f t="shared" si="17"/>
        <v>0.1</v>
      </c>
      <c r="AR19">
        <f t="shared" si="18"/>
        <v>0</v>
      </c>
      <c r="AS19" s="2">
        <f t="shared" si="19"/>
        <v>0</v>
      </c>
      <c r="AT19" s="2">
        <f>IFERROR(INDEX(Player_Model!$BC$2:$BC$596,MATCH($A19,Player_Model!$A$2:$A$596,0)),0)</f>
        <v>0</v>
      </c>
      <c r="AU19" s="2">
        <f>Table8[[#This Row],[Model Expected Points]]*Table8[[#This Row],[Fixture Adjustment]]</f>
        <v>0</v>
      </c>
      <c r="AV19" s="2">
        <f>Table8[[#This Row],[Fixture Adjusted Points / 90]]/Table8[[#This Row],[Price]]</f>
        <v>0</v>
      </c>
      <c r="AW19">
        <f t="shared" si="20"/>
        <v>0.05</v>
      </c>
      <c r="AX19">
        <f t="shared" si="21"/>
        <v>0</v>
      </c>
      <c r="AY19" s="2">
        <f t="shared" si="22"/>
        <v>0</v>
      </c>
      <c r="AZ19" s="5">
        <f t="shared" si="23"/>
        <v>1.0430363321799305</v>
      </c>
      <c r="BA19">
        <f>Table8[[#This Row],[Model Score2]]</f>
        <v>0</v>
      </c>
      <c r="BB19">
        <f>IFERROR(INDEX(Player_Model!$BG$2:$BG$596,MATCH($A19,Player_Model!$A$2:$A$596,0)),"")</f>
        <v>114</v>
      </c>
      <c r="BC19" t="str">
        <f t="shared" si="24"/>
        <v>AVOID</v>
      </c>
      <c r="BD19">
        <f>IF(H19=1,Table8[[#This Row],[Model Score]],-10000)</f>
        <v>-10000</v>
      </c>
      <c r="BE19">
        <f>IFERROR(INDEX(Player_Model!$BF$2:$BF$596,MATCH($A19,Player_Model!$A$2:$A$596,0)),"")</f>
        <v>253</v>
      </c>
      <c r="BF19">
        <f>IFERROR(INDEX(Player_Model!$BG$2:$BG$596,MATCH($A19,Player_Model!$A$2:$A$596,0)),"")</f>
        <v>114</v>
      </c>
      <c r="BG19">
        <f>IFERROR(INDEX(Player_Model!$BE$2:$BE$596,MATCH($A19,Player_Model!$A$2:$A$596,0)),0)</f>
        <v>0</v>
      </c>
    </row>
    <row r="20" spans="1:59" x14ac:dyDescent="0.25">
      <c r="A20" t="str">
        <f>tblPlayers[first_name]&amp;" "&amp;tblPlayers[second_name]</f>
        <v>Martín Zubimendi Ibáñez</v>
      </c>
      <c r="B20" t="str">
        <f>_xlfn.SWITCH(tblPlayers[element_type],1,"GK",2,"DEF",3,"MID",4,"FWD")</f>
        <v>MID</v>
      </c>
      <c r="C20">
        <f>tblPlayers[team]</f>
        <v>1</v>
      </c>
      <c r="D20" t="str">
        <f>INDEX(tblTeams[Column1.short_name],MATCH(C20,tblTeams[Column1.id],0))</f>
        <v>ARS</v>
      </c>
      <c r="E20" s="4">
        <f>INDEX(FPL_Raw_Data!$F:$F,MATCH(A20,FPL_Raw_Data!$AA:$AA,0))/10</f>
        <v>5.4</v>
      </c>
      <c r="F20" s="4" t="str">
        <f>tblPlayers[[#This Row],[status]]</f>
        <v>a</v>
      </c>
      <c r="G20" s="4" t="b">
        <f>tblPlayers[[#This Row],[can_select]]</f>
        <v>1</v>
      </c>
      <c r="H20">
        <f>IF(AND(Table8[[#This Row],[Availability Status]]="a",Table8[[#This Row],[Can Select]]=TRUE),1,0)</f>
        <v>1</v>
      </c>
      <c r="I20">
        <f>tblPlayers[minutes]</f>
        <v>50</v>
      </c>
      <c r="J20" s="2">
        <f>Table8[[#This Row],[Minutes]]/90</f>
        <v>0.55555555555555558</v>
      </c>
      <c r="K20" s="5">
        <f>IFERROR(Z20/(FIXTURE_ANALYSIS!$B$1-1),0)</f>
        <v>0</v>
      </c>
      <c r="L20">
        <f>tblPlayers[total_points]</f>
        <v>3</v>
      </c>
      <c r="M20">
        <f>tblPlayers[points_per_game]</f>
        <v>1</v>
      </c>
      <c r="N20">
        <f>tblPlayers[form]</f>
        <v>1</v>
      </c>
      <c r="O20">
        <f>tblPlayers[expected_goals]</f>
        <v>0.08</v>
      </c>
      <c r="P20">
        <f>tblPlayers[expected_assists]</f>
        <v>0.04</v>
      </c>
      <c r="Q20">
        <f>tblPlayers[expected_goal_involvements]</f>
        <v>0.12</v>
      </c>
      <c r="R20" s="2">
        <f t="shared" si="0"/>
        <v>5.3999999999999995</v>
      </c>
      <c r="S20" s="5">
        <f t="shared" si="1"/>
        <v>0.14400000000000002</v>
      </c>
      <c r="T20" s="5">
        <f t="shared" si="2"/>
        <v>7.2000000000000008E-2</v>
      </c>
      <c r="U20" s="5">
        <f t="shared" si="3"/>
        <v>0.21599999999999997</v>
      </c>
      <c r="V20" s="3">
        <f t="shared" si="4"/>
        <v>0.55555555555555547</v>
      </c>
      <c r="W20" s="5">
        <f t="shared" si="5"/>
        <v>2.222222222222222E-2</v>
      </c>
      <c r="X20" s="5">
        <f>IFERROR(IF(OR($B20="MID",$B20="FWD"),INDEX(FIXTURE_ANALYSIS!$Q:$Q,MATCH($D20,FIXTURE_ANALYSIS!$A:$A,0)),INDEX(FIXTURE_ANALYSIS!$R:$R,MATCH($D20,FIXTURE_ANALYSIS!$A:$A,0))),1)</f>
        <v>1.0430363321799305</v>
      </c>
      <c r="Y20" s="5">
        <f t="shared" si="6"/>
        <v>1.0430363321799305</v>
      </c>
      <c r="Z20" s="8">
        <f>INDEX(FPL_Raw_Data!$T:$T,MATCH(A20,FPL_Raw_Data!$AA:$AA,0))</f>
        <v>0</v>
      </c>
      <c r="AA20" s="8">
        <f>INDEX(FPL_Raw_Data!$S:$S,MATCH(A20,FPL_Raw_Data!$AA:$AA,0))</f>
        <v>9</v>
      </c>
      <c r="AB20" s="2">
        <f t="shared" si="7"/>
        <v>0.75</v>
      </c>
      <c r="AC20" s="2">
        <f>INDEX(FPL_Raw_Data!$Q:$Q,MATCH(A20,FPL_Raw_Data!$AA:$AA,0))</f>
        <v>0</v>
      </c>
      <c r="AD20" s="8">
        <f>INDEX(FPL_Raw_Data!$R:$R,MATCH(A20,FPL_Raw_Data!$AA:$AA,0))</f>
        <v>9</v>
      </c>
      <c r="AE20" s="8">
        <f>INDEX(FPL_Raw_Data!$N:$N,MATCH(A20,FPL_Raw_Data!$AA:$AA,0))</f>
        <v>0</v>
      </c>
      <c r="AF20" s="8">
        <f>INDEX(FPL_Raw_Data!$L:$L,MATCH(A20,FPL_Raw_Data!$AA:$AA,0))</f>
        <v>0</v>
      </c>
      <c r="AG20" s="2">
        <f>INDEX(FPL_Raw_Data!$M:$M,MATCH(A20,FPL_Raw_Data!$AA:$AA,0))</f>
        <v>0</v>
      </c>
      <c r="AH20" s="2">
        <f t="shared" si="8"/>
        <v>0.72000000000000008</v>
      </c>
      <c r="AI20" s="2">
        <f t="shared" si="9"/>
        <v>0.21600000000000003</v>
      </c>
      <c r="AJ20" s="2">
        <f t="shared" si="10"/>
        <v>0</v>
      </c>
      <c r="AK20" s="2">
        <f t="shared" si="11"/>
        <v>1.5</v>
      </c>
      <c r="AL20" s="2">
        <f t="shared" si="12"/>
        <v>0</v>
      </c>
      <c r="AM20" s="2">
        <f t="shared" si="13"/>
        <v>0</v>
      </c>
      <c r="AN20" s="2">
        <f t="shared" si="14"/>
        <v>0</v>
      </c>
      <c r="AO20" s="3">
        <f t="shared" si="15"/>
        <v>78.2</v>
      </c>
      <c r="AP20">
        <f t="shared" si="16"/>
        <v>77.600000000000009</v>
      </c>
      <c r="AQ20">
        <f t="shared" si="17"/>
        <v>59.699999999999996</v>
      </c>
      <c r="AR20">
        <f t="shared" si="18"/>
        <v>67.800000000000011</v>
      </c>
      <c r="AS20" s="2">
        <f t="shared" si="19"/>
        <v>0</v>
      </c>
      <c r="AT20" s="2">
        <f>IFERROR(INDEX(Player_Model!$BC$2:$BC$596,MATCH($A20,Player_Model!$A$2:$A$596,0)),0)</f>
        <v>0</v>
      </c>
      <c r="AU20" s="2">
        <f>Table8[[#This Row],[Model Expected Points]]*Table8[[#This Row],[Fixture Adjustment]]</f>
        <v>0</v>
      </c>
      <c r="AV20" s="2">
        <f>Table8[[#This Row],[Fixture Adjusted Points / 90]]/Table8[[#This Row],[Price]]</f>
        <v>0</v>
      </c>
      <c r="AW20">
        <f t="shared" si="20"/>
        <v>77.900000000000006</v>
      </c>
      <c r="AX20">
        <f t="shared" si="21"/>
        <v>0.75</v>
      </c>
      <c r="AY20" s="2">
        <f t="shared" si="22"/>
        <v>0</v>
      </c>
      <c r="AZ20" s="5">
        <f t="shared" si="23"/>
        <v>1.0430363321799305</v>
      </c>
      <c r="BA20">
        <f>Table8[[#This Row],[Model Score2]]</f>
        <v>0</v>
      </c>
      <c r="BB20">
        <f>IFERROR(INDEX(Player_Model!$BG$2:$BG$596,MATCH($A20,Player_Model!$A$2:$A$596,0)),"")</f>
        <v>115</v>
      </c>
      <c r="BC20" t="str">
        <f t="shared" si="24"/>
        <v>AVOID</v>
      </c>
      <c r="BD20">
        <f>IF(H20=1,Table8[[#This Row],[Model Score]],-10000)</f>
        <v>0</v>
      </c>
      <c r="BE20">
        <f>IFERROR(INDEX(Player_Model!$BF$2:$BF$596,MATCH($A20,Player_Model!$A$2:$A$596,0)),"")</f>
        <v>253</v>
      </c>
      <c r="BF20">
        <f>IFERROR(INDEX(Player_Model!$BG$2:$BG$596,MATCH($A20,Player_Model!$A$2:$A$596,0)),"")</f>
        <v>115</v>
      </c>
      <c r="BG20">
        <f>IFERROR(INDEX(Player_Model!$BE$2:$BE$596,MATCH($A20,Player_Model!$A$2:$A$596,0)),0)</f>
        <v>0</v>
      </c>
    </row>
    <row r="21" spans="1:59" x14ac:dyDescent="0.25">
      <c r="A21" t="str">
        <f>tblPlayers[first_name]&amp;" "&amp;tblPlayers[second_name]</f>
        <v>Max Dowman</v>
      </c>
      <c r="B21" t="str">
        <f>_xlfn.SWITCH(tblPlayers[element_type],1,"GK",2,"DEF",3,"MID",4,"FWD")</f>
        <v>MID</v>
      </c>
      <c r="C21">
        <f>tblPlayers[team]</f>
        <v>1</v>
      </c>
      <c r="D21" t="str">
        <f>INDEX(tblTeams[Column1.short_name],MATCH(C21,tblTeams[Column1.id],0))</f>
        <v>ARS</v>
      </c>
      <c r="E21" s="4">
        <f>INDEX(FPL_Raw_Data!$F:$F,MATCH(A21,FPL_Raw_Data!$AA:$AA,0))/10</f>
        <v>5.3</v>
      </c>
      <c r="F21" s="4" t="str">
        <f>tblPlayers[[#This Row],[status]]</f>
        <v>a</v>
      </c>
      <c r="G21" s="4" t="b">
        <f>tblPlayers[[#This Row],[can_select]]</f>
        <v>1</v>
      </c>
      <c r="H21">
        <f>IF(AND(Table8[[#This Row],[Availability Status]]="a",Table8[[#This Row],[Can Select]]=TRUE),1,0)</f>
        <v>1</v>
      </c>
      <c r="I21">
        <f>tblPlayers[minutes]</f>
        <v>0</v>
      </c>
      <c r="J21" s="2">
        <f>Table8[[#This Row],[Minutes]]/90</f>
        <v>0</v>
      </c>
      <c r="K21" s="5">
        <f>IFERROR(Z21/(FIXTURE_ANALYSIS!$B$1-1),0)</f>
        <v>0</v>
      </c>
      <c r="L21">
        <f>tblPlayers[total_points]</f>
        <v>0</v>
      </c>
      <c r="M21">
        <f>tblPlayers[points_per_game]</f>
        <v>0</v>
      </c>
      <c r="N21">
        <f>tblPlayers[form]</f>
        <v>0</v>
      </c>
      <c r="O21">
        <f>tblPlayers[expected_goals]</f>
        <v>0</v>
      </c>
      <c r="P21">
        <f>tblPlayers[expected_assists]</f>
        <v>0</v>
      </c>
      <c r="Q21">
        <f>tblPlayers[expected_goal_involvements]</f>
        <v>0</v>
      </c>
      <c r="R21" s="2">
        <f t="shared" si="0"/>
        <v>0</v>
      </c>
      <c r="S21" s="5">
        <f t="shared" si="1"/>
        <v>0</v>
      </c>
      <c r="T21" s="5">
        <f t="shared" si="2"/>
        <v>0</v>
      </c>
      <c r="U21" s="5">
        <f t="shared" si="3"/>
        <v>0</v>
      </c>
      <c r="V21" s="3">
        <f t="shared" si="4"/>
        <v>0</v>
      </c>
      <c r="W21" s="5">
        <f t="shared" si="5"/>
        <v>0</v>
      </c>
      <c r="X21" s="5">
        <f>IFERROR(IF(OR($B21="MID",$B21="FWD"),INDEX(FIXTURE_ANALYSIS!$Q:$Q,MATCH($D21,FIXTURE_ANALYSIS!$A:$A,0)),INDEX(FIXTURE_ANALYSIS!$R:$R,MATCH($D21,FIXTURE_ANALYSIS!$A:$A,0))),1)</f>
        <v>1.0430363321799305</v>
      </c>
      <c r="Y21" s="5">
        <f t="shared" si="6"/>
        <v>1.0430363321799305</v>
      </c>
      <c r="Z21" s="8">
        <f>INDEX(FPL_Raw_Data!$T:$T,MATCH(A21,FPL_Raw_Data!$AA:$AA,0))</f>
        <v>0</v>
      </c>
      <c r="AA21" s="8">
        <f>INDEX(FPL_Raw_Data!$S:$S,MATCH(A21,FPL_Raw_Data!$AA:$AA,0))</f>
        <v>0</v>
      </c>
      <c r="AB21" s="2">
        <f t="shared" si="7"/>
        <v>0</v>
      </c>
      <c r="AC21" s="2">
        <f>INDEX(FPL_Raw_Data!$Q:$Q,MATCH(A21,FPL_Raw_Data!$AA:$AA,0))</f>
        <v>0</v>
      </c>
      <c r="AD21" s="8">
        <f>INDEX(FPL_Raw_Data!$R:$R,MATCH(A21,FPL_Raw_Data!$AA:$AA,0))</f>
        <v>0</v>
      </c>
      <c r="AE21" s="8">
        <f>INDEX(FPL_Raw_Data!$N:$N,MATCH(A21,FPL_Raw_Data!$AA:$AA,0))</f>
        <v>0</v>
      </c>
      <c r="AF21" s="8">
        <f>INDEX(FPL_Raw_Data!$L:$L,MATCH(A21,FPL_Raw_Data!$AA:$AA,0))</f>
        <v>0</v>
      </c>
      <c r="AG21" s="2">
        <f>INDEX(FPL_Raw_Data!$M:$M,MATCH(A21,FPL_Raw_Data!$AA:$AA,0))</f>
        <v>0</v>
      </c>
      <c r="AH21" s="2">
        <f t="shared" si="8"/>
        <v>0</v>
      </c>
      <c r="AI21" s="2">
        <f t="shared" si="9"/>
        <v>0</v>
      </c>
      <c r="AJ21" s="2">
        <f t="shared" si="10"/>
        <v>0</v>
      </c>
      <c r="AK21" s="2">
        <f t="shared" si="11"/>
        <v>0</v>
      </c>
      <c r="AL21" s="2">
        <f t="shared" si="12"/>
        <v>0</v>
      </c>
      <c r="AM21" s="2">
        <f t="shared" si="13"/>
        <v>0</v>
      </c>
      <c r="AN21" s="2">
        <f t="shared" si="14"/>
        <v>0</v>
      </c>
      <c r="AO21" s="3">
        <f t="shared" si="15"/>
        <v>0.1</v>
      </c>
      <c r="AP21">
        <f t="shared" si="16"/>
        <v>0</v>
      </c>
      <c r="AQ21">
        <f t="shared" si="17"/>
        <v>0.1</v>
      </c>
      <c r="AR21">
        <f t="shared" si="18"/>
        <v>0</v>
      </c>
      <c r="AS21" s="2">
        <f t="shared" si="19"/>
        <v>0</v>
      </c>
      <c r="AT21" s="2">
        <f>IFERROR(INDEX(Player_Model!$BC$2:$BC$596,MATCH($A21,Player_Model!$A$2:$A$596,0)),0)</f>
        <v>0</v>
      </c>
      <c r="AU21" s="2">
        <f>Table8[[#This Row],[Model Expected Points]]*Table8[[#This Row],[Fixture Adjustment]]</f>
        <v>0</v>
      </c>
      <c r="AV21" s="2">
        <f>Table8[[#This Row],[Fixture Adjusted Points / 90]]/Table8[[#This Row],[Price]]</f>
        <v>0</v>
      </c>
      <c r="AW21">
        <f t="shared" si="20"/>
        <v>0.05</v>
      </c>
      <c r="AX21">
        <f t="shared" si="21"/>
        <v>0</v>
      </c>
      <c r="AY21" s="2">
        <f t="shared" si="22"/>
        <v>0</v>
      </c>
      <c r="AZ21" s="5">
        <f t="shared" si="23"/>
        <v>1.0430363321799305</v>
      </c>
      <c r="BA21">
        <f>Table8[[#This Row],[Model Score2]]</f>
        <v>0</v>
      </c>
      <c r="BB21">
        <f>IFERROR(INDEX(Player_Model!$BG$2:$BG$596,MATCH($A21,Player_Model!$A$2:$A$596,0)),"")</f>
        <v>116</v>
      </c>
      <c r="BC21" t="str">
        <f t="shared" si="24"/>
        <v>AVOID</v>
      </c>
      <c r="BD21">
        <f>IF(H21=1,Table8[[#This Row],[Model Score]],-10000)</f>
        <v>0</v>
      </c>
      <c r="BE21">
        <f>IFERROR(INDEX(Player_Model!$BF$2:$BF$596,MATCH($A21,Player_Model!$A$2:$A$596,0)),"")</f>
        <v>253</v>
      </c>
      <c r="BF21">
        <f>IFERROR(INDEX(Player_Model!$BG$2:$BG$596,MATCH($A21,Player_Model!$A$2:$A$596,0)),"")</f>
        <v>116</v>
      </c>
      <c r="BG21">
        <f>IFERROR(INDEX(Player_Model!$BE$2:$BE$596,MATCH($A21,Player_Model!$A$2:$A$596,0)),0)</f>
        <v>0</v>
      </c>
    </row>
    <row r="22" spans="1:59" x14ac:dyDescent="0.25">
      <c r="A22" t="str">
        <f>tblPlayers[first_name]&amp;" "&amp;tblPlayers[second_name]</f>
        <v>Ethan Nwaneri</v>
      </c>
      <c r="B22" t="str">
        <f>_xlfn.SWITCH(tblPlayers[element_type],1,"GK",2,"DEF",3,"MID",4,"FWD")</f>
        <v>MID</v>
      </c>
      <c r="C22">
        <f>tblPlayers[team]</f>
        <v>1</v>
      </c>
      <c r="D22" t="str">
        <f>INDEX(tblTeams[Column1.short_name],MATCH(C22,tblTeams[Column1.id],0))</f>
        <v>ARS</v>
      </c>
      <c r="E22" s="4">
        <f>INDEX(FPL_Raw_Data!$F:$F,MATCH(A22,FPL_Raw_Data!$AA:$AA,0))/10</f>
        <v>5.4</v>
      </c>
      <c r="F22" s="4" t="str">
        <f>tblPlayers[[#This Row],[status]]</f>
        <v>u</v>
      </c>
      <c r="G22" s="4" t="b">
        <f>tblPlayers[[#This Row],[can_select]]</f>
        <v>0</v>
      </c>
      <c r="H22">
        <f>IF(AND(Table8[[#This Row],[Availability Status]]="a",Table8[[#This Row],[Can Select]]=TRUE),1,0)</f>
        <v>0</v>
      </c>
      <c r="I22">
        <f>tblPlayers[minutes]</f>
        <v>0</v>
      </c>
      <c r="J22" s="2">
        <f>Table8[[#This Row],[Minutes]]/90</f>
        <v>0</v>
      </c>
      <c r="K22" s="5">
        <f>IFERROR(Z22/(FIXTURE_ANALYSIS!$B$1-1),0)</f>
        <v>0</v>
      </c>
      <c r="L22">
        <f>tblPlayers[total_points]</f>
        <v>0</v>
      </c>
      <c r="M22">
        <f>tblPlayers[points_per_game]</f>
        <v>0</v>
      </c>
      <c r="N22">
        <f>tblPlayers[form]</f>
        <v>0</v>
      </c>
      <c r="O22">
        <f>tblPlayers[expected_goals]</f>
        <v>0</v>
      </c>
      <c r="P22">
        <f>tblPlayers[expected_assists]</f>
        <v>0</v>
      </c>
      <c r="Q22">
        <f>tblPlayers[expected_goal_involvements]</f>
        <v>0</v>
      </c>
      <c r="R22" s="2">
        <f t="shared" si="0"/>
        <v>0</v>
      </c>
      <c r="S22" s="5">
        <f t="shared" si="1"/>
        <v>0</v>
      </c>
      <c r="T22" s="5">
        <f t="shared" si="2"/>
        <v>0</v>
      </c>
      <c r="U22" s="5">
        <f t="shared" si="3"/>
        <v>0</v>
      </c>
      <c r="V22" s="3">
        <f t="shared" si="4"/>
        <v>0</v>
      </c>
      <c r="W22" s="5">
        <f t="shared" si="5"/>
        <v>0</v>
      </c>
      <c r="X22" s="5">
        <f>IFERROR(IF(OR($B22="MID",$B22="FWD"),INDEX(FIXTURE_ANALYSIS!$Q:$Q,MATCH($D22,FIXTURE_ANALYSIS!$A:$A,0)),INDEX(FIXTURE_ANALYSIS!$R:$R,MATCH($D22,FIXTURE_ANALYSIS!$A:$A,0))),1)</f>
        <v>1.0430363321799305</v>
      </c>
      <c r="Y22" s="5">
        <f t="shared" si="6"/>
        <v>1.0430363321799305</v>
      </c>
      <c r="Z22" s="8">
        <f>INDEX(FPL_Raw_Data!$T:$T,MATCH(A22,FPL_Raw_Data!$AA:$AA,0))</f>
        <v>0</v>
      </c>
      <c r="AA22" s="8">
        <f>INDEX(FPL_Raw_Data!$S:$S,MATCH(A22,FPL_Raw_Data!$AA:$AA,0))</f>
        <v>0</v>
      </c>
      <c r="AB22" s="2">
        <f t="shared" si="7"/>
        <v>0</v>
      </c>
      <c r="AC22" s="2">
        <f>INDEX(FPL_Raw_Data!$Q:$Q,MATCH(A22,FPL_Raw_Data!$AA:$AA,0))</f>
        <v>0</v>
      </c>
      <c r="AD22" s="8">
        <f>INDEX(FPL_Raw_Data!$R:$R,MATCH(A22,FPL_Raw_Data!$AA:$AA,0))</f>
        <v>0</v>
      </c>
      <c r="AE22" s="8">
        <f>INDEX(FPL_Raw_Data!$N:$N,MATCH(A22,FPL_Raw_Data!$AA:$AA,0))</f>
        <v>0</v>
      </c>
      <c r="AF22" s="8">
        <f>INDEX(FPL_Raw_Data!$L:$L,MATCH(A22,FPL_Raw_Data!$AA:$AA,0))</f>
        <v>0</v>
      </c>
      <c r="AG22" s="2">
        <f>INDEX(FPL_Raw_Data!$M:$M,MATCH(A22,FPL_Raw_Data!$AA:$AA,0))</f>
        <v>0</v>
      </c>
      <c r="AH22" s="2">
        <f t="shared" si="8"/>
        <v>0</v>
      </c>
      <c r="AI22" s="2">
        <f t="shared" si="9"/>
        <v>0</v>
      </c>
      <c r="AJ22" s="2">
        <f t="shared" si="10"/>
        <v>0</v>
      </c>
      <c r="AK22" s="2">
        <f t="shared" si="11"/>
        <v>0</v>
      </c>
      <c r="AL22" s="2">
        <f t="shared" si="12"/>
        <v>0</v>
      </c>
      <c r="AM22" s="2">
        <f t="shared" si="13"/>
        <v>0</v>
      </c>
      <c r="AN22" s="2">
        <f t="shared" si="14"/>
        <v>0</v>
      </c>
      <c r="AO22" s="3">
        <f t="shared" si="15"/>
        <v>0.1</v>
      </c>
      <c r="AP22">
        <f t="shared" si="16"/>
        <v>0</v>
      </c>
      <c r="AQ22">
        <f t="shared" si="17"/>
        <v>0.1</v>
      </c>
      <c r="AR22">
        <f t="shared" si="18"/>
        <v>0</v>
      </c>
      <c r="AS22" s="2">
        <f t="shared" si="19"/>
        <v>0</v>
      </c>
      <c r="AT22" s="2">
        <f>IFERROR(INDEX(Player_Model!$BC$2:$BC$596,MATCH($A22,Player_Model!$A$2:$A$596,0)),0)</f>
        <v>0</v>
      </c>
      <c r="AU22" s="2">
        <f>Table8[[#This Row],[Model Expected Points]]*Table8[[#This Row],[Fixture Adjustment]]</f>
        <v>0</v>
      </c>
      <c r="AV22" s="2">
        <f>Table8[[#This Row],[Fixture Adjusted Points / 90]]/Table8[[#This Row],[Price]]</f>
        <v>0</v>
      </c>
      <c r="AW22">
        <f t="shared" si="20"/>
        <v>0.05</v>
      </c>
      <c r="AX22">
        <f t="shared" si="21"/>
        <v>0</v>
      </c>
      <c r="AY22" s="2">
        <f t="shared" si="22"/>
        <v>0</v>
      </c>
      <c r="AZ22" s="5">
        <f t="shared" si="23"/>
        <v>1.0430363321799305</v>
      </c>
      <c r="BA22">
        <f>Table8[[#This Row],[Model Score2]]</f>
        <v>0</v>
      </c>
      <c r="BB22">
        <f>IFERROR(INDEX(Player_Model!$BG$2:$BG$596,MATCH($A22,Player_Model!$A$2:$A$596,0)),"")</f>
        <v>117</v>
      </c>
      <c r="BC22" t="str">
        <f t="shared" si="24"/>
        <v>AVOID</v>
      </c>
      <c r="BD22">
        <f>IF(H22=1,Table8[[#This Row],[Model Score]],-10000)</f>
        <v>-10000</v>
      </c>
      <c r="BE22">
        <f>IFERROR(INDEX(Player_Model!$BF$2:$BF$596,MATCH($A22,Player_Model!$A$2:$A$596,0)),"")</f>
        <v>253</v>
      </c>
      <c r="BF22">
        <f>IFERROR(INDEX(Player_Model!$BG$2:$BG$596,MATCH($A22,Player_Model!$A$2:$A$596,0)),"")</f>
        <v>117</v>
      </c>
      <c r="BG22">
        <f>IFERROR(INDEX(Player_Model!$BE$2:$BE$596,MATCH($A22,Player_Model!$A$2:$A$596,0)),0)</f>
        <v>0</v>
      </c>
    </row>
    <row r="23" spans="1:59" x14ac:dyDescent="0.25">
      <c r="A23" t="str">
        <f>tblPlayers[first_name]&amp;" "&amp;tblPlayers[second_name]</f>
        <v>Fábio Ferreira Vieira</v>
      </c>
      <c r="B23" t="str">
        <f>_xlfn.SWITCH(tblPlayers[element_type],1,"GK",2,"DEF",3,"MID",4,"FWD")</f>
        <v>MID</v>
      </c>
      <c r="C23">
        <f>tblPlayers[team]</f>
        <v>1</v>
      </c>
      <c r="D23" t="str">
        <f>INDEX(tblTeams[Column1.short_name],MATCH(C23,tblTeams[Column1.id],0))</f>
        <v>ARS</v>
      </c>
      <c r="E23" s="4">
        <f>INDEX(FPL_Raw_Data!$F:$F,MATCH(A23,FPL_Raw_Data!$AA:$AA,0))/10</f>
        <v>5.5</v>
      </c>
      <c r="F23" s="4" t="str">
        <f>tblPlayers[[#This Row],[status]]</f>
        <v>u</v>
      </c>
      <c r="G23" s="4" t="b">
        <f>tblPlayers[[#This Row],[can_select]]</f>
        <v>0</v>
      </c>
      <c r="H23">
        <f>IF(AND(Table8[[#This Row],[Availability Status]]="a",Table8[[#This Row],[Can Select]]=TRUE),1,0)</f>
        <v>0</v>
      </c>
      <c r="I23">
        <f>tblPlayers[minutes]</f>
        <v>0</v>
      </c>
      <c r="J23" s="2">
        <f>Table8[[#This Row],[Minutes]]/90</f>
        <v>0</v>
      </c>
      <c r="K23" s="5">
        <f>IFERROR(Z23/(FIXTURE_ANALYSIS!$B$1-1),0)</f>
        <v>0</v>
      </c>
      <c r="L23">
        <f>tblPlayers[total_points]</f>
        <v>0</v>
      </c>
      <c r="M23">
        <f>tblPlayers[points_per_game]</f>
        <v>0</v>
      </c>
      <c r="N23">
        <f>tblPlayers[form]</f>
        <v>0</v>
      </c>
      <c r="O23">
        <f>tblPlayers[expected_goals]</f>
        <v>0</v>
      </c>
      <c r="P23">
        <f>tblPlayers[expected_assists]</f>
        <v>0</v>
      </c>
      <c r="Q23">
        <f>tblPlayers[expected_goal_involvements]</f>
        <v>0</v>
      </c>
      <c r="R23" s="2">
        <f t="shared" si="0"/>
        <v>0</v>
      </c>
      <c r="S23" s="5">
        <f t="shared" si="1"/>
        <v>0</v>
      </c>
      <c r="T23" s="5">
        <f t="shared" si="2"/>
        <v>0</v>
      </c>
      <c r="U23" s="5">
        <f t="shared" si="3"/>
        <v>0</v>
      </c>
      <c r="V23" s="3">
        <f t="shared" si="4"/>
        <v>0</v>
      </c>
      <c r="W23" s="5">
        <f t="shared" si="5"/>
        <v>0</v>
      </c>
      <c r="X23" s="5">
        <f>IFERROR(IF(OR($B23="MID",$B23="FWD"),INDEX(FIXTURE_ANALYSIS!$Q:$Q,MATCH($D23,FIXTURE_ANALYSIS!$A:$A,0)),INDEX(FIXTURE_ANALYSIS!$R:$R,MATCH($D23,FIXTURE_ANALYSIS!$A:$A,0))),1)</f>
        <v>1.0430363321799305</v>
      </c>
      <c r="Y23" s="5">
        <f t="shared" si="6"/>
        <v>1.0430363321799305</v>
      </c>
      <c r="Z23" s="8">
        <f>INDEX(FPL_Raw_Data!$T:$T,MATCH(A23,FPL_Raw_Data!$AA:$AA,0))</f>
        <v>0</v>
      </c>
      <c r="AA23" s="8">
        <f>INDEX(FPL_Raw_Data!$S:$S,MATCH(A23,FPL_Raw_Data!$AA:$AA,0))</f>
        <v>0</v>
      </c>
      <c r="AB23" s="2">
        <f t="shared" si="7"/>
        <v>0</v>
      </c>
      <c r="AC23" s="2">
        <f>INDEX(FPL_Raw_Data!$Q:$Q,MATCH(A23,FPL_Raw_Data!$AA:$AA,0))</f>
        <v>0</v>
      </c>
      <c r="AD23" s="8">
        <f>INDEX(FPL_Raw_Data!$R:$R,MATCH(A23,FPL_Raw_Data!$AA:$AA,0))</f>
        <v>0</v>
      </c>
      <c r="AE23" s="8">
        <f>INDEX(FPL_Raw_Data!$N:$N,MATCH(A23,FPL_Raw_Data!$AA:$AA,0))</f>
        <v>0</v>
      </c>
      <c r="AF23" s="8">
        <f>INDEX(FPL_Raw_Data!$L:$L,MATCH(A23,FPL_Raw_Data!$AA:$AA,0))</f>
        <v>0</v>
      </c>
      <c r="AG23" s="2">
        <f>INDEX(FPL_Raw_Data!$M:$M,MATCH(A23,FPL_Raw_Data!$AA:$AA,0))</f>
        <v>0</v>
      </c>
      <c r="AH23" s="2">
        <f t="shared" si="8"/>
        <v>0</v>
      </c>
      <c r="AI23" s="2">
        <f t="shared" si="9"/>
        <v>0</v>
      </c>
      <c r="AJ23" s="2">
        <f t="shared" si="10"/>
        <v>0</v>
      </c>
      <c r="AK23" s="2">
        <f t="shared" si="11"/>
        <v>0</v>
      </c>
      <c r="AL23" s="2">
        <f t="shared" si="12"/>
        <v>0</v>
      </c>
      <c r="AM23" s="2">
        <f t="shared" si="13"/>
        <v>0</v>
      </c>
      <c r="AN23" s="2">
        <f t="shared" si="14"/>
        <v>0</v>
      </c>
      <c r="AO23" s="3">
        <f t="shared" si="15"/>
        <v>0.1</v>
      </c>
      <c r="AP23">
        <f t="shared" si="16"/>
        <v>0</v>
      </c>
      <c r="AQ23">
        <f t="shared" si="17"/>
        <v>0.1</v>
      </c>
      <c r="AR23">
        <f t="shared" si="18"/>
        <v>0</v>
      </c>
      <c r="AS23" s="2">
        <f t="shared" si="19"/>
        <v>0</v>
      </c>
      <c r="AT23" s="2">
        <f>IFERROR(INDEX(Player_Model!$BC$2:$BC$596,MATCH($A23,Player_Model!$A$2:$A$596,0)),0)</f>
        <v>0</v>
      </c>
      <c r="AU23" s="2">
        <f>Table8[[#This Row],[Model Expected Points]]*Table8[[#This Row],[Fixture Adjustment]]</f>
        <v>0</v>
      </c>
      <c r="AV23" s="2">
        <f>Table8[[#This Row],[Fixture Adjusted Points / 90]]/Table8[[#This Row],[Price]]</f>
        <v>0</v>
      </c>
      <c r="AW23">
        <f t="shared" si="20"/>
        <v>0.05</v>
      </c>
      <c r="AX23">
        <f t="shared" si="21"/>
        <v>0</v>
      </c>
      <c r="AY23" s="2">
        <f t="shared" si="22"/>
        <v>0</v>
      </c>
      <c r="AZ23" s="5">
        <f t="shared" si="23"/>
        <v>1.0430363321799305</v>
      </c>
      <c r="BA23">
        <f>Table8[[#This Row],[Model Score2]]</f>
        <v>0</v>
      </c>
      <c r="BB23">
        <f>IFERROR(INDEX(Player_Model!$BG$2:$BG$596,MATCH($A23,Player_Model!$A$2:$A$596,0)),"")</f>
        <v>118</v>
      </c>
      <c r="BC23" t="str">
        <f t="shared" si="24"/>
        <v>AVOID</v>
      </c>
      <c r="BD23">
        <f>IF(H23=1,Table8[[#This Row],[Model Score]],-10000)</f>
        <v>-10000</v>
      </c>
      <c r="BE23">
        <f>IFERROR(INDEX(Player_Model!$BF$2:$BF$596,MATCH($A23,Player_Model!$A$2:$A$596,0)),"")</f>
        <v>253</v>
      </c>
      <c r="BF23">
        <f>IFERROR(INDEX(Player_Model!$BG$2:$BG$596,MATCH($A23,Player_Model!$A$2:$A$596,0)),"")</f>
        <v>118</v>
      </c>
      <c r="BG23">
        <f>IFERROR(INDEX(Player_Model!$BE$2:$BE$596,MATCH($A23,Player_Model!$A$2:$A$596,0)),0)</f>
        <v>0</v>
      </c>
    </row>
    <row r="24" spans="1:59" x14ac:dyDescent="0.25">
      <c r="A24" t="str">
        <f>tblPlayers[first_name]&amp;" "&amp;tblPlayers[second_name]</f>
        <v>Reiss Nelson</v>
      </c>
      <c r="B24" t="str">
        <f>_xlfn.SWITCH(tblPlayers[element_type],1,"GK",2,"DEF",3,"MID",4,"FWD")</f>
        <v>MID</v>
      </c>
      <c r="C24">
        <f>tblPlayers[team]</f>
        <v>1</v>
      </c>
      <c r="D24" t="str">
        <f>INDEX(tblTeams[Column1.short_name],MATCH(C24,tblTeams[Column1.id],0))</f>
        <v>ARS</v>
      </c>
      <c r="E24" s="4">
        <f>INDEX(FPL_Raw_Data!$F:$F,MATCH(A24,FPL_Raw_Data!$AA:$AA,0))/10</f>
        <v>5.5</v>
      </c>
      <c r="F24" s="4" t="str">
        <f>tblPlayers[[#This Row],[status]]</f>
        <v>u</v>
      </c>
      <c r="G24" s="4" t="b">
        <f>tblPlayers[[#This Row],[can_select]]</f>
        <v>0</v>
      </c>
      <c r="H24">
        <f>IF(AND(Table8[[#This Row],[Availability Status]]="a",Table8[[#This Row],[Can Select]]=TRUE),1,0)</f>
        <v>0</v>
      </c>
      <c r="I24">
        <f>tblPlayers[minutes]</f>
        <v>0</v>
      </c>
      <c r="J24" s="2">
        <f>Table8[[#This Row],[Minutes]]/90</f>
        <v>0</v>
      </c>
      <c r="K24" s="5">
        <f>IFERROR(Z24/(FIXTURE_ANALYSIS!$B$1-1),0)</f>
        <v>0</v>
      </c>
      <c r="L24">
        <f>tblPlayers[total_points]</f>
        <v>0</v>
      </c>
      <c r="M24">
        <f>tblPlayers[points_per_game]</f>
        <v>0</v>
      </c>
      <c r="N24">
        <f>tblPlayers[form]</f>
        <v>0</v>
      </c>
      <c r="O24">
        <f>tblPlayers[expected_goals]</f>
        <v>0</v>
      </c>
      <c r="P24">
        <f>tblPlayers[expected_assists]</f>
        <v>0</v>
      </c>
      <c r="Q24">
        <f>tblPlayers[expected_goal_involvements]</f>
        <v>0</v>
      </c>
      <c r="R24" s="2">
        <f t="shared" si="0"/>
        <v>0</v>
      </c>
      <c r="S24" s="5">
        <f t="shared" si="1"/>
        <v>0</v>
      </c>
      <c r="T24" s="5">
        <f t="shared" si="2"/>
        <v>0</v>
      </c>
      <c r="U24" s="5">
        <f t="shared" si="3"/>
        <v>0</v>
      </c>
      <c r="V24" s="3">
        <f t="shared" si="4"/>
        <v>0</v>
      </c>
      <c r="W24" s="5">
        <f t="shared" si="5"/>
        <v>0</v>
      </c>
      <c r="X24" s="5">
        <f>IFERROR(IF(OR($B24="MID",$B24="FWD"),INDEX(FIXTURE_ANALYSIS!$Q:$Q,MATCH($D24,FIXTURE_ANALYSIS!$A:$A,0)),INDEX(FIXTURE_ANALYSIS!$R:$R,MATCH($D24,FIXTURE_ANALYSIS!$A:$A,0))),1)</f>
        <v>1.0430363321799305</v>
      </c>
      <c r="Y24" s="5">
        <f t="shared" si="6"/>
        <v>1.0430363321799305</v>
      </c>
      <c r="Z24" s="8">
        <f>INDEX(FPL_Raw_Data!$T:$T,MATCH(A24,FPL_Raw_Data!$AA:$AA,0))</f>
        <v>0</v>
      </c>
      <c r="AA24" s="8">
        <f>INDEX(FPL_Raw_Data!$S:$S,MATCH(A24,FPL_Raw_Data!$AA:$AA,0))</f>
        <v>0</v>
      </c>
      <c r="AB24" s="2">
        <f t="shared" si="7"/>
        <v>0</v>
      </c>
      <c r="AC24" s="2">
        <f>INDEX(FPL_Raw_Data!$Q:$Q,MATCH(A24,FPL_Raw_Data!$AA:$AA,0))</f>
        <v>0</v>
      </c>
      <c r="AD24" s="8">
        <f>INDEX(FPL_Raw_Data!$R:$R,MATCH(A24,FPL_Raw_Data!$AA:$AA,0))</f>
        <v>0</v>
      </c>
      <c r="AE24" s="8">
        <f>INDEX(FPL_Raw_Data!$N:$N,MATCH(A24,FPL_Raw_Data!$AA:$AA,0))</f>
        <v>0</v>
      </c>
      <c r="AF24" s="8">
        <f>INDEX(FPL_Raw_Data!$L:$L,MATCH(A24,FPL_Raw_Data!$AA:$AA,0))</f>
        <v>0</v>
      </c>
      <c r="AG24" s="2">
        <f>INDEX(FPL_Raw_Data!$M:$M,MATCH(A24,FPL_Raw_Data!$AA:$AA,0))</f>
        <v>0</v>
      </c>
      <c r="AH24" s="2">
        <f t="shared" si="8"/>
        <v>0</v>
      </c>
      <c r="AI24" s="2">
        <f t="shared" si="9"/>
        <v>0</v>
      </c>
      <c r="AJ24" s="2">
        <f t="shared" si="10"/>
        <v>0</v>
      </c>
      <c r="AK24" s="2">
        <f t="shared" si="11"/>
        <v>0</v>
      </c>
      <c r="AL24" s="2">
        <f t="shared" si="12"/>
        <v>0</v>
      </c>
      <c r="AM24" s="2">
        <f t="shared" si="13"/>
        <v>0</v>
      </c>
      <c r="AN24" s="2">
        <f t="shared" si="14"/>
        <v>0</v>
      </c>
      <c r="AO24" s="3">
        <f t="shared" si="15"/>
        <v>0.1</v>
      </c>
      <c r="AP24">
        <f t="shared" si="16"/>
        <v>0</v>
      </c>
      <c r="AQ24">
        <f t="shared" si="17"/>
        <v>0.1</v>
      </c>
      <c r="AR24">
        <f t="shared" si="18"/>
        <v>0</v>
      </c>
      <c r="AS24" s="2">
        <f t="shared" si="19"/>
        <v>0</v>
      </c>
      <c r="AT24" s="2">
        <f>IFERROR(INDEX(Player_Model!$BC$2:$BC$596,MATCH($A24,Player_Model!$A$2:$A$596,0)),0)</f>
        <v>0</v>
      </c>
      <c r="AU24" s="2">
        <f>Table8[[#This Row],[Model Expected Points]]*Table8[[#This Row],[Fixture Adjustment]]</f>
        <v>0</v>
      </c>
      <c r="AV24" s="2">
        <f>Table8[[#This Row],[Fixture Adjusted Points / 90]]/Table8[[#This Row],[Price]]</f>
        <v>0</v>
      </c>
      <c r="AW24">
        <f t="shared" si="20"/>
        <v>0.05</v>
      </c>
      <c r="AX24">
        <f t="shared" si="21"/>
        <v>0</v>
      </c>
      <c r="AY24" s="2">
        <f t="shared" si="22"/>
        <v>0</v>
      </c>
      <c r="AZ24" s="5">
        <f t="shared" si="23"/>
        <v>1.0430363321799305</v>
      </c>
      <c r="BA24">
        <f>Table8[[#This Row],[Model Score2]]</f>
        <v>0</v>
      </c>
      <c r="BB24">
        <f>IFERROR(INDEX(Player_Model!$BG$2:$BG$596,MATCH($A24,Player_Model!$A$2:$A$596,0)),"")</f>
        <v>119</v>
      </c>
      <c r="BC24" t="str">
        <f t="shared" si="24"/>
        <v>AVOID</v>
      </c>
      <c r="BD24">
        <f>IF(H24=1,Table8[[#This Row],[Model Score]],-10000)</f>
        <v>-10000</v>
      </c>
      <c r="BE24">
        <f>IFERROR(INDEX(Player_Model!$BF$2:$BF$596,MATCH($A24,Player_Model!$A$2:$A$596,0)),"")</f>
        <v>253</v>
      </c>
      <c r="BF24">
        <f>IFERROR(INDEX(Player_Model!$BG$2:$BG$596,MATCH($A24,Player_Model!$A$2:$A$596,0)),"")</f>
        <v>119</v>
      </c>
      <c r="BG24">
        <f>IFERROR(INDEX(Player_Model!$BE$2:$BE$596,MATCH($A24,Player_Model!$A$2:$A$596,0)),0)</f>
        <v>0</v>
      </c>
    </row>
    <row r="25" spans="1:59" x14ac:dyDescent="0.25">
      <c r="A25" t="str">
        <f>tblPlayers[first_name]&amp;" "&amp;tblPlayers[second_name]</f>
        <v>Viktor Gyökeres</v>
      </c>
      <c r="B25" t="str">
        <f>_xlfn.SWITCH(tblPlayers[element_type],1,"GK",2,"DEF",3,"MID",4,"FWD")</f>
        <v>FWD</v>
      </c>
      <c r="C25">
        <f>tblPlayers[team]</f>
        <v>1</v>
      </c>
      <c r="D25" t="str">
        <f>INDEX(tblTeams[Column1.short_name],MATCH(C25,tblTeams[Column1.id],0))</f>
        <v>ARS</v>
      </c>
      <c r="E25" s="4">
        <f>INDEX(FPL_Raw_Data!$F:$F,MATCH(A25,FPL_Raw_Data!$AA:$AA,0))/10</f>
        <v>7.3</v>
      </c>
      <c r="F25" s="4" t="str">
        <f>tblPlayers[[#This Row],[status]]</f>
        <v>a</v>
      </c>
      <c r="G25" s="4" t="b">
        <f>tblPlayers[[#This Row],[can_select]]</f>
        <v>1</v>
      </c>
      <c r="H25">
        <f>IF(AND(Table8[[#This Row],[Availability Status]]="a",Table8[[#This Row],[Can Select]]=TRUE),1,0)</f>
        <v>1</v>
      </c>
      <c r="I25">
        <f>tblPlayers[minutes]</f>
        <v>12</v>
      </c>
      <c r="J25" s="2">
        <f>Table8[[#This Row],[Minutes]]/90</f>
        <v>0.13333333333333333</v>
      </c>
      <c r="K25" s="5">
        <f>IFERROR(Z25/(FIXTURE_ANALYSIS!$B$1-1),0)</f>
        <v>0</v>
      </c>
      <c r="L25">
        <f>tblPlayers[total_points]</f>
        <v>1</v>
      </c>
      <c r="M25">
        <f>tblPlayers[points_per_game]</f>
        <v>1</v>
      </c>
      <c r="N25">
        <f>tblPlayers[form]</f>
        <v>0.3</v>
      </c>
      <c r="O25">
        <f>tblPlayers[expected_goals]</f>
        <v>0</v>
      </c>
      <c r="P25">
        <f>tblPlayers[expected_assists]</f>
        <v>0</v>
      </c>
      <c r="Q25">
        <f>tblPlayers[expected_goal_involvements]</f>
        <v>0</v>
      </c>
      <c r="R25" s="2">
        <f t="shared" si="0"/>
        <v>7.5</v>
      </c>
      <c r="S25" s="5">
        <f t="shared" si="1"/>
        <v>0</v>
      </c>
      <c r="T25" s="5">
        <f t="shared" si="2"/>
        <v>0</v>
      </c>
      <c r="U25" s="5">
        <f t="shared" si="3"/>
        <v>0</v>
      </c>
      <c r="V25" s="3">
        <f t="shared" si="4"/>
        <v>0.13698630136986301</v>
      </c>
      <c r="W25" s="5">
        <f t="shared" si="5"/>
        <v>0</v>
      </c>
      <c r="X25" s="5">
        <f>IFERROR(IF(OR($B25="MID",$B25="FWD"),INDEX(FIXTURE_ANALYSIS!$Q:$Q,MATCH($D25,FIXTURE_ANALYSIS!$A:$A,0)),INDEX(FIXTURE_ANALYSIS!$R:$R,MATCH($D25,FIXTURE_ANALYSIS!$A:$A,0))),1)</f>
        <v>1.0430363321799305</v>
      </c>
      <c r="Y25" s="5">
        <f t="shared" si="6"/>
        <v>1.0430363321799305</v>
      </c>
      <c r="Z25" s="8">
        <f>INDEX(FPL_Raw_Data!$T:$T,MATCH(A25,FPL_Raw_Data!$AA:$AA,0))</f>
        <v>0</v>
      </c>
      <c r="AA25" s="8">
        <f>INDEX(FPL_Raw_Data!$S:$S,MATCH(A25,FPL_Raw_Data!$AA:$AA,0))</f>
        <v>1</v>
      </c>
      <c r="AB25" s="2">
        <f t="shared" si="7"/>
        <v>8.3333333333333329E-2</v>
      </c>
      <c r="AC25" s="2">
        <f>INDEX(FPL_Raw_Data!$Q:$Q,MATCH(A25,FPL_Raw_Data!$AA:$AA,0))</f>
        <v>0</v>
      </c>
      <c r="AD25" s="8">
        <f>INDEX(FPL_Raw_Data!$R:$R,MATCH(A25,FPL_Raw_Data!$AA:$AA,0))</f>
        <v>2</v>
      </c>
      <c r="AE25" s="8">
        <f>INDEX(FPL_Raw_Data!$N:$N,MATCH(A25,FPL_Raw_Data!$AA:$AA,0))</f>
        <v>0</v>
      </c>
      <c r="AF25" s="8">
        <f>INDEX(FPL_Raw_Data!$L:$L,MATCH(A25,FPL_Raw_Data!$AA:$AA,0))</f>
        <v>0</v>
      </c>
      <c r="AG25" s="2">
        <f>INDEX(FPL_Raw_Data!$M:$M,MATCH(A25,FPL_Raw_Data!$AA:$AA,0))</f>
        <v>0</v>
      </c>
      <c r="AH25" s="2">
        <f t="shared" si="8"/>
        <v>0</v>
      </c>
      <c r="AI25" s="2">
        <f t="shared" si="9"/>
        <v>0</v>
      </c>
      <c r="AJ25" s="2">
        <f t="shared" si="10"/>
        <v>0</v>
      </c>
      <c r="AK25" s="2">
        <f t="shared" si="11"/>
        <v>0.16666666666666666</v>
      </c>
      <c r="AL25" s="2">
        <f t="shared" si="12"/>
        <v>0</v>
      </c>
      <c r="AM25" s="2">
        <f t="shared" si="13"/>
        <v>0</v>
      </c>
      <c r="AN25" s="2">
        <f t="shared" si="14"/>
        <v>0</v>
      </c>
      <c r="AO25" s="3">
        <f t="shared" si="15"/>
        <v>87.3</v>
      </c>
      <c r="AP25">
        <f t="shared" si="16"/>
        <v>0</v>
      </c>
      <c r="AQ25">
        <f t="shared" si="17"/>
        <v>41.199999999999996</v>
      </c>
      <c r="AR25">
        <f t="shared" si="18"/>
        <v>0</v>
      </c>
      <c r="AS25" s="2">
        <f t="shared" si="19"/>
        <v>0</v>
      </c>
      <c r="AT25" s="2">
        <f>IFERROR(INDEX(Player_Model!$BC$2:$BC$596,MATCH($A25,Player_Model!$A$2:$A$596,0)),0)</f>
        <v>0</v>
      </c>
      <c r="AU25" s="2">
        <f>Table8[[#This Row],[Model Expected Points]]*Table8[[#This Row],[Fixture Adjustment]]</f>
        <v>0</v>
      </c>
      <c r="AV25" s="2">
        <f>Table8[[#This Row],[Fixture Adjusted Points / 90]]/Table8[[#This Row],[Price]]</f>
        <v>0</v>
      </c>
      <c r="AW25">
        <f t="shared" si="20"/>
        <v>43.65</v>
      </c>
      <c r="AX25">
        <f t="shared" si="21"/>
        <v>0</v>
      </c>
      <c r="AY25" s="2">
        <f t="shared" si="22"/>
        <v>0</v>
      </c>
      <c r="AZ25" s="5">
        <f t="shared" si="23"/>
        <v>1.0430363321799305</v>
      </c>
      <c r="BA25">
        <f>Table8[[#This Row],[Model Score2]]</f>
        <v>0</v>
      </c>
      <c r="BB25">
        <f>IFERROR(INDEX(Player_Model!$BG$2:$BG$596,MATCH($A25,Player_Model!$A$2:$A$596,0)),"")</f>
        <v>26</v>
      </c>
      <c r="BC25" t="str">
        <f t="shared" si="24"/>
        <v>AVOID</v>
      </c>
      <c r="BD25">
        <f>IF(H25=1,Table8[[#This Row],[Model Score]],-10000)</f>
        <v>0</v>
      </c>
      <c r="BE25">
        <f>IFERROR(INDEX(Player_Model!$BF$2:$BF$596,MATCH($A25,Player_Model!$A$2:$A$596,0)),"")</f>
        <v>253</v>
      </c>
      <c r="BF25">
        <f>IFERROR(INDEX(Player_Model!$BG$2:$BG$596,MATCH($A25,Player_Model!$A$2:$A$596,0)),"")</f>
        <v>26</v>
      </c>
      <c r="BG25">
        <f>IFERROR(INDEX(Player_Model!$BE$2:$BE$596,MATCH($A25,Player_Model!$A$2:$A$596,0)),0)</f>
        <v>0</v>
      </c>
    </row>
    <row r="26" spans="1:59" x14ac:dyDescent="0.25">
      <c r="A26" t="str">
        <f>tblPlayers[first_name]&amp;" "&amp;tblPlayers[second_name]</f>
        <v>Kai Havertz</v>
      </c>
      <c r="B26" t="str">
        <f>_xlfn.SWITCH(tblPlayers[element_type],1,"GK",2,"DEF",3,"MID",4,"FWD")</f>
        <v>FWD</v>
      </c>
      <c r="C26">
        <f>tblPlayers[team]</f>
        <v>1</v>
      </c>
      <c r="D26" t="str">
        <f>INDEX(tblTeams[Column1.short_name],MATCH(C26,tblTeams[Column1.id],0))</f>
        <v>ARS</v>
      </c>
      <c r="E26" s="4">
        <f>INDEX(FPL_Raw_Data!$F:$F,MATCH(A26,FPL_Raw_Data!$AA:$AA,0))/10</f>
        <v>7.5</v>
      </c>
      <c r="F26" s="4" t="str">
        <f>tblPlayers[[#This Row],[status]]</f>
        <v>a</v>
      </c>
      <c r="G26" s="4" t="b">
        <f>tblPlayers[[#This Row],[can_select]]</f>
        <v>1</v>
      </c>
      <c r="H26">
        <f>IF(AND(Table8[[#This Row],[Availability Status]]="a",Table8[[#This Row],[Can Select]]=TRUE),1,0)</f>
        <v>1</v>
      </c>
      <c r="I26">
        <f>tblPlayers[minutes]</f>
        <v>257</v>
      </c>
      <c r="J26" s="2">
        <f>Table8[[#This Row],[Minutes]]/90</f>
        <v>2.8555555555555556</v>
      </c>
      <c r="K26" s="5">
        <f>IFERROR(Z26/(FIXTURE_ANALYSIS!$B$1-1),0)</f>
        <v>1</v>
      </c>
      <c r="L26">
        <f>tblPlayers[total_points]</f>
        <v>16</v>
      </c>
      <c r="M26">
        <f>tblPlayers[points_per_game]</f>
        <v>5.3</v>
      </c>
      <c r="N26">
        <f>tblPlayers[form]</f>
        <v>5.3</v>
      </c>
      <c r="O26">
        <f>tblPlayers[expected_goals]</f>
        <v>0.55000000000000004</v>
      </c>
      <c r="P26">
        <f>tblPlayers[expected_assists]</f>
        <v>0.33</v>
      </c>
      <c r="Q26">
        <f>tblPlayers[expected_goal_involvements]</f>
        <v>0.88</v>
      </c>
      <c r="R26" s="2">
        <f t="shared" si="0"/>
        <v>5.6031128404669257</v>
      </c>
      <c r="S26" s="5">
        <f t="shared" si="1"/>
        <v>0.19260700389105059</v>
      </c>
      <c r="T26" s="5">
        <f t="shared" si="2"/>
        <v>0.11556420233463036</v>
      </c>
      <c r="U26" s="5">
        <f t="shared" si="3"/>
        <v>0.30817120622568089</v>
      </c>
      <c r="V26" s="3">
        <f t="shared" si="4"/>
        <v>2.1333333333333333</v>
      </c>
      <c r="W26" s="5">
        <f t="shared" si="5"/>
        <v>0.11733333333333333</v>
      </c>
      <c r="X26" s="5">
        <f>IFERROR(IF(OR($B26="MID",$B26="FWD"),INDEX(FIXTURE_ANALYSIS!$Q:$Q,MATCH($D26,FIXTURE_ANALYSIS!$A:$A,0)),INDEX(FIXTURE_ANALYSIS!$R:$R,MATCH($D26,FIXTURE_ANALYSIS!$A:$A,0))),1)</f>
        <v>1.0430363321799305</v>
      </c>
      <c r="Y26" s="5">
        <f t="shared" si="6"/>
        <v>1.0430363321799305</v>
      </c>
      <c r="Z26" s="8">
        <f>INDEX(FPL_Raw_Data!$T:$T,MATCH(A26,FPL_Raw_Data!$AA:$AA,0))</f>
        <v>3</v>
      </c>
      <c r="AA26" s="8">
        <f>INDEX(FPL_Raw_Data!$S:$S,MATCH(A26,FPL_Raw_Data!$AA:$AA,0))</f>
        <v>8</v>
      </c>
      <c r="AB26" s="2">
        <f t="shared" si="7"/>
        <v>0.66666666666666663</v>
      </c>
      <c r="AC26" s="2">
        <f>INDEX(FPL_Raw_Data!$Q:$Q,MATCH(A26,FPL_Raw_Data!$AA:$AA,0))</f>
        <v>2</v>
      </c>
      <c r="AD26" s="8">
        <f>INDEX(FPL_Raw_Data!$R:$R,MATCH(A26,FPL_Raw_Data!$AA:$AA,0))</f>
        <v>77</v>
      </c>
      <c r="AE26" s="8">
        <f>INDEX(FPL_Raw_Data!$N:$N,MATCH(A26,FPL_Raw_Data!$AA:$AA,0))</f>
        <v>2</v>
      </c>
      <c r="AF26" s="8">
        <f>INDEX(FPL_Raw_Data!$L:$L,MATCH(A26,FPL_Raw_Data!$AA:$AA,0))</f>
        <v>2</v>
      </c>
      <c r="AG26" s="2">
        <f>INDEX(FPL_Raw_Data!$M:$M,MATCH(A26,FPL_Raw_Data!$AA:$AA,0))</f>
        <v>0</v>
      </c>
      <c r="AH26" s="2">
        <f t="shared" si="8"/>
        <v>0.77042801556420237</v>
      </c>
      <c r="AI26" s="2">
        <f t="shared" si="9"/>
        <v>0.34669260700389104</v>
      </c>
      <c r="AJ26" s="2">
        <f t="shared" si="10"/>
        <v>2</v>
      </c>
      <c r="AK26" s="2">
        <f t="shared" si="11"/>
        <v>1.3333333333333333</v>
      </c>
      <c r="AL26" s="2">
        <f t="shared" si="12"/>
        <v>0.66666666666666663</v>
      </c>
      <c r="AM26" s="2">
        <f t="shared" si="13"/>
        <v>0</v>
      </c>
      <c r="AN26" s="2">
        <f t="shared" si="14"/>
        <v>0.66666666666666663</v>
      </c>
      <c r="AO26" s="3">
        <f t="shared" si="15"/>
        <v>79.100000000000009</v>
      </c>
      <c r="AP26">
        <f t="shared" si="16"/>
        <v>84.3</v>
      </c>
      <c r="AQ26">
        <f t="shared" si="17"/>
        <v>87.3</v>
      </c>
      <c r="AR26">
        <f t="shared" si="18"/>
        <v>86.8</v>
      </c>
      <c r="AS26" s="2">
        <f t="shared" si="19"/>
        <v>100</v>
      </c>
      <c r="AT26" s="2">
        <f>IFERROR(INDEX(Player_Model!$BC$2:$BC$596,MATCH($A26,Player_Model!$A$2:$A$596,0)),0)</f>
        <v>3.9034783891609734</v>
      </c>
      <c r="AU26" s="2">
        <f>Table8[[#This Row],[Model Expected Points]]*Table8[[#This Row],[Fixture Adjustment]]</f>
        <v>4.071469781774085</v>
      </c>
      <c r="AV26" s="2">
        <f>Table8[[#This Row],[Fixture Adjusted Points / 90]]/Table8[[#This Row],[Price]]</f>
        <v>0.54286263756987796</v>
      </c>
      <c r="AW26">
        <f t="shared" si="20"/>
        <v>81.7</v>
      </c>
      <c r="AX26">
        <f t="shared" si="21"/>
        <v>0</v>
      </c>
      <c r="AY26" s="2">
        <f t="shared" si="22"/>
        <v>100</v>
      </c>
      <c r="AZ26" s="5">
        <f t="shared" si="23"/>
        <v>1.0430363321799305</v>
      </c>
      <c r="BA26">
        <f>Table8[[#This Row],[Model Score2]]</f>
        <v>3.9034783891609734</v>
      </c>
      <c r="BB26">
        <f>IFERROR(INDEX(Player_Model!$BG$2:$BG$596,MATCH($A26,Player_Model!$A$2:$A$596,0)),"")</f>
        <v>17</v>
      </c>
      <c r="BC26" t="str">
        <f t="shared" si="24"/>
        <v>AVOID</v>
      </c>
      <c r="BD26">
        <f>IF(H26=1,Table8[[#This Row],[Model Score]],-10000)</f>
        <v>3.9034783891609734</v>
      </c>
      <c r="BE26">
        <f>IFERROR(INDEX(Player_Model!$BF$2:$BF$596,MATCH($A26,Player_Model!$A$2:$A$596,0)),"")</f>
        <v>158</v>
      </c>
      <c r="BF26">
        <f>IFERROR(INDEX(Player_Model!$BG$2:$BG$596,MATCH($A26,Player_Model!$A$2:$A$596,0)),"")</f>
        <v>17</v>
      </c>
      <c r="BG26">
        <f>IFERROR(INDEX(Player_Model!$BE$2:$BE$596,MATCH($A26,Player_Model!$A$2:$A$596,0)),0)</f>
        <v>3.9034783891609734</v>
      </c>
    </row>
    <row r="27" spans="1:59" x14ac:dyDescent="0.25">
      <c r="A27" t="str">
        <f>tblPlayers[first_name]&amp;" "&amp;tblPlayers[second_name]</f>
        <v>Gabriel Fernando de Jesus</v>
      </c>
      <c r="B27" t="str">
        <f>_xlfn.SWITCH(tblPlayers[element_type],1,"GK",2,"DEF",3,"MID",4,"FWD")</f>
        <v>FWD</v>
      </c>
      <c r="C27">
        <f>tblPlayers[team]</f>
        <v>1</v>
      </c>
      <c r="D27" t="str">
        <f>INDEX(tblTeams[Column1.short_name],MATCH(C27,tblTeams[Column1.id],0))</f>
        <v>ARS</v>
      </c>
      <c r="E27" s="4">
        <f>INDEX(FPL_Raw_Data!$F:$F,MATCH(A27,FPL_Raw_Data!$AA:$AA,0))/10</f>
        <v>5.9</v>
      </c>
      <c r="F27" s="4" t="str">
        <f>tblPlayers[[#This Row],[status]]</f>
        <v>u</v>
      </c>
      <c r="G27" s="4" t="b">
        <f>tblPlayers[[#This Row],[can_select]]</f>
        <v>0</v>
      </c>
      <c r="H27">
        <f>IF(AND(Table8[[#This Row],[Availability Status]]="a",Table8[[#This Row],[Can Select]]=TRUE),1,0)</f>
        <v>0</v>
      </c>
      <c r="I27">
        <f>tblPlayers[minutes]</f>
        <v>0</v>
      </c>
      <c r="J27" s="2">
        <f>Table8[[#This Row],[Minutes]]/90</f>
        <v>0</v>
      </c>
      <c r="K27" s="5">
        <f>IFERROR(Z27/(FIXTURE_ANALYSIS!$B$1-1),0)</f>
        <v>0</v>
      </c>
      <c r="L27">
        <f>tblPlayers[total_points]</f>
        <v>0</v>
      </c>
      <c r="M27">
        <f>tblPlayers[points_per_game]</f>
        <v>0</v>
      </c>
      <c r="N27">
        <f>tblPlayers[form]</f>
        <v>0</v>
      </c>
      <c r="O27">
        <f>tblPlayers[expected_goals]</f>
        <v>0</v>
      </c>
      <c r="P27">
        <f>tblPlayers[expected_assists]</f>
        <v>0</v>
      </c>
      <c r="Q27">
        <f>tblPlayers[expected_goal_involvements]</f>
        <v>0</v>
      </c>
      <c r="R27" s="2">
        <f t="shared" si="0"/>
        <v>0</v>
      </c>
      <c r="S27" s="5">
        <f t="shared" si="1"/>
        <v>0</v>
      </c>
      <c r="T27" s="5">
        <f t="shared" si="2"/>
        <v>0</v>
      </c>
      <c r="U27" s="5">
        <f t="shared" si="3"/>
        <v>0</v>
      </c>
      <c r="V27" s="3">
        <f t="shared" si="4"/>
        <v>0</v>
      </c>
      <c r="W27" s="5">
        <f t="shared" si="5"/>
        <v>0</v>
      </c>
      <c r="X27" s="5">
        <f>IFERROR(IF(OR($B27="MID",$B27="FWD"),INDEX(FIXTURE_ANALYSIS!$Q:$Q,MATCH($D27,FIXTURE_ANALYSIS!$A:$A,0)),INDEX(FIXTURE_ANALYSIS!$R:$R,MATCH($D27,FIXTURE_ANALYSIS!$A:$A,0))),1)</f>
        <v>1.0430363321799305</v>
      </c>
      <c r="Y27" s="5">
        <f t="shared" si="6"/>
        <v>1.0430363321799305</v>
      </c>
      <c r="Z27" s="8">
        <f>INDEX(FPL_Raw_Data!$T:$T,MATCH(A27,FPL_Raw_Data!$AA:$AA,0))</f>
        <v>0</v>
      </c>
      <c r="AA27" s="8">
        <f>INDEX(FPL_Raw_Data!$S:$S,MATCH(A27,FPL_Raw_Data!$AA:$AA,0))</f>
        <v>0</v>
      </c>
      <c r="AB27" s="2">
        <f t="shared" si="7"/>
        <v>0</v>
      </c>
      <c r="AC27" s="2">
        <f>INDEX(FPL_Raw_Data!$Q:$Q,MATCH(A27,FPL_Raw_Data!$AA:$AA,0))</f>
        <v>0</v>
      </c>
      <c r="AD27" s="8">
        <f>INDEX(FPL_Raw_Data!$R:$R,MATCH(A27,FPL_Raw_Data!$AA:$AA,0))</f>
        <v>0</v>
      </c>
      <c r="AE27" s="8">
        <f>INDEX(FPL_Raw_Data!$N:$N,MATCH(A27,FPL_Raw_Data!$AA:$AA,0))</f>
        <v>0</v>
      </c>
      <c r="AF27" s="8">
        <f>INDEX(FPL_Raw_Data!$L:$L,MATCH(A27,FPL_Raw_Data!$AA:$AA,0))</f>
        <v>0</v>
      </c>
      <c r="AG27" s="2">
        <f>INDEX(FPL_Raw_Data!$M:$M,MATCH(A27,FPL_Raw_Data!$AA:$AA,0))</f>
        <v>0</v>
      </c>
      <c r="AH27" s="2">
        <f t="shared" si="8"/>
        <v>0</v>
      </c>
      <c r="AI27" s="2">
        <f t="shared" si="9"/>
        <v>0</v>
      </c>
      <c r="AJ27" s="2">
        <f t="shared" si="10"/>
        <v>0</v>
      </c>
      <c r="AK27" s="2">
        <f t="shared" si="11"/>
        <v>0</v>
      </c>
      <c r="AL27" s="2">
        <f t="shared" si="12"/>
        <v>0</v>
      </c>
      <c r="AM27" s="2">
        <f t="shared" si="13"/>
        <v>0</v>
      </c>
      <c r="AN27" s="2">
        <f t="shared" si="14"/>
        <v>0</v>
      </c>
      <c r="AO27" s="3">
        <f t="shared" si="15"/>
        <v>0.1</v>
      </c>
      <c r="AP27">
        <f t="shared" si="16"/>
        <v>0</v>
      </c>
      <c r="AQ27">
        <f t="shared" si="17"/>
        <v>0.1</v>
      </c>
      <c r="AR27">
        <f t="shared" si="18"/>
        <v>0</v>
      </c>
      <c r="AS27" s="2">
        <f t="shared" si="19"/>
        <v>0</v>
      </c>
      <c r="AT27" s="2">
        <f>IFERROR(INDEX(Player_Model!$BC$2:$BC$596,MATCH($A27,Player_Model!$A$2:$A$596,0)),0)</f>
        <v>0</v>
      </c>
      <c r="AU27" s="2">
        <f>Table8[[#This Row],[Model Expected Points]]*Table8[[#This Row],[Fixture Adjustment]]</f>
        <v>0</v>
      </c>
      <c r="AV27" s="2">
        <f>Table8[[#This Row],[Fixture Adjusted Points / 90]]/Table8[[#This Row],[Price]]</f>
        <v>0</v>
      </c>
      <c r="AW27">
        <f t="shared" si="20"/>
        <v>0.05</v>
      </c>
      <c r="AX27">
        <f t="shared" si="21"/>
        <v>0</v>
      </c>
      <c r="AY27" s="2">
        <f t="shared" si="22"/>
        <v>0</v>
      </c>
      <c r="AZ27" s="5">
        <f t="shared" si="23"/>
        <v>1.0430363321799305</v>
      </c>
      <c r="BA27">
        <f>Table8[[#This Row],[Model Score2]]</f>
        <v>0</v>
      </c>
      <c r="BB27">
        <f>IFERROR(INDEX(Player_Model!$BG$2:$BG$596,MATCH($A27,Player_Model!$A$2:$A$596,0)),"")</f>
        <v>27</v>
      </c>
      <c r="BC27" t="str">
        <f t="shared" si="24"/>
        <v>AVOID</v>
      </c>
      <c r="BD27">
        <f>IF(H27=1,Table8[[#This Row],[Model Score]],-10000)</f>
        <v>-10000</v>
      </c>
      <c r="BE27">
        <f>IFERROR(INDEX(Player_Model!$BF$2:$BF$596,MATCH($A27,Player_Model!$A$2:$A$596,0)),"")</f>
        <v>253</v>
      </c>
      <c r="BF27">
        <f>IFERROR(INDEX(Player_Model!$BG$2:$BG$596,MATCH($A27,Player_Model!$A$2:$A$596,0)),"")</f>
        <v>27</v>
      </c>
      <c r="BG27">
        <f>IFERROR(INDEX(Player_Model!$BE$2:$BE$596,MATCH($A27,Player_Model!$A$2:$A$596,0)),0)</f>
        <v>0</v>
      </c>
    </row>
    <row r="28" spans="1:59" x14ac:dyDescent="0.25">
      <c r="A28" t="str">
        <f>tblPlayers[first_name]&amp;" "&amp;tblPlayers[second_name]</f>
        <v>Ezri Konsa Ngoyo</v>
      </c>
      <c r="B28" t="str">
        <f>_xlfn.SWITCH(tblPlayers[element_type],1,"GK",2,"DEF",3,"MID",4,"FWD")</f>
        <v>DEF</v>
      </c>
      <c r="C28">
        <f>tblPlayers[team]</f>
        <v>1</v>
      </c>
      <c r="D28" t="str">
        <f>INDEX(tblTeams[Column1.short_name],MATCH(C28,tblTeams[Column1.id],0))</f>
        <v>ARS</v>
      </c>
      <c r="E28" s="4">
        <f>INDEX(FPL_Raw_Data!$F:$F,MATCH(A28,FPL_Raw_Data!$AA:$AA,0))/10</f>
        <v>4.4000000000000004</v>
      </c>
      <c r="F28" s="4" t="str">
        <f>tblPlayers[[#This Row],[status]]</f>
        <v>a</v>
      </c>
      <c r="G28" s="4" t="b">
        <f>tblPlayers[[#This Row],[can_select]]</f>
        <v>1</v>
      </c>
      <c r="H28">
        <f>IF(AND(Table8[[#This Row],[Availability Status]]="a",Table8[[#This Row],[Can Select]]=TRUE),1,0)</f>
        <v>1</v>
      </c>
      <c r="I28">
        <f>tblPlayers[minutes]</f>
        <v>101</v>
      </c>
      <c r="J28" s="2">
        <f>Table8[[#This Row],[Minutes]]/90</f>
        <v>1.1222222222222222</v>
      </c>
      <c r="K28" s="5">
        <f>IFERROR(Z28/(FIXTURE_ANALYSIS!$B$1-1),0)</f>
        <v>0.33333333333333331</v>
      </c>
      <c r="L28">
        <f>tblPlayers[total_points]</f>
        <v>5</v>
      </c>
      <c r="M28">
        <f>tblPlayers[points_per_game]</f>
        <v>2.5</v>
      </c>
      <c r="N28">
        <f>tblPlayers[form]</f>
        <v>1.7</v>
      </c>
      <c r="O28">
        <f>tblPlayers[expected_goals]</f>
        <v>0</v>
      </c>
      <c r="P28">
        <f>tblPlayers[expected_assists]</f>
        <v>0.01</v>
      </c>
      <c r="Q28">
        <f>tblPlayers[expected_goal_involvements]</f>
        <v>0.01</v>
      </c>
      <c r="R28" s="2">
        <f t="shared" si="0"/>
        <v>4.4554455445544559</v>
      </c>
      <c r="S28" s="5">
        <f t="shared" si="1"/>
        <v>0</v>
      </c>
      <c r="T28" s="5">
        <f t="shared" si="2"/>
        <v>8.9108910891089119E-3</v>
      </c>
      <c r="U28" s="5">
        <f t="shared" si="3"/>
        <v>8.9108910891089119E-3</v>
      </c>
      <c r="V28" s="3">
        <f t="shared" si="4"/>
        <v>1.1363636363636362</v>
      </c>
      <c r="W28" s="5">
        <f t="shared" si="5"/>
        <v>2.2727272727272726E-3</v>
      </c>
      <c r="X28" s="5">
        <f>IFERROR(IF(OR($B28="MID",$B28="FWD"),INDEX(FIXTURE_ANALYSIS!$Q:$Q,MATCH($D28,FIXTURE_ANALYSIS!$A:$A,0)),INDEX(FIXTURE_ANALYSIS!$R:$R,MATCH($D28,FIXTURE_ANALYSIS!$A:$A,0))),1)</f>
        <v>1.1808551992225462</v>
      </c>
      <c r="Y28" s="5">
        <f t="shared" si="6"/>
        <v>1.1808551992225462</v>
      </c>
      <c r="Z28" s="8">
        <f>INDEX(FPL_Raw_Data!$T:$T,MATCH(A28,FPL_Raw_Data!$AA:$AA,0))</f>
        <v>1</v>
      </c>
      <c r="AA28" s="8">
        <f>INDEX(FPL_Raw_Data!$S:$S,MATCH(A28,FPL_Raw_Data!$AA:$AA,0))</f>
        <v>11</v>
      </c>
      <c r="AB28" s="2">
        <f t="shared" si="7"/>
        <v>1</v>
      </c>
      <c r="AC28" s="2">
        <f>INDEX(FPL_Raw_Data!$Q:$Q,MATCH(A28,FPL_Raw_Data!$AA:$AA,0))</f>
        <v>0</v>
      </c>
      <c r="AD28" s="8">
        <f>INDEX(FPL_Raw_Data!$R:$R,MATCH(A28,FPL_Raw_Data!$AA:$AA,0))</f>
        <v>18</v>
      </c>
      <c r="AE28" s="8">
        <f>INDEX(FPL_Raw_Data!$N:$N,MATCH(A28,FPL_Raw_Data!$AA:$AA,0))</f>
        <v>0</v>
      </c>
      <c r="AF28" s="8">
        <f>INDEX(FPL_Raw_Data!$L:$L,MATCH(A28,FPL_Raw_Data!$AA:$AA,0))</f>
        <v>0</v>
      </c>
      <c r="AG28" s="2">
        <f>INDEX(FPL_Raw_Data!$M:$M,MATCH(A28,FPL_Raw_Data!$AA:$AA,0))</f>
        <v>0</v>
      </c>
      <c r="AH28" s="2">
        <f t="shared" si="8"/>
        <v>0</v>
      </c>
      <c r="AI28" s="2">
        <f t="shared" si="9"/>
        <v>2.6732673267326736E-2</v>
      </c>
      <c r="AJ28" s="2">
        <f t="shared" si="10"/>
        <v>0.66666666666666663</v>
      </c>
      <c r="AK28" s="2">
        <f t="shared" si="11"/>
        <v>2</v>
      </c>
      <c r="AL28" s="2">
        <f t="shared" si="12"/>
        <v>0</v>
      </c>
      <c r="AM28" s="2">
        <f t="shared" si="13"/>
        <v>0</v>
      </c>
      <c r="AN28" s="2">
        <f t="shared" si="14"/>
        <v>0</v>
      </c>
      <c r="AO28" s="3">
        <f t="shared" si="15"/>
        <v>72.7</v>
      </c>
      <c r="AP28">
        <f t="shared" si="16"/>
        <v>53</v>
      </c>
      <c r="AQ28">
        <f t="shared" si="17"/>
        <v>71.5</v>
      </c>
      <c r="AR28">
        <f t="shared" si="18"/>
        <v>53.7</v>
      </c>
      <c r="AS28" s="2">
        <f t="shared" si="19"/>
        <v>33.333333333333329</v>
      </c>
      <c r="AT28" s="2">
        <f>IFERROR(INDEX(Player_Model!$BC$2:$BC$596,MATCH($A28,Player_Model!$A$2:$A$596,0)),0)</f>
        <v>4.2138680799806369</v>
      </c>
      <c r="AU28" s="2">
        <f>Table8[[#This Row],[Model Expected Points]]*Table8[[#This Row],[Fixture Adjustment]]</f>
        <v>4.9759680310830632</v>
      </c>
      <c r="AV28" s="2">
        <f>Table8[[#This Row],[Fixture Adjusted Points / 90]]/Table8[[#This Row],[Price]]</f>
        <v>1.1309018252461507</v>
      </c>
      <c r="AW28">
        <f t="shared" si="20"/>
        <v>53</v>
      </c>
      <c r="AX28">
        <f t="shared" si="21"/>
        <v>1.0904275996112731</v>
      </c>
      <c r="AY28" s="2">
        <f t="shared" si="22"/>
        <v>33.333333333333329</v>
      </c>
      <c r="AZ28" s="5">
        <f t="shared" si="23"/>
        <v>1.1808551992225462</v>
      </c>
      <c r="BA28">
        <f>Table8[[#This Row],[Model Score2]]</f>
        <v>4.2138680799806369</v>
      </c>
      <c r="BB28">
        <f>IFERROR(INDEX(Player_Model!$BG$2:$BG$596,MATCH($A28,Player_Model!$A$2:$A$596,0)),"")</f>
        <v>48</v>
      </c>
      <c r="BC28" t="str">
        <f t="shared" si="24"/>
        <v>AVOID</v>
      </c>
      <c r="BD28">
        <f>IF(H28=1,Table8[[#This Row],[Model Score]],-10000)</f>
        <v>4.2138680799806369</v>
      </c>
      <c r="BE28">
        <f>IFERROR(INDEX(Player_Model!$BF$2:$BF$596,MATCH($A28,Player_Model!$A$2:$A$596,0)),"")</f>
        <v>142</v>
      </c>
      <c r="BF28">
        <f>IFERROR(INDEX(Player_Model!$BG$2:$BG$596,MATCH($A28,Player_Model!$A$2:$A$596,0)),"")</f>
        <v>48</v>
      </c>
      <c r="BG28">
        <f>IFERROR(INDEX(Player_Model!$BE$2:$BE$596,MATCH($A28,Player_Model!$A$2:$A$596,0)),0)</f>
        <v>4.2138680799806369</v>
      </c>
    </row>
    <row r="29" spans="1:59" x14ac:dyDescent="0.25">
      <c r="A29" t="str">
        <f>tblPlayers[first_name]&amp;" "&amp;tblPlayers[second_name]</f>
        <v>Bruno Guimarães Rodriguez Moura</v>
      </c>
      <c r="B29" t="str">
        <f>_xlfn.SWITCH(tblPlayers[element_type],1,"GK",2,"DEF",3,"MID",4,"FWD")</f>
        <v>MID</v>
      </c>
      <c r="C29">
        <f>tblPlayers[team]</f>
        <v>1</v>
      </c>
      <c r="D29" t="str">
        <f>INDEX(tblTeams[Column1.short_name],MATCH(C29,tblTeams[Column1.id],0))</f>
        <v>ARS</v>
      </c>
      <c r="E29" s="4">
        <f>INDEX(FPL_Raw_Data!$F:$F,MATCH(A29,FPL_Raw_Data!$AA:$AA,0))/10</f>
        <v>6.8</v>
      </c>
      <c r="F29" s="4" t="str">
        <f>tblPlayers[[#This Row],[status]]</f>
        <v>a</v>
      </c>
      <c r="G29" s="4" t="b">
        <f>tblPlayers[[#This Row],[can_select]]</f>
        <v>1</v>
      </c>
      <c r="H29">
        <f>IF(AND(Table8[[#This Row],[Availability Status]]="a",Table8[[#This Row],[Can Select]]=TRUE),1,0)</f>
        <v>1</v>
      </c>
      <c r="I29">
        <f>tblPlayers[minutes]</f>
        <v>19</v>
      </c>
      <c r="J29" s="2">
        <f>Table8[[#This Row],[Minutes]]/90</f>
        <v>0.21111111111111111</v>
      </c>
      <c r="K29" s="5">
        <f>IFERROR(Z29/(FIXTURE_ANALYSIS!$B$1-1),0)</f>
        <v>0</v>
      </c>
      <c r="L29">
        <f>tblPlayers[total_points]</f>
        <v>1</v>
      </c>
      <c r="M29">
        <f>tblPlayers[points_per_game]</f>
        <v>1</v>
      </c>
      <c r="N29">
        <f>tblPlayers[form]</f>
        <v>0.3</v>
      </c>
      <c r="O29">
        <f>tblPlayers[expected_goals]</f>
        <v>0</v>
      </c>
      <c r="P29">
        <f>tblPlayers[expected_assists]</f>
        <v>0.01</v>
      </c>
      <c r="Q29">
        <f>tblPlayers[expected_goal_involvements]</f>
        <v>0.01</v>
      </c>
      <c r="R29" s="2">
        <f t="shared" si="0"/>
        <v>4.7368421052631575</v>
      </c>
      <c r="S29" s="5">
        <f t="shared" si="1"/>
        <v>0</v>
      </c>
      <c r="T29" s="5">
        <f t="shared" si="2"/>
        <v>4.736842105263158E-2</v>
      </c>
      <c r="U29" s="5">
        <f t="shared" si="3"/>
        <v>4.736842105263158E-2</v>
      </c>
      <c r="V29" s="3">
        <f t="shared" si="4"/>
        <v>0.14705882352941177</v>
      </c>
      <c r="W29" s="5">
        <f t="shared" si="5"/>
        <v>1.4705882352941176E-3</v>
      </c>
      <c r="X29" s="5">
        <f>IFERROR(IF(OR($B29="MID",$B29="FWD"),INDEX(FIXTURE_ANALYSIS!$Q:$Q,MATCH($D29,FIXTURE_ANALYSIS!$A:$A,0)),INDEX(FIXTURE_ANALYSIS!$R:$R,MATCH($D29,FIXTURE_ANALYSIS!$A:$A,0))),1)</f>
        <v>1.0430363321799305</v>
      </c>
      <c r="Y29" s="5">
        <f t="shared" si="6"/>
        <v>1.0430363321799305</v>
      </c>
      <c r="Z29" s="8">
        <f>INDEX(FPL_Raw_Data!$T:$T,MATCH(A29,FPL_Raw_Data!$AA:$AA,0))</f>
        <v>0</v>
      </c>
      <c r="AA29" s="8">
        <f>INDEX(FPL_Raw_Data!$S:$S,MATCH(A29,FPL_Raw_Data!$AA:$AA,0))</f>
        <v>3</v>
      </c>
      <c r="AB29" s="2">
        <f t="shared" si="7"/>
        <v>0.25</v>
      </c>
      <c r="AC29" s="2">
        <f>INDEX(FPL_Raw_Data!$Q:$Q,MATCH(A29,FPL_Raw_Data!$AA:$AA,0))</f>
        <v>0</v>
      </c>
      <c r="AD29" s="8">
        <f>INDEX(FPL_Raw_Data!$R:$R,MATCH(A29,FPL_Raw_Data!$AA:$AA,0))</f>
        <v>4</v>
      </c>
      <c r="AE29" s="8">
        <f>INDEX(FPL_Raw_Data!$N:$N,MATCH(A29,FPL_Raw_Data!$AA:$AA,0))</f>
        <v>0</v>
      </c>
      <c r="AF29" s="8">
        <f>INDEX(FPL_Raw_Data!$L:$L,MATCH(A29,FPL_Raw_Data!$AA:$AA,0))</f>
        <v>0</v>
      </c>
      <c r="AG29" s="2">
        <f>INDEX(FPL_Raw_Data!$M:$M,MATCH(A29,FPL_Raw_Data!$AA:$AA,0))</f>
        <v>0</v>
      </c>
      <c r="AH29" s="2">
        <f t="shared" si="8"/>
        <v>0</v>
      </c>
      <c r="AI29" s="2">
        <f t="shared" si="9"/>
        <v>0.14210526315789473</v>
      </c>
      <c r="AJ29" s="2">
        <f t="shared" si="10"/>
        <v>0</v>
      </c>
      <c r="AK29" s="2">
        <f t="shared" si="11"/>
        <v>0.5</v>
      </c>
      <c r="AL29" s="2">
        <f t="shared" si="12"/>
        <v>0</v>
      </c>
      <c r="AM29" s="2">
        <f t="shared" si="13"/>
        <v>0</v>
      </c>
      <c r="AN29" s="2">
        <f t="shared" si="14"/>
        <v>0</v>
      </c>
      <c r="AO29" s="3">
        <f t="shared" si="15"/>
        <v>74</v>
      </c>
      <c r="AP29">
        <f t="shared" si="16"/>
        <v>60.9</v>
      </c>
      <c r="AQ29">
        <f t="shared" si="17"/>
        <v>41.4</v>
      </c>
      <c r="AR29">
        <f t="shared" si="18"/>
        <v>50.8</v>
      </c>
      <c r="AS29" s="2">
        <f t="shared" si="19"/>
        <v>0</v>
      </c>
      <c r="AT29" s="2">
        <f>IFERROR(INDEX(Player_Model!$BC$2:$BC$596,MATCH($A29,Player_Model!$A$2:$A$596,0)),0)</f>
        <v>0</v>
      </c>
      <c r="AU29" s="2">
        <f>Table8[[#This Row],[Model Expected Points]]*Table8[[#This Row],[Fixture Adjustment]]</f>
        <v>0</v>
      </c>
      <c r="AV29" s="2">
        <f>Table8[[#This Row],[Fixture Adjusted Points / 90]]/Table8[[#This Row],[Price]]</f>
        <v>0</v>
      </c>
      <c r="AW29">
        <f t="shared" si="20"/>
        <v>67.45</v>
      </c>
      <c r="AX29">
        <f t="shared" si="21"/>
        <v>0.25</v>
      </c>
      <c r="AY29" s="2">
        <f t="shared" si="22"/>
        <v>0</v>
      </c>
      <c r="AZ29" s="5">
        <f t="shared" si="23"/>
        <v>1.0430363321799305</v>
      </c>
      <c r="BA29">
        <f>Table8[[#This Row],[Model Score2]]</f>
        <v>0</v>
      </c>
      <c r="BB29">
        <f>IFERROR(INDEX(Player_Model!$BG$2:$BG$596,MATCH($A29,Player_Model!$A$2:$A$596,0)),"")</f>
        <v>120</v>
      </c>
      <c r="BC29" t="str">
        <f t="shared" si="24"/>
        <v>AVOID</v>
      </c>
      <c r="BD29">
        <f>IF(H29=1,Table8[[#This Row],[Model Score]],-10000)</f>
        <v>0</v>
      </c>
      <c r="BE29">
        <f>IFERROR(INDEX(Player_Model!$BF$2:$BF$596,MATCH($A29,Player_Model!$A$2:$A$596,0)),"")</f>
        <v>253</v>
      </c>
      <c r="BF29">
        <f>IFERROR(INDEX(Player_Model!$BG$2:$BG$596,MATCH($A29,Player_Model!$A$2:$A$596,0)),"")</f>
        <v>120</v>
      </c>
      <c r="BG29">
        <f>IFERROR(INDEX(Player_Model!$BE$2:$BE$596,MATCH($A29,Player_Model!$A$2:$A$596,0)),0)</f>
        <v>0</v>
      </c>
    </row>
    <row r="30" spans="1:59" x14ac:dyDescent="0.25">
      <c r="A30" t="str">
        <f>tblPlayers[first_name]&amp;" "&amp;tblPlayers[second_name]</f>
        <v>Christos Tzolis</v>
      </c>
      <c r="B30" t="str">
        <f>_xlfn.SWITCH(tblPlayers[element_type],1,"GK",2,"DEF",3,"MID",4,"FWD")</f>
        <v>MID</v>
      </c>
      <c r="C30">
        <f>tblPlayers[team]</f>
        <v>1</v>
      </c>
      <c r="D30" t="str">
        <f>INDEX(tblTeams[Column1.short_name],MATCH(C30,tblTeams[Column1.id],0))</f>
        <v>ARS</v>
      </c>
      <c r="E30" s="4">
        <f>INDEX(FPL_Raw_Data!$F:$F,MATCH(A30,FPL_Raw_Data!$AA:$AA,0))/10</f>
        <v>6.5</v>
      </c>
      <c r="F30" s="4" t="str">
        <f>tblPlayers[[#This Row],[status]]</f>
        <v>a</v>
      </c>
      <c r="G30" s="4" t="b">
        <f>tblPlayers[[#This Row],[can_select]]</f>
        <v>1</v>
      </c>
      <c r="H30">
        <f>IF(AND(Table8[[#This Row],[Availability Status]]="a",Table8[[#This Row],[Can Select]]=TRUE),1,0)</f>
        <v>1</v>
      </c>
      <c r="I30">
        <f>tblPlayers[minutes]</f>
        <v>210</v>
      </c>
      <c r="J30" s="2">
        <f>Table8[[#This Row],[Minutes]]/90</f>
        <v>2.3333333333333335</v>
      </c>
      <c r="K30" s="5">
        <f>IFERROR(Z30/(FIXTURE_ANALYSIS!$B$1-1),0)</f>
        <v>1</v>
      </c>
      <c r="L30">
        <f>tblPlayers[total_points]</f>
        <v>11</v>
      </c>
      <c r="M30">
        <f>tblPlayers[points_per_game]</f>
        <v>3.7</v>
      </c>
      <c r="N30">
        <f>tblPlayers[form]</f>
        <v>3.7</v>
      </c>
      <c r="O30">
        <f>tblPlayers[expected_goals]</f>
        <v>0.19</v>
      </c>
      <c r="P30">
        <f>tblPlayers[expected_assists]</f>
        <v>0.35</v>
      </c>
      <c r="Q30">
        <f>tblPlayers[expected_goal_involvements]</f>
        <v>0.54</v>
      </c>
      <c r="R30" s="2">
        <f t="shared" si="0"/>
        <v>4.7142857142857144</v>
      </c>
      <c r="S30" s="5">
        <f t="shared" si="1"/>
        <v>8.1428571428571433E-2</v>
      </c>
      <c r="T30" s="5">
        <f t="shared" si="2"/>
        <v>0.15</v>
      </c>
      <c r="U30" s="5">
        <f t="shared" si="3"/>
        <v>0.23142857142857146</v>
      </c>
      <c r="V30" s="3">
        <f t="shared" si="4"/>
        <v>1.6923076923076923</v>
      </c>
      <c r="W30" s="5">
        <f t="shared" si="5"/>
        <v>8.3076923076923076E-2</v>
      </c>
      <c r="X30" s="5">
        <f>IFERROR(IF(OR($B30="MID",$B30="FWD"),INDEX(FIXTURE_ANALYSIS!$Q:$Q,MATCH($D30,FIXTURE_ANALYSIS!$A:$A,0)),INDEX(FIXTURE_ANALYSIS!$R:$R,MATCH($D30,FIXTURE_ANALYSIS!$A:$A,0))),1)</f>
        <v>1.0430363321799305</v>
      </c>
      <c r="Y30" s="5">
        <f t="shared" si="6"/>
        <v>1.0430363321799305</v>
      </c>
      <c r="Z30" s="8">
        <f>INDEX(FPL_Raw_Data!$T:$T,MATCH(A30,FPL_Raw_Data!$AA:$AA,0))</f>
        <v>3</v>
      </c>
      <c r="AA30" s="8">
        <f>INDEX(FPL_Raw_Data!$S:$S,MATCH(A30,FPL_Raw_Data!$AA:$AA,0))</f>
        <v>17</v>
      </c>
      <c r="AB30" s="2">
        <f t="shared" si="7"/>
        <v>1</v>
      </c>
      <c r="AC30" s="2">
        <f>INDEX(FPL_Raw_Data!$Q:$Q,MATCH(A30,FPL_Raw_Data!$AA:$AA,0))</f>
        <v>1</v>
      </c>
      <c r="AD30" s="8">
        <f>INDEX(FPL_Raw_Data!$R:$R,MATCH(A30,FPL_Raw_Data!$AA:$AA,0))</f>
        <v>62</v>
      </c>
      <c r="AE30" s="8">
        <f>INDEX(FPL_Raw_Data!$N:$N,MATCH(A30,FPL_Raw_Data!$AA:$AA,0))</f>
        <v>1</v>
      </c>
      <c r="AF30" s="8">
        <f>INDEX(FPL_Raw_Data!$L:$L,MATCH(A30,FPL_Raw_Data!$AA:$AA,0))</f>
        <v>0</v>
      </c>
      <c r="AG30" s="2">
        <f>INDEX(FPL_Raw_Data!$M:$M,MATCH(A30,FPL_Raw_Data!$AA:$AA,0))</f>
        <v>2</v>
      </c>
      <c r="AH30" s="2">
        <f t="shared" si="8"/>
        <v>0.40714285714285714</v>
      </c>
      <c r="AI30" s="2">
        <f t="shared" si="9"/>
        <v>0.44999999999999996</v>
      </c>
      <c r="AJ30" s="2">
        <f t="shared" si="10"/>
        <v>2</v>
      </c>
      <c r="AK30" s="2">
        <f t="shared" si="11"/>
        <v>2</v>
      </c>
      <c r="AL30" s="2">
        <f t="shared" si="12"/>
        <v>0.33333333333333331</v>
      </c>
      <c r="AM30" s="2">
        <f t="shared" si="13"/>
        <v>0.33333333333333331</v>
      </c>
      <c r="AN30" s="2">
        <f t="shared" si="14"/>
        <v>0.33333333333333331</v>
      </c>
      <c r="AO30" s="3">
        <f t="shared" si="15"/>
        <v>73.900000000000006</v>
      </c>
      <c r="AP30">
        <f t="shared" si="16"/>
        <v>78.7</v>
      </c>
      <c r="AQ30">
        <f t="shared" si="17"/>
        <v>82.6</v>
      </c>
      <c r="AR30">
        <f t="shared" si="18"/>
        <v>82.399999999999991</v>
      </c>
      <c r="AS30" s="2">
        <f t="shared" si="19"/>
        <v>100</v>
      </c>
      <c r="AT30" s="2">
        <f>IFERROR(INDEX(Player_Model!$BC$2:$BC$596,MATCH($A30,Player_Model!$A$2:$A$596,0)),0)</f>
        <v>4.5943267012687423</v>
      </c>
      <c r="AU30" s="2">
        <f>Table8[[#This Row],[Model Expected Points]]*Table8[[#This Row],[Fixture Adjustment]]</f>
        <v>4.7920496713276686</v>
      </c>
      <c r="AV30" s="2">
        <f>Table8[[#This Row],[Fixture Adjusted Points / 90]]/Table8[[#This Row],[Price]]</f>
        <v>0.73723841097348752</v>
      </c>
      <c r="AW30">
        <f t="shared" si="20"/>
        <v>76.300000000000011</v>
      </c>
      <c r="AX30">
        <f t="shared" si="21"/>
        <v>1</v>
      </c>
      <c r="AY30" s="2">
        <f t="shared" si="22"/>
        <v>100</v>
      </c>
      <c r="AZ30" s="5">
        <f t="shared" si="23"/>
        <v>1.0430363321799305</v>
      </c>
      <c r="BA30">
        <f>Table8[[#This Row],[Model Score2]]</f>
        <v>4.5943267012687423</v>
      </c>
      <c r="BB30">
        <f>IFERROR(INDEX(Player_Model!$BG$2:$BG$596,MATCH($A30,Player_Model!$A$2:$A$596,0)),"")</f>
        <v>56</v>
      </c>
      <c r="BC30" t="str">
        <f t="shared" si="24"/>
        <v>AVOID</v>
      </c>
      <c r="BD30">
        <f>IF(H30=1,Table8[[#This Row],[Model Score]],-10000)</f>
        <v>4.5943267012687423</v>
      </c>
      <c r="BE30">
        <f>IFERROR(INDEX(Player_Model!$BF$2:$BF$596,MATCH($A30,Player_Model!$A$2:$A$596,0)),"")</f>
        <v>120</v>
      </c>
      <c r="BF30">
        <f>IFERROR(INDEX(Player_Model!$BG$2:$BG$596,MATCH($A30,Player_Model!$A$2:$A$596,0)),"")</f>
        <v>56</v>
      </c>
      <c r="BG30">
        <f>IFERROR(INDEX(Player_Model!$BE$2:$BE$596,MATCH($A30,Player_Model!$A$2:$A$596,0)),0)</f>
        <v>4.5943267012687423</v>
      </c>
    </row>
    <row r="31" spans="1:59" x14ac:dyDescent="0.25">
      <c r="A31" t="str">
        <f>tblPlayers[first_name]&amp;" "&amp;tblPlayers[second_name]</f>
        <v>Marco Bizot</v>
      </c>
      <c r="B31" t="str">
        <f>_xlfn.SWITCH(tblPlayers[element_type],1,"GK",2,"DEF",3,"MID",4,"FWD")</f>
        <v>GK</v>
      </c>
      <c r="C31">
        <f>tblPlayers[team]</f>
        <v>2</v>
      </c>
      <c r="D31" t="str">
        <f>INDEX(tblTeams[Column1.short_name],MATCH(C31,tblTeams[Column1.id],0))</f>
        <v>AVL</v>
      </c>
      <c r="E31" s="4">
        <f>INDEX(FPL_Raw_Data!$F:$F,MATCH(A31,FPL_Raw_Data!$AA:$AA,0))/10</f>
        <v>4.5</v>
      </c>
      <c r="F31" s="4" t="str">
        <f>tblPlayers[[#This Row],[status]]</f>
        <v>a</v>
      </c>
      <c r="G31" s="4" t="b">
        <f>tblPlayers[[#This Row],[can_select]]</f>
        <v>1</v>
      </c>
      <c r="H31">
        <f>IF(AND(Table8[[#This Row],[Availability Status]]="a",Table8[[#This Row],[Can Select]]=TRUE),1,0)</f>
        <v>1</v>
      </c>
      <c r="I31">
        <f>tblPlayers[minutes]</f>
        <v>90</v>
      </c>
      <c r="J31" s="2">
        <f>Table8[[#This Row],[Minutes]]/90</f>
        <v>1</v>
      </c>
      <c r="K31" s="5">
        <f>IFERROR(Z31/(FIXTURE_ANALYSIS!$B$1-1),0)</f>
        <v>0.33333333333333331</v>
      </c>
      <c r="L31">
        <f>tblPlayers[total_points]</f>
        <v>1</v>
      </c>
      <c r="M31">
        <f>tblPlayers[points_per_game]</f>
        <v>1</v>
      </c>
      <c r="N31">
        <f>tblPlayers[form]</f>
        <v>0.3</v>
      </c>
      <c r="O31">
        <f>tblPlayers[expected_goals]</f>
        <v>0</v>
      </c>
      <c r="P31">
        <f>tblPlayers[expected_assists]</f>
        <v>0</v>
      </c>
      <c r="Q31">
        <f>tblPlayers[expected_goal_involvements]</f>
        <v>0</v>
      </c>
      <c r="R31" s="2">
        <f t="shared" si="0"/>
        <v>1</v>
      </c>
      <c r="S31" s="5">
        <f t="shared" si="1"/>
        <v>0</v>
      </c>
      <c r="T31" s="5">
        <f t="shared" si="2"/>
        <v>0</v>
      </c>
      <c r="U31" s="5">
        <f t="shared" si="3"/>
        <v>0</v>
      </c>
      <c r="V31" s="3">
        <f t="shared" si="4"/>
        <v>0.22222222222222221</v>
      </c>
      <c r="W31" s="5">
        <f t="shared" si="5"/>
        <v>0</v>
      </c>
      <c r="X31" s="5">
        <f>IFERROR(IF(OR($B31="MID",$B31="FWD"),INDEX(FIXTURE_ANALYSIS!$Q:$Q,MATCH($D31,FIXTURE_ANALYSIS!$A:$A,0)),INDEX(FIXTURE_ANALYSIS!$R:$R,MATCH($D31,FIXTURE_ANALYSIS!$A:$A,0))),1)</f>
        <v>1.0288823959094229</v>
      </c>
      <c r="Y31" s="5">
        <f t="shared" si="6"/>
        <v>1.0288823959094229</v>
      </c>
      <c r="Z31" s="8">
        <f>INDEX(FPL_Raw_Data!$T:$T,MATCH(A31,FPL_Raw_Data!$AA:$AA,0))</f>
        <v>1</v>
      </c>
      <c r="AA31" s="8">
        <f>INDEX(FPL_Raw_Data!$S:$S,MATCH(A31,FPL_Raw_Data!$AA:$AA,0))</f>
        <v>0</v>
      </c>
      <c r="AB31" s="2">
        <f t="shared" si="7"/>
        <v>0</v>
      </c>
      <c r="AC31" s="2">
        <f>INDEX(FPL_Raw_Data!$Q:$Q,MATCH(A31,FPL_Raw_Data!$AA:$AA,0))</f>
        <v>0</v>
      </c>
      <c r="AD31" s="8">
        <f>INDEX(FPL_Raw_Data!$R:$R,MATCH(A31,FPL_Raw_Data!$AA:$AA,0))</f>
        <v>1</v>
      </c>
      <c r="AE31" s="8">
        <f>INDEX(FPL_Raw_Data!$N:$N,MATCH(A31,FPL_Raw_Data!$AA:$AA,0))</f>
        <v>0</v>
      </c>
      <c r="AF31" s="8">
        <f>INDEX(FPL_Raw_Data!$L:$L,MATCH(A31,FPL_Raw_Data!$AA:$AA,0))</f>
        <v>0</v>
      </c>
      <c r="AG31" s="2">
        <f>INDEX(FPL_Raw_Data!$M:$M,MATCH(A31,FPL_Raw_Data!$AA:$AA,0))</f>
        <v>0</v>
      </c>
      <c r="AH31" s="2">
        <f t="shared" si="8"/>
        <v>0</v>
      </c>
      <c r="AI31" s="2">
        <f t="shared" si="9"/>
        <v>0</v>
      </c>
      <c r="AJ31" s="2">
        <f t="shared" si="10"/>
        <v>0.66666666666666663</v>
      </c>
      <c r="AK31" s="2">
        <f t="shared" si="11"/>
        <v>0</v>
      </c>
      <c r="AL31" s="2">
        <f t="shared" si="12"/>
        <v>0</v>
      </c>
      <c r="AM31" s="2">
        <f t="shared" si="13"/>
        <v>0</v>
      </c>
      <c r="AN31" s="2">
        <f t="shared" si="14"/>
        <v>0</v>
      </c>
      <c r="AO31" s="3">
        <f t="shared" si="15"/>
        <v>42</v>
      </c>
      <c r="AP31">
        <f t="shared" si="16"/>
        <v>0</v>
      </c>
      <c r="AQ31">
        <f t="shared" si="17"/>
        <v>47.8</v>
      </c>
      <c r="AR31">
        <f t="shared" si="18"/>
        <v>0</v>
      </c>
      <c r="AS31" s="2">
        <f t="shared" si="19"/>
        <v>33.333333333333329</v>
      </c>
      <c r="AT31" s="2">
        <f>IFERROR(INDEX(Player_Model!$BC$2:$BC$596,MATCH($A31,Player_Model!$A$2:$A$596,0)),0)</f>
        <v>3.0866471877282686</v>
      </c>
      <c r="AU31" s="2">
        <f>Table8[[#This Row],[Model Expected Points]]*Table8[[#This Row],[Fixture Adjustment]]</f>
        <v>3.1757969538369433</v>
      </c>
      <c r="AV31" s="2">
        <f>Table8[[#This Row],[Fixture Adjusted Points / 90]]/Table8[[#This Row],[Price]]</f>
        <v>0.70573265640820959</v>
      </c>
      <c r="AW31">
        <f t="shared" si="20"/>
        <v>0</v>
      </c>
      <c r="AX31">
        <f t="shared" si="21"/>
        <v>17.181107864621374</v>
      </c>
      <c r="AY31" s="2">
        <f t="shared" si="22"/>
        <v>33.333333333333329</v>
      </c>
      <c r="AZ31" s="5">
        <f t="shared" si="23"/>
        <v>1.0288823959094229</v>
      </c>
      <c r="BA31">
        <f>Table8[[#This Row],[Model Score2]]</f>
        <v>3.0866471877282686</v>
      </c>
      <c r="BB31">
        <f>IFERROR(INDEX(Player_Model!$BG$2:$BG$596,MATCH($A31,Player_Model!$A$2:$A$596,0)),"")</f>
        <v>14</v>
      </c>
      <c r="BC31" t="str">
        <f t="shared" si="24"/>
        <v>AVOID</v>
      </c>
      <c r="BD31">
        <f>IF(H31=1,Table8[[#This Row],[Model Score]],-10000)</f>
        <v>3.0866471877282686</v>
      </c>
      <c r="BE31">
        <f>IFERROR(INDEX(Player_Model!$BF$2:$BF$596,MATCH($A31,Player_Model!$A$2:$A$596,0)),"")</f>
        <v>198</v>
      </c>
      <c r="BF31">
        <f>IFERROR(INDEX(Player_Model!$BG$2:$BG$596,MATCH($A31,Player_Model!$A$2:$A$596,0)),"")</f>
        <v>14</v>
      </c>
      <c r="BG31">
        <f>IFERROR(INDEX(Player_Model!$BE$2:$BE$596,MATCH($A31,Player_Model!$A$2:$A$596,0)),0)</f>
        <v>3.0866471877282686</v>
      </c>
    </row>
    <row r="32" spans="1:59" x14ac:dyDescent="0.25">
      <c r="A32" t="str">
        <f>tblPlayers[first_name]&amp;" "&amp;tblPlayers[second_name]</f>
        <v>Lucas Digne</v>
      </c>
      <c r="B32" t="str">
        <f>_xlfn.SWITCH(tblPlayers[element_type],1,"GK",2,"DEF",3,"MID",4,"FWD")</f>
        <v>DEF</v>
      </c>
      <c r="C32">
        <f>tblPlayers[team]</f>
        <v>2</v>
      </c>
      <c r="D32" t="str">
        <f>INDEX(tblTeams[Column1.short_name],MATCH(C32,tblTeams[Column1.id],0))</f>
        <v>AVL</v>
      </c>
      <c r="E32" s="4">
        <f>INDEX(FPL_Raw_Data!$F:$F,MATCH(A32,FPL_Raw_Data!$AA:$AA,0))/10</f>
        <v>4.5</v>
      </c>
      <c r="F32" s="4" t="str">
        <f>tblPlayers[[#This Row],[status]]</f>
        <v>u</v>
      </c>
      <c r="G32" s="4" t="b">
        <f>tblPlayers[[#This Row],[can_select]]</f>
        <v>0</v>
      </c>
      <c r="H32">
        <f>IF(AND(Table8[[#This Row],[Availability Status]]="a",Table8[[#This Row],[Can Select]]=TRUE),1,0)</f>
        <v>0</v>
      </c>
      <c r="I32">
        <f>tblPlayers[minutes]</f>
        <v>0</v>
      </c>
      <c r="J32" s="2">
        <f>Table8[[#This Row],[Minutes]]/90</f>
        <v>0</v>
      </c>
      <c r="K32" s="5">
        <f>IFERROR(Z32/(FIXTURE_ANALYSIS!$B$1-1),0)</f>
        <v>0</v>
      </c>
      <c r="L32">
        <f>tblPlayers[total_points]</f>
        <v>0</v>
      </c>
      <c r="M32">
        <f>tblPlayers[points_per_game]</f>
        <v>0</v>
      </c>
      <c r="N32">
        <f>tblPlayers[form]</f>
        <v>0</v>
      </c>
      <c r="O32">
        <f>tblPlayers[expected_goals]</f>
        <v>0</v>
      </c>
      <c r="P32">
        <f>tblPlayers[expected_assists]</f>
        <v>0</v>
      </c>
      <c r="Q32">
        <f>tblPlayers[expected_goal_involvements]</f>
        <v>0</v>
      </c>
      <c r="R32" s="2">
        <f t="shared" si="0"/>
        <v>0</v>
      </c>
      <c r="S32" s="5">
        <f t="shared" si="1"/>
        <v>0</v>
      </c>
      <c r="T32" s="5">
        <f t="shared" si="2"/>
        <v>0</v>
      </c>
      <c r="U32" s="5">
        <f t="shared" si="3"/>
        <v>0</v>
      </c>
      <c r="V32" s="3">
        <f t="shared" si="4"/>
        <v>0</v>
      </c>
      <c r="W32" s="5">
        <f t="shared" si="5"/>
        <v>0</v>
      </c>
      <c r="X32" s="5">
        <f>IFERROR(IF(OR($B32="MID",$B32="FWD"),INDEX(FIXTURE_ANALYSIS!$Q:$Q,MATCH($D32,FIXTURE_ANALYSIS!$A:$A,0)),INDEX(FIXTURE_ANALYSIS!$R:$R,MATCH($D32,FIXTURE_ANALYSIS!$A:$A,0))),1)</f>
        <v>1.0288823959094229</v>
      </c>
      <c r="Y32" s="5">
        <f t="shared" si="6"/>
        <v>1.0288823959094229</v>
      </c>
      <c r="Z32" s="8">
        <f>INDEX(FPL_Raw_Data!$T:$T,MATCH(A32,FPL_Raw_Data!$AA:$AA,0))</f>
        <v>0</v>
      </c>
      <c r="AA32" s="8">
        <f>INDEX(FPL_Raw_Data!$S:$S,MATCH(A32,FPL_Raw_Data!$AA:$AA,0))</f>
        <v>0</v>
      </c>
      <c r="AB32" s="2">
        <f t="shared" si="7"/>
        <v>0</v>
      </c>
      <c r="AC32" s="2">
        <f>INDEX(FPL_Raw_Data!$Q:$Q,MATCH(A32,FPL_Raw_Data!$AA:$AA,0))</f>
        <v>0</v>
      </c>
      <c r="AD32" s="8">
        <f>INDEX(FPL_Raw_Data!$R:$R,MATCH(A32,FPL_Raw_Data!$AA:$AA,0))</f>
        <v>0</v>
      </c>
      <c r="AE32" s="8">
        <f>INDEX(FPL_Raw_Data!$N:$N,MATCH(A32,FPL_Raw_Data!$AA:$AA,0))</f>
        <v>0</v>
      </c>
      <c r="AF32" s="8">
        <f>INDEX(FPL_Raw_Data!$L:$L,MATCH(A32,FPL_Raw_Data!$AA:$AA,0))</f>
        <v>0</v>
      </c>
      <c r="AG32" s="2">
        <f>INDEX(FPL_Raw_Data!$M:$M,MATCH(A32,FPL_Raw_Data!$AA:$AA,0))</f>
        <v>0</v>
      </c>
      <c r="AH32" s="2">
        <f t="shared" si="8"/>
        <v>0</v>
      </c>
      <c r="AI32" s="2">
        <f t="shared" si="9"/>
        <v>0</v>
      </c>
      <c r="AJ32" s="2">
        <f t="shared" si="10"/>
        <v>0</v>
      </c>
      <c r="AK32" s="2">
        <f t="shared" si="11"/>
        <v>0</v>
      </c>
      <c r="AL32" s="2">
        <f t="shared" si="12"/>
        <v>0</v>
      </c>
      <c r="AM32" s="2">
        <f t="shared" si="13"/>
        <v>0</v>
      </c>
      <c r="AN32" s="2">
        <f t="shared" si="14"/>
        <v>0</v>
      </c>
      <c r="AO32" s="3">
        <f t="shared" si="15"/>
        <v>0.1</v>
      </c>
      <c r="AP32">
        <f t="shared" si="16"/>
        <v>0</v>
      </c>
      <c r="AQ32">
        <f t="shared" si="17"/>
        <v>0.1</v>
      </c>
      <c r="AR32">
        <f t="shared" si="18"/>
        <v>0</v>
      </c>
      <c r="AS32" s="2">
        <f t="shared" si="19"/>
        <v>0</v>
      </c>
      <c r="AT32" s="2">
        <f>IFERROR(INDEX(Player_Model!$BC$2:$BC$596,MATCH($A32,Player_Model!$A$2:$A$596,0)),0)</f>
        <v>-0.85740199659118577</v>
      </c>
      <c r="AU32" s="2">
        <f>Table8[[#This Row],[Model Expected Points]]*Table8[[#This Row],[Fixture Adjustment]]</f>
        <v>-0.88216582051026204</v>
      </c>
      <c r="AV32" s="2">
        <f>Table8[[#This Row],[Fixture Adjusted Points / 90]]/Table8[[#This Row],[Price]]</f>
        <v>-0.19603684900228047</v>
      </c>
      <c r="AW32">
        <f t="shared" si="20"/>
        <v>0</v>
      </c>
      <c r="AX32">
        <f t="shared" si="21"/>
        <v>0.51444119795471144</v>
      </c>
      <c r="AY32" s="2">
        <f t="shared" si="22"/>
        <v>0</v>
      </c>
      <c r="AZ32" s="5">
        <f t="shared" si="23"/>
        <v>1.0288823959094229</v>
      </c>
      <c r="BA32">
        <f>Table8[[#This Row],[Model Score2]]</f>
        <v>-0.85740199659118577</v>
      </c>
      <c r="BB32">
        <f>IFERROR(INDEX(Player_Model!$BG$2:$BG$596,MATCH($A32,Player_Model!$A$2:$A$596,0)),"")</f>
        <v>163</v>
      </c>
      <c r="BC32" t="str">
        <f t="shared" si="24"/>
        <v>AVOID</v>
      </c>
      <c r="BD32">
        <f>IF(H32=1,Table8[[#This Row],[Model Score]],-10000)</f>
        <v>-10000</v>
      </c>
      <c r="BE32">
        <f>IFERROR(INDEX(Player_Model!$BF$2:$BF$596,MATCH($A32,Player_Model!$A$2:$A$596,0)),"")</f>
        <v>566</v>
      </c>
      <c r="BF32">
        <f>IFERROR(INDEX(Player_Model!$BG$2:$BG$596,MATCH($A32,Player_Model!$A$2:$A$596,0)),"")</f>
        <v>163</v>
      </c>
      <c r="BG32">
        <f>IFERROR(INDEX(Player_Model!$BE$2:$BE$596,MATCH($A32,Player_Model!$A$2:$A$596,0)),0)</f>
        <v>-0.85740199659118577</v>
      </c>
    </row>
    <row r="33" spans="1:59" x14ac:dyDescent="0.25">
      <c r="A33" t="str">
        <f>tblPlayers[first_name]&amp;" "&amp;tblPlayers[second_name]</f>
        <v>Matty Cash</v>
      </c>
      <c r="B33" t="str">
        <f>_xlfn.SWITCH(tblPlayers[element_type],1,"GK",2,"DEF",3,"MID",4,"FWD")</f>
        <v>DEF</v>
      </c>
      <c r="C33">
        <f>tblPlayers[team]</f>
        <v>2</v>
      </c>
      <c r="D33" t="str">
        <f>INDEX(tblTeams[Column1.short_name],MATCH(C33,tblTeams[Column1.id],0))</f>
        <v>AVL</v>
      </c>
      <c r="E33" s="4">
        <f>INDEX(FPL_Raw_Data!$F:$F,MATCH(A33,FPL_Raw_Data!$AA:$AA,0))/10</f>
        <v>4.5</v>
      </c>
      <c r="F33" s="4" t="str">
        <f>tblPlayers[[#This Row],[status]]</f>
        <v>a</v>
      </c>
      <c r="G33" s="4" t="b">
        <f>tblPlayers[[#This Row],[can_select]]</f>
        <v>1</v>
      </c>
      <c r="H33">
        <f>IF(AND(Table8[[#This Row],[Availability Status]]="a",Table8[[#This Row],[Can Select]]=TRUE),1,0)</f>
        <v>1</v>
      </c>
      <c r="I33">
        <f>tblPlayers[minutes]</f>
        <v>251</v>
      </c>
      <c r="J33" s="2">
        <f>Table8[[#This Row],[Minutes]]/90</f>
        <v>2.7888888888888888</v>
      </c>
      <c r="K33" s="5">
        <f>IFERROR(Z33/(FIXTURE_ANALYSIS!$B$1-1),0)</f>
        <v>1</v>
      </c>
      <c r="L33">
        <f>tblPlayers[total_points]</f>
        <v>7</v>
      </c>
      <c r="M33">
        <f>tblPlayers[points_per_game]</f>
        <v>2.2999999999999998</v>
      </c>
      <c r="N33">
        <f>tblPlayers[form]</f>
        <v>2.2999999999999998</v>
      </c>
      <c r="O33">
        <f>tblPlayers[expected_goals]</f>
        <v>0.15</v>
      </c>
      <c r="P33">
        <f>tblPlayers[expected_assists]</f>
        <v>0.04</v>
      </c>
      <c r="Q33">
        <f>tblPlayers[expected_goal_involvements]</f>
        <v>0.19</v>
      </c>
      <c r="R33" s="2">
        <f t="shared" si="0"/>
        <v>2.5099601593625498</v>
      </c>
      <c r="S33" s="5">
        <f t="shared" si="1"/>
        <v>5.3784860557768918E-2</v>
      </c>
      <c r="T33" s="5">
        <f t="shared" si="2"/>
        <v>1.4342629482071713E-2</v>
      </c>
      <c r="U33" s="5">
        <f t="shared" si="3"/>
        <v>6.812749003984063E-2</v>
      </c>
      <c r="V33" s="3">
        <f t="shared" si="4"/>
        <v>1.5555555555555556</v>
      </c>
      <c r="W33" s="5">
        <f t="shared" si="5"/>
        <v>4.2222222222222223E-2</v>
      </c>
      <c r="X33" s="5">
        <f>IFERROR(IF(OR($B33="MID",$B33="FWD"),INDEX(FIXTURE_ANALYSIS!$Q:$Q,MATCH($D33,FIXTURE_ANALYSIS!$A:$A,0)),INDEX(FIXTURE_ANALYSIS!$R:$R,MATCH($D33,FIXTURE_ANALYSIS!$A:$A,0))),1)</f>
        <v>1.0288823959094229</v>
      </c>
      <c r="Y33" s="5">
        <f t="shared" si="6"/>
        <v>1.0288823959094229</v>
      </c>
      <c r="Z33" s="8">
        <f>INDEX(FPL_Raw_Data!$T:$T,MATCH(A33,FPL_Raw_Data!$AA:$AA,0))</f>
        <v>3</v>
      </c>
      <c r="AA33" s="8">
        <f>INDEX(FPL_Raw_Data!$S:$S,MATCH(A33,FPL_Raw_Data!$AA:$AA,0))</f>
        <v>14</v>
      </c>
      <c r="AB33" s="2">
        <f t="shared" si="7"/>
        <v>1</v>
      </c>
      <c r="AC33" s="2">
        <f>INDEX(FPL_Raw_Data!$Q:$Q,MATCH(A33,FPL_Raw_Data!$AA:$AA,0))</f>
        <v>0</v>
      </c>
      <c r="AD33" s="8">
        <f>INDEX(FPL_Raw_Data!$R:$R,MATCH(A33,FPL_Raw_Data!$AA:$AA,0))</f>
        <v>23</v>
      </c>
      <c r="AE33" s="8">
        <f>INDEX(FPL_Raw_Data!$N:$N,MATCH(A33,FPL_Raw_Data!$AA:$AA,0))</f>
        <v>1</v>
      </c>
      <c r="AF33" s="8">
        <f>INDEX(FPL_Raw_Data!$L:$L,MATCH(A33,FPL_Raw_Data!$AA:$AA,0))</f>
        <v>0</v>
      </c>
      <c r="AG33" s="2">
        <f>INDEX(FPL_Raw_Data!$M:$M,MATCH(A33,FPL_Raw_Data!$AA:$AA,0))</f>
        <v>0</v>
      </c>
      <c r="AH33" s="2">
        <f t="shared" si="8"/>
        <v>0.32270916334661348</v>
      </c>
      <c r="AI33" s="2">
        <f t="shared" si="9"/>
        <v>4.3027888446215141E-2</v>
      </c>
      <c r="AJ33" s="2">
        <f t="shared" si="10"/>
        <v>2</v>
      </c>
      <c r="AK33" s="2">
        <f t="shared" si="11"/>
        <v>2</v>
      </c>
      <c r="AL33" s="2">
        <f t="shared" si="12"/>
        <v>0.33333333333333331</v>
      </c>
      <c r="AM33" s="2">
        <f t="shared" si="13"/>
        <v>1.3333333333333333</v>
      </c>
      <c r="AN33" s="2">
        <f t="shared" si="14"/>
        <v>0</v>
      </c>
      <c r="AO33" s="3">
        <f t="shared" si="15"/>
        <v>53.7</v>
      </c>
      <c r="AP33">
        <f t="shared" si="16"/>
        <v>64.8</v>
      </c>
      <c r="AQ33">
        <f t="shared" si="17"/>
        <v>79.600000000000009</v>
      </c>
      <c r="AR33">
        <f t="shared" si="18"/>
        <v>73.7</v>
      </c>
      <c r="AS33" s="2">
        <f t="shared" si="19"/>
        <v>100</v>
      </c>
      <c r="AT33" s="2">
        <f>IFERROR(INDEX(Player_Model!$BC$2:$BC$596,MATCH($A33,Player_Model!$A$2:$A$596,0)),0)</f>
        <v>4.0216198424084606</v>
      </c>
      <c r="AU33" s="2">
        <f>Table8[[#This Row],[Model Expected Points]]*Table8[[#This Row],[Fixture Adjustment]]</f>
        <v>4.1377738588940929</v>
      </c>
      <c r="AV33" s="2">
        <f>Table8[[#This Row],[Fixture Adjusted Points / 90]]/Table8[[#This Row],[Price]]</f>
        <v>0.91950530197646507</v>
      </c>
      <c r="AW33">
        <f t="shared" si="20"/>
        <v>64.8</v>
      </c>
      <c r="AX33">
        <f t="shared" si="21"/>
        <v>1.0144411979547114</v>
      </c>
      <c r="AY33" s="2">
        <f t="shared" si="22"/>
        <v>100</v>
      </c>
      <c r="AZ33" s="5">
        <f t="shared" si="23"/>
        <v>1.0288823959094229</v>
      </c>
      <c r="BA33">
        <f>Table8[[#This Row],[Model Score2]]</f>
        <v>4.0216198424084606</v>
      </c>
      <c r="BB33">
        <f>IFERROR(INDEX(Player_Model!$BG$2:$BG$596,MATCH($A33,Player_Model!$A$2:$A$596,0)),"")</f>
        <v>51</v>
      </c>
      <c r="BC33" t="str">
        <f t="shared" si="24"/>
        <v>AVOID</v>
      </c>
      <c r="BD33">
        <f>IF(H33=1,Table8[[#This Row],[Model Score]],-10000)</f>
        <v>4.0216198424084606</v>
      </c>
      <c r="BE33">
        <f>IFERROR(INDEX(Player_Model!$BF$2:$BF$596,MATCH($A33,Player_Model!$A$2:$A$596,0)),"")</f>
        <v>154</v>
      </c>
      <c r="BF33">
        <f>IFERROR(INDEX(Player_Model!$BG$2:$BG$596,MATCH($A33,Player_Model!$A$2:$A$596,0)),"")</f>
        <v>51</v>
      </c>
      <c r="BG33">
        <f>IFERROR(INDEX(Player_Model!$BE$2:$BE$596,MATCH($A33,Player_Model!$A$2:$A$596,0)),0)</f>
        <v>4.0216198424084606</v>
      </c>
    </row>
    <row r="34" spans="1:59" x14ac:dyDescent="0.25">
      <c r="A34" t="str">
        <f>tblPlayers[first_name]&amp;" "&amp;tblPlayers[second_name]</f>
        <v>Tyrone Mings</v>
      </c>
      <c r="B34" t="str">
        <f>_xlfn.SWITCH(tblPlayers[element_type],1,"GK",2,"DEF",3,"MID",4,"FWD")</f>
        <v>DEF</v>
      </c>
      <c r="C34">
        <f>tblPlayers[team]</f>
        <v>2</v>
      </c>
      <c r="D34" t="str">
        <f>INDEX(tblTeams[Column1.short_name],MATCH(C34,tblTeams[Column1.id],0))</f>
        <v>AVL</v>
      </c>
      <c r="E34" s="4">
        <f>INDEX(FPL_Raw_Data!$F:$F,MATCH(A34,FPL_Raw_Data!$AA:$AA,0))/10</f>
        <v>4.5</v>
      </c>
      <c r="F34" s="4" t="str">
        <f>tblPlayers[[#This Row],[status]]</f>
        <v>a</v>
      </c>
      <c r="G34" s="4" t="b">
        <f>tblPlayers[[#This Row],[can_select]]</f>
        <v>1</v>
      </c>
      <c r="H34">
        <f>IF(AND(Table8[[#This Row],[Availability Status]]="a",Table8[[#This Row],[Can Select]]=TRUE),1,0)</f>
        <v>1</v>
      </c>
      <c r="I34">
        <f>tblPlayers[minutes]</f>
        <v>106</v>
      </c>
      <c r="J34" s="2">
        <f>Table8[[#This Row],[Minutes]]/90</f>
        <v>1.1777777777777778</v>
      </c>
      <c r="K34" s="5">
        <f>IFERROR(Z34/(FIXTURE_ANALYSIS!$B$1-1),0)</f>
        <v>0.33333333333333331</v>
      </c>
      <c r="L34">
        <f>tblPlayers[total_points]</f>
        <v>7</v>
      </c>
      <c r="M34">
        <f>tblPlayers[points_per_game]</f>
        <v>3.5</v>
      </c>
      <c r="N34">
        <f>tblPlayers[form]</f>
        <v>2.2999999999999998</v>
      </c>
      <c r="O34">
        <f>tblPlayers[expected_goals]</f>
        <v>0.11</v>
      </c>
      <c r="P34">
        <f>tblPlayers[expected_assists]</f>
        <v>0.02</v>
      </c>
      <c r="Q34">
        <f>tblPlayers[expected_goal_involvements]</f>
        <v>0.13</v>
      </c>
      <c r="R34" s="2">
        <f t="shared" si="0"/>
        <v>5.9433962264150946</v>
      </c>
      <c r="S34" s="5">
        <f t="shared" si="1"/>
        <v>9.3396226415094347E-2</v>
      </c>
      <c r="T34" s="5">
        <f t="shared" si="2"/>
        <v>1.6981132075471698E-2</v>
      </c>
      <c r="U34" s="5">
        <f t="shared" si="3"/>
        <v>0.11037735849056604</v>
      </c>
      <c r="V34" s="3">
        <f t="shared" si="4"/>
        <v>1.5555555555555556</v>
      </c>
      <c r="W34" s="5">
        <f t="shared" si="5"/>
        <v>2.8888888888888891E-2</v>
      </c>
      <c r="X34" s="5">
        <f>IFERROR(IF(OR($B34="MID",$B34="FWD"),INDEX(FIXTURE_ANALYSIS!$Q:$Q,MATCH($D34,FIXTURE_ANALYSIS!$A:$A,0)),INDEX(FIXTURE_ANALYSIS!$R:$R,MATCH($D34,FIXTURE_ANALYSIS!$A:$A,0))),1)</f>
        <v>1.0288823959094229</v>
      </c>
      <c r="Y34" s="5">
        <f t="shared" si="6"/>
        <v>1.0288823959094229</v>
      </c>
      <c r="Z34" s="8">
        <f>INDEX(FPL_Raw_Data!$T:$T,MATCH(A34,FPL_Raw_Data!$AA:$AA,0))</f>
        <v>1</v>
      </c>
      <c r="AA34" s="8">
        <f>INDEX(FPL_Raw_Data!$S:$S,MATCH(A34,FPL_Raw_Data!$AA:$AA,0))</f>
        <v>6</v>
      </c>
      <c r="AB34" s="2">
        <f t="shared" si="7"/>
        <v>0.6</v>
      </c>
      <c r="AC34" s="2">
        <f>INDEX(FPL_Raw_Data!$Q:$Q,MATCH(A34,FPL_Raw_Data!$AA:$AA,0))</f>
        <v>0</v>
      </c>
      <c r="AD34" s="8">
        <f>INDEX(FPL_Raw_Data!$R:$R,MATCH(A34,FPL_Raw_Data!$AA:$AA,0))</f>
        <v>33</v>
      </c>
      <c r="AE34" s="8">
        <f>INDEX(FPL_Raw_Data!$N:$N,MATCH(A34,FPL_Raw_Data!$AA:$AA,0))</f>
        <v>1</v>
      </c>
      <c r="AF34" s="8">
        <f>INDEX(FPL_Raw_Data!$L:$L,MATCH(A34,FPL_Raw_Data!$AA:$AA,0))</f>
        <v>0</v>
      </c>
      <c r="AG34" s="2">
        <f>INDEX(FPL_Raw_Data!$M:$M,MATCH(A34,FPL_Raw_Data!$AA:$AA,0))</f>
        <v>0</v>
      </c>
      <c r="AH34" s="2">
        <f t="shared" si="8"/>
        <v>0.56037735849056602</v>
      </c>
      <c r="AI34" s="2">
        <f t="shared" si="9"/>
        <v>5.0943396226415097E-2</v>
      </c>
      <c r="AJ34" s="2">
        <f t="shared" si="10"/>
        <v>0.66666666666666663</v>
      </c>
      <c r="AK34" s="2">
        <f t="shared" si="11"/>
        <v>1.2</v>
      </c>
      <c r="AL34" s="2">
        <f t="shared" si="12"/>
        <v>1</v>
      </c>
      <c r="AM34" s="2">
        <f t="shared" si="13"/>
        <v>4</v>
      </c>
      <c r="AN34" s="2">
        <f t="shared" si="14"/>
        <v>0</v>
      </c>
      <c r="AO34" s="3">
        <f t="shared" si="15"/>
        <v>80.800000000000011</v>
      </c>
      <c r="AP34">
        <f t="shared" si="16"/>
        <v>69.3</v>
      </c>
      <c r="AQ34">
        <f t="shared" si="17"/>
        <v>79.600000000000009</v>
      </c>
      <c r="AR34">
        <f t="shared" si="18"/>
        <v>70.199999999999989</v>
      </c>
      <c r="AS34" s="2">
        <f t="shared" si="19"/>
        <v>33.333333333333329</v>
      </c>
      <c r="AT34" s="2">
        <f>IFERROR(INDEX(Player_Model!$BC$2:$BC$596,MATCH($A34,Player_Model!$A$2:$A$596,0)),0)</f>
        <v>5.9014544946174148</v>
      </c>
      <c r="AU34" s="2">
        <f>Table8[[#This Row],[Model Expected Points]]*Table8[[#This Row],[Fixture Adjustment]]</f>
        <v>6.0719026397723983</v>
      </c>
      <c r="AV34" s="2">
        <f>Table8[[#This Row],[Fixture Adjusted Points / 90]]/Table8[[#This Row],[Price]]</f>
        <v>1.3493116977271997</v>
      </c>
      <c r="AW34">
        <f t="shared" si="20"/>
        <v>69.3</v>
      </c>
      <c r="AX34">
        <f t="shared" si="21"/>
        <v>0.81444119795471148</v>
      </c>
      <c r="AY34" s="2">
        <f t="shared" si="22"/>
        <v>33.333333333333329</v>
      </c>
      <c r="AZ34" s="5">
        <f t="shared" si="23"/>
        <v>1.0288823959094229</v>
      </c>
      <c r="BA34">
        <f>Table8[[#This Row],[Model Score2]]</f>
        <v>5.9014544946174148</v>
      </c>
      <c r="BB34">
        <f>IFERROR(INDEX(Player_Model!$BG$2:$BG$596,MATCH($A34,Player_Model!$A$2:$A$596,0)),"")</f>
        <v>24</v>
      </c>
      <c r="BC34" t="str">
        <f t="shared" si="24"/>
        <v>AVOID</v>
      </c>
      <c r="BD34">
        <f>IF(H34=1,Table8[[#This Row],[Model Score]],-10000)</f>
        <v>5.9014544946174148</v>
      </c>
      <c r="BE34">
        <f>IFERROR(INDEX(Player_Model!$BF$2:$BF$596,MATCH($A34,Player_Model!$A$2:$A$596,0)),"")</f>
        <v>49</v>
      </c>
      <c r="BF34">
        <f>IFERROR(INDEX(Player_Model!$BG$2:$BG$596,MATCH($A34,Player_Model!$A$2:$A$596,0)),"")</f>
        <v>24</v>
      </c>
      <c r="BG34">
        <f>IFERROR(INDEX(Player_Model!$BE$2:$BE$596,MATCH($A34,Player_Model!$A$2:$A$596,0)),0)</f>
        <v>5.9014544946174148</v>
      </c>
    </row>
    <row r="35" spans="1:59" x14ac:dyDescent="0.25">
      <c r="A35" t="str">
        <f>tblPlayers[first_name]&amp;" "&amp;tblPlayers[second_name]</f>
        <v>Pau Torres</v>
      </c>
      <c r="B35" t="str">
        <f>_xlfn.SWITCH(tblPlayers[element_type],1,"GK",2,"DEF",3,"MID",4,"FWD")</f>
        <v>DEF</v>
      </c>
      <c r="C35">
        <f>tblPlayers[team]</f>
        <v>2</v>
      </c>
      <c r="D35" t="str">
        <f>INDEX(tblTeams[Column1.short_name],MATCH(C35,tblTeams[Column1.id],0))</f>
        <v>AVL</v>
      </c>
      <c r="E35" s="4">
        <f>INDEX(FPL_Raw_Data!$F:$F,MATCH(A35,FPL_Raw_Data!$AA:$AA,0))/10</f>
        <v>4.5</v>
      </c>
      <c r="F35" s="4" t="str">
        <f>tblPlayers[[#This Row],[status]]</f>
        <v>a</v>
      </c>
      <c r="G35" s="4" t="b">
        <f>tblPlayers[[#This Row],[can_select]]</f>
        <v>1</v>
      </c>
      <c r="H35">
        <f>IF(AND(Table8[[#This Row],[Availability Status]]="a",Table8[[#This Row],[Can Select]]=TRUE),1,0)</f>
        <v>1</v>
      </c>
      <c r="I35">
        <f>tblPlayers[minutes]</f>
        <v>163</v>
      </c>
      <c r="J35" s="2">
        <f>Table8[[#This Row],[Minutes]]/90</f>
        <v>1.8111111111111111</v>
      </c>
      <c r="K35" s="5">
        <f>IFERROR(Z35/(FIXTURE_ANALYSIS!$B$1-1),0)</f>
        <v>0.66666666666666663</v>
      </c>
      <c r="L35">
        <f>tblPlayers[total_points]</f>
        <v>2</v>
      </c>
      <c r="M35">
        <f>tblPlayers[points_per_game]</f>
        <v>1</v>
      </c>
      <c r="N35">
        <f>tblPlayers[form]</f>
        <v>0.7</v>
      </c>
      <c r="O35">
        <f>tblPlayers[expected_goals]</f>
        <v>0</v>
      </c>
      <c r="P35">
        <f>tblPlayers[expected_assists]</f>
        <v>0.01</v>
      </c>
      <c r="Q35">
        <f>tblPlayers[expected_goal_involvements]</f>
        <v>0.01</v>
      </c>
      <c r="R35" s="2">
        <f t="shared" si="0"/>
        <v>1.1042944785276074</v>
      </c>
      <c r="S35" s="5">
        <f t="shared" si="1"/>
        <v>0</v>
      </c>
      <c r="T35" s="5">
        <f t="shared" si="2"/>
        <v>5.521472392638037E-3</v>
      </c>
      <c r="U35" s="5">
        <f t="shared" si="3"/>
        <v>5.521472392638037E-3</v>
      </c>
      <c r="V35" s="3">
        <f t="shared" si="4"/>
        <v>0.44444444444444442</v>
      </c>
      <c r="W35" s="5">
        <f t="shared" si="5"/>
        <v>2.2222222222222222E-3</v>
      </c>
      <c r="X35" s="5">
        <f>IFERROR(IF(OR($B35="MID",$B35="FWD"),INDEX(FIXTURE_ANALYSIS!$Q:$Q,MATCH($D35,FIXTURE_ANALYSIS!$A:$A,0)),INDEX(FIXTURE_ANALYSIS!$R:$R,MATCH($D35,FIXTURE_ANALYSIS!$A:$A,0))),1)</f>
        <v>1.0288823959094229</v>
      </c>
      <c r="Y35" s="5">
        <f t="shared" si="6"/>
        <v>1.0288823959094229</v>
      </c>
      <c r="Z35" s="8">
        <f>INDEX(FPL_Raw_Data!$T:$T,MATCH(A35,FPL_Raw_Data!$AA:$AA,0))</f>
        <v>2</v>
      </c>
      <c r="AA35" s="8">
        <f>INDEX(FPL_Raw_Data!$S:$S,MATCH(A35,FPL_Raw_Data!$AA:$AA,0))</f>
        <v>9</v>
      </c>
      <c r="AB35" s="2">
        <f t="shared" si="7"/>
        <v>0.9</v>
      </c>
      <c r="AC35" s="2">
        <f>INDEX(FPL_Raw_Data!$Q:$Q,MATCH(A35,FPL_Raw_Data!$AA:$AA,0))</f>
        <v>0</v>
      </c>
      <c r="AD35" s="8">
        <f>INDEX(FPL_Raw_Data!$R:$R,MATCH(A35,FPL_Raw_Data!$AA:$AA,0))</f>
        <v>-8</v>
      </c>
      <c r="AE35" s="8">
        <f>INDEX(FPL_Raw_Data!$N:$N,MATCH(A35,FPL_Raw_Data!$AA:$AA,0))</f>
        <v>0</v>
      </c>
      <c r="AF35" s="8">
        <f>INDEX(FPL_Raw_Data!$L:$L,MATCH(A35,FPL_Raw_Data!$AA:$AA,0))</f>
        <v>0</v>
      </c>
      <c r="AG35" s="2">
        <f>INDEX(FPL_Raw_Data!$M:$M,MATCH(A35,FPL_Raw_Data!$AA:$AA,0))</f>
        <v>0</v>
      </c>
      <c r="AH35" s="2">
        <f t="shared" si="8"/>
        <v>0</v>
      </c>
      <c r="AI35" s="2">
        <f t="shared" si="9"/>
        <v>1.6564417177914112E-2</v>
      </c>
      <c r="AJ35" s="2">
        <f t="shared" si="10"/>
        <v>1.3333333333333333</v>
      </c>
      <c r="AK35" s="2">
        <f t="shared" si="11"/>
        <v>1.8</v>
      </c>
      <c r="AL35" s="2">
        <f t="shared" si="12"/>
        <v>0</v>
      </c>
      <c r="AM35" s="2">
        <f t="shared" si="13"/>
        <v>0</v>
      </c>
      <c r="AN35" s="2">
        <f t="shared" si="14"/>
        <v>0</v>
      </c>
      <c r="AO35" s="3">
        <f t="shared" si="15"/>
        <v>43</v>
      </c>
      <c r="AP35">
        <f t="shared" si="16"/>
        <v>52</v>
      </c>
      <c r="AQ35">
        <f t="shared" si="17"/>
        <v>56.000000000000007</v>
      </c>
      <c r="AR35">
        <f t="shared" si="18"/>
        <v>52.800000000000004</v>
      </c>
      <c r="AS35" s="2">
        <f t="shared" si="19"/>
        <v>66.666666666666657</v>
      </c>
      <c r="AT35" s="2">
        <f>IFERROR(INDEX(Player_Model!$BC$2:$BC$596,MATCH($A35,Player_Model!$A$2:$A$596,0)),0)</f>
        <v>2.4022677629800384</v>
      </c>
      <c r="AU35" s="2">
        <f>Table8[[#This Row],[Model Expected Points]]*Table8[[#This Row],[Fixture Adjustment]]</f>
        <v>2.4716510115908714</v>
      </c>
      <c r="AV35" s="2">
        <f>Table8[[#This Row],[Fixture Adjusted Points / 90]]/Table8[[#This Row],[Price]]</f>
        <v>0.54925578035352696</v>
      </c>
      <c r="AW35">
        <f t="shared" si="20"/>
        <v>52</v>
      </c>
      <c r="AX35">
        <f t="shared" si="21"/>
        <v>0.96444119795471139</v>
      </c>
      <c r="AY35" s="2">
        <f t="shared" si="22"/>
        <v>66.666666666666657</v>
      </c>
      <c r="AZ35" s="5">
        <f t="shared" si="23"/>
        <v>1.0288823959094229</v>
      </c>
      <c r="BA35">
        <f>Table8[[#This Row],[Model Score2]]</f>
        <v>2.4022677629800384</v>
      </c>
      <c r="BB35">
        <f>IFERROR(INDEX(Player_Model!$BG$2:$BG$596,MATCH($A35,Player_Model!$A$2:$A$596,0)),"")</f>
        <v>78</v>
      </c>
      <c r="BC35" t="str">
        <f t="shared" si="24"/>
        <v>AVOID</v>
      </c>
      <c r="BD35">
        <f>IF(H35=1,Table8[[#This Row],[Model Score]],-10000)</f>
        <v>2.4022677629800384</v>
      </c>
      <c r="BE35">
        <f>IFERROR(INDEX(Player_Model!$BF$2:$BF$596,MATCH($A35,Player_Model!$A$2:$A$596,0)),"")</f>
        <v>232</v>
      </c>
      <c r="BF35">
        <f>IFERROR(INDEX(Player_Model!$BG$2:$BG$596,MATCH($A35,Player_Model!$A$2:$A$596,0)),"")</f>
        <v>78</v>
      </c>
      <c r="BG35">
        <f>IFERROR(INDEX(Player_Model!$BE$2:$BE$596,MATCH($A35,Player_Model!$A$2:$A$596,0)),0)</f>
        <v>2.4022677629800384</v>
      </c>
    </row>
    <row r="36" spans="1:59" x14ac:dyDescent="0.25">
      <c r="A36" t="str">
        <f>tblPlayers[first_name]&amp;" "&amp;tblPlayers[second_name]</f>
        <v>Lamare Bogarde</v>
      </c>
      <c r="B36" t="str">
        <f>_xlfn.SWITCH(tblPlayers[element_type],1,"GK",2,"DEF",3,"MID",4,"FWD")</f>
        <v>MID</v>
      </c>
      <c r="C36">
        <f>tblPlayers[team]</f>
        <v>2</v>
      </c>
      <c r="D36" t="str">
        <f>INDEX(tblTeams[Column1.short_name],MATCH(C36,tblTeams[Column1.id],0))</f>
        <v>AVL</v>
      </c>
      <c r="E36" s="4">
        <f>INDEX(FPL_Raw_Data!$F:$F,MATCH(A36,FPL_Raw_Data!$AA:$AA,0))/10</f>
        <v>5</v>
      </c>
      <c r="F36" s="4" t="str">
        <f>tblPlayers[[#This Row],[status]]</f>
        <v>a</v>
      </c>
      <c r="G36" s="4" t="b">
        <f>tblPlayers[[#This Row],[can_select]]</f>
        <v>1</v>
      </c>
      <c r="H36">
        <f>IF(AND(Table8[[#This Row],[Availability Status]]="a",Table8[[#This Row],[Can Select]]=TRUE),1,0)</f>
        <v>1</v>
      </c>
      <c r="I36">
        <f>tblPlayers[minutes]</f>
        <v>16</v>
      </c>
      <c r="J36" s="2">
        <f>Table8[[#This Row],[Minutes]]/90</f>
        <v>0.17777777777777778</v>
      </c>
      <c r="K36" s="5">
        <f>IFERROR(Z36/(FIXTURE_ANALYSIS!$B$1-1),0)</f>
        <v>0</v>
      </c>
      <c r="L36">
        <f>tblPlayers[total_points]</f>
        <v>1</v>
      </c>
      <c r="M36">
        <f>tblPlayers[points_per_game]</f>
        <v>1</v>
      </c>
      <c r="N36">
        <f>tblPlayers[form]</f>
        <v>0.3</v>
      </c>
      <c r="O36">
        <f>tblPlayers[expected_goals]</f>
        <v>0</v>
      </c>
      <c r="P36">
        <f>tblPlayers[expected_assists]</f>
        <v>0</v>
      </c>
      <c r="Q36">
        <f>tblPlayers[expected_goal_involvements]</f>
        <v>0</v>
      </c>
      <c r="R36" s="2">
        <f t="shared" si="0"/>
        <v>5.625</v>
      </c>
      <c r="S36" s="5">
        <f t="shared" si="1"/>
        <v>0</v>
      </c>
      <c r="T36" s="5">
        <f t="shared" si="2"/>
        <v>0</v>
      </c>
      <c r="U36" s="5">
        <f t="shared" si="3"/>
        <v>0</v>
      </c>
      <c r="V36" s="3">
        <f t="shared" si="4"/>
        <v>0.2</v>
      </c>
      <c r="W36" s="5">
        <f t="shared" si="5"/>
        <v>0</v>
      </c>
      <c r="X36" s="5">
        <f>IFERROR(IF(OR($B36="MID",$B36="FWD"),INDEX(FIXTURE_ANALYSIS!$Q:$Q,MATCH($D36,FIXTURE_ANALYSIS!$A:$A,0)),INDEX(FIXTURE_ANALYSIS!$R:$R,MATCH($D36,FIXTURE_ANALYSIS!$A:$A,0))),1)</f>
        <v>0.8</v>
      </c>
      <c r="Y36" s="5">
        <f t="shared" si="6"/>
        <v>0.8</v>
      </c>
      <c r="Z36" s="8">
        <f>INDEX(FPL_Raw_Data!$T:$T,MATCH(A36,FPL_Raw_Data!$AA:$AA,0))</f>
        <v>0</v>
      </c>
      <c r="AA36" s="8">
        <f>INDEX(FPL_Raw_Data!$S:$S,MATCH(A36,FPL_Raw_Data!$AA:$AA,0))</f>
        <v>1</v>
      </c>
      <c r="AB36" s="2">
        <f t="shared" si="7"/>
        <v>8.3333333333333329E-2</v>
      </c>
      <c r="AC36" s="2">
        <f>INDEX(FPL_Raw_Data!$Q:$Q,MATCH(A36,FPL_Raw_Data!$AA:$AA,0))</f>
        <v>0</v>
      </c>
      <c r="AD36" s="8">
        <f>INDEX(FPL_Raw_Data!$R:$R,MATCH(A36,FPL_Raw_Data!$AA:$AA,0))</f>
        <v>3</v>
      </c>
      <c r="AE36" s="8">
        <f>INDEX(FPL_Raw_Data!$N:$N,MATCH(A36,FPL_Raw_Data!$AA:$AA,0))</f>
        <v>0</v>
      </c>
      <c r="AF36" s="8">
        <f>INDEX(FPL_Raw_Data!$L:$L,MATCH(A36,FPL_Raw_Data!$AA:$AA,0))</f>
        <v>0</v>
      </c>
      <c r="AG36" s="2">
        <f>INDEX(FPL_Raw_Data!$M:$M,MATCH(A36,FPL_Raw_Data!$AA:$AA,0))</f>
        <v>0</v>
      </c>
      <c r="AH36" s="2">
        <f t="shared" si="8"/>
        <v>0</v>
      </c>
      <c r="AI36" s="2">
        <f t="shared" si="9"/>
        <v>0</v>
      </c>
      <c r="AJ36" s="2">
        <f t="shared" si="10"/>
        <v>0</v>
      </c>
      <c r="AK36" s="2">
        <f t="shared" si="11"/>
        <v>0.16666666666666666</v>
      </c>
      <c r="AL36" s="2">
        <f t="shared" si="12"/>
        <v>0</v>
      </c>
      <c r="AM36" s="2">
        <f t="shared" si="13"/>
        <v>0</v>
      </c>
      <c r="AN36" s="2">
        <f t="shared" si="14"/>
        <v>0</v>
      </c>
      <c r="AO36" s="3">
        <f t="shared" si="15"/>
        <v>79.2</v>
      </c>
      <c r="AP36">
        <f t="shared" si="16"/>
        <v>0</v>
      </c>
      <c r="AQ36">
        <f t="shared" si="17"/>
        <v>44.4</v>
      </c>
      <c r="AR36">
        <f t="shared" si="18"/>
        <v>0</v>
      </c>
      <c r="AS36" s="2">
        <f t="shared" si="19"/>
        <v>0</v>
      </c>
      <c r="AT36" s="2">
        <f>IFERROR(INDEX(Player_Model!$BC$2:$BC$596,MATCH($A36,Player_Model!$A$2:$A$596,0)),0)</f>
        <v>0</v>
      </c>
      <c r="AU36" s="2">
        <f>Table8[[#This Row],[Model Expected Points]]*Table8[[#This Row],[Fixture Adjustment]]</f>
        <v>0</v>
      </c>
      <c r="AV36" s="2">
        <f>Table8[[#This Row],[Fixture Adjusted Points / 90]]/Table8[[#This Row],[Price]]</f>
        <v>0</v>
      </c>
      <c r="AW36">
        <f t="shared" si="20"/>
        <v>39.6</v>
      </c>
      <c r="AX36">
        <f t="shared" si="21"/>
        <v>8.3333333333333329E-2</v>
      </c>
      <c r="AY36" s="2">
        <f t="shared" si="22"/>
        <v>0</v>
      </c>
      <c r="AZ36" s="5">
        <f t="shared" si="23"/>
        <v>0.8</v>
      </c>
      <c r="BA36">
        <f>Table8[[#This Row],[Model Score2]]</f>
        <v>0</v>
      </c>
      <c r="BB36">
        <f>IFERROR(INDEX(Player_Model!$BG$2:$BG$596,MATCH($A36,Player_Model!$A$2:$A$596,0)),"")</f>
        <v>121</v>
      </c>
      <c r="BC36" t="str">
        <f t="shared" si="24"/>
        <v>AVOID</v>
      </c>
      <c r="BD36">
        <f>IF(H36=1,Table8[[#This Row],[Model Score]],-10000)</f>
        <v>0</v>
      </c>
      <c r="BE36">
        <f>IFERROR(INDEX(Player_Model!$BF$2:$BF$596,MATCH($A36,Player_Model!$A$2:$A$596,0)),"")</f>
        <v>253</v>
      </c>
      <c r="BF36">
        <f>IFERROR(INDEX(Player_Model!$BG$2:$BG$596,MATCH($A36,Player_Model!$A$2:$A$596,0)),"")</f>
        <v>121</v>
      </c>
      <c r="BG36">
        <f>IFERROR(INDEX(Player_Model!$BE$2:$BE$596,MATCH($A36,Player_Model!$A$2:$A$596,0)),0)</f>
        <v>0</v>
      </c>
    </row>
    <row r="37" spans="1:59" x14ac:dyDescent="0.25">
      <c r="A37" t="str">
        <f>tblPlayers[first_name]&amp;" "&amp;tblPlayers[second_name]</f>
        <v>Ian Maatsen</v>
      </c>
      <c r="B37" t="str">
        <f>_xlfn.SWITCH(tblPlayers[element_type],1,"GK",2,"DEF",3,"MID",4,"FWD")</f>
        <v>DEF</v>
      </c>
      <c r="C37">
        <f>tblPlayers[team]</f>
        <v>2</v>
      </c>
      <c r="D37" t="str">
        <f>INDEX(tblTeams[Column1.short_name],MATCH(C37,tblTeams[Column1.id],0))</f>
        <v>AVL</v>
      </c>
      <c r="E37" s="4">
        <f>INDEX(FPL_Raw_Data!$F:$F,MATCH(A37,FPL_Raw_Data!$AA:$AA,0))/10</f>
        <v>4.5</v>
      </c>
      <c r="F37" s="4" t="str">
        <f>tblPlayers[[#This Row],[status]]</f>
        <v>a</v>
      </c>
      <c r="G37" s="4" t="b">
        <f>tblPlayers[[#This Row],[can_select]]</f>
        <v>1</v>
      </c>
      <c r="H37">
        <f>IF(AND(Table8[[#This Row],[Availability Status]]="a",Table8[[#This Row],[Can Select]]=TRUE),1,0)</f>
        <v>1</v>
      </c>
      <c r="I37">
        <f>tblPlayers[minutes]</f>
        <v>245</v>
      </c>
      <c r="J37" s="2">
        <f>Table8[[#This Row],[Minutes]]/90</f>
        <v>2.7222222222222223</v>
      </c>
      <c r="K37" s="5">
        <f>IFERROR(Z37/(FIXTURE_ANALYSIS!$B$1-1),0)</f>
        <v>1</v>
      </c>
      <c r="L37">
        <f>tblPlayers[total_points]</f>
        <v>8</v>
      </c>
      <c r="M37">
        <f>tblPlayers[points_per_game]</f>
        <v>2.7</v>
      </c>
      <c r="N37">
        <f>tblPlayers[form]</f>
        <v>2.7</v>
      </c>
      <c r="O37">
        <f>tblPlayers[expected_goals]</f>
        <v>0.1</v>
      </c>
      <c r="P37">
        <f>tblPlayers[expected_assists]</f>
        <v>0.42</v>
      </c>
      <c r="Q37">
        <f>tblPlayers[expected_goal_involvements]</f>
        <v>0.52</v>
      </c>
      <c r="R37" s="2">
        <f t="shared" si="0"/>
        <v>2.9387755102040818</v>
      </c>
      <c r="S37" s="5">
        <f t="shared" si="1"/>
        <v>3.6734693877551024E-2</v>
      </c>
      <c r="T37" s="5">
        <f t="shared" si="2"/>
        <v>0.15428571428571428</v>
      </c>
      <c r="U37" s="5">
        <f t="shared" si="3"/>
        <v>0.19102040816326532</v>
      </c>
      <c r="V37" s="3">
        <f t="shared" si="4"/>
        <v>1.7777777777777777</v>
      </c>
      <c r="W37" s="5">
        <f t="shared" si="5"/>
        <v>0.11555555555555556</v>
      </c>
      <c r="X37" s="5">
        <f>IFERROR(IF(OR($B37="MID",$B37="FWD"),INDEX(FIXTURE_ANALYSIS!$Q:$Q,MATCH($D37,FIXTURE_ANALYSIS!$A:$A,0)),INDEX(FIXTURE_ANALYSIS!$R:$R,MATCH($D37,FIXTURE_ANALYSIS!$A:$A,0))),1)</f>
        <v>1.0288823959094229</v>
      </c>
      <c r="Y37" s="5">
        <f t="shared" si="6"/>
        <v>1.0288823959094229</v>
      </c>
      <c r="Z37" s="8">
        <f>INDEX(FPL_Raw_Data!$T:$T,MATCH(A37,FPL_Raw_Data!$AA:$AA,0))</f>
        <v>3</v>
      </c>
      <c r="AA37" s="8">
        <f>INDEX(FPL_Raw_Data!$S:$S,MATCH(A37,FPL_Raw_Data!$AA:$AA,0))</f>
        <v>20</v>
      </c>
      <c r="AB37" s="2">
        <f t="shared" si="7"/>
        <v>1</v>
      </c>
      <c r="AC37" s="2">
        <f>INDEX(FPL_Raw_Data!$Q:$Q,MATCH(A37,FPL_Raw_Data!$AA:$AA,0))</f>
        <v>1</v>
      </c>
      <c r="AD37" s="8">
        <f>INDEX(FPL_Raw_Data!$R:$R,MATCH(A37,FPL_Raw_Data!$AA:$AA,0))</f>
        <v>15</v>
      </c>
      <c r="AE37" s="8">
        <f>INDEX(FPL_Raw_Data!$N:$N,MATCH(A37,FPL_Raw_Data!$AA:$AA,0))</f>
        <v>1</v>
      </c>
      <c r="AF37" s="8">
        <f>INDEX(FPL_Raw_Data!$L:$L,MATCH(A37,FPL_Raw_Data!$AA:$AA,0))</f>
        <v>0</v>
      </c>
      <c r="AG37" s="2">
        <f>INDEX(FPL_Raw_Data!$M:$M,MATCH(A37,FPL_Raw_Data!$AA:$AA,0))</f>
        <v>0</v>
      </c>
      <c r="AH37" s="2">
        <f t="shared" si="8"/>
        <v>0.22040816326530616</v>
      </c>
      <c r="AI37" s="2">
        <f t="shared" si="9"/>
        <v>0.46285714285714286</v>
      </c>
      <c r="AJ37" s="2">
        <f t="shared" si="10"/>
        <v>2</v>
      </c>
      <c r="AK37" s="2">
        <f t="shared" si="11"/>
        <v>2</v>
      </c>
      <c r="AL37" s="2">
        <f t="shared" si="12"/>
        <v>0.33333333333333331</v>
      </c>
      <c r="AM37" s="2">
        <f t="shared" si="13"/>
        <v>1.3333333333333333</v>
      </c>
      <c r="AN37" s="2">
        <f t="shared" si="14"/>
        <v>0.33333333333333331</v>
      </c>
      <c r="AO37" s="3">
        <f t="shared" si="15"/>
        <v>57.999999999999993</v>
      </c>
      <c r="AP37">
        <f t="shared" si="16"/>
        <v>75.5</v>
      </c>
      <c r="AQ37">
        <f t="shared" si="17"/>
        <v>83.5</v>
      </c>
      <c r="AR37">
        <f t="shared" si="18"/>
        <v>86.3</v>
      </c>
      <c r="AS37" s="2">
        <f t="shared" si="19"/>
        <v>100</v>
      </c>
      <c r="AT37" s="2">
        <f>IFERROR(INDEX(Player_Model!$BC$2:$BC$596,MATCH($A37,Player_Model!$A$2:$A$596,0)),0)</f>
        <v>4.8789819283289786</v>
      </c>
      <c r="AU37" s="2">
        <f>Table8[[#This Row],[Model Expected Points]]*Table8[[#This Row],[Fixture Adjustment]]</f>
        <v>5.0198986160178958</v>
      </c>
      <c r="AV37" s="2">
        <f>Table8[[#This Row],[Fixture Adjusted Points / 90]]/Table8[[#This Row],[Price]]</f>
        <v>1.1155330257817546</v>
      </c>
      <c r="AW37">
        <f t="shared" si="20"/>
        <v>75.5</v>
      </c>
      <c r="AX37">
        <f t="shared" si="21"/>
        <v>1.0144411979547114</v>
      </c>
      <c r="AY37" s="2">
        <f t="shared" si="22"/>
        <v>100</v>
      </c>
      <c r="AZ37" s="5">
        <f t="shared" si="23"/>
        <v>1.0288823959094229</v>
      </c>
      <c r="BA37">
        <f>Table8[[#This Row],[Model Score2]]</f>
        <v>4.8789819283289786</v>
      </c>
      <c r="BB37">
        <f>IFERROR(INDEX(Player_Model!$BG$2:$BG$596,MATCH($A37,Player_Model!$A$2:$A$596,0)),"")</f>
        <v>38</v>
      </c>
      <c r="BC37" t="str">
        <f t="shared" si="24"/>
        <v>AVOID</v>
      </c>
      <c r="BD37">
        <f>IF(H37=1,Table8[[#This Row],[Model Score]],-10000)</f>
        <v>4.8789819283289786</v>
      </c>
      <c r="BE37">
        <f>IFERROR(INDEX(Player_Model!$BF$2:$BF$596,MATCH($A37,Player_Model!$A$2:$A$596,0)),"")</f>
        <v>102</v>
      </c>
      <c r="BF37">
        <f>IFERROR(INDEX(Player_Model!$BG$2:$BG$596,MATCH($A37,Player_Model!$A$2:$A$596,0)),"")</f>
        <v>38</v>
      </c>
      <c r="BG37">
        <f>IFERROR(INDEX(Player_Model!$BE$2:$BE$596,MATCH($A37,Player_Model!$A$2:$A$596,0)),0)</f>
        <v>4.8789819283289786</v>
      </c>
    </row>
    <row r="38" spans="1:59" x14ac:dyDescent="0.25">
      <c r="A38" t="str">
        <f>tblPlayers[first_name]&amp;" "&amp;tblPlayers[second_name]</f>
        <v>Victor Lindelöf</v>
      </c>
      <c r="B38" t="str">
        <f>_xlfn.SWITCH(tblPlayers[element_type],1,"GK",2,"DEF",3,"MID",4,"FWD")</f>
        <v>DEF</v>
      </c>
      <c r="C38">
        <f>tblPlayers[team]</f>
        <v>2</v>
      </c>
      <c r="D38" t="str">
        <f>INDEX(tblTeams[Column1.short_name],MATCH(C38,tblTeams[Column1.id],0))</f>
        <v>AVL</v>
      </c>
      <c r="E38" s="4">
        <f>INDEX(FPL_Raw_Data!$F:$F,MATCH(A38,FPL_Raw_Data!$AA:$AA,0))/10</f>
        <v>4.5</v>
      </c>
      <c r="F38" s="4" t="str">
        <f>tblPlayers[[#This Row],[status]]</f>
        <v>a</v>
      </c>
      <c r="G38" s="4" t="b">
        <f>tblPlayers[[#This Row],[can_select]]</f>
        <v>1</v>
      </c>
      <c r="H38">
        <f>IF(AND(Table8[[#This Row],[Availability Status]]="a",Table8[[#This Row],[Can Select]]=TRUE),1,0)</f>
        <v>1</v>
      </c>
      <c r="I38">
        <f>tblPlayers[minutes]</f>
        <v>270</v>
      </c>
      <c r="J38" s="2">
        <f>Table8[[#This Row],[Minutes]]/90</f>
        <v>3</v>
      </c>
      <c r="K38" s="5">
        <f>IFERROR(Z38/(FIXTURE_ANALYSIS!$B$1-1),0)</f>
        <v>1</v>
      </c>
      <c r="L38">
        <f>tblPlayers[total_points]</f>
        <v>6</v>
      </c>
      <c r="M38">
        <f>tblPlayers[points_per_game]</f>
        <v>2</v>
      </c>
      <c r="N38">
        <f>tblPlayers[form]</f>
        <v>2</v>
      </c>
      <c r="O38">
        <f>tblPlayers[expected_goals]</f>
        <v>0</v>
      </c>
      <c r="P38">
        <f>tblPlayers[expected_assists]</f>
        <v>0.16</v>
      </c>
      <c r="Q38">
        <f>tblPlayers[expected_goal_involvements]</f>
        <v>0.16</v>
      </c>
      <c r="R38" s="2">
        <f t="shared" si="0"/>
        <v>2</v>
      </c>
      <c r="S38" s="5">
        <f t="shared" si="1"/>
        <v>0</v>
      </c>
      <c r="T38" s="5">
        <f t="shared" si="2"/>
        <v>5.333333333333333E-2</v>
      </c>
      <c r="U38" s="5">
        <f t="shared" si="3"/>
        <v>5.333333333333333E-2</v>
      </c>
      <c r="V38" s="3">
        <f t="shared" si="4"/>
        <v>1.3333333333333333</v>
      </c>
      <c r="W38" s="5">
        <f t="shared" si="5"/>
        <v>3.5555555555555556E-2</v>
      </c>
      <c r="X38" s="5">
        <f>IFERROR(IF(OR($B38="MID",$B38="FWD"),INDEX(FIXTURE_ANALYSIS!$Q:$Q,MATCH($D38,FIXTURE_ANALYSIS!$A:$A,0)),INDEX(FIXTURE_ANALYSIS!$R:$R,MATCH($D38,FIXTURE_ANALYSIS!$A:$A,0))),1)</f>
        <v>1.0288823959094229</v>
      </c>
      <c r="Y38" s="5">
        <f t="shared" si="6"/>
        <v>1.0288823959094229</v>
      </c>
      <c r="Z38" s="8">
        <f>INDEX(FPL_Raw_Data!$T:$T,MATCH(A38,FPL_Raw_Data!$AA:$AA,0))</f>
        <v>3</v>
      </c>
      <c r="AA38" s="8">
        <f>INDEX(FPL_Raw_Data!$S:$S,MATCH(A38,FPL_Raw_Data!$AA:$AA,0))</f>
        <v>14</v>
      </c>
      <c r="AB38" s="2">
        <f t="shared" si="7"/>
        <v>1</v>
      </c>
      <c r="AC38" s="2">
        <f>INDEX(FPL_Raw_Data!$Q:$Q,MATCH(A38,FPL_Raw_Data!$AA:$AA,0))</f>
        <v>0</v>
      </c>
      <c r="AD38" s="8">
        <f>INDEX(FPL_Raw_Data!$R:$R,MATCH(A38,FPL_Raw_Data!$AA:$AA,0))</f>
        <v>25</v>
      </c>
      <c r="AE38" s="8">
        <f>INDEX(FPL_Raw_Data!$N:$N,MATCH(A38,FPL_Raw_Data!$AA:$AA,0))</f>
        <v>1</v>
      </c>
      <c r="AF38" s="8">
        <f>INDEX(FPL_Raw_Data!$L:$L,MATCH(A38,FPL_Raw_Data!$AA:$AA,0))</f>
        <v>0</v>
      </c>
      <c r="AG38" s="2">
        <f>INDEX(FPL_Raw_Data!$M:$M,MATCH(A38,FPL_Raw_Data!$AA:$AA,0))</f>
        <v>0</v>
      </c>
      <c r="AH38" s="2">
        <f t="shared" si="8"/>
        <v>0</v>
      </c>
      <c r="AI38" s="2">
        <f t="shared" si="9"/>
        <v>0.15999999999999998</v>
      </c>
      <c r="AJ38" s="2">
        <f t="shared" si="10"/>
        <v>2</v>
      </c>
      <c r="AK38" s="2">
        <f t="shared" si="11"/>
        <v>2</v>
      </c>
      <c r="AL38" s="2">
        <f t="shared" si="12"/>
        <v>0.33333333333333331</v>
      </c>
      <c r="AM38" s="2">
        <f t="shared" si="13"/>
        <v>1.3333333333333333</v>
      </c>
      <c r="AN38" s="2">
        <f t="shared" si="14"/>
        <v>0</v>
      </c>
      <c r="AO38" s="3">
        <f t="shared" si="15"/>
        <v>45.9</v>
      </c>
      <c r="AP38">
        <f t="shared" si="16"/>
        <v>62.2</v>
      </c>
      <c r="AQ38">
        <f t="shared" si="17"/>
        <v>74.900000000000006</v>
      </c>
      <c r="AR38">
        <f t="shared" si="18"/>
        <v>72.2</v>
      </c>
      <c r="AS38" s="2">
        <f t="shared" si="19"/>
        <v>100</v>
      </c>
      <c r="AT38" s="2">
        <f>IFERROR(INDEX(Player_Model!$BC$2:$BC$596,MATCH($A38,Player_Model!$A$2:$A$596,0)),0)</f>
        <v>3.6990388053499004</v>
      </c>
      <c r="AU38" s="2">
        <f>Table8[[#This Row],[Model Expected Points]]*Table8[[#This Row],[Fixture Adjustment]]</f>
        <v>3.8058759086103349</v>
      </c>
      <c r="AV38" s="2">
        <f>Table8[[#This Row],[Fixture Adjusted Points / 90]]/Table8[[#This Row],[Price]]</f>
        <v>0.84575020191340777</v>
      </c>
      <c r="AW38">
        <f t="shared" si="20"/>
        <v>62.2</v>
      </c>
      <c r="AX38">
        <f t="shared" si="21"/>
        <v>1.0144411979547114</v>
      </c>
      <c r="AY38" s="2">
        <f t="shared" si="22"/>
        <v>100</v>
      </c>
      <c r="AZ38" s="5">
        <f t="shared" si="23"/>
        <v>1.0288823959094229</v>
      </c>
      <c r="BA38">
        <f>Table8[[#This Row],[Model Score2]]</f>
        <v>3.6990388053499004</v>
      </c>
      <c r="BB38">
        <f>IFERROR(INDEX(Player_Model!$BG$2:$BG$596,MATCH($A38,Player_Model!$A$2:$A$596,0)),"")</f>
        <v>56</v>
      </c>
      <c r="BC38" t="str">
        <f t="shared" si="24"/>
        <v>AVOID</v>
      </c>
      <c r="BD38">
        <f>IF(H38=1,Table8[[#This Row],[Model Score]],-10000)</f>
        <v>3.6990388053499004</v>
      </c>
      <c r="BE38">
        <f>IFERROR(INDEX(Player_Model!$BF$2:$BF$596,MATCH($A38,Player_Model!$A$2:$A$596,0)),"")</f>
        <v>173</v>
      </c>
      <c r="BF38">
        <f>IFERROR(INDEX(Player_Model!$BG$2:$BG$596,MATCH($A38,Player_Model!$A$2:$A$596,0)),"")</f>
        <v>56</v>
      </c>
      <c r="BG38">
        <f>IFERROR(INDEX(Player_Model!$BE$2:$BE$596,MATCH($A38,Player_Model!$A$2:$A$596,0)),0)</f>
        <v>3.6990388053499004</v>
      </c>
    </row>
    <row r="39" spans="1:59" x14ac:dyDescent="0.25">
      <c r="A39" t="str">
        <f>tblPlayers[first_name]&amp;" "&amp;tblPlayers[second_name]</f>
        <v>Andrés García</v>
      </c>
      <c r="B39" t="str">
        <f>_xlfn.SWITCH(tblPlayers[element_type],1,"GK",2,"DEF",3,"MID",4,"FWD")</f>
        <v>DEF</v>
      </c>
      <c r="C39">
        <f>tblPlayers[team]</f>
        <v>2</v>
      </c>
      <c r="D39" t="str">
        <f>INDEX(tblTeams[Column1.short_name],MATCH(C39,tblTeams[Column1.id],0))</f>
        <v>AVL</v>
      </c>
      <c r="E39" s="4">
        <f>INDEX(FPL_Raw_Data!$F:$F,MATCH(A39,FPL_Raw_Data!$AA:$AA,0))/10</f>
        <v>4</v>
      </c>
      <c r="F39" s="4" t="str">
        <f>tblPlayers[[#This Row],[status]]</f>
        <v>a</v>
      </c>
      <c r="G39" s="4" t="b">
        <f>tblPlayers[[#This Row],[can_select]]</f>
        <v>1</v>
      </c>
      <c r="H39">
        <f>IF(AND(Table8[[#This Row],[Availability Status]]="a",Table8[[#This Row],[Can Select]]=TRUE),1,0)</f>
        <v>1</v>
      </c>
      <c r="I39">
        <f>tblPlayers[minutes]</f>
        <v>0</v>
      </c>
      <c r="J39" s="2">
        <f>Table8[[#This Row],[Minutes]]/90</f>
        <v>0</v>
      </c>
      <c r="K39" s="5">
        <f>IFERROR(Z39/(FIXTURE_ANALYSIS!$B$1-1),0)</f>
        <v>0</v>
      </c>
      <c r="L39">
        <f>tblPlayers[total_points]</f>
        <v>0</v>
      </c>
      <c r="M39">
        <f>tblPlayers[points_per_game]</f>
        <v>0</v>
      </c>
      <c r="N39">
        <f>tblPlayers[form]</f>
        <v>0</v>
      </c>
      <c r="O39">
        <f>tblPlayers[expected_goals]</f>
        <v>0</v>
      </c>
      <c r="P39">
        <f>tblPlayers[expected_assists]</f>
        <v>0</v>
      </c>
      <c r="Q39">
        <f>tblPlayers[expected_goal_involvements]</f>
        <v>0</v>
      </c>
      <c r="R39" s="2">
        <f t="shared" si="0"/>
        <v>0</v>
      </c>
      <c r="S39" s="5">
        <f t="shared" si="1"/>
        <v>0</v>
      </c>
      <c r="T39" s="5">
        <f t="shared" si="2"/>
        <v>0</v>
      </c>
      <c r="U39" s="5">
        <f t="shared" si="3"/>
        <v>0</v>
      </c>
      <c r="V39" s="3">
        <f t="shared" si="4"/>
        <v>0</v>
      </c>
      <c r="W39" s="5">
        <f t="shared" si="5"/>
        <v>0</v>
      </c>
      <c r="X39" s="5">
        <f>IFERROR(IF(OR($B39="MID",$B39="FWD"),INDEX(FIXTURE_ANALYSIS!$Q:$Q,MATCH($D39,FIXTURE_ANALYSIS!$A:$A,0)),INDEX(FIXTURE_ANALYSIS!$R:$R,MATCH($D39,FIXTURE_ANALYSIS!$A:$A,0))),1)</f>
        <v>1.0288823959094229</v>
      </c>
      <c r="Y39" s="5">
        <f t="shared" si="6"/>
        <v>1.0288823959094229</v>
      </c>
      <c r="Z39" s="8">
        <f>INDEX(FPL_Raw_Data!$T:$T,MATCH(A39,FPL_Raw_Data!$AA:$AA,0))</f>
        <v>0</v>
      </c>
      <c r="AA39" s="8">
        <f>INDEX(FPL_Raw_Data!$S:$S,MATCH(A39,FPL_Raw_Data!$AA:$AA,0))</f>
        <v>0</v>
      </c>
      <c r="AB39" s="2">
        <f t="shared" si="7"/>
        <v>0</v>
      </c>
      <c r="AC39" s="2">
        <f>INDEX(FPL_Raw_Data!$Q:$Q,MATCH(A39,FPL_Raw_Data!$AA:$AA,0))</f>
        <v>0</v>
      </c>
      <c r="AD39" s="8">
        <f>INDEX(FPL_Raw_Data!$R:$R,MATCH(A39,FPL_Raw_Data!$AA:$AA,0))</f>
        <v>0</v>
      </c>
      <c r="AE39" s="8">
        <f>INDEX(FPL_Raw_Data!$N:$N,MATCH(A39,FPL_Raw_Data!$AA:$AA,0))</f>
        <v>0</v>
      </c>
      <c r="AF39" s="8">
        <f>INDEX(FPL_Raw_Data!$L:$L,MATCH(A39,FPL_Raw_Data!$AA:$AA,0))</f>
        <v>0</v>
      </c>
      <c r="AG39" s="2">
        <f>INDEX(FPL_Raw_Data!$M:$M,MATCH(A39,FPL_Raw_Data!$AA:$AA,0))</f>
        <v>0</v>
      </c>
      <c r="AH39" s="2">
        <f t="shared" si="8"/>
        <v>0</v>
      </c>
      <c r="AI39" s="2">
        <f t="shared" si="9"/>
        <v>0</v>
      </c>
      <c r="AJ39" s="2">
        <f t="shared" si="10"/>
        <v>0</v>
      </c>
      <c r="AK39" s="2">
        <f t="shared" si="11"/>
        <v>0</v>
      </c>
      <c r="AL39" s="2">
        <f t="shared" si="12"/>
        <v>0</v>
      </c>
      <c r="AM39" s="2">
        <f t="shared" si="13"/>
        <v>0</v>
      </c>
      <c r="AN39" s="2">
        <f t="shared" si="14"/>
        <v>0</v>
      </c>
      <c r="AO39" s="3">
        <f t="shared" si="15"/>
        <v>0.1</v>
      </c>
      <c r="AP39">
        <f t="shared" si="16"/>
        <v>0</v>
      </c>
      <c r="AQ39">
        <f t="shared" si="17"/>
        <v>0.1</v>
      </c>
      <c r="AR39">
        <f t="shared" si="18"/>
        <v>0</v>
      </c>
      <c r="AS39" s="2">
        <f t="shared" si="19"/>
        <v>0</v>
      </c>
      <c r="AT39" s="2">
        <f>IFERROR(INDEX(Player_Model!$BC$2:$BC$596,MATCH($A39,Player_Model!$A$2:$A$596,0)),0)</f>
        <v>-0.85740199659118577</v>
      </c>
      <c r="AU39" s="2">
        <f>Table8[[#This Row],[Model Expected Points]]*Table8[[#This Row],[Fixture Adjustment]]</f>
        <v>-0.88216582051026204</v>
      </c>
      <c r="AV39" s="2">
        <f>Table8[[#This Row],[Fixture Adjusted Points / 90]]/Table8[[#This Row],[Price]]</f>
        <v>-0.22054145512756551</v>
      </c>
      <c r="AW39">
        <f t="shared" si="20"/>
        <v>0</v>
      </c>
      <c r="AX39">
        <f t="shared" si="21"/>
        <v>0.51444119795471144</v>
      </c>
      <c r="AY39" s="2">
        <f t="shared" si="22"/>
        <v>0</v>
      </c>
      <c r="AZ39" s="5">
        <f t="shared" si="23"/>
        <v>1.0288823959094229</v>
      </c>
      <c r="BA39">
        <f>Table8[[#This Row],[Model Score2]]</f>
        <v>-0.85740199659118577</v>
      </c>
      <c r="BB39">
        <f>IFERROR(INDEX(Player_Model!$BG$2:$BG$596,MATCH($A39,Player_Model!$A$2:$A$596,0)),"")</f>
        <v>164</v>
      </c>
      <c r="BC39" t="str">
        <f t="shared" si="24"/>
        <v>AVOID</v>
      </c>
      <c r="BD39">
        <f>IF(H39=1,Table8[[#This Row],[Model Score]],-10000)</f>
        <v>-0.85740199659118577</v>
      </c>
      <c r="BE39">
        <f>IFERROR(INDEX(Player_Model!$BF$2:$BF$596,MATCH($A39,Player_Model!$A$2:$A$596,0)),"")</f>
        <v>566</v>
      </c>
      <c r="BF39">
        <f>IFERROR(INDEX(Player_Model!$BG$2:$BG$596,MATCH($A39,Player_Model!$A$2:$A$596,0)),"")</f>
        <v>164</v>
      </c>
      <c r="BG39">
        <f>IFERROR(INDEX(Player_Model!$BE$2:$BE$596,MATCH($A39,Player_Model!$A$2:$A$596,0)),0)</f>
        <v>-0.85740199659118577</v>
      </c>
    </row>
    <row r="40" spans="1:59" x14ac:dyDescent="0.25">
      <c r="A40" t="str">
        <f>tblPlayers[first_name]&amp;" "&amp;tblPlayers[second_name]</f>
        <v>Kosta Nedeljkovic</v>
      </c>
      <c r="B40" t="str">
        <f>_xlfn.SWITCH(tblPlayers[element_type],1,"GK",2,"DEF",3,"MID",4,"FWD")</f>
        <v>DEF</v>
      </c>
      <c r="C40">
        <f>tblPlayers[team]</f>
        <v>2</v>
      </c>
      <c r="D40" t="str">
        <f>INDEX(tblTeams[Column1.short_name],MATCH(C40,tblTeams[Column1.id],0))</f>
        <v>AVL</v>
      </c>
      <c r="E40" s="4">
        <f>INDEX(FPL_Raw_Data!$F:$F,MATCH(A40,FPL_Raw_Data!$AA:$AA,0))/10</f>
        <v>4</v>
      </c>
      <c r="F40" s="4" t="str">
        <f>tblPlayers[[#This Row],[status]]</f>
        <v>u</v>
      </c>
      <c r="G40" s="4" t="b">
        <f>tblPlayers[[#This Row],[can_select]]</f>
        <v>0</v>
      </c>
      <c r="H40">
        <f>IF(AND(Table8[[#This Row],[Availability Status]]="a",Table8[[#This Row],[Can Select]]=TRUE),1,0)</f>
        <v>0</v>
      </c>
      <c r="I40">
        <f>tblPlayers[minutes]</f>
        <v>0</v>
      </c>
      <c r="J40" s="2">
        <f>Table8[[#This Row],[Minutes]]/90</f>
        <v>0</v>
      </c>
      <c r="K40" s="5">
        <f>IFERROR(Z40/(FIXTURE_ANALYSIS!$B$1-1),0)</f>
        <v>0</v>
      </c>
      <c r="L40">
        <f>tblPlayers[total_points]</f>
        <v>0</v>
      </c>
      <c r="M40">
        <f>tblPlayers[points_per_game]</f>
        <v>0</v>
      </c>
      <c r="N40">
        <f>tblPlayers[form]</f>
        <v>0</v>
      </c>
      <c r="O40">
        <f>tblPlayers[expected_goals]</f>
        <v>0</v>
      </c>
      <c r="P40">
        <f>tblPlayers[expected_assists]</f>
        <v>0</v>
      </c>
      <c r="Q40">
        <f>tblPlayers[expected_goal_involvements]</f>
        <v>0</v>
      </c>
      <c r="R40" s="2">
        <f t="shared" si="0"/>
        <v>0</v>
      </c>
      <c r="S40" s="5">
        <f t="shared" si="1"/>
        <v>0</v>
      </c>
      <c r="T40" s="5">
        <f t="shared" si="2"/>
        <v>0</v>
      </c>
      <c r="U40" s="5">
        <f t="shared" si="3"/>
        <v>0</v>
      </c>
      <c r="V40" s="3">
        <f t="shared" si="4"/>
        <v>0</v>
      </c>
      <c r="W40" s="5">
        <f t="shared" si="5"/>
        <v>0</v>
      </c>
      <c r="X40" s="5">
        <f>IFERROR(IF(OR($B40="MID",$B40="FWD"),INDEX(FIXTURE_ANALYSIS!$Q:$Q,MATCH($D40,FIXTURE_ANALYSIS!$A:$A,0)),INDEX(FIXTURE_ANALYSIS!$R:$R,MATCH($D40,FIXTURE_ANALYSIS!$A:$A,0))),1)</f>
        <v>1.0288823959094229</v>
      </c>
      <c r="Y40" s="5">
        <f t="shared" si="6"/>
        <v>1.0288823959094229</v>
      </c>
      <c r="Z40" s="8">
        <f>INDEX(FPL_Raw_Data!$T:$T,MATCH(A40,FPL_Raw_Data!$AA:$AA,0))</f>
        <v>0</v>
      </c>
      <c r="AA40" s="8">
        <f>INDEX(FPL_Raw_Data!$S:$S,MATCH(A40,FPL_Raw_Data!$AA:$AA,0))</f>
        <v>0</v>
      </c>
      <c r="AB40" s="2">
        <f t="shared" si="7"/>
        <v>0</v>
      </c>
      <c r="AC40" s="2">
        <f>INDEX(FPL_Raw_Data!$Q:$Q,MATCH(A40,FPL_Raw_Data!$AA:$AA,0))</f>
        <v>0</v>
      </c>
      <c r="AD40" s="8">
        <f>INDEX(FPL_Raw_Data!$R:$R,MATCH(A40,FPL_Raw_Data!$AA:$AA,0))</f>
        <v>0</v>
      </c>
      <c r="AE40" s="8">
        <f>INDEX(FPL_Raw_Data!$N:$N,MATCH(A40,FPL_Raw_Data!$AA:$AA,0))</f>
        <v>0</v>
      </c>
      <c r="AF40" s="8">
        <f>INDEX(FPL_Raw_Data!$L:$L,MATCH(A40,FPL_Raw_Data!$AA:$AA,0))</f>
        <v>0</v>
      </c>
      <c r="AG40" s="2">
        <f>INDEX(FPL_Raw_Data!$M:$M,MATCH(A40,FPL_Raw_Data!$AA:$AA,0))</f>
        <v>0</v>
      </c>
      <c r="AH40" s="2">
        <f t="shared" si="8"/>
        <v>0</v>
      </c>
      <c r="AI40" s="2">
        <f t="shared" si="9"/>
        <v>0</v>
      </c>
      <c r="AJ40" s="2">
        <f t="shared" si="10"/>
        <v>0</v>
      </c>
      <c r="AK40" s="2">
        <f t="shared" si="11"/>
        <v>0</v>
      </c>
      <c r="AL40" s="2">
        <f t="shared" si="12"/>
        <v>0</v>
      </c>
      <c r="AM40" s="2">
        <f t="shared" si="13"/>
        <v>0</v>
      </c>
      <c r="AN40" s="2">
        <f t="shared" si="14"/>
        <v>0</v>
      </c>
      <c r="AO40" s="3">
        <f t="shared" si="15"/>
        <v>0.1</v>
      </c>
      <c r="AP40">
        <f t="shared" si="16"/>
        <v>0</v>
      </c>
      <c r="AQ40">
        <f t="shared" si="17"/>
        <v>0.1</v>
      </c>
      <c r="AR40">
        <f t="shared" si="18"/>
        <v>0</v>
      </c>
      <c r="AS40" s="2">
        <f t="shared" si="19"/>
        <v>0</v>
      </c>
      <c r="AT40" s="2">
        <f>IFERROR(INDEX(Player_Model!$BC$2:$BC$596,MATCH($A40,Player_Model!$A$2:$A$596,0)),0)</f>
        <v>-0.85740199659118577</v>
      </c>
      <c r="AU40" s="2">
        <f>Table8[[#This Row],[Model Expected Points]]*Table8[[#This Row],[Fixture Adjustment]]</f>
        <v>-0.88216582051026204</v>
      </c>
      <c r="AV40" s="2">
        <f>Table8[[#This Row],[Fixture Adjusted Points / 90]]/Table8[[#This Row],[Price]]</f>
        <v>-0.22054145512756551</v>
      </c>
      <c r="AW40">
        <f t="shared" si="20"/>
        <v>0</v>
      </c>
      <c r="AX40">
        <f t="shared" si="21"/>
        <v>0.51444119795471144</v>
      </c>
      <c r="AY40" s="2">
        <f t="shared" si="22"/>
        <v>0</v>
      </c>
      <c r="AZ40" s="5">
        <f t="shared" si="23"/>
        <v>1.0288823959094229</v>
      </c>
      <c r="BA40">
        <f>Table8[[#This Row],[Model Score2]]</f>
        <v>-0.85740199659118577</v>
      </c>
      <c r="BB40">
        <f>IFERROR(INDEX(Player_Model!$BG$2:$BG$596,MATCH($A40,Player_Model!$A$2:$A$596,0)),"")</f>
        <v>165</v>
      </c>
      <c r="BC40" t="str">
        <f t="shared" si="24"/>
        <v>AVOID</v>
      </c>
      <c r="BD40">
        <f>IF(H40=1,Table8[[#This Row],[Model Score]],-10000)</f>
        <v>-10000</v>
      </c>
      <c r="BE40">
        <f>IFERROR(INDEX(Player_Model!$BF$2:$BF$596,MATCH($A40,Player_Model!$A$2:$A$596,0)),"")</f>
        <v>566</v>
      </c>
      <c r="BF40">
        <f>IFERROR(INDEX(Player_Model!$BG$2:$BG$596,MATCH($A40,Player_Model!$A$2:$A$596,0)),"")</f>
        <v>165</v>
      </c>
      <c r="BG40">
        <f>IFERROR(INDEX(Player_Model!$BE$2:$BE$596,MATCH($A40,Player_Model!$A$2:$A$596,0)),0)</f>
        <v>-0.85740199659118577</v>
      </c>
    </row>
    <row r="41" spans="1:59" x14ac:dyDescent="0.25">
      <c r="A41" t="str">
        <f>tblPlayers[first_name]&amp;" "&amp;tblPlayers[second_name]</f>
        <v>Emiliano Buendía Stati</v>
      </c>
      <c r="B41" t="str">
        <f>_xlfn.SWITCH(tblPlayers[element_type],1,"GK",2,"DEF",3,"MID",4,"FWD")</f>
        <v>MID</v>
      </c>
      <c r="C41">
        <f>tblPlayers[team]</f>
        <v>2</v>
      </c>
      <c r="D41" t="str">
        <f>INDEX(tblTeams[Column1.short_name],MATCH(C41,tblTeams[Column1.id],0))</f>
        <v>AVL</v>
      </c>
      <c r="E41" s="4">
        <f>INDEX(FPL_Raw_Data!$F:$F,MATCH(A41,FPL_Raw_Data!$AA:$AA,0))/10</f>
        <v>6</v>
      </c>
      <c r="F41" s="4" t="str">
        <f>tblPlayers[[#This Row],[status]]</f>
        <v>a</v>
      </c>
      <c r="G41" s="4" t="b">
        <f>tblPlayers[[#This Row],[can_select]]</f>
        <v>1</v>
      </c>
      <c r="H41">
        <f>IF(AND(Table8[[#This Row],[Availability Status]]="a",Table8[[#This Row],[Can Select]]=TRUE),1,0)</f>
        <v>1</v>
      </c>
      <c r="I41">
        <f>tblPlayers[minutes]</f>
        <v>249</v>
      </c>
      <c r="J41" s="2">
        <f>Table8[[#This Row],[Minutes]]/90</f>
        <v>2.7666666666666666</v>
      </c>
      <c r="K41" s="5">
        <f>IFERROR(Z41/(FIXTURE_ANALYSIS!$B$1-1),0)</f>
        <v>1</v>
      </c>
      <c r="L41">
        <f>tblPlayers[total_points]</f>
        <v>7</v>
      </c>
      <c r="M41">
        <f>tblPlayers[points_per_game]</f>
        <v>2.2999999999999998</v>
      </c>
      <c r="N41">
        <f>tblPlayers[form]</f>
        <v>2.2999999999999998</v>
      </c>
      <c r="O41">
        <f>tblPlayers[expected_goals]</f>
        <v>0.78</v>
      </c>
      <c r="P41">
        <f>tblPlayers[expected_assists]</f>
        <v>0.16</v>
      </c>
      <c r="Q41">
        <f>tblPlayers[expected_goal_involvements]</f>
        <v>0.94</v>
      </c>
      <c r="R41" s="2">
        <f t="shared" si="0"/>
        <v>2.5301204819277108</v>
      </c>
      <c r="S41" s="5">
        <f t="shared" si="1"/>
        <v>0.28192771084337354</v>
      </c>
      <c r="T41" s="5">
        <f t="shared" si="2"/>
        <v>5.7831325301204821E-2</v>
      </c>
      <c r="U41" s="5">
        <f t="shared" si="3"/>
        <v>0.33975903614457831</v>
      </c>
      <c r="V41" s="3">
        <f t="shared" si="4"/>
        <v>1.1666666666666667</v>
      </c>
      <c r="W41" s="5">
        <f t="shared" si="5"/>
        <v>0.15666666666666665</v>
      </c>
      <c r="X41" s="5">
        <f>IFERROR(IF(OR($B41="MID",$B41="FWD"),INDEX(FIXTURE_ANALYSIS!$Q:$Q,MATCH($D41,FIXTURE_ANALYSIS!$A:$A,0)),INDEX(FIXTURE_ANALYSIS!$R:$R,MATCH($D41,FIXTURE_ANALYSIS!$A:$A,0))),1)</f>
        <v>0.8</v>
      </c>
      <c r="Y41" s="5">
        <f t="shared" si="6"/>
        <v>0.8</v>
      </c>
      <c r="Z41" s="8">
        <f>INDEX(FPL_Raw_Data!$T:$T,MATCH(A41,FPL_Raw_Data!$AA:$AA,0))</f>
        <v>3</v>
      </c>
      <c r="AA41" s="8">
        <f>INDEX(FPL_Raw_Data!$S:$S,MATCH(A41,FPL_Raw_Data!$AA:$AA,0))</f>
        <v>14</v>
      </c>
      <c r="AB41" s="2">
        <f t="shared" si="7"/>
        <v>1</v>
      </c>
      <c r="AC41" s="2">
        <f>INDEX(FPL_Raw_Data!$Q:$Q,MATCH(A41,FPL_Raw_Data!$AA:$AA,0))</f>
        <v>0</v>
      </c>
      <c r="AD41" s="8">
        <f>INDEX(FPL_Raw_Data!$R:$R,MATCH(A41,FPL_Raw_Data!$AA:$AA,0))</f>
        <v>15</v>
      </c>
      <c r="AE41" s="8">
        <f>INDEX(FPL_Raw_Data!$N:$N,MATCH(A41,FPL_Raw_Data!$AA:$AA,0))</f>
        <v>1</v>
      </c>
      <c r="AF41" s="8">
        <f>INDEX(FPL_Raw_Data!$L:$L,MATCH(A41,FPL_Raw_Data!$AA:$AA,0))</f>
        <v>0</v>
      </c>
      <c r="AG41" s="2">
        <f>INDEX(FPL_Raw_Data!$M:$M,MATCH(A41,FPL_Raw_Data!$AA:$AA,0))</f>
        <v>0</v>
      </c>
      <c r="AH41" s="2">
        <f t="shared" si="8"/>
        <v>1.4096385542168677</v>
      </c>
      <c r="AI41" s="2">
        <f t="shared" si="9"/>
        <v>0.17349397590361446</v>
      </c>
      <c r="AJ41" s="2">
        <f t="shared" si="10"/>
        <v>2</v>
      </c>
      <c r="AK41" s="2">
        <f t="shared" si="11"/>
        <v>2</v>
      </c>
      <c r="AL41" s="2">
        <f t="shared" si="12"/>
        <v>0.33333333333333331</v>
      </c>
      <c r="AM41" s="2">
        <f t="shared" si="13"/>
        <v>0.33333333333333331</v>
      </c>
      <c r="AN41" s="2">
        <f t="shared" si="14"/>
        <v>0</v>
      </c>
      <c r="AO41" s="3">
        <f t="shared" si="15"/>
        <v>53.800000000000004</v>
      </c>
      <c r="AP41">
        <f t="shared" si="16"/>
        <v>86.3</v>
      </c>
      <c r="AQ41">
        <f t="shared" si="17"/>
        <v>71.7</v>
      </c>
      <c r="AR41">
        <f t="shared" si="18"/>
        <v>91.9</v>
      </c>
      <c r="AS41" s="2">
        <f t="shared" si="19"/>
        <v>100</v>
      </c>
      <c r="AT41" s="2">
        <f>IFERROR(INDEX(Player_Model!$BC$2:$BC$596,MATCH($A41,Player_Model!$A$2:$A$596,0)),0)</f>
        <v>3.8127250254846858</v>
      </c>
      <c r="AU41" s="2">
        <f>Table8[[#This Row],[Model Expected Points]]*Table8[[#This Row],[Fixture Adjustment]]</f>
        <v>3.0501800203877489</v>
      </c>
      <c r="AV41" s="2">
        <f>Table8[[#This Row],[Fixture Adjusted Points / 90]]/Table8[[#This Row],[Price]]</f>
        <v>0.50836333673129153</v>
      </c>
      <c r="AW41">
        <f t="shared" si="20"/>
        <v>70.05</v>
      </c>
      <c r="AX41">
        <f t="shared" si="21"/>
        <v>1</v>
      </c>
      <c r="AY41" s="2">
        <f t="shared" si="22"/>
        <v>100</v>
      </c>
      <c r="AZ41" s="5">
        <f t="shared" si="23"/>
        <v>0.8</v>
      </c>
      <c r="BA41">
        <f>Table8[[#This Row],[Model Score2]]</f>
        <v>3.8127250254846858</v>
      </c>
      <c r="BB41">
        <f>IFERROR(INDEX(Player_Model!$BG$2:$BG$596,MATCH($A41,Player_Model!$A$2:$A$596,0)),"")</f>
        <v>87</v>
      </c>
      <c r="BC41" t="str">
        <f t="shared" si="24"/>
        <v>AVOID</v>
      </c>
      <c r="BD41">
        <f>IF(H41=1,Table8[[#This Row],[Model Score]],-10000)</f>
        <v>3.8127250254846858</v>
      </c>
      <c r="BE41">
        <f>IFERROR(INDEX(Player_Model!$BF$2:$BF$596,MATCH($A41,Player_Model!$A$2:$A$596,0)),"")</f>
        <v>170</v>
      </c>
      <c r="BF41">
        <f>IFERROR(INDEX(Player_Model!$BG$2:$BG$596,MATCH($A41,Player_Model!$A$2:$A$596,0)),"")</f>
        <v>87</v>
      </c>
      <c r="BG41">
        <f>IFERROR(INDEX(Player_Model!$BE$2:$BE$596,MATCH($A41,Player_Model!$A$2:$A$596,0)),0)</f>
        <v>3.8127250254846858</v>
      </c>
    </row>
    <row r="42" spans="1:59" x14ac:dyDescent="0.25">
      <c r="A42" t="str">
        <f>tblPlayers[first_name]&amp;" "&amp;tblPlayers[second_name]</f>
        <v>Leon Bailey</v>
      </c>
      <c r="B42" t="str">
        <f>_xlfn.SWITCH(tblPlayers[element_type],1,"GK",2,"DEF",3,"MID",4,"FWD")</f>
        <v>MID</v>
      </c>
      <c r="C42">
        <f>tblPlayers[team]</f>
        <v>2</v>
      </c>
      <c r="D42" t="str">
        <f>INDEX(tblTeams[Column1.short_name],MATCH(C42,tblTeams[Column1.id],0))</f>
        <v>AVL</v>
      </c>
      <c r="E42" s="4">
        <f>INDEX(FPL_Raw_Data!$F:$F,MATCH(A42,FPL_Raw_Data!$AA:$AA,0))/10</f>
        <v>5.4</v>
      </c>
      <c r="F42" s="4" t="str">
        <f>tblPlayers[[#This Row],[status]]</f>
        <v>u</v>
      </c>
      <c r="G42" s="4" t="b">
        <f>tblPlayers[[#This Row],[can_select]]</f>
        <v>0</v>
      </c>
      <c r="H42">
        <f>IF(AND(Table8[[#This Row],[Availability Status]]="a",Table8[[#This Row],[Can Select]]=TRUE),1,0)</f>
        <v>0</v>
      </c>
      <c r="I42">
        <f>tblPlayers[minutes]</f>
        <v>0</v>
      </c>
      <c r="J42" s="2">
        <f>Table8[[#This Row],[Minutes]]/90</f>
        <v>0</v>
      </c>
      <c r="K42" s="5">
        <f>IFERROR(Z42/(FIXTURE_ANALYSIS!$B$1-1),0)</f>
        <v>0</v>
      </c>
      <c r="L42">
        <f>tblPlayers[total_points]</f>
        <v>0</v>
      </c>
      <c r="M42">
        <f>tblPlayers[points_per_game]</f>
        <v>0</v>
      </c>
      <c r="N42">
        <f>tblPlayers[form]</f>
        <v>0</v>
      </c>
      <c r="O42">
        <f>tblPlayers[expected_goals]</f>
        <v>0</v>
      </c>
      <c r="P42">
        <f>tblPlayers[expected_assists]</f>
        <v>0</v>
      </c>
      <c r="Q42">
        <f>tblPlayers[expected_goal_involvements]</f>
        <v>0</v>
      </c>
      <c r="R42" s="2">
        <f t="shared" si="0"/>
        <v>0</v>
      </c>
      <c r="S42" s="5">
        <f t="shared" si="1"/>
        <v>0</v>
      </c>
      <c r="T42" s="5">
        <f t="shared" si="2"/>
        <v>0</v>
      </c>
      <c r="U42" s="5">
        <f t="shared" si="3"/>
        <v>0</v>
      </c>
      <c r="V42" s="3">
        <f t="shared" si="4"/>
        <v>0</v>
      </c>
      <c r="W42" s="5">
        <f t="shared" si="5"/>
        <v>0</v>
      </c>
      <c r="X42" s="5">
        <f>IFERROR(IF(OR($B42="MID",$B42="FWD"),INDEX(FIXTURE_ANALYSIS!$Q:$Q,MATCH($D42,FIXTURE_ANALYSIS!$A:$A,0)),INDEX(FIXTURE_ANALYSIS!$R:$R,MATCH($D42,FIXTURE_ANALYSIS!$A:$A,0))),1)</f>
        <v>0.8</v>
      </c>
      <c r="Y42" s="5">
        <f t="shared" si="6"/>
        <v>0.8</v>
      </c>
      <c r="Z42" s="8">
        <f>INDEX(FPL_Raw_Data!$T:$T,MATCH(A42,FPL_Raw_Data!$AA:$AA,0))</f>
        <v>0</v>
      </c>
      <c r="AA42" s="8">
        <f>INDEX(FPL_Raw_Data!$S:$S,MATCH(A42,FPL_Raw_Data!$AA:$AA,0))</f>
        <v>0</v>
      </c>
      <c r="AB42" s="2">
        <f t="shared" si="7"/>
        <v>0</v>
      </c>
      <c r="AC42" s="2">
        <f>INDEX(FPL_Raw_Data!$Q:$Q,MATCH(A42,FPL_Raw_Data!$AA:$AA,0))</f>
        <v>0</v>
      </c>
      <c r="AD42" s="8">
        <f>INDEX(FPL_Raw_Data!$R:$R,MATCH(A42,FPL_Raw_Data!$AA:$AA,0))</f>
        <v>0</v>
      </c>
      <c r="AE42" s="8">
        <f>INDEX(FPL_Raw_Data!$N:$N,MATCH(A42,FPL_Raw_Data!$AA:$AA,0))</f>
        <v>0</v>
      </c>
      <c r="AF42" s="8">
        <f>INDEX(FPL_Raw_Data!$L:$L,MATCH(A42,FPL_Raw_Data!$AA:$AA,0))</f>
        <v>0</v>
      </c>
      <c r="AG42" s="2">
        <f>INDEX(FPL_Raw_Data!$M:$M,MATCH(A42,FPL_Raw_Data!$AA:$AA,0))</f>
        <v>0</v>
      </c>
      <c r="AH42" s="2">
        <f t="shared" si="8"/>
        <v>0</v>
      </c>
      <c r="AI42" s="2">
        <f t="shared" si="9"/>
        <v>0</v>
      </c>
      <c r="AJ42" s="2">
        <f t="shared" si="10"/>
        <v>0</v>
      </c>
      <c r="AK42" s="2">
        <f t="shared" si="11"/>
        <v>0</v>
      </c>
      <c r="AL42" s="2">
        <f t="shared" si="12"/>
        <v>0</v>
      </c>
      <c r="AM42" s="2">
        <f t="shared" si="13"/>
        <v>0</v>
      </c>
      <c r="AN42" s="2">
        <f t="shared" si="14"/>
        <v>0</v>
      </c>
      <c r="AO42" s="3">
        <f t="shared" si="15"/>
        <v>0.1</v>
      </c>
      <c r="AP42">
        <f t="shared" si="16"/>
        <v>0</v>
      </c>
      <c r="AQ42">
        <f t="shared" si="17"/>
        <v>0.1</v>
      </c>
      <c r="AR42">
        <f t="shared" si="18"/>
        <v>0</v>
      </c>
      <c r="AS42" s="2">
        <f t="shared" si="19"/>
        <v>0</v>
      </c>
      <c r="AT42" s="2">
        <f>IFERROR(INDEX(Player_Model!$BC$2:$BC$596,MATCH($A42,Player_Model!$A$2:$A$596,0)),0)</f>
        <v>0</v>
      </c>
      <c r="AU42" s="2">
        <f>Table8[[#This Row],[Model Expected Points]]*Table8[[#This Row],[Fixture Adjustment]]</f>
        <v>0</v>
      </c>
      <c r="AV42" s="2">
        <f>Table8[[#This Row],[Fixture Adjusted Points / 90]]/Table8[[#This Row],[Price]]</f>
        <v>0</v>
      </c>
      <c r="AW42">
        <f t="shared" si="20"/>
        <v>0.05</v>
      </c>
      <c r="AX42">
        <f t="shared" si="21"/>
        <v>0</v>
      </c>
      <c r="AY42" s="2">
        <f t="shared" si="22"/>
        <v>0</v>
      </c>
      <c r="AZ42" s="5">
        <f t="shared" si="23"/>
        <v>0.8</v>
      </c>
      <c r="BA42">
        <f>Table8[[#This Row],[Model Score2]]</f>
        <v>0</v>
      </c>
      <c r="BB42">
        <f>IFERROR(INDEX(Player_Model!$BG$2:$BG$596,MATCH($A42,Player_Model!$A$2:$A$596,0)),"")</f>
        <v>122</v>
      </c>
      <c r="BC42" t="str">
        <f t="shared" si="24"/>
        <v>AVOID</v>
      </c>
      <c r="BD42">
        <f>IF(H42=1,Table8[[#This Row],[Model Score]],-10000)</f>
        <v>-10000</v>
      </c>
      <c r="BE42">
        <f>IFERROR(INDEX(Player_Model!$BF$2:$BF$596,MATCH($A42,Player_Model!$A$2:$A$596,0)),"")</f>
        <v>253</v>
      </c>
      <c r="BF42">
        <f>IFERROR(INDEX(Player_Model!$BG$2:$BG$596,MATCH($A42,Player_Model!$A$2:$A$596,0)),"")</f>
        <v>122</v>
      </c>
      <c r="BG42">
        <f>IFERROR(INDEX(Player_Model!$BE$2:$BE$596,MATCH($A42,Player_Model!$A$2:$A$596,0)),0)</f>
        <v>0</v>
      </c>
    </row>
    <row r="43" spans="1:59" x14ac:dyDescent="0.25">
      <c r="A43" t="str">
        <f>tblPlayers[first_name]&amp;" "&amp;tblPlayers[second_name]</f>
        <v>John McGinn</v>
      </c>
      <c r="B43" t="str">
        <f>_xlfn.SWITCH(tblPlayers[element_type],1,"GK",2,"DEF",3,"MID",4,"FWD")</f>
        <v>MID</v>
      </c>
      <c r="C43">
        <f>tblPlayers[team]</f>
        <v>2</v>
      </c>
      <c r="D43" t="str">
        <f>INDEX(tblTeams[Column1.short_name],MATCH(C43,tblTeams[Column1.id],0))</f>
        <v>AVL</v>
      </c>
      <c r="E43" s="4">
        <f>INDEX(FPL_Raw_Data!$F:$F,MATCH(A43,FPL_Raw_Data!$AA:$AA,0))/10</f>
        <v>5.4</v>
      </c>
      <c r="F43" s="4" t="str">
        <f>tblPlayers[[#This Row],[status]]</f>
        <v>a</v>
      </c>
      <c r="G43" s="4" t="b">
        <f>tblPlayers[[#This Row],[can_select]]</f>
        <v>1</v>
      </c>
      <c r="H43">
        <f>IF(AND(Table8[[#This Row],[Availability Status]]="a",Table8[[#This Row],[Can Select]]=TRUE),1,0)</f>
        <v>1</v>
      </c>
      <c r="I43">
        <f>tblPlayers[minutes]</f>
        <v>261</v>
      </c>
      <c r="J43" s="2">
        <f>Table8[[#This Row],[Minutes]]/90</f>
        <v>2.9</v>
      </c>
      <c r="K43" s="5">
        <f>IFERROR(Z43/(FIXTURE_ANALYSIS!$B$1-1),0)</f>
        <v>1</v>
      </c>
      <c r="L43">
        <f>tblPlayers[total_points]</f>
        <v>5</v>
      </c>
      <c r="M43">
        <f>tblPlayers[points_per_game]</f>
        <v>1.7</v>
      </c>
      <c r="N43">
        <f>tblPlayers[form]</f>
        <v>1.7</v>
      </c>
      <c r="O43">
        <f>tblPlayers[expected_goals]</f>
        <v>0.77</v>
      </c>
      <c r="P43">
        <f>tblPlayers[expected_assists]</f>
        <v>0.09</v>
      </c>
      <c r="Q43">
        <f>tblPlayers[expected_goal_involvements]</f>
        <v>0.86</v>
      </c>
      <c r="R43" s="2">
        <f t="shared" si="0"/>
        <v>1.7241379310344827</v>
      </c>
      <c r="S43" s="5">
        <f t="shared" si="1"/>
        <v>0.26551724137931032</v>
      </c>
      <c r="T43" s="5">
        <f t="shared" si="2"/>
        <v>3.1034482758620686E-2</v>
      </c>
      <c r="U43" s="5">
        <f t="shared" si="3"/>
        <v>0.29655172413793102</v>
      </c>
      <c r="V43" s="3">
        <f t="shared" si="4"/>
        <v>0.92592592592592582</v>
      </c>
      <c r="W43" s="5">
        <f t="shared" si="5"/>
        <v>0.15925925925925924</v>
      </c>
      <c r="X43" s="5">
        <f>IFERROR(IF(OR($B43="MID",$B43="FWD"),INDEX(FIXTURE_ANALYSIS!$Q:$Q,MATCH($D43,FIXTURE_ANALYSIS!$A:$A,0)),INDEX(FIXTURE_ANALYSIS!$R:$R,MATCH($D43,FIXTURE_ANALYSIS!$A:$A,0))),1)</f>
        <v>0.8</v>
      </c>
      <c r="Y43" s="5">
        <f t="shared" si="6"/>
        <v>0.8</v>
      </c>
      <c r="Z43" s="8">
        <f>INDEX(FPL_Raw_Data!$T:$T,MATCH(A43,FPL_Raw_Data!$AA:$AA,0))</f>
        <v>3</v>
      </c>
      <c r="AA43" s="8">
        <f>INDEX(FPL_Raw_Data!$S:$S,MATCH(A43,FPL_Raw_Data!$AA:$AA,0))</f>
        <v>15</v>
      </c>
      <c r="AB43" s="2">
        <f t="shared" si="7"/>
        <v>1</v>
      </c>
      <c r="AC43" s="2">
        <f>INDEX(FPL_Raw_Data!$Q:$Q,MATCH(A43,FPL_Raw_Data!$AA:$AA,0))</f>
        <v>0</v>
      </c>
      <c r="AD43" s="8">
        <f>INDEX(FPL_Raw_Data!$R:$R,MATCH(A43,FPL_Raw_Data!$AA:$AA,0))</f>
        <v>16</v>
      </c>
      <c r="AE43" s="8">
        <f>INDEX(FPL_Raw_Data!$N:$N,MATCH(A43,FPL_Raw_Data!$AA:$AA,0))</f>
        <v>1</v>
      </c>
      <c r="AF43" s="8">
        <f>INDEX(FPL_Raw_Data!$L:$L,MATCH(A43,FPL_Raw_Data!$AA:$AA,0))</f>
        <v>0</v>
      </c>
      <c r="AG43" s="2">
        <f>INDEX(FPL_Raw_Data!$M:$M,MATCH(A43,FPL_Raw_Data!$AA:$AA,0))</f>
        <v>0</v>
      </c>
      <c r="AH43" s="2">
        <f t="shared" si="8"/>
        <v>1.3275862068965516</v>
      </c>
      <c r="AI43" s="2">
        <f t="shared" si="9"/>
        <v>9.3103448275862061E-2</v>
      </c>
      <c r="AJ43" s="2">
        <f t="shared" si="10"/>
        <v>2</v>
      </c>
      <c r="AK43" s="2">
        <f t="shared" si="11"/>
        <v>2</v>
      </c>
      <c r="AL43" s="2">
        <f t="shared" si="12"/>
        <v>0.33333333333333331</v>
      </c>
      <c r="AM43" s="2">
        <f t="shared" si="13"/>
        <v>0.33333333333333331</v>
      </c>
      <c r="AN43" s="2">
        <f t="shared" si="14"/>
        <v>0</v>
      </c>
      <c r="AO43" s="3">
        <f t="shared" si="15"/>
        <v>45.6</v>
      </c>
      <c r="AP43">
        <f t="shared" si="16"/>
        <v>83.3</v>
      </c>
      <c r="AQ43">
        <f t="shared" si="17"/>
        <v>67.800000000000011</v>
      </c>
      <c r="AR43">
        <f t="shared" si="18"/>
        <v>92.2</v>
      </c>
      <c r="AS43" s="2">
        <f t="shared" si="19"/>
        <v>100</v>
      </c>
      <c r="AT43" s="2">
        <f>IFERROR(INDEX(Player_Model!$BC$2:$BC$596,MATCH($A43,Player_Model!$A$2:$A$596,0)),0)</f>
        <v>3.6598658604892877</v>
      </c>
      <c r="AU43" s="2">
        <f>Table8[[#This Row],[Model Expected Points]]*Table8[[#This Row],[Fixture Adjustment]]</f>
        <v>2.9278926883914305</v>
      </c>
      <c r="AV43" s="2">
        <f>Table8[[#This Row],[Fixture Adjusted Points / 90]]/Table8[[#This Row],[Price]]</f>
        <v>0.54220234970211667</v>
      </c>
      <c r="AW43">
        <f t="shared" si="20"/>
        <v>64.45</v>
      </c>
      <c r="AX43">
        <f t="shared" si="21"/>
        <v>1</v>
      </c>
      <c r="AY43" s="2">
        <f t="shared" si="22"/>
        <v>100</v>
      </c>
      <c r="AZ43" s="5">
        <f t="shared" si="23"/>
        <v>0.8</v>
      </c>
      <c r="BA43">
        <f>Table8[[#This Row],[Model Score2]]</f>
        <v>3.6598658604892877</v>
      </c>
      <c r="BB43">
        <f>IFERROR(INDEX(Player_Model!$BG$2:$BG$596,MATCH($A43,Player_Model!$A$2:$A$596,0)),"")</f>
        <v>89</v>
      </c>
      <c r="BC43" t="str">
        <f t="shared" si="24"/>
        <v>AVOID</v>
      </c>
      <c r="BD43">
        <f>IF(H43=1,Table8[[#This Row],[Model Score]],-10000)</f>
        <v>3.6598658604892877</v>
      </c>
      <c r="BE43">
        <f>IFERROR(INDEX(Player_Model!$BF$2:$BF$596,MATCH($A43,Player_Model!$A$2:$A$596,0)),"")</f>
        <v>174</v>
      </c>
      <c r="BF43">
        <f>IFERROR(INDEX(Player_Model!$BG$2:$BG$596,MATCH($A43,Player_Model!$A$2:$A$596,0)),"")</f>
        <v>89</v>
      </c>
      <c r="BG43">
        <f>IFERROR(INDEX(Player_Model!$BE$2:$BE$596,MATCH($A43,Player_Model!$A$2:$A$596,0)),0)</f>
        <v>3.6598658604892877</v>
      </c>
    </row>
    <row r="44" spans="1:59" x14ac:dyDescent="0.25">
      <c r="A44" t="str">
        <f>tblPlayers[first_name]&amp;" "&amp;tblPlayers[second_name]</f>
        <v>Ross Barkley</v>
      </c>
      <c r="B44" t="str">
        <f>_xlfn.SWITCH(tblPlayers[element_type],1,"GK",2,"DEF",3,"MID",4,"FWD")</f>
        <v>MID</v>
      </c>
      <c r="C44">
        <f>tblPlayers[team]</f>
        <v>2</v>
      </c>
      <c r="D44" t="str">
        <f>INDEX(tblTeams[Column1.short_name],MATCH(C44,tblTeams[Column1.id],0))</f>
        <v>AVL</v>
      </c>
      <c r="E44" s="4">
        <f>INDEX(FPL_Raw_Data!$F:$F,MATCH(A44,FPL_Raw_Data!$AA:$AA,0))/10</f>
        <v>5</v>
      </c>
      <c r="F44" s="4" t="str">
        <f>tblPlayers[[#This Row],[status]]</f>
        <v>a</v>
      </c>
      <c r="G44" s="4" t="b">
        <f>tblPlayers[[#This Row],[can_select]]</f>
        <v>1</v>
      </c>
      <c r="H44">
        <f>IF(AND(Table8[[#This Row],[Availability Status]]="a",Table8[[#This Row],[Can Select]]=TRUE),1,0)</f>
        <v>1</v>
      </c>
      <c r="I44">
        <f>tblPlayers[minutes]</f>
        <v>240</v>
      </c>
      <c r="J44" s="2">
        <f>Table8[[#This Row],[Minutes]]/90</f>
        <v>2.6666666666666665</v>
      </c>
      <c r="K44" s="5">
        <f>IFERROR(Z44/(FIXTURE_ANALYSIS!$B$1-1),0)</f>
        <v>1</v>
      </c>
      <c r="L44">
        <f>tblPlayers[total_points]</f>
        <v>7</v>
      </c>
      <c r="M44">
        <f>tblPlayers[points_per_game]</f>
        <v>2.2999999999999998</v>
      </c>
      <c r="N44">
        <f>tblPlayers[form]</f>
        <v>2.2999999999999998</v>
      </c>
      <c r="O44">
        <f>tblPlayers[expected_goals]</f>
        <v>0.35</v>
      </c>
      <c r="P44">
        <f>tblPlayers[expected_assists]</f>
        <v>0.13</v>
      </c>
      <c r="Q44">
        <f>tblPlayers[expected_goal_involvements]</f>
        <v>0.48</v>
      </c>
      <c r="R44" s="2">
        <f t="shared" si="0"/>
        <v>2.625</v>
      </c>
      <c r="S44" s="5">
        <f t="shared" si="1"/>
        <v>0.13124999999999998</v>
      </c>
      <c r="T44" s="5">
        <f t="shared" si="2"/>
        <v>4.8749999999999995E-2</v>
      </c>
      <c r="U44" s="5">
        <f t="shared" si="3"/>
        <v>0.18</v>
      </c>
      <c r="V44" s="3">
        <f t="shared" si="4"/>
        <v>1.4</v>
      </c>
      <c r="W44" s="5">
        <f t="shared" si="5"/>
        <v>9.6000000000000002E-2</v>
      </c>
      <c r="X44" s="5">
        <f>IFERROR(IF(OR($B44="MID",$B44="FWD"),INDEX(FIXTURE_ANALYSIS!$Q:$Q,MATCH($D44,FIXTURE_ANALYSIS!$A:$A,0)),INDEX(FIXTURE_ANALYSIS!$R:$R,MATCH($D44,FIXTURE_ANALYSIS!$A:$A,0))),1)</f>
        <v>0.8</v>
      </c>
      <c r="Y44" s="5">
        <f t="shared" si="6"/>
        <v>0.8</v>
      </c>
      <c r="Z44" s="8">
        <f>INDEX(FPL_Raw_Data!$T:$T,MATCH(A44,FPL_Raw_Data!$AA:$AA,0))</f>
        <v>3</v>
      </c>
      <c r="AA44" s="8">
        <f>INDEX(FPL_Raw_Data!$S:$S,MATCH(A44,FPL_Raw_Data!$AA:$AA,0))</f>
        <v>17</v>
      </c>
      <c r="AB44" s="2">
        <f t="shared" si="7"/>
        <v>1</v>
      </c>
      <c r="AC44" s="2">
        <f>INDEX(FPL_Raw_Data!$Q:$Q,MATCH(A44,FPL_Raw_Data!$AA:$AA,0))</f>
        <v>0</v>
      </c>
      <c r="AD44" s="8">
        <f>INDEX(FPL_Raw_Data!$R:$R,MATCH(A44,FPL_Raw_Data!$AA:$AA,0))</f>
        <v>49</v>
      </c>
      <c r="AE44" s="8">
        <f>INDEX(FPL_Raw_Data!$N:$N,MATCH(A44,FPL_Raw_Data!$AA:$AA,0))</f>
        <v>1</v>
      </c>
      <c r="AF44" s="8">
        <f>INDEX(FPL_Raw_Data!$L:$L,MATCH(A44,FPL_Raw_Data!$AA:$AA,0))</f>
        <v>0</v>
      </c>
      <c r="AG44" s="2">
        <f>INDEX(FPL_Raw_Data!$M:$M,MATCH(A44,FPL_Raw_Data!$AA:$AA,0))</f>
        <v>0</v>
      </c>
      <c r="AH44" s="2">
        <f t="shared" si="8"/>
        <v>0.65624999999999989</v>
      </c>
      <c r="AI44" s="2">
        <f t="shared" si="9"/>
        <v>0.14624999999999999</v>
      </c>
      <c r="AJ44" s="2">
        <f t="shared" si="10"/>
        <v>2</v>
      </c>
      <c r="AK44" s="2">
        <f t="shared" si="11"/>
        <v>2</v>
      </c>
      <c r="AL44" s="2">
        <f t="shared" si="12"/>
        <v>0.33333333333333331</v>
      </c>
      <c r="AM44" s="2">
        <f t="shared" si="13"/>
        <v>0.33333333333333331</v>
      </c>
      <c r="AN44" s="2">
        <f t="shared" si="14"/>
        <v>0</v>
      </c>
      <c r="AO44" s="3">
        <f t="shared" si="15"/>
        <v>54</v>
      </c>
      <c r="AP44">
        <f t="shared" si="16"/>
        <v>74.7</v>
      </c>
      <c r="AQ44">
        <f t="shared" si="17"/>
        <v>76</v>
      </c>
      <c r="AR44">
        <f t="shared" si="18"/>
        <v>83.6</v>
      </c>
      <c r="AS44" s="2">
        <f t="shared" si="19"/>
        <v>100</v>
      </c>
      <c r="AT44" s="2">
        <f>IFERROR(INDEX(Player_Model!$BC$2:$BC$596,MATCH($A44,Player_Model!$A$2:$A$596,0)),0)</f>
        <v>3.4384649742535389</v>
      </c>
      <c r="AU44" s="2">
        <f>Table8[[#This Row],[Model Expected Points]]*Table8[[#This Row],[Fixture Adjustment]]</f>
        <v>2.7507719794028311</v>
      </c>
      <c r="AV44" s="2">
        <f>Table8[[#This Row],[Fixture Adjusted Points / 90]]/Table8[[#This Row],[Price]]</f>
        <v>0.55015439588056625</v>
      </c>
      <c r="AW44">
        <f t="shared" si="20"/>
        <v>64.349999999999994</v>
      </c>
      <c r="AX44">
        <f t="shared" si="21"/>
        <v>1</v>
      </c>
      <c r="AY44" s="2">
        <f t="shared" si="22"/>
        <v>100</v>
      </c>
      <c r="AZ44" s="5">
        <f t="shared" si="23"/>
        <v>0.8</v>
      </c>
      <c r="BA44">
        <f>Table8[[#This Row],[Model Score2]]</f>
        <v>3.4384649742535389</v>
      </c>
      <c r="BB44">
        <f>IFERROR(INDEX(Player_Model!$BG$2:$BG$596,MATCH($A44,Player_Model!$A$2:$A$596,0)),"")</f>
        <v>93</v>
      </c>
      <c r="BC44" t="str">
        <f t="shared" si="24"/>
        <v>AVOID</v>
      </c>
      <c r="BD44">
        <f>IF(H44=1,Table8[[#This Row],[Model Score]],-10000)</f>
        <v>3.4384649742535389</v>
      </c>
      <c r="BE44">
        <f>IFERROR(INDEX(Player_Model!$BF$2:$BF$596,MATCH($A44,Player_Model!$A$2:$A$596,0)),"")</f>
        <v>181</v>
      </c>
      <c r="BF44">
        <f>IFERROR(INDEX(Player_Model!$BG$2:$BG$596,MATCH($A44,Player_Model!$A$2:$A$596,0)),"")</f>
        <v>93</v>
      </c>
      <c r="BG44">
        <f>IFERROR(INDEX(Player_Model!$BE$2:$BE$596,MATCH($A44,Player_Model!$A$2:$A$596,0)),0)</f>
        <v>3.4384649742535389</v>
      </c>
    </row>
    <row r="45" spans="1:59" x14ac:dyDescent="0.25">
      <c r="A45" t="str">
        <f>tblPlayers[first_name]&amp;" "&amp;tblPlayers[second_name]</f>
        <v>Boubacar Kamara</v>
      </c>
      <c r="B45" t="str">
        <f>_xlfn.SWITCH(tblPlayers[element_type],1,"GK",2,"DEF",3,"MID",4,"FWD")</f>
        <v>MID</v>
      </c>
      <c r="C45">
        <f>tblPlayers[team]</f>
        <v>2</v>
      </c>
      <c r="D45" t="str">
        <f>INDEX(tblTeams[Column1.short_name],MATCH(C45,tblTeams[Column1.id],0))</f>
        <v>AVL</v>
      </c>
      <c r="E45" s="4">
        <f>INDEX(FPL_Raw_Data!$F:$F,MATCH(A45,FPL_Raw_Data!$AA:$AA,0))/10</f>
        <v>5</v>
      </c>
      <c r="F45" s="4" t="str">
        <f>tblPlayers[[#This Row],[status]]</f>
        <v>a</v>
      </c>
      <c r="G45" s="4" t="b">
        <f>tblPlayers[[#This Row],[can_select]]</f>
        <v>1</v>
      </c>
      <c r="H45">
        <f>IF(AND(Table8[[#This Row],[Availability Status]]="a",Table8[[#This Row],[Can Select]]=TRUE),1,0)</f>
        <v>1</v>
      </c>
      <c r="I45">
        <f>tblPlayers[minutes]</f>
        <v>270</v>
      </c>
      <c r="J45" s="2">
        <f>Table8[[#This Row],[Minutes]]/90</f>
        <v>3</v>
      </c>
      <c r="K45" s="5">
        <f>IFERROR(Z45/(FIXTURE_ANALYSIS!$B$1-1),0)</f>
        <v>1</v>
      </c>
      <c r="L45">
        <f>tblPlayers[total_points]</f>
        <v>7</v>
      </c>
      <c r="M45">
        <f>tblPlayers[points_per_game]</f>
        <v>2.2999999999999998</v>
      </c>
      <c r="N45">
        <f>tblPlayers[form]</f>
        <v>2.2999999999999998</v>
      </c>
      <c r="O45">
        <f>tblPlayers[expected_goals]</f>
        <v>0</v>
      </c>
      <c r="P45">
        <f>tblPlayers[expected_assists]</f>
        <v>0.1</v>
      </c>
      <c r="Q45">
        <f>tblPlayers[expected_goal_involvements]</f>
        <v>0.1</v>
      </c>
      <c r="R45" s="2">
        <f t="shared" si="0"/>
        <v>2.3333333333333335</v>
      </c>
      <c r="S45" s="5">
        <f t="shared" si="1"/>
        <v>0</v>
      </c>
      <c r="T45" s="5">
        <f t="shared" si="2"/>
        <v>3.333333333333334E-2</v>
      </c>
      <c r="U45" s="5">
        <f t="shared" si="3"/>
        <v>3.333333333333334E-2</v>
      </c>
      <c r="V45" s="3">
        <f t="shared" si="4"/>
        <v>1.4</v>
      </c>
      <c r="W45" s="5">
        <f t="shared" si="5"/>
        <v>0.02</v>
      </c>
      <c r="X45" s="5">
        <f>IFERROR(IF(OR($B45="MID",$B45="FWD"),INDEX(FIXTURE_ANALYSIS!$Q:$Q,MATCH($D45,FIXTURE_ANALYSIS!$A:$A,0)),INDEX(FIXTURE_ANALYSIS!$R:$R,MATCH($D45,FIXTURE_ANALYSIS!$A:$A,0))),1)</f>
        <v>0.8</v>
      </c>
      <c r="Y45" s="5">
        <f t="shared" si="6"/>
        <v>0.8</v>
      </c>
      <c r="Z45" s="8">
        <f>INDEX(FPL_Raw_Data!$T:$T,MATCH(A45,FPL_Raw_Data!$AA:$AA,0))</f>
        <v>3</v>
      </c>
      <c r="AA45" s="8">
        <f>INDEX(FPL_Raw_Data!$S:$S,MATCH(A45,FPL_Raw_Data!$AA:$AA,0))</f>
        <v>25</v>
      </c>
      <c r="AB45" s="2">
        <f t="shared" si="7"/>
        <v>1</v>
      </c>
      <c r="AC45" s="2">
        <f>INDEX(FPL_Raw_Data!$Q:$Q,MATCH(A45,FPL_Raw_Data!$AA:$AA,0))</f>
        <v>0</v>
      </c>
      <c r="AD45" s="8">
        <f>INDEX(FPL_Raw_Data!$R:$R,MATCH(A45,FPL_Raw_Data!$AA:$AA,0))</f>
        <v>42</v>
      </c>
      <c r="AE45" s="8">
        <f>INDEX(FPL_Raw_Data!$N:$N,MATCH(A45,FPL_Raw_Data!$AA:$AA,0))</f>
        <v>1</v>
      </c>
      <c r="AF45" s="8">
        <f>INDEX(FPL_Raw_Data!$L:$L,MATCH(A45,FPL_Raw_Data!$AA:$AA,0))</f>
        <v>0</v>
      </c>
      <c r="AG45" s="2">
        <f>INDEX(FPL_Raw_Data!$M:$M,MATCH(A45,FPL_Raw_Data!$AA:$AA,0))</f>
        <v>0</v>
      </c>
      <c r="AH45" s="2">
        <f t="shared" si="8"/>
        <v>0</v>
      </c>
      <c r="AI45" s="2">
        <f t="shared" si="9"/>
        <v>0.10000000000000002</v>
      </c>
      <c r="AJ45" s="2">
        <f t="shared" si="10"/>
        <v>2</v>
      </c>
      <c r="AK45" s="2">
        <f t="shared" si="11"/>
        <v>2</v>
      </c>
      <c r="AL45" s="2">
        <f t="shared" si="12"/>
        <v>0.33333333333333331</v>
      </c>
      <c r="AM45" s="2">
        <f t="shared" si="13"/>
        <v>0.33333333333333331</v>
      </c>
      <c r="AN45" s="2">
        <f t="shared" si="14"/>
        <v>0</v>
      </c>
      <c r="AO45" s="3">
        <f t="shared" si="15"/>
        <v>50</v>
      </c>
      <c r="AP45">
        <f t="shared" si="16"/>
        <v>57.999999999999993</v>
      </c>
      <c r="AQ45">
        <f t="shared" si="17"/>
        <v>76</v>
      </c>
      <c r="AR45">
        <f t="shared" si="18"/>
        <v>65.100000000000009</v>
      </c>
      <c r="AS45" s="2">
        <f t="shared" si="19"/>
        <v>100</v>
      </c>
      <c r="AT45" s="2">
        <f>IFERROR(INDEX(Player_Model!$BC$2:$BC$596,MATCH($A45,Player_Model!$A$2:$A$596,0)),0)</f>
        <v>3.075452502802047</v>
      </c>
      <c r="AU45" s="2">
        <f>Table8[[#This Row],[Model Expected Points]]*Table8[[#This Row],[Fixture Adjustment]]</f>
        <v>2.4603620022416379</v>
      </c>
      <c r="AV45" s="2">
        <f>Table8[[#This Row],[Fixture Adjusted Points / 90]]/Table8[[#This Row],[Price]]</f>
        <v>0.49207240044832756</v>
      </c>
      <c r="AW45">
        <f t="shared" si="20"/>
        <v>54</v>
      </c>
      <c r="AX45">
        <f t="shared" si="21"/>
        <v>1</v>
      </c>
      <c r="AY45" s="2">
        <f t="shared" si="22"/>
        <v>100</v>
      </c>
      <c r="AZ45" s="5">
        <f t="shared" si="23"/>
        <v>0.8</v>
      </c>
      <c r="BA45">
        <f>Table8[[#This Row],[Model Score2]]</f>
        <v>3.075452502802047</v>
      </c>
      <c r="BB45">
        <f>IFERROR(INDEX(Player_Model!$BG$2:$BG$596,MATCH($A45,Player_Model!$A$2:$A$596,0)),"")</f>
        <v>105</v>
      </c>
      <c r="BC45" t="str">
        <f t="shared" si="24"/>
        <v>AVOID</v>
      </c>
      <c r="BD45">
        <f>IF(H45=1,Table8[[#This Row],[Model Score]],-10000)</f>
        <v>3.075452502802047</v>
      </c>
      <c r="BE45">
        <f>IFERROR(INDEX(Player_Model!$BF$2:$BF$596,MATCH($A45,Player_Model!$A$2:$A$596,0)),"")</f>
        <v>200</v>
      </c>
      <c r="BF45">
        <f>IFERROR(INDEX(Player_Model!$BG$2:$BG$596,MATCH($A45,Player_Model!$A$2:$A$596,0)),"")</f>
        <v>105</v>
      </c>
      <c r="BG45">
        <f>IFERROR(INDEX(Player_Model!$BE$2:$BE$596,MATCH($A45,Player_Model!$A$2:$A$596,0)),0)</f>
        <v>3.075452502802047</v>
      </c>
    </row>
    <row r="46" spans="1:59" x14ac:dyDescent="0.25">
      <c r="A46" t="str">
        <f>tblPlayers[first_name]&amp;" "&amp;tblPlayers[second_name]</f>
        <v>Amadou Onana</v>
      </c>
      <c r="B46" t="str">
        <f>_xlfn.SWITCH(tblPlayers[element_type],1,"GK",2,"DEF",3,"MID",4,"FWD")</f>
        <v>MID</v>
      </c>
      <c r="C46">
        <f>tblPlayers[team]</f>
        <v>2</v>
      </c>
      <c r="D46" t="str">
        <f>INDEX(tblTeams[Column1.short_name],MATCH(C46,tblTeams[Column1.id],0))</f>
        <v>AVL</v>
      </c>
      <c r="E46" s="4">
        <f>INDEX(FPL_Raw_Data!$F:$F,MATCH(A46,FPL_Raw_Data!$AA:$AA,0))/10</f>
        <v>5</v>
      </c>
      <c r="F46" s="4" t="str">
        <f>tblPlayers[[#This Row],[status]]</f>
        <v>i</v>
      </c>
      <c r="G46" s="4" t="b">
        <f>tblPlayers[[#This Row],[can_select]]</f>
        <v>1</v>
      </c>
      <c r="H46">
        <f>IF(AND(Table8[[#This Row],[Availability Status]]="a",Table8[[#This Row],[Can Select]]=TRUE),1,0)</f>
        <v>0</v>
      </c>
      <c r="I46">
        <f>tblPlayers[minutes]</f>
        <v>0</v>
      </c>
      <c r="J46" s="2">
        <f>Table8[[#This Row],[Minutes]]/90</f>
        <v>0</v>
      </c>
      <c r="K46" s="5">
        <f>IFERROR(Z46/(FIXTURE_ANALYSIS!$B$1-1),0)</f>
        <v>0</v>
      </c>
      <c r="L46">
        <f>tblPlayers[total_points]</f>
        <v>0</v>
      </c>
      <c r="M46">
        <f>tblPlayers[points_per_game]</f>
        <v>0</v>
      </c>
      <c r="N46">
        <f>tblPlayers[form]</f>
        <v>0</v>
      </c>
      <c r="O46">
        <f>tblPlayers[expected_goals]</f>
        <v>0</v>
      </c>
      <c r="P46">
        <f>tblPlayers[expected_assists]</f>
        <v>0</v>
      </c>
      <c r="Q46">
        <f>tblPlayers[expected_goal_involvements]</f>
        <v>0</v>
      </c>
      <c r="R46" s="2">
        <f t="shared" si="0"/>
        <v>0</v>
      </c>
      <c r="S46" s="5">
        <f t="shared" si="1"/>
        <v>0</v>
      </c>
      <c r="T46" s="5">
        <f t="shared" si="2"/>
        <v>0</v>
      </c>
      <c r="U46" s="5">
        <f t="shared" si="3"/>
        <v>0</v>
      </c>
      <c r="V46" s="3">
        <f t="shared" si="4"/>
        <v>0</v>
      </c>
      <c r="W46" s="5">
        <f t="shared" si="5"/>
        <v>0</v>
      </c>
      <c r="X46" s="5">
        <f>IFERROR(IF(OR($B46="MID",$B46="FWD"),INDEX(FIXTURE_ANALYSIS!$Q:$Q,MATCH($D46,FIXTURE_ANALYSIS!$A:$A,0)),INDEX(FIXTURE_ANALYSIS!$R:$R,MATCH($D46,FIXTURE_ANALYSIS!$A:$A,0))),1)</f>
        <v>0.8</v>
      </c>
      <c r="Y46" s="5">
        <f t="shared" si="6"/>
        <v>0.8</v>
      </c>
      <c r="Z46" s="8">
        <f>INDEX(FPL_Raw_Data!$T:$T,MATCH(A46,FPL_Raw_Data!$AA:$AA,0))</f>
        <v>0</v>
      </c>
      <c r="AA46" s="8">
        <f>INDEX(FPL_Raw_Data!$S:$S,MATCH(A46,FPL_Raw_Data!$AA:$AA,0))</f>
        <v>0</v>
      </c>
      <c r="AB46" s="2">
        <f t="shared" si="7"/>
        <v>0</v>
      </c>
      <c r="AC46" s="2">
        <f>INDEX(FPL_Raw_Data!$Q:$Q,MATCH(A46,FPL_Raw_Data!$AA:$AA,0))</f>
        <v>0</v>
      </c>
      <c r="AD46" s="8">
        <f>INDEX(FPL_Raw_Data!$R:$R,MATCH(A46,FPL_Raw_Data!$AA:$AA,0))</f>
        <v>0</v>
      </c>
      <c r="AE46" s="8">
        <f>INDEX(FPL_Raw_Data!$N:$N,MATCH(A46,FPL_Raw_Data!$AA:$AA,0))</f>
        <v>0</v>
      </c>
      <c r="AF46" s="8">
        <f>INDEX(FPL_Raw_Data!$L:$L,MATCH(A46,FPL_Raw_Data!$AA:$AA,0))</f>
        <v>0</v>
      </c>
      <c r="AG46" s="2">
        <f>INDEX(FPL_Raw_Data!$M:$M,MATCH(A46,FPL_Raw_Data!$AA:$AA,0))</f>
        <v>0</v>
      </c>
      <c r="AH46" s="2">
        <f t="shared" si="8"/>
        <v>0</v>
      </c>
      <c r="AI46" s="2">
        <f t="shared" si="9"/>
        <v>0</v>
      </c>
      <c r="AJ46" s="2">
        <f t="shared" si="10"/>
        <v>0</v>
      </c>
      <c r="AK46" s="2">
        <f t="shared" si="11"/>
        <v>0</v>
      </c>
      <c r="AL46" s="2">
        <f t="shared" si="12"/>
        <v>0</v>
      </c>
      <c r="AM46" s="2">
        <f t="shared" si="13"/>
        <v>0</v>
      </c>
      <c r="AN46" s="2">
        <f t="shared" si="14"/>
        <v>0</v>
      </c>
      <c r="AO46" s="3">
        <f t="shared" si="15"/>
        <v>0.1</v>
      </c>
      <c r="AP46">
        <f t="shared" si="16"/>
        <v>0</v>
      </c>
      <c r="AQ46">
        <f t="shared" si="17"/>
        <v>0.1</v>
      </c>
      <c r="AR46">
        <f t="shared" si="18"/>
        <v>0</v>
      </c>
      <c r="AS46" s="2">
        <f t="shared" si="19"/>
        <v>0</v>
      </c>
      <c r="AT46" s="2">
        <f>IFERROR(INDEX(Player_Model!$BC$2:$BC$596,MATCH($A46,Player_Model!$A$2:$A$596,0)),0)</f>
        <v>0</v>
      </c>
      <c r="AU46" s="2">
        <f>Table8[[#This Row],[Model Expected Points]]*Table8[[#This Row],[Fixture Adjustment]]</f>
        <v>0</v>
      </c>
      <c r="AV46" s="2">
        <f>Table8[[#This Row],[Fixture Adjusted Points / 90]]/Table8[[#This Row],[Price]]</f>
        <v>0</v>
      </c>
      <c r="AW46">
        <f t="shared" si="20"/>
        <v>0.05</v>
      </c>
      <c r="AX46">
        <f t="shared" si="21"/>
        <v>0</v>
      </c>
      <c r="AY46" s="2">
        <f t="shared" si="22"/>
        <v>0</v>
      </c>
      <c r="AZ46" s="5">
        <f t="shared" si="23"/>
        <v>0.8</v>
      </c>
      <c r="BA46">
        <f>Table8[[#This Row],[Model Score2]]</f>
        <v>0</v>
      </c>
      <c r="BB46">
        <f>IFERROR(INDEX(Player_Model!$BG$2:$BG$596,MATCH($A46,Player_Model!$A$2:$A$596,0)),"")</f>
        <v>123</v>
      </c>
      <c r="BC46" t="str">
        <f t="shared" si="24"/>
        <v>AVOID</v>
      </c>
      <c r="BD46">
        <f>IF(H46=1,Table8[[#This Row],[Model Score]],-10000)</f>
        <v>-10000</v>
      </c>
      <c r="BE46">
        <f>IFERROR(INDEX(Player_Model!$BF$2:$BF$596,MATCH($A46,Player_Model!$A$2:$A$596,0)),"")</f>
        <v>253</v>
      </c>
      <c r="BF46">
        <f>IFERROR(INDEX(Player_Model!$BG$2:$BG$596,MATCH($A46,Player_Model!$A$2:$A$596,0)),"")</f>
        <v>123</v>
      </c>
      <c r="BG46">
        <f>IFERROR(INDEX(Player_Model!$BE$2:$BE$596,MATCH($A46,Player_Model!$A$2:$A$596,0)),0)</f>
        <v>0</v>
      </c>
    </row>
    <row r="47" spans="1:59" x14ac:dyDescent="0.25">
      <c r="A47" t="str">
        <f>tblPlayers[first_name]&amp;" "&amp;tblPlayers[second_name]</f>
        <v>Samuel Iling-Junior</v>
      </c>
      <c r="B47" t="str">
        <f>_xlfn.SWITCH(tblPlayers[element_type],1,"GK",2,"DEF",3,"MID",4,"FWD")</f>
        <v>MID</v>
      </c>
      <c r="C47">
        <f>tblPlayers[team]</f>
        <v>2</v>
      </c>
      <c r="D47" t="str">
        <f>INDEX(tblTeams[Column1.short_name],MATCH(C47,tblTeams[Column1.id],0))</f>
        <v>AVL</v>
      </c>
      <c r="E47" s="4">
        <f>INDEX(FPL_Raw_Data!$F:$F,MATCH(A47,FPL_Raw_Data!$AA:$AA,0))/10</f>
        <v>5</v>
      </c>
      <c r="F47" s="4" t="str">
        <f>tblPlayers[[#This Row],[status]]</f>
        <v>u</v>
      </c>
      <c r="G47" s="4" t="b">
        <f>tblPlayers[[#This Row],[can_select]]</f>
        <v>0</v>
      </c>
      <c r="H47">
        <f>IF(AND(Table8[[#This Row],[Availability Status]]="a",Table8[[#This Row],[Can Select]]=TRUE),1,0)</f>
        <v>0</v>
      </c>
      <c r="I47">
        <f>tblPlayers[minutes]</f>
        <v>0</v>
      </c>
      <c r="J47" s="2">
        <f>Table8[[#This Row],[Minutes]]/90</f>
        <v>0</v>
      </c>
      <c r="K47" s="5">
        <f>IFERROR(Z47/(FIXTURE_ANALYSIS!$B$1-1),0)</f>
        <v>0</v>
      </c>
      <c r="L47">
        <f>tblPlayers[total_points]</f>
        <v>0</v>
      </c>
      <c r="M47">
        <f>tblPlayers[points_per_game]</f>
        <v>0</v>
      </c>
      <c r="N47">
        <f>tblPlayers[form]</f>
        <v>0</v>
      </c>
      <c r="O47">
        <f>tblPlayers[expected_goals]</f>
        <v>0</v>
      </c>
      <c r="P47">
        <f>tblPlayers[expected_assists]</f>
        <v>0</v>
      </c>
      <c r="Q47">
        <f>tblPlayers[expected_goal_involvements]</f>
        <v>0</v>
      </c>
      <c r="R47" s="2">
        <f t="shared" si="0"/>
        <v>0</v>
      </c>
      <c r="S47" s="5">
        <f t="shared" si="1"/>
        <v>0</v>
      </c>
      <c r="T47" s="5">
        <f t="shared" si="2"/>
        <v>0</v>
      </c>
      <c r="U47" s="5">
        <f t="shared" si="3"/>
        <v>0</v>
      </c>
      <c r="V47" s="3">
        <f t="shared" si="4"/>
        <v>0</v>
      </c>
      <c r="W47" s="5">
        <f t="shared" si="5"/>
        <v>0</v>
      </c>
      <c r="X47" s="5">
        <f>IFERROR(IF(OR($B47="MID",$B47="FWD"),INDEX(FIXTURE_ANALYSIS!$Q:$Q,MATCH($D47,FIXTURE_ANALYSIS!$A:$A,0)),INDEX(FIXTURE_ANALYSIS!$R:$R,MATCH($D47,FIXTURE_ANALYSIS!$A:$A,0))),1)</f>
        <v>0.8</v>
      </c>
      <c r="Y47" s="5">
        <f t="shared" si="6"/>
        <v>0.8</v>
      </c>
      <c r="Z47" s="8">
        <f>INDEX(FPL_Raw_Data!$T:$T,MATCH(A47,FPL_Raw_Data!$AA:$AA,0))</f>
        <v>0</v>
      </c>
      <c r="AA47" s="8">
        <f>INDEX(FPL_Raw_Data!$S:$S,MATCH(A47,FPL_Raw_Data!$AA:$AA,0))</f>
        <v>0</v>
      </c>
      <c r="AB47" s="2">
        <f t="shared" si="7"/>
        <v>0</v>
      </c>
      <c r="AC47" s="2">
        <f>INDEX(FPL_Raw_Data!$Q:$Q,MATCH(A47,FPL_Raw_Data!$AA:$AA,0))</f>
        <v>0</v>
      </c>
      <c r="AD47" s="8">
        <f>INDEX(FPL_Raw_Data!$R:$R,MATCH(A47,FPL_Raw_Data!$AA:$AA,0))</f>
        <v>0</v>
      </c>
      <c r="AE47" s="8">
        <f>INDEX(FPL_Raw_Data!$N:$N,MATCH(A47,FPL_Raw_Data!$AA:$AA,0))</f>
        <v>0</v>
      </c>
      <c r="AF47" s="8">
        <f>INDEX(FPL_Raw_Data!$L:$L,MATCH(A47,FPL_Raw_Data!$AA:$AA,0))</f>
        <v>0</v>
      </c>
      <c r="AG47" s="2">
        <f>INDEX(FPL_Raw_Data!$M:$M,MATCH(A47,FPL_Raw_Data!$AA:$AA,0))</f>
        <v>0</v>
      </c>
      <c r="AH47" s="2">
        <f t="shared" si="8"/>
        <v>0</v>
      </c>
      <c r="AI47" s="2">
        <f t="shared" si="9"/>
        <v>0</v>
      </c>
      <c r="AJ47" s="2">
        <f t="shared" si="10"/>
        <v>0</v>
      </c>
      <c r="AK47" s="2">
        <f t="shared" si="11"/>
        <v>0</v>
      </c>
      <c r="AL47" s="2">
        <f t="shared" si="12"/>
        <v>0</v>
      </c>
      <c r="AM47" s="2">
        <f t="shared" si="13"/>
        <v>0</v>
      </c>
      <c r="AN47" s="2">
        <f t="shared" si="14"/>
        <v>0</v>
      </c>
      <c r="AO47" s="3">
        <f t="shared" si="15"/>
        <v>0.1</v>
      </c>
      <c r="AP47">
        <f t="shared" si="16"/>
        <v>0</v>
      </c>
      <c r="AQ47">
        <f t="shared" si="17"/>
        <v>0.1</v>
      </c>
      <c r="AR47">
        <f t="shared" si="18"/>
        <v>0</v>
      </c>
      <c r="AS47" s="2">
        <f t="shared" si="19"/>
        <v>0</v>
      </c>
      <c r="AT47" s="2">
        <f>IFERROR(INDEX(Player_Model!$BC$2:$BC$596,MATCH($A47,Player_Model!$A$2:$A$596,0)),0)</f>
        <v>0</v>
      </c>
      <c r="AU47" s="2">
        <f>Table8[[#This Row],[Model Expected Points]]*Table8[[#This Row],[Fixture Adjustment]]</f>
        <v>0</v>
      </c>
      <c r="AV47" s="2">
        <f>Table8[[#This Row],[Fixture Adjusted Points / 90]]/Table8[[#This Row],[Price]]</f>
        <v>0</v>
      </c>
      <c r="AW47">
        <f t="shared" si="20"/>
        <v>0.05</v>
      </c>
      <c r="AX47">
        <f t="shared" si="21"/>
        <v>0</v>
      </c>
      <c r="AY47" s="2">
        <f t="shared" si="22"/>
        <v>0</v>
      </c>
      <c r="AZ47" s="5">
        <f t="shared" si="23"/>
        <v>0.8</v>
      </c>
      <c r="BA47">
        <f>Table8[[#This Row],[Model Score2]]</f>
        <v>0</v>
      </c>
      <c r="BB47">
        <f>IFERROR(INDEX(Player_Model!$BG$2:$BG$596,MATCH($A47,Player_Model!$A$2:$A$596,0)),"")</f>
        <v>124</v>
      </c>
      <c r="BC47" t="str">
        <f t="shared" si="24"/>
        <v>AVOID</v>
      </c>
      <c r="BD47">
        <f>IF(H47=1,Table8[[#This Row],[Model Score]],-10000)</f>
        <v>-10000</v>
      </c>
      <c r="BE47">
        <f>IFERROR(INDEX(Player_Model!$BF$2:$BF$596,MATCH($A47,Player_Model!$A$2:$A$596,0)),"")</f>
        <v>253</v>
      </c>
      <c r="BF47">
        <f>IFERROR(INDEX(Player_Model!$BG$2:$BG$596,MATCH($A47,Player_Model!$A$2:$A$596,0)),"")</f>
        <v>124</v>
      </c>
      <c r="BG47">
        <f>IFERROR(INDEX(Player_Model!$BE$2:$BE$596,MATCH($A47,Player_Model!$A$2:$A$596,0)),0)</f>
        <v>0</v>
      </c>
    </row>
    <row r="48" spans="1:59" x14ac:dyDescent="0.25">
      <c r="A48" t="str">
        <f>tblPlayers[first_name]&amp;" "&amp;tblPlayers[second_name]</f>
        <v>Bradley Burrowes</v>
      </c>
      <c r="B48" t="str">
        <f>_xlfn.SWITCH(tblPlayers[element_type],1,"GK",2,"DEF",3,"MID",4,"FWD")</f>
        <v>MID</v>
      </c>
      <c r="C48">
        <f>tblPlayers[team]</f>
        <v>2</v>
      </c>
      <c r="D48" t="str">
        <f>INDEX(tblTeams[Column1.short_name],MATCH(C48,tblTeams[Column1.id],0))</f>
        <v>AVL</v>
      </c>
      <c r="E48" s="4">
        <f>INDEX(FPL_Raw_Data!$F:$F,MATCH(A48,FPL_Raw_Data!$AA:$AA,0))/10</f>
        <v>4.5</v>
      </c>
      <c r="F48" s="4" t="str">
        <f>tblPlayers[[#This Row],[status]]</f>
        <v>a</v>
      </c>
      <c r="G48" s="4" t="b">
        <f>tblPlayers[[#This Row],[can_select]]</f>
        <v>1</v>
      </c>
      <c r="H48">
        <f>IF(AND(Table8[[#This Row],[Availability Status]]="a",Table8[[#This Row],[Can Select]]=TRUE),1,0)</f>
        <v>1</v>
      </c>
      <c r="I48">
        <f>tblPlayers[minutes]</f>
        <v>0</v>
      </c>
      <c r="J48" s="2">
        <f>Table8[[#This Row],[Minutes]]/90</f>
        <v>0</v>
      </c>
      <c r="K48" s="5">
        <f>IFERROR(Z48/(FIXTURE_ANALYSIS!$B$1-1),0)</f>
        <v>0</v>
      </c>
      <c r="L48">
        <f>tblPlayers[total_points]</f>
        <v>0</v>
      </c>
      <c r="M48">
        <f>tblPlayers[points_per_game]</f>
        <v>0</v>
      </c>
      <c r="N48">
        <f>tblPlayers[form]</f>
        <v>0</v>
      </c>
      <c r="O48">
        <f>tblPlayers[expected_goals]</f>
        <v>0</v>
      </c>
      <c r="P48">
        <f>tblPlayers[expected_assists]</f>
        <v>0</v>
      </c>
      <c r="Q48">
        <f>tblPlayers[expected_goal_involvements]</f>
        <v>0</v>
      </c>
      <c r="R48" s="2">
        <f t="shared" si="0"/>
        <v>0</v>
      </c>
      <c r="S48" s="5">
        <f t="shared" si="1"/>
        <v>0</v>
      </c>
      <c r="T48" s="5">
        <f t="shared" si="2"/>
        <v>0</v>
      </c>
      <c r="U48" s="5">
        <f t="shared" si="3"/>
        <v>0</v>
      </c>
      <c r="V48" s="3">
        <f t="shared" si="4"/>
        <v>0</v>
      </c>
      <c r="W48" s="5">
        <f t="shared" si="5"/>
        <v>0</v>
      </c>
      <c r="X48" s="5">
        <f>IFERROR(IF(OR($B48="MID",$B48="FWD"),INDEX(FIXTURE_ANALYSIS!$Q:$Q,MATCH($D48,FIXTURE_ANALYSIS!$A:$A,0)),INDEX(FIXTURE_ANALYSIS!$R:$R,MATCH($D48,FIXTURE_ANALYSIS!$A:$A,0))),1)</f>
        <v>0.8</v>
      </c>
      <c r="Y48" s="5">
        <f t="shared" si="6"/>
        <v>0.8</v>
      </c>
      <c r="Z48" s="8">
        <f>INDEX(FPL_Raw_Data!$T:$T,MATCH(A48,FPL_Raw_Data!$AA:$AA,0))</f>
        <v>0</v>
      </c>
      <c r="AA48" s="8">
        <f>INDEX(FPL_Raw_Data!$S:$S,MATCH(A48,FPL_Raw_Data!$AA:$AA,0))</f>
        <v>0</v>
      </c>
      <c r="AB48" s="2">
        <f t="shared" si="7"/>
        <v>0</v>
      </c>
      <c r="AC48" s="2">
        <f>INDEX(FPL_Raw_Data!$Q:$Q,MATCH(A48,FPL_Raw_Data!$AA:$AA,0))</f>
        <v>0</v>
      </c>
      <c r="AD48" s="8">
        <f>INDEX(FPL_Raw_Data!$R:$R,MATCH(A48,FPL_Raw_Data!$AA:$AA,0))</f>
        <v>0</v>
      </c>
      <c r="AE48" s="8">
        <f>INDEX(FPL_Raw_Data!$N:$N,MATCH(A48,FPL_Raw_Data!$AA:$AA,0))</f>
        <v>0</v>
      </c>
      <c r="AF48" s="8">
        <f>INDEX(FPL_Raw_Data!$L:$L,MATCH(A48,FPL_Raw_Data!$AA:$AA,0))</f>
        <v>0</v>
      </c>
      <c r="AG48" s="2">
        <f>INDEX(FPL_Raw_Data!$M:$M,MATCH(A48,FPL_Raw_Data!$AA:$AA,0))</f>
        <v>0</v>
      </c>
      <c r="AH48" s="2">
        <f t="shared" si="8"/>
        <v>0</v>
      </c>
      <c r="AI48" s="2">
        <f t="shared" si="9"/>
        <v>0</v>
      </c>
      <c r="AJ48" s="2">
        <f t="shared" si="10"/>
        <v>0</v>
      </c>
      <c r="AK48" s="2">
        <f t="shared" si="11"/>
        <v>0</v>
      </c>
      <c r="AL48" s="2">
        <f t="shared" si="12"/>
        <v>0</v>
      </c>
      <c r="AM48" s="2">
        <f t="shared" si="13"/>
        <v>0</v>
      </c>
      <c r="AN48" s="2">
        <f t="shared" si="14"/>
        <v>0</v>
      </c>
      <c r="AO48" s="3">
        <f t="shared" si="15"/>
        <v>0.1</v>
      </c>
      <c r="AP48">
        <f t="shared" si="16"/>
        <v>0</v>
      </c>
      <c r="AQ48">
        <f t="shared" si="17"/>
        <v>0.1</v>
      </c>
      <c r="AR48">
        <f t="shared" si="18"/>
        <v>0</v>
      </c>
      <c r="AS48" s="2">
        <f t="shared" si="19"/>
        <v>0</v>
      </c>
      <c r="AT48" s="2">
        <f>IFERROR(INDEX(Player_Model!$BC$2:$BC$596,MATCH($A48,Player_Model!$A$2:$A$596,0)),0)</f>
        <v>0</v>
      </c>
      <c r="AU48" s="2">
        <f>Table8[[#This Row],[Model Expected Points]]*Table8[[#This Row],[Fixture Adjustment]]</f>
        <v>0</v>
      </c>
      <c r="AV48" s="2">
        <f>Table8[[#This Row],[Fixture Adjusted Points / 90]]/Table8[[#This Row],[Price]]</f>
        <v>0</v>
      </c>
      <c r="AW48">
        <f t="shared" si="20"/>
        <v>0.05</v>
      </c>
      <c r="AX48">
        <f t="shared" si="21"/>
        <v>0</v>
      </c>
      <c r="AY48" s="2">
        <f t="shared" si="22"/>
        <v>0</v>
      </c>
      <c r="AZ48" s="5">
        <f t="shared" si="23"/>
        <v>0.8</v>
      </c>
      <c r="BA48">
        <f>Table8[[#This Row],[Model Score2]]</f>
        <v>0</v>
      </c>
      <c r="BB48">
        <f>IFERROR(INDEX(Player_Model!$BG$2:$BG$596,MATCH($A48,Player_Model!$A$2:$A$596,0)),"")</f>
        <v>125</v>
      </c>
      <c r="BC48" t="str">
        <f t="shared" si="24"/>
        <v>AVOID</v>
      </c>
      <c r="BD48">
        <f>IF(H48=1,Table8[[#This Row],[Model Score]],-10000)</f>
        <v>0</v>
      </c>
      <c r="BE48">
        <f>IFERROR(INDEX(Player_Model!$BF$2:$BF$596,MATCH($A48,Player_Model!$A$2:$A$596,0)),"")</f>
        <v>253</v>
      </c>
      <c r="BF48">
        <f>IFERROR(INDEX(Player_Model!$BG$2:$BG$596,MATCH($A48,Player_Model!$A$2:$A$596,0)),"")</f>
        <v>125</v>
      </c>
      <c r="BG48">
        <f>IFERROR(INDEX(Player_Model!$BE$2:$BE$596,MATCH($A48,Player_Model!$A$2:$A$596,0)),0)</f>
        <v>0</v>
      </c>
    </row>
    <row r="49" spans="1:59" x14ac:dyDescent="0.25">
      <c r="A49" t="str">
        <f>tblPlayers[first_name]&amp;" "&amp;tblPlayers[second_name]</f>
        <v>George Hemmings</v>
      </c>
      <c r="B49" t="str">
        <f>_xlfn.SWITCH(tblPlayers[element_type],1,"GK",2,"DEF",3,"MID",4,"FWD")</f>
        <v>MID</v>
      </c>
      <c r="C49">
        <f>tblPlayers[team]</f>
        <v>2</v>
      </c>
      <c r="D49" t="str">
        <f>INDEX(tblTeams[Column1.short_name],MATCH(C49,tblTeams[Column1.id],0))</f>
        <v>AVL</v>
      </c>
      <c r="E49" s="4">
        <f>INDEX(FPL_Raw_Data!$F:$F,MATCH(A49,FPL_Raw_Data!$AA:$AA,0))/10</f>
        <v>4.5</v>
      </c>
      <c r="F49" s="4" t="str">
        <f>tblPlayers[[#This Row],[status]]</f>
        <v>a</v>
      </c>
      <c r="G49" s="4" t="b">
        <f>tblPlayers[[#This Row],[can_select]]</f>
        <v>1</v>
      </c>
      <c r="H49">
        <f>IF(AND(Table8[[#This Row],[Availability Status]]="a",Table8[[#This Row],[Can Select]]=TRUE),1,0)</f>
        <v>1</v>
      </c>
      <c r="I49">
        <f>tblPlayers[minutes]</f>
        <v>234</v>
      </c>
      <c r="J49" s="2">
        <f>Table8[[#This Row],[Minutes]]/90</f>
        <v>2.6</v>
      </c>
      <c r="K49" s="5">
        <f>IFERROR(Z49/(FIXTURE_ANALYSIS!$B$1-1),0)</f>
        <v>1</v>
      </c>
      <c r="L49">
        <f>tblPlayers[total_points]</f>
        <v>7</v>
      </c>
      <c r="M49">
        <f>tblPlayers[points_per_game]</f>
        <v>2.2999999999999998</v>
      </c>
      <c r="N49">
        <f>tblPlayers[form]</f>
        <v>2.2999999999999998</v>
      </c>
      <c r="O49">
        <f>tblPlayers[expected_goals]</f>
        <v>7.0000000000000007E-2</v>
      </c>
      <c r="P49">
        <f>tblPlayers[expected_assists]</f>
        <v>0.15</v>
      </c>
      <c r="Q49">
        <f>tblPlayers[expected_goal_involvements]</f>
        <v>0.22</v>
      </c>
      <c r="R49" s="2">
        <f t="shared" si="0"/>
        <v>2.6923076923076925</v>
      </c>
      <c r="S49" s="5">
        <f t="shared" si="1"/>
        <v>2.6923076923076928E-2</v>
      </c>
      <c r="T49" s="5">
        <f t="shared" si="2"/>
        <v>5.7692307692307696E-2</v>
      </c>
      <c r="U49" s="5">
        <f t="shared" si="3"/>
        <v>8.461538461538462E-2</v>
      </c>
      <c r="V49" s="3">
        <f t="shared" si="4"/>
        <v>1.5555555555555556</v>
      </c>
      <c r="W49" s="5">
        <f t="shared" si="5"/>
        <v>4.8888888888888891E-2</v>
      </c>
      <c r="X49" s="5">
        <f>IFERROR(IF(OR($B49="MID",$B49="FWD"),INDEX(FIXTURE_ANALYSIS!$Q:$Q,MATCH($D49,FIXTURE_ANALYSIS!$A:$A,0)),INDEX(FIXTURE_ANALYSIS!$R:$R,MATCH($D49,FIXTURE_ANALYSIS!$A:$A,0))),1)</f>
        <v>0.8</v>
      </c>
      <c r="Y49" s="5">
        <f t="shared" si="6"/>
        <v>0.8</v>
      </c>
      <c r="Z49" s="8">
        <f>INDEX(FPL_Raw_Data!$T:$T,MATCH(A49,FPL_Raw_Data!$AA:$AA,0))</f>
        <v>3</v>
      </c>
      <c r="AA49" s="8">
        <f>INDEX(FPL_Raw_Data!$S:$S,MATCH(A49,FPL_Raw_Data!$AA:$AA,0))</f>
        <v>18</v>
      </c>
      <c r="AB49" s="2">
        <f t="shared" si="7"/>
        <v>1</v>
      </c>
      <c r="AC49" s="2">
        <f>INDEX(FPL_Raw_Data!$Q:$Q,MATCH(A49,FPL_Raw_Data!$AA:$AA,0))</f>
        <v>0</v>
      </c>
      <c r="AD49" s="8">
        <f>INDEX(FPL_Raw_Data!$R:$R,MATCH(A49,FPL_Raw_Data!$AA:$AA,0))</f>
        <v>29</v>
      </c>
      <c r="AE49" s="8">
        <f>INDEX(FPL_Raw_Data!$N:$N,MATCH(A49,FPL_Raw_Data!$AA:$AA,0))</f>
        <v>1</v>
      </c>
      <c r="AF49" s="8">
        <f>INDEX(FPL_Raw_Data!$L:$L,MATCH(A49,FPL_Raw_Data!$AA:$AA,0))</f>
        <v>0</v>
      </c>
      <c r="AG49" s="2">
        <f>INDEX(FPL_Raw_Data!$M:$M,MATCH(A49,FPL_Raw_Data!$AA:$AA,0))</f>
        <v>0</v>
      </c>
      <c r="AH49" s="2">
        <f t="shared" si="8"/>
        <v>0.13461538461538464</v>
      </c>
      <c r="AI49" s="2">
        <f t="shared" si="9"/>
        <v>0.17307692307692307</v>
      </c>
      <c r="AJ49" s="2">
        <f t="shared" si="10"/>
        <v>2</v>
      </c>
      <c r="AK49" s="2">
        <f t="shared" si="11"/>
        <v>2</v>
      </c>
      <c r="AL49" s="2">
        <f t="shared" si="12"/>
        <v>0.33333333333333331</v>
      </c>
      <c r="AM49" s="2">
        <f t="shared" si="13"/>
        <v>0.33333333333333331</v>
      </c>
      <c r="AN49" s="2">
        <f t="shared" si="14"/>
        <v>0</v>
      </c>
      <c r="AO49" s="3">
        <f t="shared" si="15"/>
        <v>54.800000000000004</v>
      </c>
      <c r="AP49">
        <f t="shared" si="16"/>
        <v>66.400000000000006</v>
      </c>
      <c r="AQ49">
        <f t="shared" si="17"/>
        <v>79.600000000000009</v>
      </c>
      <c r="AR49">
        <f t="shared" si="18"/>
        <v>75.400000000000006</v>
      </c>
      <c r="AS49" s="2">
        <f t="shared" si="19"/>
        <v>100</v>
      </c>
      <c r="AT49" s="2">
        <f>IFERROR(INDEX(Player_Model!$BC$2:$BC$596,MATCH($A49,Player_Model!$A$2:$A$596,0)),0)</f>
        <v>3.1274715897435899</v>
      </c>
      <c r="AU49" s="2">
        <f>Table8[[#This Row],[Model Expected Points]]*Table8[[#This Row],[Fixture Adjustment]]</f>
        <v>2.5019772717948721</v>
      </c>
      <c r="AV49" s="2">
        <f>Table8[[#This Row],[Fixture Adjusted Points / 90]]/Table8[[#This Row],[Price]]</f>
        <v>0.5559949492877494</v>
      </c>
      <c r="AW49">
        <f t="shared" si="20"/>
        <v>60.600000000000009</v>
      </c>
      <c r="AX49">
        <f t="shared" si="21"/>
        <v>1</v>
      </c>
      <c r="AY49" s="2">
        <f t="shared" si="22"/>
        <v>100</v>
      </c>
      <c r="AZ49" s="5">
        <f t="shared" si="23"/>
        <v>0.8</v>
      </c>
      <c r="BA49">
        <f>Table8[[#This Row],[Model Score2]]</f>
        <v>3.1274715897435899</v>
      </c>
      <c r="BB49">
        <f>IFERROR(INDEX(Player_Model!$BG$2:$BG$596,MATCH($A49,Player_Model!$A$2:$A$596,0)),"")</f>
        <v>103</v>
      </c>
      <c r="BC49" t="str">
        <f t="shared" si="24"/>
        <v>AVOID</v>
      </c>
      <c r="BD49">
        <f>IF(H49=1,Table8[[#This Row],[Model Score]],-10000)</f>
        <v>3.1274715897435899</v>
      </c>
      <c r="BE49">
        <f>IFERROR(INDEX(Player_Model!$BF$2:$BF$596,MATCH($A49,Player_Model!$A$2:$A$596,0)),"")</f>
        <v>197</v>
      </c>
      <c r="BF49">
        <f>IFERROR(INDEX(Player_Model!$BG$2:$BG$596,MATCH($A49,Player_Model!$A$2:$A$596,0)),"")</f>
        <v>103</v>
      </c>
      <c r="BG49">
        <f>IFERROR(INDEX(Player_Model!$BE$2:$BE$596,MATCH($A49,Player_Model!$A$2:$A$596,0)),0)</f>
        <v>3.1274715897435899</v>
      </c>
    </row>
    <row r="50" spans="1:59" x14ac:dyDescent="0.25">
      <c r="A50" t="str">
        <f>tblPlayers[first_name]&amp;" "&amp;tblPlayers[second_name]</f>
        <v>Alysson Edward Franco da Rocha dos Santos</v>
      </c>
      <c r="B50" t="str">
        <f>_xlfn.SWITCH(tblPlayers[element_type],1,"GK",2,"DEF",3,"MID",4,"FWD")</f>
        <v>MID</v>
      </c>
      <c r="C50">
        <f>tblPlayers[team]</f>
        <v>2</v>
      </c>
      <c r="D50" t="str">
        <f>INDEX(tblTeams[Column1.short_name],MATCH(C50,tblTeams[Column1.id],0))</f>
        <v>AVL</v>
      </c>
      <c r="E50" s="4">
        <f>INDEX(FPL_Raw_Data!$F:$F,MATCH(A50,FPL_Raw_Data!$AA:$AA,0))/10</f>
        <v>5</v>
      </c>
      <c r="F50" s="4" t="str">
        <f>tblPlayers[[#This Row],[status]]</f>
        <v>a</v>
      </c>
      <c r="G50" s="4" t="b">
        <f>tblPlayers[[#This Row],[can_select]]</f>
        <v>1</v>
      </c>
      <c r="H50">
        <f>IF(AND(Table8[[#This Row],[Availability Status]]="a",Table8[[#This Row],[Can Select]]=TRUE),1,0)</f>
        <v>1</v>
      </c>
      <c r="I50">
        <f>tblPlayers[minutes]</f>
        <v>42</v>
      </c>
      <c r="J50" s="2">
        <f>Table8[[#This Row],[Minutes]]/90</f>
        <v>0.46666666666666667</v>
      </c>
      <c r="K50" s="5">
        <f>IFERROR(Z50/(FIXTURE_ANALYSIS!$B$1-1),0)</f>
        <v>0</v>
      </c>
      <c r="L50">
        <f>tblPlayers[total_points]</f>
        <v>2</v>
      </c>
      <c r="M50">
        <f>tblPlayers[points_per_game]</f>
        <v>0.7</v>
      </c>
      <c r="N50">
        <f>tblPlayers[form]</f>
        <v>0.7</v>
      </c>
      <c r="O50">
        <f>tblPlayers[expected_goals]</f>
        <v>0</v>
      </c>
      <c r="P50">
        <f>tblPlayers[expected_assists]</f>
        <v>0</v>
      </c>
      <c r="Q50">
        <f>tblPlayers[expected_goal_involvements]</f>
        <v>0</v>
      </c>
      <c r="R50" s="2">
        <f t="shared" si="0"/>
        <v>4.2857142857142856</v>
      </c>
      <c r="S50" s="5">
        <f t="shared" si="1"/>
        <v>0</v>
      </c>
      <c r="T50" s="5">
        <f t="shared" si="2"/>
        <v>0</v>
      </c>
      <c r="U50" s="5">
        <f t="shared" si="3"/>
        <v>0</v>
      </c>
      <c r="V50" s="3">
        <f t="shared" si="4"/>
        <v>0.4</v>
      </c>
      <c r="W50" s="5">
        <f t="shared" si="5"/>
        <v>0</v>
      </c>
      <c r="X50" s="5">
        <f>IFERROR(IF(OR($B50="MID",$B50="FWD"),INDEX(FIXTURE_ANALYSIS!$Q:$Q,MATCH($D50,FIXTURE_ANALYSIS!$A:$A,0)),INDEX(FIXTURE_ANALYSIS!$R:$R,MATCH($D50,FIXTURE_ANALYSIS!$A:$A,0))),1)</f>
        <v>0.8</v>
      </c>
      <c r="Y50" s="5">
        <f t="shared" si="6"/>
        <v>0.8</v>
      </c>
      <c r="Z50" s="8">
        <f>INDEX(FPL_Raw_Data!$T:$T,MATCH(A50,FPL_Raw_Data!$AA:$AA,0))</f>
        <v>0</v>
      </c>
      <c r="AA50" s="8">
        <f>INDEX(FPL_Raw_Data!$S:$S,MATCH(A50,FPL_Raw_Data!$AA:$AA,0))</f>
        <v>6</v>
      </c>
      <c r="AB50" s="2">
        <f t="shared" si="7"/>
        <v>0.5</v>
      </c>
      <c r="AC50" s="2">
        <f>INDEX(FPL_Raw_Data!$Q:$Q,MATCH(A50,FPL_Raw_Data!$AA:$AA,0))</f>
        <v>0</v>
      </c>
      <c r="AD50" s="8">
        <f>INDEX(FPL_Raw_Data!$R:$R,MATCH(A50,FPL_Raw_Data!$AA:$AA,0))</f>
        <v>10</v>
      </c>
      <c r="AE50" s="8">
        <f>INDEX(FPL_Raw_Data!$N:$N,MATCH(A50,FPL_Raw_Data!$AA:$AA,0))</f>
        <v>0</v>
      </c>
      <c r="AF50" s="8">
        <f>INDEX(FPL_Raw_Data!$L:$L,MATCH(A50,FPL_Raw_Data!$AA:$AA,0))</f>
        <v>0</v>
      </c>
      <c r="AG50" s="2">
        <f>INDEX(FPL_Raw_Data!$M:$M,MATCH(A50,FPL_Raw_Data!$AA:$AA,0))</f>
        <v>0</v>
      </c>
      <c r="AH50" s="2">
        <f t="shared" si="8"/>
        <v>0</v>
      </c>
      <c r="AI50" s="2">
        <f t="shared" si="9"/>
        <v>0</v>
      </c>
      <c r="AJ50" s="2">
        <f t="shared" si="10"/>
        <v>0</v>
      </c>
      <c r="AK50" s="2">
        <f t="shared" si="11"/>
        <v>1</v>
      </c>
      <c r="AL50" s="2">
        <f t="shared" si="12"/>
        <v>0</v>
      </c>
      <c r="AM50" s="2">
        <f t="shared" si="13"/>
        <v>0</v>
      </c>
      <c r="AN50" s="2">
        <f t="shared" si="14"/>
        <v>0</v>
      </c>
      <c r="AO50" s="3">
        <f t="shared" si="15"/>
        <v>70.8</v>
      </c>
      <c r="AP50">
        <f t="shared" si="16"/>
        <v>0</v>
      </c>
      <c r="AQ50">
        <f t="shared" si="17"/>
        <v>53.300000000000004</v>
      </c>
      <c r="AR50">
        <f t="shared" si="18"/>
        <v>0</v>
      </c>
      <c r="AS50" s="2">
        <f t="shared" si="19"/>
        <v>0</v>
      </c>
      <c r="AT50" s="2">
        <f>IFERROR(INDEX(Player_Model!$BC$2:$BC$596,MATCH($A50,Player_Model!$A$2:$A$596,0)),0)</f>
        <v>0</v>
      </c>
      <c r="AU50" s="2">
        <f>Table8[[#This Row],[Model Expected Points]]*Table8[[#This Row],[Fixture Adjustment]]</f>
        <v>0</v>
      </c>
      <c r="AV50" s="2">
        <f>Table8[[#This Row],[Fixture Adjusted Points / 90]]/Table8[[#This Row],[Price]]</f>
        <v>0</v>
      </c>
      <c r="AW50">
        <f t="shared" si="20"/>
        <v>35.4</v>
      </c>
      <c r="AX50">
        <f t="shared" si="21"/>
        <v>0.5</v>
      </c>
      <c r="AY50" s="2">
        <f t="shared" si="22"/>
        <v>0</v>
      </c>
      <c r="AZ50" s="5">
        <f t="shared" si="23"/>
        <v>0.8</v>
      </c>
      <c r="BA50">
        <f>Table8[[#This Row],[Model Score2]]</f>
        <v>0</v>
      </c>
      <c r="BB50">
        <f>IFERROR(INDEX(Player_Model!$BG$2:$BG$596,MATCH($A50,Player_Model!$A$2:$A$596,0)),"")</f>
        <v>126</v>
      </c>
      <c r="BC50" t="str">
        <f t="shared" si="24"/>
        <v>AVOID</v>
      </c>
      <c r="BD50">
        <f>IF(H50=1,Table8[[#This Row],[Model Score]],-10000)</f>
        <v>0</v>
      </c>
      <c r="BE50">
        <f>IFERROR(INDEX(Player_Model!$BF$2:$BF$596,MATCH($A50,Player_Model!$A$2:$A$596,0)),"")</f>
        <v>253</v>
      </c>
      <c r="BF50">
        <f>IFERROR(INDEX(Player_Model!$BG$2:$BG$596,MATCH($A50,Player_Model!$A$2:$A$596,0)),"")</f>
        <v>126</v>
      </c>
      <c r="BG50">
        <f>IFERROR(INDEX(Player_Model!$BE$2:$BE$596,MATCH($A50,Player_Model!$A$2:$A$596,0)),0)</f>
        <v>0</v>
      </c>
    </row>
    <row r="51" spans="1:59" x14ac:dyDescent="0.25">
      <c r="A51" t="str">
        <f>tblPlayers[first_name]&amp;" "&amp;tblPlayers[second_name]</f>
        <v>Johan Manzambi</v>
      </c>
      <c r="B51" t="str">
        <f>_xlfn.SWITCH(tblPlayers[element_type],1,"GK",2,"DEF",3,"MID",4,"FWD")</f>
        <v>MID</v>
      </c>
      <c r="C51">
        <f>tblPlayers[team]</f>
        <v>2</v>
      </c>
      <c r="D51" t="str">
        <f>INDEX(tblTeams[Column1.short_name],MATCH(C51,tblTeams[Column1.id],0))</f>
        <v>AVL</v>
      </c>
      <c r="E51" s="4">
        <f>INDEX(FPL_Raw_Data!$F:$F,MATCH(A51,FPL_Raw_Data!$AA:$AA,0))/10</f>
        <v>5.9</v>
      </c>
      <c r="F51" s="4" t="str">
        <f>tblPlayers[[#This Row],[status]]</f>
        <v>i</v>
      </c>
      <c r="G51" s="4" t="b">
        <f>tblPlayers[[#This Row],[can_select]]</f>
        <v>1</v>
      </c>
      <c r="H51">
        <f>IF(AND(Table8[[#This Row],[Availability Status]]="a",Table8[[#This Row],[Can Select]]=TRUE),1,0)</f>
        <v>0</v>
      </c>
      <c r="I51">
        <f>tblPlayers[minutes]</f>
        <v>0</v>
      </c>
      <c r="J51" s="2">
        <f>Table8[[#This Row],[Minutes]]/90</f>
        <v>0</v>
      </c>
      <c r="K51" s="5">
        <f>IFERROR(Z51/(FIXTURE_ANALYSIS!$B$1-1),0)</f>
        <v>0</v>
      </c>
      <c r="L51">
        <f>tblPlayers[total_points]</f>
        <v>0</v>
      </c>
      <c r="M51">
        <f>tblPlayers[points_per_game]</f>
        <v>0</v>
      </c>
      <c r="N51">
        <f>tblPlayers[form]</f>
        <v>0</v>
      </c>
      <c r="O51">
        <f>tblPlayers[expected_goals]</f>
        <v>0</v>
      </c>
      <c r="P51">
        <f>tblPlayers[expected_assists]</f>
        <v>0</v>
      </c>
      <c r="Q51">
        <f>tblPlayers[expected_goal_involvements]</f>
        <v>0</v>
      </c>
      <c r="R51" s="2">
        <f t="shared" si="0"/>
        <v>0</v>
      </c>
      <c r="S51" s="5">
        <f t="shared" si="1"/>
        <v>0</v>
      </c>
      <c r="T51" s="5">
        <f t="shared" si="2"/>
        <v>0</v>
      </c>
      <c r="U51" s="5">
        <f t="shared" si="3"/>
        <v>0</v>
      </c>
      <c r="V51" s="3">
        <f t="shared" si="4"/>
        <v>0</v>
      </c>
      <c r="W51" s="5">
        <f t="shared" si="5"/>
        <v>0</v>
      </c>
      <c r="X51" s="5">
        <f>IFERROR(IF(OR($B51="MID",$B51="FWD"),INDEX(FIXTURE_ANALYSIS!$Q:$Q,MATCH($D51,FIXTURE_ANALYSIS!$A:$A,0)),INDEX(FIXTURE_ANALYSIS!$R:$R,MATCH($D51,FIXTURE_ANALYSIS!$A:$A,0))),1)</f>
        <v>0.8</v>
      </c>
      <c r="Y51" s="5">
        <f t="shared" si="6"/>
        <v>0.8</v>
      </c>
      <c r="Z51" s="8">
        <f>INDEX(FPL_Raw_Data!$T:$T,MATCH(A51,FPL_Raw_Data!$AA:$AA,0))</f>
        <v>0</v>
      </c>
      <c r="AA51" s="8">
        <f>INDEX(FPL_Raw_Data!$S:$S,MATCH(A51,FPL_Raw_Data!$AA:$AA,0))</f>
        <v>0</v>
      </c>
      <c r="AB51" s="2">
        <f t="shared" si="7"/>
        <v>0</v>
      </c>
      <c r="AC51" s="2">
        <f>INDEX(FPL_Raw_Data!$Q:$Q,MATCH(A51,FPL_Raw_Data!$AA:$AA,0))</f>
        <v>0</v>
      </c>
      <c r="AD51" s="8">
        <f>INDEX(FPL_Raw_Data!$R:$R,MATCH(A51,FPL_Raw_Data!$AA:$AA,0))</f>
        <v>0</v>
      </c>
      <c r="AE51" s="8">
        <f>INDEX(FPL_Raw_Data!$N:$N,MATCH(A51,FPL_Raw_Data!$AA:$AA,0))</f>
        <v>0</v>
      </c>
      <c r="AF51" s="8">
        <f>INDEX(FPL_Raw_Data!$L:$L,MATCH(A51,FPL_Raw_Data!$AA:$AA,0))</f>
        <v>0</v>
      </c>
      <c r="AG51" s="2">
        <f>INDEX(FPL_Raw_Data!$M:$M,MATCH(A51,FPL_Raw_Data!$AA:$AA,0))</f>
        <v>0</v>
      </c>
      <c r="AH51" s="2">
        <f t="shared" si="8"/>
        <v>0</v>
      </c>
      <c r="AI51" s="2">
        <f t="shared" si="9"/>
        <v>0</v>
      </c>
      <c r="AJ51" s="2">
        <f t="shared" si="10"/>
        <v>0</v>
      </c>
      <c r="AK51" s="2">
        <f t="shared" si="11"/>
        <v>0</v>
      </c>
      <c r="AL51" s="2">
        <f t="shared" si="12"/>
        <v>0</v>
      </c>
      <c r="AM51" s="2">
        <f t="shared" si="13"/>
        <v>0</v>
      </c>
      <c r="AN51" s="2">
        <f t="shared" si="14"/>
        <v>0</v>
      </c>
      <c r="AO51" s="3">
        <f t="shared" si="15"/>
        <v>0.1</v>
      </c>
      <c r="AP51">
        <f t="shared" si="16"/>
        <v>0</v>
      </c>
      <c r="AQ51">
        <f t="shared" si="17"/>
        <v>0.1</v>
      </c>
      <c r="AR51">
        <f t="shared" si="18"/>
        <v>0</v>
      </c>
      <c r="AS51" s="2">
        <f t="shared" si="19"/>
        <v>0</v>
      </c>
      <c r="AT51" s="2">
        <f>IFERROR(INDEX(Player_Model!$BC$2:$BC$596,MATCH($A51,Player_Model!$A$2:$A$596,0)),0)</f>
        <v>0</v>
      </c>
      <c r="AU51" s="2">
        <f>Table8[[#This Row],[Model Expected Points]]*Table8[[#This Row],[Fixture Adjustment]]</f>
        <v>0</v>
      </c>
      <c r="AV51" s="2">
        <f>Table8[[#This Row],[Fixture Adjusted Points / 90]]/Table8[[#This Row],[Price]]</f>
        <v>0</v>
      </c>
      <c r="AW51">
        <f t="shared" si="20"/>
        <v>0.05</v>
      </c>
      <c r="AX51">
        <f t="shared" si="21"/>
        <v>0</v>
      </c>
      <c r="AY51" s="2">
        <f t="shared" si="22"/>
        <v>0</v>
      </c>
      <c r="AZ51" s="5">
        <f t="shared" si="23"/>
        <v>0.8</v>
      </c>
      <c r="BA51">
        <f>Table8[[#This Row],[Model Score2]]</f>
        <v>0</v>
      </c>
      <c r="BB51">
        <f>IFERROR(INDEX(Player_Model!$BG$2:$BG$596,MATCH($A51,Player_Model!$A$2:$A$596,0)),"")</f>
        <v>127</v>
      </c>
      <c r="BC51" t="str">
        <f t="shared" si="24"/>
        <v>AVOID</v>
      </c>
      <c r="BD51">
        <f>IF(H51=1,Table8[[#This Row],[Model Score]],-10000)</f>
        <v>-10000</v>
      </c>
      <c r="BE51">
        <f>IFERROR(INDEX(Player_Model!$BF$2:$BF$596,MATCH($A51,Player_Model!$A$2:$A$596,0)),"")</f>
        <v>253</v>
      </c>
      <c r="BF51">
        <f>IFERROR(INDEX(Player_Model!$BG$2:$BG$596,MATCH($A51,Player_Model!$A$2:$A$596,0)),"")</f>
        <v>127</v>
      </c>
      <c r="BG51">
        <f>IFERROR(INDEX(Player_Model!$BE$2:$BE$596,MATCH($A51,Player_Model!$A$2:$A$596,0)),0)</f>
        <v>0</v>
      </c>
    </row>
    <row r="52" spans="1:59" x14ac:dyDescent="0.25">
      <c r="A52" t="str">
        <f>tblPlayers[first_name]&amp;" "&amp;tblPlayers[second_name]</f>
        <v>Joao Gomes</v>
      </c>
      <c r="B52" t="str">
        <f>_xlfn.SWITCH(tblPlayers[element_type],1,"GK",2,"DEF",3,"MID",4,"FWD")</f>
        <v>MID</v>
      </c>
      <c r="C52">
        <f>tblPlayers[team]</f>
        <v>2</v>
      </c>
      <c r="D52" t="str">
        <f>INDEX(tblTeams[Column1.short_name],MATCH(C52,tblTeams[Column1.id],0))</f>
        <v>AVL</v>
      </c>
      <c r="E52" s="4">
        <f>INDEX(FPL_Raw_Data!$F:$F,MATCH(A52,FPL_Raw_Data!$AA:$AA,0))/10</f>
        <v>5.5</v>
      </c>
      <c r="F52" s="4" t="str">
        <f>tblPlayers[[#This Row],[status]]</f>
        <v>s</v>
      </c>
      <c r="G52" s="4" t="b">
        <f>tblPlayers[[#This Row],[can_select]]</f>
        <v>1</v>
      </c>
      <c r="H52">
        <f>IF(AND(Table8[[#This Row],[Availability Status]]="a",Table8[[#This Row],[Can Select]]=TRUE),1,0)</f>
        <v>0</v>
      </c>
      <c r="I52">
        <f>tblPlayers[minutes]</f>
        <v>39</v>
      </c>
      <c r="J52" s="2">
        <f>Table8[[#This Row],[Minutes]]/90</f>
        <v>0.43333333333333335</v>
      </c>
      <c r="K52" s="5">
        <f>IFERROR(Z52/(FIXTURE_ANALYSIS!$B$1-1),0)</f>
        <v>0.33333333333333331</v>
      </c>
      <c r="L52">
        <f>tblPlayers[total_points]</f>
        <v>-2</v>
      </c>
      <c r="M52">
        <f>tblPlayers[points_per_game]</f>
        <v>-2</v>
      </c>
      <c r="N52">
        <f>tblPlayers[form]</f>
        <v>-0.7</v>
      </c>
      <c r="O52">
        <f>tblPlayers[expected_goals]</f>
        <v>0</v>
      </c>
      <c r="P52">
        <f>tblPlayers[expected_assists]</f>
        <v>0.01</v>
      </c>
      <c r="Q52">
        <f>tblPlayers[expected_goal_involvements]</f>
        <v>0.01</v>
      </c>
      <c r="R52" s="2">
        <f t="shared" si="0"/>
        <v>-4.615384615384615</v>
      </c>
      <c r="S52" s="5">
        <f t="shared" si="1"/>
        <v>0</v>
      </c>
      <c r="T52" s="5">
        <f t="shared" si="2"/>
        <v>2.3076923076923078E-2</v>
      </c>
      <c r="U52" s="5">
        <f t="shared" si="3"/>
        <v>2.3076923076923078E-2</v>
      </c>
      <c r="V52" s="3">
        <f t="shared" si="4"/>
        <v>-0.36363636363636365</v>
      </c>
      <c r="W52" s="5">
        <f t="shared" si="5"/>
        <v>1.8181818181818182E-3</v>
      </c>
      <c r="X52" s="5">
        <f>IFERROR(IF(OR($B52="MID",$B52="FWD"),INDEX(FIXTURE_ANALYSIS!$Q:$Q,MATCH($D52,FIXTURE_ANALYSIS!$A:$A,0)),INDEX(FIXTURE_ANALYSIS!$R:$R,MATCH($D52,FIXTURE_ANALYSIS!$A:$A,0))),1)</f>
        <v>0.8</v>
      </c>
      <c r="Y52" s="5">
        <f t="shared" si="6"/>
        <v>0.8</v>
      </c>
      <c r="Z52" s="8">
        <f>INDEX(FPL_Raw_Data!$T:$T,MATCH(A52,FPL_Raw_Data!$AA:$AA,0))</f>
        <v>1</v>
      </c>
      <c r="AA52" s="8">
        <f>INDEX(FPL_Raw_Data!$S:$S,MATCH(A52,FPL_Raw_Data!$AA:$AA,0))</f>
        <v>7</v>
      </c>
      <c r="AB52" s="2">
        <f t="shared" si="7"/>
        <v>0.58333333333333337</v>
      </c>
      <c r="AC52" s="2">
        <f>INDEX(FPL_Raw_Data!$Q:$Q,MATCH(A52,FPL_Raw_Data!$AA:$AA,0))</f>
        <v>0</v>
      </c>
      <c r="AD52" s="8">
        <f>INDEX(FPL_Raw_Data!$R:$R,MATCH(A52,FPL_Raw_Data!$AA:$AA,0))</f>
        <v>-2</v>
      </c>
      <c r="AE52" s="8">
        <f>INDEX(FPL_Raw_Data!$N:$N,MATCH(A52,FPL_Raw_Data!$AA:$AA,0))</f>
        <v>0</v>
      </c>
      <c r="AF52" s="8">
        <f>INDEX(FPL_Raw_Data!$L:$L,MATCH(A52,FPL_Raw_Data!$AA:$AA,0))</f>
        <v>0</v>
      </c>
      <c r="AG52" s="2">
        <f>INDEX(FPL_Raw_Data!$M:$M,MATCH(A52,FPL_Raw_Data!$AA:$AA,0))</f>
        <v>0</v>
      </c>
      <c r="AH52" s="2">
        <f t="shared" si="8"/>
        <v>0</v>
      </c>
      <c r="AI52" s="2">
        <f t="shared" si="9"/>
        <v>6.9230769230769235E-2</v>
      </c>
      <c r="AJ52" s="2">
        <f t="shared" si="10"/>
        <v>0.66666666666666663</v>
      </c>
      <c r="AK52" s="2">
        <f t="shared" si="11"/>
        <v>1.1666666666666667</v>
      </c>
      <c r="AL52" s="2">
        <f t="shared" si="12"/>
        <v>0</v>
      </c>
      <c r="AM52" s="2">
        <f t="shared" si="13"/>
        <v>0</v>
      </c>
      <c r="AN52" s="2">
        <f t="shared" si="14"/>
        <v>0</v>
      </c>
      <c r="AO52" s="3">
        <f t="shared" si="15"/>
        <v>0</v>
      </c>
      <c r="AP52">
        <f t="shared" si="16"/>
        <v>55.7</v>
      </c>
      <c r="AQ52">
        <f t="shared" si="17"/>
        <v>0</v>
      </c>
      <c r="AR52">
        <f t="shared" si="18"/>
        <v>51.1</v>
      </c>
      <c r="AS52" s="2">
        <f t="shared" si="19"/>
        <v>33.333333333333329</v>
      </c>
      <c r="AT52" s="2">
        <f>IFERROR(INDEX(Player_Model!$BC$2:$BC$596,MATCH($A52,Player_Model!$A$2:$A$596,0)),0)</f>
        <v>3.8092307692307692</v>
      </c>
      <c r="AU52" s="2">
        <f>Table8[[#This Row],[Model Expected Points]]*Table8[[#This Row],[Fixture Adjustment]]</f>
        <v>3.0473846153846154</v>
      </c>
      <c r="AV52" s="2">
        <f>Table8[[#This Row],[Fixture Adjusted Points / 90]]/Table8[[#This Row],[Price]]</f>
        <v>0.55406993006993011</v>
      </c>
      <c r="AW52">
        <f t="shared" si="20"/>
        <v>27.85</v>
      </c>
      <c r="AX52">
        <f t="shared" si="21"/>
        <v>0.58333333333333337</v>
      </c>
      <c r="AY52" s="2">
        <f t="shared" si="22"/>
        <v>33.333333333333329</v>
      </c>
      <c r="AZ52" s="5">
        <f t="shared" si="23"/>
        <v>0.8</v>
      </c>
      <c r="BA52">
        <f>Table8[[#This Row],[Model Score2]]</f>
        <v>3.8092307692307692</v>
      </c>
      <c r="BB52">
        <f>IFERROR(INDEX(Player_Model!$BG$2:$BG$596,MATCH($A52,Player_Model!$A$2:$A$596,0)),"")</f>
        <v>88</v>
      </c>
      <c r="BC52" t="str">
        <f t="shared" si="24"/>
        <v>AVOID</v>
      </c>
      <c r="BD52">
        <f>IF(H52=1,Table8[[#This Row],[Model Score]],-10000)</f>
        <v>-10000</v>
      </c>
      <c r="BE52">
        <f>IFERROR(INDEX(Player_Model!$BF$2:$BF$596,MATCH($A52,Player_Model!$A$2:$A$596,0)),"")</f>
        <v>171</v>
      </c>
      <c r="BF52">
        <f>IFERROR(INDEX(Player_Model!$BG$2:$BG$596,MATCH($A52,Player_Model!$A$2:$A$596,0)),"")</f>
        <v>88</v>
      </c>
      <c r="BG52">
        <f>IFERROR(INDEX(Player_Model!$BE$2:$BE$596,MATCH($A52,Player_Model!$A$2:$A$596,0)),0)</f>
        <v>3.8092307692307692</v>
      </c>
    </row>
    <row r="53" spans="1:59" x14ac:dyDescent="0.25">
      <c r="A53" t="str">
        <f>tblPlayers[first_name]&amp;" "&amp;tblPlayers[second_name]</f>
        <v>Ollie Watkins</v>
      </c>
      <c r="B53" t="str">
        <f>_xlfn.SWITCH(tblPlayers[element_type],1,"GK",2,"DEF",3,"MID",4,"FWD")</f>
        <v>FWD</v>
      </c>
      <c r="C53">
        <f>tblPlayers[team]</f>
        <v>2</v>
      </c>
      <c r="D53" t="str">
        <f>INDEX(tblTeams[Column1.short_name],MATCH(C53,tblTeams[Column1.id],0))</f>
        <v>AVL</v>
      </c>
      <c r="E53" s="4">
        <f>INDEX(FPL_Raw_Data!$F:$F,MATCH(A53,FPL_Raw_Data!$AA:$AA,0))/10</f>
        <v>7.8</v>
      </c>
      <c r="F53" s="4" t="str">
        <f>tblPlayers[[#This Row],[status]]</f>
        <v>u</v>
      </c>
      <c r="G53" s="4" t="b">
        <f>tblPlayers[[#This Row],[can_select]]</f>
        <v>0</v>
      </c>
      <c r="H53">
        <f>IF(AND(Table8[[#This Row],[Availability Status]]="a",Table8[[#This Row],[Can Select]]=TRUE),1,0)</f>
        <v>0</v>
      </c>
      <c r="I53">
        <f>tblPlayers[minutes]</f>
        <v>0</v>
      </c>
      <c r="J53" s="2">
        <f>Table8[[#This Row],[Minutes]]/90</f>
        <v>0</v>
      </c>
      <c r="K53" s="5">
        <f>IFERROR(Z53/(FIXTURE_ANALYSIS!$B$1-1),0)</f>
        <v>0</v>
      </c>
      <c r="L53">
        <f>tblPlayers[total_points]</f>
        <v>0</v>
      </c>
      <c r="M53">
        <f>tblPlayers[points_per_game]</f>
        <v>0</v>
      </c>
      <c r="N53">
        <f>tblPlayers[form]</f>
        <v>0</v>
      </c>
      <c r="O53">
        <f>tblPlayers[expected_goals]</f>
        <v>0</v>
      </c>
      <c r="P53">
        <f>tblPlayers[expected_assists]</f>
        <v>0</v>
      </c>
      <c r="Q53">
        <f>tblPlayers[expected_goal_involvements]</f>
        <v>0</v>
      </c>
      <c r="R53" s="2">
        <f t="shared" si="0"/>
        <v>0</v>
      </c>
      <c r="S53" s="5">
        <f t="shared" si="1"/>
        <v>0</v>
      </c>
      <c r="T53" s="5">
        <f t="shared" si="2"/>
        <v>0</v>
      </c>
      <c r="U53" s="5">
        <f t="shared" si="3"/>
        <v>0</v>
      </c>
      <c r="V53" s="3">
        <f t="shared" si="4"/>
        <v>0</v>
      </c>
      <c r="W53" s="5">
        <f t="shared" si="5"/>
        <v>0</v>
      </c>
      <c r="X53" s="5">
        <f>IFERROR(IF(OR($B53="MID",$B53="FWD"),INDEX(FIXTURE_ANALYSIS!$Q:$Q,MATCH($D53,FIXTURE_ANALYSIS!$A:$A,0)),INDEX(FIXTURE_ANALYSIS!$R:$R,MATCH($D53,FIXTURE_ANALYSIS!$A:$A,0))),1)</f>
        <v>0.8</v>
      </c>
      <c r="Y53" s="5">
        <f t="shared" si="6"/>
        <v>0.8</v>
      </c>
      <c r="Z53" s="8">
        <f>INDEX(FPL_Raw_Data!$T:$T,MATCH(A53,FPL_Raw_Data!$AA:$AA,0))</f>
        <v>0</v>
      </c>
      <c r="AA53" s="8">
        <f>INDEX(FPL_Raw_Data!$S:$S,MATCH(A53,FPL_Raw_Data!$AA:$AA,0))</f>
        <v>0</v>
      </c>
      <c r="AB53" s="2">
        <f t="shared" si="7"/>
        <v>0</v>
      </c>
      <c r="AC53" s="2">
        <f>INDEX(FPL_Raw_Data!$Q:$Q,MATCH(A53,FPL_Raw_Data!$AA:$AA,0))</f>
        <v>0</v>
      </c>
      <c r="AD53" s="8">
        <f>INDEX(FPL_Raw_Data!$R:$R,MATCH(A53,FPL_Raw_Data!$AA:$AA,0))</f>
        <v>0</v>
      </c>
      <c r="AE53" s="8">
        <f>INDEX(FPL_Raw_Data!$N:$N,MATCH(A53,FPL_Raw_Data!$AA:$AA,0))</f>
        <v>0</v>
      </c>
      <c r="AF53" s="8">
        <f>INDEX(FPL_Raw_Data!$L:$L,MATCH(A53,FPL_Raw_Data!$AA:$AA,0))</f>
        <v>0</v>
      </c>
      <c r="AG53" s="2">
        <f>INDEX(FPL_Raw_Data!$M:$M,MATCH(A53,FPL_Raw_Data!$AA:$AA,0))</f>
        <v>0</v>
      </c>
      <c r="AH53" s="2">
        <f t="shared" si="8"/>
        <v>0</v>
      </c>
      <c r="AI53" s="2">
        <f t="shared" si="9"/>
        <v>0</v>
      </c>
      <c r="AJ53" s="2">
        <f t="shared" si="10"/>
        <v>0</v>
      </c>
      <c r="AK53" s="2">
        <f t="shared" si="11"/>
        <v>0</v>
      </c>
      <c r="AL53" s="2">
        <f t="shared" si="12"/>
        <v>0</v>
      </c>
      <c r="AM53" s="2">
        <f t="shared" si="13"/>
        <v>0</v>
      </c>
      <c r="AN53" s="2">
        <f t="shared" si="14"/>
        <v>0</v>
      </c>
      <c r="AO53" s="3">
        <f t="shared" si="15"/>
        <v>0.1</v>
      </c>
      <c r="AP53">
        <f t="shared" si="16"/>
        <v>0</v>
      </c>
      <c r="AQ53">
        <f t="shared" si="17"/>
        <v>0.1</v>
      </c>
      <c r="AR53">
        <f t="shared" si="18"/>
        <v>0</v>
      </c>
      <c r="AS53" s="2">
        <f t="shared" si="19"/>
        <v>0</v>
      </c>
      <c r="AT53" s="2">
        <f>IFERROR(INDEX(Player_Model!$BC$2:$BC$596,MATCH($A53,Player_Model!$A$2:$A$596,0)),0)</f>
        <v>0</v>
      </c>
      <c r="AU53" s="2">
        <f>Table8[[#This Row],[Model Expected Points]]*Table8[[#This Row],[Fixture Adjustment]]</f>
        <v>0</v>
      </c>
      <c r="AV53" s="2">
        <f>Table8[[#This Row],[Fixture Adjusted Points / 90]]/Table8[[#This Row],[Price]]</f>
        <v>0</v>
      </c>
      <c r="AW53">
        <f t="shared" si="20"/>
        <v>0.05</v>
      </c>
      <c r="AX53">
        <f t="shared" si="21"/>
        <v>0</v>
      </c>
      <c r="AY53" s="2">
        <f t="shared" si="22"/>
        <v>0</v>
      </c>
      <c r="AZ53" s="5">
        <f t="shared" si="23"/>
        <v>0.8</v>
      </c>
      <c r="BA53">
        <f>Table8[[#This Row],[Model Score2]]</f>
        <v>0</v>
      </c>
      <c r="BB53">
        <f>IFERROR(INDEX(Player_Model!$BG$2:$BG$596,MATCH($A53,Player_Model!$A$2:$A$596,0)),"")</f>
        <v>28</v>
      </c>
      <c r="BC53" t="str">
        <f t="shared" si="24"/>
        <v>AVOID</v>
      </c>
      <c r="BD53">
        <f>IF(H53=1,Table8[[#This Row],[Model Score]],-10000)</f>
        <v>-10000</v>
      </c>
      <c r="BE53">
        <f>IFERROR(INDEX(Player_Model!$BF$2:$BF$596,MATCH($A53,Player_Model!$A$2:$A$596,0)),"")</f>
        <v>253</v>
      </c>
      <c r="BF53">
        <f>IFERROR(INDEX(Player_Model!$BG$2:$BG$596,MATCH($A53,Player_Model!$A$2:$A$596,0)),"")</f>
        <v>28</v>
      </c>
      <c r="BG53">
        <f>IFERROR(INDEX(Player_Model!$BE$2:$BE$596,MATCH($A53,Player_Model!$A$2:$A$596,0)),0)</f>
        <v>0</v>
      </c>
    </row>
    <row r="54" spans="1:59" x14ac:dyDescent="0.25">
      <c r="A54" t="str">
        <f>tblPlayers[first_name]&amp;" "&amp;tblPlayers[second_name]</f>
        <v>Tammy Abraham</v>
      </c>
      <c r="B54" t="str">
        <f>_xlfn.SWITCH(tblPlayers[element_type],1,"GK",2,"DEF",3,"MID",4,"FWD")</f>
        <v>FWD</v>
      </c>
      <c r="C54">
        <f>tblPlayers[team]</f>
        <v>2</v>
      </c>
      <c r="D54" t="str">
        <f>INDEX(tblTeams[Column1.short_name],MATCH(C54,tblTeams[Column1.id],0))</f>
        <v>AVL</v>
      </c>
      <c r="E54" s="4">
        <f>INDEX(FPL_Raw_Data!$F:$F,MATCH(A54,FPL_Raw_Data!$AA:$AA,0))/10</f>
        <v>5.5</v>
      </c>
      <c r="F54" s="4" t="str">
        <f>tblPlayers[[#This Row],[status]]</f>
        <v>a</v>
      </c>
      <c r="G54" s="4" t="b">
        <f>tblPlayers[[#This Row],[can_select]]</f>
        <v>1</v>
      </c>
      <c r="H54">
        <f>IF(AND(Table8[[#This Row],[Availability Status]]="a",Table8[[#This Row],[Can Select]]=TRUE),1,0)</f>
        <v>1</v>
      </c>
      <c r="I54">
        <f>tblPlayers[minutes]</f>
        <v>24</v>
      </c>
      <c r="J54" s="2">
        <f>Table8[[#This Row],[Minutes]]/90</f>
        <v>0.26666666666666666</v>
      </c>
      <c r="K54" s="5">
        <f>IFERROR(Z54/(FIXTURE_ANALYSIS!$B$1-1),0)</f>
        <v>0</v>
      </c>
      <c r="L54">
        <f>tblPlayers[total_points]</f>
        <v>2</v>
      </c>
      <c r="M54">
        <f>tblPlayers[points_per_game]</f>
        <v>1</v>
      </c>
      <c r="N54">
        <f>tblPlayers[form]</f>
        <v>0.7</v>
      </c>
      <c r="O54">
        <f>tblPlayers[expected_goals]</f>
        <v>0</v>
      </c>
      <c r="P54">
        <f>tblPlayers[expected_assists]</f>
        <v>0</v>
      </c>
      <c r="Q54">
        <f>tblPlayers[expected_goal_involvements]</f>
        <v>0</v>
      </c>
      <c r="R54" s="2">
        <f t="shared" si="0"/>
        <v>7.5</v>
      </c>
      <c r="S54" s="5">
        <f t="shared" si="1"/>
        <v>0</v>
      </c>
      <c r="T54" s="5">
        <f t="shared" si="2"/>
        <v>0</v>
      </c>
      <c r="U54" s="5">
        <f t="shared" si="3"/>
        <v>0</v>
      </c>
      <c r="V54" s="3">
        <f t="shared" si="4"/>
        <v>0.36363636363636365</v>
      </c>
      <c r="W54" s="5">
        <f t="shared" si="5"/>
        <v>0</v>
      </c>
      <c r="X54" s="5">
        <f>IFERROR(IF(OR($B54="MID",$B54="FWD"),INDEX(FIXTURE_ANALYSIS!$Q:$Q,MATCH($D54,FIXTURE_ANALYSIS!$A:$A,0)),INDEX(FIXTURE_ANALYSIS!$R:$R,MATCH($D54,FIXTURE_ANALYSIS!$A:$A,0))),1)</f>
        <v>0.8</v>
      </c>
      <c r="Y54" s="5">
        <f t="shared" si="6"/>
        <v>0.8</v>
      </c>
      <c r="Z54" s="8">
        <f>INDEX(FPL_Raw_Data!$T:$T,MATCH(A54,FPL_Raw_Data!$AA:$AA,0))</f>
        <v>0</v>
      </c>
      <c r="AA54" s="8">
        <f>INDEX(FPL_Raw_Data!$S:$S,MATCH(A54,FPL_Raw_Data!$AA:$AA,0))</f>
        <v>1</v>
      </c>
      <c r="AB54" s="2">
        <f t="shared" si="7"/>
        <v>8.3333333333333329E-2</v>
      </c>
      <c r="AC54" s="2">
        <f>INDEX(FPL_Raw_Data!$Q:$Q,MATCH(A54,FPL_Raw_Data!$AA:$AA,0))</f>
        <v>0</v>
      </c>
      <c r="AD54" s="8">
        <f>INDEX(FPL_Raw_Data!$R:$R,MATCH(A54,FPL_Raw_Data!$AA:$AA,0))</f>
        <v>6</v>
      </c>
      <c r="AE54" s="8">
        <f>INDEX(FPL_Raw_Data!$N:$N,MATCH(A54,FPL_Raw_Data!$AA:$AA,0))</f>
        <v>0</v>
      </c>
      <c r="AF54" s="8">
        <f>INDEX(FPL_Raw_Data!$L:$L,MATCH(A54,FPL_Raw_Data!$AA:$AA,0))</f>
        <v>0</v>
      </c>
      <c r="AG54" s="2">
        <f>INDEX(FPL_Raw_Data!$M:$M,MATCH(A54,FPL_Raw_Data!$AA:$AA,0))</f>
        <v>0</v>
      </c>
      <c r="AH54" s="2">
        <f t="shared" si="8"/>
        <v>0</v>
      </c>
      <c r="AI54" s="2">
        <f t="shared" si="9"/>
        <v>0</v>
      </c>
      <c r="AJ54" s="2">
        <f t="shared" si="10"/>
        <v>0</v>
      </c>
      <c r="AK54" s="2">
        <f t="shared" si="11"/>
        <v>0.16666666666666666</v>
      </c>
      <c r="AL54" s="2">
        <f t="shared" si="12"/>
        <v>0</v>
      </c>
      <c r="AM54" s="2">
        <f t="shared" si="13"/>
        <v>0</v>
      </c>
      <c r="AN54" s="2">
        <f t="shared" si="14"/>
        <v>0</v>
      </c>
      <c r="AO54" s="3">
        <f t="shared" si="15"/>
        <v>87.3</v>
      </c>
      <c r="AP54">
        <f t="shared" si="16"/>
        <v>0</v>
      </c>
      <c r="AQ54">
        <f t="shared" si="17"/>
        <v>51.5</v>
      </c>
      <c r="AR54">
        <f t="shared" si="18"/>
        <v>0</v>
      </c>
      <c r="AS54" s="2">
        <f t="shared" si="19"/>
        <v>0</v>
      </c>
      <c r="AT54" s="2">
        <f>IFERROR(INDEX(Player_Model!$BC$2:$BC$596,MATCH($A54,Player_Model!$A$2:$A$596,0)),0)</f>
        <v>0</v>
      </c>
      <c r="AU54" s="2">
        <f>Table8[[#This Row],[Model Expected Points]]*Table8[[#This Row],[Fixture Adjustment]]</f>
        <v>0</v>
      </c>
      <c r="AV54" s="2">
        <f>Table8[[#This Row],[Fixture Adjusted Points / 90]]/Table8[[#This Row],[Price]]</f>
        <v>0</v>
      </c>
      <c r="AW54">
        <f t="shared" si="20"/>
        <v>43.65</v>
      </c>
      <c r="AX54">
        <f t="shared" si="21"/>
        <v>0</v>
      </c>
      <c r="AY54" s="2">
        <f t="shared" si="22"/>
        <v>0</v>
      </c>
      <c r="AZ54" s="5">
        <f t="shared" si="23"/>
        <v>0.8</v>
      </c>
      <c r="BA54">
        <f>Table8[[#This Row],[Model Score2]]</f>
        <v>0</v>
      </c>
      <c r="BB54">
        <f>IFERROR(INDEX(Player_Model!$BG$2:$BG$596,MATCH($A54,Player_Model!$A$2:$A$596,0)),"")</f>
        <v>29</v>
      </c>
      <c r="BC54" t="str">
        <f t="shared" si="24"/>
        <v>AVOID</v>
      </c>
      <c r="BD54">
        <f>IF(H54=1,Table8[[#This Row],[Model Score]],-10000)</f>
        <v>0</v>
      </c>
      <c r="BE54">
        <f>IFERROR(INDEX(Player_Model!$BF$2:$BF$596,MATCH($A54,Player_Model!$A$2:$A$596,0)),"")</f>
        <v>253</v>
      </c>
      <c r="BF54">
        <f>IFERROR(INDEX(Player_Model!$BG$2:$BG$596,MATCH($A54,Player_Model!$A$2:$A$596,0)),"")</f>
        <v>29</v>
      </c>
      <c r="BG54">
        <f>IFERROR(INDEX(Player_Model!$BE$2:$BE$596,MATCH($A54,Player_Model!$A$2:$A$596,0)),0)</f>
        <v>0</v>
      </c>
    </row>
    <row r="55" spans="1:59" x14ac:dyDescent="0.25">
      <c r="A55" t="str">
        <f>tblPlayers[first_name]&amp;" "&amp;tblPlayers[second_name]</f>
        <v>Alejandro Garnacho Ferreyra</v>
      </c>
      <c r="B55" t="str">
        <f>_xlfn.SWITCH(tblPlayers[element_type],1,"GK",2,"DEF",3,"MID",4,"FWD")</f>
        <v>MID</v>
      </c>
      <c r="C55">
        <f>tblPlayers[team]</f>
        <v>2</v>
      </c>
      <c r="D55" t="str">
        <f>INDEX(tblTeams[Column1.short_name],MATCH(C55,tblTeams[Column1.id],0))</f>
        <v>AVL</v>
      </c>
      <c r="E55" s="4">
        <f>INDEX(FPL_Raw_Data!$F:$F,MATCH(A55,FPL_Raw_Data!$AA:$AA,0))/10</f>
        <v>5.9</v>
      </c>
      <c r="F55" s="4" t="str">
        <f>tblPlayers[[#This Row],[status]]</f>
        <v>a</v>
      </c>
      <c r="G55" s="4" t="b">
        <f>tblPlayers[[#This Row],[can_select]]</f>
        <v>1</v>
      </c>
      <c r="H55">
        <f>IF(AND(Table8[[#This Row],[Availability Status]]="a",Table8[[#This Row],[Can Select]]=TRUE),1,0)</f>
        <v>1</v>
      </c>
      <c r="I55">
        <f>tblPlayers[minutes]</f>
        <v>31</v>
      </c>
      <c r="J55" s="2">
        <f>Table8[[#This Row],[Minutes]]/90</f>
        <v>0.34444444444444444</v>
      </c>
      <c r="K55" s="5">
        <f>IFERROR(Z55/(FIXTURE_ANALYSIS!$B$1-1),0)</f>
        <v>0</v>
      </c>
      <c r="L55">
        <f>tblPlayers[total_points]</f>
        <v>3</v>
      </c>
      <c r="M55">
        <f>tblPlayers[points_per_game]</f>
        <v>1</v>
      </c>
      <c r="N55">
        <f>tblPlayers[form]</f>
        <v>1</v>
      </c>
      <c r="O55">
        <f>tblPlayers[expected_goals]</f>
        <v>0</v>
      </c>
      <c r="P55">
        <f>tblPlayers[expected_assists]</f>
        <v>0</v>
      </c>
      <c r="Q55">
        <f>tblPlayers[expected_goal_involvements]</f>
        <v>0</v>
      </c>
      <c r="R55" s="2">
        <f t="shared" si="0"/>
        <v>8.7096774193548381</v>
      </c>
      <c r="S55" s="5">
        <f t="shared" si="1"/>
        <v>0</v>
      </c>
      <c r="T55" s="5">
        <f t="shared" si="2"/>
        <v>0</v>
      </c>
      <c r="U55" s="5">
        <f t="shared" si="3"/>
        <v>0</v>
      </c>
      <c r="V55" s="3">
        <f t="shared" si="4"/>
        <v>0.50847457627118642</v>
      </c>
      <c r="W55" s="5">
        <f t="shared" si="5"/>
        <v>0</v>
      </c>
      <c r="X55" s="5">
        <f>IFERROR(IF(OR($B55="MID",$B55="FWD"),INDEX(FIXTURE_ANALYSIS!$Q:$Q,MATCH($D55,FIXTURE_ANALYSIS!$A:$A,0)),INDEX(FIXTURE_ANALYSIS!$R:$R,MATCH($D55,FIXTURE_ANALYSIS!$A:$A,0))),1)</f>
        <v>0.8</v>
      </c>
      <c r="Y55" s="5">
        <f t="shared" si="6"/>
        <v>0.8</v>
      </c>
      <c r="Z55" s="8">
        <f>INDEX(FPL_Raw_Data!$T:$T,MATCH(A55,FPL_Raw_Data!$AA:$AA,0))</f>
        <v>0</v>
      </c>
      <c r="AA55" s="8">
        <f>INDEX(FPL_Raw_Data!$S:$S,MATCH(A55,FPL_Raw_Data!$AA:$AA,0))</f>
        <v>2</v>
      </c>
      <c r="AB55" s="2">
        <f t="shared" si="7"/>
        <v>0.16666666666666666</v>
      </c>
      <c r="AC55" s="2">
        <f>INDEX(FPL_Raw_Data!$Q:$Q,MATCH(A55,FPL_Raw_Data!$AA:$AA,0))</f>
        <v>0</v>
      </c>
      <c r="AD55" s="8">
        <f>INDEX(FPL_Raw_Data!$R:$R,MATCH(A55,FPL_Raw_Data!$AA:$AA,0))</f>
        <v>9</v>
      </c>
      <c r="AE55" s="8">
        <f>INDEX(FPL_Raw_Data!$N:$N,MATCH(A55,FPL_Raw_Data!$AA:$AA,0))</f>
        <v>0</v>
      </c>
      <c r="AF55" s="8">
        <f>INDEX(FPL_Raw_Data!$L:$L,MATCH(A55,FPL_Raw_Data!$AA:$AA,0))</f>
        <v>0</v>
      </c>
      <c r="AG55" s="2">
        <f>INDEX(FPL_Raw_Data!$M:$M,MATCH(A55,FPL_Raw_Data!$AA:$AA,0))</f>
        <v>0</v>
      </c>
      <c r="AH55" s="2">
        <f t="shared" si="8"/>
        <v>0</v>
      </c>
      <c r="AI55" s="2">
        <f t="shared" si="9"/>
        <v>0</v>
      </c>
      <c r="AJ55" s="2">
        <f t="shared" si="10"/>
        <v>0</v>
      </c>
      <c r="AK55" s="2">
        <f t="shared" si="11"/>
        <v>0.33333333333333331</v>
      </c>
      <c r="AL55" s="2">
        <f t="shared" si="12"/>
        <v>0</v>
      </c>
      <c r="AM55" s="2">
        <f t="shared" si="13"/>
        <v>0</v>
      </c>
      <c r="AN55" s="2">
        <f t="shared" si="14"/>
        <v>0</v>
      </c>
      <c r="AO55" s="3">
        <f t="shared" si="15"/>
        <v>91.2</v>
      </c>
      <c r="AP55">
        <f t="shared" si="16"/>
        <v>0</v>
      </c>
      <c r="AQ55">
        <f t="shared" si="17"/>
        <v>58.699999999999996</v>
      </c>
      <c r="AR55">
        <f t="shared" si="18"/>
        <v>0</v>
      </c>
      <c r="AS55" s="2">
        <f t="shared" si="19"/>
        <v>0</v>
      </c>
      <c r="AT55" s="2">
        <f>IFERROR(INDEX(Player_Model!$BC$2:$BC$596,MATCH($A55,Player_Model!$A$2:$A$596,0)),0)</f>
        <v>0</v>
      </c>
      <c r="AU55" s="2">
        <f>Table8[[#This Row],[Model Expected Points]]*Table8[[#This Row],[Fixture Adjustment]]</f>
        <v>0</v>
      </c>
      <c r="AV55" s="2">
        <f>Table8[[#This Row],[Fixture Adjusted Points / 90]]/Table8[[#This Row],[Price]]</f>
        <v>0</v>
      </c>
      <c r="AW55">
        <f t="shared" si="20"/>
        <v>45.6</v>
      </c>
      <c r="AX55">
        <f t="shared" si="21"/>
        <v>0.16666666666666666</v>
      </c>
      <c r="AY55" s="2">
        <f t="shared" si="22"/>
        <v>0</v>
      </c>
      <c r="AZ55" s="5">
        <f t="shared" si="23"/>
        <v>0.8</v>
      </c>
      <c r="BA55">
        <f>Table8[[#This Row],[Model Score2]]</f>
        <v>0</v>
      </c>
      <c r="BB55">
        <f>IFERROR(INDEX(Player_Model!$BG$2:$BG$596,MATCH($A55,Player_Model!$A$2:$A$596,0)),"")</f>
        <v>128</v>
      </c>
      <c r="BC55" t="str">
        <f t="shared" si="24"/>
        <v>AVOID</v>
      </c>
      <c r="BD55">
        <f>IF(H55=1,Table8[[#This Row],[Model Score]],-10000)</f>
        <v>0</v>
      </c>
      <c r="BE55">
        <f>IFERROR(INDEX(Player_Model!$BF$2:$BF$596,MATCH($A55,Player_Model!$A$2:$A$596,0)),"")</f>
        <v>253</v>
      </c>
      <c r="BF55">
        <f>IFERROR(INDEX(Player_Model!$BG$2:$BG$596,MATCH($A55,Player_Model!$A$2:$A$596,0)),"")</f>
        <v>128</v>
      </c>
      <c r="BG55">
        <f>IFERROR(INDEX(Player_Model!$BE$2:$BE$596,MATCH($A55,Player_Model!$A$2:$A$596,0)),0)</f>
        <v>0</v>
      </c>
    </row>
    <row r="56" spans="1:59" x14ac:dyDescent="0.25">
      <c r="A56" t="str">
        <f>tblPlayers[first_name]&amp;" "&amp;tblPlayers[second_name]</f>
        <v>Nicolas Jackson</v>
      </c>
      <c r="B56" t="str">
        <f>_xlfn.SWITCH(tblPlayers[element_type],1,"GK",2,"DEF",3,"MID",4,"FWD")</f>
        <v>FWD</v>
      </c>
      <c r="C56">
        <f>tblPlayers[team]</f>
        <v>2</v>
      </c>
      <c r="D56" t="str">
        <f>INDEX(tblTeams[Column1.short_name],MATCH(C56,tblTeams[Column1.id],0))</f>
        <v>AVL</v>
      </c>
      <c r="E56" s="4">
        <f>INDEX(FPL_Raw_Data!$F:$F,MATCH(A56,FPL_Raw_Data!$AA:$AA,0))/10</f>
        <v>6.5</v>
      </c>
      <c r="F56" s="4" t="str">
        <f>tblPlayers[[#This Row],[status]]</f>
        <v>a</v>
      </c>
      <c r="G56" s="4" t="b">
        <f>tblPlayers[[#This Row],[can_select]]</f>
        <v>1</v>
      </c>
      <c r="H56">
        <f>IF(AND(Table8[[#This Row],[Availability Status]]="a",Table8[[#This Row],[Can Select]]=TRUE),1,0)</f>
        <v>1</v>
      </c>
      <c r="I56">
        <f>tblPlayers[minutes]</f>
        <v>154</v>
      </c>
      <c r="J56" s="2">
        <f>Table8[[#This Row],[Minutes]]/90</f>
        <v>1.711111111111111</v>
      </c>
      <c r="K56" s="5">
        <f>IFERROR(Z56/(FIXTURE_ANALYSIS!$B$1-1),0)</f>
        <v>0.66666666666666663</v>
      </c>
      <c r="L56">
        <f>tblPlayers[total_points]</f>
        <v>4</v>
      </c>
      <c r="M56">
        <f>tblPlayers[points_per_game]</f>
        <v>2</v>
      </c>
      <c r="N56">
        <f>tblPlayers[form]</f>
        <v>1.3</v>
      </c>
      <c r="O56">
        <f>tblPlayers[expected_goals]</f>
        <v>0.24</v>
      </c>
      <c r="P56">
        <f>tblPlayers[expected_assists]</f>
        <v>0.54</v>
      </c>
      <c r="Q56">
        <f>tblPlayers[expected_goal_involvements]</f>
        <v>0.78</v>
      </c>
      <c r="R56" s="2">
        <f t="shared" si="0"/>
        <v>2.337662337662338</v>
      </c>
      <c r="S56" s="5">
        <f t="shared" si="1"/>
        <v>0.14025974025974025</v>
      </c>
      <c r="T56" s="5">
        <f t="shared" si="2"/>
        <v>0.31558441558441558</v>
      </c>
      <c r="U56" s="5">
        <f t="shared" si="3"/>
        <v>0.45584415584415583</v>
      </c>
      <c r="V56" s="3">
        <f t="shared" si="4"/>
        <v>0.61538461538461542</v>
      </c>
      <c r="W56" s="5">
        <f t="shared" si="5"/>
        <v>0.12000000000000001</v>
      </c>
      <c r="X56" s="5">
        <f>IFERROR(IF(OR($B56="MID",$B56="FWD"),INDEX(FIXTURE_ANALYSIS!$Q:$Q,MATCH($D56,FIXTURE_ANALYSIS!$A:$A,0)),INDEX(FIXTURE_ANALYSIS!$R:$R,MATCH($D56,FIXTURE_ANALYSIS!$A:$A,0))),1)</f>
        <v>0.8</v>
      </c>
      <c r="Y56" s="5">
        <f t="shared" si="6"/>
        <v>0.8</v>
      </c>
      <c r="Z56" s="8">
        <f>INDEX(FPL_Raw_Data!$T:$T,MATCH(A56,FPL_Raw_Data!$AA:$AA,0))</f>
        <v>2</v>
      </c>
      <c r="AA56" s="8">
        <f>INDEX(FPL_Raw_Data!$S:$S,MATCH(A56,FPL_Raw_Data!$AA:$AA,0))</f>
        <v>5</v>
      </c>
      <c r="AB56" s="2">
        <f t="shared" si="7"/>
        <v>0.41666666666666669</v>
      </c>
      <c r="AC56" s="2">
        <f>INDEX(FPL_Raw_Data!$Q:$Q,MATCH(A56,FPL_Raw_Data!$AA:$AA,0))</f>
        <v>0</v>
      </c>
      <c r="AD56" s="8">
        <f>INDEX(FPL_Raw_Data!$R:$R,MATCH(A56,FPL_Raw_Data!$AA:$AA,0))</f>
        <v>21</v>
      </c>
      <c r="AE56" s="8">
        <f>INDEX(FPL_Raw_Data!$N:$N,MATCH(A56,FPL_Raw_Data!$AA:$AA,0))</f>
        <v>1</v>
      </c>
      <c r="AF56" s="8">
        <f>INDEX(FPL_Raw_Data!$L:$L,MATCH(A56,FPL_Raw_Data!$AA:$AA,0))</f>
        <v>0</v>
      </c>
      <c r="AG56" s="2">
        <f>INDEX(FPL_Raw_Data!$M:$M,MATCH(A56,FPL_Raw_Data!$AA:$AA,0))</f>
        <v>0</v>
      </c>
      <c r="AH56" s="2">
        <f t="shared" si="8"/>
        <v>0.561038961038961</v>
      </c>
      <c r="AI56" s="2">
        <f t="shared" si="9"/>
        <v>0.94675324675324668</v>
      </c>
      <c r="AJ56" s="2">
        <f t="shared" si="10"/>
        <v>1.3333333333333333</v>
      </c>
      <c r="AK56" s="2">
        <f t="shared" si="11"/>
        <v>0.83333333333333337</v>
      </c>
      <c r="AL56" s="2">
        <f t="shared" si="12"/>
        <v>0.5</v>
      </c>
      <c r="AM56" s="2">
        <f t="shared" si="13"/>
        <v>0</v>
      </c>
      <c r="AN56" s="2">
        <f t="shared" si="14"/>
        <v>0</v>
      </c>
      <c r="AO56" s="3">
        <f t="shared" si="15"/>
        <v>51</v>
      </c>
      <c r="AP56">
        <f t="shared" si="16"/>
        <v>90.9</v>
      </c>
      <c r="AQ56">
        <f t="shared" si="17"/>
        <v>61.7</v>
      </c>
      <c r="AR56">
        <f t="shared" si="18"/>
        <v>87.3</v>
      </c>
      <c r="AS56" s="2">
        <f t="shared" si="19"/>
        <v>66.666666666666657</v>
      </c>
      <c r="AT56" s="2">
        <f>IFERROR(INDEX(Player_Model!$BC$2:$BC$596,MATCH($A56,Player_Model!$A$2:$A$596,0)),0)</f>
        <v>3.0610863233406209</v>
      </c>
      <c r="AU56" s="2">
        <f>Table8[[#This Row],[Model Expected Points]]*Table8[[#This Row],[Fixture Adjustment]]</f>
        <v>2.4488690586724968</v>
      </c>
      <c r="AV56" s="2">
        <f>Table8[[#This Row],[Fixture Adjusted Points / 90]]/Table8[[#This Row],[Price]]</f>
        <v>0.37674908594961487</v>
      </c>
      <c r="AW56">
        <f t="shared" si="20"/>
        <v>70.95</v>
      </c>
      <c r="AX56">
        <f t="shared" si="21"/>
        <v>0</v>
      </c>
      <c r="AY56" s="2">
        <f t="shared" si="22"/>
        <v>66.666666666666657</v>
      </c>
      <c r="AZ56" s="5">
        <f t="shared" si="23"/>
        <v>0.8</v>
      </c>
      <c r="BA56">
        <f>Table8[[#This Row],[Model Score2]]</f>
        <v>3.0610863233406209</v>
      </c>
      <c r="BB56">
        <f>IFERROR(INDEX(Player_Model!$BG$2:$BG$596,MATCH($A56,Player_Model!$A$2:$A$596,0)),"")</f>
        <v>21</v>
      </c>
      <c r="BC56" t="str">
        <f t="shared" si="24"/>
        <v>AVOID</v>
      </c>
      <c r="BD56">
        <f>IF(H56=1,Table8[[#This Row],[Model Score]],-10000)</f>
        <v>3.0610863233406209</v>
      </c>
      <c r="BE56">
        <f>IFERROR(INDEX(Player_Model!$BF$2:$BF$596,MATCH($A56,Player_Model!$A$2:$A$596,0)),"")</f>
        <v>201</v>
      </c>
      <c r="BF56">
        <f>IFERROR(INDEX(Player_Model!$BG$2:$BG$596,MATCH($A56,Player_Model!$A$2:$A$596,0)),"")</f>
        <v>21</v>
      </c>
      <c r="BG56">
        <f>IFERROR(INDEX(Player_Model!$BE$2:$BE$596,MATCH($A56,Player_Model!$A$2:$A$596,0)),0)</f>
        <v>3.0610863233406209</v>
      </c>
    </row>
    <row r="57" spans="1:59" x14ac:dyDescent="0.25">
      <c r="A57" t="str">
        <f>tblPlayers[first_name]&amp;" "&amp;tblPlayers[second_name]</f>
        <v>Brian Madjo</v>
      </c>
      <c r="B57" t="str">
        <f>_xlfn.SWITCH(tblPlayers[element_type],1,"GK",2,"DEF",3,"MID",4,"FWD")</f>
        <v>FWD</v>
      </c>
      <c r="C57">
        <f>tblPlayers[team]</f>
        <v>2</v>
      </c>
      <c r="D57" t="str">
        <f>INDEX(tblTeams[Column1.short_name],MATCH(C57,tblTeams[Column1.id],0))</f>
        <v>AVL</v>
      </c>
      <c r="E57" s="4">
        <f>INDEX(FPL_Raw_Data!$F:$F,MATCH(A57,FPL_Raw_Data!$AA:$AA,0))/10</f>
        <v>5.5</v>
      </c>
      <c r="F57" s="4" t="str">
        <f>tblPlayers[[#This Row],[status]]</f>
        <v>i</v>
      </c>
      <c r="G57" s="4" t="b">
        <f>tblPlayers[[#This Row],[can_select]]</f>
        <v>1</v>
      </c>
      <c r="H57">
        <f>IF(AND(Table8[[#This Row],[Availability Status]]="a",Table8[[#This Row],[Can Select]]=TRUE),1,0)</f>
        <v>0</v>
      </c>
      <c r="I57">
        <f>tblPlayers[minutes]</f>
        <v>0</v>
      </c>
      <c r="J57" s="2">
        <f>Table8[[#This Row],[Minutes]]/90</f>
        <v>0</v>
      </c>
      <c r="K57" s="5">
        <f>IFERROR(Z57/(FIXTURE_ANALYSIS!$B$1-1),0)</f>
        <v>0</v>
      </c>
      <c r="L57">
        <f>tblPlayers[total_points]</f>
        <v>0</v>
      </c>
      <c r="M57">
        <f>tblPlayers[points_per_game]</f>
        <v>0</v>
      </c>
      <c r="N57">
        <f>tblPlayers[form]</f>
        <v>0</v>
      </c>
      <c r="O57">
        <f>tblPlayers[expected_goals]</f>
        <v>0</v>
      </c>
      <c r="P57">
        <f>tblPlayers[expected_assists]</f>
        <v>0</v>
      </c>
      <c r="Q57">
        <f>tblPlayers[expected_goal_involvements]</f>
        <v>0</v>
      </c>
      <c r="R57" s="2">
        <f t="shared" si="0"/>
        <v>0</v>
      </c>
      <c r="S57" s="5">
        <f t="shared" si="1"/>
        <v>0</v>
      </c>
      <c r="T57" s="5">
        <f t="shared" si="2"/>
        <v>0</v>
      </c>
      <c r="U57" s="5">
        <f t="shared" si="3"/>
        <v>0</v>
      </c>
      <c r="V57" s="3">
        <f t="shared" si="4"/>
        <v>0</v>
      </c>
      <c r="W57" s="5">
        <f t="shared" si="5"/>
        <v>0</v>
      </c>
      <c r="X57" s="5">
        <f>IFERROR(IF(OR($B57="MID",$B57="FWD"),INDEX(FIXTURE_ANALYSIS!$Q:$Q,MATCH($D57,FIXTURE_ANALYSIS!$A:$A,0)),INDEX(FIXTURE_ANALYSIS!$R:$R,MATCH($D57,FIXTURE_ANALYSIS!$A:$A,0))),1)</f>
        <v>0.8</v>
      </c>
      <c r="Y57" s="5">
        <f t="shared" si="6"/>
        <v>0.8</v>
      </c>
      <c r="Z57" s="8">
        <f>INDEX(FPL_Raw_Data!$T:$T,MATCH(A57,FPL_Raw_Data!$AA:$AA,0))</f>
        <v>0</v>
      </c>
      <c r="AA57" s="8">
        <f>INDEX(FPL_Raw_Data!$S:$S,MATCH(A57,FPL_Raw_Data!$AA:$AA,0))</f>
        <v>0</v>
      </c>
      <c r="AB57" s="2">
        <f t="shared" si="7"/>
        <v>0</v>
      </c>
      <c r="AC57" s="2">
        <f>INDEX(FPL_Raw_Data!$Q:$Q,MATCH(A57,FPL_Raw_Data!$AA:$AA,0))</f>
        <v>0</v>
      </c>
      <c r="AD57" s="8">
        <f>INDEX(FPL_Raw_Data!$R:$R,MATCH(A57,FPL_Raw_Data!$AA:$AA,0))</f>
        <v>0</v>
      </c>
      <c r="AE57" s="8">
        <f>INDEX(FPL_Raw_Data!$N:$N,MATCH(A57,FPL_Raw_Data!$AA:$AA,0))</f>
        <v>0</v>
      </c>
      <c r="AF57" s="8">
        <f>INDEX(FPL_Raw_Data!$L:$L,MATCH(A57,FPL_Raw_Data!$AA:$AA,0))</f>
        <v>0</v>
      </c>
      <c r="AG57" s="2">
        <f>INDEX(FPL_Raw_Data!$M:$M,MATCH(A57,FPL_Raw_Data!$AA:$AA,0))</f>
        <v>0</v>
      </c>
      <c r="AH57" s="2">
        <f t="shared" si="8"/>
        <v>0</v>
      </c>
      <c r="AI57" s="2">
        <f t="shared" si="9"/>
        <v>0</v>
      </c>
      <c r="AJ57" s="2">
        <f t="shared" si="10"/>
        <v>0</v>
      </c>
      <c r="AK57" s="2">
        <f t="shared" si="11"/>
        <v>0</v>
      </c>
      <c r="AL57" s="2">
        <f t="shared" si="12"/>
        <v>0</v>
      </c>
      <c r="AM57" s="2">
        <f t="shared" si="13"/>
        <v>0</v>
      </c>
      <c r="AN57" s="2">
        <f t="shared" si="14"/>
        <v>0</v>
      </c>
      <c r="AO57" s="3">
        <f t="shared" si="15"/>
        <v>0.1</v>
      </c>
      <c r="AP57">
        <f t="shared" si="16"/>
        <v>0</v>
      </c>
      <c r="AQ57">
        <f t="shared" si="17"/>
        <v>0.1</v>
      </c>
      <c r="AR57">
        <f t="shared" si="18"/>
        <v>0</v>
      </c>
      <c r="AS57" s="2">
        <f t="shared" si="19"/>
        <v>0</v>
      </c>
      <c r="AT57" s="2">
        <f>IFERROR(INDEX(Player_Model!$BC$2:$BC$596,MATCH($A57,Player_Model!$A$2:$A$596,0)),0)</f>
        <v>0</v>
      </c>
      <c r="AU57" s="2">
        <f>Table8[[#This Row],[Model Expected Points]]*Table8[[#This Row],[Fixture Adjustment]]</f>
        <v>0</v>
      </c>
      <c r="AV57" s="2">
        <f>Table8[[#This Row],[Fixture Adjusted Points / 90]]/Table8[[#This Row],[Price]]</f>
        <v>0</v>
      </c>
      <c r="AW57">
        <f t="shared" si="20"/>
        <v>0.05</v>
      </c>
      <c r="AX57">
        <f t="shared" si="21"/>
        <v>0</v>
      </c>
      <c r="AY57" s="2">
        <f t="shared" si="22"/>
        <v>0</v>
      </c>
      <c r="AZ57" s="5">
        <f t="shared" si="23"/>
        <v>0.8</v>
      </c>
      <c r="BA57">
        <f>Table8[[#This Row],[Model Score2]]</f>
        <v>0</v>
      </c>
      <c r="BB57">
        <f>IFERROR(INDEX(Player_Model!$BG$2:$BG$596,MATCH($A57,Player_Model!$A$2:$A$596,0)),"")</f>
        <v>30</v>
      </c>
      <c r="BC57" t="str">
        <f t="shared" si="24"/>
        <v>AVOID</v>
      </c>
      <c r="BD57">
        <f>IF(H57=1,Table8[[#This Row],[Model Score]],-10000)</f>
        <v>-10000</v>
      </c>
      <c r="BE57">
        <f>IFERROR(INDEX(Player_Model!$BF$2:$BF$596,MATCH($A57,Player_Model!$A$2:$A$596,0)),"")</f>
        <v>253</v>
      </c>
      <c r="BF57">
        <f>IFERROR(INDEX(Player_Model!$BG$2:$BG$596,MATCH($A57,Player_Model!$A$2:$A$596,0)),"")</f>
        <v>30</v>
      </c>
      <c r="BG57">
        <f>IFERROR(INDEX(Player_Model!$BE$2:$BE$596,MATCH($A57,Player_Model!$A$2:$A$596,0)),0)</f>
        <v>0</v>
      </c>
    </row>
    <row r="58" spans="1:59" x14ac:dyDescent="0.25">
      <c r="A58" t="str">
        <f>tblPlayers[first_name]&amp;" "&amp;tblPlayers[second_name]</f>
        <v>Matteo Ruggeri</v>
      </c>
      <c r="B58" t="str">
        <f>_xlfn.SWITCH(tblPlayers[element_type],1,"GK",2,"DEF",3,"MID",4,"FWD")</f>
        <v>DEF</v>
      </c>
      <c r="C58">
        <f>tblPlayers[team]</f>
        <v>2</v>
      </c>
      <c r="D58" t="str">
        <f>INDEX(tblTeams[Column1.short_name],MATCH(C58,tblTeams[Column1.id],0))</f>
        <v>AVL</v>
      </c>
      <c r="E58" s="4">
        <f>INDEX(FPL_Raw_Data!$F:$F,MATCH(A58,FPL_Raw_Data!$AA:$AA,0))/10</f>
        <v>4.5</v>
      </c>
      <c r="F58" s="4" t="str">
        <f>tblPlayers[[#This Row],[status]]</f>
        <v>a</v>
      </c>
      <c r="G58" s="4" t="b">
        <f>tblPlayers[[#This Row],[can_select]]</f>
        <v>1</v>
      </c>
      <c r="H58">
        <f>IF(AND(Table8[[#This Row],[Availability Status]]="a",Table8[[#This Row],[Can Select]]=TRUE),1,0)</f>
        <v>1</v>
      </c>
      <c r="I58">
        <f>tblPlayers[minutes]</f>
        <v>23</v>
      </c>
      <c r="J58" s="2">
        <f>Table8[[#This Row],[Minutes]]/90</f>
        <v>0.25555555555555554</v>
      </c>
      <c r="K58" s="5">
        <f>IFERROR(Z58/(FIXTURE_ANALYSIS!$B$1-1),0)</f>
        <v>0</v>
      </c>
      <c r="L58">
        <f>tblPlayers[total_points]</f>
        <v>2</v>
      </c>
      <c r="M58">
        <f>tblPlayers[points_per_game]</f>
        <v>1</v>
      </c>
      <c r="N58">
        <f>tblPlayers[form]</f>
        <v>0.7</v>
      </c>
      <c r="O58">
        <f>tblPlayers[expected_goals]</f>
        <v>0</v>
      </c>
      <c r="P58">
        <f>tblPlayers[expected_assists]</f>
        <v>0.01</v>
      </c>
      <c r="Q58">
        <f>tblPlayers[expected_goal_involvements]</f>
        <v>0.01</v>
      </c>
      <c r="R58" s="2">
        <f t="shared" si="0"/>
        <v>7.8260869565217392</v>
      </c>
      <c r="S58" s="5">
        <f t="shared" si="1"/>
        <v>0</v>
      </c>
      <c r="T58" s="5">
        <f t="shared" si="2"/>
        <v>3.9130434782608699E-2</v>
      </c>
      <c r="U58" s="5">
        <f t="shared" si="3"/>
        <v>3.9130434782608699E-2</v>
      </c>
      <c r="V58" s="3">
        <f t="shared" si="4"/>
        <v>0.44444444444444442</v>
      </c>
      <c r="W58" s="5">
        <f t="shared" si="5"/>
        <v>2.2222222222222222E-3</v>
      </c>
      <c r="X58" s="5">
        <f>IFERROR(IF(OR($B58="MID",$B58="FWD"),INDEX(FIXTURE_ANALYSIS!$Q:$Q,MATCH($D58,FIXTURE_ANALYSIS!$A:$A,0)),INDEX(FIXTURE_ANALYSIS!$R:$R,MATCH($D58,FIXTURE_ANALYSIS!$A:$A,0))),1)</f>
        <v>1.0288823959094229</v>
      </c>
      <c r="Y58" s="5">
        <f t="shared" si="6"/>
        <v>1.0288823959094229</v>
      </c>
      <c r="Z58" s="8">
        <f>INDEX(FPL_Raw_Data!$T:$T,MATCH(A58,FPL_Raw_Data!$AA:$AA,0))</f>
        <v>0</v>
      </c>
      <c r="AA58" s="8">
        <f>INDEX(FPL_Raw_Data!$S:$S,MATCH(A58,FPL_Raw_Data!$AA:$AA,0))</f>
        <v>3</v>
      </c>
      <c r="AB58" s="2">
        <f t="shared" si="7"/>
        <v>0.3</v>
      </c>
      <c r="AC58" s="2">
        <f>INDEX(FPL_Raw_Data!$Q:$Q,MATCH(A58,FPL_Raw_Data!$AA:$AA,0))</f>
        <v>0</v>
      </c>
      <c r="AD58" s="8">
        <f>INDEX(FPL_Raw_Data!$R:$R,MATCH(A58,FPL_Raw_Data!$AA:$AA,0))</f>
        <v>6</v>
      </c>
      <c r="AE58" s="8">
        <f>INDEX(FPL_Raw_Data!$N:$N,MATCH(A58,FPL_Raw_Data!$AA:$AA,0))</f>
        <v>0</v>
      </c>
      <c r="AF58" s="8">
        <f>INDEX(FPL_Raw_Data!$L:$L,MATCH(A58,FPL_Raw_Data!$AA:$AA,0))</f>
        <v>0</v>
      </c>
      <c r="AG58" s="2">
        <f>INDEX(FPL_Raw_Data!$M:$M,MATCH(A58,FPL_Raw_Data!$AA:$AA,0))</f>
        <v>0</v>
      </c>
      <c r="AH58" s="2">
        <f t="shared" si="8"/>
        <v>0</v>
      </c>
      <c r="AI58" s="2">
        <f t="shared" si="9"/>
        <v>0.1173913043478261</v>
      </c>
      <c r="AJ58" s="2">
        <f t="shared" si="10"/>
        <v>0</v>
      </c>
      <c r="AK58" s="2">
        <f t="shared" si="11"/>
        <v>0.6</v>
      </c>
      <c r="AL58" s="2">
        <f t="shared" si="12"/>
        <v>0</v>
      </c>
      <c r="AM58" s="2">
        <f t="shared" si="13"/>
        <v>0</v>
      </c>
      <c r="AN58" s="2">
        <f t="shared" si="14"/>
        <v>0</v>
      </c>
      <c r="AO58" s="3">
        <f t="shared" si="15"/>
        <v>88.7</v>
      </c>
      <c r="AP58">
        <f t="shared" si="16"/>
        <v>59</v>
      </c>
      <c r="AQ58">
        <f t="shared" si="17"/>
        <v>56.000000000000007</v>
      </c>
      <c r="AR58">
        <f t="shared" si="18"/>
        <v>52.800000000000004</v>
      </c>
      <c r="AS58" s="2">
        <f t="shared" si="19"/>
        <v>0</v>
      </c>
      <c r="AT58" s="2">
        <f>IFERROR(INDEX(Player_Model!$BC$2:$BC$596,MATCH($A58,Player_Model!$A$2:$A$596,0)),0)</f>
        <v>-0.85740199659118577</v>
      </c>
      <c r="AU58" s="2">
        <f>Table8[[#This Row],[Model Expected Points]]*Table8[[#This Row],[Fixture Adjustment]]</f>
        <v>-0.88216582051026204</v>
      </c>
      <c r="AV58" s="2">
        <f>Table8[[#This Row],[Fixture Adjusted Points / 90]]/Table8[[#This Row],[Price]]</f>
        <v>-0.19603684900228047</v>
      </c>
      <c r="AW58">
        <f t="shared" si="20"/>
        <v>59</v>
      </c>
      <c r="AX58">
        <f t="shared" si="21"/>
        <v>0.66444119795471146</v>
      </c>
      <c r="AY58" s="2">
        <f t="shared" si="22"/>
        <v>0</v>
      </c>
      <c r="AZ58" s="5">
        <f t="shared" si="23"/>
        <v>1.0288823959094229</v>
      </c>
      <c r="BA58">
        <f>Table8[[#This Row],[Model Score2]]</f>
        <v>-0.85740199659118577</v>
      </c>
      <c r="BB58">
        <f>IFERROR(INDEX(Player_Model!$BG$2:$BG$596,MATCH($A58,Player_Model!$A$2:$A$596,0)),"")</f>
        <v>166</v>
      </c>
      <c r="BC58" t="str">
        <f t="shared" si="24"/>
        <v>AVOID</v>
      </c>
      <c r="BD58">
        <f>IF(H58=1,Table8[[#This Row],[Model Score]],-10000)</f>
        <v>-0.85740199659118577</v>
      </c>
      <c r="BE58">
        <f>IFERROR(INDEX(Player_Model!$BF$2:$BF$596,MATCH($A58,Player_Model!$A$2:$A$596,0)),"")</f>
        <v>566</v>
      </c>
      <c r="BF58">
        <f>IFERROR(INDEX(Player_Model!$BG$2:$BG$596,MATCH($A58,Player_Model!$A$2:$A$596,0)),"")</f>
        <v>166</v>
      </c>
      <c r="BG58">
        <f>IFERROR(INDEX(Player_Model!$BE$2:$BE$596,MATCH($A58,Player_Model!$A$2:$A$596,0)),0)</f>
        <v>-0.85740199659118577</v>
      </c>
    </row>
    <row r="59" spans="1:59" x14ac:dyDescent="0.25">
      <c r="A59" t="str">
        <f>tblPlayers[first_name]&amp;" "&amp;tblPlayers[second_name]</f>
        <v>Zion Suzuki</v>
      </c>
      <c r="B59" t="str">
        <f>_xlfn.SWITCH(tblPlayers[element_type],1,"GK",2,"DEF",3,"MID",4,"FWD")</f>
        <v>GK</v>
      </c>
      <c r="C59">
        <f>tblPlayers[team]</f>
        <v>2</v>
      </c>
      <c r="D59" t="str">
        <f>INDEX(tblTeams[Column1.short_name],MATCH(C59,tblTeams[Column1.id],0))</f>
        <v>AVL</v>
      </c>
      <c r="E59" s="4">
        <f>INDEX(FPL_Raw_Data!$F:$F,MATCH(A59,FPL_Raw_Data!$AA:$AA,0))/10</f>
        <v>5</v>
      </c>
      <c r="F59" s="4" t="str">
        <f>tblPlayers[[#This Row],[status]]</f>
        <v>a</v>
      </c>
      <c r="G59" s="4" t="b">
        <f>tblPlayers[[#This Row],[can_select]]</f>
        <v>1</v>
      </c>
      <c r="H59">
        <f>IF(AND(Table8[[#This Row],[Availability Status]]="a",Table8[[#This Row],[Can Select]]=TRUE),1,0)</f>
        <v>1</v>
      </c>
      <c r="I59">
        <f>tblPlayers[minutes]</f>
        <v>180</v>
      </c>
      <c r="J59" s="2">
        <f>Table8[[#This Row],[Minutes]]/90</f>
        <v>2</v>
      </c>
      <c r="K59" s="5">
        <f>IFERROR(Z59/(FIXTURE_ANALYSIS!$B$1-1),0)</f>
        <v>0.66666666666666663</v>
      </c>
      <c r="L59">
        <f>tblPlayers[total_points]</f>
        <v>12</v>
      </c>
      <c r="M59">
        <f>tblPlayers[points_per_game]</f>
        <v>6</v>
      </c>
      <c r="N59">
        <f>tblPlayers[form]</f>
        <v>4</v>
      </c>
      <c r="O59">
        <f>tblPlayers[expected_goals]</f>
        <v>0</v>
      </c>
      <c r="P59">
        <f>tblPlayers[expected_assists]</f>
        <v>0</v>
      </c>
      <c r="Q59">
        <f>tblPlayers[expected_goal_involvements]</f>
        <v>0</v>
      </c>
      <c r="R59" s="2">
        <f t="shared" si="0"/>
        <v>6</v>
      </c>
      <c r="S59" s="5">
        <f t="shared" si="1"/>
        <v>0</v>
      </c>
      <c r="T59" s="5">
        <f t="shared" si="2"/>
        <v>0</v>
      </c>
      <c r="U59" s="5">
        <f t="shared" si="3"/>
        <v>0</v>
      </c>
      <c r="V59" s="3">
        <f t="shared" si="4"/>
        <v>2.4</v>
      </c>
      <c r="W59" s="5">
        <f t="shared" si="5"/>
        <v>0</v>
      </c>
      <c r="X59" s="5">
        <f>IFERROR(IF(OR($B59="MID",$B59="FWD"),INDEX(FIXTURE_ANALYSIS!$Q:$Q,MATCH($D59,FIXTURE_ANALYSIS!$A:$A,0)),INDEX(FIXTURE_ANALYSIS!$R:$R,MATCH($D59,FIXTURE_ANALYSIS!$A:$A,0))),1)</f>
        <v>1.0288823959094229</v>
      </c>
      <c r="Y59" s="5">
        <f t="shared" si="6"/>
        <v>1.0288823959094229</v>
      </c>
      <c r="Z59" s="8">
        <f>INDEX(FPL_Raw_Data!$T:$T,MATCH(A59,FPL_Raw_Data!$AA:$AA,0))</f>
        <v>2</v>
      </c>
      <c r="AA59" s="8">
        <f>INDEX(FPL_Raw_Data!$S:$S,MATCH(A59,FPL_Raw_Data!$AA:$AA,0))</f>
        <v>0</v>
      </c>
      <c r="AB59" s="2">
        <f t="shared" si="7"/>
        <v>0</v>
      </c>
      <c r="AC59" s="2">
        <f>INDEX(FPL_Raw_Data!$Q:$Q,MATCH(A59,FPL_Raw_Data!$AA:$AA,0))</f>
        <v>3</v>
      </c>
      <c r="AD59" s="8">
        <f>INDEX(FPL_Raw_Data!$R:$R,MATCH(A59,FPL_Raw_Data!$AA:$AA,0))</f>
        <v>46</v>
      </c>
      <c r="AE59" s="8">
        <f>INDEX(FPL_Raw_Data!$N:$N,MATCH(A59,FPL_Raw_Data!$AA:$AA,0))</f>
        <v>1</v>
      </c>
      <c r="AF59" s="8">
        <f>INDEX(FPL_Raw_Data!$L:$L,MATCH(A59,FPL_Raw_Data!$AA:$AA,0))</f>
        <v>0</v>
      </c>
      <c r="AG59" s="2">
        <f>INDEX(FPL_Raw_Data!$M:$M,MATCH(A59,FPL_Raw_Data!$AA:$AA,0))</f>
        <v>0</v>
      </c>
      <c r="AH59" s="2">
        <f t="shared" si="8"/>
        <v>0</v>
      </c>
      <c r="AI59" s="2">
        <f t="shared" si="9"/>
        <v>0</v>
      </c>
      <c r="AJ59" s="2">
        <f t="shared" si="10"/>
        <v>1.3333333333333333</v>
      </c>
      <c r="AK59" s="2">
        <f t="shared" si="11"/>
        <v>0</v>
      </c>
      <c r="AL59" s="2">
        <f t="shared" si="12"/>
        <v>0.5</v>
      </c>
      <c r="AM59" s="2">
        <f t="shared" si="13"/>
        <v>2</v>
      </c>
      <c r="AN59" s="2">
        <f t="shared" si="14"/>
        <v>1.5</v>
      </c>
      <c r="AO59" s="3">
        <f t="shared" si="15"/>
        <v>81.3</v>
      </c>
      <c r="AP59">
        <f t="shared" si="16"/>
        <v>0</v>
      </c>
      <c r="AQ59">
        <f t="shared" si="17"/>
        <v>90.9</v>
      </c>
      <c r="AR59">
        <f t="shared" si="18"/>
        <v>0</v>
      </c>
      <c r="AS59" s="2">
        <f t="shared" si="19"/>
        <v>66.666666666666657</v>
      </c>
      <c r="AT59" s="2">
        <f>IFERROR(INDEX(Player_Model!$BC$2:$BC$596,MATCH($A59,Player_Model!$A$2:$A$596,0)),0)</f>
        <v>4.9729315802288765</v>
      </c>
      <c r="AU59" s="2">
        <f>Table8[[#This Row],[Model Expected Points]]*Table8[[#This Row],[Fixture Adjustment]]</f>
        <v>5.1165617589595191</v>
      </c>
      <c r="AV59" s="2">
        <f>Table8[[#This Row],[Fixture Adjusted Points / 90]]/Table8[[#This Row],[Price]]</f>
        <v>1.0233123517919038</v>
      </c>
      <c r="AW59">
        <f t="shared" si="20"/>
        <v>0</v>
      </c>
      <c r="AX59">
        <f t="shared" si="21"/>
        <v>33.847774531288039</v>
      </c>
      <c r="AY59" s="2">
        <f t="shared" si="22"/>
        <v>66.666666666666657</v>
      </c>
      <c r="AZ59" s="5">
        <f t="shared" si="23"/>
        <v>1.0288823959094229</v>
      </c>
      <c r="BA59">
        <f>Table8[[#This Row],[Model Score2]]</f>
        <v>4.9729315802288765</v>
      </c>
      <c r="BB59">
        <f>IFERROR(INDEX(Player_Model!$BG$2:$BG$596,MATCH($A59,Player_Model!$A$2:$A$596,0)),"")</f>
        <v>5</v>
      </c>
      <c r="BC59" t="str">
        <f t="shared" si="24"/>
        <v>STRONG PICK</v>
      </c>
      <c r="BD59">
        <f>IF(H59=1,Table8[[#This Row],[Model Score]],-10000)</f>
        <v>4.9729315802288765</v>
      </c>
      <c r="BE59">
        <f>IFERROR(INDEX(Player_Model!$BF$2:$BF$596,MATCH($A59,Player_Model!$A$2:$A$596,0)),"")</f>
        <v>96</v>
      </c>
      <c r="BF59">
        <f>IFERROR(INDEX(Player_Model!$BG$2:$BG$596,MATCH($A59,Player_Model!$A$2:$A$596,0)),"")</f>
        <v>5</v>
      </c>
      <c r="BG59">
        <f>IFERROR(INDEX(Player_Model!$BE$2:$BE$596,MATCH($A59,Player_Model!$A$2:$A$596,0)),0)</f>
        <v>4.9729315802288765</v>
      </c>
    </row>
    <row r="60" spans="1:59" x14ac:dyDescent="0.25">
      <c r="A60" t="str">
        <f>tblPlayers[first_name]&amp;" "&amp;tblPlayers[second_name]</f>
        <v>Triston Rowe</v>
      </c>
      <c r="B60" t="str">
        <f>_xlfn.SWITCH(tblPlayers[element_type],1,"GK",2,"DEF",3,"MID",4,"FWD")</f>
        <v>DEF</v>
      </c>
      <c r="C60">
        <f>tblPlayers[team]</f>
        <v>2</v>
      </c>
      <c r="D60" t="str">
        <f>INDEX(tblTeams[Column1.short_name],MATCH(C60,tblTeams[Column1.id],0))</f>
        <v>AVL</v>
      </c>
      <c r="E60" s="4">
        <f>INDEX(FPL_Raw_Data!$F:$F,MATCH(A60,FPL_Raw_Data!$AA:$AA,0))/10</f>
        <v>4</v>
      </c>
      <c r="F60" s="4" t="str">
        <f>tblPlayers[[#This Row],[status]]</f>
        <v>a</v>
      </c>
      <c r="G60" s="4" t="b">
        <f>tblPlayers[[#This Row],[can_select]]</f>
        <v>1</v>
      </c>
      <c r="H60">
        <f>IF(AND(Table8[[#This Row],[Availability Status]]="a",Table8[[#This Row],[Can Select]]=TRUE),1,0)</f>
        <v>1</v>
      </c>
      <c r="I60">
        <f>tblPlayers[minutes]</f>
        <v>0</v>
      </c>
      <c r="J60" s="2">
        <f>Table8[[#This Row],[Minutes]]/90</f>
        <v>0</v>
      </c>
      <c r="K60" s="5">
        <f>IFERROR(Z60/(FIXTURE_ANALYSIS!$B$1-1),0)</f>
        <v>0</v>
      </c>
      <c r="L60">
        <f>tblPlayers[total_points]</f>
        <v>0</v>
      </c>
      <c r="M60">
        <f>tblPlayers[points_per_game]</f>
        <v>0</v>
      </c>
      <c r="N60">
        <f>tblPlayers[form]</f>
        <v>0</v>
      </c>
      <c r="O60">
        <f>tblPlayers[expected_goals]</f>
        <v>0</v>
      </c>
      <c r="P60">
        <f>tblPlayers[expected_assists]</f>
        <v>0</v>
      </c>
      <c r="Q60">
        <f>tblPlayers[expected_goal_involvements]</f>
        <v>0</v>
      </c>
      <c r="R60" s="2">
        <f t="shared" si="0"/>
        <v>0</v>
      </c>
      <c r="S60" s="5">
        <f t="shared" si="1"/>
        <v>0</v>
      </c>
      <c r="T60" s="5">
        <f t="shared" si="2"/>
        <v>0</v>
      </c>
      <c r="U60" s="5">
        <f t="shared" si="3"/>
        <v>0</v>
      </c>
      <c r="V60" s="3">
        <f t="shared" si="4"/>
        <v>0</v>
      </c>
      <c r="W60" s="5">
        <f t="shared" si="5"/>
        <v>0</v>
      </c>
      <c r="X60" s="5">
        <f>IFERROR(IF(OR($B60="MID",$B60="FWD"),INDEX(FIXTURE_ANALYSIS!$Q:$Q,MATCH($D60,FIXTURE_ANALYSIS!$A:$A,0)),INDEX(FIXTURE_ANALYSIS!$R:$R,MATCH($D60,FIXTURE_ANALYSIS!$A:$A,0))),1)</f>
        <v>1.0288823959094229</v>
      </c>
      <c r="Y60" s="5">
        <f t="shared" si="6"/>
        <v>1.0288823959094229</v>
      </c>
      <c r="Z60" s="8">
        <f>INDEX(FPL_Raw_Data!$T:$T,MATCH(A60,FPL_Raw_Data!$AA:$AA,0))</f>
        <v>0</v>
      </c>
      <c r="AA60" s="8">
        <f>INDEX(FPL_Raw_Data!$S:$S,MATCH(A60,FPL_Raw_Data!$AA:$AA,0))</f>
        <v>0</v>
      </c>
      <c r="AB60" s="2">
        <f t="shared" si="7"/>
        <v>0</v>
      </c>
      <c r="AC60" s="2">
        <f>INDEX(FPL_Raw_Data!$Q:$Q,MATCH(A60,FPL_Raw_Data!$AA:$AA,0))</f>
        <v>0</v>
      </c>
      <c r="AD60" s="8">
        <f>INDEX(FPL_Raw_Data!$R:$R,MATCH(A60,FPL_Raw_Data!$AA:$AA,0))</f>
        <v>0</v>
      </c>
      <c r="AE60" s="8">
        <f>INDEX(FPL_Raw_Data!$N:$N,MATCH(A60,FPL_Raw_Data!$AA:$AA,0))</f>
        <v>0</v>
      </c>
      <c r="AF60" s="8">
        <f>INDEX(FPL_Raw_Data!$L:$L,MATCH(A60,FPL_Raw_Data!$AA:$AA,0))</f>
        <v>0</v>
      </c>
      <c r="AG60" s="2">
        <f>INDEX(FPL_Raw_Data!$M:$M,MATCH(A60,FPL_Raw_Data!$AA:$AA,0))</f>
        <v>0</v>
      </c>
      <c r="AH60" s="2">
        <f t="shared" si="8"/>
        <v>0</v>
      </c>
      <c r="AI60" s="2">
        <f t="shared" si="9"/>
        <v>0</v>
      </c>
      <c r="AJ60" s="2">
        <f t="shared" si="10"/>
        <v>0</v>
      </c>
      <c r="AK60" s="2">
        <f t="shared" si="11"/>
        <v>0</v>
      </c>
      <c r="AL60" s="2">
        <f t="shared" si="12"/>
        <v>0</v>
      </c>
      <c r="AM60" s="2">
        <f t="shared" si="13"/>
        <v>0</v>
      </c>
      <c r="AN60" s="2">
        <f t="shared" si="14"/>
        <v>0</v>
      </c>
      <c r="AO60" s="3">
        <f t="shared" si="15"/>
        <v>0.1</v>
      </c>
      <c r="AP60">
        <f t="shared" si="16"/>
        <v>0</v>
      </c>
      <c r="AQ60">
        <f t="shared" si="17"/>
        <v>0.1</v>
      </c>
      <c r="AR60">
        <f t="shared" si="18"/>
        <v>0</v>
      </c>
      <c r="AS60" s="2">
        <f t="shared" si="19"/>
        <v>0</v>
      </c>
      <c r="AT60" s="2">
        <f>IFERROR(INDEX(Player_Model!$BC$2:$BC$596,MATCH($A60,Player_Model!$A$2:$A$596,0)),0)</f>
        <v>-0.85740199659118577</v>
      </c>
      <c r="AU60" s="2">
        <f>Table8[[#This Row],[Model Expected Points]]*Table8[[#This Row],[Fixture Adjustment]]</f>
        <v>-0.88216582051026204</v>
      </c>
      <c r="AV60" s="2">
        <f>Table8[[#This Row],[Fixture Adjusted Points / 90]]/Table8[[#This Row],[Price]]</f>
        <v>-0.22054145512756551</v>
      </c>
      <c r="AW60">
        <f t="shared" si="20"/>
        <v>0</v>
      </c>
      <c r="AX60">
        <f t="shared" si="21"/>
        <v>0.51444119795471144</v>
      </c>
      <c r="AY60" s="2">
        <f t="shared" si="22"/>
        <v>0</v>
      </c>
      <c r="AZ60" s="5">
        <f t="shared" si="23"/>
        <v>1.0288823959094229</v>
      </c>
      <c r="BA60">
        <f>Table8[[#This Row],[Model Score2]]</f>
        <v>-0.85740199659118577</v>
      </c>
      <c r="BB60">
        <f>IFERROR(INDEX(Player_Model!$BG$2:$BG$596,MATCH($A60,Player_Model!$A$2:$A$596,0)),"")</f>
        <v>167</v>
      </c>
      <c r="BC60" t="str">
        <f t="shared" si="24"/>
        <v>AVOID</v>
      </c>
      <c r="BD60">
        <f>IF(H60=1,Table8[[#This Row],[Model Score]],-10000)</f>
        <v>-0.85740199659118577</v>
      </c>
      <c r="BE60">
        <f>IFERROR(INDEX(Player_Model!$BF$2:$BF$596,MATCH($A60,Player_Model!$A$2:$A$596,0)),"")</f>
        <v>566</v>
      </c>
      <c r="BF60">
        <f>IFERROR(INDEX(Player_Model!$BG$2:$BG$596,MATCH($A60,Player_Model!$A$2:$A$596,0)),"")</f>
        <v>167</v>
      </c>
      <c r="BG60">
        <f>IFERROR(INDEX(Player_Model!$BE$2:$BE$596,MATCH($A60,Player_Model!$A$2:$A$596,0)),0)</f>
        <v>-0.85740199659118577</v>
      </c>
    </row>
    <row r="61" spans="1:59" x14ac:dyDescent="0.25">
      <c r="A61" t="str">
        <f>tblPlayers[first_name]&amp;" "&amp;tblPlayers[second_name]</f>
        <v>Luka Lynch</v>
      </c>
      <c r="B61" t="str">
        <f>_xlfn.SWITCH(tblPlayers[element_type],1,"GK",2,"DEF",3,"MID",4,"FWD")</f>
        <v>MID</v>
      </c>
      <c r="C61">
        <f>tblPlayers[team]</f>
        <v>2</v>
      </c>
      <c r="D61" t="str">
        <f>INDEX(tblTeams[Column1.short_name],MATCH(C61,tblTeams[Column1.id],0))</f>
        <v>AVL</v>
      </c>
      <c r="E61" s="4">
        <f>INDEX(FPL_Raw_Data!$F:$F,MATCH(A61,FPL_Raw_Data!$AA:$AA,0))/10</f>
        <v>4.5</v>
      </c>
      <c r="F61" s="4" t="str">
        <f>tblPlayers[[#This Row],[status]]</f>
        <v>u</v>
      </c>
      <c r="G61" s="4" t="b">
        <f>tblPlayers[[#This Row],[can_select]]</f>
        <v>0</v>
      </c>
      <c r="H61">
        <f>IF(AND(Table8[[#This Row],[Availability Status]]="a",Table8[[#This Row],[Can Select]]=TRUE),1,0)</f>
        <v>0</v>
      </c>
      <c r="I61">
        <f>tblPlayers[minutes]</f>
        <v>0</v>
      </c>
      <c r="J61" s="2">
        <f>Table8[[#This Row],[Minutes]]/90</f>
        <v>0</v>
      </c>
      <c r="K61" s="5">
        <f>IFERROR(Z61/(FIXTURE_ANALYSIS!$B$1-1),0)</f>
        <v>0</v>
      </c>
      <c r="L61">
        <f>tblPlayers[total_points]</f>
        <v>0</v>
      </c>
      <c r="M61">
        <f>tblPlayers[points_per_game]</f>
        <v>0</v>
      </c>
      <c r="N61">
        <f>tblPlayers[form]</f>
        <v>0</v>
      </c>
      <c r="O61">
        <f>tblPlayers[expected_goals]</f>
        <v>0</v>
      </c>
      <c r="P61">
        <f>tblPlayers[expected_assists]</f>
        <v>0</v>
      </c>
      <c r="Q61">
        <f>tblPlayers[expected_goal_involvements]</f>
        <v>0</v>
      </c>
      <c r="R61" s="2">
        <f t="shared" si="0"/>
        <v>0</v>
      </c>
      <c r="S61" s="5">
        <f t="shared" si="1"/>
        <v>0</v>
      </c>
      <c r="T61" s="5">
        <f t="shared" si="2"/>
        <v>0</v>
      </c>
      <c r="U61" s="5">
        <f t="shared" si="3"/>
        <v>0</v>
      </c>
      <c r="V61" s="3">
        <f t="shared" si="4"/>
        <v>0</v>
      </c>
      <c r="W61" s="5">
        <f t="shared" si="5"/>
        <v>0</v>
      </c>
      <c r="X61" s="5">
        <f>IFERROR(IF(OR($B61="MID",$B61="FWD"),INDEX(FIXTURE_ANALYSIS!$Q:$Q,MATCH($D61,FIXTURE_ANALYSIS!$A:$A,0)),INDEX(FIXTURE_ANALYSIS!$R:$R,MATCH($D61,FIXTURE_ANALYSIS!$A:$A,0))),1)</f>
        <v>0.8</v>
      </c>
      <c r="Y61" s="5">
        <f t="shared" si="6"/>
        <v>0.8</v>
      </c>
      <c r="Z61" s="8">
        <f>INDEX(FPL_Raw_Data!$T:$T,MATCH(A61,FPL_Raw_Data!$AA:$AA,0))</f>
        <v>0</v>
      </c>
      <c r="AA61" s="8">
        <f>INDEX(FPL_Raw_Data!$S:$S,MATCH(A61,FPL_Raw_Data!$AA:$AA,0))</f>
        <v>0</v>
      </c>
      <c r="AB61" s="2">
        <f t="shared" si="7"/>
        <v>0</v>
      </c>
      <c r="AC61" s="2">
        <f>INDEX(FPL_Raw_Data!$Q:$Q,MATCH(A61,FPL_Raw_Data!$AA:$AA,0))</f>
        <v>0</v>
      </c>
      <c r="AD61" s="8">
        <f>INDEX(FPL_Raw_Data!$R:$R,MATCH(A61,FPL_Raw_Data!$AA:$AA,0))</f>
        <v>0</v>
      </c>
      <c r="AE61" s="8">
        <f>INDEX(FPL_Raw_Data!$N:$N,MATCH(A61,FPL_Raw_Data!$AA:$AA,0))</f>
        <v>0</v>
      </c>
      <c r="AF61" s="8">
        <f>INDEX(FPL_Raw_Data!$L:$L,MATCH(A61,FPL_Raw_Data!$AA:$AA,0))</f>
        <v>0</v>
      </c>
      <c r="AG61" s="2">
        <f>INDEX(FPL_Raw_Data!$M:$M,MATCH(A61,FPL_Raw_Data!$AA:$AA,0))</f>
        <v>0</v>
      </c>
      <c r="AH61" s="2">
        <f t="shared" si="8"/>
        <v>0</v>
      </c>
      <c r="AI61" s="2">
        <f t="shared" si="9"/>
        <v>0</v>
      </c>
      <c r="AJ61" s="2">
        <f t="shared" si="10"/>
        <v>0</v>
      </c>
      <c r="AK61" s="2">
        <f t="shared" si="11"/>
        <v>0</v>
      </c>
      <c r="AL61" s="2">
        <f t="shared" si="12"/>
        <v>0</v>
      </c>
      <c r="AM61" s="2">
        <f t="shared" si="13"/>
        <v>0</v>
      </c>
      <c r="AN61" s="2">
        <f t="shared" si="14"/>
        <v>0</v>
      </c>
      <c r="AO61" s="3">
        <f t="shared" si="15"/>
        <v>0.1</v>
      </c>
      <c r="AP61">
        <f t="shared" si="16"/>
        <v>0</v>
      </c>
      <c r="AQ61">
        <f t="shared" si="17"/>
        <v>0.1</v>
      </c>
      <c r="AR61">
        <f t="shared" si="18"/>
        <v>0</v>
      </c>
      <c r="AS61" s="2">
        <f t="shared" si="19"/>
        <v>0</v>
      </c>
      <c r="AT61" s="2">
        <f>IFERROR(INDEX(Player_Model!$BC$2:$BC$596,MATCH($A61,Player_Model!$A$2:$A$596,0)),0)</f>
        <v>0</v>
      </c>
      <c r="AU61" s="2">
        <f>Table8[[#This Row],[Model Expected Points]]*Table8[[#This Row],[Fixture Adjustment]]</f>
        <v>0</v>
      </c>
      <c r="AV61" s="2">
        <f>Table8[[#This Row],[Fixture Adjusted Points / 90]]/Table8[[#This Row],[Price]]</f>
        <v>0</v>
      </c>
      <c r="AW61">
        <f t="shared" si="20"/>
        <v>0.05</v>
      </c>
      <c r="AX61">
        <f t="shared" si="21"/>
        <v>0</v>
      </c>
      <c r="AY61" s="2">
        <f t="shared" si="22"/>
        <v>0</v>
      </c>
      <c r="AZ61" s="5">
        <f t="shared" si="23"/>
        <v>0.8</v>
      </c>
      <c r="BA61">
        <f>Table8[[#This Row],[Model Score2]]</f>
        <v>0</v>
      </c>
      <c r="BB61">
        <f>IFERROR(INDEX(Player_Model!$BG$2:$BG$596,MATCH($A61,Player_Model!$A$2:$A$596,0)),"")</f>
        <v>129</v>
      </c>
      <c r="BC61" t="str">
        <f t="shared" si="24"/>
        <v>AVOID</v>
      </c>
      <c r="BD61">
        <f>IF(H61=1,Table8[[#This Row],[Model Score]],-10000)</f>
        <v>-10000</v>
      </c>
      <c r="BE61">
        <f>IFERROR(INDEX(Player_Model!$BF$2:$BF$596,MATCH($A61,Player_Model!$A$2:$A$596,0)),"")</f>
        <v>253</v>
      </c>
      <c r="BF61">
        <f>IFERROR(INDEX(Player_Model!$BG$2:$BG$596,MATCH($A61,Player_Model!$A$2:$A$596,0)),"")</f>
        <v>129</v>
      </c>
      <c r="BG61">
        <f>IFERROR(INDEX(Player_Model!$BE$2:$BE$596,MATCH($A61,Player_Model!$A$2:$A$596,0)),0)</f>
        <v>0</v>
      </c>
    </row>
    <row r="62" spans="1:59" x14ac:dyDescent="0.25">
      <c r="A62" t="str">
        <f>tblPlayers[first_name]&amp;" "&amp;tblPlayers[second_name]</f>
        <v>Aaron Wan-Bissaka</v>
      </c>
      <c r="B62" t="str">
        <f>_xlfn.SWITCH(tblPlayers[element_type],1,"GK",2,"DEF",3,"MID",4,"FWD")</f>
        <v>DEF</v>
      </c>
      <c r="C62">
        <f>tblPlayers[team]</f>
        <v>2</v>
      </c>
      <c r="D62" t="str">
        <f>INDEX(tblTeams[Column1.short_name],MATCH(C62,tblTeams[Column1.id],0))</f>
        <v>AVL</v>
      </c>
      <c r="E62" s="4">
        <f>INDEX(FPL_Raw_Data!$F:$F,MATCH(A62,FPL_Raw_Data!$AA:$AA,0))/10</f>
        <v>4.5</v>
      </c>
      <c r="F62" s="4" t="str">
        <f>tblPlayers[[#This Row],[status]]</f>
        <v>a</v>
      </c>
      <c r="G62" s="4" t="b">
        <f>tblPlayers[[#This Row],[can_select]]</f>
        <v>1</v>
      </c>
      <c r="H62">
        <f>IF(AND(Table8[[#This Row],[Availability Status]]="a",Table8[[#This Row],[Can Select]]=TRUE),1,0)</f>
        <v>1</v>
      </c>
      <c r="I62">
        <f>tblPlayers[minutes]</f>
        <v>17</v>
      </c>
      <c r="J62" s="2">
        <f>Table8[[#This Row],[Minutes]]/90</f>
        <v>0.18888888888888888</v>
      </c>
      <c r="K62" s="5">
        <f>IFERROR(Z62/(FIXTURE_ANALYSIS!$B$1-1),0)</f>
        <v>0</v>
      </c>
      <c r="L62">
        <f>tblPlayers[total_points]</f>
        <v>2</v>
      </c>
      <c r="M62">
        <f>tblPlayers[points_per_game]</f>
        <v>1</v>
      </c>
      <c r="N62">
        <f>tblPlayers[form]</f>
        <v>1</v>
      </c>
      <c r="O62">
        <f>tblPlayers[expected_goals]</f>
        <v>0</v>
      </c>
      <c r="P62">
        <f>tblPlayers[expected_assists]</f>
        <v>0</v>
      </c>
      <c r="Q62">
        <f>tblPlayers[expected_goal_involvements]</f>
        <v>0</v>
      </c>
      <c r="R62" s="2">
        <f t="shared" si="0"/>
        <v>10.588235294117647</v>
      </c>
      <c r="S62" s="5">
        <f t="shared" si="1"/>
        <v>0</v>
      </c>
      <c r="T62" s="5">
        <f t="shared" si="2"/>
        <v>0</v>
      </c>
      <c r="U62" s="5">
        <f t="shared" si="3"/>
        <v>0</v>
      </c>
      <c r="V62" s="3">
        <f t="shared" si="4"/>
        <v>0.44444444444444442</v>
      </c>
      <c r="W62" s="5">
        <f t="shared" si="5"/>
        <v>0</v>
      </c>
      <c r="X62" s="5">
        <f>IFERROR(IF(OR($B62="MID",$B62="FWD"),INDEX(FIXTURE_ANALYSIS!$Q:$Q,MATCH($D62,FIXTURE_ANALYSIS!$A:$A,0)),INDEX(FIXTURE_ANALYSIS!$R:$R,MATCH($D62,FIXTURE_ANALYSIS!$A:$A,0))),1)</f>
        <v>1.0288823959094229</v>
      </c>
      <c r="Y62" s="5">
        <f t="shared" si="6"/>
        <v>1.0288823959094229</v>
      </c>
      <c r="Z62" s="8">
        <f>INDEX(FPL_Raw_Data!$T:$T,MATCH(A62,FPL_Raw_Data!$AA:$AA,0))</f>
        <v>0</v>
      </c>
      <c r="AA62" s="8">
        <f>INDEX(FPL_Raw_Data!$S:$S,MATCH(A62,FPL_Raw_Data!$AA:$AA,0))</f>
        <v>3</v>
      </c>
      <c r="AB62" s="2">
        <f t="shared" si="7"/>
        <v>0.3</v>
      </c>
      <c r="AC62" s="2">
        <f>INDEX(FPL_Raw_Data!$Q:$Q,MATCH(A62,FPL_Raw_Data!$AA:$AA,0))</f>
        <v>0</v>
      </c>
      <c r="AD62" s="8">
        <f>INDEX(FPL_Raw_Data!$R:$R,MATCH(A62,FPL_Raw_Data!$AA:$AA,0))</f>
        <v>7</v>
      </c>
      <c r="AE62" s="8">
        <f>INDEX(FPL_Raw_Data!$N:$N,MATCH(A62,FPL_Raw_Data!$AA:$AA,0))</f>
        <v>0</v>
      </c>
      <c r="AF62" s="8">
        <f>INDEX(FPL_Raw_Data!$L:$L,MATCH(A62,FPL_Raw_Data!$AA:$AA,0))</f>
        <v>0</v>
      </c>
      <c r="AG62" s="2">
        <f>INDEX(FPL_Raw_Data!$M:$M,MATCH(A62,FPL_Raw_Data!$AA:$AA,0))</f>
        <v>0</v>
      </c>
      <c r="AH62" s="2">
        <f t="shared" si="8"/>
        <v>0</v>
      </c>
      <c r="AI62" s="2">
        <f t="shared" si="9"/>
        <v>0</v>
      </c>
      <c r="AJ62" s="2">
        <f t="shared" si="10"/>
        <v>0</v>
      </c>
      <c r="AK62" s="2">
        <f t="shared" si="11"/>
        <v>0.6</v>
      </c>
      <c r="AL62" s="2">
        <f t="shared" si="12"/>
        <v>0</v>
      </c>
      <c r="AM62" s="2">
        <f t="shared" si="13"/>
        <v>0</v>
      </c>
      <c r="AN62" s="2">
        <f t="shared" si="14"/>
        <v>0</v>
      </c>
      <c r="AO62" s="3">
        <f t="shared" si="15"/>
        <v>93.2</v>
      </c>
      <c r="AP62">
        <f t="shared" si="16"/>
        <v>0</v>
      </c>
      <c r="AQ62">
        <f t="shared" si="17"/>
        <v>56.000000000000007</v>
      </c>
      <c r="AR62">
        <f t="shared" si="18"/>
        <v>0</v>
      </c>
      <c r="AS62" s="2">
        <f t="shared" si="19"/>
        <v>0</v>
      </c>
      <c r="AT62" s="2">
        <f>IFERROR(INDEX(Player_Model!$BC$2:$BC$596,MATCH($A62,Player_Model!$A$2:$A$596,0)),0)</f>
        <v>-0.85740199659118577</v>
      </c>
      <c r="AU62" s="2">
        <f>Table8[[#This Row],[Model Expected Points]]*Table8[[#This Row],[Fixture Adjustment]]</f>
        <v>-0.88216582051026204</v>
      </c>
      <c r="AV62" s="2">
        <f>Table8[[#This Row],[Fixture Adjusted Points / 90]]/Table8[[#This Row],[Price]]</f>
        <v>-0.19603684900228047</v>
      </c>
      <c r="AW62">
        <f t="shared" si="20"/>
        <v>0</v>
      </c>
      <c r="AX62">
        <f t="shared" si="21"/>
        <v>0.66444119795471146</v>
      </c>
      <c r="AY62" s="2">
        <f t="shared" si="22"/>
        <v>0</v>
      </c>
      <c r="AZ62" s="5">
        <f t="shared" si="23"/>
        <v>1.0288823959094229</v>
      </c>
      <c r="BA62">
        <f>Table8[[#This Row],[Model Score2]]</f>
        <v>-0.85740199659118577</v>
      </c>
      <c r="BB62">
        <f>IFERROR(INDEX(Player_Model!$BG$2:$BG$596,MATCH($A62,Player_Model!$A$2:$A$596,0)),"")</f>
        <v>168</v>
      </c>
      <c r="BC62" t="str">
        <f t="shared" si="24"/>
        <v>AVOID</v>
      </c>
      <c r="BD62">
        <f>IF(H62=1,Table8[[#This Row],[Model Score]],-10000)</f>
        <v>-0.85740199659118577</v>
      </c>
      <c r="BE62">
        <f>IFERROR(INDEX(Player_Model!$BF$2:$BF$596,MATCH($A62,Player_Model!$A$2:$A$596,0)),"")</f>
        <v>566</v>
      </c>
      <c r="BF62">
        <f>IFERROR(INDEX(Player_Model!$BG$2:$BG$596,MATCH($A62,Player_Model!$A$2:$A$596,0)),"")</f>
        <v>168</v>
      </c>
      <c r="BG62">
        <f>IFERROR(INDEX(Player_Model!$BE$2:$BE$596,MATCH($A62,Player_Model!$A$2:$A$596,0)),0)</f>
        <v>-0.85740199659118577</v>
      </c>
    </row>
    <row r="63" spans="1:59" x14ac:dyDescent="0.25">
      <c r="A63" t="str">
        <f>tblPlayers[first_name]&amp;" "&amp;tblPlayers[second_name]</f>
        <v>Leon Goretzka</v>
      </c>
      <c r="B63" t="str">
        <f>_xlfn.SWITCH(tblPlayers[element_type],1,"GK",2,"DEF",3,"MID",4,"FWD")</f>
        <v>MID</v>
      </c>
      <c r="C63">
        <f>tblPlayers[team]</f>
        <v>2</v>
      </c>
      <c r="D63" t="str">
        <f>INDEX(tblTeams[Column1.short_name],MATCH(C63,tblTeams[Column1.id],0))</f>
        <v>AVL</v>
      </c>
      <c r="E63" s="4">
        <f>INDEX(FPL_Raw_Data!$F:$F,MATCH(A63,FPL_Raw_Data!$AA:$AA,0))/10</f>
        <v>6</v>
      </c>
      <c r="F63" s="4" t="str">
        <f>tblPlayers[[#This Row],[status]]</f>
        <v>a</v>
      </c>
      <c r="G63" s="4" t="b">
        <f>tblPlayers[[#This Row],[can_select]]</f>
        <v>1</v>
      </c>
      <c r="H63">
        <f>IF(AND(Table8[[#This Row],[Availability Status]]="a",Table8[[#This Row],[Can Select]]=TRUE),1,0)</f>
        <v>1</v>
      </c>
      <c r="I63">
        <f>tblPlayers[minutes]</f>
        <v>0</v>
      </c>
      <c r="J63" s="2">
        <f>Table8[[#This Row],[Minutes]]/90</f>
        <v>0</v>
      </c>
      <c r="K63" s="5">
        <f>IFERROR(Z63/(FIXTURE_ANALYSIS!$B$1-1),0)</f>
        <v>0</v>
      </c>
      <c r="L63">
        <f>tblPlayers[total_points]</f>
        <v>0</v>
      </c>
      <c r="M63">
        <f>tblPlayers[points_per_game]</f>
        <v>0</v>
      </c>
      <c r="N63">
        <f>tblPlayers[form]</f>
        <v>0</v>
      </c>
      <c r="O63">
        <f>tblPlayers[expected_goals]</f>
        <v>0</v>
      </c>
      <c r="P63">
        <f>tblPlayers[expected_assists]</f>
        <v>0</v>
      </c>
      <c r="Q63">
        <f>tblPlayers[expected_goal_involvements]</f>
        <v>0</v>
      </c>
      <c r="R63" s="2">
        <f t="shared" si="0"/>
        <v>0</v>
      </c>
      <c r="S63" s="5">
        <f t="shared" si="1"/>
        <v>0</v>
      </c>
      <c r="T63" s="5">
        <f t="shared" si="2"/>
        <v>0</v>
      </c>
      <c r="U63" s="5">
        <f t="shared" si="3"/>
        <v>0</v>
      </c>
      <c r="V63" s="3">
        <f t="shared" si="4"/>
        <v>0</v>
      </c>
      <c r="W63" s="5">
        <f t="shared" si="5"/>
        <v>0</v>
      </c>
      <c r="X63" s="5">
        <f>IFERROR(IF(OR($B63="MID",$B63="FWD"),INDEX(FIXTURE_ANALYSIS!$Q:$Q,MATCH($D63,FIXTURE_ANALYSIS!$A:$A,0)),INDEX(FIXTURE_ANALYSIS!$R:$R,MATCH($D63,FIXTURE_ANALYSIS!$A:$A,0))),1)</f>
        <v>0.8</v>
      </c>
      <c r="Y63" s="5">
        <f t="shared" si="6"/>
        <v>0.8</v>
      </c>
      <c r="Z63" s="8">
        <f>INDEX(FPL_Raw_Data!$T:$T,MATCH(A63,FPL_Raw_Data!$AA:$AA,0))</f>
        <v>0</v>
      </c>
      <c r="AA63" s="8">
        <f>INDEX(FPL_Raw_Data!$S:$S,MATCH(A63,FPL_Raw_Data!$AA:$AA,0))</f>
        <v>0</v>
      </c>
      <c r="AB63" s="2">
        <f t="shared" si="7"/>
        <v>0</v>
      </c>
      <c r="AC63" s="2">
        <f>INDEX(FPL_Raw_Data!$Q:$Q,MATCH(A63,FPL_Raw_Data!$AA:$AA,0))</f>
        <v>0</v>
      </c>
      <c r="AD63" s="8">
        <f>INDEX(FPL_Raw_Data!$R:$R,MATCH(A63,FPL_Raw_Data!$AA:$AA,0))</f>
        <v>0</v>
      </c>
      <c r="AE63" s="8">
        <f>INDEX(FPL_Raw_Data!$N:$N,MATCH(A63,FPL_Raw_Data!$AA:$AA,0))</f>
        <v>0</v>
      </c>
      <c r="AF63" s="8">
        <f>INDEX(FPL_Raw_Data!$L:$L,MATCH(A63,FPL_Raw_Data!$AA:$AA,0))</f>
        <v>0</v>
      </c>
      <c r="AG63" s="2">
        <f>INDEX(FPL_Raw_Data!$M:$M,MATCH(A63,FPL_Raw_Data!$AA:$AA,0))</f>
        <v>0</v>
      </c>
      <c r="AH63" s="2">
        <f t="shared" si="8"/>
        <v>0</v>
      </c>
      <c r="AI63" s="2">
        <f t="shared" si="9"/>
        <v>0</v>
      </c>
      <c r="AJ63" s="2">
        <f t="shared" si="10"/>
        <v>0</v>
      </c>
      <c r="AK63" s="2">
        <f t="shared" si="11"/>
        <v>0</v>
      </c>
      <c r="AL63" s="2">
        <f t="shared" si="12"/>
        <v>0</v>
      </c>
      <c r="AM63" s="2">
        <f t="shared" si="13"/>
        <v>0</v>
      </c>
      <c r="AN63" s="2">
        <f t="shared" si="14"/>
        <v>0</v>
      </c>
      <c r="AO63" s="3">
        <f t="shared" si="15"/>
        <v>0.1</v>
      </c>
      <c r="AP63">
        <f t="shared" si="16"/>
        <v>0</v>
      </c>
      <c r="AQ63">
        <f t="shared" si="17"/>
        <v>0.1</v>
      </c>
      <c r="AR63">
        <f t="shared" si="18"/>
        <v>0</v>
      </c>
      <c r="AS63" s="2">
        <f t="shared" si="19"/>
        <v>0</v>
      </c>
      <c r="AT63" s="2">
        <f>IFERROR(INDEX(Player_Model!$BC$2:$BC$596,MATCH($A63,Player_Model!$A$2:$A$596,0)),0)</f>
        <v>0</v>
      </c>
      <c r="AU63" s="2">
        <f>Table8[[#This Row],[Model Expected Points]]*Table8[[#This Row],[Fixture Adjustment]]</f>
        <v>0</v>
      </c>
      <c r="AV63" s="2">
        <f>Table8[[#This Row],[Fixture Adjusted Points / 90]]/Table8[[#This Row],[Price]]</f>
        <v>0</v>
      </c>
      <c r="AW63">
        <f t="shared" si="20"/>
        <v>0.05</v>
      </c>
      <c r="AX63">
        <f t="shared" si="21"/>
        <v>0</v>
      </c>
      <c r="AY63" s="2">
        <f t="shared" si="22"/>
        <v>0</v>
      </c>
      <c r="AZ63" s="5">
        <f t="shared" si="23"/>
        <v>0.8</v>
      </c>
      <c r="BA63">
        <f>Table8[[#This Row],[Model Score2]]</f>
        <v>0</v>
      </c>
      <c r="BB63">
        <f>IFERROR(INDEX(Player_Model!$BG$2:$BG$596,MATCH($A63,Player_Model!$A$2:$A$596,0)),"")</f>
        <v>130</v>
      </c>
      <c r="BC63" t="str">
        <f t="shared" si="24"/>
        <v>AVOID</v>
      </c>
      <c r="BD63">
        <f>IF(H63=1,Table8[[#This Row],[Model Score]],-10000)</f>
        <v>0</v>
      </c>
      <c r="BE63">
        <f>IFERROR(INDEX(Player_Model!$BF$2:$BF$596,MATCH($A63,Player_Model!$A$2:$A$596,0)),"")</f>
        <v>253</v>
      </c>
      <c r="BF63">
        <f>IFERROR(INDEX(Player_Model!$BG$2:$BG$596,MATCH($A63,Player_Model!$A$2:$A$596,0)),"")</f>
        <v>130</v>
      </c>
      <c r="BG63">
        <f>IFERROR(INDEX(Player_Model!$BE$2:$BE$596,MATCH($A63,Player_Model!$A$2:$A$596,0)),0)</f>
        <v>0</v>
      </c>
    </row>
    <row r="64" spans="1:59" x14ac:dyDescent="0.25">
      <c r="A64" t="str">
        <f>tblPlayers[first_name]&amp;" "&amp;tblPlayers[second_name]</f>
        <v>Taylor Harwood-Bellis</v>
      </c>
      <c r="B64" t="str">
        <f>_xlfn.SWITCH(tblPlayers[element_type],1,"GK",2,"DEF",3,"MID",4,"FWD")</f>
        <v>DEF</v>
      </c>
      <c r="C64">
        <f>tblPlayers[team]</f>
        <v>2</v>
      </c>
      <c r="D64" t="str">
        <f>INDEX(tblTeams[Column1.short_name],MATCH(C64,tblTeams[Column1.id],0))</f>
        <v>AVL</v>
      </c>
      <c r="E64" s="4">
        <f>INDEX(FPL_Raw_Data!$F:$F,MATCH(A64,FPL_Raw_Data!$AA:$AA,0))/10</f>
        <v>4.5</v>
      </c>
      <c r="F64" s="4" t="str">
        <f>tblPlayers[[#This Row],[status]]</f>
        <v>a</v>
      </c>
      <c r="G64" s="4" t="b">
        <f>tblPlayers[[#This Row],[can_select]]</f>
        <v>1</v>
      </c>
      <c r="H64">
        <f>IF(AND(Table8[[#This Row],[Availability Status]]="a",Table8[[#This Row],[Can Select]]=TRUE),1,0)</f>
        <v>1</v>
      </c>
      <c r="I64">
        <f>tblPlayers[minutes]</f>
        <v>0</v>
      </c>
      <c r="J64" s="2">
        <f>Table8[[#This Row],[Minutes]]/90</f>
        <v>0</v>
      </c>
      <c r="K64" s="5">
        <f>IFERROR(Z64/(FIXTURE_ANALYSIS!$B$1-1),0)</f>
        <v>0</v>
      </c>
      <c r="L64">
        <f>tblPlayers[total_points]</f>
        <v>0</v>
      </c>
      <c r="M64">
        <f>tblPlayers[points_per_game]</f>
        <v>0</v>
      </c>
      <c r="N64">
        <f>tblPlayers[form]</f>
        <v>0</v>
      </c>
      <c r="O64">
        <f>tblPlayers[expected_goals]</f>
        <v>0</v>
      </c>
      <c r="P64">
        <f>tblPlayers[expected_assists]</f>
        <v>0</v>
      </c>
      <c r="Q64">
        <f>tblPlayers[expected_goal_involvements]</f>
        <v>0</v>
      </c>
      <c r="R64" s="2">
        <f t="shared" si="0"/>
        <v>0</v>
      </c>
      <c r="S64" s="5">
        <f t="shared" si="1"/>
        <v>0</v>
      </c>
      <c r="T64" s="5">
        <f t="shared" si="2"/>
        <v>0</v>
      </c>
      <c r="U64" s="5">
        <f t="shared" si="3"/>
        <v>0</v>
      </c>
      <c r="V64" s="3">
        <f t="shared" si="4"/>
        <v>0</v>
      </c>
      <c r="W64" s="5">
        <f t="shared" si="5"/>
        <v>0</v>
      </c>
      <c r="X64" s="5">
        <f>IFERROR(IF(OR($B64="MID",$B64="FWD"),INDEX(FIXTURE_ANALYSIS!$Q:$Q,MATCH($D64,FIXTURE_ANALYSIS!$A:$A,0)),INDEX(FIXTURE_ANALYSIS!$R:$R,MATCH($D64,FIXTURE_ANALYSIS!$A:$A,0))),1)</f>
        <v>1.0288823959094229</v>
      </c>
      <c r="Y64" s="5">
        <f t="shared" si="6"/>
        <v>1.0288823959094229</v>
      </c>
      <c r="Z64" s="8">
        <f>INDEX(FPL_Raw_Data!$T:$T,MATCH(A64,FPL_Raw_Data!$AA:$AA,0))</f>
        <v>0</v>
      </c>
      <c r="AA64" s="8">
        <f>INDEX(FPL_Raw_Data!$S:$S,MATCH(A64,FPL_Raw_Data!$AA:$AA,0))</f>
        <v>0</v>
      </c>
      <c r="AB64" s="2">
        <f t="shared" si="7"/>
        <v>0</v>
      </c>
      <c r="AC64" s="2">
        <f>INDEX(FPL_Raw_Data!$Q:$Q,MATCH(A64,FPL_Raw_Data!$AA:$AA,0))</f>
        <v>0</v>
      </c>
      <c r="AD64" s="8">
        <f>INDEX(FPL_Raw_Data!$R:$R,MATCH(A64,FPL_Raw_Data!$AA:$AA,0))</f>
        <v>0</v>
      </c>
      <c r="AE64" s="8">
        <f>INDEX(FPL_Raw_Data!$N:$N,MATCH(A64,FPL_Raw_Data!$AA:$AA,0))</f>
        <v>0</v>
      </c>
      <c r="AF64" s="8">
        <f>INDEX(FPL_Raw_Data!$L:$L,MATCH(A64,FPL_Raw_Data!$AA:$AA,0))</f>
        <v>0</v>
      </c>
      <c r="AG64" s="2">
        <f>INDEX(FPL_Raw_Data!$M:$M,MATCH(A64,FPL_Raw_Data!$AA:$AA,0))</f>
        <v>0</v>
      </c>
      <c r="AH64" s="2">
        <f t="shared" si="8"/>
        <v>0</v>
      </c>
      <c r="AI64" s="2">
        <f t="shared" si="9"/>
        <v>0</v>
      </c>
      <c r="AJ64" s="2">
        <f t="shared" si="10"/>
        <v>0</v>
      </c>
      <c r="AK64" s="2">
        <f t="shared" si="11"/>
        <v>0</v>
      </c>
      <c r="AL64" s="2">
        <f t="shared" si="12"/>
        <v>0</v>
      </c>
      <c r="AM64" s="2">
        <f t="shared" si="13"/>
        <v>0</v>
      </c>
      <c r="AN64" s="2">
        <f t="shared" si="14"/>
        <v>0</v>
      </c>
      <c r="AO64" s="3">
        <f t="shared" si="15"/>
        <v>0.1</v>
      </c>
      <c r="AP64">
        <f t="shared" si="16"/>
        <v>0</v>
      </c>
      <c r="AQ64">
        <f t="shared" si="17"/>
        <v>0.1</v>
      </c>
      <c r="AR64">
        <f t="shared" si="18"/>
        <v>0</v>
      </c>
      <c r="AS64" s="2">
        <f t="shared" si="19"/>
        <v>0</v>
      </c>
      <c r="AT64" s="2">
        <f>IFERROR(INDEX(Player_Model!$BC$2:$BC$596,MATCH($A64,Player_Model!$A$2:$A$596,0)),0)</f>
        <v>-0.85740199659118577</v>
      </c>
      <c r="AU64" s="2">
        <f>Table8[[#This Row],[Model Expected Points]]*Table8[[#This Row],[Fixture Adjustment]]</f>
        <v>-0.88216582051026204</v>
      </c>
      <c r="AV64" s="2">
        <f>Table8[[#This Row],[Fixture Adjusted Points / 90]]/Table8[[#This Row],[Price]]</f>
        <v>-0.19603684900228047</v>
      </c>
      <c r="AW64">
        <f t="shared" si="20"/>
        <v>0</v>
      </c>
      <c r="AX64">
        <f t="shared" si="21"/>
        <v>0.51444119795471144</v>
      </c>
      <c r="AY64" s="2">
        <f t="shared" si="22"/>
        <v>0</v>
      </c>
      <c r="AZ64" s="5">
        <f t="shared" si="23"/>
        <v>1.0288823959094229</v>
      </c>
      <c r="BA64">
        <f>Table8[[#This Row],[Model Score2]]</f>
        <v>-0.85740199659118577</v>
      </c>
      <c r="BB64">
        <f>IFERROR(INDEX(Player_Model!$BG$2:$BG$596,MATCH($A64,Player_Model!$A$2:$A$596,0)),"")</f>
        <v>169</v>
      </c>
      <c r="BC64" t="str">
        <f t="shared" si="24"/>
        <v>AVOID</v>
      </c>
      <c r="BD64">
        <f>IF(H64=1,Table8[[#This Row],[Model Score]],-10000)</f>
        <v>-0.85740199659118577</v>
      </c>
      <c r="BE64">
        <f>IFERROR(INDEX(Player_Model!$BF$2:$BF$596,MATCH($A64,Player_Model!$A$2:$A$596,0)),"")</f>
        <v>566</v>
      </c>
      <c r="BF64">
        <f>IFERROR(INDEX(Player_Model!$BG$2:$BG$596,MATCH($A64,Player_Model!$A$2:$A$596,0)),"")</f>
        <v>169</v>
      </c>
      <c r="BG64">
        <f>IFERROR(INDEX(Player_Model!$BE$2:$BE$596,MATCH($A64,Player_Model!$A$2:$A$596,0)),0)</f>
        <v>-0.85740199659118577</v>
      </c>
    </row>
    <row r="65" spans="1:59" x14ac:dyDescent="0.25">
      <c r="A65" t="str">
        <f>tblPlayers[first_name]&amp;" "&amp;tblPlayers[second_name]</f>
        <v>Ibrahim Mbaye</v>
      </c>
      <c r="B65" t="str">
        <f>_xlfn.SWITCH(tblPlayers[element_type],1,"GK",2,"DEF",3,"MID",4,"FWD")</f>
        <v>MID</v>
      </c>
      <c r="C65">
        <f>tblPlayers[team]</f>
        <v>2</v>
      </c>
      <c r="D65" t="str">
        <f>INDEX(tblTeams[Column1.short_name],MATCH(C65,tblTeams[Column1.id],0))</f>
        <v>AVL</v>
      </c>
      <c r="E65" s="4">
        <f>INDEX(FPL_Raw_Data!$F:$F,MATCH(A65,FPL_Raw_Data!$AA:$AA,0))/10</f>
        <v>6</v>
      </c>
      <c r="F65" s="4" t="str">
        <f>tblPlayers[[#This Row],[status]]</f>
        <v>a</v>
      </c>
      <c r="G65" s="4" t="b">
        <f>tblPlayers[[#This Row],[can_select]]</f>
        <v>1</v>
      </c>
      <c r="H65">
        <f>IF(AND(Table8[[#This Row],[Availability Status]]="a",Table8[[#This Row],[Can Select]]=TRUE),1,0)</f>
        <v>1</v>
      </c>
      <c r="I65">
        <f>tblPlayers[minutes]</f>
        <v>0</v>
      </c>
      <c r="J65" s="2">
        <f>Table8[[#This Row],[Minutes]]/90</f>
        <v>0</v>
      </c>
      <c r="K65" s="5">
        <f>IFERROR(Z65/(FIXTURE_ANALYSIS!$B$1-1),0)</f>
        <v>0</v>
      </c>
      <c r="L65">
        <f>tblPlayers[total_points]</f>
        <v>0</v>
      </c>
      <c r="M65">
        <f>tblPlayers[points_per_game]</f>
        <v>0</v>
      </c>
      <c r="N65">
        <f>tblPlayers[form]</f>
        <v>0</v>
      </c>
      <c r="O65">
        <f>tblPlayers[expected_goals]</f>
        <v>0</v>
      </c>
      <c r="P65">
        <f>tblPlayers[expected_assists]</f>
        <v>0</v>
      </c>
      <c r="Q65">
        <f>tblPlayers[expected_goal_involvements]</f>
        <v>0</v>
      </c>
      <c r="R65" s="2">
        <f t="shared" si="0"/>
        <v>0</v>
      </c>
      <c r="S65" s="5">
        <f t="shared" si="1"/>
        <v>0</v>
      </c>
      <c r="T65" s="5">
        <f t="shared" si="2"/>
        <v>0</v>
      </c>
      <c r="U65" s="5">
        <f t="shared" si="3"/>
        <v>0</v>
      </c>
      <c r="V65" s="3">
        <f t="shared" si="4"/>
        <v>0</v>
      </c>
      <c r="W65" s="5">
        <f t="shared" si="5"/>
        <v>0</v>
      </c>
      <c r="X65" s="5">
        <f>IFERROR(IF(OR($B65="MID",$B65="FWD"),INDEX(FIXTURE_ANALYSIS!$Q:$Q,MATCH($D65,FIXTURE_ANALYSIS!$A:$A,0)),INDEX(FIXTURE_ANALYSIS!$R:$R,MATCH($D65,FIXTURE_ANALYSIS!$A:$A,0))),1)</f>
        <v>0.8</v>
      </c>
      <c r="Y65" s="5">
        <f t="shared" si="6"/>
        <v>0.8</v>
      </c>
      <c r="Z65" s="8">
        <f>INDEX(FPL_Raw_Data!$T:$T,MATCH(A65,FPL_Raw_Data!$AA:$AA,0))</f>
        <v>0</v>
      </c>
      <c r="AA65" s="8">
        <f>INDEX(FPL_Raw_Data!$S:$S,MATCH(A65,FPL_Raw_Data!$AA:$AA,0))</f>
        <v>0</v>
      </c>
      <c r="AB65" s="2">
        <f t="shared" si="7"/>
        <v>0</v>
      </c>
      <c r="AC65" s="2">
        <f>INDEX(FPL_Raw_Data!$Q:$Q,MATCH(A65,FPL_Raw_Data!$AA:$AA,0))</f>
        <v>0</v>
      </c>
      <c r="AD65" s="8">
        <f>INDEX(FPL_Raw_Data!$R:$R,MATCH(A65,FPL_Raw_Data!$AA:$AA,0))</f>
        <v>0</v>
      </c>
      <c r="AE65" s="8">
        <f>INDEX(FPL_Raw_Data!$N:$N,MATCH(A65,FPL_Raw_Data!$AA:$AA,0))</f>
        <v>0</v>
      </c>
      <c r="AF65" s="8">
        <f>INDEX(FPL_Raw_Data!$L:$L,MATCH(A65,FPL_Raw_Data!$AA:$AA,0))</f>
        <v>0</v>
      </c>
      <c r="AG65" s="2">
        <f>INDEX(FPL_Raw_Data!$M:$M,MATCH(A65,FPL_Raw_Data!$AA:$AA,0))</f>
        <v>0</v>
      </c>
      <c r="AH65" s="2">
        <f t="shared" si="8"/>
        <v>0</v>
      </c>
      <c r="AI65" s="2">
        <f t="shared" si="9"/>
        <v>0</v>
      </c>
      <c r="AJ65" s="2">
        <f t="shared" si="10"/>
        <v>0</v>
      </c>
      <c r="AK65" s="2">
        <f t="shared" si="11"/>
        <v>0</v>
      </c>
      <c r="AL65" s="2">
        <f t="shared" si="12"/>
        <v>0</v>
      </c>
      <c r="AM65" s="2">
        <f t="shared" si="13"/>
        <v>0</v>
      </c>
      <c r="AN65" s="2">
        <f t="shared" si="14"/>
        <v>0</v>
      </c>
      <c r="AO65" s="3">
        <f t="shared" si="15"/>
        <v>0.1</v>
      </c>
      <c r="AP65">
        <f t="shared" si="16"/>
        <v>0</v>
      </c>
      <c r="AQ65">
        <f t="shared" si="17"/>
        <v>0.1</v>
      </c>
      <c r="AR65">
        <f t="shared" si="18"/>
        <v>0</v>
      </c>
      <c r="AS65" s="2">
        <f t="shared" si="19"/>
        <v>0</v>
      </c>
      <c r="AT65" s="2">
        <f>IFERROR(INDEX(Player_Model!$BC$2:$BC$596,MATCH($A65,Player_Model!$A$2:$A$596,0)),0)</f>
        <v>0</v>
      </c>
      <c r="AU65" s="2">
        <f>Table8[[#This Row],[Model Expected Points]]*Table8[[#This Row],[Fixture Adjustment]]</f>
        <v>0</v>
      </c>
      <c r="AV65" s="2">
        <f>Table8[[#This Row],[Fixture Adjusted Points / 90]]/Table8[[#This Row],[Price]]</f>
        <v>0</v>
      </c>
      <c r="AW65">
        <f t="shared" si="20"/>
        <v>0.05</v>
      </c>
      <c r="AX65">
        <f t="shared" si="21"/>
        <v>0</v>
      </c>
      <c r="AY65" s="2">
        <f t="shared" si="22"/>
        <v>0</v>
      </c>
      <c r="AZ65" s="5">
        <f t="shared" si="23"/>
        <v>0.8</v>
      </c>
      <c r="BA65">
        <f>Table8[[#This Row],[Model Score2]]</f>
        <v>0</v>
      </c>
      <c r="BB65">
        <f>IFERROR(INDEX(Player_Model!$BG$2:$BG$596,MATCH($A65,Player_Model!$A$2:$A$596,0)),"")</f>
        <v>131</v>
      </c>
      <c r="BC65" t="str">
        <f t="shared" si="24"/>
        <v>AVOID</v>
      </c>
      <c r="BD65">
        <f>IF(H65=1,Table8[[#This Row],[Model Score]],-10000)</f>
        <v>0</v>
      </c>
      <c r="BE65">
        <f>IFERROR(INDEX(Player_Model!$BF$2:$BF$596,MATCH($A65,Player_Model!$A$2:$A$596,0)),"")</f>
        <v>253</v>
      </c>
      <c r="BF65">
        <f>IFERROR(INDEX(Player_Model!$BG$2:$BG$596,MATCH($A65,Player_Model!$A$2:$A$596,0)),"")</f>
        <v>131</v>
      </c>
      <c r="BG65">
        <f>IFERROR(INDEX(Player_Model!$BE$2:$BE$596,MATCH($A65,Player_Model!$A$2:$A$596,0)),0)</f>
        <v>0</v>
      </c>
    </row>
    <row r="66" spans="1:59" x14ac:dyDescent="0.25">
      <c r="A66" t="str">
        <f>tblPlayers[first_name]&amp;" "&amp;tblPlayers[second_name]</f>
        <v>Đorđe Petrović</v>
      </c>
      <c r="B66" t="str">
        <f>_xlfn.SWITCH(tblPlayers[element_type],1,"GK",2,"DEF",3,"MID",4,"FWD")</f>
        <v>GK</v>
      </c>
      <c r="C66">
        <f>tblPlayers[team]</f>
        <v>3</v>
      </c>
      <c r="D66" t="str">
        <f>INDEX(tblTeams[Column1.short_name],MATCH(C66,tblTeams[Column1.id],0))</f>
        <v>BOU</v>
      </c>
      <c r="E66" s="4">
        <f>INDEX(FPL_Raw_Data!$F:$F,MATCH(A66,FPL_Raw_Data!$AA:$AA,0))/10</f>
        <v>4.5</v>
      </c>
      <c r="F66" s="4" t="str">
        <f>tblPlayers[[#This Row],[status]]</f>
        <v>a</v>
      </c>
      <c r="G66" s="4" t="b">
        <f>tblPlayers[[#This Row],[can_select]]</f>
        <v>1</v>
      </c>
      <c r="H66">
        <f>IF(AND(Table8[[#This Row],[Availability Status]]="a",Table8[[#This Row],[Can Select]]=TRUE),1,0)</f>
        <v>1</v>
      </c>
      <c r="I66">
        <f>tblPlayers[minutes]</f>
        <v>270</v>
      </c>
      <c r="J66" s="2">
        <f>Table8[[#This Row],[Minutes]]/90</f>
        <v>3</v>
      </c>
      <c r="K66" s="5">
        <f>IFERROR(Z66/(FIXTURE_ANALYSIS!$B$1-1),0)</f>
        <v>1</v>
      </c>
      <c r="L66">
        <f>tblPlayers[total_points]</f>
        <v>6</v>
      </c>
      <c r="M66">
        <f>tblPlayers[points_per_game]</f>
        <v>2</v>
      </c>
      <c r="N66">
        <f>tblPlayers[form]</f>
        <v>2</v>
      </c>
      <c r="O66">
        <f>tblPlayers[expected_goals]</f>
        <v>0</v>
      </c>
      <c r="P66">
        <f>tblPlayers[expected_assists]</f>
        <v>0</v>
      </c>
      <c r="Q66">
        <f>tblPlayers[expected_goal_involvements]</f>
        <v>0</v>
      </c>
      <c r="R66" s="2">
        <f t="shared" ref="R66:R129" si="25">IF(I66=0,0,L66/I66*90)</f>
        <v>2</v>
      </c>
      <c r="S66" s="5">
        <f t="shared" ref="S66:S129" si="26">IF(I66=0,0,O66/I66*90)</f>
        <v>0</v>
      </c>
      <c r="T66" s="5">
        <f t="shared" ref="T66:T129" si="27">IF(I66=0,0,P66/I66*90)</f>
        <v>0</v>
      </c>
      <c r="U66" s="5">
        <f t="shared" ref="U66:U129" si="28">IF(I66=0,0,Q66/I66*90)</f>
        <v>0</v>
      </c>
      <c r="V66" s="3">
        <f t="shared" ref="V66:V129" si="29">IF(E66=0,0,L66/E66)</f>
        <v>1.3333333333333333</v>
      </c>
      <c r="W66" s="5">
        <f t="shared" ref="W66:W129" si="30">IF(E66=0,0,Q66/E66)</f>
        <v>0</v>
      </c>
      <c r="X66" s="5">
        <f>IFERROR(IF(OR($B66="MID",$B66="FWD"),INDEX(FIXTURE_ANALYSIS!$Q:$Q,MATCH($D66,FIXTURE_ANALYSIS!$A:$A,0)),INDEX(FIXTURE_ANALYSIS!$R:$R,MATCH($D66,FIXTURE_ANALYSIS!$A:$A,0))),1)</f>
        <v>0.85492657615677192</v>
      </c>
      <c r="Y66" s="5">
        <f t="shared" ref="Y66:Y129" si="31">X66</f>
        <v>0.85492657615677192</v>
      </c>
      <c r="Z66" s="8">
        <f>INDEX(FPL_Raw_Data!$T:$T,MATCH(A66,FPL_Raw_Data!$AA:$AA,0))</f>
        <v>3</v>
      </c>
      <c r="AA66" s="8">
        <f>INDEX(FPL_Raw_Data!$S:$S,MATCH(A66,FPL_Raw_Data!$AA:$AA,0))</f>
        <v>0</v>
      </c>
      <c r="AB66" s="2">
        <f t="shared" ref="AB66:AB129" si="32">IF(B66="DEF",MIN(AA66/10,1),IF(OR(B66="MID",B66="FWD"),MIN(AA66/12,1),0))</f>
        <v>0</v>
      </c>
      <c r="AC66" s="2">
        <f>INDEX(FPL_Raw_Data!$Q:$Q,MATCH(A66,FPL_Raw_Data!$AA:$AA,0))</f>
        <v>0</v>
      </c>
      <c r="AD66" s="8">
        <f>INDEX(FPL_Raw_Data!$R:$R,MATCH(A66,FPL_Raw_Data!$AA:$AA,0))</f>
        <v>33</v>
      </c>
      <c r="AE66" s="8">
        <f>INDEX(FPL_Raw_Data!$N:$N,MATCH(A66,FPL_Raw_Data!$AA:$AA,0))</f>
        <v>0</v>
      </c>
      <c r="AF66" s="8">
        <f>INDEX(FPL_Raw_Data!$L:$L,MATCH(A66,FPL_Raw_Data!$AA:$AA,0))</f>
        <v>0</v>
      </c>
      <c r="AG66" s="2">
        <f>INDEX(FPL_Raw_Data!$M:$M,MATCH(A66,FPL_Raw_Data!$AA:$AA,0))</f>
        <v>0</v>
      </c>
      <c r="AH66" s="2">
        <f t="shared" ref="AH66:AH129" si="33">IF(B66="GK",S66*10,IF(B66="DEF",S66*6,IF(B66="MID",S66*5,S66*4)))</f>
        <v>0</v>
      </c>
      <c r="AI66" s="2">
        <f t="shared" ref="AI66:AI129" si="34">T66*3</f>
        <v>0</v>
      </c>
      <c r="AJ66" s="2">
        <f t="shared" ref="AJ66:AJ129" si="35">K66*2</f>
        <v>2</v>
      </c>
      <c r="AK66" s="2">
        <f t="shared" ref="AK66:AK129" si="36">AB66*2</f>
        <v>0</v>
      </c>
      <c r="AL66" s="2">
        <f t="shared" ref="AL66:AL129" si="37">IFERROR(AE66/Z66,0)</f>
        <v>0</v>
      </c>
      <c r="AM66" s="2">
        <f t="shared" ref="AM66:AM129" si="38">IF(OR(B66="GK",B66="DEF"),AL66*4,IF(B66="MID",AL66*1,0))</f>
        <v>0</v>
      </c>
      <c r="AN66" s="2">
        <f t="shared" ref="AN66:AN129" si="39">IFERROR(AC66/Z66,0)</f>
        <v>0</v>
      </c>
      <c r="AO66" s="3">
        <f t="shared" ref="AO66:AO129" si="40">IFERROR(_xlfn.PERCENTRANK.INC($R$2:$R$700,R66)*100,0)</f>
        <v>45.9</v>
      </c>
      <c r="AP66">
        <f t="shared" ref="AP66:AP129" si="41">IFERROR(_xlfn.PERCENTRANK.INC($U$2:$U$700,U66)*100,0)</f>
        <v>0</v>
      </c>
      <c r="AQ66">
        <f t="shared" ref="AQ66:AQ129" si="42">IFERROR(_xlfn.PERCENTRANK.INC($V$2:$V$700,V66)*100,0)</f>
        <v>74.900000000000006</v>
      </c>
      <c r="AR66">
        <f t="shared" ref="AR66:AR129" si="43">IFERROR(_xlfn.PERCENTRANK.INC($W$2:$W$700,W66)*100,0)</f>
        <v>0</v>
      </c>
      <c r="AS66" s="2">
        <f t="shared" ref="AS66:AS129" si="44">K66*100</f>
        <v>100</v>
      </c>
      <c r="AT66" s="2">
        <f>IFERROR(INDEX(Player_Model!$BC$2:$BC$596,MATCH($A66,Player_Model!$A$2:$A$596,0)),0)</f>
        <v>2.5647797284703158</v>
      </c>
      <c r="AU66" s="2">
        <f>Table8[[#This Row],[Model Expected Points]]*Table8[[#This Row],[Fixture Adjustment]]</f>
        <v>2.1926983518574223</v>
      </c>
      <c r="AV66" s="2">
        <f>Table8[[#This Row],[Fixture Adjusted Points / 90]]/Table8[[#This Row],[Price]]</f>
        <v>0.48726630041276053</v>
      </c>
      <c r="AW66">
        <f t="shared" ref="AW66:AW129" si="45">IF(OR(B66="MID",B66="FWD"),AVERAGE(AO66,AP66),IF(B66="DEF",AP66,0))</f>
        <v>0</v>
      </c>
      <c r="AX66">
        <f t="shared" ref="AX66:AX129" si="46">IF(B66="GK",AVERAGE(AS66,X66),IF(B66="DEF",AVERAGE(AB66,X66),IF(B66="MID",AB66,0)))</f>
        <v>50.427463288078386</v>
      </c>
      <c r="AY66" s="2">
        <f t="shared" ref="AY66:AY129" si="47">AS66</f>
        <v>100</v>
      </c>
      <c r="AZ66" s="5">
        <f t="shared" ref="AZ66:AZ129" si="48">X66</f>
        <v>0.85492657615677192</v>
      </c>
      <c r="BA66">
        <f>Table8[[#This Row],[Model Score2]]</f>
        <v>2.5647797284703158</v>
      </c>
      <c r="BB66">
        <f>IFERROR(INDEX(Player_Model!$BG$2:$BG$596,MATCH($A66,Player_Model!$A$2:$A$596,0)),"")</f>
        <v>19</v>
      </c>
      <c r="BC66" t="str">
        <f t="shared" ref="BC66:BC129" si="49">IF(BB66=1,"TOP PICK",IF(BB66&lt;=5,"STRONG PICK",IF(BB66&lt;=10,"CONSIDER","AVOID")))</f>
        <v>AVOID</v>
      </c>
      <c r="BD66">
        <f>IF(H66=1,Table8[[#This Row],[Model Score]],-10000)</f>
        <v>2.5647797284703158</v>
      </c>
      <c r="BE66">
        <f>IFERROR(INDEX(Player_Model!$BF$2:$BF$596,MATCH($A66,Player_Model!$A$2:$A$596,0)),"")</f>
        <v>224</v>
      </c>
      <c r="BF66">
        <f>IFERROR(INDEX(Player_Model!$BG$2:$BG$596,MATCH($A66,Player_Model!$A$2:$A$596,0)),"")</f>
        <v>19</v>
      </c>
      <c r="BG66">
        <f>IFERROR(INDEX(Player_Model!$BE$2:$BE$596,MATCH($A66,Player_Model!$A$2:$A$596,0)),0)</f>
        <v>2.5647797284703158</v>
      </c>
    </row>
    <row r="67" spans="1:59" x14ac:dyDescent="0.25">
      <c r="A67" t="str">
        <f>tblPlayers[first_name]&amp;" "&amp;tblPlayers[second_name]</f>
        <v>Fraser Forster</v>
      </c>
      <c r="B67" t="str">
        <f>_xlfn.SWITCH(tblPlayers[element_type],1,"GK",2,"DEF",3,"MID",4,"FWD")</f>
        <v>GK</v>
      </c>
      <c r="C67">
        <f>tblPlayers[team]</f>
        <v>3</v>
      </c>
      <c r="D67" t="str">
        <f>INDEX(tblTeams[Column1.short_name],MATCH(C67,tblTeams[Column1.id],0))</f>
        <v>BOU</v>
      </c>
      <c r="E67" s="4">
        <f>INDEX(FPL_Raw_Data!$F:$F,MATCH(A67,FPL_Raw_Data!$AA:$AA,0))/10</f>
        <v>4</v>
      </c>
      <c r="F67" s="4" t="str">
        <f>tblPlayers[[#This Row],[status]]</f>
        <v>a</v>
      </c>
      <c r="G67" s="4" t="b">
        <f>tblPlayers[[#This Row],[can_select]]</f>
        <v>1</v>
      </c>
      <c r="H67">
        <f>IF(AND(Table8[[#This Row],[Availability Status]]="a",Table8[[#This Row],[Can Select]]=TRUE),1,0)</f>
        <v>1</v>
      </c>
      <c r="I67">
        <f>tblPlayers[minutes]</f>
        <v>0</v>
      </c>
      <c r="J67" s="2">
        <f>Table8[[#This Row],[Minutes]]/90</f>
        <v>0</v>
      </c>
      <c r="K67" s="5">
        <f>IFERROR(Z67/(FIXTURE_ANALYSIS!$B$1-1),0)</f>
        <v>0</v>
      </c>
      <c r="L67">
        <f>tblPlayers[total_points]</f>
        <v>0</v>
      </c>
      <c r="M67">
        <f>tblPlayers[points_per_game]</f>
        <v>0</v>
      </c>
      <c r="N67">
        <f>tblPlayers[form]</f>
        <v>0</v>
      </c>
      <c r="O67">
        <f>tblPlayers[expected_goals]</f>
        <v>0</v>
      </c>
      <c r="P67">
        <f>tblPlayers[expected_assists]</f>
        <v>0</v>
      </c>
      <c r="Q67">
        <f>tblPlayers[expected_goal_involvements]</f>
        <v>0</v>
      </c>
      <c r="R67" s="2">
        <f t="shared" si="25"/>
        <v>0</v>
      </c>
      <c r="S67" s="5">
        <f t="shared" si="26"/>
        <v>0</v>
      </c>
      <c r="T67" s="5">
        <f t="shared" si="27"/>
        <v>0</v>
      </c>
      <c r="U67" s="5">
        <f t="shared" si="28"/>
        <v>0</v>
      </c>
      <c r="V67" s="3">
        <f t="shared" si="29"/>
        <v>0</v>
      </c>
      <c r="W67" s="5">
        <f t="shared" si="30"/>
        <v>0</v>
      </c>
      <c r="X67" s="5">
        <f>IFERROR(IF(OR($B67="MID",$B67="FWD"),INDEX(FIXTURE_ANALYSIS!$Q:$Q,MATCH($D67,FIXTURE_ANALYSIS!$A:$A,0)),INDEX(FIXTURE_ANALYSIS!$R:$R,MATCH($D67,FIXTURE_ANALYSIS!$A:$A,0))),1)</f>
        <v>0.85492657615677192</v>
      </c>
      <c r="Y67" s="5">
        <f t="shared" si="31"/>
        <v>0.85492657615677192</v>
      </c>
      <c r="Z67" s="8">
        <f>INDEX(FPL_Raw_Data!$T:$T,MATCH(A67,FPL_Raw_Data!$AA:$AA,0))</f>
        <v>0</v>
      </c>
      <c r="AA67" s="8">
        <f>INDEX(FPL_Raw_Data!$S:$S,MATCH(A67,FPL_Raw_Data!$AA:$AA,0))</f>
        <v>0</v>
      </c>
      <c r="AB67" s="2">
        <f t="shared" si="32"/>
        <v>0</v>
      </c>
      <c r="AC67" s="2">
        <f>INDEX(FPL_Raw_Data!$Q:$Q,MATCH(A67,FPL_Raw_Data!$AA:$AA,0))</f>
        <v>0</v>
      </c>
      <c r="AD67" s="8">
        <f>INDEX(FPL_Raw_Data!$R:$R,MATCH(A67,FPL_Raw_Data!$AA:$AA,0))</f>
        <v>0</v>
      </c>
      <c r="AE67" s="8">
        <f>INDEX(FPL_Raw_Data!$N:$N,MATCH(A67,FPL_Raw_Data!$AA:$AA,0))</f>
        <v>0</v>
      </c>
      <c r="AF67" s="8">
        <f>INDEX(FPL_Raw_Data!$L:$L,MATCH(A67,FPL_Raw_Data!$AA:$AA,0))</f>
        <v>0</v>
      </c>
      <c r="AG67" s="2">
        <f>INDEX(FPL_Raw_Data!$M:$M,MATCH(A67,FPL_Raw_Data!$AA:$AA,0))</f>
        <v>0</v>
      </c>
      <c r="AH67" s="2">
        <f t="shared" si="33"/>
        <v>0</v>
      </c>
      <c r="AI67" s="2">
        <f t="shared" si="34"/>
        <v>0</v>
      </c>
      <c r="AJ67" s="2">
        <f t="shared" si="35"/>
        <v>0</v>
      </c>
      <c r="AK67" s="2">
        <f t="shared" si="36"/>
        <v>0</v>
      </c>
      <c r="AL67" s="2">
        <f t="shared" si="37"/>
        <v>0</v>
      </c>
      <c r="AM67" s="2">
        <f t="shared" si="38"/>
        <v>0</v>
      </c>
      <c r="AN67" s="2">
        <f t="shared" si="39"/>
        <v>0</v>
      </c>
      <c r="AO67" s="3">
        <f t="shared" si="40"/>
        <v>0.1</v>
      </c>
      <c r="AP67">
        <f t="shared" si="41"/>
        <v>0</v>
      </c>
      <c r="AQ67">
        <f t="shared" si="42"/>
        <v>0.1</v>
      </c>
      <c r="AR67">
        <f t="shared" si="43"/>
        <v>0</v>
      </c>
      <c r="AS67" s="2">
        <f t="shared" si="44"/>
        <v>0</v>
      </c>
      <c r="AT67" s="2">
        <f>IFERROR(INDEX(Player_Model!$BC$2:$BC$596,MATCH($A67,Player_Model!$A$2:$A$596,0)),0)</f>
        <v>0</v>
      </c>
      <c r="AU67" s="2">
        <f>Table8[[#This Row],[Model Expected Points]]*Table8[[#This Row],[Fixture Adjustment]]</f>
        <v>0</v>
      </c>
      <c r="AV67" s="2">
        <f>Table8[[#This Row],[Fixture Adjusted Points / 90]]/Table8[[#This Row],[Price]]</f>
        <v>0</v>
      </c>
      <c r="AW67">
        <f t="shared" si="45"/>
        <v>0</v>
      </c>
      <c r="AX67">
        <f t="shared" si="46"/>
        <v>0.42746328807838596</v>
      </c>
      <c r="AY67" s="2">
        <f t="shared" si="47"/>
        <v>0</v>
      </c>
      <c r="AZ67" s="5">
        <f t="shared" si="48"/>
        <v>0.85492657615677192</v>
      </c>
      <c r="BA67">
        <f>Table8[[#This Row],[Model Score2]]</f>
        <v>0</v>
      </c>
      <c r="BB67">
        <f>IFERROR(INDEX(Player_Model!$BG$2:$BG$596,MATCH($A67,Player_Model!$A$2:$A$596,0)),"")</f>
        <v>24</v>
      </c>
      <c r="BC67" t="str">
        <f t="shared" si="49"/>
        <v>AVOID</v>
      </c>
      <c r="BD67">
        <f>IF(H67=1,Table8[[#This Row],[Model Score]],-10000)</f>
        <v>0</v>
      </c>
      <c r="BE67">
        <f>IFERROR(INDEX(Player_Model!$BF$2:$BF$596,MATCH($A67,Player_Model!$A$2:$A$596,0)),"")</f>
        <v>253</v>
      </c>
      <c r="BF67">
        <f>IFERROR(INDEX(Player_Model!$BG$2:$BG$596,MATCH($A67,Player_Model!$A$2:$A$596,0)),"")</f>
        <v>24</v>
      </c>
      <c r="BG67">
        <f>IFERROR(INDEX(Player_Model!$BE$2:$BE$596,MATCH($A67,Player_Model!$A$2:$A$596,0)),0)</f>
        <v>0</v>
      </c>
    </row>
    <row r="68" spans="1:59" x14ac:dyDescent="0.25">
      <c r="A68" t="str">
        <f>tblPlayers[first_name]&amp;" "&amp;tblPlayers[second_name]</f>
        <v>Will Dennis</v>
      </c>
      <c r="B68" t="str">
        <f>_xlfn.SWITCH(tblPlayers[element_type],1,"GK",2,"DEF",3,"MID",4,"FWD")</f>
        <v>GK</v>
      </c>
      <c r="C68">
        <f>tblPlayers[team]</f>
        <v>3</v>
      </c>
      <c r="D68" t="str">
        <f>INDEX(tblTeams[Column1.short_name],MATCH(C68,tblTeams[Column1.id],0))</f>
        <v>BOU</v>
      </c>
      <c r="E68" s="4">
        <f>INDEX(FPL_Raw_Data!$F:$F,MATCH(A68,FPL_Raw_Data!$AA:$AA,0))/10</f>
        <v>4</v>
      </c>
      <c r="F68" s="4" t="str">
        <f>tblPlayers[[#This Row],[status]]</f>
        <v>u</v>
      </c>
      <c r="G68" s="4" t="b">
        <f>tblPlayers[[#This Row],[can_select]]</f>
        <v>0</v>
      </c>
      <c r="H68">
        <f>IF(AND(Table8[[#This Row],[Availability Status]]="a",Table8[[#This Row],[Can Select]]=TRUE),1,0)</f>
        <v>0</v>
      </c>
      <c r="I68">
        <f>tblPlayers[minutes]</f>
        <v>0</v>
      </c>
      <c r="J68" s="2">
        <f>Table8[[#This Row],[Minutes]]/90</f>
        <v>0</v>
      </c>
      <c r="K68" s="5">
        <f>IFERROR(Z68/(FIXTURE_ANALYSIS!$B$1-1),0)</f>
        <v>0</v>
      </c>
      <c r="L68">
        <f>tblPlayers[total_points]</f>
        <v>0</v>
      </c>
      <c r="M68">
        <f>tblPlayers[points_per_game]</f>
        <v>0</v>
      </c>
      <c r="N68">
        <f>tblPlayers[form]</f>
        <v>0</v>
      </c>
      <c r="O68">
        <f>tblPlayers[expected_goals]</f>
        <v>0</v>
      </c>
      <c r="P68">
        <f>tblPlayers[expected_assists]</f>
        <v>0</v>
      </c>
      <c r="Q68">
        <f>tblPlayers[expected_goal_involvements]</f>
        <v>0</v>
      </c>
      <c r="R68" s="2">
        <f t="shared" si="25"/>
        <v>0</v>
      </c>
      <c r="S68" s="5">
        <f t="shared" si="26"/>
        <v>0</v>
      </c>
      <c r="T68" s="5">
        <f t="shared" si="27"/>
        <v>0</v>
      </c>
      <c r="U68" s="5">
        <f t="shared" si="28"/>
        <v>0</v>
      </c>
      <c r="V68" s="3">
        <f t="shared" si="29"/>
        <v>0</v>
      </c>
      <c r="W68" s="5">
        <f t="shared" si="30"/>
        <v>0</v>
      </c>
      <c r="X68" s="5">
        <f>IFERROR(IF(OR($B68="MID",$B68="FWD"),INDEX(FIXTURE_ANALYSIS!$Q:$Q,MATCH($D68,FIXTURE_ANALYSIS!$A:$A,0)),INDEX(FIXTURE_ANALYSIS!$R:$R,MATCH($D68,FIXTURE_ANALYSIS!$A:$A,0))),1)</f>
        <v>0.85492657615677192</v>
      </c>
      <c r="Y68" s="5">
        <f t="shared" si="31"/>
        <v>0.85492657615677192</v>
      </c>
      <c r="Z68" s="8">
        <f>INDEX(FPL_Raw_Data!$T:$T,MATCH(A68,FPL_Raw_Data!$AA:$AA,0))</f>
        <v>0</v>
      </c>
      <c r="AA68" s="8">
        <f>INDEX(FPL_Raw_Data!$S:$S,MATCH(A68,FPL_Raw_Data!$AA:$AA,0))</f>
        <v>0</v>
      </c>
      <c r="AB68" s="2">
        <f t="shared" si="32"/>
        <v>0</v>
      </c>
      <c r="AC68" s="2">
        <f>INDEX(FPL_Raw_Data!$Q:$Q,MATCH(A68,FPL_Raw_Data!$AA:$AA,0))</f>
        <v>0</v>
      </c>
      <c r="AD68" s="8">
        <f>INDEX(FPL_Raw_Data!$R:$R,MATCH(A68,FPL_Raw_Data!$AA:$AA,0))</f>
        <v>0</v>
      </c>
      <c r="AE68" s="8">
        <f>INDEX(FPL_Raw_Data!$N:$N,MATCH(A68,FPL_Raw_Data!$AA:$AA,0))</f>
        <v>0</v>
      </c>
      <c r="AF68" s="8">
        <f>INDEX(FPL_Raw_Data!$L:$L,MATCH(A68,FPL_Raw_Data!$AA:$AA,0))</f>
        <v>0</v>
      </c>
      <c r="AG68" s="2">
        <f>INDEX(FPL_Raw_Data!$M:$M,MATCH(A68,FPL_Raw_Data!$AA:$AA,0))</f>
        <v>0</v>
      </c>
      <c r="AH68" s="2">
        <f t="shared" si="33"/>
        <v>0</v>
      </c>
      <c r="AI68" s="2">
        <f t="shared" si="34"/>
        <v>0</v>
      </c>
      <c r="AJ68" s="2">
        <f t="shared" si="35"/>
        <v>0</v>
      </c>
      <c r="AK68" s="2">
        <f t="shared" si="36"/>
        <v>0</v>
      </c>
      <c r="AL68" s="2">
        <f t="shared" si="37"/>
        <v>0</v>
      </c>
      <c r="AM68" s="2">
        <f t="shared" si="38"/>
        <v>0</v>
      </c>
      <c r="AN68" s="2">
        <f t="shared" si="39"/>
        <v>0</v>
      </c>
      <c r="AO68" s="3">
        <f t="shared" si="40"/>
        <v>0.1</v>
      </c>
      <c r="AP68">
        <f t="shared" si="41"/>
        <v>0</v>
      </c>
      <c r="AQ68">
        <f t="shared" si="42"/>
        <v>0.1</v>
      </c>
      <c r="AR68">
        <f t="shared" si="43"/>
        <v>0</v>
      </c>
      <c r="AS68" s="2">
        <f t="shared" si="44"/>
        <v>0</v>
      </c>
      <c r="AT68" s="2">
        <f>IFERROR(INDEX(Player_Model!$BC$2:$BC$596,MATCH($A68,Player_Model!$A$2:$A$596,0)),0)</f>
        <v>0</v>
      </c>
      <c r="AU68" s="2">
        <f>Table8[[#This Row],[Model Expected Points]]*Table8[[#This Row],[Fixture Adjustment]]</f>
        <v>0</v>
      </c>
      <c r="AV68" s="2">
        <f>Table8[[#This Row],[Fixture Adjusted Points / 90]]/Table8[[#This Row],[Price]]</f>
        <v>0</v>
      </c>
      <c r="AW68">
        <f t="shared" si="45"/>
        <v>0</v>
      </c>
      <c r="AX68">
        <f t="shared" si="46"/>
        <v>0.42746328807838596</v>
      </c>
      <c r="AY68" s="2">
        <f t="shared" si="47"/>
        <v>0</v>
      </c>
      <c r="AZ68" s="5">
        <f t="shared" si="48"/>
        <v>0.85492657615677192</v>
      </c>
      <c r="BA68">
        <f>Table8[[#This Row],[Model Score2]]</f>
        <v>0</v>
      </c>
      <c r="BB68">
        <f>IFERROR(INDEX(Player_Model!$BG$2:$BG$596,MATCH($A68,Player_Model!$A$2:$A$596,0)),"")</f>
        <v>25</v>
      </c>
      <c r="BC68" t="str">
        <f t="shared" si="49"/>
        <v>AVOID</v>
      </c>
      <c r="BD68">
        <f>IF(H68=1,Table8[[#This Row],[Model Score]],-10000)</f>
        <v>-10000</v>
      </c>
      <c r="BE68">
        <f>IFERROR(INDEX(Player_Model!$BF$2:$BF$596,MATCH($A68,Player_Model!$A$2:$A$596,0)),"")</f>
        <v>253</v>
      </c>
      <c r="BF68">
        <f>IFERROR(INDEX(Player_Model!$BG$2:$BG$596,MATCH($A68,Player_Model!$A$2:$A$596,0)),"")</f>
        <v>25</v>
      </c>
      <c r="BG68">
        <f>IFERROR(INDEX(Player_Model!$BE$2:$BE$596,MATCH($A68,Player_Model!$A$2:$A$596,0)),0)</f>
        <v>0</v>
      </c>
    </row>
    <row r="69" spans="1:59" x14ac:dyDescent="0.25">
      <c r="A69" t="str">
        <f>tblPlayers[first_name]&amp;" "&amp;tblPlayers[second_name]</f>
        <v>James Hill</v>
      </c>
      <c r="B69" t="str">
        <f>_xlfn.SWITCH(tblPlayers[element_type],1,"GK",2,"DEF",3,"MID",4,"FWD")</f>
        <v>DEF</v>
      </c>
      <c r="C69">
        <f>tblPlayers[team]</f>
        <v>3</v>
      </c>
      <c r="D69" t="str">
        <f>INDEX(tblTeams[Column1.short_name],MATCH(C69,tblTeams[Column1.id],0))</f>
        <v>BOU</v>
      </c>
      <c r="E69" s="4">
        <f>INDEX(FPL_Raw_Data!$F:$F,MATCH(A69,FPL_Raw_Data!$AA:$AA,0))/10</f>
        <v>5.5</v>
      </c>
      <c r="F69" s="4" t="str">
        <f>tblPlayers[[#This Row],[status]]</f>
        <v>a</v>
      </c>
      <c r="G69" s="4" t="b">
        <f>tblPlayers[[#This Row],[can_select]]</f>
        <v>1</v>
      </c>
      <c r="H69">
        <f>IF(AND(Table8[[#This Row],[Availability Status]]="a",Table8[[#This Row],[Can Select]]=TRUE),1,0)</f>
        <v>1</v>
      </c>
      <c r="I69">
        <f>tblPlayers[minutes]</f>
        <v>270</v>
      </c>
      <c r="J69" s="2">
        <f>Table8[[#This Row],[Minutes]]/90</f>
        <v>3</v>
      </c>
      <c r="K69" s="5">
        <f>IFERROR(Z69/(FIXTURE_ANALYSIS!$B$1-1),0)</f>
        <v>1</v>
      </c>
      <c r="L69">
        <f>tblPlayers[total_points]</f>
        <v>6</v>
      </c>
      <c r="M69">
        <f>tblPlayers[points_per_game]</f>
        <v>2</v>
      </c>
      <c r="N69">
        <f>tblPlayers[form]</f>
        <v>2</v>
      </c>
      <c r="O69">
        <f>tblPlayers[expected_goals]</f>
        <v>0</v>
      </c>
      <c r="P69">
        <f>tblPlayers[expected_assists]</f>
        <v>0.76</v>
      </c>
      <c r="Q69">
        <f>tblPlayers[expected_goal_involvements]</f>
        <v>0.76</v>
      </c>
      <c r="R69" s="2">
        <f t="shared" si="25"/>
        <v>2</v>
      </c>
      <c r="S69" s="5">
        <f t="shared" si="26"/>
        <v>0</v>
      </c>
      <c r="T69" s="5">
        <f t="shared" si="27"/>
        <v>0.2533333333333333</v>
      </c>
      <c r="U69" s="5">
        <f t="shared" si="28"/>
        <v>0.2533333333333333</v>
      </c>
      <c r="V69" s="3">
        <f t="shared" si="29"/>
        <v>1.0909090909090908</v>
      </c>
      <c r="W69" s="5">
        <f t="shared" si="30"/>
        <v>0.13818181818181818</v>
      </c>
      <c r="X69" s="5">
        <f>IFERROR(IF(OR($B69="MID",$B69="FWD"),INDEX(FIXTURE_ANALYSIS!$Q:$Q,MATCH($D69,FIXTURE_ANALYSIS!$A:$A,0)),INDEX(FIXTURE_ANALYSIS!$R:$R,MATCH($D69,FIXTURE_ANALYSIS!$A:$A,0))),1)</f>
        <v>0.85492657615677192</v>
      </c>
      <c r="Y69" s="5">
        <f t="shared" si="31"/>
        <v>0.85492657615677192</v>
      </c>
      <c r="Z69" s="8">
        <f>INDEX(FPL_Raw_Data!$T:$T,MATCH(A69,FPL_Raw_Data!$AA:$AA,0))</f>
        <v>3</v>
      </c>
      <c r="AA69" s="8">
        <f>INDEX(FPL_Raw_Data!$S:$S,MATCH(A69,FPL_Raw_Data!$AA:$AA,0))</f>
        <v>24</v>
      </c>
      <c r="AB69" s="2">
        <f t="shared" si="32"/>
        <v>1</v>
      </c>
      <c r="AC69" s="2">
        <f>INDEX(FPL_Raw_Data!$Q:$Q,MATCH(A69,FPL_Raw_Data!$AA:$AA,0))</f>
        <v>0</v>
      </c>
      <c r="AD69" s="8">
        <f>INDEX(FPL_Raw_Data!$R:$R,MATCH(A69,FPL_Raw_Data!$AA:$AA,0))</f>
        <v>23</v>
      </c>
      <c r="AE69" s="8">
        <f>INDEX(FPL_Raw_Data!$N:$N,MATCH(A69,FPL_Raw_Data!$AA:$AA,0))</f>
        <v>0</v>
      </c>
      <c r="AF69" s="8">
        <f>INDEX(FPL_Raw_Data!$L:$L,MATCH(A69,FPL_Raw_Data!$AA:$AA,0))</f>
        <v>0</v>
      </c>
      <c r="AG69" s="2">
        <f>INDEX(FPL_Raw_Data!$M:$M,MATCH(A69,FPL_Raw_Data!$AA:$AA,0))</f>
        <v>0</v>
      </c>
      <c r="AH69" s="2">
        <f t="shared" si="33"/>
        <v>0</v>
      </c>
      <c r="AI69" s="2">
        <f t="shared" si="34"/>
        <v>0.7599999999999999</v>
      </c>
      <c r="AJ69" s="2">
        <f t="shared" si="35"/>
        <v>2</v>
      </c>
      <c r="AK69" s="2">
        <f t="shared" si="36"/>
        <v>2</v>
      </c>
      <c r="AL69" s="2">
        <f t="shared" si="37"/>
        <v>0</v>
      </c>
      <c r="AM69" s="2">
        <f t="shared" si="38"/>
        <v>0</v>
      </c>
      <c r="AN69" s="2">
        <f t="shared" si="39"/>
        <v>0</v>
      </c>
      <c r="AO69" s="3">
        <f t="shared" si="40"/>
        <v>45.9</v>
      </c>
      <c r="AP69">
        <f t="shared" si="41"/>
        <v>80.300000000000011</v>
      </c>
      <c r="AQ69">
        <f t="shared" si="42"/>
        <v>70.199999999999989</v>
      </c>
      <c r="AR69">
        <f t="shared" si="43"/>
        <v>90.2</v>
      </c>
      <c r="AS69" s="2">
        <f t="shared" si="44"/>
        <v>100</v>
      </c>
      <c r="AT69" s="2">
        <f>IFERROR(INDEX(Player_Model!$BC$2:$BC$596,MATCH($A69,Player_Model!$A$2:$A$596,0)),0)</f>
        <v>2.9798076698590972</v>
      </c>
      <c r="AU69" s="2">
        <f>Table8[[#This Row],[Model Expected Points]]*Table8[[#This Row],[Fixture Adjustment]]</f>
        <v>2.5475167687983267</v>
      </c>
      <c r="AV69" s="2">
        <f>Table8[[#This Row],[Fixture Adjusted Points / 90]]/Table8[[#This Row],[Price]]</f>
        <v>0.46318486705424122</v>
      </c>
      <c r="AW69">
        <f t="shared" si="45"/>
        <v>80.300000000000011</v>
      </c>
      <c r="AX69">
        <f t="shared" si="46"/>
        <v>0.92746328807838596</v>
      </c>
      <c r="AY69" s="2">
        <f t="shared" si="47"/>
        <v>100</v>
      </c>
      <c r="AZ69" s="5">
        <f t="shared" si="48"/>
        <v>0.85492657615677192</v>
      </c>
      <c r="BA69">
        <f>Table8[[#This Row],[Model Score2]]</f>
        <v>2.9798076698590972</v>
      </c>
      <c r="BB69">
        <f>IFERROR(INDEX(Player_Model!$BG$2:$BG$596,MATCH($A69,Player_Model!$A$2:$A$596,0)),"")</f>
        <v>62</v>
      </c>
      <c r="BC69" t="str">
        <f t="shared" si="49"/>
        <v>AVOID</v>
      </c>
      <c r="BD69">
        <f>IF(H69=1,Table8[[#This Row],[Model Score]],-10000)</f>
        <v>2.9798076698590972</v>
      </c>
      <c r="BE69">
        <f>IFERROR(INDEX(Player_Model!$BF$2:$BF$596,MATCH($A69,Player_Model!$A$2:$A$596,0)),"")</f>
        <v>202</v>
      </c>
      <c r="BF69">
        <f>IFERROR(INDEX(Player_Model!$BG$2:$BG$596,MATCH($A69,Player_Model!$A$2:$A$596,0)),"")</f>
        <v>62</v>
      </c>
      <c r="BG69">
        <f>IFERROR(INDEX(Player_Model!$BE$2:$BE$596,MATCH($A69,Player_Model!$A$2:$A$596,0)),0)</f>
        <v>2.9798076698590972</v>
      </c>
    </row>
    <row r="70" spans="1:59" x14ac:dyDescent="0.25">
      <c r="A70" t="str">
        <f>tblPlayers[first_name]&amp;" "&amp;tblPlayers[second_name]</f>
        <v>Adrien Truffert</v>
      </c>
      <c r="B70" t="str">
        <f>_xlfn.SWITCH(tblPlayers[element_type],1,"GK",2,"DEF",3,"MID",4,"FWD")</f>
        <v>DEF</v>
      </c>
      <c r="C70">
        <f>tblPlayers[team]</f>
        <v>3</v>
      </c>
      <c r="D70" t="str">
        <f>INDEX(tblTeams[Column1.short_name],MATCH(C70,tblTeams[Column1.id],0))</f>
        <v>BOU</v>
      </c>
      <c r="E70" s="4">
        <f>INDEX(FPL_Raw_Data!$F:$F,MATCH(A70,FPL_Raw_Data!$AA:$AA,0))/10</f>
        <v>5.5</v>
      </c>
      <c r="F70" s="4" t="str">
        <f>tblPlayers[[#This Row],[status]]</f>
        <v>a</v>
      </c>
      <c r="G70" s="4" t="b">
        <f>tblPlayers[[#This Row],[can_select]]</f>
        <v>1</v>
      </c>
      <c r="H70">
        <f>IF(AND(Table8[[#This Row],[Availability Status]]="a",Table8[[#This Row],[Can Select]]=TRUE),1,0)</f>
        <v>1</v>
      </c>
      <c r="I70">
        <f>tblPlayers[minutes]</f>
        <v>270</v>
      </c>
      <c r="J70" s="2">
        <f>Table8[[#This Row],[Minutes]]/90</f>
        <v>3</v>
      </c>
      <c r="K70" s="5">
        <f>IFERROR(Z70/(FIXTURE_ANALYSIS!$B$1-1),0)</f>
        <v>1</v>
      </c>
      <c r="L70">
        <f>tblPlayers[total_points]</f>
        <v>5</v>
      </c>
      <c r="M70">
        <f>tblPlayers[points_per_game]</f>
        <v>1.7</v>
      </c>
      <c r="N70">
        <f>tblPlayers[form]</f>
        <v>1.7</v>
      </c>
      <c r="O70">
        <f>tblPlayers[expected_goals]</f>
        <v>0.01</v>
      </c>
      <c r="P70">
        <f>tblPlayers[expected_assists]</f>
        <v>0.13</v>
      </c>
      <c r="Q70">
        <f>tblPlayers[expected_goal_involvements]</f>
        <v>0.14000000000000001</v>
      </c>
      <c r="R70" s="2">
        <f t="shared" si="25"/>
        <v>1.6666666666666665</v>
      </c>
      <c r="S70" s="5">
        <f t="shared" si="26"/>
        <v>3.3333333333333331E-3</v>
      </c>
      <c r="T70" s="5">
        <f t="shared" si="27"/>
        <v>4.3333333333333335E-2</v>
      </c>
      <c r="U70" s="5">
        <f t="shared" si="28"/>
        <v>4.6666666666666669E-2</v>
      </c>
      <c r="V70" s="3">
        <f t="shared" si="29"/>
        <v>0.90909090909090906</v>
      </c>
      <c r="W70" s="5">
        <f t="shared" si="30"/>
        <v>2.5454545454545455E-2</v>
      </c>
      <c r="X70" s="5">
        <f>IFERROR(IF(OR($B70="MID",$B70="FWD"),INDEX(FIXTURE_ANALYSIS!$Q:$Q,MATCH($D70,FIXTURE_ANALYSIS!$A:$A,0)),INDEX(FIXTURE_ANALYSIS!$R:$R,MATCH($D70,FIXTURE_ANALYSIS!$A:$A,0))),1)</f>
        <v>0.85492657615677192</v>
      </c>
      <c r="Y70" s="5">
        <f t="shared" si="31"/>
        <v>0.85492657615677192</v>
      </c>
      <c r="Z70" s="8">
        <f>INDEX(FPL_Raw_Data!$T:$T,MATCH(A70,FPL_Raw_Data!$AA:$AA,0))</f>
        <v>3</v>
      </c>
      <c r="AA70" s="8">
        <f>INDEX(FPL_Raw_Data!$S:$S,MATCH(A70,FPL_Raw_Data!$AA:$AA,0))</f>
        <v>22</v>
      </c>
      <c r="AB70" s="2">
        <f t="shared" si="32"/>
        <v>1</v>
      </c>
      <c r="AC70" s="2">
        <f>INDEX(FPL_Raw_Data!$Q:$Q,MATCH(A70,FPL_Raw_Data!$AA:$AA,0))</f>
        <v>2</v>
      </c>
      <c r="AD70" s="8">
        <f>INDEX(FPL_Raw_Data!$R:$R,MATCH(A70,FPL_Raw_Data!$AA:$AA,0))</f>
        <v>24</v>
      </c>
      <c r="AE70" s="8">
        <f>INDEX(FPL_Raw_Data!$N:$N,MATCH(A70,FPL_Raw_Data!$AA:$AA,0))</f>
        <v>0</v>
      </c>
      <c r="AF70" s="8">
        <f>INDEX(FPL_Raw_Data!$L:$L,MATCH(A70,FPL_Raw_Data!$AA:$AA,0))</f>
        <v>0</v>
      </c>
      <c r="AG70" s="2">
        <f>INDEX(FPL_Raw_Data!$M:$M,MATCH(A70,FPL_Raw_Data!$AA:$AA,0))</f>
        <v>0</v>
      </c>
      <c r="AH70" s="2">
        <f t="shared" si="33"/>
        <v>1.9999999999999997E-2</v>
      </c>
      <c r="AI70" s="2">
        <f t="shared" si="34"/>
        <v>0.13</v>
      </c>
      <c r="AJ70" s="2">
        <f t="shared" si="35"/>
        <v>2</v>
      </c>
      <c r="AK70" s="2">
        <f t="shared" si="36"/>
        <v>2</v>
      </c>
      <c r="AL70" s="2">
        <f t="shared" si="37"/>
        <v>0</v>
      </c>
      <c r="AM70" s="2">
        <f t="shared" si="38"/>
        <v>0</v>
      </c>
      <c r="AN70" s="2">
        <f t="shared" si="39"/>
        <v>0.66666666666666663</v>
      </c>
      <c r="AO70" s="3">
        <f t="shared" si="40"/>
        <v>44.4</v>
      </c>
      <c r="AP70">
        <f t="shared" si="41"/>
        <v>60.4</v>
      </c>
      <c r="AQ70">
        <f t="shared" si="42"/>
        <v>67.300000000000011</v>
      </c>
      <c r="AR70">
        <f t="shared" si="43"/>
        <v>69.099999999999994</v>
      </c>
      <c r="AS70" s="2">
        <f t="shared" si="44"/>
        <v>100</v>
      </c>
      <c r="AT70" s="2">
        <f>IFERROR(INDEX(Player_Model!$BC$2:$BC$596,MATCH($A70,Player_Model!$A$2:$A$596,0)),0)</f>
        <v>2.4061501016486635</v>
      </c>
      <c r="AU70" s="2">
        <f>Table8[[#This Row],[Model Expected Points]]*Table8[[#This Row],[Fixture Adjustment]]</f>
        <v>2.0570816681217607</v>
      </c>
      <c r="AV70" s="2">
        <f>Table8[[#This Row],[Fixture Adjusted Points / 90]]/Table8[[#This Row],[Price]]</f>
        <v>0.37401484874941104</v>
      </c>
      <c r="AW70">
        <f t="shared" si="45"/>
        <v>60.4</v>
      </c>
      <c r="AX70">
        <f t="shared" si="46"/>
        <v>0.92746328807838596</v>
      </c>
      <c r="AY70" s="2">
        <f t="shared" si="47"/>
        <v>100</v>
      </c>
      <c r="AZ70" s="5">
        <f t="shared" si="48"/>
        <v>0.85492657615677192</v>
      </c>
      <c r="BA70">
        <f>Table8[[#This Row],[Model Score2]]</f>
        <v>2.4061501016486635</v>
      </c>
      <c r="BB70">
        <f>IFERROR(INDEX(Player_Model!$BG$2:$BG$596,MATCH($A70,Player_Model!$A$2:$A$596,0)),"")</f>
        <v>77</v>
      </c>
      <c r="BC70" t="str">
        <f t="shared" si="49"/>
        <v>AVOID</v>
      </c>
      <c r="BD70">
        <f>IF(H70=1,Table8[[#This Row],[Model Score]],-10000)</f>
        <v>2.4061501016486635</v>
      </c>
      <c r="BE70">
        <f>IFERROR(INDEX(Player_Model!$BF$2:$BF$596,MATCH($A70,Player_Model!$A$2:$A$596,0)),"")</f>
        <v>231</v>
      </c>
      <c r="BF70">
        <f>IFERROR(INDEX(Player_Model!$BG$2:$BG$596,MATCH($A70,Player_Model!$A$2:$A$596,0)),"")</f>
        <v>77</v>
      </c>
      <c r="BG70">
        <f>IFERROR(INDEX(Player_Model!$BE$2:$BE$596,MATCH($A70,Player_Model!$A$2:$A$596,0)),0)</f>
        <v>2.4061501016486635</v>
      </c>
    </row>
    <row r="71" spans="1:59" x14ac:dyDescent="0.25">
      <c r="A71" t="str">
        <f>tblPlayers[first_name]&amp;" "&amp;tblPlayers[second_name]</f>
        <v>Bafodé Diakité</v>
      </c>
      <c r="B71" t="str">
        <f>_xlfn.SWITCH(tblPlayers[element_type],1,"GK",2,"DEF",3,"MID",4,"FWD")</f>
        <v>DEF</v>
      </c>
      <c r="C71">
        <f>tblPlayers[team]</f>
        <v>3</v>
      </c>
      <c r="D71" t="str">
        <f>INDEX(tblTeams[Column1.short_name],MATCH(C71,tblTeams[Column1.id],0))</f>
        <v>BOU</v>
      </c>
      <c r="E71" s="4">
        <f>INDEX(FPL_Raw_Data!$F:$F,MATCH(A71,FPL_Raw_Data!$AA:$AA,0))/10</f>
        <v>5</v>
      </c>
      <c r="F71" s="4" t="str">
        <f>tblPlayers[[#This Row],[status]]</f>
        <v>a</v>
      </c>
      <c r="G71" s="4" t="b">
        <f>tblPlayers[[#This Row],[can_select]]</f>
        <v>1</v>
      </c>
      <c r="H71">
        <f>IF(AND(Table8[[#This Row],[Availability Status]]="a",Table8[[#This Row],[Can Select]]=TRUE),1,0)</f>
        <v>1</v>
      </c>
      <c r="I71">
        <f>tblPlayers[minutes]</f>
        <v>0</v>
      </c>
      <c r="J71" s="2">
        <f>Table8[[#This Row],[Minutes]]/90</f>
        <v>0</v>
      </c>
      <c r="K71" s="5">
        <f>IFERROR(Z71/(FIXTURE_ANALYSIS!$B$1-1),0)</f>
        <v>0</v>
      </c>
      <c r="L71">
        <f>tblPlayers[total_points]</f>
        <v>0</v>
      </c>
      <c r="M71">
        <f>tblPlayers[points_per_game]</f>
        <v>0</v>
      </c>
      <c r="N71">
        <f>tblPlayers[form]</f>
        <v>0</v>
      </c>
      <c r="O71">
        <f>tblPlayers[expected_goals]</f>
        <v>0</v>
      </c>
      <c r="P71">
        <f>tblPlayers[expected_assists]</f>
        <v>0</v>
      </c>
      <c r="Q71">
        <f>tblPlayers[expected_goal_involvements]</f>
        <v>0</v>
      </c>
      <c r="R71" s="2">
        <f t="shared" si="25"/>
        <v>0</v>
      </c>
      <c r="S71" s="5">
        <f t="shared" si="26"/>
        <v>0</v>
      </c>
      <c r="T71" s="5">
        <f t="shared" si="27"/>
        <v>0</v>
      </c>
      <c r="U71" s="5">
        <f t="shared" si="28"/>
        <v>0</v>
      </c>
      <c r="V71" s="3">
        <f t="shared" si="29"/>
        <v>0</v>
      </c>
      <c r="W71" s="5">
        <f t="shared" si="30"/>
        <v>0</v>
      </c>
      <c r="X71" s="5">
        <f>IFERROR(IF(OR($B71="MID",$B71="FWD"),INDEX(FIXTURE_ANALYSIS!$Q:$Q,MATCH($D71,FIXTURE_ANALYSIS!$A:$A,0)),INDEX(FIXTURE_ANALYSIS!$R:$R,MATCH($D71,FIXTURE_ANALYSIS!$A:$A,0))),1)</f>
        <v>0.85492657615677192</v>
      </c>
      <c r="Y71" s="5">
        <f t="shared" si="31"/>
        <v>0.85492657615677192</v>
      </c>
      <c r="Z71" s="8">
        <f>INDEX(FPL_Raw_Data!$T:$T,MATCH(A71,FPL_Raw_Data!$AA:$AA,0))</f>
        <v>0</v>
      </c>
      <c r="AA71" s="8">
        <f>INDEX(FPL_Raw_Data!$S:$S,MATCH(A71,FPL_Raw_Data!$AA:$AA,0))</f>
        <v>0</v>
      </c>
      <c r="AB71" s="2">
        <f t="shared" si="32"/>
        <v>0</v>
      </c>
      <c r="AC71" s="2">
        <f>INDEX(FPL_Raw_Data!$Q:$Q,MATCH(A71,FPL_Raw_Data!$AA:$AA,0))</f>
        <v>0</v>
      </c>
      <c r="AD71" s="8">
        <f>INDEX(FPL_Raw_Data!$R:$R,MATCH(A71,FPL_Raw_Data!$AA:$AA,0))</f>
        <v>0</v>
      </c>
      <c r="AE71" s="8">
        <f>INDEX(FPL_Raw_Data!$N:$N,MATCH(A71,FPL_Raw_Data!$AA:$AA,0))</f>
        <v>0</v>
      </c>
      <c r="AF71" s="8">
        <f>INDEX(FPL_Raw_Data!$L:$L,MATCH(A71,FPL_Raw_Data!$AA:$AA,0))</f>
        <v>0</v>
      </c>
      <c r="AG71" s="2">
        <f>INDEX(FPL_Raw_Data!$M:$M,MATCH(A71,FPL_Raw_Data!$AA:$AA,0))</f>
        <v>0</v>
      </c>
      <c r="AH71" s="2">
        <f t="shared" si="33"/>
        <v>0</v>
      </c>
      <c r="AI71" s="2">
        <f t="shared" si="34"/>
        <v>0</v>
      </c>
      <c r="AJ71" s="2">
        <f t="shared" si="35"/>
        <v>0</v>
      </c>
      <c r="AK71" s="2">
        <f t="shared" si="36"/>
        <v>0</v>
      </c>
      <c r="AL71" s="2">
        <f t="shared" si="37"/>
        <v>0</v>
      </c>
      <c r="AM71" s="2">
        <f t="shared" si="38"/>
        <v>0</v>
      </c>
      <c r="AN71" s="2">
        <f t="shared" si="39"/>
        <v>0</v>
      </c>
      <c r="AO71" s="3">
        <f t="shared" si="40"/>
        <v>0.1</v>
      </c>
      <c r="AP71">
        <f t="shared" si="41"/>
        <v>0</v>
      </c>
      <c r="AQ71">
        <f t="shared" si="42"/>
        <v>0.1</v>
      </c>
      <c r="AR71">
        <f t="shared" si="43"/>
        <v>0</v>
      </c>
      <c r="AS71" s="2">
        <f t="shared" si="44"/>
        <v>0</v>
      </c>
      <c r="AT71" s="2">
        <f>IFERROR(INDEX(Player_Model!$BC$2:$BC$596,MATCH($A71,Player_Model!$A$2:$A$596,0)),0)</f>
        <v>-0.71243881346397664</v>
      </c>
      <c r="AU71" s="2">
        <f>Table8[[#This Row],[Model Expected Points]]*Table8[[#This Row],[Fixture Adjustment]]</f>
        <v>-0.60908287551595064</v>
      </c>
      <c r="AV71" s="2">
        <f>Table8[[#This Row],[Fixture Adjusted Points / 90]]/Table8[[#This Row],[Price]]</f>
        <v>-0.12181657510319013</v>
      </c>
      <c r="AW71">
        <f t="shared" si="45"/>
        <v>0</v>
      </c>
      <c r="AX71">
        <f t="shared" si="46"/>
        <v>0.42746328807838596</v>
      </c>
      <c r="AY71" s="2">
        <f t="shared" si="47"/>
        <v>0</v>
      </c>
      <c r="AZ71" s="5">
        <f t="shared" si="48"/>
        <v>0.85492657615677192</v>
      </c>
      <c r="BA71">
        <f>Table8[[#This Row],[Model Score2]]</f>
        <v>-0.71243881346397664</v>
      </c>
      <c r="BB71">
        <f>IFERROR(INDEX(Player_Model!$BG$2:$BG$596,MATCH($A71,Player_Model!$A$2:$A$596,0)),"")</f>
        <v>140</v>
      </c>
      <c r="BC71" t="str">
        <f t="shared" si="49"/>
        <v>AVOID</v>
      </c>
      <c r="BD71">
        <f>IF(H71=1,Table8[[#This Row],[Model Score]],-10000)</f>
        <v>-0.71243881346397664</v>
      </c>
      <c r="BE71">
        <f>IFERROR(INDEX(Player_Model!$BF$2:$BF$596,MATCH($A71,Player_Model!$A$2:$A$596,0)),"")</f>
        <v>543</v>
      </c>
      <c r="BF71">
        <f>IFERROR(INDEX(Player_Model!$BG$2:$BG$596,MATCH($A71,Player_Model!$A$2:$A$596,0)),"")</f>
        <v>140</v>
      </c>
      <c r="BG71">
        <f>IFERROR(INDEX(Player_Model!$BE$2:$BE$596,MATCH($A71,Player_Model!$A$2:$A$596,0)),0)</f>
        <v>-0.71243881346397664</v>
      </c>
    </row>
    <row r="72" spans="1:59" x14ac:dyDescent="0.25">
      <c r="A72" t="str">
        <f>tblPlayers[first_name]&amp;" "&amp;tblPlayers[second_name]</f>
        <v>Veljko Milosavljevic</v>
      </c>
      <c r="B72" t="str">
        <f>_xlfn.SWITCH(tblPlayers[element_type],1,"GK",2,"DEF",3,"MID",4,"FWD")</f>
        <v>DEF</v>
      </c>
      <c r="C72">
        <f>tblPlayers[team]</f>
        <v>3</v>
      </c>
      <c r="D72" t="str">
        <f>INDEX(tblTeams[Column1.short_name],MATCH(C72,tblTeams[Column1.id],0))</f>
        <v>BOU</v>
      </c>
      <c r="E72" s="4">
        <f>INDEX(FPL_Raw_Data!$F:$F,MATCH(A72,FPL_Raw_Data!$AA:$AA,0))/10</f>
        <v>5</v>
      </c>
      <c r="F72" s="4" t="str">
        <f>tblPlayers[[#This Row],[status]]</f>
        <v>i</v>
      </c>
      <c r="G72" s="4" t="b">
        <f>tblPlayers[[#This Row],[can_select]]</f>
        <v>1</v>
      </c>
      <c r="H72">
        <f>IF(AND(Table8[[#This Row],[Availability Status]]="a",Table8[[#This Row],[Can Select]]=TRUE),1,0)</f>
        <v>0</v>
      </c>
      <c r="I72">
        <f>tblPlayers[minutes]</f>
        <v>0</v>
      </c>
      <c r="J72" s="2">
        <f>Table8[[#This Row],[Minutes]]/90</f>
        <v>0</v>
      </c>
      <c r="K72" s="5">
        <f>IFERROR(Z72/(FIXTURE_ANALYSIS!$B$1-1),0)</f>
        <v>0</v>
      </c>
      <c r="L72">
        <f>tblPlayers[total_points]</f>
        <v>0</v>
      </c>
      <c r="M72">
        <f>tblPlayers[points_per_game]</f>
        <v>0</v>
      </c>
      <c r="N72">
        <f>tblPlayers[form]</f>
        <v>0</v>
      </c>
      <c r="O72">
        <f>tblPlayers[expected_goals]</f>
        <v>0</v>
      </c>
      <c r="P72">
        <f>tblPlayers[expected_assists]</f>
        <v>0</v>
      </c>
      <c r="Q72">
        <f>tblPlayers[expected_goal_involvements]</f>
        <v>0</v>
      </c>
      <c r="R72" s="2">
        <f t="shared" si="25"/>
        <v>0</v>
      </c>
      <c r="S72" s="5">
        <f t="shared" si="26"/>
        <v>0</v>
      </c>
      <c r="T72" s="5">
        <f t="shared" si="27"/>
        <v>0</v>
      </c>
      <c r="U72" s="5">
        <f t="shared" si="28"/>
        <v>0</v>
      </c>
      <c r="V72" s="3">
        <f t="shared" si="29"/>
        <v>0</v>
      </c>
      <c r="W72" s="5">
        <f t="shared" si="30"/>
        <v>0</v>
      </c>
      <c r="X72" s="5">
        <f>IFERROR(IF(OR($B72="MID",$B72="FWD"),INDEX(FIXTURE_ANALYSIS!$Q:$Q,MATCH($D72,FIXTURE_ANALYSIS!$A:$A,0)),INDEX(FIXTURE_ANALYSIS!$R:$R,MATCH($D72,FIXTURE_ANALYSIS!$A:$A,0))),1)</f>
        <v>0.85492657615677192</v>
      </c>
      <c r="Y72" s="5">
        <f t="shared" si="31"/>
        <v>0.85492657615677192</v>
      </c>
      <c r="Z72" s="8">
        <f>INDEX(FPL_Raw_Data!$T:$T,MATCH(A72,FPL_Raw_Data!$AA:$AA,0))</f>
        <v>0</v>
      </c>
      <c r="AA72" s="8">
        <f>INDEX(FPL_Raw_Data!$S:$S,MATCH(A72,FPL_Raw_Data!$AA:$AA,0))</f>
        <v>0</v>
      </c>
      <c r="AB72" s="2">
        <f t="shared" si="32"/>
        <v>0</v>
      </c>
      <c r="AC72" s="2">
        <f>INDEX(FPL_Raw_Data!$Q:$Q,MATCH(A72,FPL_Raw_Data!$AA:$AA,0))</f>
        <v>0</v>
      </c>
      <c r="AD72" s="8">
        <f>INDEX(FPL_Raw_Data!$R:$R,MATCH(A72,FPL_Raw_Data!$AA:$AA,0))</f>
        <v>0</v>
      </c>
      <c r="AE72" s="8">
        <f>INDEX(FPL_Raw_Data!$N:$N,MATCH(A72,FPL_Raw_Data!$AA:$AA,0))</f>
        <v>0</v>
      </c>
      <c r="AF72" s="8">
        <f>INDEX(FPL_Raw_Data!$L:$L,MATCH(A72,FPL_Raw_Data!$AA:$AA,0))</f>
        <v>0</v>
      </c>
      <c r="AG72" s="2">
        <f>INDEX(FPL_Raw_Data!$M:$M,MATCH(A72,FPL_Raw_Data!$AA:$AA,0))</f>
        <v>0</v>
      </c>
      <c r="AH72" s="2">
        <f t="shared" si="33"/>
        <v>0</v>
      </c>
      <c r="AI72" s="2">
        <f t="shared" si="34"/>
        <v>0</v>
      </c>
      <c r="AJ72" s="2">
        <f t="shared" si="35"/>
        <v>0</v>
      </c>
      <c r="AK72" s="2">
        <f t="shared" si="36"/>
        <v>0</v>
      </c>
      <c r="AL72" s="2">
        <f t="shared" si="37"/>
        <v>0</v>
      </c>
      <c r="AM72" s="2">
        <f t="shared" si="38"/>
        <v>0</v>
      </c>
      <c r="AN72" s="2">
        <f t="shared" si="39"/>
        <v>0</v>
      </c>
      <c r="AO72" s="3">
        <f t="shared" si="40"/>
        <v>0.1</v>
      </c>
      <c r="AP72">
        <f t="shared" si="41"/>
        <v>0</v>
      </c>
      <c r="AQ72">
        <f t="shared" si="42"/>
        <v>0.1</v>
      </c>
      <c r="AR72">
        <f t="shared" si="43"/>
        <v>0</v>
      </c>
      <c r="AS72" s="2">
        <f t="shared" si="44"/>
        <v>0</v>
      </c>
      <c r="AT72" s="2">
        <f>IFERROR(INDEX(Player_Model!$BC$2:$BC$596,MATCH($A72,Player_Model!$A$2:$A$596,0)),0)</f>
        <v>-0.71243881346397664</v>
      </c>
      <c r="AU72" s="2">
        <f>Table8[[#This Row],[Model Expected Points]]*Table8[[#This Row],[Fixture Adjustment]]</f>
        <v>-0.60908287551595064</v>
      </c>
      <c r="AV72" s="2">
        <f>Table8[[#This Row],[Fixture Adjusted Points / 90]]/Table8[[#This Row],[Price]]</f>
        <v>-0.12181657510319013</v>
      </c>
      <c r="AW72">
        <f t="shared" si="45"/>
        <v>0</v>
      </c>
      <c r="AX72">
        <f t="shared" si="46"/>
        <v>0.42746328807838596</v>
      </c>
      <c r="AY72" s="2">
        <f t="shared" si="47"/>
        <v>0</v>
      </c>
      <c r="AZ72" s="5">
        <f t="shared" si="48"/>
        <v>0.85492657615677192</v>
      </c>
      <c r="BA72">
        <f>Table8[[#This Row],[Model Score2]]</f>
        <v>-0.71243881346397664</v>
      </c>
      <c r="BB72">
        <f>IFERROR(INDEX(Player_Model!$BG$2:$BG$596,MATCH($A72,Player_Model!$A$2:$A$596,0)),"")</f>
        <v>141</v>
      </c>
      <c r="BC72" t="str">
        <f t="shared" si="49"/>
        <v>AVOID</v>
      </c>
      <c r="BD72">
        <f>IF(H72=1,Table8[[#This Row],[Model Score]],-10000)</f>
        <v>-10000</v>
      </c>
      <c r="BE72">
        <f>IFERROR(INDEX(Player_Model!$BF$2:$BF$596,MATCH($A72,Player_Model!$A$2:$A$596,0)),"")</f>
        <v>543</v>
      </c>
      <c r="BF72">
        <f>IFERROR(INDEX(Player_Model!$BG$2:$BG$596,MATCH($A72,Player_Model!$A$2:$A$596,0)),"")</f>
        <v>141</v>
      </c>
      <c r="BG72">
        <f>IFERROR(INDEX(Player_Model!$BE$2:$BE$596,MATCH($A72,Player_Model!$A$2:$A$596,0)),0)</f>
        <v>-0.71243881346397664</v>
      </c>
    </row>
    <row r="73" spans="1:59" x14ac:dyDescent="0.25">
      <c r="A73" t="str">
        <f>tblPlayers[first_name]&amp;" "&amp;tblPlayers[second_name]</f>
        <v>Adam Smith</v>
      </c>
      <c r="B73" t="str">
        <f>_xlfn.SWITCH(tblPlayers[element_type],1,"GK",2,"DEF",3,"MID",4,"FWD")</f>
        <v>DEF</v>
      </c>
      <c r="C73">
        <f>tblPlayers[team]</f>
        <v>3</v>
      </c>
      <c r="D73" t="str">
        <f>INDEX(tblTeams[Column1.short_name],MATCH(C73,tblTeams[Column1.id],0))</f>
        <v>BOU</v>
      </c>
      <c r="E73" s="4">
        <f>INDEX(FPL_Raw_Data!$F:$F,MATCH(A73,FPL_Raw_Data!$AA:$AA,0))/10</f>
        <v>4.5</v>
      </c>
      <c r="F73" s="4" t="str">
        <f>tblPlayers[[#This Row],[status]]</f>
        <v>a</v>
      </c>
      <c r="G73" s="4" t="b">
        <f>tblPlayers[[#This Row],[can_select]]</f>
        <v>1</v>
      </c>
      <c r="H73">
        <f>IF(AND(Table8[[#This Row],[Availability Status]]="a",Table8[[#This Row],[Can Select]]=TRUE),1,0)</f>
        <v>1</v>
      </c>
      <c r="I73">
        <f>tblPlayers[minutes]</f>
        <v>270</v>
      </c>
      <c r="J73" s="2">
        <f>Table8[[#This Row],[Minutes]]/90</f>
        <v>3</v>
      </c>
      <c r="K73" s="5">
        <f>IFERROR(Z73/(FIXTURE_ANALYSIS!$B$1-1),0)</f>
        <v>1</v>
      </c>
      <c r="L73">
        <f>tblPlayers[total_points]</f>
        <v>2</v>
      </c>
      <c r="M73">
        <f>tblPlayers[points_per_game]</f>
        <v>0.7</v>
      </c>
      <c r="N73">
        <f>tblPlayers[form]</f>
        <v>0.7</v>
      </c>
      <c r="O73">
        <f>tblPlayers[expected_goals]</f>
        <v>0.01</v>
      </c>
      <c r="P73">
        <f>tblPlayers[expected_assists]</f>
        <v>0.06</v>
      </c>
      <c r="Q73">
        <f>tblPlayers[expected_goal_involvements]</f>
        <v>7.0000000000000007E-2</v>
      </c>
      <c r="R73" s="2">
        <f t="shared" si="25"/>
        <v>0.66666666666666674</v>
      </c>
      <c r="S73" s="5">
        <f t="shared" si="26"/>
        <v>3.3333333333333331E-3</v>
      </c>
      <c r="T73" s="5">
        <f t="shared" si="27"/>
        <v>1.9999999999999997E-2</v>
      </c>
      <c r="U73" s="5">
        <f t="shared" si="28"/>
        <v>2.3333333333333334E-2</v>
      </c>
      <c r="V73" s="3">
        <f t="shared" si="29"/>
        <v>0.44444444444444442</v>
      </c>
      <c r="W73" s="5">
        <f t="shared" si="30"/>
        <v>1.5555555555555557E-2</v>
      </c>
      <c r="X73" s="5">
        <f>IFERROR(IF(OR($B73="MID",$B73="FWD"),INDEX(FIXTURE_ANALYSIS!$Q:$Q,MATCH($D73,FIXTURE_ANALYSIS!$A:$A,0)),INDEX(FIXTURE_ANALYSIS!$R:$R,MATCH($D73,FIXTURE_ANALYSIS!$A:$A,0))),1)</f>
        <v>0.85492657615677192</v>
      </c>
      <c r="Y73" s="5">
        <f t="shared" si="31"/>
        <v>0.85492657615677192</v>
      </c>
      <c r="Z73" s="8">
        <f>INDEX(FPL_Raw_Data!$T:$T,MATCH(A73,FPL_Raw_Data!$AA:$AA,0))</f>
        <v>3</v>
      </c>
      <c r="AA73" s="8">
        <f>INDEX(FPL_Raw_Data!$S:$S,MATCH(A73,FPL_Raw_Data!$AA:$AA,0))</f>
        <v>15</v>
      </c>
      <c r="AB73" s="2">
        <f t="shared" si="32"/>
        <v>1</v>
      </c>
      <c r="AC73" s="2">
        <f>INDEX(FPL_Raw_Data!$Q:$Q,MATCH(A73,FPL_Raw_Data!$AA:$AA,0))</f>
        <v>0</v>
      </c>
      <c r="AD73" s="8">
        <f>INDEX(FPL_Raw_Data!$R:$R,MATCH(A73,FPL_Raw_Data!$AA:$AA,0))</f>
        <v>12</v>
      </c>
      <c r="AE73" s="8">
        <f>INDEX(FPL_Raw_Data!$N:$N,MATCH(A73,FPL_Raw_Data!$AA:$AA,0))</f>
        <v>0</v>
      </c>
      <c r="AF73" s="8">
        <f>INDEX(FPL_Raw_Data!$L:$L,MATCH(A73,FPL_Raw_Data!$AA:$AA,0))</f>
        <v>0</v>
      </c>
      <c r="AG73" s="2">
        <f>INDEX(FPL_Raw_Data!$M:$M,MATCH(A73,FPL_Raw_Data!$AA:$AA,0))</f>
        <v>0</v>
      </c>
      <c r="AH73" s="2">
        <f t="shared" si="33"/>
        <v>1.9999999999999997E-2</v>
      </c>
      <c r="AI73" s="2">
        <f t="shared" si="34"/>
        <v>5.9999999999999991E-2</v>
      </c>
      <c r="AJ73" s="2">
        <f t="shared" si="35"/>
        <v>2</v>
      </c>
      <c r="AK73" s="2">
        <f t="shared" si="36"/>
        <v>2</v>
      </c>
      <c r="AL73" s="2">
        <f t="shared" si="37"/>
        <v>0</v>
      </c>
      <c r="AM73" s="2">
        <f t="shared" si="38"/>
        <v>0</v>
      </c>
      <c r="AN73" s="2">
        <f t="shared" si="39"/>
        <v>0</v>
      </c>
      <c r="AO73" s="3">
        <f t="shared" si="40"/>
        <v>41.4</v>
      </c>
      <c r="AP73">
        <f t="shared" si="41"/>
        <v>55.800000000000004</v>
      </c>
      <c r="AQ73">
        <f t="shared" si="42"/>
        <v>56.000000000000007</v>
      </c>
      <c r="AR73">
        <f t="shared" si="43"/>
        <v>63.4</v>
      </c>
      <c r="AS73" s="2">
        <f t="shared" si="44"/>
        <v>100</v>
      </c>
      <c r="AT73" s="2">
        <f>IFERROR(INDEX(Player_Model!$BC$2:$BC$596,MATCH($A73,Player_Model!$A$2:$A$596,0)),0)</f>
        <v>1.9284536039652078</v>
      </c>
      <c r="AU73" s="2">
        <f>Table8[[#This Row],[Model Expected Points]]*Table8[[#This Row],[Fixture Adjustment]]</f>
        <v>1.6486862369151625</v>
      </c>
      <c r="AV73" s="2">
        <f>Table8[[#This Row],[Fixture Adjusted Points / 90]]/Table8[[#This Row],[Price]]</f>
        <v>0.36637471931448057</v>
      </c>
      <c r="AW73">
        <f t="shared" si="45"/>
        <v>55.800000000000004</v>
      </c>
      <c r="AX73">
        <f t="shared" si="46"/>
        <v>0.92746328807838596</v>
      </c>
      <c r="AY73" s="2">
        <f t="shared" si="47"/>
        <v>100</v>
      </c>
      <c r="AZ73" s="5">
        <f t="shared" si="48"/>
        <v>0.85492657615677192</v>
      </c>
      <c r="BA73">
        <f>Table8[[#This Row],[Model Score2]]</f>
        <v>1.9284536039652078</v>
      </c>
      <c r="BB73">
        <f>IFERROR(INDEX(Player_Model!$BG$2:$BG$596,MATCH($A73,Player_Model!$A$2:$A$596,0)),"")</f>
        <v>91</v>
      </c>
      <c r="BC73" t="str">
        <f t="shared" si="49"/>
        <v>AVOID</v>
      </c>
      <c r="BD73">
        <f>IF(H73=1,Table8[[#This Row],[Model Score]],-10000)</f>
        <v>1.9284536039652078</v>
      </c>
      <c r="BE73">
        <f>IFERROR(INDEX(Player_Model!$BF$2:$BF$596,MATCH($A73,Player_Model!$A$2:$A$596,0)),"")</f>
        <v>247</v>
      </c>
      <c r="BF73">
        <f>IFERROR(INDEX(Player_Model!$BG$2:$BG$596,MATCH($A73,Player_Model!$A$2:$A$596,0)),"")</f>
        <v>91</v>
      </c>
      <c r="BG73">
        <f>IFERROR(INDEX(Player_Model!$BE$2:$BE$596,MATCH($A73,Player_Model!$A$2:$A$596,0)),0)</f>
        <v>1.9284536039652078</v>
      </c>
    </row>
    <row r="74" spans="1:59" x14ac:dyDescent="0.25">
      <c r="A74" t="str">
        <f>tblPlayers[first_name]&amp;" "&amp;tblPlayers[second_name]</f>
        <v>Julián Araujo Zúñiga</v>
      </c>
      <c r="B74" t="str">
        <f>_xlfn.SWITCH(tblPlayers[element_type],1,"GK",2,"DEF",3,"MID",4,"FWD")</f>
        <v>DEF</v>
      </c>
      <c r="C74">
        <f>tblPlayers[team]</f>
        <v>3</v>
      </c>
      <c r="D74" t="str">
        <f>INDEX(tblTeams[Column1.short_name],MATCH(C74,tblTeams[Column1.id],0))</f>
        <v>BOU</v>
      </c>
      <c r="E74" s="4">
        <f>INDEX(FPL_Raw_Data!$F:$F,MATCH(A74,FPL_Raw_Data!$AA:$AA,0))/10</f>
        <v>4.4000000000000004</v>
      </c>
      <c r="F74" s="4" t="str">
        <f>tblPlayers[[#This Row],[status]]</f>
        <v>i</v>
      </c>
      <c r="G74" s="4" t="b">
        <f>tblPlayers[[#This Row],[can_select]]</f>
        <v>1</v>
      </c>
      <c r="H74">
        <f>IF(AND(Table8[[#This Row],[Availability Status]]="a",Table8[[#This Row],[Can Select]]=TRUE),1,0)</f>
        <v>0</v>
      </c>
      <c r="I74">
        <f>tblPlayers[minutes]</f>
        <v>0</v>
      </c>
      <c r="J74" s="2">
        <f>Table8[[#This Row],[Minutes]]/90</f>
        <v>0</v>
      </c>
      <c r="K74" s="5">
        <f>IFERROR(Z74/(FIXTURE_ANALYSIS!$B$1-1),0)</f>
        <v>0</v>
      </c>
      <c r="L74">
        <f>tblPlayers[total_points]</f>
        <v>0</v>
      </c>
      <c r="M74">
        <f>tblPlayers[points_per_game]</f>
        <v>0</v>
      </c>
      <c r="N74">
        <f>tblPlayers[form]</f>
        <v>0</v>
      </c>
      <c r="O74">
        <f>tblPlayers[expected_goals]</f>
        <v>0</v>
      </c>
      <c r="P74">
        <f>tblPlayers[expected_assists]</f>
        <v>0</v>
      </c>
      <c r="Q74">
        <f>tblPlayers[expected_goal_involvements]</f>
        <v>0</v>
      </c>
      <c r="R74" s="2">
        <f t="shared" si="25"/>
        <v>0</v>
      </c>
      <c r="S74" s="5">
        <f t="shared" si="26"/>
        <v>0</v>
      </c>
      <c r="T74" s="5">
        <f t="shared" si="27"/>
        <v>0</v>
      </c>
      <c r="U74" s="5">
        <f t="shared" si="28"/>
        <v>0</v>
      </c>
      <c r="V74" s="3">
        <f t="shared" si="29"/>
        <v>0</v>
      </c>
      <c r="W74" s="5">
        <f t="shared" si="30"/>
        <v>0</v>
      </c>
      <c r="X74" s="5">
        <f>IFERROR(IF(OR($B74="MID",$B74="FWD"),INDEX(FIXTURE_ANALYSIS!$Q:$Q,MATCH($D74,FIXTURE_ANALYSIS!$A:$A,0)),INDEX(FIXTURE_ANALYSIS!$R:$R,MATCH($D74,FIXTURE_ANALYSIS!$A:$A,0))),1)</f>
        <v>0.85492657615677192</v>
      </c>
      <c r="Y74" s="5">
        <f t="shared" si="31"/>
        <v>0.85492657615677192</v>
      </c>
      <c r="Z74" s="8">
        <f>INDEX(FPL_Raw_Data!$T:$T,MATCH(A74,FPL_Raw_Data!$AA:$AA,0))</f>
        <v>0</v>
      </c>
      <c r="AA74" s="8">
        <f>INDEX(FPL_Raw_Data!$S:$S,MATCH(A74,FPL_Raw_Data!$AA:$AA,0))</f>
        <v>0</v>
      </c>
      <c r="AB74" s="2">
        <f t="shared" si="32"/>
        <v>0</v>
      </c>
      <c r="AC74" s="2">
        <f>INDEX(FPL_Raw_Data!$Q:$Q,MATCH(A74,FPL_Raw_Data!$AA:$AA,0))</f>
        <v>0</v>
      </c>
      <c r="AD74" s="8">
        <f>INDEX(FPL_Raw_Data!$R:$R,MATCH(A74,FPL_Raw_Data!$AA:$AA,0))</f>
        <v>0</v>
      </c>
      <c r="AE74" s="8">
        <f>INDEX(FPL_Raw_Data!$N:$N,MATCH(A74,FPL_Raw_Data!$AA:$AA,0))</f>
        <v>0</v>
      </c>
      <c r="AF74" s="8">
        <f>INDEX(FPL_Raw_Data!$L:$L,MATCH(A74,FPL_Raw_Data!$AA:$AA,0))</f>
        <v>0</v>
      </c>
      <c r="AG74" s="2">
        <f>INDEX(FPL_Raw_Data!$M:$M,MATCH(A74,FPL_Raw_Data!$AA:$AA,0))</f>
        <v>0</v>
      </c>
      <c r="AH74" s="2">
        <f t="shared" si="33"/>
        <v>0</v>
      </c>
      <c r="AI74" s="2">
        <f t="shared" si="34"/>
        <v>0</v>
      </c>
      <c r="AJ74" s="2">
        <f t="shared" si="35"/>
        <v>0</v>
      </c>
      <c r="AK74" s="2">
        <f t="shared" si="36"/>
        <v>0</v>
      </c>
      <c r="AL74" s="2">
        <f t="shared" si="37"/>
        <v>0</v>
      </c>
      <c r="AM74" s="2">
        <f t="shared" si="38"/>
        <v>0</v>
      </c>
      <c r="AN74" s="2">
        <f t="shared" si="39"/>
        <v>0</v>
      </c>
      <c r="AO74" s="3">
        <f t="shared" si="40"/>
        <v>0.1</v>
      </c>
      <c r="AP74">
        <f t="shared" si="41"/>
        <v>0</v>
      </c>
      <c r="AQ74">
        <f t="shared" si="42"/>
        <v>0.1</v>
      </c>
      <c r="AR74">
        <f t="shared" si="43"/>
        <v>0</v>
      </c>
      <c r="AS74" s="2">
        <f t="shared" si="44"/>
        <v>0</v>
      </c>
      <c r="AT74" s="2">
        <f>IFERROR(INDEX(Player_Model!$BC$2:$BC$596,MATCH($A74,Player_Model!$A$2:$A$596,0)),0)</f>
        <v>-0.71243881346397664</v>
      </c>
      <c r="AU74" s="2">
        <f>Table8[[#This Row],[Model Expected Points]]*Table8[[#This Row],[Fixture Adjustment]]</f>
        <v>-0.60908287551595064</v>
      </c>
      <c r="AV74" s="2">
        <f>Table8[[#This Row],[Fixture Adjusted Points / 90]]/Table8[[#This Row],[Price]]</f>
        <v>-0.13842792625362513</v>
      </c>
      <c r="AW74">
        <f t="shared" si="45"/>
        <v>0</v>
      </c>
      <c r="AX74">
        <f t="shared" si="46"/>
        <v>0.42746328807838596</v>
      </c>
      <c r="AY74" s="2">
        <f t="shared" si="47"/>
        <v>0</v>
      </c>
      <c r="AZ74" s="5">
        <f t="shared" si="48"/>
        <v>0.85492657615677192</v>
      </c>
      <c r="BA74">
        <f>Table8[[#This Row],[Model Score2]]</f>
        <v>-0.71243881346397664</v>
      </c>
      <c r="BB74">
        <f>IFERROR(INDEX(Player_Model!$BG$2:$BG$596,MATCH($A74,Player_Model!$A$2:$A$596,0)),"")</f>
        <v>142</v>
      </c>
      <c r="BC74" t="str">
        <f t="shared" si="49"/>
        <v>AVOID</v>
      </c>
      <c r="BD74">
        <f>IF(H74=1,Table8[[#This Row],[Model Score]],-10000)</f>
        <v>-10000</v>
      </c>
      <c r="BE74">
        <f>IFERROR(INDEX(Player_Model!$BF$2:$BF$596,MATCH($A74,Player_Model!$A$2:$A$596,0)),"")</f>
        <v>543</v>
      </c>
      <c r="BF74">
        <f>IFERROR(INDEX(Player_Model!$BG$2:$BG$596,MATCH($A74,Player_Model!$A$2:$A$596,0)),"")</f>
        <v>142</v>
      </c>
      <c r="BG74">
        <f>IFERROR(INDEX(Player_Model!$BE$2:$BE$596,MATCH($A74,Player_Model!$A$2:$A$596,0)),0)</f>
        <v>-0.71243881346397664</v>
      </c>
    </row>
    <row r="75" spans="1:59" x14ac:dyDescent="0.25">
      <c r="A75" t="str">
        <f>tblPlayers[first_name]&amp;" "&amp;tblPlayers[second_name]</f>
        <v>Julio Soler Barreto</v>
      </c>
      <c r="B75" t="str">
        <f>_xlfn.SWITCH(tblPlayers[element_type],1,"GK",2,"DEF",3,"MID",4,"FWD")</f>
        <v>DEF</v>
      </c>
      <c r="C75">
        <f>tblPlayers[team]</f>
        <v>3</v>
      </c>
      <c r="D75" t="str">
        <f>INDEX(tblTeams[Column1.short_name],MATCH(C75,tblTeams[Column1.id],0))</f>
        <v>BOU</v>
      </c>
      <c r="E75" s="4">
        <f>INDEX(FPL_Raw_Data!$F:$F,MATCH(A75,FPL_Raw_Data!$AA:$AA,0))/10</f>
        <v>4</v>
      </c>
      <c r="F75" s="4" t="str">
        <f>tblPlayers[[#This Row],[status]]</f>
        <v>a</v>
      </c>
      <c r="G75" s="4" t="b">
        <f>tblPlayers[[#This Row],[can_select]]</f>
        <v>1</v>
      </c>
      <c r="H75">
        <f>IF(AND(Table8[[#This Row],[Availability Status]]="a",Table8[[#This Row],[Can Select]]=TRUE),1,0)</f>
        <v>1</v>
      </c>
      <c r="I75">
        <f>tblPlayers[minutes]</f>
        <v>0</v>
      </c>
      <c r="J75" s="2">
        <f>Table8[[#This Row],[Minutes]]/90</f>
        <v>0</v>
      </c>
      <c r="K75" s="5">
        <f>IFERROR(Z75/(FIXTURE_ANALYSIS!$B$1-1),0)</f>
        <v>0</v>
      </c>
      <c r="L75">
        <f>tblPlayers[total_points]</f>
        <v>0</v>
      </c>
      <c r="M75">
        <f>tblPlayers[points_per_game]</f>
        <v>0</v>
      </c>
      <c r="N75">
        <f>tblPlayers[form]</f>
        <v>0</v>
      </c>
      <c r="O75">
        <f>tblPlayers[expected_goals]</f>
        <v>0</v>
      </c>
      <c r="P75">
        <f>tblPlayers[expected_assists]</f>
        <v>0</v>
      </c>
      <c r="Q75">
        <f>tblPlayers[expected_goal_involvements]</f>
        <v>0</v>
      </c>
      <c r="R75" s="2">
        <f t="shared" si="25"/>
        <v>0</v>
      </c>
      <c r="S75" s="5">
        <f t="shared" si="26"/>
        <v>0</v>
      </c>
      <c r="T75" s="5">
        <f t="shared" si="27"/>
        <v>0</v>
      </c>
      <c r="U75" s="5">
        <f t="shared" si="28"/>
        <v>0</v>
      </c>
      <c r="V75" s="3">
        <f t="shared" si="29"/>
        <v>0</v>
      </c>
      <c r="W75" s="5">
        <f t="shared" si="30"/>
        <v>0</v>
      </c>
      <c r="X75" s="5">
        <f>IFERROR(IF(OR($B75="MID",$B75="FWD"),INDEX(FIXTURE_ANALYSIS!$Q:$Q,MATCH($D75,FIXTURE_ANALYSIS!$A:$A,0)),INDEX(FIXTURE_ANALYSIS!$R:$R,MATCH($D75,FIXTURE_ANALYSIS!$A:$A,0))),1)</f>
        <v>0.85492657615677192</v>
      </c>
      <c r="Y75" s="5">
        <f t="shared" si="31"/>
        <v>0.85492657615677192</v>
      </c>
      <c r="Z75" s="8">
        <f>INDEX(FPL_Raw_Data!$T:$T,MATCH(A75,FPL_Raw_Data!$AA:$AA,0))</f>
        <v>0</v>
      </c>
      <c r="AA75" s="8">
        <f>INDEX(FPL_Raw_Data!$S:$S,MATCH(A75,FPL_Raw_Data!$AA:$AA,0))</f>
        <v>0</v>
      </c>
      <c r="AB75" s="2">
        <f t="shared" si="32"/>
        <v>0</v>
      </c>
      <c r="AC75" s="2">
        <f>INDEX(FPL_Raw_Data!$Q:$Q,MATCH(A75,FPL_Raw_Data!$AA:$AA,0))</f>
        <v>0</v>
      </c>
      <c r="AD75" s="8">
        <f>INDEX(FPL_Raw_Data!$R:$R,MATCH(A75,FPL_Raw_Data!$AA:$AA,0))</f>
        <v>0</v>
      </c>
      <c r="AE75" s="8">
        <f>INDEX(FPL_Raw_Data!$N:$N,MATCH(A75,FPL_Raw_Data!$AA:$AA,0))</f>
        <v>0</v>
      </c>
      <c r="AF75" s="8">
        <f>INDEX(FPL_Raw_Data!$L:$L,MATCH(A75,FPL_Raw_Data!$AA:$AA,0))</f>
        <v>0</v>
      </c>
      <c r="AG75" s="2">
        <f>INDEX(FPL_Raw_Data!$M:$M,MATCH(A75,FPL_Raw_Data!$AA:$AA,0))</f>
        <v>0</v>
      </c>
      <c r="AH75" s="2">
        <f t="shared" si="33"/>
        <v>0</v>
      </c>
      <c r="AI75" s="2">
        <f t="shared" si="34"/>
        <v>0</v>
      </c>
      <c r="AJ75" s="2">
        <f t="shared" si="35"/>
        <v>0</v>
      </c>
      <c r="AK75" s="2">
        <f t="shared" si="36"/>
        <v>0</v>
      </c>
      <c r="AL75" s="2">
        <f t="shared" si="37"/>
        <v>0</v>
      </c>
      <c r="AM75" s="2">
        <f t="shared" si="38"/>
        <v>0</v>
      </c>
      <c r="AN75" s="2">
        <f t="shared" si="39"/>
        <v>0</v>
      </c>
      <c r="AO75" s="3">
        <f t="shared" si="40"/>
        <v>0.1</v>
      </c>
      <c r="AP75">
        <f t="shared" si="41"/>
        <v>0</v>
      </c>
      <c r="AQ75">
        <f t="shared" si="42"/>
        <v>0.1</v>
      </c>
      <c r="AR75">
        <f t="shared" si="43"/>
        <v>0</v>
      </c>
      <c r="AS75" s="2">
        <f t="shared" si="44"/>
        <v>0</v>
      </c>
      <c r="AT75" s="2">
        <f>IFERROR(INDEX(Player_Model!$BC$2:$BC$596,MATCH($A75,Player_Model!$A$2:$A$596,0)),0)</f>
        <v>-0.71243881346397664</v>
      </c>
      <c r="AU75" s="2">
        <f>Table8[[#This Row],[Model Expected Points]]*Table8[[#This Row],[Fixture Adjustment]]</f>
        <v>-0.60908287551595064</v>
      </c>
      <c r="AV75" s="2">
        <f>Table8[[#This Row],[Fixture Adjusted Points / 90]]/Table8[[#This Row],[Price]]</f>
        <v>-0.15227071887898766</v>
      </c>
      <c r="AW75">
        <f t="shared" si="45"/>
        <v>0</v>
      </c>
      <c r="AX75">
        <f t="shared" si="46"/>
        <v>0.42746328807838596</v>
      </c>
      <c r="AY75" s="2">
        <f t="shared" si="47"/>
        <v>0</v>
      </c>
      <c r="AZ75" s="5">
        <f t="shared" si="48"/>
        <v>0.85492657615677192</v>
      </c>
      <c r="BA75">
        <f>Table8[[#This Row],[Model Score2]]</f>
        <v>-0.71243881346397664</v>
      </c>
      <c r="BB75">
        <f>IFERROR(INDEX(Player_Model!$BG$2:$BG$596,MATCH($A75,Player_Model!$A$2:$A$596,0)),"")</f>
        <v>143</v>
      </c>
      <c r="BC75" t="str">
        <f t="shared" si="49"/>
        <v>AVOID</v>
      </c>
      <c r="BD75">
        <f>IF(H75=1,Table8[[#This Row],[Model Score]],-10000)</f>
        <v>-0.71243881346397664</v>
      </c>
      <c r="BE75">
        <f>IFERROR(INDEX(Player_Model!$BF$2:$BF$596,MATCH($A75,Player_Model!$A$2:$A$596,0)),"")</f>
        <v>543</v>
      </c>
      <c r="BF75">
        <f>IFERROR(INDEX(Player_Model!$BG$2:$BG$596,MATCH($A75,Player_Model!$A$2:$A$596,0)),"")</f>
        <v>143</v>
      </c>
      <c r="BG75">
        <f>IFERROR(INDEX(Player_Model!$BE$2:$BE$596,MATCH($A75,Player_Model!$A$2:$A$596,0)),0)</f>
        <v>-0.71243881346397664</v>
      </c>
    </row>
    <row r="76" spans="1:59" x14ac:dyDescent="0.25">
      <c r="A76" t="str">
        <f>tblPlayers[first_name]&amp;" "&amp;tblPlayers[second_name]</f>
        <v>Rayan Vitor Simplício Rocha</v>
      </c>
      <c r="B76" t="str">
        <f>_xlfn.SWITCH(tblPlayers[element_type],1,"GK",2,"DEF",3,"MID",4,"FWD")</f>
        <v>MID</v>
      </c>
      <c r="C76">
        <f>tblPlayers[team]</f>
        <v>3</v>
      </c>
      <c r="D76" t="str">
        <f>INDEX(tblTeams[Column1.short_name],MATCH(C76,tblTeams[Column1.id],0))</f>
        <v>BOU</v>
      </c>
      <c r="E76" s="4">
        <f>INDEX(FPL_Raw_Data!$F:$F,MATCH(A76,FPL_Raw_Data!$AA:$AA,0))/10</f>
        <v>6.4</v>
      </c>
      <c r="F76" s="4" t="str">
        <f>tblPlayers[[#This Row],[status]]</f>
        <v>a</v>
      </c>
      <c r="G76" s="4" t="b">
        <f>tblPlayers[[#This Row],[can_select]]</f>
        <v>1</v>
      </c>
      <c r="H76">
        <f>IF(AND(Table8[[#This Row],[Availability Status]]="a",Table8[[#This Row],[Can Select]]=TRUE),1,0)</f>
        <v>1</v>
      </c>
      <c r="I76">
        <f>tblPlayers[minutes]</f>
        <v>266</v>
      </c>
      <c r="J76" s="2">
        <f>Table8[[#This Row],[Minutes]]/90</f>
        <v>2.9555555555555557</v>
      </c>
      <c r="K76" s="5">
        <f>IFERROR(Z76/(FIXTURE_ANALYSIS!$B$1-1),0)</f>
        <v>1</v>
      </c>
      <c r="L76">
        <f>tblPlayers[total_points]</f>
        <v>6</v>
      </c>
      <c r="M76">
        <f>tblPlayers[points_per_game]</f>
        <v>2</v>
      </c>
      <c r="N76">
        <f>tblPlayers[form]</f>
        <v>2</v>
      </c>
      <c r="O76">
        <f>tblPlayers[expected_goals]</f>
        <v>0.48</v>
      </c>
      <c r="P76">
        <f>tblPlayers[expected_assists]</f>
        <v>0.06</v>
      </c>
      <c r="Q76">
        <f>tblPlayers[expected_goal_involvements]</f>
        <v>0.54</v>
      </c>
      <c r="R76" s="2">
        <f t="shared" si="25"/>
        <v>2.0300751879699246</v>
      </c>
      <c r="S76" s="5">
        <f t="shared" si="26"/>
        <v>0.162406015037594</v>
      </c>
      <c r="T76" s="5">
        <f t="shared" si="27"/>
        <v>2.030075187969925E-2</v>
      </c>
      <c r="U76" s="5">
        <f t="shared" si="28"/>
        <v>0.18270676691729323</v>
      </c>
      <c r="V76" s="3">
        <f t="shared" si="29"/>
        <v>0.9375</v>
      </c>
      <c r="W76" s="5">
        <f t="shared" si="30"/>
        <v>8.4375000000000006E-2</v>
      </c>
      <c r="X76" s="5">
        <f>IFERROR(IF(OR($B76="MID",$B76="FWD"),INDEX(FIXTURE_ANALYSIS!$Q:$Q,MATCH($D76,FIXTURE_ANALYSIS!$A:$A,0)),INDEX(FIXTURE_ANALYSIS!$R:$R,MATCH($D76,FIXTURE_ANALYSIS!$A:$A,0))),1)</f>
        <v>0.95673010380622836</v>
      </c>
      <c r="Y76" s="5">
        <f t="shared" si="31"/>
        <v>0.95673010380622836</v>
      </c>
      <c r="Z76" s="8">
        <f>INDEX(FPL_Raw_Data!$T:$T,MATCH(A76,FPL_Raw_Data!$AA:$AA,0))</f>
        <v>3</v>
      </c>
      <c r="AA76" s="8">
        <f>INDEX(FPL_Raw_Data!$S:$S,MATCH(A76,FPL_Raw_Data!$AA:$AA,0))</f>
        <v>8</v>
      </c>
      <c r="AB76" s="2">
        <f t="shared" si="32"/>
        <v>0.66666666666666663</v>
      </c>
      <c r="AC76" s="2">
        <f>INDEX(FPL_Raw_Data!$Q:$Q,MATCH(A76,FPL_Raw_Data!$AA:$AA,0))</f>
        <v>0</v>
      </c>
      <c r="AD76" s="8">
        <f>INDEX(FPL_Raw_Data!$R:$R,MATCH(A76,FPL_Raw_Data!$AA:$AA,0))</f>
        <v>21</v>
      </c>
      <c r="AE76" s="8">
        <f>INDEX(FPL_Raw_Data!$N:$N,MATCH(A76,FPL_Raw_Data!$AA:$AA,0))</f>
        <v>0</v>
      </c>
      <c r="AF76" s="8">
        <f>INDEX(FPL_Raw_Data!$L:$L,MATCH(A76,FPL_Raw_Data!$AA:$AA,0))</f>
        <v>0</v>
      </c>
      <c r="AG76" s="2">
        <f>INDEX(FPL_Raw_Data!$M:$M,MATCH(A76,FPL_Raw_Data!$AA:$AA,0))</f>
        <v>0</v>
      </c>
      <c r="AH76" s="2">
        <f t="shared" si="33"/>
        <v>0.81203007518796999</v>
      </c>
      <c r="AI76" s="2">
        <f t="shared" si="34"/>
        <v>6.0902255639097749E-2</v>
      </c>
      <c r="AJ76" s="2">
        <f t="shared" si="35"/>
        <v>2</v>
      </c>
      <c r="AK76" s="2">
        <f t="shared" si="36"/>
        <v>1.3333333333333333</v>
      </c>
      <c r="AL76" s="2">
        <f t="shared" si="37"/>
        <v>0</v>
      </c>
      <c r="AM76" s="2">
        <f t="shared" si="38"/>
        <v>0</v>
      </c>
      <c r="AN76" s="2">
        <f t="shared" si="39"/>
        <v>0</v>
      </c>
      <c r="AO76" s="3">
        <f t="shared" si="40"/>
        <v>48.3</v>
      </c>
      <c r="AP76">
        <f t="shared" si="41"/>
        <v>75</v>
      </c>
      <c r="AQ76">
        <f t="shared" si="42"/>
        <v>68.5</v>
      </c>
      <c r="AR76">
        <f t="shared" si="43"/>
        <v>82.6</v>
      </c>
      <c r="AS76" s="2">
        <f t="shared" si="44"/>
        <v>100</v>
      </c>
      <c r="AT76" s="2">
        <f>IFERROR(INDEX(Player_Model!$BC$2:$BC$596,MATCH($A76,Player_Model!$A$2:$A$596,0)),0)</f>
        <v>3.251473873585347</v>
      </c>
      <c r="AU76" s="2">
        <f>Table8[[#This Row],[Model Expected Points]]*Table8[[#This Row],[Fixture Adjustment]]</f>
        <v>3.1107829365985484</v>
      </c>
      <c r="AV76" s="2">
        <f>Table8[[#This Row],[Fixture Adjusted Points / 90]]/Table8[[#This Row],[Price]]</f>
        <v>0.48605983384352319</v>
      </c>
      <c r="AW76">
        <f t="shared" si="45"/>
        <v>61.65</v>
      </c>
      <c r="AX76">
        <f t="shared" si="46"/>
        <v>0.66666666666666663</v>
      </c>
      <c r="AY76" s="2">
        <f t="shared" si="47"/>
        <v>100</v>
      </c>
      <c r="AZ76" s="5">
        <f t="shared" si="48"/>
        <v>0.95673010380622836</v>
      </c>
      <c r="BA76">
        <f>Table8[[#This Row],[Model Score2]]</f>
        <v>3.251473873585347</v>
      </c>
      <c r="BB76">
        <f>IFERROR(INDEX(Player_Model!$BG$2:$BG$596,MATCH($A76,Player_Model!$A$2:$A$596,0)),"")</f>
        <v>99</v>
      </c>
      <c r="BC76" t="str">
        <f t="shared" si="49"/>
        <v>AVOID</v>
      </c>
      <c r="BD76">
        <f>IF(H76=1,Table8[[#This Row],[Model Score]],-10000)</f>
        <v>3.251473873585347</v>
      </c>
      <c r="BE76">
        <f>IFERROR(INDEX(Player_Model!$BF$2:$BF$596,MATCH($A76,Player_Model!$A$2:$A$596,0)),"")</f>
        <v>191</v>
      </c>
      <c r="BF76">
        <f>IFERROR(INDEX(Player_Model!$BG$2:$BG$596,MATCH($A76,Player_Model!$A$2:$A$596,0)),"")</f>
        <v>99</v>
      </c>
      <c r="BG76">
        <f>IFERROR(INDEX(Player_Model!$BE$2:$BE$596,MATCH($A76,Player_Model!$A$2:$A$596,0)),0)</f>
        <v>3.251473873585347</v>
      </c>
    </row>
    <row r="77" spans="1:59" x14ac:dyDescent="0.25">
      <c r="A77" t="str">
        <f>tblPlayers[first_name]&amp;" "&amp;tblPlayers[second_name]</f>
        <v>Marcus Tavernier</v>
      </c>
      <c r="B77" t="str">
        <f>_xlfn.SWITCH(tblPlayers[element_type],1,"GK",2,"DEF",3,"MID",4,"FWD")</f>
        <v>MID</v>
      </c>
      <c r="C77">
        <f>tblPlayers[team]</f>
        <v>3</v>
      </c>
      <c r="D77" t="str">
        <f>INDEX(tblTeams[Column1.short_name],MATCH(C77,tblTeams[Column1.id],0))</f>
        <v>BOU</v>
      </c>
      <c r="E77" s="4">
        <f>INDEX(FPL_Raw_Data!$F:$F,MATCH(A77,FPL_Raw_Data!$AA:$AA,0))/10</f>
        <v>6</v>
      </c>
      <c r="F77" s="4" t="str">
        <f>tblPlayers[[#This Row],[status]]</f>
        <v>a</v>
      </c>
      <c r="G77" s="4" t="b">
        <f>tblPlayers[[#This Row],[can_select]]</f>
        <v>1</v>
      </c>
      <c r="H77">
        <f>IF(AND(Table8[[#This Row],[Availability Status]]="a",Table8[[#This Row],[Can Select]]=TRUE),1,0)</f>
        <v>1</v>
      </c>
      <c r="I77">
        <f>tblPlayers[minutes]</f>
        <v>268</v>
      </c>
      <c r="J77" s="2">
        <f>Table8[[#This Row],[Minutes]]/90</f>
        <v>2.9777777777777779</v>
      </c>
      <c r="K77" s="5">
        <f>IFERROR(Z77/(FIXTURE_ANALYSIS!$B$1-1),0)</f>
        <v>1</v>
      </c>
      <c r="L77">
        <f>tblPlayers[total_points]</f>
        <v>21</v>
      </c>
      <c r="M77">
        <f>tblPlayers[points_per_game]</f>
        <v>7</v>
      </c>
      <c r="N77">
        <f>tblPlayers[form]</f>
        <v>7</v>
      </c>
      <c r="O77">
        <f>tblPlayers[expected_goals]</f>
        <v>1.5</v>
      </c>
      <c r="P77">
        <f>tblPlayers[expected_assists]</f>
        <v>0.34</v>
      </c>
      <c r="Q77">
        <f>tblPlayers[expected_goal_involvements]</f>
        <v>1.84</v>
      </c>
      <c r="R77" s="2">
        <f t="shared" si="25"/>
        <v>7.0522388059701493</v>
      </c>
      <c r="S77" s="5">
        <f t="shared" si="26"/>
        <v>0.50373134328358204</v>
      </c>
      <c r="T77" s="5">
        <f t="shared" si="27"/>
        <v>0.11417910447761195</v>
      </c>
      <c r="U77" s="5">
        <f t="shared" si="28"/>
        <v>0.61791044776119408</v>
      </c>
      <c r="V77" s="3">
        <f t="shared" si="29"/>
        <v>3.5</v>
      </c>
      <c r="W77" s="5">
        <f t="shared" si="30"/>
        <v>0.3066666666666667</v>
      </c>
      <c r="X77" s="5">
        <f>IFERROR(IF(OR($B77="MID",$B77="FWD"),INDEX(FIXTURE_ANALYSIS!$Q:$Q,MATCH($D77,FIXTURE_ANALYSIS!$A:$A,0)),INDEX(FIXTURE_ANALYSIS!$R:$R,MATCH($D77,FIXTURE_ANALYSIS!$A:$A,0))),1)</f>
        <v>0.95673010380622836</v>
      </c>
      <c r="Y77" s="5">
        <f t="shared" si="31"/>
        <v>0.95673010380622836</v>
      </c>
      <c r="Z77" s="8">
        <f>INDEX(FPL_Raw_Data!$T:$T,MATCH(A77,FPL_Raw_Data!$AA:$AA,0))</f>
        <v>3</v>
      </c>
      <c r="AA77" s="8">
        <f>INDEX(FPL_Raw_Data!$S:$S,MATCH(A77,FPL_Raw_Data!$AA:$AA,0))</f>
        <v>28</v>
      </c>
      <c r="AB77" s="2">
        <f t="shared" si="32"/>
        <v>1</v>
      </c>
      <c r="AC77" s="2">
        <f>INDEX(FPL_Raw_Data!$Q:$Q,MATCH(A77,FPL_Raw_Data!$AA:$AA,0))</f>
        <v>6</v>
      </c>
      <c r="AD77" s="8">
        <f>INDEX(FPL_Raw_Data!$R:$R,MATCH(A77,FPL_Raw_Data!$AA:$AA,0))</f>
        <v>95</v>
      </c>
      <c r="AE77" s="8">
        <f>INDEX(FPL_Raw_Data!$N:$N,MATCH(A77,FPL_Raw_Data!$AA:$AA,0))</f>
        <v>0</v>
      </c>
      <c r="AF77" s="8">
        <f>INDEX(FPL_Raw_Data!$L:$L,MATCH(A77,FPL_Raw_Data!$AA:$AA,0))</f>
        <v>2</v>
      </c>
      <c r="AG77" s="2">
        <f>INDEX(FPL_Raw_Data!$M:$M,MATCH(A77,FPL_Raw_Data!$AA:$AA,0))</f>
        <v>0</v>
      </c>
      <c r="AH77" s="2">
        <f t="shared" si="33"/>
        <v>2.5186567164179103</v>
      </c>
      <c r="AI77" s="2">
        <f t="shared" si="34"/>
        <v>0.34253731343283589</v>
      </c>
      <c r="AJ77" s="2">
        <f t="shared" si="35"/>
        <v>2</v>
      </c>
      <c r="AK77" s="2">
        <f t="shared" si="36"/>
        <v>2</v>
      </c>
      <c r="AL77" s="2">
        <f t="shared" si="37"/>
        <v>0</v>
      </c>
      <c r="AM77" s="2">
        <f t="shared" si="38"/>
        <v>0</v>
      </c>
      <c r="AN77" s="2">
        <f t="shared" si="39"/>
        <v>2</v>
      </c>
      <c r="AO77" s="3">
        <f t="shared" si="40"/>
        <v>86.8</v>
      </c>
      <c r="AP77">
        <f t="shared" si="41"/>
        <v>94.699999999999989</v>
      </c>
      <c r="AQ77">
        <f t="shared" si="42"/>
        <v>96.6</v>
      </c>
      <c r="AR77">
        <f t="shared" si="43"/>
        <v>99.1</v>
      </c>
      <c r="AS77" s="2">
        <f t="shared" si="44"/>
        <v>100</v>
      </c>
      <c r="AT77" s="2">
        <f>IFERROR(INDEX(Player_Model!$BC$2:$BC$596,MATCH($A77,Player_Model!$A$2:$A$596,0)),0)</f>
        <v>6.040323911882215</v>
      </c>
      <c r="AU77" s="2">
        <f>Table8[[#This Row],[Model Expected Points]]*Table8[[#This Row],[Fixture Adjustment]]</f>
        <v>5.778959723238315</v>
      </c>
      <c r="AV77" s="2">
        <f>Table8[[#This Row],[Fixture Adjusted Points / 90]]/Table8[[#This Row],[Price]]</f>
        <v>0.96315995387305253</v>
      </c>
      <c r="AW77">
        <f t="shared" si="45"/>
        <v>90.75</v>
      </c>
      <c r="AX77">
        <f t="shared" si="46"/>
        <v>1</v>
      </c>
      <c r="AY77" s="2">
        <f t="shared" si="47"/>
        <v>100</v>
      </c>
      <c r="AZ77" s="5">
        <f t="shared" si="48"/>
        <v>0.95673010380622836</v>
      </c>
      <c r="BA77">
        <f>Table8[[#This Row],[Model Score2]]</f>
        <v>6.040323911882215</v>
      </c>
      <c r="BB77">
        <f>IFERROR(INDEX(Player_Model!$BG$2:$BG$596,MATCH($A77,Player_Model!$A$2:$A$596,0)),"")</f>
        <v>18</v>
      </c>
      <c r="BC77" t="str">
        <f t="shared" si="49"/>
        <v>AVOID</v>
      </c>
      <c r="BD77">
        <f>IF(H77=1,Table8[[#This Row],[Model Score]],-10000)</f>
        <v>6.040323911882215</v>
      </c>
      <c r="BE77">
        <f>IFERROR(INDEX(Player_Model!$BF$2:$BF$596,MATCH($A77,Player_Model!$A$2:$A$596,0)),"")</f>
        <v>45</v>
      </c>
      <c r="BF77">
        <f>IFERROR(INDEX(Player_Model!$BG$2:$BG$596,MATCH($A77,Player_Model!$A$2:$A$596,0)),"")</f>
        <v>18</v>
      </c>
      <c r="BG77">
        <f>IFERROR(INDEX(Player_Model!$BE$2:$BE$596,MATCH($A77,Player_Model!$A$2:$A$596,0)),0)</f>
        <v>6.040323911882215</v>
      </c>
    </row>
    <row r="78" spans="1:59" x14ac:dyDescent="0.25">
      <c r="A78" t="str">
        <f>tblPlayers[first_name]&amp;" "&amp;tblPlayers[second_name]</f>
        <v>Alex Scott</v>
      </c>
      <c r="B78" t="str">
        <f>_xlfn.SWITCH(tblPlayers[element_type],1,"GK",2,"DEF",3,"MID",4,"FWD")</f>
        <v>MID</v>
      </c>
      <c r="C78">
        <f>tblPlayers[team]</f>
        <v>3</v>
      </c>
      <c r="D78" t="str">
        <f>INDEX(tblTeams[Column1.short_name],MATCH(C78,tblTeams[Column1.id],0))</f>
        <v>BOU</v>
      </c>
      <c r="E78" s="4">
        <f>INDEX(FPL_Raw_Data!$F:$F,MATCH(A78,FPL_Raw_Data!$AA:$AA,0))/10</f>
        <v>6</v>
      </c>
      <c r="F78" s="4" t="str">
        <f>tblPlayers[[#This Row],[status]]</f>
        <v>a</v>
      </c>
      <c r="G78" s="4" t="b">
        <f>tblPlayers[[#This Row],[can_select]]</f>
        <v>1</v>
      </c>
      <c r="H78">
        <f>IF(AND(Table8[[#This Row],[Availability Status]]="a",Table8[[#This Row],[Can Select]]=TRUE),1,0)</f>
        <v>1</v>
      </c>
      <c r="I78">
        <f>tblPlayers[minutes]</f>
        <v>266</v>
      </c>
      <c r="J78" s="2">
        <f>Table8[[#This Row],[Minutes]]/90</f>
        <v>2.9555555555555557</v>
      </c>
      <c r="K78" s="5">
        <f>IFERROR(Z78/(FIXTURE_ANALYSIS!$B$1-1),0)</f>
        <v>1</v>
      </c>
      <c r="L78">
        <f>tblPlayers[total_points]</f>
        <v>24</v>
      </c>
      <c r="M78">
        <f>tblPlayers[points_per_game]</f>
        <v>8</v>
      </c>
      <c r="N78">
        <f>tblPlayers[form]</f>
        <v>8</v>
      </c>
      <c r="O78">
        <f>tblPlayers[expected_goals]</f>
        <v>0.33</v>
      </c>
      <c r="P78">
        <f>tblPlayers[expected_assists]</f>
        <v>0.3</v>
      </c>
      <c r="Q78">
        <f>tblPlayers[expected_goal_involvements]</f>
        <v>0.63</v>
      </c>
      <c r="R78" s="2">
        <f t="shared" si="25"/>
        <v>8.1203007518796984</v>
      </c>
      <c r="S78" s="5">
        <f t="shared" si="26"/>
        <v>0.11165413533834587</v>
      </c>
      <c r="T78" s="5">
        <f t="shared" si="27"/>
        <v>0.10150375939849622</v>
      </c>
      <c r="U78" s="5">
        <f t="shared" si="28"/>
        <v>0.21315789473684213</v>
      </c>
      <c r="V78" s="3">
        <f t="shared" si="29"/>
        <v>4</v>
      </c>
      <c r="W78" s="5">
        <f t="shared" si="30"/>
        <v>0.105</v>
      </c>
      <c r="X78" s="5">
        <f>IFERROR(IF(OR($B78="MID",$B78="FWD"),INDEX(FIXTURE_ANALYSIS!$Q:$Q,MATCH($D78,FIXTURE_ANALYSIS!$A:$A,0)),INDEX(FIXTURE_ANALYSIS!$R:$R,MATCH($D78,FIXTURE_ANALYSIS!$A:$A,0))),1)</f>
        <v>0.95673010380622836</v>
      </c>
      <c r="Y78" s="5">
        <f t="shared" si="31"/>
        <v>0.95673010380622836</v>
      </c>
      <c r="Z78" s="8">
        <f>INDEX(FPL_Raw_Data!$T:$T,MATCH(A78,FPL_Raw_Data!$AA:$AA,0))</f>
        <v>3</v>
      </c>
      <c r="AA78" s="8">
        <f>INDEX(FPL_Raw_Data!$S:$S,MATCH(A78,FPL_Raw_Data!$AA:$AA,0))</f>
        <v>37</v>
      </c>
      <c r="AB78" s="2">
        <f t="shared" si="32"/>
        <v>1</v>
      </c>
      <c r="AC78" s="2">
        <f>INDEX(FPL_Raw_Data!$Q:$Q,MATCH(A78,FPL_Raw_Data!$AA:$AA,0))</f>
        <v>5</v>
      </c>
      <c r="AD78" s="8">
        <f>INDEX(FPL_Raw_Data!$R:$R,MATCH(A78,FPL_Raw_Data!$AA:$AA,0))</f>
        <v>93</v>
      </c>
      <c r="AE78" s="8">
        <f>INDEX(FPL_Raw_Data!$N:$N,MATCH(A78,FPL_Raw_Data!$AA:$AA,0))</f>
        <v>1</v>
      </c>
      <c r="AF78" s="8">
        <f>INDEX(FPL_Raw_Data!$L:$L,MATCH(A78,FPL_Raw_Data!$AA:$AA,0))</f>
        <v>1</v>
      </c>
      <c r="AG78" s="2">
        <f>INDEX(FPL_Raw_Data!$M:$M,MATCH(A78,FPL_Raw_Data!$AA:$AA,0))</f>
        <v>2</v>
      </c>
      <c r="AH78" s="2">
        <f t="shared" si="33"/>
        <v>0.55827067669172936</v>
      </c>
      <c r="AI78" s="2">
        <f t="shared" si="34"/>
        <v>0.30451127819548868</v>
      </c>
      <c r="AJ78" s="2">
        <f t="shared" si="35"/>
        <v>2</v>
      </c>
      <c r="AK78" s="2">
        <f t="shared" si="36"/>
        <v>2</v>
      </c>
      <c r="AL78" s="2">
        <f t="shared" si="37"/>
        <v>0.33333333333333331</v>
      </c>
      <c r="AM78" s="2">
        <f t="shared" si="38"/>
        <v>0.33333333333333331</v>
      </c>
      <c r="AN78" s="2">
        <f t="shared" si="39"/>
        <v>1.6666666666666667</v>
      </c>
      <c r="AO78" s="3">
        <f t="shared" si="40"/>
        <v>89.7</v>
      </c>
      <c r="AP78">
        <f t="shared" si="41"/>
        <v>77.400000000000006</v>
      </c>
      <c r="AQ78">
        <f t="shared" si="42"/>
        <v>98.6</v>
      </c>
      <c r="AR78">
        <f t="shared" si="43"/>
        <v>84.8</v>
      </c>
      <c r="AS78" s="2">
        <f t="shared" si="44"/>
        <v>100</v>
      </c>
      <c r="AT78" s="2">
        <f>IFERROR(INDEX(Player_Model!$BC$2:$BC$596,MATCH($A78,Player_Model!$A$2:$A$596,0)),0)</f>
        <v>5.0484145636262303</v>
      </c>
      <c r="AU78" s="2">
        <f>Table8[[#This Row],[Model Expected Points]]*Table8[[#This Row],[Fixture Adjustment]]</f>
        <v>4.8299701895149987</v>
      </c>
      <c r="AV78" s="2">
        <f>Table8[[#This Row],[Fixture Adjusted Points / 90]]/Table8[[#This Row],[Price]]</f>
        <v>0.80499503158583308</v>
      </c>
      <c r="AW78">
        <f t="shared" si="45"/>
        <v>83.550000000000011</v>
      </c>
      <c r="AX78">
        <f t="shared" si="46"/>
        <v>1</v>
      </c>
      <c r="AY78" s="2">
        <f t="shared" si="47"/>
        <v>100</v>
      </c>
      <c r="AZ78" s="5">
        <f t="shared" si="48"/>
        <v>0.95673010380622836</v>
      </c>
      <c r="BA78">
        <f>Table8[[#This Row],[Model Score2]]</f>
        <v>5.0484145636262303</v>
      </c>
      <c r="BB78">
        <f>IFERROR(INDEX(Player_Model!$BG$2:$BG$596,MATCH($A78,Player_Model!$A$2:$A$596,0)),"")</f>
        <v>42</v>
      </c>
      <c r="BC78" t="str">
        <f t="shared" si="49"/>
        <v>AVOID</v>
      </c>
      <c r="BD78">
        <f>IF(H78=1,Table8[[#This Row],[Model Score]],-10000)</f>
        <v>5.0484145636262303</v>
      </c>
      <c r="BE78">
        <f>IFERROR(INDEX(Player_Model!$BF$2:$BF$596,MATCH($A78,Player_Model!$A$2:$A$596,0)),"")</f>
        <v>89</v>
      </c>
      <c r="BF78">
        <f>IFERROR(INDEX(Player_Model!$BG$2:$BG$596,MATCH($A78,Player_Model!$A$2:$A$596,0)),"")</f>
        <v>42</v>
      </c>
      <c r="BG78">
        <f>IFERROR(INDEX(Player_Model!$BE$2:$BE$596,MATCH($A78,Player_Model!$A$2:$A$596,0)),0)</f>
        <v>5.0484145636262303</v>
      </c>
    </row>
    <row r="79" spans="1:59" x14ac:dyDescent="0.25">
      <c r="A79" t="str">
        <f>tblPlayers[first_name]&amp;" "&amp;tblPlayers[second_name]</f>
        <v>Justin Kluivert</v>
      </c>
      <c r="B79" t="str">
        <f>_xlfn.SWITCH(tblPlayers[element_type],1,"GK",2,"DEF",3,"MID",4,"FWD")</f>
        <v>MID</v>
      </c>
      <c r="C79">
        <f>tblPlayers[team]</f>
        <v>3</v>
      </c>
      <c r="D79" t="str">
        <f>INDEX(tblTeams[Column1.short_name],MATCH(C79,tblTeams[Column1.id],0))</f>
        <v>BOU</v>
      </c>
      <c r="E79" s="4">
        <f>INDEX(FPL_Raw_Data!$F:$F,MATCH(A79,FPL_Raw_Data!$AA:$AA,0))/10</f>
        <v>6</v>
      </c>
      <c r="F79" s="4" t="str">
        <f>tblPlayers[[#This Row],[status]]</f>
        <v>a</v>
      </c>
      <c r="G79" s="4" t="b">
        <f>tblPlayers[[#This Row],[can_select]]</f>
        <v>1</v>
      </c>
      <c r="H79">
        <f>IF(AND(Table8[[#This Row],[Availability Status]]="a",Table8[[#This Row],[Can Select]]=TRUE),1,0)</f>
        <v>1</v>
      </c>
      <c r="I79">
        <f>tblPlayers[minutes]</f>
        <v>229</v>
      </c>
      <c r="J79" s="2">
        <f>Table8[[#This Row],[Minutes]]/90</f>
        <v>2.5444444444444443</v>
      </c>
      <c r="K79" s="5">
        <f>IFERROR(Z79/(FIXTURE_ANALYSIS!$B$1-1),0)</f>
        <v>1</v>
      </c>
      <c r="L79">
        <f>tblPlayers[total_points]</f>
        <v>7</v>
      </c>
      <c r="M79">
        <f>tblPlayers[points_per_game]</f>
        <v>2.2999999999999998</v>
      </c>
      <c r="N79">
        <f>tblPlayers[form]</f>
        <v>2.2999999999999998</v>
      </c>
      <c r="O79">
        <f>tblPlayers[expected_goals]</f>
        <v>0.78</v>
      </c>
      <c r="P79">
        <f>tblPlayers[expected_assists]</f>
        <v>0.06</v>
      </c>
      <c r="Q79">
        <f>tblPlayers[expected_goal_involvements]</f>
        <v>0.84</v>
      </c>
      <c r="R79" s="2">
        <f t="shared" si="25"/>
        <v>2.7510917030567685</v>
      </c>
      <c r="S79" s="5">
        <f t="shared" si="26"/>
        <v>0.30655021834061136</v>
      </c>
      <c r="T79" s="5">
        <f t="shared" si="27"/>
        <v>2.3580786026200874E-2</v>
      </c>
      <c r="U79" s="5">
        <f t="shared" si="28"/>
        <v>0.3301310043668122</v>
      </c>
      <c r="V79" s="3">
        <f t="shared" si="29"/>
        <v>1.1666666666666667</v>
      </c>
      <c r="W79" s="5">
        <f t="shared" si="30"/>
        <v>0.13999999999999999</v>
      </c>
      <c r="X79" s="5">
        <f>IFERROR(IF(OR($B79="MID",$B79="FWD"),INDEX(FIXTURE_ANALYSIS!$Q:$Q,MATCH($D79,FIXTURE_ANALYSIS!$A:$A,0)),INDEX(FIXTURE_ANALYSIS!$R:$R,MATCH($D79,FIXTURE_ANALYSIS!$A:$A,0))),1)</f>
        <v>0.95673010380622836</v>
      </c>
      <c r="Y79" s="5">
        <f t="shared" si="31"/>
        <v>0.95673010380622836</v>
      </c>
      <c r="Z79" s="8">
        <f>INDEX(FPL_Raw_Data!$T:$T,MATCH(A79,FPL_Raw_Data!$AA:$AA,0))</f>
        <v>3</v>
      </c>
      <c r="AA79" s="8">
        <f>INDEX(FPL_Raw_Data!$S:$S,MATCH(A79,FPL_Raw_Data!$AA:$AA,0))</f>
        <v>18</v>
      </c>
      <c r="AB79" s="2">
        <f t="shared" si="32"/>
        <v>1</v>
      </c>
      <c r="AC79" s="2">
        <f>INDEX(FPL_Raw_Data!$Q:$Q,MATCH(A79,FPL_Raw_Data!$AA:$AA,0))</f>
        <v>0</v>
      </c>
      <c r="AD79" s="8">
        <f>INDEX(FPL_Raw_Data!$R:$R,MATCH(A79,FPL_Raw_Data!$AA:$AA,0))</f>
        <v>33</v>
      </c>
      <c r="AE79" s="8">
        <f>INDEX(FPL_Raw_Data!$N:$N,MATCH(A79,FPL_Raw_Data!$AA:$AA,0))</f>
        <v>2</v>
      </c>
      <c r="AF79" s="8">
        <f>INDEX(FPL_Raw_Data!$L:$L,MATCH(A79,FPL_Raw_Data!$AA:$AA,0))</f>
        <v>0</v>
      </c>
      <c r="AG79" s="2">
        <f>INDEX(FPL_Raw_Data!$M:$M,MATCH(A79,FPL_Raw_Data!$AA:$AA,0))</f>
        <v>0</v>
      </c>
      <c r="AH79" s="2">
        <f t="shared" si="33"/>
        <v>1.5327510917030569</v>
      </c>
      <c r="AI79" s="2">
        <f t="shared" si="34"/>
        <v>7.074235807860263E-2</v>
      </c>
      <c r="AJ79" s="2">
        <f t="shared" si="35"/>
        <v>2</v>
      </c>
      <c r="AK79" s="2">
        <f t="shared" si="36"/>
        <v>2</v>
      </c>
      <c r="AL79" s="2">
        <f t="shared" si="37"/>
        <v>0.66666666666666663</v>
      </c>
      <c r="AM79" s="2">
        <f t="shared" si="38"/>
        <v>0.66666666666666663</v>
      </c>
      <c r="AN79" s="2">
        <f t="shared" si="39"/>
        <v>0</v>
      </c>
      <c r="AO79" s="3">
        <f t="shared" si="40"/>
        <v>55.500000000000007</v>
      </c>
      <c r="AP79">
        <f t="shared" si="41"/>
        <v>85.5</v>
      </c>
      <c r="AQ79">
        <f t="shared" si="42"/>
        <v>71.7</v>
      </c>
      <c r="AR79">
        <f t="shared" si="43"/>
        <v>90.7</v>
      </c>
      <c r="AS79" s="2">
        <f t="shared" si="44"/>
        <v>100</v>
      </c>
      <c r="AT79" s="2">
        <f>IFERROR(INDEX(Player_Model!$BC$2:$BC$596,MATCH($A79,Player_Model!$A$2:$A$596,0)),0)</f>
        <v>5.2572601289517786</v>
      </c>
      <c r="AU79" s="2">
        <f>Table8[[#This Row],[Model Expected Points]]*Table8[[#This Row],[Fixture Adjustment]]</f>
        <v>5.029779028908381</v>
      </c>
      <c r="AV79" s="2">
        <f>Table8[[#This Row],[Fixture Adjusted Points / 90]]/Table8[[#This Row],[Price]]</f>
        <v>0.8382965048180635</v>
      </c>
      <c r="AW79">
        <f t="shared" si="45"/>
        <v>70.5</v>
      </c>
      <c r="AX79">
        <f t="shared" si="46"/>
        <v>1</v>
      </c>
      <c r="AY79" s="2">
        <f t="shared" si="47"/>
        <v>100</v>
      </c>
      <c r="AZ79" s="5">
        <f t="shared" si="48"/>
        <v>0.95673010380622836</v>
      </c>
      <c r="BA79">
        <f>Table8[[#This Row],[Model Score2]]</f>
        <v>5.2572601289517786</v>
      </c>
      <c r="BB79">
        <f>IFERROR(INDEX(Player_Model!$BG$2:$BG$596,MATCH($A79,Player_Model!$A$2:$A$596,0)),"")</f>
        <v>37</v>
      </c>
      <c r="BC79" t="str">
        <f t="shared" si="49"/>
        <v>AVOID</v>
      </c>
      <c r="BD79">
        <f>IF(H79=1,Table8[[#This Row],[Model Score]],-10000)</f>
        <v>5.2572601289517786</v>
      </c>
      <c r="BE79">
        <f>IFERROR(INDEX(Player_Model!$BF$2:$BF$596,MATCH($A79,Player_Model!$A$2:$A$596,0)),"")</f>
        <v>79</v>
      </c>
      <c r="BF79">
        <f>IFERROR(INDEX(Player_Model!$BG$2:$BG$596,MATCH($A79,Player_Model!$A$2:$A$596,0)),"")</f>
        <v>37</v>
      </c>
      <c r="BG79">
        <f>IFERROR(INDEX(Player_Model!$BE$2:$BE$596,MATCH($A79,Player_Model!$A$2:$A$596,0)),0)</f>
        <v>5.2572601289517786</v>
      </c>
    </row>
    <row r="80" spans="1:59" x14ac:dyDescent="0.25">
      <c r="A80" t="str">
        <f>tblPlayers[first_name]&amp;" "&amp;tblPlayers[second_name]</f>
        <v>Lewis Cook</v>
      </c>
      <c r="B80" t="str">
        <f>_xlfn.SWITCH(tblPlayers[element_type],1,"GK",2,"DEF",3,"MID",4,"FWD")</f>
        <v>MID</v>
      </c>
      <c r="C80">
        <f>tblPlayers[team]</f>
        <v>3</v>
      </c>
      <c r="D80" t="str">
        <f>INDEX(tblTeams[Column1.short_name],MATCH(C80,tblTeams[Column1.id],0))</f>
        <v>BOU</v>
      </c>
      <c r="E80" s="4">
        <f>INDEX(FPL_Raw_Data!$F:$F,MATCH(A80,FPL_Raw_Data!$AA:$AA,0))/10</f>
        <v>5</v>
      </c>
      <c r="F80" s="4" t="str">
        <f>tblPlayers[[#This Row],[status]]</f>
        <v>a</v>
      </c>
      <c r="G80" s="4" t="b">
        <f>tblPlayers[[#This Row],[can_select]]</f>
        <v>1</v>
      </c>
      <c r="H80">
        <f>IF(AND(Table8[[#This Row],[Availability Status]]="a",Table8[[#This Row],[Can Select]]=TRUE),1,0)</f>
        <v>1</v>
      </c>
      <c r="I80">
        <f>tblPlayers[minutes]</f>
        <v>157</v>
      </c>
      <c r="J80" s="2">
        <f>Table8[[#This Row],[Minutes]]/90</f>
        <v>1.7444444444444445</v>
      </c>
      <c r="K80" s="5">
        <f>IFERROR(Z80/(FIXTURE_ANALYSIS!$B$1-1),0)</f>
        <v>0.66666666666666663</v>
      </c>
      <c r="L80">
        <f>tblPlayers[total_points]</f>
        <v>7</v>
      </c>
      <c r="M80">
        <f>tblPlayers[points_per_game]</f>
        <v>2.2999999999999998</v>
      </c>
      <c r="N80">
        <f>tblPlayers[form]</f>
        <v>2.2999999999999998</v>
      </c>
      <c r="O80">
        <f>tblPlayers[expected_goals]</f>
        <v>0</v>
      </c>
      <c r="P80">
        <f>tblPlayers[expected_assists]</f>
        <v>0.01</v>
      </c>
      <c r="Q80">
        <f>tblPlayers[expected_goal_involvements]</f>
        <v>0.01</v>
      </c>
      <c r="R80" s="2">
        <f t="shared" si="25"/>
        <v>4.0127388535031843</v>
      </c>
      <c r="S80" s="5">
        <f t="shared" si="26"/>
        <v>0</v>
      </c>
      <c r="T80" s="5">
        <f t="shared" si="27"/>
        <v>5.7324840764331215E-3</v>
      </c>
      <c r="U80" s="5">
        <f t="shared" si="28"/>
        <v>5.7324840764331215E-3</v>
      </c>
      <c r="V80" s="3">
        <f t="shared" si="29"/>
        <v>1.4</v>
      </c>
      <c r="W80" s="5">
        <f t="shared" si="30"/>
        <v>2E-3</v>
      </c>
      <c r="X80" s="5">
        <f>IFERROR(IF(OR($B80="MID",$B80="FWD"),INDEX(FIXTURE_ANALYSIS!$Q:$Q,MATCH($D80,FIXTURE_ANALYSIS!$A:$A,0)),INDEX(FIXTURE_ANALYSIS!$R:$R,MATCH($D80,FIXTURE_ANALYSIS!$A:$A,0))),1)</f>
        <v>0.95673010380622836</v>
      </c>
      <c r="Y80" s="5">
        <f t="shared" si="31"/>
        <v>0.95673010380622836</v>
      </c>
      <c r="Z80" s="8">
        <f>INDEX(FPL_Raw_Data!$T:$T,MATCH(A80,FPL_Raw_Data!$AA:$AA,0))</f>
        <v>2</v>
      </c>
      <c r="AA80" s="8">
        <f>INDEX(FPL_Raw_Data!$S:$S,MATCH(A80,FPL_Raw_Data!$AA:$AA,0))</f>
        <v>10</v>
      </c>
      <c r="AB80" s="2">
        <f t="shared" si="32"/>
        <v>0.83333333333333337</v>
      </c>
      <c r="AC80" s="2">
        <f>INDEX(FPL_Raw_Data!$Q:$Q,MATCH(A80,FPL_Raw_Data!$AA:$AA,0))</f>
        <v>0</v>
      </c>
      <c r="AD80" s="8">
        <f>INDEX(FPL_Raw_Data!$R:$R,MATCH(A80,FPL_Raw_Data!$AA:$AA,0))</f>
        <v>23</v>
      </c>
      <c r="AE80" s="8">
        <f>INDEX(FPL_Raw_Data!$N:$N,MATCH(A80,FPL_Raw_Data!$AA:$AA,0))</f>
        <v>2</v>
      </c>
      <c r="AF80" s="8">
        <f>INDEX(FPL_Raw_Data!$L:$L,MATCH(A80,FPL_Raw_Data!$AA:$AA,0))</f>
        <v>0</v>
      </c>
      <c r="AG80" s="2">
        <f>INDEX(FPL_Raw_Data!$M:$M,MATCH(A80,FPL_Raw_Data!$AA:$AA,0))</f>
        <v>0</v>
      </c>
      <c r="AH80" s="2">
        <f t="shared" si="33"/>
        <v>0</v>
      </c>
      <c r="AI80" s="2">
        <f t="shared" si="34"/>
        <v>1.7197452229299366E-2</v>
      </c>
      <c r="AJ80" s="2">
        <f t="shared" si="35"/>
        <v>1.3333333333333333</v>
      </c>
      <c r="AK80" s="2">
        <f t="shared" si="36"/>
        <v>1.6666666666666667</v>
      </c>
      <c r="AL80" s="2">
        <f t="shared" si="37"/>
        <v>1</v>
      </c>
      <c r="AM80" s="2">
        <f t="shared" si="38"/>
        <v>1</v>
      </c>
      <c r="AN80" s="2">
        <f t="shared" si="39"/>
        <v>0</v>
      </c>
      <c r="AO80" s="3">
        <f t="shared" si="40"/>
        <v>69.599999999999994</v>
      </c>
      <c r="AP80">
        <f t="shared" si="41"/>
        <v>52.1</v>
      </c>
      <c r="AQ80">
        <f t="shared" si="42"/>
        <v>76</v>
      </c>
      <c r="AR80">
        <f t="shared" si="43"/>
        <v>51.5</v>
      </c>
      <c r="AS80" s="2">
        <f t="shared" si="44"/>
        <v>66.666666666666657</v>
      </c>
      <c r="AT80" s="2">
        <f>IFERROR(INDEX(Player_Model!$BC$2:$BC$596,MATCH($A80,Player_Model!$A$2:$A$596,0)),0)</f>
        <v>3.9359281479795203</v>
      </c>
      <c r="AU80" s="2">
        <f>Table8[[#This Row],[Model Expected Points]]*Table8[[#This Row],[Fixture Adjustment]]</f>
        <v>3.7656209455903027</v>
      </c>
      <c r="AV80" s="2">
        <f>Table8[[#This Row],[Fixture Adjusted Points / 90]]/Table8[[#This Row],[Price]]</f>
        <v>0.75312418911806056</v>
      </c>
      <c r="AW80">
        <f t="shared" si="45"/>
        <v>60.849999999999994</v>
      </c>
      <c r="AX80">
        <f t="shared" si="46"/>
        <v>0.83333333333333337</v>
      </c>
      <c r="AY80" s="2">
        <f t="shared" si="47"/>
        <v>66.666666666666657</v>
      </c>
      <c r="AZ80" s="5">
        <f t="shared" si="48"/>
        <v>0.95673010380622836</v>
      </c>
      <c r="BA80">
        <f>Table8[[#This Row],[Model Score2]]</f>
        <v>3.9359281479795203</v>
      </c>
      <c r="BB80">
        <f>IFERROR(INDEX(Player_Model!$BG$2:$BG$596,MATCH($A80,Player_Model!$A$2:$A$596,0)),"")</f>
        <v>79</v>
      </c>
      <c r="BC80" t="str">
        <f t="shared" si="49"/>
        <v>AVOID</v>
      </c>
      <c r="BD80">
        <f>IF(H80=1,Table8[[#This Row],[Model Score]],-10000)</f>
        <v>3.9359281479795203</v>
      </c>
      <c r="BE80">
        <f>IFERROR(INDEX(Player_Model!$BF$2:$BF$596,MATCH($A80,Player_Model!$A$2:$A$596,0)),"")</f>
        <v>157</v>
      </c>
      <c r="BF80">
        <f>IFERROR(INDEX(Player_Model!$BG$2:$BG$596,MATCH($A80,Player_Model!$A$2:$A$596,0)),"")</f>
        <v>79</v>
      </c>
      <c r="BG80">
        <f>IFERROR(INDEX(Player_Model!$BE$2:$BE$596,MATCH($A80,Player_Model!$A$2:$A$596,0)),0)</f>
        <v>3.9359281479795203</v>
      </c>
    </row>
    <row r="81" spans="1:59" x14ac:dyDescent="0.25">
      <c r="A81" t="str">
        <f>tblPlayers[first_name]&amp;" "&amp;tblPlayers[second_name]</f>
        <v>Ben Gannon-Doak</v>
      </c>
      <c r="B81" t="str">
        <f>_xlfn.SWITCH(tblPlayers[element_type],1,"GK",2,"DEF",3,"MID",4,"FWD")</f>
        <v>MID</v>
      </c>
      <c r="C81">
        <f>tblPlayers[team]</f>
        <v>3</v>
      </c>
      <c r="D81" t="str">
        <f>INDEX(tblTeams[Column1.short_name],MATCH(C81,tblTeams[Column1.id],0))</f>
        <v>BOU</v>
      </c>
      <c r="E81" s="4">
        <f>INDEX(FPL_Raw_Data!$F:$F,MATCH(A81,FPL_Raw_Data!$AA:$AA,0))/10</f>
        <v>4.9000000000000004</v>
      </c>
      <c r="F81" s="4" t="str">
        <f>tblPlayers[[#This Row],[status]]</f>
        <v>a</v>
      </c>
      <c r="G81" s="4" t="b">
        <f>tblPlayers[[#This Row],[can_select]]</f>
        <v>1</v>
      </c>
      <c r="H81">
        <f>IF(AND(Table8[[#This Row],[Availability Status]]="a",Table8[[#This Row],[Can Select]]=TRUE),1,0)</f>
        <v>1</v>
      </c>
      <c r="I81">
        <f>tblPlayers[minutes]</f>
        <v>2</v>
      </c>
      <c r="J81" s="2">
        <f>Table8[[#This Row],[Minutes]]/90</f>
        <v>2.2222222222222223E-2</v>
      </c>
      <c r="K81" s="5">
        <f>IFERROR(Z81/(FIXTURE_ANALYSIS!$B$1-1),0)</f>
        <v>0</v>
      </c>
      <c r="L81">
        <f>tblPlayers[total_points]</f>
        <v>2</v>
      </c>
      <c r="M81">
        <f>tblPlayers[points_per_game]</f>
        <v>1</v>
      </c>
      <c r="N81">
        <f>tblPlayers[form]</f>
        <v>0.7</v>
      </c>
      <c r="O81">
        <f>tblPlayers[expected_goals]</f>
        <v>0.02</v>
      </c>
      <c r="P81">
        <f>tblPlayers[expected_assists]</f>
        <v>0</v>
      </c>
      <c r="Q81">
        <f>tblPlayers[expected_goal_involvements]</f>
        <v>0.02</v>
      </c>
      <c r="R81" s="2">
        <f t="shared" si="25"/>
        <v>90</v>
      </c>
      <c r="S81" s="5">
        <f t="shared" si="26"/>
        <v>0.9</v>
      </c>
      <c r="T81" s="5">
        <f t="shared" si="27"/>
        <v>0</v>
      </c>
      <c r="U81" s="5">
        <f t="shared" si="28"/>
        <v>0.9</v>
      </c>
      <c r="V81" s="3">
        <f t="shared" si="29"/>
        <v>0.4081632653061224</v>
      </c>
      <c r="W81" s="5">
        <f t="shared" si="30"/>
        <v>4.081632653061224E-3</v>
      </c>
      <c r="X81" s="5">
        <f>IFERROR(IF(OR($B81="MID",$B81="FWD"),INDEX(FIXTURE_ANALYSIS!$Q:$Q,MATCH($D81,FIXTURE_ANALYSIS!$A:$A,0)),INDEX(FIXTURE_ANALYSIS!$R:$R,MATCH($D81,FIXTURE_ANALYSIS!$A:$A,0))),1)</f>
        <v>0.95673010380622836</v>
      </c>
      <c r="Y81" s="5">
        <f t="shared" si="31"/>
        <v>0.95673010380622836</v>
      </c>
      <c r="Z81" s="8">
        <f>INDEX(FPL_Raw_Data!$T:$T,MATCH(A81,FPL_Raw_Data!$AA:$AA,0))</f>
        <v>0</v>
      </c>
      <c r="AA81" s="8">
        <f>INDEX(FPL_Raw_Data!$S:$S,MATCH(A81,FPL_Raw_Data!$AA:$AA,0))</f>
        <v>3</v>
      </c>
      <c r="AB81" s="2">
        <f t="shared" si="32"/>
        <v>0.25</v>
      </c>
      <c r="AC81" s="2">
        <f>INDEX(FPL_Raw_Data!$Q:$Q,MATCH(A81,FPL_Raw_Data!$AA:$AA,0))</f>
        <v>0</v>
      </c>
      <c r="AD81" s="8">
        <f>INDEX(FPL_Raw_Data!$R:$R,MATCH(A81,FPL_Raw_Data!$AA:$AA,0))</f>
        <v>6</v>
      </c>
      <c r="AE81" s="8">
        <f>INDEX(FPL_Raw_Data!$N:$N,MATCH(A81,FPL_Raw_Data!$AA:$AA,0))</f>
        <v>0</v>
      </c>
      <c r="AF81" s="8">
        <f>INDEX(FPL_Raw_Data!$L:$L,MATCH(A81,FPL_Raw_Data!$AA:$AA,0))</f>
        <v>0</v>
      </c>
      <c r="AG81" s="2">
        <f>INDEX(FPL_Raw_Data!$M:$M,MATCH(A81,FPL_Raw_Data!$AA:$AA,0))</f>
        <v>0</v>
      </c>
      <c r="AH81" s="2">
        <f t="shared" si="33"/>
        <v>4.5</v>
      </c>
      <c r="AI81" s="2">
        <f t="shared" si="34"/>
        <v>0</v>
      </c>
      <c r="AJ81" s="2">
        <f t="shared" si="35"/>
        <v>0</v>
      </c>
      <c r="AK81" s="2">
        <f t="shared" si="36"/>
        <v>0.5</v>
      </c>
      <c r="AL81" s="2">
        <f t="shared" si="37"/>
        <v>0</v>
      </c>
      <c r="AM81" s="2">
        <f t="shared" si="38"/>
        <v>0</v>
      </c>
      <c r="AN81" s="2">
        <f t="shared" si="39"/>
        <v>0</v>
      </c>
      <c r="AO81" s="3">
        <f t="shared" si="40"/>
        <v>98.1</v>
      </c>
      <c r="AP81">
        <f t="shared" si="41"/>
        <v>96.899999999999991</v>
      </c>
      <c r="AQ81">
        <f t="shared" si="42"/>
        <v>54.800000000000004</v>
      </c>
      <c r="AR81">
        <f t="shared" si="43"/>
        <v>55.2</v>
      </c>
      <c r="AS81" s="2">
        <f t="shared" si="44"/>
        <v>0</v>
      </c>
      <c r="AT81" s="2">
        <f>IFERROR(INDEX(Player_Model!$BC$2:$BC$596,MATCH($A81,Player_Model!$A$2:$A$596,0)),0)</f>
        <v>0</v>
      </c>
      <c r="AU81" s="2">
        <f>Table8[[#This Row],[Model Expected Points]]*Table8[[#This Row],[Fixture Adjustment]]</f>
        <v>0</v>
      </c>
      <c r="AV81" s="2">
        <f>Table8[[#This Row],[Fixture Adjusted Points / 90]]/Table8[[#This Row],[Price]]</f>
        <v>0</v>
      </c>
      <c r="AW81">
        <f t="shared" si="45"/>
        <v>97.5</v>
      </c>
      <c r="AX81">
        <f t="shared" si="46"/>
        <v>0.25</v>
      </c>
      <c r="AY81" s="2">
        <f t="shared" si="47"/>
        <v>0</v>
      </c>
      <c r="AZ81" s="5">
        <f t="shared" si="48"/>
        <v>0.95673010380622836</v>
      </c>
      <c r="BA81">
        <f>Table8[[#This Row],[Model Score2]]</f>
        <v>0</v>
      </c>
      <c r="BB81">
        <f>IFERROR(INDEX(Player_Model!$BG$2:$BG$596,MATCH($A81,Player_Model!$A$2:$A$596,0)),"")</f>
        <v>132</v>
      </c>
      <c r="BC81" t="str">
        <f t="shared" si="49"/>
        <v>AVOID</v>
      </c>
      <c r="BD81">
        <f>IF(H81=1,Table8[[#This Row],[Model Score]],-10000)</f>
        <v>0</v>
      </c>
      <c r="BE81">
        <f>IFERROR(INDEX(Player_Model!$BF$2:$BF$596,MATCH($A81,Player_Model!$A$2:$A$596,0)),"")</f>
        <v>253</v>
      </c>
      <c r="BF81">
        <f>IFERROR(INDEX(Player_Model!$BG$2:$BG$596,MATCH($A81,Player_Model!$A$2:$A$596,0)),"")</f>
        <v>132</v>
      </c>
      <c r="BG81">
        <f>IFERROR(INDEX(Player_Model!$BE$2:$BE$596,MATCH($A81,Player_Model!$A$2:$A$596,0)),0)</f>
        <v>0</v>
      </c>
    </row>
    <row r="82" spans="1:59" x14ac:dyDescent="0.25">
      <c r="A82" t="str">
        <f>tblPlayers[first_name]&amp;" "&amp;tblPlayers[second_name]</f>
        <v>Tyler Adams</v>
      </c>
      <c r="B82" t="str">
        <f>_xlfn.SWITCH(tblPlayers[element_type],1,"GK",2,"DEF",3,"MID",4,"FWD")</f>
        <v>MID</v>
      </c>
      <c r="C82">
        <f>tblPlayers[team]</f>
        <v>3</v>
      </c>
      <c r="D82" t="str">
        <f>INDEX(tblTeams[Column1.short_name],MATCH(C82,tblTeams[Column1.id],0))</f>
        <v>BOU</v>
      </c>
      <c r="E82" s="4">
        <f>INDEX(FPL_Raw_Data!$F:$F,MATCH(A82,FPL_Raw_Data!$AA:$AA,0))/10</f>
        <v>5</v>
      </c>
      <c r="F82" s="4" t="str">
        <f>tblPlayers[[#This Row],[status]]</f>
        <v>a</v>
      </c>
      <c r="G82" s="4" t="b">
        <f>tblPlayers[[#This Row],[can_select]]</f>
        <v>1</v>
      </c>
      <c r="H82">
        <f>IF(AND(Table8[[#This Row],[Availability Status]]="a",Table8[[#This Row],[Can Select]]=TRUE),1,0)</f>
        <v>1</v>
      </c>
      <c r="I82">
        <f>tblPlayers[minutes]</f>
        <v>111</v>
      </c>
      <c r="J82" s="2">
        <f>Table8[[#This Row],[Minutes]]/90</f>
        <v>1.2333333333333334</v>
      </c>
      <c r="K82" s="5">
        <f>IFERROR(Z82/(FIXTURE_ANALYSIS!$B$1-1),0)</f>
        <v>0.33333333333333331</v>
      </c>
      <c r="L82">
        <f>tblPlayers[total_points]</f>
        <v>6</v>
      </c>
      <c r="M82">
        <f>tblPlayers[points_per_game]</f>
        <v>2</v>
      </c>
      <c r="N82">
        <f>tblPlayers[form]</f>
        <v>2</v>
      </c>
      <c r="O82">
        <f>tblPlayers[expected_goals]</f>
        <v>0</v>
      </c>
      <c r="P82">
        <f>tblPlayers[expected_assists]</f>
        <v>0.01</v>
      </c>
      <c r="Q82">
        <f>tblPlayers[expected_goal_involvements]</f>
        <v>0.01</v>
      </c>
      <c r="R82" s="2">
        <f t="shared" si="25"/>
        <v>4.8648648648648649</v>
      </c>
      <c r="S82" s="5">
        <f t="shared" si="26"/>
        <v>0</v>
      </c>
      <c r="T82" s="5">
        <f t="shared" si="27"/>
        <v>8.1081081081081086E-3</v>
      </c>
      <c r="U82" s="5">
        <f t="shared" si="28"/>
        <v>8.1081081081081086E-3</v>
      </c>
      <c r="V82" s="3">
        <f t="shared" si="29"/>
        <v>1.2</v>
      </c>
      <c r="W82" s="5">
        <f t="shared" si="30"/>
        <v>2E-3</v>
      </c>
      <c r="X82" s="5">
        <f>IFERROR(IF(OR($B82="MID",$B82="FWD"),INDEX(FIXTURE_ANALYSIS!$Q:$Q,MATCH($D82,FIXTURE_ANALYSIS!$A:$A,0)),INDEX(FIXTURE_ANALYSIS!$R:$R,MATCH($D82,FIXTURE_ANALYSIS!$A:$A,0))),1)</f>
        <v>0.95673010380622836</v>
      </c>
      <c r="Y82" s="5">
        <f t="shared" si="31"/>
        <v>0.95673010380622836</v>
      </c>
      <c r="Z82" s="8">
        <f>INDEX(FPL_Raw_Data!$T:$T,MATCH(A82,FPL_Raw_Data!$AA:$AA,0))</f>
        <v>1</v>
      </c>
      <c r="AA82" s="8">
        <f>INDEX(FPL_Raw_Data!$S:$S,MATCH(A82,FPL_Raw_Data!$AA:$AA,0))</f>
        <v>18</v>
      </c>
      <c r="AB82" s="2">
        <f t="shared" si="32"/>
        <v>1</v>
      </c>
      <c r="AC82" s="2">
        <f>INDEX(FPL_Raw_Data!$Q:$Q,MATCH(A82,FPL_Raw_Data!$AA:$AA,0))</f>
        <v>0</v>
      </c>
      <c r="AD82" s="8">
        <f>INDEX(FPL_Raw_Data!$R:$R,MATCH(A82,FPL_Raw_Data!$AA:$AA,0))</f>
        <v>23</v>
      </c>
      <c r="AE82" s="8">
        <f>INDEX(FPL_Raw_Data!$N:$N,MATCH(A82,FPL_Raw_Data!$AA:$AA,0))</f>
        <v>0</v>
      </c>
      <c r="AF82" s="8">
        <f>INDEX(FPL_Raw_Data!$L:$L,MATCH(A82,FPL_Raw_Data!$AA:$AA,0))</f>
        <v>0</v>
      </c>
      <c r="AG82" s="2">
        <f>INDEX(FPL_Raw_Data!$M:$M,MATCH(A82,FPL_Raw_Data!$AA:$AA,0))</f>
        <v>0</v>
      </c>
      <c r="AH82" s="2">
        <f t="shared" si="33"/>
        <v>0</v>
      </c>
      <c r="AI82" s="2">
        <f t="shared" si="34"/>
        <v>2.4324324324324326E-2</v>
      </c>
      <c r="AJ82" s="2">
        <f t="shared" si="35"/>
        <v>0.66666666666666663</v>
      </c>
      <c r="AK82" s="2">
        <f t="shared" si="36"/>
        <v>2</v>
      </c>
      <c r="AL82" s="2">
        <f t="shared" si="37"/>
        <v>0</v>
      </c>
      <c r="AM82" s="2">
        <f t="shared" si="38"/>
        <v>0</v>
      </c>
      <c r="AN82" s="2">
        <f t="shared" si="39"/>
        <v>0</v>
      </c>
      <c r="AO82" s="3">
        <f t="shared" si="40"/>
        <v>74.900000000000006</v>
      </c>
      <c r="AP82">
        <f t="shared" si="41"/>
        <v>52.800000000000004</v>
      </c>
      <c r="AQ82">
        <f t="shared" si="42"/>
        <v>72.2</v>
      </c>
      <c r="AR82">
        <f t="shared" si="43"/>
        <v>51.5</v>
      </c>
      <c r="AS82" s="2">
        <f t="shared" si="44"/>
        <v>33.333333333333329</v>
      </c>
      <c r="AT82" s="2">
        <f>IFERROR(INDEX(Player_Model!$BC$2:$BC$596,MATCH($A82,Player_Model!$A$2:$A$596,0)),0)</f>
        <v>3.5748544937505096</v>
      </c>
      <c r="AU82" s="2">
        <f>Table8[[#This Row],[Model Expected Points]]*Table8[[#This Row],[Fixture Adjustment]]</f>
        <v>3.4201709108980869</v>
      </c>
      <c r="AV82" s="2">
        <f>Table8[[#This Row],[Fixture Adjusted Points / 90]]/Table8[[#This Row],[Price]]</f>
        <v>0.68403418217961742</v>
      </c>
      <c r="AW82">
        <f t="shared" si="45"/>
        <v>63.850000000000009</v>
      </c>
      <c r="AX82">
        <f t="shared" si="46"/>
        <v>1</v>
      </c>
      <c r="AY82" s="2">
        <f t="shared" si="47"/>
        <v>33.333333333333329</v>
      </c>
      <c r="AZ82" s="5">
        <f t="shared" si="48"/>
        <v>0.95673010380622836</v>
      </c>
      <c r="BA82">
        <f>Table8[[#This Row],[Model Score2]]</f>
        <v>3.5748544937505096</v>
      </c>
      <c r="BB82">
        <f>IFERROR(INDEX(Player_Model!$BG$2:$BG$596,MATCH($A82,Player_Model!$A$2:$A$596,0)),"")</f>
        <v>90</v>
      </c>
      <c r="BC82" t="str">
        <f t="shared" si="49"/>
        <v>AVOID</v>
      </c>
      <c r="BD82">
        <f>IF(H82=1,Table8[[#This Row],[Model Score]],-10000)</f>
        <v>3.5748544937505096</v>
      </c>
      <c r="BE82">
        <f>IFERROR(INDEX(Player_Model!$BF$2:$BF$596,MATCH($A82,Player_Model!$A$2:$A$596,0)),"")</f>
        <v>175</v>
      </c>
      <c r="BF82">
        <f>IFERROR(INDEX(Player_Model!$BG$2:$BG$596,MATCH($A82,Player_Model!$A$2:$A$596,0)),"")</f>
        <v>90</v>
      </c>
      <c r="BG82">
        <f>IFERROR(INDEX(Player_Model!$BE$2:$BE$596,MATCH($A82,Player_Model!$A$2:$A$596,0)),0)</f>
        <v>3.5748544937505096</v>
      </c>
    </row>
    <row r="83" spans="1:59" x14ac:dyDescent="0.25">
      <c r="A83" t="str">
        <f>tblPlayers[first_name]&amp;" "&amp;tblPlayers[second_name]</f>
        <v>David Brooks</v>
      </c>
      <c r="B83" t="str">
        <f>_xlfn.SWITCH(tblPlayers[element_type],1,"GK",2,"DEF",3,"MID",4,"FWD")</f>
        <v>MID</v>
      </c>
      <c r="C83">
        <f>tblPlayers[team]</f>
        <v>3</v>
      </c>
      <c r="D83" t="str">
        <f>INDEX(tblTeams[Column1.short_name],MATCH(C83,tblTeams[Column1.id],0))</f>
        <v>BOU</v>
      </c>
      <c r="E83" s="4">
        <f>INDEX(FPL_Raw_Data!$F:$F,MATCH(A83,FPL_Raw_Data!$AA:$AA,0))/10</f>
        <v>5</v>
      </c>
      <c r="F83" s="4" t="str">
        <f>tblPlayers[[#This Row],[status]]</f>
        <v>a</v>
      </c>
      <c r="G83" s="4" t="b">
        <f>tblPlayers[[#This Row],[can_select]]</f>
        <v>1</v>
      </c>
      <c r="H83">
        <f>IF(AND(Table8[[#This Row],[Availability Status]]="a",Table8[[#This Row],[Can Select]]=TRUE),1,0)</f>
        <v>1</v>
      </c>
      <c r="I83">
        <f>tblPlayers[minutes]</f>
        <v>23</v>
      </c>
      <c r="J83" s="2">
        <f>Table8[[#This Row],[Minutes]]/90</f>
        <v>0.25555555555555554</v>
      </c>
      <c r="K83" s="5">
        <f>IFERROR(Z83/(FIXTURE_ANALYSIS!$B$1-1),0)</f>
        <v>0</v>
      </c>
      <c r="L83">
        <f>tblPlayers[total_points]</f>
        <v>2</v>
      </c>
      <c r="M83">
        <f>tblPlayers[points_per_game]</f>
        <v>1</v>
      </c>
      <c r="N83">
        <f>tblPlayers[form]</f>
        <v>0.7</v>
      </c>
      <c r="O83">
        <f>tblPlayers[expected_goals]</f>
        <v>0</v>
      </c>
      <c r="P83">
        <f>tblPlayers[expected_assists]</f>
        <v>0.01</v>
      </c>
      <c r="Q83">
        <f>tblPlayers[expected_goal_involvements]</f>
        <v>0.01</v>
      </c>
      <c r="R83" s="2">
        <f t="shared" si="25"/>
        <v>7.8260869565217392</v>
      </c>
      <c r="S83" s="5">
        <f t="shared" si="26"/>
        <v>0</v>
      </c>
      <c r="T83" s="5">
        <f t="shared" si="27"/>
        <v>3.9130434782608699E-2</v>
      </c>
      <c r="U83" s="5">
        <f t="shared" si="28"/>
        <v>3.9130434782608699E-2</v>
      </c>
      <c r="V83" s="3">
        <f t="shared" si="29"/>
        <v>0.4</v>
      </c>
      <c r="W83" s="5">
        <f t="shared" si="30"/>
        <v>2E-3</v>
      </c>
      <c r="X83" s="5">
        <f>IFERROR(IF(OR($B83="MID",$B83="FWD"),INDEX(FIXTURE_ANALYSIS!$Q:$Q,MATCH($D83,FIXTURE_ANALYSIS!$A:$A,0)),INDEX(FIXTURE_ANALYSIS!$R:$R,MATCH($D83,FIXTURE_ANALYSIS!$A:$A,0))),1)</f>
        <v>0.95673010380622836</v>
      </c>
      <c r="Y83" s="5">
        <f t="shared" si="31"/>
        <v>0.95673010380622836</v>
      </c>
      <c r="Z83" s="8">
        <f>INDEX(FPL_Raw_Data!$T:$T,MATCH(A83,FPL_Raw_Data!$AA:$AA,0))</f>
        <v>0</v>
      </c>
      <c r="AA83" s="8">
        <f>INDEX(FPL_Raw_Data!$S:$S,MATCH(A83,FPL_Raw_Data!$AA:$AA,0))</f>
        <v>0</v>
      </c>
      <c r="AB83" s="2">
        <f t="shared" si="32"/>
        <v>0</v>
      </c>
      <c r="AC83" s="2">
        <f>INDEX(FPL_Raw_Data!$Q:$Q,MATCH(A83,FPL_Raw_Data!$AA:$AA,0))</f>
        <v>0</v>
      </c>
      <c r="AD83" s="8">
        <f>INDEX(FPL_Raw_Data!$R:$R,MATCH(A83,FPL_Raw_Data!$AA:$AA,0))</f>
        <v>5</v>
      </c>
      <c r="AE83" s="8">
        <f>INDEX(FPL_Raw_Data!$N:$N,MATCH(A83,FPL_Raw_Data!$AA:$AA,0))</f>
        <v>0</v>
      </c>
      <c r="AF83" s="8">
        <f>INDEX(FPL_Raw_Data!$L:$L,MATCH(A83,FPL_Raw_Data!$AA:$AA,0))</f>
        <v>0</v>
      </c>
      <c r="AG83" s="2">
        <f>INDEX(FPL_Raw_Data!$M:$M,MATCH(A83,FPL_Raw_Data!$AA:$AA,0))</f>
        <v>0</v>
      </c>
      <c r="AH83" s="2">
        <f t="shared" si="33"/>
        <v>0</v>
      </c>
      <c r="AI83" s="2">
        <f t="shared" si="34"/>
        <v>0.1173913043478261</v>
      </c>
      <c r="AJ83" s="2">
        <f t="shared" si="35"/>
        <v>0</v>
      </c>
      <c r="AK83" s="2">
        <f t="shared" si="36"/>
        <v>0</v>
      </c>
      <c r="AL83" s="2">
        <f t="shared" si="37"/>
        <v>0</v>
      </c>
      <c r="AM83" s="2">
        <f t="shared" si="38"/>
        <v>0</v>
      </c>
      <c r="AN83" s="2">
        <f t="shared" si="39"/>
        <v>0</v>
      </c>
      <c r="AO83" s="3">
        <f t="shared" si="40"/>
        <v>88.7</v>
      </c>
      <c r="AP83">
        <f t="shared" si="41"/>
        <v>59</v>
      </c>
      <c r="AQ83">
        <f t="shared" si="42"/>
        <v>53.300000000000004</v>
      </c>
      <c r="AR83">
        <f t="shared" si="43"/>
        <v>51.5</v>
      </c>
      <c r="AS83" s="2">
        <f t="shared" si="44"/>
        <v>0</v>
      </c>
      <c r="AT83" s="2">
        <f>IFERROR(INDEX(Player_Model!$BC$2:$BC$596,MATCH($A83,Player_Model!$A$2:$A$596,0)),0)</f>
        <v>0</v>
      </c>
      <c r="AU83" s="2">
        <f>Table8[[#This Row],[Model Expected Points]]*Table8[[#This Row],[Fixture Adjustment]]</f>
        <v>0</v>
      </c>
      <c r="AV83" s="2">
        <f>Table8[[#This Row],[Fixture Adjusted Points / 90]]/Table8[[#This Row],[Price]]</f>
        <v>0</v>
      </c>
      <c r="AW83">
        <f t="shared" si="45"/>
        <v>73.849999999999994</v>
      </c>
      <c r="AX83">
        <f t="shared" si="46"/>
        <v>0</v>
      </c>
      <c r="AY83" s="2">
        <f t="shared" si="47"/>
        <v>0</v>
      </c>
      <c r="AZ83" s="5">
        <f t="shared" si="48"/>
        <v>0.95673010380622836</v>
      </c>
      <c r="BA83">
        <f>Table8[[#This Row],[Model Score2]]</f>
        <v>0</v>
      </c>
      <c r="BB83">
        <f>IFERROR(INDEX(Player_Model!$BG$2:$BG$596,MATCH($A83,Player_Model!$A$2:$A$596,0)),"")</f>
        <v>133</v>
      </c>
      <c r="BC83" t="str">
        <f t="shared" si="49"/>
        <v>AVOID</v>
      </c>
      <c r="BD83">
        <f>IF(H83=1,Table8[[#This Row],[Model Score]],-10000)</f>
        <v>0</v>
      </c>
      <c r="BE83">
        <f>IFERROR(INDEX(Player_Model!$BF$2:$BF$596,MATCH($A83,Player_Model!$A$2:$A$596,0)),"")</f>
        <v>253</v>
      </c>
      <c r="BF83">
        <f>IFERROR(INDEX(Player_Model!$BG$2:$BG$596,MATCH($A83,Player_Model!$A$2:$A$596,0)),"")</f>
        <v>133</v>
      </c>
      <c r="BG83">
        <f>IFERROR(INDEX(Player_Model!$BE$2:$BE$596,MATCH($A83,Player_Model!$A$2:$A$596,0)),0)</f>
        <v>0</v>
      </c>
    </row>
    <row r="84" spans="1:59" x14ac:dyDescent="0.25">
      <c r="A84" t="str">
        <f>tblPlayers[first_name]&amp;" "&amp;tblPlayers[second_name]</f>
        <v>Ryan Christie</v>
      </c>
      <c r="B84" t="str">
        <f>_xlfn.SWITCH(tblPlayers[element_type],1,"GK",2,"DEF",3,"MID",4,"FWD")</f>
        <v>MID</v>
      </c>
      <c r="C84">
        <f>tblPlayers[team]</f>
        <v>3</v>
      </c>
      <c r="D84" t="str">
        <f>INDEX(tblTeams[Column1.short_name],MATCH(C84,tblTeams[Column1.id],0))</f>
        <v>BOU</v>
      </c>
      <c r="E84" s="4">
        <f>INDEX(FPL_Raw_Data!$F:$F,MATCH(A84,FPL_Raw_Data!$AA:$AA,0))/10</f>
        <v>5</v>
      </c>
      <c r="F84" s="4" t="str">
        <f>tblPlayers[[#This Row],[status]]</f>
        <v>a</v>
      </c>
      <c r="G84" s="4" t="b">
        <f>tblPlayers[[#This Row],[can_select]]</f>
        <v>1</v>
      </c>
      <c r="H84">
        <f>IF(AND(Table8[[#This Row],[Availability Status]]="a",Table8[[#This Row],[Can Select]]=TRUE),1,0)</f>
        <v>1</v>
      </c>
      <c r="I84">
        <f>tblPlayers[minutes]</f>
        <v>4</v>
      </c>
      <c r="J84" s="2">
        <f>Table8[[#This Row],[Minutes]]/90</f>
        <v>4.4444444444444446E-2</v>
      </c>
      <c r="K84" s="5">
        <f>IFERROR(Z84/(FIXTURE_ANALYSIS!$B$1-1),0)</f>
        <v>0</v>
      </c>
      <c r="L84">
        <f>tblPlayers[total_points]</f>
        <v>2</v>
      </c>
      <c r="M84">
        <f>tblPlayers[points_per_game]</f>
        <v>1</v>
      </c>
      <c r="N84">
        <f>tblPlayers[form]</f>
        <v>0.7</v>
      </c>
      <c r="O84">
        <f>tblPlayers[expected_goals]</f>
        <v>0</v>
      </c>
      <c r="P84">
        <f>tblPlayers[expected_assists]</f>
        <v>0</v>
      </c>
      <c r="Q84">
        <f>tblPlayers[expected_goal_involvements]</f>
        <v>0</v>
      </c>
      <c r="R84" s="2">
        <f t="shared" si="25"/>
        <v>45</v>
      </c>
      <c r="S84" s="5">
        <f t="shared" si="26"/>
        <v>0</v>
      </c>
      <c r="T84" s="5">
        <f t="shared" si="27"/>
        <v>0</v>
      </c>
      <c r="U84" s="5">
        <f t="shared" si="28"/>
        <v>0</v>
      </c>
      <c r="V84" s="3">
        <f t="shared" si="29"/>
        <v>0.4</v>
      </c>
      <c r="W84" s="5">
        <f t="shared" si="30"/>
        <v>0</v>
      </c>
      <c r="X84" s="5">
        <f>IFERROR(IF(OR($B84="MID",$B84="FWD"),INDEX(FIXTURE_ANALYSIS!$Q:$Q,MATCH($D84,FIXTURE_ANALYSIS!$A:$A,0)),INDEX(FIXTURE_ANALYSIS!$R:$R,MATCH($D84,FIXTURE_ANALYSIS!$A:$A,0))),1)</f>
        <v>0.95673010380622836</v>
      </c>
      <c r="Y84" s="5">
        <f t="shared" si="31"/>
        <v>0.95673010380622836</v>
      </c>
      <c r="Z84" s="8">
        <f>INDEX(FPL_Raw_Data!$T:$T,MATCH(A84,FPL_Raw_Data!$AA:$AA,0))</f>
        <v>0</v>
      </c>
      <c r="AA84" s="8">
        <f>INDEX(FPL_Raw_Data!$S:$S,MATCH(A84,FPL_Raw_Data!$AA:$AA,0))</f>
        <v>2</v>
      </c>
      <c r="AB84" s="2">
        <f t="shared" si="32"/>
        <v>0.16666666666666666</v>
      </c>
      <c r="AC84" s="2">
        <f>INDEX(FPL_Raw_Data!$Q:$Q,MATCH(A84,FPL_Raw_Data!$AA:$AA,0))</f>
        <v>0</v>
      </c>
      <c r="AD84" s="8">
        <f>INDEX(FPL_Raw_Data!$R:$R,MATCH(A84,FPL_Raw_Data!$AA:$AA,0))</f>
        <v>8</v>
      </c>
      <c r="AE84" s="8">
        <f>INDEX(FPL_Raw_Data!$N:$N,MATCH(A84,FPL_Raw_Data!$AA:$AA,0))</f>
        <v>0</v>
      </c>
      <c r="AF84" s="8">
        <f>INDEX(FPL_Raw_Data!$L:$L,MATCH(A84,FPL_Raw_Data!$AA:$AA,0))</f>
        <v>0</v>
      </c>
      <c r="AG84" s="2">
        <f>INDEX(FPL_Raw_Data!$M:$M,MATCH(A84,FPL_Raw_Data!$AA:$AA,0))</f>
        <v>0</v>
      </c>
      <c r="AH84" s="2">
        <f t="shared" si="33"/>
        <v>0</v>
      </c>
      <c r="AI84" s="2">
        <f t="shared" si="34"/>
        <v>0</v>
      </c>
      <c r="AJ84" s="2">
        <f t="shared" si="35"/>
        <v>0</v>
      </c>
      <c r="AK84" s="2">
        <f t="shared" si="36"/>
        <v>0.33333333333333331</v>
      </c>
      <c r="AL84" s="2">
        <f t="shared" si="37"/>
        <v>0</v>
      </c>
      <c r="AM84" s="2">
        <f t="shared" si="38"/>
        <v>0</v>
      </c>
      <c r="AN84" s="2">
        <f t="shared" si="39"/>
        <v>0</v>
      </c>
      <c r="AO84" s="3">
        <f t="shared" si="40"/>
        <v>97.6</v>
      </c>
      <c r="AP84">
        <f t="shared" si="41"/>
        <v>0</v>
      </c>
      <c r="AQ84">
        <f t="shared" si="42"/>
        <v>53.300000000000004</v>
      </c>
      <c r="AR84">
        <f t="shared" si="43"/>
        <v>0</v>
      </c>
      <c r="AS84" s="2">
        <f t="shared" si="44"/>
        <v>0</v>
      </c>
      <c r="AT84" s="2">
        <f>IFERROR(INDEX(Player_Model!$BC$2:$BC$596,MATCH($A84,Player_Model!$A$2:$A$596,0)),0)</f>
        <v>0</v>
      </c>
      <c r="AU84" s="2">
        <f>Table8[[#This Row],[Model Expected Points]]*Table8[[#This Row],[Fixture Adjustment]]</f>
        <v>0</v>
      </c>
      <c r="AV84" s="2">
        <f>Table8[[#This Row],[Fixture Adjusted Points / 90]]/Table8[[#This Row],[Price]]</f>
        <v>0</v>
      </c>
      <c r="AW84">
        <f t="shared" si="45"/>
        <v>48.8</v>
      </c>
      <c r="AX84">
        <f t="shared" si="46"/>
        <v>0.16666666666666666</v>
      </c>
      <c r="AY84" s="2">
        <f t="shared" si="47"/>
        <v>0</v>
      </c>
      <c r="AZ84" s="5">
        <f t="shared" si="48"/>
        <v>0.95673010380622836</v>
      </c>
      <c r="BA84">
        <f>Table8[[#This Row],[Model Score2]]</f>
        <v>0</v>
      </c>
      <c r="BB84">
        <f>IFERROR(INDEX(Player_Model!$BG$2:$BG$596,MATCH($A84,Player_Model!$A$2:$A$596,0)),"")</f>
        <v>134</v>
      </c>
      <c r="BC84" t="str">
        <f t="shared" si="49"/>
        <v>AVOID</v>
      </c>
      <c r="BD84">
        <f>IF(H84=1,Table8[[#This Row],[Model Score]],-10000)</f>
        <v>0</v>
      </c>
      <c r="BE84">
        <f>IFERROR(INDEX(Player_Model!$BF$2:$BF$596,MATCH($A84,Player_Model!$A$2:$A$596,0)),"")</f>
        <v>253</v>
      </c>
      <c r="BF84">
        <f>IFERROR(INDEX(Player_Model!$BG$2:$BG$596,MATCH($A84,Player_Model!$A$2:$A$596,0)),"")</f>
        <v>134</v>
      </c>
      <c r="BG84">
        <f>IFERROR(INDEX(Player_Model!$BE$2:$BE$596,MATCH($A84,Player_Model!$A$2:$A$596,0)),0)</f>
        <v>0</v>
      </c>
    </row>
    <row r="85" spans="1:59" x14ac:dyDescent="0.25">
      <c r="A85" t="str">
        <f>tblPlayers[first_name]&amp;" "&amp;tblPlayers[second_name]</f>
        <v>Alex Tóth</v>
      </c>
      <c r="B85" t="str">
        <f>_xlfn.SWITCH(tblPlayers[element_type],1,"GK",2,"DEF",3,"MID",4,"FWD")</f>
        <v>MID</v>
      </c>
      <c r="C85">
        <f>tblPlayers[team]</f>
        <v>3</v>
      </c>
      <c r="D85" t="str">
        <f>INDEX(tblTeams[Column1.short_name],MATCH(C85,tblTeams[Column1.id],0))</f>
        <v>BOU</v>
      </c>
      <c r="E85" s="4">
        <f>INDEX(FPL_Raw_Data!$F:$F,MATCH(A85,FPL_Raw_Data!$AA:$AA,0))/10</f>
        <v>5</v>
      </c>
      <c r="F85" s="4" t="str">
        <f>tblPlayers[[#This Row],[status]]</f>
        <v>a</v>
      </c>
      <c r="G85" s="4" t="b">
        <f>tblPlayers[[#This Row],[can_select]]</f>
        <v>1</v>
      </c>
      <c r="H85">
        <f>IF(AND(Table8[[#This Row],[Availability Status]]="a",Table8[[#This Row],[Can Select]]=TRUE),1,0)</f>
        <v>1</v>
      </c>
      <c r="I85">
        <f>tblPlayers[minutes]</f>
        <v>15</v>
      </c>
      <c r="J85" s="2">
        <f>Table8[[#This Row],[Minutes]]/90</f>
        <v>0.16666666666666666</v>
      </c>
      <c r="K85" s="5">
        <f>IFERROR(Z85/(FIXTURE_ANALYSIS!$B$1-1),0)</f>
        <v>0</v>
      </c>
      <c r="L85">
        <f>tblPlayers[total_points]</f>
        <v>1</v>
      </c>
      <c r="M85">
        <f>tblPlayers[points_per_game]</f>
        <v>1</v>
      </c>
      <c r="N85">
        <f>tblPlayers[form]</f>
        <v>0.3</v>
      </c>
      <c r="O85">
        <f>tblPlayers[expected_goals]</f>
        <v>0</v>
      </c>
      <c r="P85">
        <f>tblPlayers[expected_assists]</f>
        <v>0</v>
      </c>
      <c r="Q85">
        <f>tblPlayers[expected_goal_involvements]</f>
        <v>0</v>
      </c>
      <c r="R85" s="2">
        <f t="shared" si="25"/>
        <v>6</v>
      </c>
      <c r="S85" s="5">
        <f t="shared" si="26"/>
        <v>0</v>
      </c>
      <c r="T85" s="5">
        <f t="shared" si="27"/>
        <v>0</v>
      </c>
      <c r="U85" s="5">
        <f t="shared" si="28"/>
        <v>0</v>
      </c>
      <c r="V85" s="3">
        <f t="shared" si="29"/>
        <v>0.2</v>
      </c>
      <c r="W85" s="5">
        <f t="shared" si="30"/>
        <v>0</v>
      </c>
      <c r="X85" s="5">
        <f>IFERROR(IF(OR($B85="MID",$B85="FWD"),INDEX(FIXTURE_ANALYSIS!$Q:$Q,MATCH($D85,FIXTURE_ANALYSIS!$A:$A,0)),INDEX(FIXTURE_ANALYSIS!$R:$R,MATCH($D85,FIXTURE_ANALYSIS!$A:$A,0))),1)</f>
        <v>0.95673010380622836</v>
      </c>
      <c r="Y85" s="5">
        <f t="shared" si="31"/>
        <v>0.95673010380622836</v>
      </c>
      <c r="Z85" s="8">
        <f>INDEX(FPL_Raw_Data!$T:$T,MATCH(A85,FPL_Raw_Data!$AA:$AA,0))</f>
        <v>0</v>
      </c>
      <c r="AA85" s="8">
        <f>INDEX(FPL_Raw_Data!$S:$S,MATCH(A85,FPL_Raw_Data!$AA:$AA,0))</f>
        <v>2</v>
      </c>
      <c r="AB85" s="2">
        <f t="shared" si="32"/>
        <v>0.16666666666666666</v>
      </c>
      <c r="AC85" s="2">
        <f>INDEX(FPL_Raw_Data!$Q:$Q,MATCH(A85,FPL_Raw_Data!$AA:$AA,0))</f>
        <v>0</v>
      </c>
      <c r="AD85" s="8">
        <f>INDEX(FPL_Raw_Data!$R:$R,MATCH(A85,FPL_Raw_Data!$AA:$AA,0))</f>
        <v>5</v>
      </c>
      <c r="AE85" s="8">
        <f>INDEX(FPL_Raw_Data!$N:$N,MATCH(A85,FPL_Raw_Data!$AA:$AA,0))</f>
        <v>0</v>
      </c>
      <c r="AF85" s="8">
        <f>INDEX(FPL_Raw_Data!$L:$L,MATCH(A85,FPL_Raw_Data!$AA:$AA,0))</f>
        <v>0</v>
      </c>
      <c r="AG85" s="2">
        <f>INDEX(FPL_Raw_Data!$M:$M,MATCH(A85,FPL_Raw_Data!$AA:$AA,0))</f>
        <v>0</v>
      </c>
      <c r="AH85" s="2">
        <f t="shared" si="33"/>
        <v>0</v>
      </c>
      <c r="AI85" s="2">
        <f t="shared" si="34"/>
        <v>0</v>
      </c>
      <c r="AJ85" s="2">
        <f t="shared" si="35"/>
        <v>0</v>
      </c>
      <c r="AK85" s="2">
        <f t="shared" si="36"/>
        <v>0.33333333333333331</v>
      </c>
      <c r="AL85" s="2">
        <f t="shared" si="37"/>
        <v>0</v>
      </c>
      <c r="AM85" s="2">
        <f t="shared" si="38"/>
        <v>0</v>
      </c>
      <c r="AN85" s="2">
        <f t="shared" si="39"/>
        <v>0</v>
      </c>
      <c r="AO85" s="3">
        <f t="shared" si="40"/>
        <v>81.3</v>
      </c>
      <c r="AP85">
        <f t="shared" si="41"/>
        <v>0</v>
      </c>
      <c r="AQ85">
        <f t="shared" si="42"/>
        <v>44.4</v>
      </c>
      <c r="AR85">
        <f t="shared" si="43"/>
        <v>0</v>
      </c>
      <c r="AS85" s="2">
        <f t="shared" si="44"/>
        <v>0</v>
      </c>
      <c r="AT85" s="2">
        <f>IFERROR(INDEX(Player_Model!$BC$2:$BC$596,MATCH($A85,Player_Model!$A$2:$A$596,0)),0)</f>
        <v>0</v>
      </c>
      <c r="AU85" s="2">
        <f>Table8[[#This Row],[Model Expected Points]]*Table8[[#This Row],[Fixture Adjustment]]</f>
        <v>0</v>
      </c>
      <c r="AV85" s="2">
        <f>Table8[[#This Row],[Fixture Adjusted Points / 90]]/Table8[[#This Row],[Price]]</f>
        <v>0</v>
      </c>
      <c r="AW85">
        <f t="shared" si="45"/>
        <v>40.65</v>
      </c>
      <c r="AX85">
        <f t="shared" si="46"/>
        <v>0.16666666666666666</v>
      </c>
      <c r="AY85" s="2">
        <f t="shared" si="47"/>
        <v>0</v>
      </c>
      <c r="AZ85" s="5">
        <f t="shared" si="48"/>
        <v>0.95673010380622836</v>
      </c>
      <c r="BA85">
        <f>Table8[[#This Row],[Model Score2]]</f>
        <v>0</v>
      </c>
      <c r="BB85">
        <f>IFERROR(INDEX(Player_Model!$BG$2:$BG$596,MATCH($A85,Player_Model!$A$2:$A$596,0)),"")</f>
        <v>135</v>
      </c>
      <c r="BC85" t="str">
        <f t="shared" si="49"/>
        <v>AVOID</v>
      </c>
      <c r="BD85">
        <f>IF(H85=1,Table8[[#This Row],[Model Score]],-10000)</f>
        <v>0</v>
      </c>
      <c r="BE85">
        <f>IFERROR(INDEX(Player_Model!$BF$2:$BF$596,MATCH($A85,Player_Model!$A$2:$A$596,0)),"")</f>
        <v>253</v>
      </c>
      <c r="BF85">
        <f>IFERROR(INDEX(Player_Model!$BG$2:$BG$596,MATCH($A85,Player_Model!$A$2:$A$596,0)),"")</f>
        <v>135</v>
      </c>
      <c r="BG85">
        <f>IFERROR(INDEX(Player_Model!$BE$2:$BE$596,MATCH($A85,Player_Model!$A$2:$A$596,0)),0)</f>
        <v>0</v>
      </c>
    </row>
    <row r="86" spans="1:59" x14ac:dyDescent="0.25">
      <c r="A86" t="str">
        <f>tblPlayers[first_name]&amp;" "&amp;tblPlayers[second_name]</f>
        <v>Amine Adli</v>
      </c>
      <c r="B86" t="str">
        <f>_xlfn.SWITCH(tblPlayers[element_type],1,"GK",2,"DEF",3,"MID",4,"FWD")</f>
        <v>MID</v>
      </c>
      <c r="C86">
        <f>tblPlayers[team]</f>
        <v>3</v>
      </c>
      <c r="D86" t="str">
        <f>INDEX(tblTeams[Column1.short_name],MATCH(C86,tblTeams[Column1.id],0))</f>
        <v>BOU</v>
      </c>
      <c r="E86" s="4">
        <f>INDEX(FPL_Raw_Data!$F:$F,MATCH(A86,FPL_Raw_Data!$AA:$AA,0))/10</f>
        <v>4.9000000000000004</v>
      </c>
      <c r="F86" s="4" t="str">
        <f>tblPlayers[[#This Row],[status]]</f>
        <v>i</v>
      </c>
      <c r="G86" s="4" t="b">
        <f>tblPlayers[[#This Row],[can_select]]</f>
        <v>1</v>
      </c>
      <c r="H86">
        <f>IF(AND(Table8[[#This Row],[Availability Status]]="a",Table8[[#This Row],[Can Select]]=TRUE),1,0)</f>
        <v>0</v>
      </c>
      <c r="I86">
        <f>tblPlayers[minutes]</f>
        <v>0</v>
      </c>
      <c r="J86" s="2">
        <f>Table8[[#This Row],[Minutes]]/90</f>
        <v>0</v>
      </c>
      <c r="K86" s="5">
        <f>IFERROR(Z86/(FIXTURE_ANALYSIS!$B$1-1),0)</f>
        <v>0</v>
      </c>
      <c r="L86">
        <f>tblPlayers[total_points]</f>
        <v>0</v>
      </c>
      <c r="M86">
        <f>tblPlayers[points_per_game]</f>
        <v>0</v>
      </c>
      <c r="N86">
        <f>tblPlayers[form]</f>
        <v>0</v>
      </c>
      <c r="O86">
        <f>tblPlayers[expected_goals]</f>
        <v>0</v>
      </c>
      <c r="P86">
        <f>tblPlayers[expected_assists]</f>
        <v>0</v>
      </c>
      <c r="Q86">
        <f>tblPlayers[expected_goal_involvements]</f>
        <v>0</v>
      </c>
      <c r="R86" s="2">
        <f t="shared" si="25"/>
        <v>0</v>
      </c>
      <c r="S86" s="5">
        <f t="shared" si="26"/>
        <v>0</v>
      </c>
      <c r="T86" s="5">
        <f t="shared" si="27"/>
        <v>0</v>
      </c>
      <c r="U86" s="5">
        <f t="shared" si="28"/>
        <v>0</v>
      </c>
      <c r="V86" s="3">
        <f t="shared" si="29"/>
        <v>0</v>
      </c>
      <c r="W86" s="5">
        <f t="shared" si="30"/>
        <v>0</v>
      </c>
      <c r="X86" s="5">
        <f>IFERROR(IF(OR($B86="MID",$B86="FWD"),INDEX(FIXTURE_ANALYSIS!$Q:$Q,MATCH($D86,FIXTURE_ANALYSIS!$A:$A,0)),INDEX(FIXTURE_ANALYSIS!$R:$R,MATCH($D86,FIXTURE_ANALYSIS!$A:$A,0))),1)</f>
        <v>0.95673010380622836</v>
      </c>
      <c r="Y86" s="5">
        <f t="shared" si="31"/>
        <v>0.95673010380622836</v>
      </c>
      <c r="Z86" s="8">
        <f>INDEX(FPL_Raw_Data!$T:$T,MATCH(A86,FPL_Raw_Data!$AA:$AA,0))</f>
        <v>0</v>
      </c>
      <c r="AA86" s="8">
        <f>INDEX(FPL_Raw_Data!$S:$S,MATCH(A86,FPL_Raw_Data!$AA:$AA,0))</f>
        <v>0</v>
      </c>
      <c r="AB86" s="2">
        <f t="shared" si="32"/>
        <v>0</v>
      </c>
      <c r="AC86" s="2">
        <f>INDEX(FPL_Raw_Data!$Q:$Q,MATCH(A86,FPL_Raw_Data!$AA:$AA,0))</f>
        <v>0</v>
      </c>
      <c r="AD86" s="8">
        <f>INDEX(FPL_Raw_Data!$R:$R,MATCH(A86,FPL_Raw_Data!$AA:$AA,0))</f>
        <v>0</v>
      </c>
      <c r="AE86" s="8">
        <f>INDEX(FPL_Raw_Data!$N:$N,MATCH(A86,FPL_Raw_Data!$AA:$AA,0))</f>
        <v>0</v>
      </c>
      <c r="AF86" s="8">
        <f>INDEX(FPL_Raw_Data!$L:$L,MATCH(A86,FPL_Raw_Data!$AA:$AA,0))</f>
        <v>0</v>
      </c>
      <c r="AG86" s="2">
        <f>INDEX(FPL_Raw_Data!$M:$M,MATCH(A86,FPL_Raw_Data!$AA:$AA,0))</f>
        <v>0</v>
      </c>
      <c r="AH86" s="2">
        <f t="shared" si="33"/>
        <v>0</v>
      </c>
      <c r="AI86" s="2">
        <f t="shared" si="34"/>
        <v>0</v>
      </c>
      <c r="AJ86" s="2">
        <f t="shared" si="35"/>
        <v>0</v>
      </c>
      <c r="AK86" s="2">
        <f t="shared" si="36"/>
        <v>0</v>
      </c>
      <c r="AL86" s="2">
        <f t="shared" si="37"/>
        <v>0</v>
      </c>
      <c r="AM86" s="2">
        <f t="shared" si="38"/>
        <v>0</v>
      </c>
      <c r="AN86" s="2">
        <f t="shared" si="39"/>
        <v>0</v>
      </c>
      <c r="AO86" s="3">
        <f t="shared" si="40"/>
        <v>0.1</v>
      </c>
      <c r="AP86">
        <f t="shared" si="41"/>
        <v>0</v>
      </c>
      <c r="AQ86">
        <f t="shared" si="42"/>
        <v>0.1</v>
      </c>
      <c r="AR86">
        <f t="shared" si="43"/>
        <v>0</v>
      </c>
      <c r="AS86" s="2">
        <f t="shared" si="44"/>
        <v>0</v>
      </c>
      <c r="AT86" s="2">
        <f>IFERROR(INDEX(Player_Model!$BC$2:$BC$596,MATCH($A86,Player_Model!$A$2:$A$596,0)),0)</f>
        <v>0</v>
      </c>
      <c r="AU86" s="2">
        <f>Table8[[#This Row],[Model Expected Points]]*Table8[[#This Row],[Fixture Adjustment]]</f>
        <v>0</v>
      </c>
      <c r="AV86" s="2">
        <f>Table8[[#This Row],[Fixture Adjusted Points / 90]]/Table8[[#This Row],[Price]]</f>
        <v>0</v>
      </c>
      <c r="AW86">
        <f t="shared" si="45"/>
        <v>0.05</v>
      </c>
      <c r="AX86">
        <f t="shared" si="46"/>
        <v>0</v>
      </c>
      <c r="AY86" s="2">
        <f t="shared" si="47"/>
        <v>0</v>
      </c>
      <c r="AZ86" s="5">
        <f t="shared" si="48"/>
        <v>0.95673010380622836</v>
      </c>
      <c r="BA86">
        <f>Table8[[#This Row],[Model Score2]]</f>
        <v>0</v>
      </c>
      <c r="BB86">
        <f>IFERROR(INDEX(Player_Model!$BG$2:$BG$596,MATCH($A86,Player_Model!$A$2:$A$596,0)),"")</f>
        <v>136</v>
      </c>
      <c r="BC86" t="str">
        <f t="shared" si="49"/>
        <v>AVOID</v>
      </c>
      <c r="BD86">
        <f>IF(H86=1,Table8[[#This Row],[Model Score]],-10000)</f>
        <v>-10000</v>
      </c>
      <c r="BE86">
        <f>IFERROR(INDEX(Player_Model!$BF$2:$BF$596,MATCH($A86,Player_Model!$A$2:$A$596,0)),"")</f>
        <v>253</v>
      </c>
      <c r="BF86">
        <f>IFERROR(INDEX(Player_Model!$BG$2:$BG$596,MATCH($A86,Player_Model!$A$2:$A$596,0)),"")</f>
        <v>136</v>
      </c>
      <c r="BG86">
        <f>IFERROR(INDEX(Player_Model!$BE$2:$BE$596,MATCH($A86,Player_Model!$A$2:$A$596,0)),0)</f>
        <v>0</v>
      </c>
    </row>
    <row r="87" spans="1:59" x14ac:dyDescent="0.25">
      <c r="A87" t="str">
        <f>tblPlayers[first_name]&amp;" "&amp;tblPlayers[second_name]</f>
        <v>Junior Kroupi</v>
      </c>
      <c r="B87" t="str">
        <f>_xlfn.SWITCH(tblPlayers[element_type],1,"GK",2,"DEF",3,"MID",4,"FWD")</f>
        <v>MID</v>
      </c>
      <c r="C87">
        <f>tblPlayers[team]</f>
        <v>3</v>
      </c>
      <c r="D87" t="str">
        <f>INDEX(tblTeams[Column1.short_name],MATCH(C87,tblTeams[Column1.id],0))</f>
        <v>BOU</v>
      </c>
      <c r="E87" s="4">
        <f>INDEX(FPL_Raw_Data!$F:$F,MATCH(A87,FPL_Raw_Data!$AA:$AA,0))/10</f>
        <v>7.4</v>
      </c>
      <c r="F87" s="4" t="str">
        <f>tblPlayers[[#This Row],[status]]</f>
        <v>i</v>
      </c>
      <c r="G87" s="4" t="b">
        <f>tblPlayers[[#This Row],[can_select]]</f>
        <v>1</v>
      </c>
      <c r="H87">
        <f>IF(AND(Table8[[#This Row],[Availability Status]]="a",Table8[[#This Row],[Can Select]]=TRUE),1,0)</f>
        <v>0</v>
      </c>
      <c r="I87">
        <f>tblPlayers[minutes]</f>
        <v>0</v>
      </c>
      <c r="J87" s="2">
        <f>Table8[[#This Row],[Minutes]]/90</f>
        <v>0</v>
      </c>
      <c r="K87" s="5">
        <f>IFERROR(Z87/(FIXTURE_ANALYSIS!$B$1-1),0)</f>
        <v>0</v>
      </c>
      <c r="L87">
        <f>tblPlayers[total_points]</f>
        <v>0</v>
      </c>
      <c r="M87">
        <f>tblPlayers[points_per_game]</f>
        <v>0</v>
      </c>
      <c r="N87">
        <f>tblPlayers[form]</f>
        <v>0</v>
      </c>
      <c r="O87">
        <f>tblPlayers[expected_goals]</f>
        <v>0</v>
      </c>
      <c r="P87">
        <f>tblPlayers[expected_assists]</f>
        <v>0</v>
      </c>
      <c r="Q87">
        <f>tblPlayers[expected_goal_involvements]</f>
        <v>0</v>
      </c>
      <c r="R87" s="2">
        <f t="shared" si="25"/>
        <v>0</v>
      </c>
      <c r="S87" s="5">
        <f t="shared" si="26"/>
        <v>0</v>
      </c>
      <c r="T87" s="5">
        <f t="shared" si="27"/>
        <v>0</v>
      </c>
      <c r="U87" s="5">
        <f t="shared" si="28"/>
        <v>0</v>
      </c>
      <c r="V87" s="3">
        <f t="shared" si="29"/>
        <v>0</v>
      </c>
      <c r="W87" s="5">
        <f t="shared" si="30"/>
        <v>0</v>
      </c>
      <c r="X87" s="5">
        <f>IFERROR(IF(OR($B87="MID",$B87="FWD"),INDEX(FIXTURE_ANALYSIS!$Q:$Q,MATCH($D87,FIXTURE_ANALYSIS!$A:$A,0)),INDEX(FIXTURE_ANALYSIS!$R:$R,MATCH($D87,FIXTURE_ANALYSIS!$A:$A,0))),1)</f>
        <v>0.95673010380622836</v>
      </c>
      <c r="Y87" s="5">
        <f t="shared" si="31"/>
        <v>0.95673010380622836</v>
      </c>
      <c r="Z87" s="8">
        <f>INDEX(FPL_Raw_Data!$T:$T,MATCH(A87,FPL_Raw_Data!$AA:$AA,0))</f>
        <v>0</v>
      </c>
      <c r="AA87" s="8">
        <f>INDEX(FPL_Raw_Data!$S:$S,MATCH(A87,FPL_Raw_Data!$AA:$AA,0))</f>
        <v>0</v>
      </c>
      <c r="AB87" s="2">
        <f t="shared" si="32"/>
        <v>0</v>
      </c>
      <c r="AC87" s="2">
        <f>INDEX(FPL_Raw_Data!$Q:$Q,MATCH(A87,FPL_Raw_Data!$AA:$AA,0))</f>
        <v>0</v>
      </c>
      <c r="AD87" s="8">
        <f>INDEX(FPL_Raw_Data!$R:$R,MATCH(A87,FPL_Raw_Data!$AA:$AA,0))</f>
        <v>0</v>
      </c>
      <c r="AE87" s="8">
        <f>INDEX(FPL_Raw_Data!$N:$N,MATCH(A87,FPL_Raw_Data!$AA:$AA,0))</f>
        <v>0</v>
      </c>
      <c r="AF87" s="8">
        <f>INDEX(FPL_Raw_Data!$L:$L,MATCH(A87,FPL_Raw_Data!$AA:$AA,0))</f>
        <v>0</v>
      </c>
      <c r="AG87" s="2">
        <f>INDEX(FPL_Raw_Data!$M:$M,MATCH(A87,FPL_Raw_Data!$AA:$AA,0))</f>
        <v>0</v>
      </c>
      <c r="AH87" s="2">
        <f t="shared" si="33"/>
        <v>0</v>
      </c>
      <c r="AI87" s="2">
        <f t="shared" si="34"/>
        <v>0</v>
      </c>
      <c r="AJ87" s="2">
        <f t="shared" si="35"/>
        <v>0</v>
      </c>
      <c r="AK87" s="2">
        <f t="shared" si="36"/>
        <v>0</v>
      </c>
      <c r="AL87" s="2">
        <f t="shared" si="37"/>
        <v>0</v>
      </c>
      <c r="AM87" s="2">
        <f t="shared" si="38"/>
        <v>0</v>
      </c>
      <c r="AN87" s="2">
        <f t="shared" si="39"/>
        <v>0</v>
      </c>
      <c r="AO87" s="3">
        <f t="shared" si="40"/>
        <v>0.1</v>
      </c>
      <c r="AP87">
        <f t="shared" si="41"/>
        <v>0</v>
      </c>
      <c r="AQ87">
        <f t="shared" si="42"/>
        <v>0.1</v>
      </c>
      <c r="AR87">
        <f t="shared" si="43"/>
        <v>0</v>
      </c>
      <c r="AS87" s="2">
        <f t="shared" si="44"/>
        <v>0</v>
      </c>
      <c r="AT87" s="2">
        <f>IFERROR(INDEX(Player_Model!$BC$2:$BC$596,MATCH($A87,Player_Model!$A$2:$A$596,0)),0)</f>
        <v>0</v>
      </c>
      <c r="AU87" s="2">
        <f>Table8[[#This Row],[Model Expected Points]]*Table8[[#This Row],[Fixture Adjustment]]</f>
        <v>0</v>
      </c>
      <c r="AV87" s="2">
        <f>Table8[[#This Row],[Fixture Adjusted Points / 90]]/Table8[[#This Row],[Price]]</f>
        <v>0</v>
      </c>
      <c r="AW87">
        <f t="shared" si="45"/>
        <v>0.05</v>
      </c>
      <c r="AX87">
        <f t="shared" si="46"/>
        <v>0</v>
      </c>
      <c r="AY87" s="2">
        <f t="shared" si="47"/>
        <v>0</v>
      </c>
      <c r="AZ87" s="5">
        <f t="shared" si="48"/>
        <v>0.95673010380622836</v>
      </c>
      <c r="BA87">
        <f>Table8[[#This Row],[Model Score2]]</f>
        <v>0</v>
      </c>
      <c r="BB87">
        <f>IFERROR(INDEX(Player_Model!$BG$2:$BG$596,MATCH($A87,Player_Model!$A$2:$A$596,0)),"")</f>
        <v>137</v>
      </c>
      <c r="BC87" t="str">
        <f t="shared" si="49"/>
        <v>AVOID</v>
      </c>
      <c r="BD87">
        <f>IF(H87=1,Table8[[#This Row],[Model Score]],-10000)</f>
        <v>-10000</v>
      </c>
      <c r="BE87">
        <f>IFERROR(INDEX(Player_Model!$BF$2:$BF$596,MATCH($A87,Player_Model!$A$2:$A$596,0)),"")</f>
        <v>253</v>
      </c>
      <c r="BF87">
        <f>IFERROR(INDEX(Player_Model!$BG$2:$BG$596,MATCH($A87,Player_Model!$A$2:$A$596,0)),"")</f>
        <v>137</v>
      </c>
      <c r="BG87">
        <f>IFERROR(INDEX(Player_Model!$BE$2:$BE$596,MATCH($A87,Player_Model!$A$2:$A$596,0)),0)</f>
        <v>0</v>
      </c>
    </row>
    <row r="88" spans="1:59" x14ac:dyDescent="0.25">
      <c r="A88" t="str">
        <f>tblPlayers[first_name]&amp;" "&amp;tblPlayers[second_name]</f>
        <v>Francisco Evanilson de Lima Barbosa</v>
      </c>
      <c r="B88" t="str">
        <f>_xlfn.SWITCH(tblPlayers[element_type],1,"GK",2,"DEF",3,"MID",4,"FWD")</f>
        <v>FWD</v>
      </c>
      <c r="C88">
        <f>tblPlayers[team]</f>
        <v>3</v>
      </c>
      <c r="D88" t="str">
        <f>INDEX(tblTeams[Column1.short_name],MATCH(C88,tblTeams[Column1.id],0))</f>
        <v>BOU</v>
      </c>
      <c r="E88" s="4">
        <f>INDEX(FPL_Raw_Data!$F:$F,MATCH(A88,FPL_Raw_Data!$AA:$AA,0))/10</f>
        <v>6</v>
      </c>
      <c r="F88" s="4" t="str">
        <f>tblPlayers[[#This Row],[status]]</f>
        <v>a</v>
      </c>
      <c r="G88" s="4" t="b">
        <f>tblPlayers[[#This Row],[can_select]]</f>
        <v>1</v>
      </c>
      <c r="H88">
        <f>IF(AND(Table8[[#This Row],[Availability Status]]="a",Table8[[#This Row],[Can Select]]=TRUE),1,0)</f>
        <v>1</v>
      </c>
      <c r="I88">
        <f>tblPlayers[minutes]</f>
        <v>244</v>
      </c>
      <c r="J88" s="2">
        <f>Table8[[#This Row],[Minutes]]/90</f>
        <v>2.7111111111111112</v>
      </c>
      <c r="K88" s="5">
        <f>IFERROR(Z88/(FIXTURE_ANALYSIS!$B$1-1),0)</f>
        <v>1</v>
      </c>
      <c r="L88">
        <f>tblPlayers[total_points]</f>
        <v>11</v>
      </c>
      <c r="M88">
        <f>tblPlayers[points_per_game]</f>
        <v>3.7</v>
      </c>
      <c r="N88">
        <f>tblPlayers[form]</f>
        <v>3.7</v>
      </c>
      <c r="O88">
        <f>tblPlayers[expected_goals]</f>
        <v>0.71</v>
      </c>
      <c r="P88">
        <f>tblPlayers[expected_assists]</f>
        <v>0.26</v>
      </c>
      <c r="Q88">
        <f>tblPlayers[expected_goal_involvements]</f>
        <v>0.97</v>
      </c>
      <c r="R88" s="2">
        <f t="shared" si="25"/>
        <v>4.057377049180328</v>
      </c>
      <c r="S88" s="5">
        <f t="shared" si="26"/>
        <v>0.26188524590163931</v>
      </c>
      <c r="T88" s="5">
        <f t="shared" si="27"/>
        <v>9.590163934426231E-2</v>
      </c>
      <c r="U88" s="5">
        <f t="shared" si="28"/>
        <v>0.35778688524590163</v>
      </c>
      <c r="V88" s="3">
        <f t="shared" si="29"/>
        <v>1.8333333333333333</v>
      </c>
      <c r="W88" s="5">
        <f t="shared" si="30"/>
        <v>0.16166666666666665</v>
      </c>
      <c r="X88" s="5">
        <f>IFERROR(IF(OR($B88="MID",$B88="FWD"),INDEX(FIXTURE_ANALYSIS!$Q:$Q,MATCH($D88,FIXTURE_ANALYSIS!$A:$A,0)),INDEX(FIXTURE_ANALYSIS!$R:$R,MATCH($D88,FIXTURE_ANALYSIS!$A:$A,0))),1)</f>
        <v>0.95673010380622836</v>
      </c>
      <c r="Y88" s="5">
        <f t="shared" si="31"/>
        <v>0.95673010380622836</v>
      </c>
      <c r="Z88" s="8">
        <f>INDEX(FPL_Raw_Data!$T:$T,MATCH(A88,FPL_Raw_Data!$AA:$AA,0))</f>
        <v>3</v>
      </c>
      <c r="AA88" s="8">
        <f>INDEX(FPL_Raw_Data!$S:$S,MATCH(A88,FPL_Raw_Data!$AA:$AA,0))</f>
        <v>18</v>
      </c>
      <c r="AB88" s="2">
        <f t="shared" si="32"/>
        <v>1</v>
      </c>
      <c r="AC88" s="2">
        <f>INDEX(FPL_Raw_Data!$Q:$Q,MATCH(A88,FPL_Raw_Data!$AA:$AA,0))</f>
        <v>0</v>
      </c>
      <c r="AD88" s="8">
        <f>INDEX(FPL_Raw_Data!$R:$R,MATCH(A88,FPL_Raw_Data!$AA:$AA,0))</f>
        <v>32</v>
      </c>
      <c r="AE88" s="8">
        <f>INDEX(FPL_Raw_Data!$N:$N,MATCH(A88,FPL_Raw_Data!$AA:$AA,0))</f>
        <v>2</v>
      </c>
      <c r="AF88" s="8">
        <f>INDEX(FPL_Raw_Data!$L:$L,MATCH(A88,FPL_Raw_Data!$AA:$AA,0))</f>
        <v>0</v>
      </c>
      <c r="AG88" s="2">
        <f>INDEX(FPL_Raw_Data!$M:$M,MATCH(A88,FPL_Raw_Data!$AA:$AA,0))</f>
        <v>2</v>
      </c>
      <c r="AH88" s="2">
        <f t="shared" si="33"/>
        <v>1.0475409836065572</v>
      </c>
      <c r="AI88" s="2">
        <f t="shared" si="34"/>
        <v>0.28770491803278692</v>
      </c>
      <c r="AJ88" s="2">
        <f t="shared" si="35"/>
        <v>2</v>
      </c>
      <c r="AK88" s="2">
        <f t="shared" si="36"/>
        <v>2</v>
      </c>
      <c r="AL88" s="2">
        <f t="shared" si="37"/>
        <v>0.66666666666666663</v>
      </c>
      <c r="AM88" s="2">
        <f t="shared" si="38"/>
        <v>0</v>
      </c>
      <c r="AN88" s="2">
        <f t="shared" si="39"/>
        <v>0</v>
      </c>
      <c r="AO88" s="3">
        <f t="shared" si="40"/>
        <v>70</v>
      </c>
      <c r="AP88">
        <f t="shared" si="41"/>
        <v>87.3</v>
      </c>
      <c r="AQ88">
        <f t="shared" si="42"/>
        <v>85.1</v>
      </c>
      <c r="AR88">
        <f t="shared" si="43"/>
        <v>92.4</v>
      </c>
      <c r="AS88" s="2">
        <f t="shared" si="44"/>
        <v>100</v>
      </c>
      <c r="AT88" s="2">
        <f>IFERROR(INDEX(Player_Model!$BC$2:$BC$596,MATCH($A88,Player_Model!$A$2:$A$596,0)),0)</f>
        <v>4.3267352487193076</v>
      </c>
      <c r="AU88" s="2">
        <f>Table8[[#This Row],[Model Expected Points]]*Table8[[#This Row],[Fixture Adjustment]]</f>
        <v>4.1395178636492904</v>
      </c>
      <c r="AV88" s="2">
        <f>Table8[[#This Row],[Fixture Adjusted Points / 90]]/Table8[[#This Row],[Price]]</f>
        <v>0.68991964394154837</v>
      </c>
      <c r="AW88">
        <f t="shared" si="45"/>
        <v>78.650000000000006</v>
      </c>
      <c r="AX88">
        <f t="shared" si="46"/>
        <v>0</v>
      </c>
      <c r="AY88" s="2">
        <f t="shared" si="47"/>
        <v>100</v>
      </c>
      <c r="AZ88" s="5">
        <f t="shared" si="48"/>
        <v>0.95673010380622836</v>
      </c>
      <c r="BA88">
        <f>Table8[[#This Row],[Model Score2]]</f>
        <v>4.3267352487193076</v>
      </c>
      <c r="BB88">
        <f>IFERROR(INDEX(Player_Model!$BG$2:$BG$596,MATCH($A88,Player_Model!$A$2:$A$596,0)),"")</f>
        <v>15</v>
      </c>
      <c r="BC88" t="str">
        <f t="shared" si="49"/>
        <v>AVOID</v>
      </c>
      <c r="BD88">
        <f>IF(H88=1,Table8[[#This Row],[Model Score]],-10000)</f>
        <v>4.3267352487193076</v>
      </c>
      <c r="BE88">
        <f>IFERROR(INDEX(Player_Model!$BF$2:$BF$596,MATCH($A88,Player_Model!$A$2:$A$596,0)),"")</f>
        <v>136</v>
      </c>
      <c r="BF88">
        <f>IFERROR(INDEX(Player_Model!$BG$2:$BG$596,MATCH($A88,Player_Model!$A$2:$A$596,0)),"")</f>
        <v>15</v>
      </c>
      <c r="BG88">
        <f>IFERROR(INDEX(Player_Model!$BE$2:$BE$596,MATCH($A88,Player_Model!$A$2:$A$596,0)),0)</f>
        <v>4.3267352487193076</v>
      </c>
    </row>
    <row r="89" spans="1:59" x14ac:dyDescent="0.25">
      <c r="A89" t="str">
        <f>tblPlayers[first_name]&amp;" "&amp;tblPlayers[second_name]</f>
        <v>Enes Ünal</v>
      </c>
      <c r="B89" t="str">
        <f>_xlfn.SWITCH(tblPlayers[element_type],1,"GK",2,"DEF",3,"MID",4,"FWD")</f>
        <v>FWD</v>
      </c>
      <c r="C89">
        <f>tblPlayers[team]</f>
        <v>3</v>
      </c>
      <c r="D89" t="str">
        <f>INDEX(tblTeams[Column1.short_name],MATCH(C89,tblTeams[Column1.id],0))</f>
        <v>BOU</v>
      </c>
      <c r="E89" s="4">
        <f>INDEX(FPL_Raw_Data!$F:$F,MATCH(A89,FPL_Raw_Data!$AA:$AA,0))/10</f>
        <v>5.5</v>
      </c>
      <c r="F89" s="4" t="str">
        <f>tblPlayers[[#This Row],[status]]</f>
        <v>u</v>
      </c>
      <c r="G89" s="4" t="b">
        <f>tblPlayers[[#This Row],[can_select]]</f>
        <v>0</v>
      </c>
      <c r="H89">
        <f>IF(AND(Table8[[#This Row],[Availability Status]]="a",Table8[[#This Row],[Can Select]]=TRUE),1,0)</f>
        <v>0</v>
      </c>
      <c r="I89">
        <f>tblPlayers[minutes]</f>
        <v>0</v>
      </c>
      <c r="J89" s="2">
        <f>Table8[[#This Row],[Minutes]]/90</f>
        <v>0</v>
      </c>
      <c r="K89" s="5">
        <f>IFERROR(Z89/(FIXTURE_ANALYSIS!$B$1-1),0)</f>
        <v>0</v>
      </c>
      <c r="L89">
        <f>tblPlayers[total_points]</f>
        <v>0</v>
      </c>
      <c r="M89">
        <f>tblPlayers[points_per_game]</f>
        <v>0</v>
      </c>
      <c r="N89">
        <f>tblPlayers[form]</f>
        <v>0</v>
      </c>
      <c r="O89">
        <f>tblPlayers[expected_goals]</f>
        <v>0</v>
      </c>
      <c r="P89">
        <f>tblPlayers[expected_assists]</f>
        <v>0</v>
      </c>
      <c r="Q89">
        <f>tblPlayers[expected_goal_involvements]</f>
        <v>0</v>
      </c>
      <c r="R89" s="2">
        <f t="shared" si="25"/>
        <v>0</v>
      </c>
      <c r="S89" s="5">
        <f t="shared" si="26"/>
        <v>0</v>
      </c>
      <c r="T89" s="5">
        <f t="shared" si="27"/>
        <v>0</v>
      </c>
      <c r="U89" s="5">
        <f t="shared" si="28"/>
        <v>0</v>
      </c>
      <c r="V89" s="3">
        <f t="shared" si="29"/>
        <v>0</v>
      </c>
      <c r="W89" s="5">
        <f t="shared" si="30"/>
        <v>0</v>
      </c>
      <c r="X89" s="5">
        <f>IFERROR(IF(OR($B89="MID",$B89="FWD"),INDEX(FIXTURE_ANALYSIS!$Q:$Q,MATCH($D89,FIXTURE_ANALYSIS!$A:$A,0)),INDEX(FIXTURE_ANALYSIS!$R:$R,MATCH($D89,FIXTURE_ANALYSIS!$A:$A,0))),1)</f>
        <v>0.95673010380622836</v>
      </c>
      <c r="Y89" s="5">
        <f t="shared" si="31"/>
        <v>0.95673010380622836</v>
      </c>
      <c r="Z89" s="8">
        <f>INDEX(FPL_Raw_Data!$T:$T,MATCH(A89,FPL_Raw_Data!$AA:$AA,0))</f>
        <v>0</v>
      </c>
      <c r="AA89" s="8">
        <f>INDEX(FPL_Raw_Data!$S:$S,MATCH(A89,FPL_Raw_Data!$AA:$AA,0))</f>
        <v>0</v>
      </c>
      <c r="AB89" s="2">
        <f t="shared" si="32"/>
        <v>0</v>
      </c>
      <c r="AC89" s="2">
        <f>INDEX(FPL_Raw_Data!$Q:$Q,MATCH(A89,FPL_Raw_Data!$AA:$AA,0))</f>
        <v>0</v>
      </c>
      <c r="AD89" s="8">
        <f>INDEX(FPL_Raw_Data!$R:$R,MATCH(A89,FPL_Raw_Data!$AA:$AA,0))</f>
        <v>0</v>
      </c>
      <c r="AE89" s="8">
        <f>INDEX(FPL_Raw_Data!$N:$N,MATCH(A89,FPL_Raw_Data!$AA:$AA,0))</f>
        <v>0</v>
      </c>
      <c r="AF89" s="8">
        <f>INDEX(FPL_Raw_Data!$L:$L,MATCH(A89,FPL_Raw_Data!$AA:$AA,0))</f>
        <v>0</v>
      </c>
      <c r="AG89" s="2">
        <f>INDEX(FPL_Raw_Data!$M:$M,MATCH(A89,FPL_Raw_Data!$AA:$AA,0))</f>
        <v>0</v>
      </c>
      <c r="AH89" s="2">
        <f t="shared" si="33"/>
        <v>0</v>
      </c>
      <c r="AI89" s="2">
        <f t="shared" si="34"/>
        <v>0</v>
      </c>
      <c r="AJ89" s="2">
        <f t="shared" si="35"/>
        <v>0</v>
      </c>
      <c r="AK89" s="2">
        <f t="shared" si="36"/>
        <v>0</v>
      </c>
      <c r="AL89" s="2">
        <f t="shared" si="37"/>
        <v>0</v>
      </c>
      <c r="AM89" s="2">
        <f t="shared" si="38"/>
        <v>0</v>
      </c>
      <c r="AN89" s="2">
        <f t="shared" si="39"/>
        <v>0</v>
      </c>
      <c r="AO89" s="3">
        <f t="shared" si="40"/>
        <v>0.1</v>
      </c>
      <c r="AP89">
        <f t="shared" si="41"/>
        <v>0</v>
      </c>
      <c r="AQ89">
        <f t="shared" si="42"/>
        <v>0.1</v>
      </c>
      <c r="AR89">
        <f t="shared" si="43"/>
        <v>0</v>
      </c>
      <c r="AS89" s="2">
        <f t="shared" si="44"/>
        <v>0</v>
      </c>
      <c r="AT89" s="2">
        <f>IFERROR(INDEX(Player_Model!$BC$2:$BC$596,MATCH($A89,Player_Model!$A$2:$A$596,0)),0)</f>
        <v>0</v>
      </c>
      <c r="AU89" s="2">
        <f>Table8[[#This Row],[Model Expected Points]]*Table8[[#This Row],[Fixture Adjustment]]</f>
        <v>0</v>
      </c>
      <c r="AV89" s="2">
        <f>Table8[[#This Row],[Fixture Adjusted Points / 90]]/Table8[[#This Row],[Price]]</f>
        <v>0</v>
      </c>
      <c r="AW89">
        <f t="shared" si="45"/>
        <v>0.05</v>
      </c>
      <c r="AX89">
        <f t="shared" si="46"/>
        <v>0</v>
      </c>
      <c r="AY89" s="2">
        <f t="shared" si="47"/>
        <v>0</v>
      </c>
      <c r="AZ89" s="5">
        <f t="shared" si="48"/>
        <v>0.95673010380622836</v>
      </c>
      <c r="BA89">
        <f>Table8[[#This Row],[Model Score2]]</f>
        <v>0</v>
      </c>
      <c r="BB89">
        <f>IFERROR(INDEX(Player_Model!$BG$2:$BG$596,MATCH($A89,Player_Model!$A$2:$A$596,0)),"")</f>
        <v>31</v>
      </c>
      <c r="BC89" t="str">
        <f t="shared" si="49"/>
        <v>AVOID</v>
      </c>
      <c r="BD89">
        <f>IF(H89=1,Table8[[#This Row],[Model Score]],-10000)</f>
        <v>-10000</v>
      </c>
      <c r="BE89">
        <f>IFERROR(INDEX(Player_Model!$BF$2:$BF$596,MATCH($A89,Player_Model!$A$2:$A$596,0)),"")</f>
        <v>253</v>
      </c>
      <c r="BF89">
        <f>IFERROR(INDEX(Player_Model!$BG$2:$BG$596,MATCH($A89,Player_Model!$A$2:$A$596,0)),"")</f>
        <v>31</v>
      </c>
      <c r="BG89">
        <f>IFERROR(INDEX(Player_Model!$BE$2:$BE$596,MATCH($A89,Player_Model!$A$2:$A$596,0)),0)</f>
        <v>0</v>
      </c>
    </row>
    <row r="90" spans="1:59" x14ac:dyDescent="0.25">
      <c r="A90" t="str">
        <f>tblPlayers[first_name]&amp;" "&amp;tblPlayers[second_name]</f>
        <v>Álvaro Rodríguez</v>
      </c>
      <c r="B90" t="str">
        <f>_xlfn.SWITCH(tblPlayers[element_type],1,"GK",2,"DEF",3,"MID",4,"FWD")</f>
        <v>FWD</v>
      </c>
      <c r="C90">
        <f>tblPlayers[team]</f>
        <v>3</v>
      </c>
      <c r="D90" t="str">
        <f>INDEX(tblTeams[Column1.short_name],MATCH(C90,tblTeams[Column1.id],0))</f>
        <v>BOU</v>
      </c>
      <c r="E90" s="4">
        <f>INDEX(FPL_Raw_Data!$F:$F,MATCH(A90,FPL_Raw_Data!$AA:$AA,0))/10</f>
        <v>6</v>
      </c>
      <c r="F90" s="4" t="str">
        <f>tblPlayers[[#This Row],[status]]</f>
        <v>a</v>
      </c>
      <c r="G90" s="4" t="b">
        <f>tblPlayers[[#This Row],[can_select]]</f>
        <v>1</v>
      </c>
      <c r="H90">
        <f>IF(AND(Table8[[#This Row],[Availability Status]]="a",Table8[[#This Row],[Can Select]]=TRUE),1,0)</f>
        <v>1</v>
      </c>
      <c r="I90">
        <f>tblPlayers[minutes]</f>
        <v>9</v>
      </c>
      <c r="J90" s="2">
        <f>Table8[[#This Row],[Minutes]]/90</f>
        <v>0.1</v>
      </c>
      <c r="K90" s="5">
        <f>IFERROR(Z90/(FIXTURE_ANALYSIS!$B$1-1),0)</f>
        <v>0</v>
      </c>
      <c r="L90">
        <f>tblPlayers[total_points]</f>
        <v>1</v>
      </c>
      <c r="M90">
        <f>tblPlayers[points_per_game]</f>
        <v>1</v>
      </c>
      <c r="N90">
        <f>tblPlayers[form]</f>
        <v>0.3</v>
      </c>
      <c r="O90">
        <f>tblPlayers[expected_goals]</f>
        <v>0</v>
      </c>
      <c r="P90">
        <f>tblPlayers[expected_assists]</f>
        <v>0</v>
      </c>
      <c r="Q90">
        <f>tblPlayers[expected_goal_involvements]</f>
        <v>0</v>
      </c>
      <c r="R90" s="2">
        <f t="shared" si="25"/>
        <v>10</v>
      </c>
      <c r="S90" s="5">
        <f t="shared" si="26"/>
        <v>0</v>
      </c>
      <c r="T90" s="5">
        <f t="shared" si="27"/>
        <v>0</v>
      </c>
      <c r="U90" s="5">
        <f t="shared" si="28"/>
        <v>0</v>
      </c>
      <c r="V90" s="3">
        <f t="shared" si="29"/>
        <v>0.16666666666666666</v>
      </c>
      <c r="W90" s="5">
        <f t="shared" si="30"/>
        <v>0</v>
      </c>
      <c r="X90" s="5">
        <f>IFERROR(IF(OR($B90="MID",$B90="FWD"),INDEX(FIXTURE_ANALYSIS!$Q:$Q,MATCH($D90,FIXTURE_ANALYSIS!$A:$A,0)),INDEX(FIXTURE_ANALYSIS!$R:$R,MATCH($D90,FIXTURE_ANALYSIS!$A:$A,0))),1)</f>
        <v>0.95673010380622836</v>
      </c>
      <c r="Y90" s="5">
        <f t="shared" si="31"/>
        <v>0.95673010380622836</v>
      </c>
      <c r="Z90" s="8">
        <f>INDEX(FPL_Raw_Data!$T:$T,MATCH(A90,FPL_Raw_Data!$AA:$AA,0))</f>
        <v>0</v>
      </c>
      <c r="AA90" s="8">
        <f>INDEX(FPL_Raw_Data!$S:$S,MATCH(A90,FPL_Raw_Data!$AA:$AA,0))</f>
        <v>1</v>
      </c>
      <c r="AB90" s="2">
        <f t="shared" si="32"/>
        <v>8.3333333333333329E-2</v>
      </c>
      <c r="AC90" s="2">
        <f>INDEX(FPL_Raw_Data!$Q:$Q,MATCH(A90,FPL_Raw_Data!$AA:$AA,0))</f>
        <v>0</v>
      </c>
      <c r="AD90" s="8">
        <f>INDEX(FPL_Raw_Data!$R:$R,MATCH(A90,FPL_Raw_Data!$AA:$AA,0))</f>
        <v>4</v>
      </c>
      <c r="AE90" s="8">
        <f>INDEX(FPL_Raw_Data!$N:$N,MATCH(A90,FPL_Raw_Data!$AA:$AA,0))</f>
        <v>0</v>
      </c>
      <c r="AF90" s="8">
        <f>INDEX(FPL_Raw_Data!$L:$L,MATCH(A90,FPL_Raw_Data!$AA:$AA,0))</f>
        <v>0</v>
      </c>
      <c r="AG90" s="2">
        <f>INDEX(FPL_Raw_Data!$M:$M,MATCH(A90,FPL_Raw_Data!$AA:$AA,0))</f>
        <v>0</v>
      </c>
      <c r="AH90" s="2">
        <f t="shared" si="33"/>
        <v>0</v>
      </c>
      <c r="AI90" s="2">
        <f t="shared" si="34"/>
        <v>0</v>
      </c>
      <c r="AJ90" s="2">
        <f t="shared" si="35"/>
        <v>0</v>
      </c>
      <c r="AK90" s="2">
        <f t="shared" si="36"/>
        <v>0.16666666666666666</v>
      </c>
      <c r="AL90" s="2">
        <f t="shared" si="37"/>
        <v>0</v>
      </c>
      <c r="AM90" s="2">
        <f t="shared" si="38"/>
        <v>0</v>
      </c>
      <c r="AN90" s="2">
        <f t="shared" si="39"/>
        <v>0</v>
      </c>
      <c r="AO90" s="3">
        <f t="shared" si="40"/>
        <v>92.9</v>
      </c>
      <c r="AP90">
        <f t="shared" si="41"/>
        <v>0</v>
      </c>
      <c r="AQ90">
        <f t="shared" si="42"/>
        <v>41.5</v>
      </c>
      <c r="AR90">
        <f t="shared" si="43"/>
        <v>0</v>
      </c>
      <c r="AS90" s="2">
        <f t="shared" si="44"/>
        <v>0</v>
      </c>
      <c r="AT90" s="2">
        <f>IFERROR(INDEX(Player_Model!$BC$2:$BC$596,MATCH($A90,Player_Model!$A$2:$A$596,0)),0)</f>
        <v>0</v>
      </c>
      <c r="AU90" s="2">
        <f>Table8[[#This Row],[Model Expected Points]]*Table8[[#This Row],[Fixture Adjustment]]</f>
        <v>0</v>
      </c>
      <c r="AV90" s="2">
        <f>Table8[[#This Row],[Fixture Adjusted Points / 90]]/Table8[[#This Row],[Price]]</f>
        <v>0</v>
      </c>
      <c r="AW90">
        <f t="shared" si="45"/>
        <v>46.45</v>
      </c>
      <c r="AX90">
        <f t="shared" si="46"/>
        <v>0</v>
      </c>
      <c r="AY90" s="2">
        <f t="shared" si="47"/>
        <v>0</v>
      </c>
      <c r="AZ90" s="5">
        <f t="shared" si="48"/>
        <v>0.95673010380622836</v>
      </c>
      <c r="BA90">
        <f>Table8[[#This Row],[Model Score2]]</f>
        <v>0</v>
      </c>
      <c r="BB90">
        <f>IFERROR(INDEX(Player_Model!$BG$2:$BG$596,MATCH($A90,Player_Model!$A$2:$A$596,0)),"")</f>
        <v>32</v>
      </c>
      <c r="BC90" t="str">
        <f t="shared" si="49"/>
        <v>AVOID</v>
      </c>
      <c r="BD90">
        <f>IF(H90=1,Table8[[#This Row],[Model Score]],-10000)</f>
        <v>0</v>
      </c>
      <c r="BE90">
        <f>IFERROR(INDEX(Player_Model!$BF$2:$BF$596,MATCH($A90,Player_Model!$A$2:$A$596,0)),"")</f>
        <v>253</v>
      </c>
      <c r="BF90">
        <f>IFERROR(INDEX(Player_Model!$BG$2:$BG$596,MATCH($A90,Player_Model!$A$2:$A$596,0)),"")</f>
        <v>32</v>
      </c>
      <c r="BG90">
        <f>IFERROR(INDEX(Player_Model!$BE$2:$BE$596,MATCH($A90,Player_Model!$A$2:$A$596,0)),0)</f>
        <v>0</v>
      </c>
    </row>
    <row r="91" spans="1:59" x14ac:dyDescent="0.25">
      <c r="A91" t="str">
        <f>tblPlayers[first_name]&amp;" "&amp;tblPlayers[second_name]</f>
        <v>António João Pereira de Albuquerque Tavares da Silva</v>
      </c>
      <c r="B91" t="str">
        <f>_xlfn.SWITCH(tblPlayers[element_type],1,"GK",2,"DEF",3,"MID",4,"FWD")</f>
        <v>DEF</v>
      </c>
      <c r="C91">
        <f>tblPlayers[team]</f>
        <v>3</v>
      </c>
      <c r="D91" t="str">
        <f>INDEX(tblTeams[Column1.short_name],MATCH(C91,tblTeams[Column1.id],0))</f>
        <v>BOU</v>
      </c>
      <c r="E91" s="4">
        <f>INDEX(FPL_Raw_Data!$F:$F,MATCH(A91,FPL_Raw_Data!$AA:$AA,0))/10</f>
        <v>5</v>
      </c>
      <c r="F91" s="4" t="str">
        <f>tblPlayers[[#This Row],[status]]</f>
        <v>a</v>
      </c>
      <c r="G91" s="4" t="b">
        <f>tblPlayers[[#This Row],[can_select]]</f>
        <v>1</v>
      </c>
      <c r="H91">
        <f>IF(AND(Table8[[#This Row],[Availability Status]]="a",Table8[[#This Row],[Can Select]]=TRUE),1,0)</f>
        <v>1</v>
      </c>
      <c r="I91">
        <f>tblPlayers[minutes]</f>
        <v>270</v>
      </c>
      <c r="J91" s="2">
        <f>Table8[[#This Row],[Minutes]]/90</f>
        <v>3</v>
      </c>
      <c r="K91" s="5">
        <f>IFERROR(Z91/(FIXTURE_ANALYSIS!$B$1-1),0)</f>
        <v>1</v>
      </c>
      <c r="L91">
        <f>tblPlayers[total_points]</f>
        <v>7</v>
      </c>
      <c r="M91">
        <f>tblPlayers[points_per_game]</f>
        <v>2.2999999999999998</v>
      </c>
      <c r="N91">
        <f>tblPlayers[form]</f>
        <v>2.2999999999999998</v>
      </c>
      <c r="O91">
        <f>tblPlayers[expected_goals]</f>
        <v>0.27</v>
      </c>
      <c r="P91">
        <f>tblPlayers[expected_assists]</f>
        <v>0.04</v>
      </c>
      <c r="Q91">
        <f>tblPlayers[expected_goal_involvements]</f>
        <v>0.31</v>
      </c>
      <c r="R91" s="2">
        <f t="shared" si="25"/>
        <v>2.3333333333333335</v>
      </c>
      <c r="S91" s="5">
        <f t="shared" si="26"/>
        <v>0.09</v>
      </c>
      <c r="T91" s="5">
        <f t="shared" si="27"/>
        <v>1.3333333333333332E-2</v>
      </c>
      <c r="U91" s="5">
        <f t="shared" si="28"/>
        <v>0.10333333333333333</v>
      </c>
      <c r="V91" s="3">
        <f t="shared" si="29"/>
        <v>1.4</v>
      </c>
      <c r="W91" s="5">
        <f t="shared" si="30"/>
        <v>6.2E-2</v>
      </c>
      <c r="X91" s="5">
        <f>IFERROR(IF(OR($B91="MID",$B91="FWD"),INDEX(FIXTURE_ANALYSIS!$Q:$Q,MATCH($D91,FIXTURE_ANALYSIS!$A:$A,0)),INDEX(FIXTURE_ANALYSIS!$R:$R,MATCH($D91,FIXTURE_ANALYSIS!$A:$A,0))),1)</f>
        <v>0.85492657615677192</v>
      </c>
      <c r="Y91" s="5">
        <f t="shared" si="31"/>
        <v>0.85492657615677192</v>
      </c>
      <c r="Z91" s="8">
        <f>INDEX(FPL_Raw_Data!$T:$T,MATCH(A91,FPL_Raw_Data!$AA:$AA,0))</f>
        <v>3</v>
      </c>
      <c r="AA91" s="8">
        <f>INDEX(FPL_Raw_Data!$S:$S,MATCH(A91,FPL_Raw_Data!$AA:$AA,0))</f>
        <v>31</v>
      </c>
      <c r="AB91" s="2">
        <f t="shared" si="32"/>
        <v>1</v>
      </c>
      <c r="AC91" s="2">
        <f>INDEX(FPL_Raw_Data!$Q:$Q,MATCH(A91,FPL_Raw_Data!$AA:$AA,0))</f>
        <v>0</v>
      </c>
      <c r="AD91" s="8">
        <f>INDEX(FPL_Raw_Data!$R:$R,MATCH(A91,FPL_Raw_Data!$AA:$AA,0))</f>
        <v>24</v>
      </c>
      <c r="AE91" s="8">
        <f>INDEX(FPL_Raw_Data!$N:$N,MATCH(A91,FPL_Raw_Data!$AA:$AA,0))</f>
        <v>0</v>
      </c>
      <c r="AF91" s="8">
        <f>INDEX(FPL_Raw_Data!$L:$L,MATCH(A91,FPL_Raw_Data!$AA:$AA,0))</f>
        <v>0</v>
      </c>
      <c r="AG91" s="2">
        <f>INDEX(FPL_Raw_Data!$M:$M,MATCH(A91,FPL_Raw_Data!$AA:$AA,0))</f>
        <v>0</v>
      </c>
      <c r="AH91" s="2">
        <f t="shared" si="33"/>
        <v>0.54</v>
      </c>
      <c r="AI91" s="2">
        <f t="shared" si="34"/>
        <v>3.9999999999999994E-2</v>
      </c>
      <c r="AJ91" s="2">
        <f t="shared" si="35"/>
        <v>2</v>
      </c>
      <c r="AK91" s="2">
        <f t="shared" si="36"/>
        <v>2</v>
      </c>
      <c r="AL91" s="2">
        <f t="shared" si="37"/>
        <v>0</v>
      </c>
      <c r="AM91" s="2">
        <f t="shared" si="38"/>
        <v>0</v>
      </c>
      <c r="AN91" s="2">
        <f t="shared" si="39"/>
        <v>0</v>
      </c>
      <c r="AO91" s="3">
        <f t="shared" si="40"/>
        <v>50</v>
      </c>
      <c r="AP91">
        <f t="shared" si="41"/>
        <v>68.300000000000011</v>
      </c>
      <c r="AQ91">
        <f t="shared" si="42"/>
        <v>76</v>
      </c>
      <c r="AR91">
        <f t="shared" si="43"/>
        <v>77.900000000000006</v>
      </c>
      <c r="AS91" s="2">
        <f t="shared" si="44"/>
        <v>100</v>
      </c>
      <c r="AT91" s="2">
        <f>IFERROR(INDEX(Player_Model!$BC$2:$BC$596,MATCH($A91,Player_Model!$A$2:$A$596,0)),0)</f>
        <v>3.2601200104111565</v>
      </c>
      <c r="AU91" s="2">
        <f>Table8[[#This Row],[Model Expected Points]]*Table8[[#This Row],[Fixture Adjustment]]</f>
        <v>2.7871632383609897</v>
      </c>
      <c r="AV91" s="2">
        <f>Table8[[#This Row],[Fixture Adjusted Points / 90]]/Table8[[#This Row],[Price]]</f>
        <v>0.55743264767219791</v>
      </c>
      <c r="AW91">
        <f t="shared" si="45"/>
        <v>68.300000000000011</v>
      </c>
      <c r="AX91">
        <f t="shared" si="46"/>
        <v>0.92746328807838596</v>
      </c>
      <c r="AY91" s="2">
        <f t="shared" si="47"/>
        <v>100</v>
      </c>
      <c r="AZ91" s="5">
        <f t="shared" si="48"/>
        <v>0.85492657615677192</v>
      </c>
      <c r="BA91">
        <f>Table8[[#This Row],[Model Score2]]</f>
        <v>3.2601200104111565</v>
      </c>
      <c r="BB91">
        <f>IFERROR(INDEX(Player_Model!$BG$2:$BG$596,MATCH($A91,Player_Model!$A$2:$A$596,0)),"")</f>
        <v>60</v>
      </c>
      <c r="BC91" t="str">
        <f t="shared" si="49"/>
        <v>AVOID</v>
      </c>
      <c r="BD91">
        <f>IF(H91=1,Table8[[#This Row],[Model Score]],-10000)</f>
        <v>3.2601200104111565</v>
      </c>
      <c r="BE91">
        <f>IFERROR(INDEX(Player_Model!$BF$2:$BF$596,MATCH($A91,Player_Model!$A$2:$A$596,0)),"")</f>
        <v>190</v>
      </c>
      <c r="BF91">
        <f>IFERROR(INDEX(Player_Model!$BG$2:$BG$596,MATCH($A91,Player_Model!$A$2:$A$596,0)),"")</f>
        <v>60</v>
      </c>
      <c r="BG91">
        <f>IFERROR(INDEX(Player_Model!$BE$2:$BE$596,MATCH($A91,Player_Model!$A$2:$A$596,0)),0)</f>
        <v>3.2601200104111565</v>
      </c>
    </row>
    <row r="92" spans="1:59" x14ac:dyDescent="0.25">
      <c r="A92" t="str">
        <f>tblPlayers[first_name]&amp;" "&amp;tblPlayers[second_name]</f>
        <v>Juanlu Sánchez</v>
      </c>
      <c r="B92" t="str">
        <f>_xlfn.SWITCH(tblPlayers[element_type],1,"GK",2,"DEF",3,"MID",4,"FWD")</f>
        <v>DEF</v>
      </c>
      <c r="C92">
        <f>tblPlayers[team]</f>
        <v>3</v>
      </c>
      <c r="D92" t="str">
        <f>INDEX(tblTeams[Column1.short_name],MATCH(C92,tblTeams[Column1.id],0))</f>
        <v>BOU</v>
      </c>
      <c r="E92" s="4">
        <f>INDEX(FPL_Raw_Data!$F:$F,MATCH(A92,FPL_Raw_Data!$AA:$AA,0))/10</f>
        <v>4.5</v>
      </c>
      <c r="F92" s="4" t="str">
        <f>tblPlayers[[#This Row],[status]]</f>
        <v>a</v>
      </c>
      <c r="G92" s="4" t="b">
        <f>tblPlayers[[#This Row],[can_select]]</f>
        <v>1</v>
      </c>
      <c r="H92">
        <f>IF(AND(Table8[[#This Row],[Availability Status]]="a",Table8[[#This Row],[Can Select]]=TRUE),1,0)</f>
        <v>1</v>
      </c>
      <c r="I92">
        <f>tblPlayers[minutes]</f>
        <v>0</v>
      </c>
      <c r="J92" s="2">
        <f>Table8[[#This Row],[Minutes]]/90</f>
        <v>0</v>
      </c>
      <c r="K92" s="5">
        <f>IFERROR(Z92/(FIXTURE_ANALYSIS!$B$1-1),0)</f>
        <v>0</v>
      </c>
      <c r="L92">
        <f>tblPlayers[total_points]</f>
        <v>0</v>
      </c>
      <c r="M92">
        <f>tblPlayers[points_per_game]</f>
        <v>0</v>
      </c>
      <c r="N92">
        <f>tblPlayers[form]</f>
        <v>0</v>
      </c>
      <c r="O92">
        <f>tblPlayers[expected_goals]</f>
        <v>0</v>
      </c>
      <c r="P92">
        <f>tblPlayers[expected_assists]</f>
        <v>0</v>
      </c>
      <c r="Q92">
        <f>tblPlayers[expected_goal_involvements]</f>
        <v>0</v>
      </c>
      <c r="R92" s="2">
        <f t="shared" si="25"/>
        <v>0</v>
      </c>
      <c r="S92" s="5">
        <f t="shared" si="26"/>
        <v>0</v>
      </c>
      <c r="T92" s="5">
        <f t="shared" si="27"/>
        <v>0</v>
      </c>
      <c r="U92" s="5">
        <f t="shared" si="28"/>
        <v>0</v>
      </c>
      <c r="V92" s="3">
        <f t="shared" si="29"/>
        <v>0</v>
      </c>
      <c r="W92" s="5">
        <f t="shared" si="30"/>
        <v>0</v>
      </c>
      <c r="X92" s="5">
        <f>IFERROR(IF(OR($B92="MID",$B92="FWD"),INDEX(FIXTURE_ANALYSIS!$Q:$Q,MATCH($D92,FIXTURE_ANALYSIS!$A:$A,0)),INDEX(FIXTURE_ANALYSIS!$R:$R,MATCH($D92,FIXTURE_ANALYSIS!$A:$A,0))),1)</f>
        <v>0.85492657615677192</v>
      </c>
      <c r="Y92" s="5">
        <f t="shared" si="31"/>
        <v>0.85492657615677192</v>
      </c>
      <c r="Z92" s="8">
        <f>INDEX(FPL_Raw_Data!$T:$T,MATCH(A92,FPL_Raw_Data!$AA:$AA,0))</f>
        <v>0</v>
      </c>
      <c r="AA92" s="8">
        <f>INDEX(FPL_Raw_Data!$S:$S,MATCH(A92,FPL_Raw_Data!$AA:$AA,0))</f>
        <v>0</v>
      </c>
      <c r="AB92" s="2">
        <f t="shared" si="32"/>
        <v>0</v>
      </c>
      <c r="AC92" s="2">
        <f>INDEX(FPL_Raw_Data!$Q:$Q,MATCH(A92,FPL_Raw_Data!$AA:$AA,0))</f>
        <v>0</v>
      </c>
      <c r="AD92" s="8">
        <f>INDEX(FPL_Raw_Data!$R:$R,MATCH(A92,FPL_Raw_Data!$AA:$AA,0))</f>
        <v>0</v>
      </c>
      <c r="AE92" s="8">
        <f>INDEX(FPL_Raw_Data!$N:$N,MATCH(A92,FPL_Raw_Data!$AA:$AA,0))</f>
        <v>0</v>
      </c>
      <c r="AF92" s="8">
        <f>INDEX(FPL_Raw_Data!$L:$L,MATCH(A92,FPL_Raw_Data!$AA:$AA,0))</f>
        <v>0</v>
      </c>
      <c r="AG92" s="2">
        <f>INDEX(FPL_Raw_Data!$M:$M,MATCH(A92,FPL_Raw_Data!$AA:$AA,0))</f>
        <v>0</v>
      </c>
      <c r="AH92" s="2">
        <f t="shared" si="33"/>
        <v>0</v>
      </c>
      <c r="AI92" s="2">
        <f t="shared" si="34"/>
        <v>0</v>
      </c>
      <c r="AJ92" s="2">
        <f t="shared" si="35"/>
        <v>0</v>
      </c>
      <c r="AK92" s="2">
        <f t="shared" si="36"/>
        <v>0</v>
      </c>
      <c r="AL92" s="2">
        <f t="shared" si="37"/>
        <v>0</v>
      </c>
      <c r="AM92" s="2">
        <f t="shared" si="38"/>
        <v>0</v>
      </c>
      <c r="AN92" s="2">
        <f t="shared" si="39"/>
        <v>0</v>
      </c>
      <c r="AO92" s="3">
        <f t="shared" si="40"/>
        <v>0.1</v>
      </c>
      <c r="AP92">
        <f t="shared" si="41"/>
        <v>0</v>
      </c>
      <c r="AQ92">
        <f t="shared" si="42"/>
        <v>0.1</v>
      </c>
      <c r="AR92">
        <f t="shared" si="43"/>
        <v>0</v>
      </c>
      <c r="AS92" s="2">
        <f t="shared" si="44"/>
        <v>0</v>
      </c>
      <c r="AT92" s="2">
        <f>IFERROR(INDEX(Player_Model!$BC$2:$BC$596,MATCH($A92,Player_Model!$A$2:$A$596,0)),0)</f>
        <v>-0.71243881346397664</v>
      </c>
      <c r="AU92" s="2">
        <f>Table8[[#This Row],[Model Expected Points]]*Table8[[#This Row],[Fixture Adjustment]]</f>
        <v>-0.60908287551595064</v>
      </c>
      <c r="AV92" s="2">
        <f>Table8[[#This Row],[Fixture Adjusted Points / 90]]/Table8[[#This Row],[Price]]</f>
        <v>-0.13535175011465569</v>
      </c>
      <c r="AW92">
        <f t="shared" si="45"/>
        <v>0</v>
      </c>
      <c r="AX92">
        <f t="shared" si="46"/>
        <v>0.42746328807838596</v>
      </c>
      <c r="AY92" s="2">
        <f t="shared" si="47"/>
        <v>0</v>
      </c>
      <c r="AZ92" s="5">
        <f t="shared" si="48"/>
        <v>0.85492657615677192</v>
      </c>
      <c r="BA92">
        <f>Table8[[#This Row],[Model Score2]]</f>
        <v>-0.71243881346397664</v>
      </c>
      <c r="BB92">
        <f>IFERROR(INDEX(Player_Model!$BG$2:$BG$596,MATCH($A92,Player_Model!$A$2:$A$596,0)),"")</f>
        <v>144</v>
      </c>
      <c r="BC92" t="str">
        <f t="shared" si="49"/>
        <v>AVOID</v>
      </c>
      <c r="BD92">
        <f>IF(H92=1,Table8[[#This Row],[Model Score]],-10000)</f>
        <v>-0.71243881346397664</v>
      </c>
      <c r="BE92">
        <f>IFERROR(INDEX(Player_Model!$BF$2:$BF$596,MATCH($A92,Player_Model!$A$2:$A$596,0)),"")</f>
        <v>543</v>
      </c>
      <c r="BF92">
        <f>IFERROR(INDEX(Player_Model!$BG$2:$BG$596,MATCH($A92,Player_Model!$A$2:$A$596,0)),"")</f>
        <v>144</v>
      </c>
      <c r="BG92">
        <f>IFERROR(INDEX(Player_Model!$BE$2:$BE$596,MATCH($A92,Player_Model!$A$2:$A$596,0)),0)</f>
        <v>-0.71243881346397664</v>
      </c>
    </row>
    <row r="93" spans="1:59" x14ac:dyDescent="0.25">
      <c r="A93" t="str">
        <f>tblPlayers[first_name]&amp;" "&amp;tblPlayers[second_name]</f>
        <v>Daniel Jebbison</v>
      </c>
      <c r="B93" t="str">
        <f>_xlfn.SWITCH(tblPlayers[element_type],1,"GK",2,"DEF",3,"MID",4,"FWD")</f>
        <v>FWD</v>
      </c>
      <c r="C93">
        <f>tblPlayers[team]</f>
        <v>3</v>
      </c>
      <c r="D93" t="str">
        <f>INDEX(tblTeams[Column1.short_name],MATCH(C93,tblTeams[Column1.id],0))</f>
        <v>BOU</v>
      </c>
      <c r="E93" s="4">
        <f>INDEX(FPL_Raw_Data!$F:$F,MATCH(A93,FPL_Raw_Data!$AA:$AA,0))/10</f>
        <v>5</v>
      </c>
      <c r="F93" s="4" t="str">
        <f>tblPlayers[[#This Row],[status]]</f>
        <v>a</v>
      </c>
      <c r="G93" s="4" t="b">
        <f>tblPlayers[[#This Row],[can_select]]</f>
        <v>1</v>
      </c>
      <c r="H93">
        <f>IF(AND(Table8[[#This Row],[Availability Status]]="a",Table8[[#This Row],[Can Select]]=TRUE),1,0)</f>
        <v>1</v>
      </c>
      <c r="I93">
        <f>tblPlayers[minutes]</f>
        <v>16</v>
      </c>
      <c r="J93" s="2">
        <f>Table8[[#This Row],[Minutes]]/90</f>
        <v>0.17777777777777778</v>
      </c>
      <c r="K93" s="5">
        <f>IFERROR(Z93/(FIXTURE_ANALYSIS!$B$1-1),0)</f>
        <v>0</v>
      </c>
      <c r="L93">
        <f>tblPlayers[total_points]</f>
        <v>2</v>
      </c>
      <c r="M93">
        <f>tblPlayers[points_per_game]</f>
        <v>1</v>
      </c>
      <c r="N93">
        <f>tblPlayers[form]</f>
        <v>0.7</v>
      </c>
      <c r="O93">
        <f>tblPlayers[expected_goals]</f>
        <v>0.1</v>
      </c>
      <c r="P93">
        <f>tblPlayers[expected_assists]</f>
        <v>0</v>
      </c>
      <c r="Q93">
        <f>tblPlayers[expected_goal_involvements]</f>
        <v>0.1</v>
      </c>
      <c r="R93" s="2">
        <f t="shared" si="25"/>
        <v>11.25</v>
      </c>
      <c r="S93" s="5">
        <f t="shared" si="26"/>
        <v>0.5625</v>
      </c>
      <c r="T93" s="5">
        <f t="shared" si="27"/>
        <v>0</v>
      </c>
      <c r="U93" s="5">
        <f t="shared" si="28"/>
        <v>0.5625</v>
      </c>
      <c r="V93" s="3">
        <f t="shared" si="29"/>
        <v>0.4</v>
      </c>
      <c r="W93" s="5">
        <f t="shared" si="30"/>
        <v>0.02</v>
      </c>
      <c r="X93" s="5">
        <f>IFERROR(IF(OR($B93="MID",$B93="FWD"),INDEX(FIXTURE_ANALYSIS!$Q:$Q,MATCH($D93,FIXTURE_ANALYSIS!$A:$A,0)),INDEX(FIXTURE_ANALYSIS!$R:$R,MATCH($D93,FIXTURE_ANALYSIS!$A:$A,0))),1)</f>
        <v>0.95673010380622836</v>
      </c>
      <c r="Y93" s="5">
        <f t="shared" si="31"/>
        <v>0.95673010380622836</v>
      </c>
      <c r="Z93" s="8">
        <f>INDEX(FPL_Raw_Data!$T:$T,MATCH(A93,FPL_Raw_Data!$AA:$AA,0))</f>
        <v>0</v>
      </c>
      <c r="AA93" s="8">
        <f>INDEX(FPL_Raw_Data!$S:$S,MATCH(A93,FPL_Raw_Data!$AA:$AA,0))</f>
        <v>1</v>
      </c>
      <c r="AB93" s="2">
        <f t="shared" si="32"/>
        <v>8.3333333333333329E-2</v>
      </c>
      <c r="AC93" s="2">
        <f>INDEX(FPL_Raw_Data!$Q:$Q,MATCH(A93,FPL_Raw_Data!$AA:$AA,0))</f>
        <v>0</v>
      </c>
      <c r="AD93" s="8">
        <f>INDEX(FPL_Raw_Data!$R:$R,MATCH(A93,FPL_Raw_Data!$AA:$AA,0))</f>
        <v>10</v>
      </c>
      <c r="AE93" s="8">
        <f>INDEX(FPL_Raw_Data!$N:$N,MATCH(A93,FPL_Raw_Data!$AA:$AA,0))</f>
        <v>0</v>
      </c>
      <c r="AF93" s="8">
        <f>INDEX(FPL_Raw_Data!$L:$L,MATCH(A93,FPL_Raw_Data!$AA:$AA,0))</f>
        <v>0</v>
      </c>
      <c r="AG93" s="2">
        <f>INDEX(FPL_Raw_Data!$M:$M,MATCH(A93,FPL_Raw_Data!$AA:$AA,0))</f>
        <v>0</v>
      </c>
      <c r="AH93" s="2">
        <f t="shared" si="33"/>
        <v>2.25</v>
      </c>
      <c r="AI93" s="2">
        <f t="shared" si="34"/>
        <v>0</v>
      </c>
      <c r="AJ93" s="2">
        <f t="shared" si="35"/>
        <v>0</v>
      </c>
      <c r="AK93" s="2">
        <f t="shared" si="36"/>
        <v>0.16666666666666666</v>
      </c>
      <c r="AL93" s="2">
        <f t="shared" si="37"/>
        <v>0</v>
      </c>
      <c r="AM93" s="2">
        <f t="shared" si="38"/>
        <v>0</v>
      </c>
      <c r="AN93" s="2">
        <f t="shared" si="39"/>
        <v>0</v>
      </c>
      <c r="AO93" s="3">
        <f t="shared" si="40"/>
        <v>93.600000000000009</v>
      </c>
      <c r="AP93">
        <f t="shared" si="41"/>
        <v>93.600000000000009</v>
      </c>
      <c r="AQ93">
        <f t="shared" si="42"/>
        <v>53.300000000000004</v>
      </c>
      <c r="AR93">
        <f t="shared" si="43"/>
        <v>65.100000000000009</v>
      </c>
      <c r="AS93" s="2">
        <f t="shared" si="44"/>
        <v>0</v>
      </c>
      <c r="AT93" s="2">
        <f>IFERROR(INDEX(Player_Model!$BC$2:$BC$596,MATCH($A93,Player_Model!$A$2:$A$596,0)),0)</f>
        <v>0</v>
      </c>
      <c r="AU93" s="2">
        <f>Table8[[#This Row],[Model Expected Points]]*Table8[[#This Row],[Fixture Adjustment]]</f>
        <v>0</v>
      </c>
      <c r="AV93" s="2">
        <f>Table8[[#This Row],[Fixture Adjusted Points / 90]]/Table8[[#This Row],[Price]]</f>
        <v>0</v>
      </c>
      <c r="AW93">
        <f t="shared" si="45"/>
        <v>93.600000000000009</v>
      </c>
      <c r="AX93">
        <f t="shared" si="46"/>
        <v>0</v>
      </c>
      <c r="AY93" s="2">
        <f t="shared" si="47"/>
        <v>0</v>
      </c>
      <c r="AZ93" s="5">
        <f t="shared" si="48"/>
        <v>0.95673010380622836</v>
      </c>
      <c r="BA93">
        <f>Table8[[#This Row],[Model Score2]]</f>
        <v>0</v>
      </c>
      <c r="BB93">
        <f>IFERROR(INDEX(Player_Model!$BG$2:$BG$596,MATCH($A93,Player_Model!$A$2:$A$596,0)),"")</f>
        <v>33</v>
      </c>
      <c r="BC93" t="str">
        <f t="shared" si="49"/>
        <v>AVOID</v>
      </c>
      <c r="BD93">
        <f>IF(H93=1,Table8[[#This Row],[Model Score]],-10000)</f>
        <v>0</v>
      </c>
      <c r="BE93">
        <f>IFERROR(INDEX(Player_Model!$BF$2:$BF$596,MATCH($A93,Player_Model!$A$2:$A$596,0)),"")</f>
        <v>253</v>
      </c>
      <c r="BF93">
        <f>IFERROR(INDEX(Player_Model!$BG$2:$BG$596,MATCH($A93,Player_Model!$A$2:$A$596,0)),"")</f>
        <v>33</v>
      </c>
      <c r="BG93">
        <f>IFERROR(INDEX(Player_Model!$BE$2:$BE$596,MATCH($A93,Player_Model!$A$2:$A$596,0)),0)</f>
        <v>0</v>
      </c>
    </row>
    <row r="94" spans="1:59" x14ac:dyDescent="0.25">
      <c r="A94" t="str">
        <f>tblPlayers[first_name]&amp;" "&amp;tblPlayers[second_name]</f>
        <v>Michele Di Gregorio</v>
      </c>
      <c r="B94" t="str">
        <f>_xlfn.SWITCH(tblPlayers[element_type],1,"GK",2,"DEF",3,"MID",4,"FWD")</f>
        <v>GK</v>
      </c>
      <c r="C94">
        <f>tblPlayers[team]</f>
        <v>3</v>
      </c>
      <c r="D94" t="str">
        <f>INDEX(tblTeams[Column1.short_name],MATCH(C94,tblTeams[Column1.id],0))</f>
        <v>BOU</v>
      </c>
      <c r="E94" s="4">
        <f>INDEX(FPL_Raw_Data!$F:$F,MATCH(A94,FPL_Raw_Data!$AA:$AA,0))/10</f>
        <v>4.5</v>
      </c>
      <c r="F94" s="4" t="str">
        <f>tblPlayers[[#This Row],[status]]</f>
        <v>a</v>
      </c>
      <c r="G94" s="4" t="b">
        <f>tblPlayers[[#This Row],[can_select]]</f>
        <v>1</v>
      </c>
      <c r="H94">
        <f>IF(AND(Table8[[#This Row],[Availability Status]]="a",Table8[[#This Row],[Can Select]]=TRUE),1,0)</f>
        <v>1</v>
      </c>
      <c r="I94">
        <f>tblPlayers[minutes]</f>
        <v>0</v>
      </c>
      <c r="J94" s="2">
        <f>Table8[[#This Row],[Minutes]]/90</f>
        <v>0</v>
      </c>
      <c r="K94" s="5">
        <f>IFERROR(Z94/(FIXTURE_ANALYSIS!$B$1-1),0)</f>
        <v>0</v>
      </c>
      <c r="L94">
        <f>tblPlayers[total_points]</f>
        <v>0</v>
      </c>
      <c r="M94">
        <f>tblPlayers[points_per_game]</f>
        <v>0</v>
      </c>
      <c r="N94">
        <f>tblPlayers[form]</f>
        <v>0</v>
      </c>
      <c r="O94">
        <f>tblPlayers[expected_goals]</f>
        <v>0</v>
      </c>
      <c r="P94">
        <f>tblPlayers[expected_assists]</f>
        <v>0</v>
      </c>
      <c r="Q94">
        <f>tblPlayers[expected_goal_involvements]</f>
        <v>0</v>
      </c>
      <c r="R94" s="2">
        <f t="shared" si="25"/>
        <v>0</v>
      </c>
      <c r="S94" s="5">
        <f t="shared" si="26"/>
        <v>0</v>
      </c>
      <c r="T94" s="5">
        <f t="shared" si="27"/>
        <v>0</v>
      </c>
      <c r="U94" s="5">
        <f t="shared" si="28"/>
        <v>0</v>
      </c>
      <c r="V94" s="3">
        <f t="shared" si="29"/>
        <v>0</v>
      </c>
      <c r="W94" s="5">
        <f t="shared" si="30"/>
        <v>0</v>
      </c>
      <c r="X94" s="5">
        <f>IFERROR(IF(OR($B94="MID",$B94="FWD"),INDEX(FIXTURE_ANALYSIS!$Q:$Q,MATCH($D94,FIXTURE_ANALYSIS!$A:$A,0)),INDEX(FIXTURE_ANALYSIS!$R:$R,MATCH($D94,FIXTURE_ANALYSIS!$A:$A,0))),1)</f>
        <v>0.85492657615677192</v>
      </c>
      <c r="Y94" s="5">
        <f t="shared" si="31"/>
        <v>0.85492657615677192</v>
      </c>
      <c r="Z94" s="8">
        <f>INDEX(FPL_Raw_Data!$T:$T,MATCH(A94,FPL_Raw_Data!$AA:$AA,0))</f>
        <v>0</v>
      </c>
      <c r="AA94" s="8">
        <f>INDEX(FPL_Raw_Data!$S:$S,MATCH(A94,FPL_Raw_Data!$AA:$AA,0))</f>
        <v>0</v>
      </c>
      <c r="AB94" s="2">
        <f t="shared" si="32"/>
        <v>0</v>
      </c>
      <c r="AC94" s="2">
        <f>INDEX(FPL_Raw_Data!$Q:$Q,MATCH(A94,FPL_Raw_Data!$AA:$AA,0))</f>
        <v>0</v>
      </c>
      <c r="AD94" s="8">
        <f>INDEX(FPL_Raw_Data!$R:$R,MATCH(A94,FPL_Raw_Data!$AA:$AA,0))</f>
        <v>0</v>
      </c>
      <c r="AE94" s="8">
        <f>INDEX(FPL_Raw_Data!$N:$N,MATCH(A94,FPL_Raw_Data!$AA:$AA,0))</f>
        <v>0</v>
      </c>
      <c r="AF94" s="8">
        <f>INDEX(FPL_Raw_Data!$L:$L,MATCH(A94,FPL_Raw_Data!$AA:$AA,0))</f>
        <v>0</v>
      </c>
      <c r="AG94" s="2">
        <f>INDEX(FPL_Raw_Data!$M:$M,MATCH(A94,FPL_Raw_Data!$AA:$AA,0))</f>
        <v>0</v>
      </c>
      <c r="AH94" s="2">
        <f t="shared" si="33"/>
        <v>0</v>
      </c>
      <c r="AI94" s="2">
        <f t="shared" si="34"/>
        <v>0</v>
      </c>
      <c r="AJ94" s="2">
        <f t="shared" si="35"/>
        <v>0</v>
      </c>
      <c r="AK94" s="2">
        <f t="shared" si="36"/>
        <v>0</v>
      </c>
      <c r="AL94" s="2">
        <f t="shared" si="37"/>
        <v>0</v>
      </c>
      <c r="AM94" s="2">
        <f t="shared" si="38"/>
        <v>0</v>
      </c>
      <c r="AN94" s="2">
        <f t="shared" si="39"/>
        <v>0</v>
      </c>
      <c r="AO94" s="3">
        <f t="shared" si="40"/>
        <v>0.1</v>
      </c>
      <c r="AP94">
        <f t="shared" si="41"/>
        <v>0</v>
      </c>
      <c r="AQ94">
        <f t="shared" si="42"/>
        <v>0.1</v>
      </c>
      <c r="AR94">
        <f t="shared" si="43"/>
        <v>0</v>
      </c>
      <c r="AS94" s="2">
        <f t="shared" si="44"/>
        <v>0</v>
      </c>
      <c r="AT94" s="2">
        <f>IFERROR(INDEX(Player_Model!$BC$2:$BC$596,MATCH($A94,Player_Model!$A$2:$A$596,0)),0)</f>
        <v>0</v>
      </c>
      <c r="AU94" s="2">
        <f>Table8[[#This Row],[Model Expected Points]]*Table8[[#This Row],[Fixture Adjustment]]</f>
        <v>0</v>
      </c>
      <c r="AV94" s="2">
        <f>Table8[[#This Row],[Fixture Adjusted Points / 90]]/Table8[[#This Row],[Price]]</f>
        <v>0</v>
      </c>
      <c r="AW94">
        <f t="shared" si="45"/>
        <v>0</v>
      </c>
      <c r="AX94">
        <f t="shared" si="46"/>
        <v>0.42746328807838596</v>
      </c>
      <c r="AY94" s="2">
        <f t="shared" si="47"/>
        <v>0</v>
      </c>
      <c r="AZ94" s="5">
        <f t="shared" si="48"/>
        <v>0.85492657615677192</v>
      </c>
      <c r="BA94">
        <f>Table8[[#This Row],[Model Score2]]</f>
        <v>0</v>
      </c>
      <c r="BB94">
        <f>IFERROR(INDEX(Player_Model!$BG$2:$BG$596,MATCH($A94,Player_Model!$A$2:$A$596,0)),"")</f>
        <v>26</v>
      </c>
      <c r="BC94" t="str">
        <f t="shared" si="49"/>
        <v>AVOID</v>
      </c>
      <c r="BD94">
        <f>IF(H94=1,Table8[[#This Row],[Model Score]],-10000)</f>
        <v>0</v>
      </c>
      <c r="BE94">
        <f>IFERROR(INDEX(Player_Model!$BF$2:$BF$596,MATCH($A94,Player_Model!$A$2:$A$596,0)),"")</f>
        <v>253</v>
      </c>
      <c r="BF94">
        <f>IFERROR(INDEX(Player_Model!$BG$2:$BG$596,MATCH($A94,Player_Model!$A$2:$A$596,0)),"")</f>
        <v>26</v>
      </c>
      <c r="BG94">
        <f>IFERROR(INDEX(Player_Model!$BE$2:$BE$596,MATCH($A94,Player_Model!$A$2:$A$596,0)),0)</f>
        <v>0</v>
      </c>
    </row>
    <row r="95" spans="1:59" x14ac:dyDescent="0.25">
      <c r="A95" t="str">
        <f>tblPlayers[first_name]&amp;" "&amp;tblPlayers[second_name]</f>
        <v>Caoimhín Kelleher</v>
      </c>
      <c r="B95" t="str">
        <f>_xlfn.SWITCH(tblPlayers[element_type],1,"GK",2,"DEF",3,"MID",4,"FWD")</f>
        <v>GK</v>
      </c>
      <c r="C95">
        <f>tblPlayers[team]</f>
        <v>4</v>
      </c>
      <c r="D95" t="str">
        <f>INDEX(tblTeams[Column1.short_name],MATCH(C95,tblTeams[Column1.id],0))</f>
        <v>BRE</v>
      </c>
      <c r="E95" s="4">
        <f>INDEX(FPL_Raw_Data!$F:$F,MATCH(A95,FPL_Raw_Data!$AA:$AA,0))/10</f>
        <v>5</v>
      </c>
      <c r="F95" s="4" t="str">
        <f>tblPlayers[[#This Row],[status]]</f>
        <v>a</v>
      </c>
      <c r="G95" s="4" t="b">
        <f>tblPlayers[[#This Row],[can_select]]</f>
        <v>1</v>
      </c>
      <c r="H95">
        <f>IF(AND(Table8[[#This Row],[Availability Status]]="a",Table8[[#This Row],[Can Select]]=TRUE),1,0)</f>
        <v>1</v>
      </c>
      <c r="I95">
        <f>tblPlayers[minutes]</f>
        <v>270</v>
      </c>
      <c r="J95" s="2">
        <f>Table8[[#This Row],[Minutes]]/90</f>
        <v>3</v>
      </c>
      <c r="K95" s="5">
        <f>IFERROR(Z95/(FIXTURE_ANALYSIS!$B$1-1),0)</f>
        <v>1</v>
      </c>
      <c r="L95">
        <f>tblPlayers[total_points]</f>
        <v>11</v>
      </c>
      <c r="M95">
        <f>tblPlayers[points_per_game]</f>
        <v>3.7</v>
      </c>
      <c r="N95">
        <f>tblPlayers[form]</f>
        <v>3.7</v>
      </c>
      <c r="O95">
        <f>tblPlayers[expected_goals]</f>
        <v>0</v>
      </c>
      <c r="P95">
        <f>tblPlayers[expected_assists]</f>
        <v>0.01</v>
      </c>
      <c r="Q95">
        <f>tblPlayers[expected_goal_involvements]</f>
        <v>0.01</v>
      </c>
      <c r="R95" s="2">
        <f t="shared" si="25"/>
        <v>3.666666666666667</v>
      </c>
      <c r="S95" s="5">
        <f t="shared" si="26"/>
        <v>0</v>
      </c>
      <c r="T95" s="5">
        <f t="shared" si="27"/>
        <v>3.3333333333333331E-3</v>
      </c>
      <c r="U95" s="5">
        <f t="shared" si="28"/>
        <v>3.3333333333333331E-3</v>
      </c>
      <c r="V95" s="3">
        <f t="shared" si="29"/>
        <v>2.2000000000000002</v>
      </c>
      <c r="W95" s="5">
        <f t="shared" si="30"/>
        <v>2E-3</v>
      </c>
      <c r="X95" s="5">
        <f>IFERROR(IF(OR($B95="MID",$B95="FWD"),INDEX(FIXTURE_ANALYSIS!$Q:$Q,MATCH($D95,FIXTURE_ANALYSIS!$A:$A,0)),INDEX(FIXTURE_ANALYSIS!$R:$R,MATCH($D95,FIXTURE_ANALYSIS!$A:$A,0))),1)</f>
        <v>1.1250890990542559</v>
      </c>
      <c r="Y95" s="5">
        <f t="shared" si="31"/>
        <v>1.1250890990542559</v>
      </c>
      <c r="Z95" s="8">
        <f>INDEX(FPL_Raw_Data!$T:$T,MATCH(A95,FPL_Raw_Data!$AA:$AA,0))</f>
        <v>3</v>
      </c>
      <c r="AA95" s="8">
        <f>INDEX(FPL_Raw_Data!$S:$S,MATCH(A95,FPL_Raw_Data!$AA:$AA,0))</f>
        <v>0</v>
      </c>
      <c r="AB95" s="2">
        <f t="shared" si="32"/>
        <v>0</v>
      </c>
      <c r="AC95" s="2">
        <f>INDEX(FPL_Raw_Data!$Q:$Q,MATCH(A95,FPL_Raw_Data!$AA:$AA,0))</f>
        <v>0</v>
      </c>
      <c r="AD95" s="8">
        <f>INDEX(FPL_Raw_Data!$R:$R,MATCH(A95,FPL_Raw_Data!$AA:$AA,0))</f>
        <v>51</v>
      </c>
      <c r="AE95" s="8">
        <f>INDEX(FPL_Raw_Data!$N:$N,MATCH(A95,FPL_Raw_Data!$AA:$AA,0))</f>
        <v>1</v>
      </c>
      <c r="AF95" s="8">
        <f>INDEX(FPL_Raw_Data!$L:$L,MATCH(A95,FPL_Raw_Data!$AA:$AA,0))</f>
        <v>0</v>
      </c>
      <c r="AG95" s="2">
        <f>INDEX(FPL_Raw_Data!$M:$M,MATCH(A95,FPL_Raw_Data!$AA:$AA,0))</f>
        <v>0</v>
      </c>
      <c r="AH95" s="2">
        <f t="shared" si="33"/>
        <v>0</v>
      </c>
      <c r="AI95" s="2">
        <f t="shared" si="34"/>
        <v>9.9999999999999985E-3</v>
      </c>
      <c r="AJ95" s="2">
        <f t="shared" si="35"/>
        <v>2</v>
      </c>
      <c r="AK95" s="2">
        <f t="shared" si="36"/>
        <v>0</v>
      </c>
      <c r="AL95" s="2">
        <f t="shared" si="37"/>
        <v>0.33333333333333331</v>
      </c>
      <c r="AM95" s="2">
        <f t="shared" si="38"/>
        <v>1.3333333333333333</v>
      </c>
      <c r="AN95" s="2">
        <f t="shared" si="39"/>
        <v>0</v>
      </c>
      <c r="AO95" s="3">
        <f t="shared" si="40"/>
        <v>66.600000000000009</v>
      </c>
      <c r="AP95">
        <f t="shared" si="41"/>
        <v>50.8</v>
      </c>
      <c r="AQ95">
        <f t="shared" si="42"/>
        <v>88.5</v>
      </c>
      <c r="AR95">
        <f t="shared" si="43"/>
        <v>51.5</v>
      </c>
      <c r="AS95" s="2">
        <f t="shared" si="44"/>
        <v>100</v>
      </c>
      <c r="AT95" s="2">
        <f>IFERROR(INDEX(Player_Model!$BC$2:$BC$596,MATCH($A95,Player_Model!$A$2:$A$596,0)),0)</f>
        <v>4.6374990136936338</v>
      </c>
      <c r="AU95" s="2">
        <f>Table8[[#This Row],[Model Expected Points]]*Table8[[#This Row],[Fixture Adjustment]]</f>
        <v>5.2175995871815708</v>
      </c>
      <c r="AV95" s="2">
        <f>Table8[[#This Row],[Fixture Adjusted Points / 90]]/Table8[[#This Row],[Price]]</f>
        <v>1.0435199174363141</v>
      </c>
      <c r="AW95">
        <f t="shared" si="45"/>
        <v>0</v>
      </c>
      <c r="AX95">
        <f t="shared" si="46"/>
        <v>50.562544549527125</v>
      </c>
      <c r="AY95" s="2">
        <f t="shared" si="47"/>
        <v>100</v>
      </c>
      <c r="AZ95" s="5">
        <f t="shared" si="48"/>
        <v>1.1250890990542559</v>
      </c>
      <c r="BA95">
        <f>Table8[[#This Row],[Model Score2]]</f>
        <v>4.6374990136936338</v>
      </c>
      <c r="BB95">
        <f>IFERROR(INDEX(Player_Model!$BG$2:$BG$596,MATCH($A95,Player_Model!$A$2:$A$596,0)),"")</f>
        <v>8</v>
      </c>
      <c r="BC95" t="str">
        <f t="shared" si="49"/>
        <v>CONSIDER</v>
      </c>
      <c r="BD95">
        <f>IF(H95=1,Table8[[#This Row],[Model Score]],-10000)</f>
        <v>4.6374990136936338</v>
      </c>
      <c r="BE95">
        <f>IFERROR(INDEX(Player_Model!$BF$2:$BF$596,MATCH($A95,Player_Model!$A$2:$A$596,0)),"")</f>
        <v>119</v>
      </c>
      <c r="BF95">
        <f>IFERROR(INDEX(Player_Model!$BG$2:$BG$596,MATCH($A95,Player_Model!$A$2:$A$596,0)),"")</f>
        <v>8</v>
      </c>
      <c r="BG95">
        <f>IFERROR(INDEX(Player_Model!$BE$2:$BE$596,MATCH($A95,Player_Model!$A$2:$A$596,0)),0)</f>
        <v>4.6374990136936338</v>
      </c>
    </row>
    <row r="96" spans="1:59" x14ac:dyDescent="0.25">
      <c r="A96" t="str">
        <f>tblPlayers[first_name]&amp;" "&amp;tblPlayers[second_name]</f>
        <v>Hákon Rafn Valdimarsson</v>
      </c>
      <c r="B96" t="str">
        <f>_xlfn.SWITCH(tblPlayers[element_type],1,"GK",2,"DEF",3,"MID",4,"FWD")</f>
        <v>GK</v>
      </c>
      <c r="C96">
        <f>tblPlayers[team]</f>
        <v>4</v>
      </c>
      <c r="D96" t="str">
        <f>INDEX(tblTeams[Column1.short_name],MATCH(C96,tblTeams[Column1.id],0))</f>
        <v>BRE</v>
      </c>
      <c r="E96" s="4">
        <f>INDEX(FPL_Raw_Data!$F:$F,MATCH(A96,FPL_Raw_Data!$AA:$AA,0))/10</f>
        <v>4.5</v>
      </c>
      <c r="F96" s="4" t="str">
        <f>tblPlayers[[#This Row],[status]]</f>
        <v>a</v>
      </c>
      <c r="G96" s="4" t="b">
        <f>tblPlayers[[#This Row],[can_select]]</f>
        <v>1</v>
      </c>
      <c r="H96">
        <f>IF(AND(Table8[[#This Row],[Availability Status]]="a",Table8[[#This Row],[Can Select]]=TRUE),1,0)</f>
        <v>1</v>
      </c>
      <c r="I96">
        <f>tblPlayers[minutes]</f>
        <v>0</v>
      </c>
      <c r="J96" s="2">
        <f>Table8[[#This Row],[Minutes]]/90</f>
        <v>0</v>
      </c>
      <c r="K96" s="5">
        <f>IFERROR(Z96/(FIXTURE_ANALYSIS!$B$1-1),0)</f>
        <v>0</v>
      </c>
      <c r="L96">
        <f>tblPlayers[total_points]</f>
        <v>0</v>
      </c>
      <c r="M96">
        <f>tblPlayers[points_per_game]</f>
        <v>0</v>
      </c>
      <c r="N96">
        <f>tblPlayers[form]</f>
        <v>0</v>
      </c>
      <c r="O96">
        <f>tblPlayers[expected_goals]</f>
        <v>0</v>
      </c>
      <c r="P96">
        <f>tblPlayers[expected_assists]</f>
        <v>0</v>
      </c>
      <c r="Q96">
        <f>tblPlayers[expected_goal_involvements]</f>
        <v>0</v>
      </c>
      <c r="R96" s="2">
        <f t="shared" si="25"/>
        <v>0</v>
      </c>
      <c r="S96" s="5">
        <f t="shared" si="26"/>
        <v>0</v>
      </c>
      <c r="T96" s="5">
        <f t="shared" si="27"/>
        <v>0</v>
      </c>
      <c r="U96" s="5">
        <f t="shared" si="28"/>
        <v>0</v>
      </c>
      <c r="V96" s="3">
        <f t="shared" si="29"/>
        <v>0</v>
      </c>
      <c r="W96" s="5">
        <f t="shared" si="30"/>
        <v>0</v>
      </c>
      <c r="X96" s="5">
        <f>IFERROR(IF(OR($B96="MID",$B96="FWD"),INDEX(FIXTURE_ANALYSIS!$Q:$Q,MATCH($D96,FIXTURE_ANALYSIS!$A:$A,0)),INDEX(FIXTURE_ANALYSIS!$R:$R,MATCH($D96,FIXTURE_ANALYSIS!$A:$A,0))),1)</f>
        <v>1.1250890990542559</v>
      </c>
      <c r="Y96" s="5">
        <f t="shared" si="31"/>
        <v>1.1250890990542559</v>
      </c>
      <c r="Z96" s="8">
        <f>INDEX(FPL_Raw_Data!$T:$T,MATCH(A96,FPL_Raw_Data!$AA:$AA,0))</f>
        <v>0</v>
      </c>
      <c r="AA96" s="8">
        <f>INDEX(FPL_Raw_Data!$S:$S,MATCH(A96,FPL_Raw_Data!$AA:$AA,0))</f>
        <v>0</v>
      </c>
      <c r="AB96" s="2">
        <f t="shared" si="32"/>
        <v>0</v>
      </c>
      <c r="AC96" s="2">
        <f>INDEX(FPL_Raw_Data!$Q:$Q,MATCH(A96,FPL_Raw_Data!$AA:$AA,0))</f>
        <v>0</v>
      </c>
      <c r="AD96" s="8">
        <f>INDEX(FPL_Raw_Data!$R:$R,MATCH(A96,FPL_Raw_Data!$AA:$AA,0))</f>
        <v>0</v>
      </c>
      <c r="AE96" s="8">
        <f>INDEX(FPL_Raw_Data!$N:$N,MATCH(A96,FPL_Raw_Data!$AA:$AA,0))</f>
        <v>0</v>
      </c>
      <c r="AF96" s="8">
        <f>INDEX(FPL_Raw_Data!$L:$L,MATCH(A96,FPL_Raw_Data!$AA:$AA,0))</f>
        <v>0</v>
      </c>
      <c r="AG96" s="2">
        <f>INDEX(FPL_Raw_Data!$M:$M,MATCH(A96,FPL_Raw_Data!$AA:$AA,0))</f>
        <v>0</v>
      </c>
      <c r="AH96" s="2">
        <f t="shared" si="33"/>
        <v>0</v>
      </c>
      <c r="AI96" s="2">
        <f t="shared" si="34"/>
        <v>0</v>
      </c>
      <c r="AJ96" s="2">
        <f t="shared" si="35"/>
        <v>0</v>
      </c>
      <c r="AK96" s="2">
        <f t="shared" si="36"/>
        <v>0</v>
      </c>
      <c r="AL96" s="2">
        <f t="shared" si="37"/>
        <v>0</v>
      </c>
      <c r="AM96" s="2">
        <f t="shared" si="38"/>
        <v>0</v>
      </c>
      <c r="AN96" s="2">
        <f t="shared" si="39"/>
        <v>0</v>
      </c>
      <c r="AO96" s="3">
        <f t="shared" si="40"/>
        <v>0.1</v>
      </c>
      <c r="AP96">
        <f t="shared" si="41"/>
        <v>0</v>
      </c>
      <c r="AQ96">
        <f t="shared" si="42"/>
        <v>0.1</v>
      </c>
      <c r="AR96">
        <f t="shared" si="43"/>
        <v>0</v>
      </c>
      <c r="AS96" s="2">
        <f t="shared" si="44"/>
        <v>0</v>
      </c>
      <c r="AT96" s="2">
        <f>IFERROR(INDEX(Player_Model!$BC$2:$BC$596,MATCH($A96,Player_Model!$A$2:$A$596,0)),0)</f>
        <v>0</v>
      </c>
      <c r="AU96" s="2">
        <f>Table8[[#This Row],[Model Expected Points]]*Table8[[#This Row],[Fixture Adjustment]]</f>
        <v>0</v>
      </c>
      <c r="AV96" s="2">
        <f>Table8[[#This Row],[Fixture Adjusted Points / 90]]/Table8[[#This Row],[Price]]</f>
        <v>0</v>
      </c>
      <c r="AW96">
        <f t="shared" si="45"/>
        <v>0</v>
      </c>
      <c r="AX96">
        <f t="shared" si="46"/>
        <v>0.56254454952712796</v>
      </c>
      <c r="AY96" s="2">
        <f t="shared" si="47"/>
        <v>0</v>
      </c>
      <c r="AZ96" s="5">
        <f t="shared" si="48"/>
        <v>1.1250890990542559</v>
      </c>
      <c r="BA96">
        <f>Table8[[#This Row],[Model Score2]]</f>
        <v>0</v>
      </c>
      <c r="BB96">
        <f>IFERROR(INDEX(Player_Model!$BG$2:$BG$596,MATCH($A96,Player_Model!$A$2:$A$596,0)),"")</f>
        <v>27</v>
      </c>
      <c r="BC96" t="str">
        <f t="shared" si="49"/>
        <v>AVOID</v>
      </c>
      <c r="BD96">
        <f>IF(H96=1,Table8[[#This Row],[Model Score]],-10000)</f>
        <v>0</v>
      </c>
      <c r="BE96">
        <f>IFERROR(INDEX(Player_Model!$BF$2:$BF$596,MATCH($A96,Player_Model!$A$2:$A$596,0)),"")</f>
        <v>253</v>
      </c>
      <c r="BF96">
        <f>IFERROR(INDEX(Player_Model!$BG$2:$BG$596,MATCH($A96,Player_Model!$A$2:$A$596,0)),"")</f>
        <v>27</v>
      </c>
      <c r="BG96">
        <f>IFERROR(INDEX(Player_Model!$BE$2:$BE$596,MATCH($A96,Player_Model!$A$2:$A$596,0)),0)</f>
        <v>0</v>
      </c>
    </row>
    <row r="97" spans="1:59" x14ac:dyDescent="0.25">
      <c r="A97" t="str">
        <f>tblPlayers[first_name]&amp;" "&amp;tblPlayers[second_name]</f>
        <v>Nathan Collins</v>
      </c>
      <c r="B97" t="str">
        <f>_xlfn.SWITCH(tblPlayers[element_type],1,"GK",2,"DEF",3,"MID",4,"FWD")</f>
        <v>DEF</v>
      </c>
      <c r="C97">
        <f>tblPlayers[team]</f>
        <v>4</v>
      </c>
      <c r="D97" t="str">
        <f>INDEX(tblTeams[Column1.short_name],MATCH(C97,tblTeams[Column1.id],0))</f>
        <v>BRE</v>
      </c>
      <c r="E97" s="4">
        <f>INDEX(FPL_Raw_Data!$F:$F,MATCH(A97,FPL_Raw_Data!$AA:$AA,0))/10</f>
        <v>5.5</v>
      </c>
      <c r="F97" s="4" t="str">
        <f>tblPlayers[[#This Row],[status]]</f>
        <v>d</v>
      </c>
      <c r="G97" s="4" t="b">
        <f>tblPlayers[[#This Row],[can_select]]</f>
        <v>1</v>
      </c>
      <c r="H97">
        <f>IF(AND(Table8[[#This Row],[Availability Status]]="a",Table8[[#This Row],[Can Select]]=TRUE),1,0)</f>
        <v>0</v>
      </c>
      <c r="I97">
        <f>tblPlayers[minutes]</f>
        <v>196</v>
      </c>
      <c r="J97" s="2">
        <f>Table8[[#This Row],[Minutes]]/90</f>
        <v>2.1777777777777776</v>
      </c>
      <c r="K97" s="5">
        <f>IFERROR(Z97/(FIXTURE_ANALYSIS!$B$1-1),0)</f>
        <v>1</v>
      </c>
      <c r="L97">
        <f>tblPlayers[total_points]</f>
        <v>10</v>
      </c>
      <c r="M97">
        <f>tblPlayers[points_per_game]</f>
        <v>3.3</v>
      </c>
      <c r="N97">
        <f>tblPlayers[form]</f>
        <v>3.3</v>
      </c>
      <c r="O97">
        <f>tblPlayers[expected_goals]</f>
        <v>0.51</v>
      </c>
      <c r="P97">
        <f>tblPlayers[expected_assists]</f>
        <v>0.05</v>
      </c>
      <c r="Q97">
        <f>tblPlayers[expected_goal_involvements]</f>
        <v>0.56000000000000005</v>
      </c>
      <c r="R97" s="2">
        <f t="shared" si="25"/>
        <v>4.591836734693878</v>
      </c>
      <c r="S97" s="5">
        <f t="shared" si="26"/>
        <v>0.23418367346938776</v>
      </c>
      <c r="T97" s="5">
        <f t="shared" si="27"/>
        <v>2.2959183673469389E-2</v>
      </c>
      <c r="U97" s="5">
        <f t="shared" si="28"/>
        <v>0.25714285714285717</v>
      </c>
      <c r="V97" s="3">
        <f t="shared" si="29"/>
        <v>1.8181818181818181</v>
      </c>
      <c r="W97" s="5">
        <f t="shared" si="30"/>
        <v>0.10181818181818182</v>
      </c>
      <c r="X97" s="5">
        <f>IFERROR(IF(OR($B97="MID",$B97="FWD"),INDEX(FIXTURE_ANALYSIS!$Q:$Q,MATCH($D97,FIXTURE_ANALYSIS!$A:$A,0)),INDEX(FIXTURE_ANALYSIS!$R:$R,MATCH($D97,FIXTURE_ANALYSIS!$A:$A,0))),1)</f>
        <v>1.1250890990542559</v>
      </c>
      <c r="Y97" s="5">
        <f t="shared" si="31"/>
        <v>1.1250890990542559</v>
      </c>
      <c r="Z97" s="8">
        <f>INDEX(FPL_Raw_Data!$T:$T,MATCH(A97,FPL_Raw_Data!$AA:$AA,0))</f>
        <v>3</v>
      </c>
      <c r="AA97" s="8">
        <f>INDEX(FPL_Raw_Data!$S:$S,MATCH(A97,FPL_Raw_Data!$AA:$AA,0))</f>
        <v>17</v>
      </c>
      <c r="AB97" s="2">
        <f t="shared" si="32"/>
        <v>1</v>
      </c>
      <c r="AC97" s="2">
        <f>INDEX(FPL_Raw_Data!$Q:$Q,MATCH(A97,FPL_Raw_Data!$AA:$AA,0))</f>
        <v>0</v>
      </c>
      <c r="AD97" s="8">
        <f>INDEX(FPL_Raw_Data!$R:$R,MATCH(A97,FPL_Raw_Data!$AA:$AA,0))</f>
        <v>39</v>
      </c>
      <c r="AE97" s="8">
        <f>INDEX(FPL_Raw_Data!$N:$N,MATCH(A97,FPL_Raw_Data!$AA:$AA,0))</f>
        <v>1</v>
      </c>
      <c r="AF97" s="8">
        <f>INDEX(FPL_Raw_Data!$L:$L,MATCH(A97,FPL_Raw_Data!$AA:$AA,0))</f>
        <v>0</v>
      </c>
      <c r="AG97" s="2">
        <f>INDEX(FPL_Raw_Data!$M:$M,MATCH(A97,FPL_Raw_Data!$AA:$AA,0))</f>
        <v>0</v>
      </c>
      <c r="AH97" s="2">
        <f t="shared" si="33"/>
        <v>1.4051020408163266</v>
      </c>
      <c r="AI97" s="2">
        <f t="shared" si="34"/>
        <v>6.887755102040817E-2</v>
      </c>
      <c r="AJ97" s="2">
        <f t="shared" si="35"/>
        <v>2</v>
      </c>
      <c r="AK97" s="2">
        <f t="shared" si="36"/>
        <v>2</v>
      </c>
      <c r="AL97" s="2">
        <f t="shared" si="37"/>
        <v>0.33333333333333331</v>
      </c>
      <c r="AM97" s="2">
        <f t="shared" si="38"/>
        <v>1.3333333333333333</v>
      </c>
      <c r="AN97" s="2">
        <f t="shared" si="39"/>
        <v>0</v>
      </c>
      <c r="AO97" s="3">
        <f t="shared" si="40"/>
        <v>73.400000000000006</v>
      </c>
      <c r="AP97">
        <f t="shared" si="41"/>
        <v>80.400000000000006</v>
      </c>
      <c r="AQ97">
        <f t="shared" si="42"/>
        <v>84.5</v>
      </c>
      <c r="AR97">
        <f t="shared" si="43"/>
        <v>84.1</v>
      </c>
      <c r="AS97" s="2">
        <f t="shared" si="44"/>
        <v>100</v>
      </c>
      <c r="AT97" s="2">
        <f>IFERROR(INDEX(Player_Model!$BC$2:$BC$596,MATCH($A97,Player_Model!$A$2:$A$596,0)),0)</f>
        <v>6.4173674779219665</v>
      </c>
      <c r="AU97" s="2">
        <f>Table8[[#This Row],[Model Expected Points]]*Table8[[#This Row],[Fixture Adjustment]]</f>
        <v>7.2201101940353078</v>
      </c>
      <c r="AV97" s="2">
        <f>Table8[[#This Row],[Fixture Adjusted Points / 90]]/Table8[[#This Row],[Price]]</f>
        <v>1.3127473080064196</v>
      </c>
      <c r="AW97">
        <f t="shared" si="45"/>
        <v>80.400000000000006</v>
      </c>
      <c r="AX97">
        <f t="shared" si="46"/>
        <v>1.062544549527128</v>
      </c>
      <c r="AY97" s="2">
        <f t="shared" si="47"/>
        <v>100</v>
      </c>
      <c r="AZ97" s="5">
        <f t="shared" si="48"/>
        <v>1.1250890990542559</v>
      </c>
      <c r="BA97">
        <f>Table8[[#This Row],[Model Score2]]</f>
        <v>6.4173674779219665</v>
      </c>
      <c r="BB97">
        <f>IFERROR(INDEX(Player_Model!$BG$2:$BG$596,MATCH($A97,Player_Model!$A$2:$A$596,0)),"")</f>
        <v>14</v>
      </c>
      <c r="BC97" t="str">
        <f t="shared" si="49"/>
        <v>AVOID</v>
      </c>
      <c r="BD97">
        <f>IF(H97=1,Table8[[#This Row],[Model Score]],-10000)</f>
        <v>-10000</v>
      </c>
      <c r="BE97">
        <f>IFERROR(INDEX(Player_Model!$BF$2:$BF$596,MATCH($A97,Player_Model!$A$2:$A$596,0)),"")</f>
        <v>29</v>
      </c>
      <c r="BF97">
        <f>IFERROR(INDEX(Player_Model!$BG$2:$BG$596,MATCH($A97,Player_Model!$A$2:$A$596,0)),"")</f>
        <v>14</v>
      </c>
      <c r="BG97">
        <f>IFERROR(INDEX(Player_Model!$BE$2:$BE$596,MATCH($A97,Player_Model!$A$2:$A$596,0)),0)</f>
        <v>6.4173674779219665</v>
      </c>
    </row>
    <row r="98" spans="1:59" x14ac:dyDescent="0.25">
      <c r="A98" t="str">
        <f>tblPlayers[first_name]&amp;" "&amp;tblPlayers[second_name]</f>
        <v>Sepp van den Berg</v>
      </c>
      <c r="B98" t="str">
        <f>_xlfn.SWITCH(tblPlayers[element_type],1,"GK",2,"DEF",3,"MID",4,"FWD")</f>
        <v>DEF</v>
      </c>
      <c r="C98">
        <f>tblPlayers[team]</f>
        <v>4</v>
      </c>
      <c r="D98" t="str">
        <f>INDEX(tblTeams[Column1.short_name],MATCH(C98,tblTeams[Column1.id],0))</f>
        <v>BRE</v>
      </c>
      <c r="E98" s="4">
        <f>INDEX(FPL_Raw_Data!$F:$F,MATCH(A98,FPL_Raw_Data!$AA:$AA,0))/10</f>
        <v>4.9000000000000004</v>
      </c>
      <c r="F98" s="4" t="str">
        <f>tblPlayers[[#This Row],[status]]</f>
        <v>i</v>
      </c>
      <c r="G98" s="4" t="b">
        <f>tblPlayers[[#This Row],[can_select]]</f>
        <v>1</v>
      </c>
      <c r="H98">
        <f>IF(AND(Table8[[#This Row],[Availability Status]]="a",Table8[[#This Row],[Can Select]]=TRUE),1,0)</f>
        <v>0</v>
      </c>
      <c r="I98">
        <f>tblPlayers[minutes]</f>
        <v>0</v>
      </c>
      <c r="J98" s="2">
        <f>Table8[[#This Row],[Minutes]]/90</f>
        <v>0</v>
      </c>
      <c r="K98" s="5">
        <f>IFERROR(Z98/(FIXTURE_ANALYSIS!$B$1-1),0)</f>
        <v>0</v>
      </c>
      <c r="L98">
        <f>tblPlayers[total_points]</f>
        <v>0</v>
      </c>
      <c r="M98">
        <f>tblPlayers[points_per_game]</f>
        <v>0</v>
      </c>
      <c r="N98">
        <f>tblPlayers[form]</f>
        <v>0</v>
      </c>
      <c r="O98">
        <f>tblPlayers[expected_goals]</f>
        <v>0</v>
      </c>
      <c r="P98">
        <f>tblPlayers[expected_assists]</f>
        <v>0</v>
      </c>
      <c r="Q98">
        <f>tblPlayers[expected_goal_involvements]</f>
        <v>0</v>
      </c>
      <c r="R98" s="2">
        <f t="shared" si="25"/>
        <v>0</v>
      </c>
      <c r="S98" s="5">
        <f t="shared" si="26"/>
        <v>0</v>
      </c>
      <c r="T98" s="5">
        <f t="shared" si="27"/>
        <v>0</v>
      </c>
      <c r="U98" s="5">
        <f t="shared" si="28"/>
        <v>0</v>
      </c>
      <c r="V98" s="3">
        <f t="shared" si="29"/>
        <v>0</v>
      </c>
      <c r="W98" s="5">
        <f t="shared" si="30"/>
        <v>0</v>
      </c>
      <c r="X98" s="5">
        <f>IFERROR(IF(OR($B98="MID",$B98="FWD"),INDEX(FIXTURE_ANALYSIS!$Q:$Q,MATCH($D98,FIXTURE_ANALYSIS!$A:$A,0)),INDEX(FIXTURE_ANALYSIS!$R:$R,MATCH($D98,FIXTURE_ANALYSIS!$A:$A,0))),1)</f>
        <v>1.1250890990542559</v>
      </c>
      <c r="Y98" s="5">
        <f t="shared" si="31"/>
        <v>1.1250890990542559</v>
      </c>
      <c r="Z98" s="8">
        <f>INDEX(FPL_Raw_Data!$T:$T,MATCH(A98,FPL_Raw_Data!$AA:$AA,0))</f>
        <v>0</v>
      </c>
      <c r="AA98" s="8">
        <f>INDEX(FPL_Raw_Data!$S:$S,MATCH(A98,FPL_Raw_Data!$AA:$AA,0))</f>
        <v>0</v>
      </c>
      <c r="AB98" s="2">
        <f t="shared" si="32"/>
        <v>0</v>
      </c>
      <c r="AC98" s="2">
        <f>INDEX(FPL_Raw_Data!$Q:$Q,MATCH(A98,FPL_Raw_Data!$AA:$AA,0))</f>
        <v>0</v>
      </c>
      <c r="AD98" s="8">
        <f>INDEX(FPL_Raw_Data!$R:$R,MATCH(A98,FPL_Raw_Data!$AA:$AA,0))</f>
        <v>0</v>
      </c>
      <c r="AE98" s="8">
        <f>INDEX(FPL_Raw_Data!$N:$N,MATCH(A98,FPL_Raw_Data!$AA:$AA,0))</f>
        <v>0</v>
      </c>
      <c r="AF98" s="8">
        <f>INDEX(FPL_Raw_Data!$L:$L,MATCH(A98,FPL_Raw_Data!$AA:$AA,0))</f>
        <v>0</v>
      </c>
      <c r="AG98" s="2">
        <f>INDEX(FPL_Raw_Data!$M:$M,MATCH(A98,FPL_Raw_Data!$AA:$AA,0))</f>
        <v>0</v>
      </c>
      <c r="AH98" s="2">
        <f t="shared" si="33"/>
        <v>0</v>
      </c>
      <c r="AI98" s="2">
        <f t="shared" si="34"/>
        <v>0</v>
      </c>
      <c r="AJ98" s="2">
        <f t="shared" si="35"/>
        <v>0</v>
      </c>
      <c r="AK98" s="2">
        <f t="shared" si="36"/>
        <v>0</v>
      </c>
      <c r="AL98" s="2">
        <f t="shared" si="37"/>
        <v>0</v>
      </c>
      <c r="AM98" s="2">
        <f t="shared" si="38"/>
        <v>0</v>
      </c>
      <c r="AN98" s="2">
        <f t="shared" si="39"/>
        <v>0</v>
      </c>
      <c r="AO98" s="3">
        <f t="shared" si="40"/>
        <v>0.1</v>
      </c>
      <c r="AP98">
        <f t="shared" si="41"/>
        <v>0</v>
      </c>
      <c r="AQ98">
        <f t="shared" si="42"/>
        <v>0.1</v>
      </c>
      <c r="AR98">
        <f t="shared" si="43"/>
        <v>0</v>
      </c>
      <c r="AS98" s="2">
        <f t="shared" si="44"/>
        <v>0</v>
      </c>
      <c r="AT98" s="2">
        <f>IFERROR(INDEX(Player_Model!$BC$2:$BC$596,MATCH($A98,Player_Model!$A$2:$A$596,0)),0)</f>
        <v>-0.37502969968475197</v>
      </c>
      <c r="AU98" s="2">
        <f>Table8[[#This Row],[Model Expected Points]]*Table8[[#This Row],[Fixture Adjustment]]</f>
        <v>-0.42194182693690574</v>
      </c>
      <c r="AV98" s="2">
        <f>Table8[[#This Row],[Fixture Adjusted Points / 90]]/Table8[[#This Row],[Price]]</f>
        <v>-8.6110576925899129E-2</v>
      </c>
      <c r="AW98">
        <f t="shared" si="45"/>
        <v>0</v>
      </c>
      <c r="AX98">
        <f t="shared" si="46"/>
        <v>0.56254454952712796</v>
      </c>
      <c r="AY98" s="2">
        <f t="shared" si="47"/>
        <v>0</v>
      </c>
      <c r="AZ98" s="5">
        <f t="shared" si="48"/>
        <v>1.1250890990542559</v>
      </c>
      <c r="BA98">
        <f>Table8[[#This Row],[Model Score2]]</f>
        <v>-0.37502969968475197</v>
      </c>
      <c r="BB98">
        <f>IFERROR(INDEX(Player_Model!$BG$2:$BG$596,MATCH($A98,Player_Model!$A$2:$A$596,0)),"")</f>
        <v>108</v>
      </c>
      <c r="BC98" t="str">
        <f t="shared" si="49"/>
        <v>AVOID</v>
      </c>
      <c r="BD98">
        <f>IF(H98=1,Table8[[#This Row],[Model Score]],-10000)</f>
        <v>-10000</v>
      </c>
      <c r="BE98">
        <f>IFERROR(INDEX(Player_Model!$BF$2:$BF$596,MATCH($A98,Player_Model!$A$2:$A$596,0)),"")</f>
        <v>511</v>
      </c>
      <c r="BF98">
        <f>IFERROR(INDEX(Player_Model!$BG$2:$BG$596,MATCH($A98,Player_Model!$A$2:$A$596,0)),"")</f>
        <v>108</v>
      </c>
      <c r="BG98">
        <f>IFERROR(INDEX(Player_Model!$BE$2:$BE$596,MATCH($A98,Player_Model!$A$2:$A$596,0)),0)</f>
        <v>-0.37502969968475197</v>
      </c>
    </row>
    <row r="99" spans="1:59" x14ac:dyDescent="0.25">
      <c r="A99" t="str">
        <f>tblPlayers[first_name]&amp;" "&amp;tblPlayers[second_name]</f>
        <v>Keane Lewis-Potter</v>
      </c>
      <c r="B99" t="str">
        <f>_xlfn.SWITCH(tblPlayers[element_type],1,"GK",2,"DEF",3,"MID",4,"FWD")</f>
        <v>MID</v>
      </c>
      <c r="C99">
        <f>tblPlayers[team]</f>
        <v>4</v>
      </c>
      <c r="D99" t="str">
        <f>INDEX(tblTeams[Column1.short_name],MATCH(C99,tblTeams[Column1.id],0))</f>
        <v>BRE</v>
      </c>
      <c r="E99" s="4">
        <f>INDEX(FPL_Raw_Data!$F:$F,MATCH(A99,FPL_Raw_Data!$AA:$AA,0))/10</f>
        <v>5.5</v>
      </c>
      <c r="F99" s="4" t="str">
        <f>tblPlayers[[#This Row],[status]]</f>
        <v>a</v>
      </c>
      <c r="G99" s="4" t="b">
        <f>tblPlayers[[#This Row],[can_select]]</f>
        <v>1</v>
      </c>
      <c r="H99">
        <f>IF(AND(Table8[[#This Row],[Availability Status]]="a",Table8[[#This Row],[Can Select]]=TRUE),1,0)</f>
        <v>1</v>
      </c>
      <c r="I99">
        <f>tblPlayers[minutes]</f>
        <v>267</v>
      </c>
      <c r="J99" s="2">
        <f>Table8[[#This Row],[Minutes]]/90</f>
        <v>2.9666666666666668</v>
      </c>
      <c r="K99" s="5">
        <f>IFERROR(Z99/(FIXTURE_ANALYSIS!$B$1-1),0)</f>
        <v>1</v>
      </c>
      <c r="L99">
        <f>tblPlayers[total_points]</f>
        <v>18</v>
      </c>
      <c r="M99">
        <f>tblPlayers[points_per_game]</f>
        <v>6</v>
      </c>
      <c r="N99">
        <f>tblPlayers[form]</f>
        <v>6</v>
      </c>
      <c r="O99">
        <f>tblPlayers[expected_goals]</f>
        <v>1.03</v>
      </c>
      <c r="P99">
        <f>tblPlayers[expected_assists]</f>
        <v>0.65</v>
      </c>
      <c r="Q99">
        <f>tblPlayers[expected_goal_involvements]</f>
        <v>1.68</v>
      </c>
      <c r="R99" s="2">
        <f t="shared" si="25"/>
        <v>6.0674157303370784</v>
      </c>
      <c r="S99" s="5">
        <f t="shared" si="26"/>
        <v>0.34719101123595508</v>
      </c>
      <c r="T99" s="5">
        <f t="shared" si="27"/>
        <v>0.21910112359550563</v>
      </c>
      <c r="U99" s="5">
        <f t="shared" si="28"/>
        <v>0.56629213483146068</v>
      </c>
      <c r="V99" s="3">
        <f t="shared" si="29"/>
        <v>3.2727272727272729</v>
      </c>
      <c r="W99" s="5">
        <f t="shared" si="30"/>
        <v>0.30545454545454542</v>
      </c>
      <c r="X99" s="5">
        <f>IFERROR(IF(OR($B99="MID",$B99="FWD"),INDEX(FIXTURE_ANALYSIS!$Q:$Q,MATCH($D99,FIXTURE_ANALYSIS!$A:$A,0)),INDEX(FIXTURE_ANALYSIS!$R:$R,MATCH($D99,FIXTURE_ANALYSIS!$A:$A,0))),1)</f>
        <v>1.1305622837370244</v>
      </c>
      <c r="Y99" s="5">
        <f t="shared" si="31"/>
        <v>1.1305622837370244</v>
      </c>
      <c r="Z99" s="8">
        <f>INDEX(FPL_Raw_Data!$T:$T,MATCH(A99,FPL_Raw_Data!$AA:$AA,0))</f>
        <v>3</v>
      </c>
      <c r="AA99" s="8">
        <f>INDEX(FPL_Raw_Data!$S:$S,MATCH(A99,FPL_Raw_Data!$AA:$AA,0))</f>
        <v>27</v>
      </c>
      <c r="AB99" s="2">
        <f t="shared" si="32"/>
        <v>1</v>
      </c>
      <c r="AC99" s="2">
        <f>INDEX(FPL_Raw_Data!$Q:$Q,MATCH(A99,FPL_Raw_Data!$AA:$AA,0))</f>
        <v>3</v>
      </c>
      <c r="AD99" s="8">
        <f>INDEX(FPL_Raw_Data!$R:$R,MATCH(A99,FPL_Raw_Data!$AA:$AA,0))</f>
        <v>70</v>
      </c>
      <c r="AE99" s="8">
        <f>INDEX(FPL_Raw_Data!$N:$N,MATCH(A99,FPL_Raw_Data!$AA:$AA,0))</f>
        <v>1</v>
      </c>
      <c r="AF99" s="8">
        <f>INDEX(FPL_Raw_Data!$L:$L,MATCH(A99,FPL_Raw_Data!$AA:$AA,0))</f>
        <v>1</v>
      </c>
      <c r="AG99" s="2">
        <f>INDEX(FPL_Raw_Data!$M:$M,MATCH(A99,FPL_Raw_Data!$AA:$AA,0))</f>
        <v>1</v>
      </c>
      <c r="AH99" s="2">
        <f t="shared" si="33"/>
        <v>1.7359550561797754</v>
      </c>
      <c r="AI99" s="2">
        <f t="shared" si="34"/>
        <v>0.65730337078651691</v>
      </c>
      <c r="AJ99" s="2">
        <f t="shared" si="35"/>
        <v>2</v>
      </c>
      <c r="AK99" s="2">
        <f t="shared" si="36"/>
        <v>2</v>
      </c>
      <c r="AL99" s="2">
        <f t="shared" si="37"/>
        <v>0.33333333333333331</v>
      </c>
      <c r="AM99" s="2">
        <f t="shared" si="38"/>
        <v>0.33333333333333331</v>
      </c>
      <c r="AN99" s="2">
        <f t="shared" si="39"/>
        <v>1</v>
      </c>
      <c r="AO99" s="3">
        <f t="shared" si="40"/>
        <v>82.1</v>
      </c>
      <c r="AP99">
        <f t="shared" si="41"/>
        <v>94.1</v>
      </c>
      <c r="AQ99">
        <f t="shared" si="42"/>
        <v>95.899999999999991</v>
      </c>
      <c r="AR99">
        <f t="shared" si="43"/>
        <v>98.8</v>
      </c>
      <c r="AS99" s="2">
        <f t="shared" si="44"/>
        <v>100</v>
      </c>
      <c r="AT99" s="2">
        <f>IFERROR(INDEX(Player_Model!$BC$2:$BC$596,MATCH($A99,Player_Model!$A$2:$A$596,0)),0)</f>
        <v>6.915737702154197</v>
      </c>
      <c r="AU99" s="2">
        <f>Table8[[#This Row],[Model Expected Points]]*Table8[[#This Row],[Fixture Adjustment]]</f>
        <v>7.8186722102736903</v>
      </c>
      <c r="AV99" s="2">
        <f>Table8[[#This Row],[Fixture Adjusted Points / 90]]/Table8[[#This Row],[Price]]</f>
        <v>1.4215767655043072</v>
      </c>
      <c r="AW99">
        <f t="shared" si="45"/>
        <v>88.1</v>
      </c>
      <c r="AX99">
        <f t="shared" si="46"/>
        <v>1</v>
      </c>
      <c r="AY99" s="2">
        <f t="shared" si="47"/>
        <v>100</v>
      </c>
      <c r="AZ99" s="5">
        <f t="shared" si="48"/>
        <v>1.1305622837370244</v>
      </c>
      <c r="BA99">
        <f>Table8[[#This Row],[Model Score2]]</f>
        <v>6.915737702154197</v>
      </c>
      <c r="BB99">
        <f>IFERROR(INDEX(Player_Model!$BG$2:$BG$596,MATCH($A99,Player_Model!$A$2:$A$596,0)),"")</f>
        <v>9</v>
      </c>
      <c r="BC99" t="str">
        <f t="shared" si="49"/>
        <v>CONSIDER</v>
      </c>
      <c r="BD99">
        <f>IF(H99=1,Table8[[#This Row],[Model Score]],-10000)</f>
        <v>6.915737702154197</v>
      </c>
      <c r="BE99">
        <f>IFERROR(INDEX(Player_Model!$BF$2:$BF$596,MATCH($A99,Player_Model!$A$2:$A$596,0)),"")</f>
        <v>22</v>
      </c>
      <c r="BF99">
        <f>IFERROR(INDEX(Player_Model!$BG$2:$BG$596,MATCH($A99,Player_Model!$A$2:$A$596,0)),"")</f>
        <v>9</v>
      </c>
      <c r="BG99">
        <f>IFERROR(INDEX(Player_Model!$BE$2:$BE$596,MATCH($A99,Player_Model!$A$2:$A$596,0)),0)</f>
        <v>6.915737702154197</v>
      </c>
    </row>
    <row r="100" spans="1:59" x14ac:dyDescent="0.25">
      <c r="A100" t="str">
        <f>tblPlayers[first_name]&amp;" "&amp;tblPlayers[second_name]</f>
        <v>Kristoffer Ajer</v>
      </c>
      <c r="B100" t="str">
        <f>_xlfn.SWITCH(tblPlayers[element_type],1,"GK",2,"DEF",3,"MID",4,"FWD")</f>
        <v>DEF</v>
      </c>
      <c r="C100">
        <f>tblPlayers[team]</f>
        <v>4</v>
      </c>
      <c r="D100" t="str">
        <f>INDEX(tblTeams[Column1.short_name],MATCH(C100,tblTeams[Column1.id],0))</f>
        <v>BRE</v>
      </c>
      <c r="E100" s="4">
        <f>INDEX(FPL_Raw_Data!$F:$F,MATCH(A100,FPL_Raw_Data!$AA:$AA,0))/10</f>
        <v>4.5</v>
      </c>
      <c r="F100" s="4" t="str">
        <f>tblPlayers[[#This Row],[status]]</f>
        <v>a</v>
      </c>
      <c r="G100" s="4" t="b">
        <f>tblPlayers[[#This Row],[can_select]]</f>
        <v>1</v>
      </c>
      <c r="H100">
        <f>IF(AND(Table8[[#This Row],[Availability Status]]="a",Table8[[#This Row],[Can Select]]=TRUE),1,0)</f>
        <v>1</v>
      </c>
      <c r="I100">
        <f>tblPlayers[minutes]</f>
        <v>270</v>
      </c>
      <c r="J100" s="2">
        <f>Table8[[#This Row],[Minutes]]/90</f>
        <v>3</v>
      </c>
      <c r="K100" s="5">
        <f>IFERROR(Z100/(FIXTURE_ANALYSIS!$B$1-1),0)</f>
        <v>1</v>
      </c>
      <c r="L100">
        <f>tblPlayers[total_points]</f>
        <v>13</v>
      </c>
      <c r="M100">
        <f>tblPlayers[points_per_game]</f>
        <v>4.3</v>
      </c>
      <c r="N100">
        <f>tblPlayers[form]</f>
        <v>4.3</v>
      </c>
      <c r="O100">
        <f>tblPlayers[expected_goals]</f>
        <v>0.11</v>
      </c>
      <c r="P100">
        <f>tblPlayers[expected_assists]</f>
        <v>0.03</v>
      </c>
      <c r="Q100">
        <f>tblPlayers[expected_goal_involvements]</f>
        <v>0.14000000000000001</v>
      </c>
      <c r="R100" s="2">
        <f t="shared" si="25"/>
        <v>4.333333333333333</v>
      </c>
      <c r="S100" s="5">
        <f t="shared" si="26"/>
        <v>3.6666666666666667E-2</v>
      </c>
      <c r="T100" s="5">
        <f t="shared" si="27"/>
        <v>9.9999999999999985E-3</v>
      </c>
      <c r="U100" s="5">
        <f t="shared" si="28"/>
        <v>4.6666666666666669E-2</v>
      </c>
      <c r="V100" s="3">
        <f t="shared" si="29"/>
        <v>2.8888888888888888</v>
      </c>
      <c r="W100" s="5">
        <f t="shared" si="30"/>
        <v>3.1111111111111114E-2</v>
      </c>
      <c r="X100" s="5">
        <f>IFERROR(IF(OR($B100="MID",$B100="FWD"),INDEX(FIXTURE_ANALYSIS!$Q:$Q,MATCH($D100,FIXTURE_ANALYSIS!$A:$A,0)),INDEX(FIXTURE_ANALYSIS!$R:$R,MATCH($D100,FIXTURE_ANALYSIS!$A:$A,0))),1)</f>
        <v>1.1250890990542559</v>
      </c>
      <c r="Y100" s="5">
        <f t="shared" si="31"/>
        <v>1.1250890990542559</v>
      </c>
      <c r="Z100" s="8">
        <f>INDEX(FPL_Raw_Data!$T:$T,MATCH(A100,FPL_Raw_Data!$AA:$AA,0))</f>
        <v>3</v>
      </c>
      <c r="AA100" s="8">
        <f>INDEX(FPL_Raw_Data!$S:$S,MATCH(A100,FPL_Raw_Data!$AA:$AA,0))</f>
        <v>32</v>
      </c>
      <c r="AB100" s="2">
        <f t="shared" si="32"/>
        <v>1</v>
      </c>
      <c r="AC100" s="2">
        <f>INDEX(FPL_Raw_Data!$Q:$Q,MATCH(A100,FPL_Raw_Data!$AA:$AA,0))</f>
        <v>0</v>
      </c>
      <c r="AD100" s="8">
        <f>INDEX(FPL_Raw_Data!$R:$R,MATCH(A100,FPL_Raw_Data!$AA:$AA,0))</f>
        <v>44</v>
      </c>
      <c r="AE100" s="8">
        <f>INDEX(FPL_Raw_Data!$N:$N,MATCH(A100,FPL_Raw_Data!$AA:$AA,0))</f>
        <v>1</v>
      </c>
      <c r="AF100" s="8">
        <f>INDEX(FPL_Raw_Data!$L:$L,MATCH(A100,FPL_Raw_Data!$AA:$AA,0))</f>
        <v>0</v>
      </c>
      <c r="AG100" s="2">
        <f>INDEX(FPL_Raw_Data!$M:$M,MATCH(A100,FPL_Raw_Data!$AA:$AA,0))</f>
        <v>0</v>
      </c>
      <c r="AH100" s="2">
        <f t="shared" si="33"/>
        <v>0.22</v>
      </c>
      <c r="AI100" s="2">
        <f t="shared" si="34"/>
        <v>2.9999999999999995E-2</v>
      </c>
      <c r="AJ100" s="2">
        <f t="shared" si="35"/>
        <v>2</v>
      </c>
      <c r="AK100" s="2">
        <f t="shared" si="36"/>
        <v>2</v>
      </c>
      <c r="AL100" s="2">
        <f t="shared" si="37"/>
        <v>0.33333333333333331</v>
      </c>
      <c r="AM100" s="2">
        <f t="shared" si="38"/>
        <v>1.3333333333333333</v>
      </c>
      <c r="AN100" s="2">
        <f t="shared" si="39"/>
        <v>0</v>
      </c>
      <c r="AO100" s="3">
        <f t="shared" si="40"/>
        <v>71.3</v>
      </c>
      <c r="AP100">
        <f t="shared" si="41"/>
        <v>60.4</v>
      </c>
      <c r="AQ100">
        <f t="shared" si="42"/>
        <v>94.1</v>
      </c>
      <c r="AR100">
        <f t="shared" si="43"/>
        <v>70.7</v>
      </c>
      <c r="AS100" s="2">
        <f t="shared" si="44"/>
        <v>100</v>
      </c>
      <c r="AT100" s="2">
        <f>IFERROR(INDEX(Player_Model!$BC$2:$BC$596,MATCH($A100,Player_Model!$A$2:$A$596,0)),0)</f>
        <v>6.078783028746102</v>
      </c>
      <c r="AU100" s="2">
        <f>Table8[[#This Row],[Model Expected Points]]*Table8[[#This Row],[Fixture Adjustment]]</f>
        <v>6.839172521158253</v>
      </c>
      <c r="AV100" s="2">
        <f>Table8[[#This Row],[Fixture Adjusted Points / 90]]/Table8[[#This Row],[Price]]</f>
        <v>1.5198161158129451</v>
      </c>
      <c r="AW100">
        <f t="shared" si="45"/>
        <v>60.4</v>
      </c>
      <c r="AX100">
        <f t="shared" si="46"/>
        <v>1.062544549527128</v>
      </c>
      <c r="AY100" s="2">
        <f t="shared" si="47"/>
        <v>100</v>
      </c>
      <c r="AZ100" s="5">
        <f t="shared" si="48"/>
        <v>1.1250890990542559</v>
      </c>
      <c r="BA100">
        <f>Table8[[#This Row],[Model Score2]]</f>
        <v>6.078783028746102</v>
      </c>
      <c r="BB100">
        <f>IFERROR(INDEX(Player_Model!$BG$2:$BG$596,MATCH($A100,Player_Model!$A$2:$A$596,0)),"")</f>
        <v>21</v>
      </c>
      <c r="BC100" t="str">
        <f t="shared" si="49"/>
        <v>AVOID</v>
      </c>
      <c r="BD100">
        <f>IF(H100=1,Table8[[#This Row],[Model Score]],-10000)</f>
        <v>6.078783028746102</v>
      </c>
      <c r="BE100">
        <f>IFERROR(INDEX(Player_Model!$BF$2:$BF$596,MATCH($A100,Player_Model!$A$2:$A$596,0)),"")</f>
        <v>42</v>
      </c>
      <c r="BF100">
        <f>IFERROR(INDEX(Player_Model!$BG$2:$BG$596,MATCH($A100,Player_Model!$A$2:$A$596,0)),"")</f>
        <v>21</v>
      </c>
      <c r="BG100">
        <f>IFERROR(INDEX(Player_Model!$BE$2:$BE$596,MATCH($A100,Player_Model!$A$2:$A$596,0)),0)</f>
        <v>6.078783028746102</v>
      </c>
    </row>
    <row r="101" spans="1:59" x14ac:dyDescent="0.25">
      <c r="A101" t="str">
        <f>tblPlayers[first_name]&amp;" "&amp;tblPlayers[second_name]</f>
        <v>Michael Kayode</v>
      </c>
      <c r="B101" t="str">
        <f>_xlfn.SWITCH(tblPlayers[element_type],1,"GK",2,"DEF",3,"MID",4,"FWD")</f>
        <v>DEF</v>
      </c>
      <c r="C101">
        <f>tblPlayers[team]</f>
        <v>4</v>
      </c>
      <c r="D101" t="str">
        <f>INDEX(tblTeams[Column1.short_name],MATCH(C101,tblTeams[Column1.id],0))</f>
        <v>BRE</v>
      </c>
      <c r="E101" s="4">
        <f>INDEX(FPL_Raw_Data!$F:$F,MATCH(A101,FPL_Raw_Data!$AA:$AA,0))/10</f>
        <v>4.5999999999999996</v>
      </c>
      <c r="F101" s="4" t="str">
        <f>tblPlayers[[#This Row],[status]]</f>
        <v>a</v>
      </c>
      <c r="G101" s="4" t="b">
        <f>tblPlayers[[#This Row],[can_select]]</f>
        <v>1</v>
      </c>
      <c r="H101">
        <f>IF(AND(Table8[[#This Row],[Availability Status]]="a",Table8[[#This Row],[Can Select]]=TRUE),1,0)</f>
        <v>1</v>
      </c>
      <c r="I101">
        <f>tblPlayers[minutes]</f>
        <v>207</v>
      </c>
      <c r="J101" s="2">
        <f>Table8[[#This Row],[Minutes]]/90</f>
        <v>2.2999999999999998</v>
      </c>
      <c r="K101" s="5">
        <f>IFERROR(Z101/(FIXTURE_ANALYSIS!$B$1-1),0)</f>
        <v>1</v>
      </c>
      <c r="L101">
        <f>tblPlayers[total_points]</f>
        <v>16</v>
      </c>
      <c r="M101">
        <f>tblPlayers[points_per_game]</f>
        <v>5.3</v>
      </c>
      <c r="N101">
        <f>tblPlayers[form]</f>
        <v>5.3</v>
      </c>
      <c r="O101">
        <f>tblPlayers[expected_goals]</f>
        <v>0.55000000000000004</v>
      </c>
      <c r="P101">
        <f>tblPlayers[expected_assists]</f>
        <v>0.21</v>
      </c>
      <c r="Q101">
        <f>tblPlayers[expected_goal_involvements]</f>
        <v>0.76</v>
      </c>
      <c r="R101" s="2">
        <f t="shared" si="25"/>
        <v>6.9565217391304346</v>
      </c>
      <c r="S101" s="5">
        <f t="shared" si="26"/>
        <v>0.2391304347826087</v>
      </c>
      <c r="T101" s="5">
        <f t="shared" si="27"/>
        <v>9.1304347826086957E-2</v>
      </c>
      <c r="U101" s="5">
        <f t="shared" si="28"/>
        <v>0.33043478260869563</v>
      </c>
      <c r="V101" s="3">
        <f t="shared" si="29"/>
        <v>3.4782608695652177</v>
      </c>
      <c r="W101" s="5">
        <f t="shared" si="30"/>
        <v>0.16521739130434784</v>
      </c>
      <c r="X101" s="5">
        <f>IFERROR(IF(OR($B101="MID",$B101="FWD"),INDEX(FIXTURE_ANALYSIS!$Q:$Q,MATCH($D101,FIXTURE_ANALYSIS!$A:$A,0)),INDEX(FIXTURE_ANALYSIS!$R:$R,MATCH($D101,FIXTURE_ANALYSIS!$A:$A,0))),1)</f>
        <v>1.1250890990542559</v>
      </c>
      <c r="Y101" s="5">
        <f t="shared" si="31"/>
        <v>1.1250890990542559</v>
      </c>
      <c r="Z101" s="8">
        <f>INDEX(FPL_Raw_Data!$T:$T,MATCH(A101,FPL_Raw_Data!$AA:$AA,0))</f>
        <v>3</v>
      </c>
      <c r="AA101" s="8">
        <f>INDEX(FPL_Raw_Data!$S:$S,MATCH(A101,FPL_Raw_Data!$AA:$AA,0))</f>
        <v>13</v>
      </c>
      <c r="AB101" s="2">
        <f t="shared" si="32"/>
        <v>1</v>
      </c>
      <c r="AC101" s="2">
        <f>INDEX(FPL_Raw_Data!$Q:$Q,MATCH(A101,FPL_Raw_Data!$AA:$AA,0))</f>
        <v>1</v>
      </c>
      <c r="AD101" s="8">
        <f>INDEX(FPL_Raw_Data!$R:$R,MATCH(A101,FPL_Raw_Data!$AA:$AA,0))</f>
        <v>47</v>
      </c>
      <c r="AE101" s="8">
        <f>INDEX(FPL_Raw_Data!$N:$N,MATCH(A101,FPL_Raw_Data!$AA:$AA,0))</f>
        <v>1</v>
      </c>
      <c r="AF101" s="8">
        <f>INDEX(FPL_Raw_Data!$L:$L,MATCH(A101,FPL_Raw_Data!$AA:$AA,0))</f>
        <v>1</v>
      </c>
      <c r="AG101" s="2">
        <f>INDEX(FPL_Raw_Data!$M:$M,MATCH(A101,FPL_Raw_Data!$AA:$AA,0))</f>
        <v>0</v>
      </c>
      <c r="AH101" s="2">
        <f t="shared" si="33"/>
        <v>1.4347826086956523</v>
      </c>
      <c r="AI101" s="2">
        <f t="shared" si="34"/>
        <v>0.27391304347826084</v>
      </c>
      <c r="AJ101" s="2">
        <f t="shared" si="35"/>
        <v>2</v>
      </c>
      <c r="AK101" s="2">
        <f t="shared" si="36"/>
        <v>2</v>
      </c>
      <c r="AL101" s="2">
        <f t="shared" si="37"/>
        <v>0.33333333333333331</v>
      </c>
      <c r="AM101" s="2">
        <f t="shared" si="38"/>
        <v>1.3333333333333333</v>
      </c>
      <c r="AN101" s="2">
        <f t="shared" si="39"/>
        <v>0.33333333333333331</v>
      </c>
      <c r="AO101" s="3">
        <f t="shared" si="40"/>
        <v>85.8</v>
      </c>
      <c r="AP101">
        <f t="shared" si="41"/>
        <v>85.6</v>
      </c>
      <c r="AQ101">
        <f t="shared" si="42"/>
        <v>96.399999999999991</v>
      </c>
      <c r="AR101">
        <f t="shared" si="43"/>
        <v>92.9</v>
      </c>
      <c r="AS101" s="2">
        <f t="shared" si="44"/>
        <v>100</v>
      </c>
      <c r="AT101" s="2">
        <f>IFERROR(INDEX(Player_Model!$BC$2:$BC$596,MATCH($A101,Player_Model!$A$2:$A$596,0)),0)</f>
        <v>6.1449654031770287</v>
      </c>
      <c r="AU101" s="2">
        <f>Table8[[#This Row],[Model Expected Points]]*Table8[[#This Row],[Fixture Adjustment]]</f>
        <v>6.9136335891800158</v>
      </c>
      <c r="AV101" s="2">
        <f>Table8[[#This Row],[Fixture Adjusted Points / 90]]/Table8[[#This Row],[Price]]</f>
        <v>1.5029638237347862</v>
      </c>
      <c r="AW101">
        <f t="shared" si="45"/>
        <v>85.6</v>
      </c>
      <c r="AX101">
        <f t="shared" si="46"/>
        <v>1.062544549527128</v>
      </c>
      <c r="AY101" s="2">
        <f t="shared" si="47"/>
        <v>100</v>
      </c>
      <c r="AZ101" s="5">
        <f t="shared" si="48"/>
        <v>1.1250890990542559</v>
      </c>
      <c r="BA101">
        <f>Table8[[#This Row],[Model Score2]]</f>
        <v>6.1449654031770287</v>
      </c>
      <c r="BB101">
        <f>IFERROR(INDEX(Player_Model!$BG$2:$BG$596,MATCH($A101,Player_Model!$A$2:$A$596,0)),"")</f>
        <v>19</v>
      </c>
      <c r="BC101" t="str">
        <f t="shared" si="49"/>
        <v>AVOID</v>
      </c>
      <c r="BD101">
        <f>IF(H101=1,Table8[[#This Row],[Model Score]],-10000)</f>
        <v>6.1449654031770287</v>
      </c>
      <c r="BE101">
        <f>IFERROR(INDEX(Player_Model!$BF$2:$BF$596,MATCH($A101,Player_Model!$A$2:$A$596,0)),"")</f>
        <v>40</v>
      </c>
      <c r="BF101">
        <f>IFERROR(INDEX(Player_Model!$BG$2:$BG$596,MATCH($A101,Player_Model!$A$2:$A$596,0)),"")</f>
        <v>19</v>
      </c>
      <c r="BG101">
        <f>IFERROR(INDEX(Player_Model!$BE$2:$BE$596,MATCH($A101,Player_Model!$A$2:$A$596,0)),0)</f>
        <v>6.1449654031770287</v>
      </c>
    </row>
    <row r="102" spans="1:59" x14ac:dyDescent="0.25">
      <c r="A102" t="str">
        <f>tblPlayers[first_name]&amp;" "&amp;tblPlayers[second_name]</f>
        <v>Rico Henry</v>
      </c>
      <c r="B102" t="str">
        <f>_xlfn.SWITCH(tblPlayers[element_type],1,"GK",2,"DEF",3,"MID",4,"FWD")</f>
        <v>DEF</v>
      </c>
      <c r="C102">
        <f>tblPlayers[team]</f>
        <v>4</v>
      </c>
      <c r="D102" t="str">
        <f>INDEX(tblTeams[Column1.short_name],MATCH(C102,tblTeams[Column1.id],0))</f>
        <v>BRE</v>
      </c>
      <c r="E102" s="4">
        <f>INDEX(FPL_Raw_Data!$F:$F,MATCH(A102,FPL_Raw_Data!$AA:$AA,0))/10</f>
        <v>4.5</v>
      </c>
      <c r="F102" s="4" t="str">
        <f>tblPlayers[[#This Row],[status]]</f>
        <v>a</v>
      </c>
      <c r="G102" s="4" t="b">
        <f>tblPlayers[[#This Row],[can_select]]</f>
        <v>1</v>
      </c>
      <c r="H102">
        <f>IF(AND(Table8[[#This Row],[Availability Status]]="a",Table8[[#This Row],[Can Select]]=TRUE),1,0)</f>
        <v>1</v>
      </c>
      <c r="I102">
        <f>tblPlayers[minutes]</f>
        <v>2</v>
      </c>
      <c r="J102" s="2">
        <f>Table8[[#This Row],[Minutes]]/90</f>
        <v>2.2222222222222223E-2</v>
      </c>
      <c r="K102" s="5">
        <f>IFERROR(Z102/(FIXTURE_ANALYSIS!$B$1-1),0)</f>
        <v>0</v>
      </c>
      <c r="L102">
        <f>tblPlayers[total_points]</f>
        <v>1</v>
      </c>
      <c r="M102">
        <f>tblPlayers[points_per_game]</f>
        <v>1</v>
      </c>
      <c r="N102">
        <f>tblPlayers[form]</f>
        <v>0.3</v>
      </c>
      <c r="O102">
        <f>tblPlayers[expected_goals]</f>
        <v>0</v>
      </c>
      <c r="P102">
        <f>tblPlayers[expected_assists]</f>
        <v>0</v>
      </c>
      <c r="Q102">
        <f>tblPlayers[expected_goal_involvements]</f>
        <v>0</v>
      </c>
      <c r="R102" s="2">
        <f t="shared" si="25"/>
        <v>45</v>
      </c>
      <c r="S102" s="5">
        <f t="shared" si="26"/>
        <v>0</v>
      </c>
      <c r="T102" s="5">
        <f t="shared" si="27"/>
        <v>0</v>
      </c>
      <c r="U102" s="5">
        <f t="shared" si="28"/>
        <v>0</v>
      </c>
      <c r="V102" s="3">
        <f t="shared" si="29"/>
        <v>0.22222222222222221</v>
      </c>
      <c r="W102" s="5">
        <f t="shared" si="30"/>
        <v>0</v>
      </c>
      <c r="X102" s="5">
        <f>IFERROR(IF(OR($B102="MID",$B102="FWD"),INDEX(FIXTURE_ANALYSIS!$Q:$Q,MATCH($D102,FIXTURE_ANALYSIS!$A:$A,0)),INDEX(FIXTURE_ANALYSIS!$R:$R,MATCH($D102,FIXTURE_ANALYSIS!$A:$A,0))),1)</f>
        <v>1.1250890990542559</v>
      </c>
      <c r="Y102" s="5">
        <f t="shared" si="31"/>
        <v>1.1250890990542559</v>
      </c>
      <c r="Z102" s="8">
        <f>INDEX(FPL_Raw_Data!$T:$T,MATCH(A102,FPL_Raw_Data!$AA:$AA,0))</f>
        <v>0</v>
      </c>
      <c r="AA102" s="8">
        <f>INDEX(FPL_Raw_Data!$S:$S,MATCH(A102,FPL_Raw_Data!$AA:$AA,0))</f>
        <v>0</v>
      </c>
      <c r="AB102" s="2">
        <f t="shared" si="32"/>
        <v>0</v>
      </c>
      <c r="AC102" s="2">
        <f>INDEX(FPL_Raw_Data!$Q:$Q,MATCH(A102,FPL_Raw_Data!$AA:$AA,0))</f>
        <v>0</v>
      </c>
      <c r="AD102" s="8">
        <f>INDEX(FPL_Raw_Data!$R:$R,MATCH(A102,FPL_Raw_Data!$AA:$AA,0))</f>
        <v>3</v>
      </c>
      <c r="AE102" s="8">
        <f>INDEX(FPL_Raw_Data!$N:$N,MATCH(A102,FPL_Raw_Data!$AA:$AA,0))</f>
        <v>0</v>
      </c>
      <c r="AF102" s="8">
        <f>INDEX(FPL_Raw_Data!$L:$L,MATCH(A102,FPL_Raw_Data!$AA:$AA,0))</f>
        <v>0</v>
      </c>
      <c r="AG102" s="2">
        <f>INDEX(FPL_Raw_Data!$M:$M,MATCH(A102,FPL_Raw_Data!$AA:$AA,0))</f>
        <v>0</v>
      </c>
      <c r="AH102" s="2">
        <f t="shared" si="33"/>
        <v>0</v>
      </c>
      <c r="AI102" s="2">
        <f t="shared" si="34"/>
        <v>0</v>
      </c>
      <c r="AJ102" s="2">
        <f t="shared" si="35"/>
        <v>0</v>
      </c>
      <c r="AK102" s="2">
        <f t="shared" si="36"/>
        <v>0</v>
      </c>
      <c r="AL102" s="2">
        <f t="shared" si="37"/>
        <v>0</v>
      </c>
      <c r="AM102" s="2">
        <f t="shared" si="38"/>
        <v>0</v>
      </c>
      <c r="AN102" s="2">
        <f t="shared" si="39"/>
        <v>0</v>
      </c>
      <c r="AO102" s="3">
        <f t="shared" si="40"/>
        <v>97.6</v>
      </c>
      <c r="AP102">
        <f t="shared" si="41"/>
        <v>0</v>
      </c>
      <c r="AQ102">
        <f t="shared" si="42"/>
        <v>47.8</v>
      </c>
      <c r="AR102">
        <f t="shared" si="43"/>
        <v>0</v>
      </c>
      <c r="AS102" s="2">
        <f t="shared" si="44"/>
        <v>0</v>
      </c>
      <c r="AT102" s="2">
        <f>IFERROR(INDEX(Player_Model!$BC$2:$BC$596,MATCH($A102,Player_Model!$A$2:$A$596,0)),0)</f>
        <v>-0.37502969968475197</v>
      </c>
      <c r="AU102" s="2">
        <f>Table8[[#This Row],[Model Expected Points]]*Table8[[#This Row],[Fixture Adjustment]]</f>
        <v>-0.42194182693690574</v>
      </c>
      <c r="AV102" s="2">
        <f>Table8[[#This Row],[Fixture Adjusted Points / 90]]/Table8[[#This Row],[Price]]</f>
        <v>-9.3764850430423499E-2</v>
      </c>
      <c r="AW102">
        <f t="shared" si="45"/>
        <v>0</v>
      </c>
      <c r="AX102">
        <f t="shared" si="46"/>
        <v>0.56254454952712796</v>
      </c>
      <c r="AY102" s="2">
        <f t="shared" si="47"/>
        <v>0</v>
      </c>
      <c r="AZ102" s="5">
        <f t="shared" si="48"/>
        <v>1.1250890990542559</v>
      </c>
      <c r="BA102">
        <f>Table8[[#This Row],[Model Score2]]</f>
        <v>-0.37502969968475197</v>
      </c>
      <c r="BB102">
        <f>IFERROR(INDEX(Player_Model!$BG$2:$BG$596,MATCH($A102,Player_Model!$A$2:$A$596,0)),"")</f>
        <v>109</v>
      </c>
      <c r="BC102" t="str">
        <f t="shared" si="49"/>
        <v>AVOID</v>
      </c>
      <c r="BD102">
        <f>IF(H102=1,Table8[[#This Row],[Model Score]],-10000)</f>
        <v>-0.37502969968475197</v>
      </c>
      <c r="BE102">
        <f>IFERROR(INDEX(Player_Model!$BF$2:$BF$596,MATCH($A102,Player_Model!$A$2:$A$596,0)),"")</f>
        <v>511</v>
      </c>
      <c r="BF102">
        <f>IFERROR(INDEX(Player_Model!$BG$2:$BG$596,MATCH($A102,Player_Model!$A$2:$A$596,0)),"")</f>
        <v>109</v>
      </c>
      <c r="BG102">
        <f>IFERROR(INDEX(Player_Model!$BE$2:$BE$596,MATCH($A102,Player_Model!$A$2:$A$596,0)),0)</f>
        <v>-0.37502969968475197</v>
      </c>
    </row>
    <row r="103" spans="1:59" x14ac:dyDescent="0.25">
      <c r="A103" t="str">
        <f>tblPlayers[first_name]&amp;" "&amp;tblPlayers[second_name]</f>
        <v>Aaron Hickey</v>
      </c>
      <c r="B103" t="str">
        <f>_xlfn.SWITCH(tblPlayers[element_type],1,"GK",2,"DEF",3,"MID",4,"FWD")</f>
        <v>DEF</v>
      </c>
      <c r="C103">
        <f>tblPlayers[team]</f>
        <v>4</v>
      </c>
      <c r="D103" t="str">
        <f>INDEX(tblTeams[Column1.short_name],MATCH(C103,tblTeams[Column1.id],0))</f>
        <v>BRE</v>
      </c>
      <c r="E103" s="4">
        <f>INDEX(FPL_Raw_Data!$F:$F,MATCH(A103,FPL_Raw_Data!$AA:$AA,0))/10</f>
        <v>4.5</v>
      </c>
      <c r="F103" s="4" t="str">
        <f>tblPlayers[[#This Row],[status]]</f>
        <v>a</v>
      </c>
      <c r="G103" s="4" t="b">
        <f>tblPlayers[[#This Row],[can_select]]</f>
        <v>1</v>
      </c>
      <c r="H103">
        <f>IF(AND(Table8[[#This Row],[Availability Status]]="a",Table8[[#This Row],[Can Select]]=TRUE),1,0)</f>
        <v>1</v>
      </c>
      <c r="I103">
        <f>tblPlayers[minutes]</f>
        <v>61</v>
      </c>
      <c r="J103" s="2">
        <f>Table8[[#This Row],[Minutes]]/90</f>
        <v>0.67777777777777781</v>
      </c>
      <c r="K103" s="5">
        <f>IFERROR(Z103/(FIXTURE_ANALYSIS!$B$1-1),0)</f>
        <v>0</v>
      </c>
      <c r="L103">
        <f>tblPlayers[total_points]</f>
        <v>3</v>
      </c>
      <c r="M103">
        <f>tblPlayers[points_per_game]</f>
        <v>1</v>
      </c>
      <c r="N103">
        <f>tblPlayers[form]</f>
        <v>1</v>
      </c>
      <c r="O103">
        <f>tblPlayers[expected_goals]</f>
        <v>0</v>
      </c>
      <c r="P103">
        <f>tblPlayers[expected_assists]</f>
        <v>0.02</v>
      </c>
      <c r="Q103">
        <f>tblPlayers[expected_goal_involvements]</f>
        <v>0.02</v>
      </c>
      <c r="R103" s="2">
        <f t="shared" si="25"/>
        <v>4.4262295081967213</v>
      </c>
      <c r="S103" s="5">
        <f t="shared" si="26"/>
        <v>0</v>
      </c>
      <c r="T103" s="5">
        <f t="shared" si="27"/>
        <v>2.9508196721311476E-2</v>
      </c>
      <c r="U103" s="5">
        <f t="shared" si="28"/>
        <v>2.9508196721311476E-2</v>
      </c>
      <c r="V103" s="3">
        <f t="shared" si="29"/>
        <v>0.66666666666666663</v>
      </c>
      <c r="W103" s="5">
        <f t="shared" si="30"/>
        <v>4.4444444444444444E-3</v>
      </c>
      <c r="X103" s="5">
        <f>IFERROR(IF(OR($B103="MID",$B103="FWD"),INDEX(FIXTURE_ANALYSIS!$Q:$Q,MATCH($D103,FIXTURE_ANALYSIS!$A:$A,0)),INDEX(FIXTURE_ANALYSIS!$R:$R,MATCH($D103,FIXTURE_ANALYSIS!$A:$A,0))),1)</f>
        <v>1.1250890990542559</v>
      </c>
      <c r="Y103" s="5">
        <f t="shared" si="31"/>
        <v>1.1250890990542559</v>
      </c>
      <c r="Z103" s="8">
        <f>INDEX(FPL_Raw_Data!$T:$T,MATCH(A103,FPL_Raw_Data!$AA:$AA,0))</f>
        <v>0</v>
      </c>
      <c r="AA103" s="8">
        <f>INDEX(FPL_Raw_Data!$S:$S,MATCH(A103,FPL_Raw_Data!$AA:$AA,0))</f>
        <v>6</v>
      </c>
      <c r="AB103" s="2">
        <f t="shared" si="32"/>
        <v>0.6</v>
      </c>
      <c r="AC103" s="2">
        <f>INDEX(FPL_Raw_Data!$Q:$Q,MATCH(A103,FPL_Raw_Data!$AA:$AA,0))</f>
        <v>0</v>
      </c>
      <c r="AD103" s="8">
        <f>INDEX(FPL_Raw_Data!$R:$R,MATCH(A103,FPL_Raw_Data!$AA:$AA,0))</f>
        <v>8</v>
      </c>
      <c r="AE103" s="8">
        <f>INDEX(FPL_Raw_Data!$N:$N,MATCH(A103,FPL_Raw_Data!$AA:$AA,0))</f>
        <v>0</v>
      </c>
      <c r="AF103" s="8">
        <f>INDEX(FPL_Raw_Data!$L:$L,MATCH(A103,FPL_Raw_Data!$AA:$AA,0))</f>
        <v>0</v>
      </c>
      <c r="AG103" s="2">
        <f>INDEX(FPL_Raw_Data!$M:$M,MATCH(A103,FPL_Raw_Data!$AA:$AA,0))</f>
        <v>0</v>
      </c>
      <c r="AH103" s="2">
        <f t="shared" si="33"/>
        <v>0</v>
      </c>
      <c r="AI103" s="2">
        <f t="shared" si="34"/>
        <v>8.8524590163934436E-2</v>
      </c>
      <c r="AJ103" s="2">
        <f t="shared" si="35"/>
        <v>0</v>
      </c>
      <c r="AK103" s="2">
        <f t="shared" si="36"/>
        <v>1.2</v>
      </c>
      <c r="AL103" s="2">
        <f t="shared" si="37"/>
        <v>0</v>
      </c>
      <c r="AM103" s="2">
        <f t="shared" si="38"/>
        <v>0</v>
      </c>
      <c r="AN103" s="2">
        <f t="shared" si="39"/>
        <v>0</v>
      </c>
      <c r="AO103" s="3">
        <f t="shared" si="40"/>
        <v>72.5</v>
      </c>
      <c r="AP103">
        <f t="shared" si="41"/>
        <v>57.499999999999993</v>
      </c>
      <c r="AQ103">
        <f t="shared" si="42"/>
        <v>62.2</v>
      </c>
      <c r="AR103">
        <f t="shared" si="43"/>
        <v>55.7</v>
      </c>
      <c r="AS103" s="2">
        <f t="shared" si="44"/>
        <v>0</v>
      </c>
      <c r="AT103" s="2">
        <f>IFERROR(INDEX(Player_Model!$BC$2:$BC$596,MATCH($A103,Player_Model!$A$2:$A$596,0)),0)</f>
        <v>-0.37502969968475197</v>
      </c>
      <c r="AU103" s="2">
        <f>Table8[[#This Row],[Model Expected Points]]*Table8[[#This Row],[Fixture Adjustment]]</f>
        <v>-0.42194182693690574</v>
      </c>
      <c r="AV103" s="2">
        <f>Table8[[#This Row],[Fixture Adjusted Points / 90]]/Table8[[#This Row],[Price]]</f>
        <v>-9.3764850430423499E-2</v>
      </c>
      <c r="AW103">
        <f t="shared" si="45"/>
        <v>57.499999999999993</v>
      </c>
      <c r="AX103">
        <f t="shared" si="46"/>
        <v>0.862544549527128</v>
      </c>
      <c r="AY103" s="2">
        <f t="shared" si="47"/>
        <v>0</v>
      </c>
      <c r="AZ103" s="5">
        <f t="shared" si="48"/>
        <v>1.1250890990542559</v>
      </c>
      <c r="BA103">
        <f>Table8[[#This Row],[Model Score2]]</f>
        <v>-0.37502969968475197</v>
      </c>
      <c r="BB103">
        <f>IFERROR(INDEX(Player_Model!$BG$2:$BG$596,MATCH($A103,Player_Model!$A$2:$A$596,0)),"")</f>
        <v>110</v>
      </c>
      <c r="BC103" t="str">
        <f t="shared" si="49"/>
        <v>AVOID</v>
      </c>
      <c r="BD103">
        <f>IF(H103=1,Table8[[#This Row],[Model Score]],-10000)</f>
        <v>-0.37502969968475197</v>
      </c>
      <c r="BE103">
        <f>IFERROR(INDEX(Player_Model!$BF$2:$BF$596,MATCH($A103,Player_Model!$A$2:$A$596,0)),"")</f>
        <v>511</v>
      </c>
      <c r="BF103">
        <f>IFERROR(INDEX(Player_Model!$BG$2:$BG$596,MATCH($A103,Player_Model!$A$2:$A$596,0)),"")</f>
        <v>110</v>
      </c>
      <c r="BG103">
        <f>IFERROR(INDEX(Player_Model!$BE$2:$BE$596,MATCH($A103,Player_Model!$A$2:$A$596,0)),0)</f>
        <v>-0.37502969968475197</v>
      </c>
    </row>
    <row r="104" spans="1:59" x14ac:dyDescent="0.25">
      <c r="A104" t="str">
        <f>tblPlayers[first_name]&amp;" "&amp;tblPlayers[second_name]</f>
        <v>Kim Ji-soo</v>
      </c>
      <c r="B104" t="str">
        <f>_xlfn.SWITCH(tblPlayers[element_type],1,"GK",2,"DEF",3,"MID",4,"FWD")</f>
        <v>DEF</v>
      </c>
      <c r="C104">
        <f>tblPlayers[team]</f>
        <v>4</v>
      </c>
      <c r="D104" t="str">
        <f>INDEX(tblTeams[Column1.short_name],MATCH(C104,tblTeams[Column1.id],0))</f>
        <v>BRE</v>
      </c>
      <c r="E104" s="4">
        <f>INDEX(FPL_Raw_Data!$F:$F,MATCH(A104,FPL_Raw_Data!$AA:$AA,0))/10</f>
        <v>4.5</v>
      </c>
      <c r="F104" s="4" t="str">
        <f>tblPlayers[[#This Row],[status]]</f>
        <v>a</v>
      </c>
      <c r="G104" s="4" t="b">
        <f>tblPlayers[[#This Row],[can_select]]</f>
        <v>1</v>
      </c>
      <c r="H104">
        <f>IF(AND(Table8[[#This Row],[Availability Status]]="a",Table8[[#This Row],[Can Select]]=TRUE),1,0)</f>
        <v>1</v>
      </c>
      <c r="I104">
        <f>tblPlayers[minutes]</f>
        <v>0</v>
      </c>
      <c r="J104" s="2">
        <f>Table8[[#This Row],[Minutes]]/90</f>
        <v>0</v>
      </c>
      <c r="K104" s="5">
        <f>IFERROR(Z104/(FIXTURE_ANALYSIS!$B$1-1),0)</f>
        <v>0</v>
      </c>
      <c r="L104">
        <f>tblPlayers[total_points]</f>
        <v>0</v>
      </c>
      <c r="M104">
        <f>tblPlayers[points_per_game]</f>
        <v>0</v>
      </c>
      <c r="N104">
        <f>tblPlayers[form]</f>
        <v>0</v>
      </c>
      <c r="O104">
        <f>tblPlayers[expected_goals]</f>
        <v>0</v>
      </c>
      <c r="P104">
        <f>tblPlayers[expected_assists]</f>
        <v>0</v>
      </c>
      <c r="Q104">
        <f>tblPlayers[expected_goal_involvements]</f>
        <v>0</v>
      </c>
      <c r="R104" s="2">
        <f t="shared" si="25"/>
        <v>0</v>
      </c>
      <c r="S104" s="5">
        <f t="shared" si="26"/>
        <v>0</v>
      </c>
      <c r="T104" s="5">
        <f t="shared" si="27"/>
        <v>0</v>
      </c>
      <c r="U104" s="5">
        <f t="shared" si="28"/>
        <v>0</v>
      </c>
      <c r="V104" s="3">
        <f t="shared" si="29"/>
        <v>0</v>
      </c>
      <c r="W104" s="5">
        <f t="shared" si="30"/>
        <v>0</v>
      </c>
      <c r="X104" s="5">
        <f>IFERROR(IF(OR($B104="MID",$B104="FWD"),INDEX(FIXTURE_ANALYSIS!$Q:$Q,MATCH($D104,FIXTURE_ANALYSIS!$A:$A,0)),INDEX(FIXTURE_ANALYSIS!$R:$R,MATCH($D104,FIXTURE_ANALYSIS!$A:$A,0))),1)</f>
        <v>1.1250890990542559</v>
      </c>
      <c r="Y104" s="5">
        <f t="shared" si="31"/>
        <v>1.1250890990542559</v>
      </c>
      <c r="Z104" s="8">
        <f>INDEX(FPL_Raw_Data!$T:$T,MATCH(A104,FPL_Raw_Data!$AA:$AA,0))</f>
        <v>0</v>
      </c>
      <c r="AA104" s="8">
        <f>INDEX(FPL_Raw_Data!$S:$S,MATCH(A104,FPL_Raw_Data!$AA:$AA,0))</f>
        <v>0</v>
      </c>
      <c r="AB104" s="2">
        <f t="shared" si="32"/>
        <v>0</v>
      </c>
      <c r="AC104" s="2">
        <f>INDEX(FPL_Raw_Data!$Q:$Q,MATCH(A104,FPL_Raw_Data!$AA:$AA,0))</f>
        <v>0</v>
      </c>
      <c r="AD104" s="8">
        <f>INDEX(FPL_Raw_Data!$R:$R,MATCH(A104,FPL_Raw_Data!$AA:$AA,0))</f>
        <v>0</v>
      </c>
      <c r="AE104" s="8">
        <f>INDEX(FPL_Raw_Data!$N:$N,MATCH(A104,FPL_Raw_Data!$AA:$AA,0))</f>
        <v>0</v>
      </c>
      <c r="AF104" s="8">
        <f>INDEX(FPL_Raw_Data!$L:$L,MATCH(A104,FPL_Raw_Data!$AA:$AA,0))</f>
        <v>0</v>
      </c>
      <c r="AG104" s="2">
        <f>INDEX(FPL_Raw_Data!$M:$M,MATCH(A104,FPL_Raw_Data!$AA:$AA,0))</f>
        <v>0</v>
      </c>
      <c r="AH104" s="2">
        <f t="shared" si="33"/>
        <v>0</v>
      </c>
      <c r="AI104" s="2">
        <f t="shared" si="34"/>
        <v>0</v>
      </c>
      <c r="AJ104" s="2">
        <f t="shared" si="35"/>
        <v>0</v>
      </c>
      <c r="AK104" s="2">
        <f t="shared" si="36"/>
        <v>0</v>
      </c>
      <c r="AL104" s="2">
        <f t="shared" si="37"/>
        <v>0</v>
      </c>
      <c r="AM104" s="2">
        <f t="shared" si="38"/>
        <v>0</v>
      </c>
      <c r="AN104" s="2">
        <f t="shared" si="39"/>
        <v>0</v>
      </c>
      <c r="AO104" s="3">
        <f t="shared" si="40"/>
        <v>0.1</v>
      </c>
      <c r="AP104">
        <f t="shared" si="41"/>
        <v>0</v>
      </c>
      <c r="AQ104">
        <f t="shared" si="42"/>
        <v>0.1</v>
      </c>
      <c r="AR104">
        <f t="shared" si="43"/>
        <v>0</v>
      </c>
      <c r="AS104" s="2">
        <f t="shared" si="44"/>
        <v>0</v>
      </c>
      <c r="AT104" s="2">
        <f>IFERROR(INDEX(Player_Model!$BC$2:$BC$596,MATCH($A104,Player_Model!$A$2:$A$596,0)),0)</f>
        <v>-0.37502969968475197</v>
      </c>
      <c r="AU104" s="2">
        <f>Table8[[#This Row],[Model Expected Points]]*Table8[[#This Row],[Fixture Adjustment]]</f>
        <v>-0.42194182693690574</v>
      </c>
      <c r="AV104" s="2">
        <f>Table8[[#This Row],[Fixture Adjusted Points / 90]]/Table8[[#This Row],[Price]]</f>
        <v>-9.3764850430423499E-2</v>
      </c>
      <c r="AW104">
        <f t="shared" si="45"/>
        <v>0</v>
      </c>
      <c r="AX104">
        <f t="shared" si="46"/>
        <v>0.56254454952712796</v>
      </c>
      <c r="AY104" s="2">
        <f t="shared" si="47"/>
        <v>0</v>
      </c>
      <c r="AZ104" s="5">
        <f t="shared" si="48"/>
        <v>1.1250890990542559</v>
      </c>
      <c r="BA104">
        <f>Table8[[#This Row],[Model Score2]]</f>
        <v>-0.37502969968475197</v>
      </c>
      <c r="BB104">
        <f>IFERROR(INDEX(Player_Model!$BG$2:$BG$596,MATCH($A104,Player_Model!$A$2:$A$596,0)),"")</f>
        <v>111</v>
      </c>
      <c r="BC104" t="str">
        <f t="shared" si="49"/>
        <v>AVOID</v>
      </c>
      <c r="BD104">
        <f>IF(H104=1,Table8[[#This Row],[Model Score]],-10000)</f>
        <v>-0.37502969968475197</v>
      </c>
      <c r="BE104">
        <f>IFERROR(INDEX(Player_Model!$BF$2:$BF$596,MATCH($A104,Player_Model!$A$2:$A$596,0)),"")</f>
        <v>511</v>
      </c>
      <c r="BF104">
        <f>IFERROR(INDEX(Player_Model!$BG$2:$BG$596,MATCH($A104,Player_Model!$A$2:$A$596,0)),"")</f>
        <v>111</v>
      </c>
      <c r="BG104">
        <f>IFERROR(INDEX(Player_Model!$BE$2:$BE$596,MATCH($A104,Player_Model!$A$2:$A$596,0)),0)</f>
        <v>-0.37502969968475197</v>
      </c>
    </row>
    <row r="105" spans="1:59" x14ac:dyDescent="0.25">
      <c r="A105" t="str">
        <f>tblPlayers[first_name]&amp;" "&amp;tblPlayers[second_name]</f>
        <v>Jannik Schuster</v>
      </c>
      <c r="B105" t="str">
        <f>_xlfn.SWITCH(tblPlayers[element_type],1,"GK",2,"DEF",3,"MID",4,"FWD")</f>
        <v>DEF</v>
      </c>
      <c r="C105">
        <f>tblPlayers[team]</f>
        <v>4</v>
      </c>
      <c r="D105" t="str">
        <f>INDEX(tblTeams[Column1.short_name],MATCH(C105,tblTeams[Column1.id],0))</f>
        <v>BRE</v>
      </c>
      <c r="E105" s="4">
        <f>INDEX(FPL_Raw_Data!$F:$F,MATCH(A105,FPL_Raw_Data!$AA:$AA,0))/10</f>
        <v>4.5</v>
      </c>
      <c r="F105" s="4" t="str">
        <f>tblPlayers[[#This Row],[status]]</f>
        <v>a</v>
      </c>
      <c r="G105" s="4" t="b">
        <f>tblPlayers[[#This Row],[can_select]]</f>
        <v>1</v>
      </c>
      <c r="H105">
        <f>IF(AND(Table8[[#This Row],[Availability Status]]="a",Table8[[#This Row],[Can Select]]=TRUE),1,0)</f>
        <v>1</v>
      </c>
      <c r="I105">
        <f>tblPlayers[minutes]</f>
        <v>73</v>
      </c>
      <c r="J105" s="2">
        <f>Table8[[#This Row],[Minutes]]/90</f>
        <v>0.81111111111111112</v>
      </c>
      <c r="K105" s="5">
        <f>IFERROR(Z105/(FIXTURE_ANALYSIS!$B$1-1),0)</f>
        <v>0</v>
      </c>
      <c r="L105">
        <f>tblPlayers[total_points]</f>
        <v>4</v>
      </c>
      <c r="M105">
        <f>tblPlayers[points_per_game]</f>
        <v>4</v>
      </c>
      <c r="N105">
        <f>tblPlayers[form]</f>
        <v>1.3</v>
      </c>
      <c r="O105">
        <f>tblPlayers[expected_goals]</f>
        <v>0.1</v>
      </c>
      <c r="P105">
        <f>tblPlayers[expected_assists]</f>
        <v>0.01</v>
      </c>
      <c r="Q105">
        <f>tblPlayers[expected_goal_involvements]</f>
        <v>0.11</v>
      </c>
      <c r="R105" s="2">
        <f t="shared" si="25"/>
        <v>4.9315068493150687</v>
      </c>
      <c r="S105" s="5">
        <f t="shared" si="26"/>
        <v>0.12328767123287672</v>
      </c>
      <c r="T105" s="5">
        <f t="shared" si="27"/>
        <v>1.2328767123287671E-2</v>
      </c>
      <c r="U105" s="5">
        <f t="shared" si="28"/>
        <v>0.13561643835616438</v>
      </c>
      <c r="V105" s="3">
        <f t="shared" si="29"/>
        <v>0.88888888888888884</v>
      </c>
      <c r="W105" s="5">
        <f t="shared" si="30"/>
        <v>2.4444444444444446E-2</v>
      </c>
      <c r="X105" s="5">
        <f>IFERROR(IF(OR($B105="MID",$B105="FWD"),INDEX(FIXTURE_ANALYSIS!$Q:$Q,MATCH($D105,FIXTURE_ANALYSIS!$A:$A,0)),INDEX(FIXTURE_ANALYSIS!$R:$R,MATCH($D105,FIXTURE_ANALYSIS!$A:$A,0))),1)</f>
        <v>1.1250890990542559</v>
      </c>
      <c r="Y105" s="5">
        <f t="shared" si="31"/>
        <v>1.1250890990542559</v>
      </c>
      <c r="Z105" s="8">
        <f>INDEX(FPL_Raw_Data!$T:$T,MATCH(A105,FPL_Raw_Data!$AA:$AA,0))</f>
        <v>0</v>
      </c>
      <c r="AA105" s="8">
        <f>INDEX(FPL_Raw_Data!$S:$S,MATCH(A105,FPL_Raw_Data!$AA:$AA,0))</f>
        <v>10</v>
      </c>
      <c r="AB105" s="2">
        <f t="shared" si="32"/>
        <v>1</v>
      </c>
      <c r="AC105" s="2">
        <f>INDEX(FPL_Raw_Data!$Q:$Q,MATCH(A105,FPL_Raw_Data!$AA:$AA,0))</f>
        <v>0</v>
      </c>
      <c r="AD105" s="8">
        <f>INDEX(FPL_Raw_Data!$R:$R,MATCH(A105,FPL_Raw_Data!$AA:$AA,0))</f>
        <v>11</v>
      </c>
      <c r="AE105" s="8">
        <f>INDEX(FPL_Raw_Data!$N:$N,MATCH(A105,FPL_Raw_Data!$AA:$AA,0))</f>
        <v>0</v>
      </c>
      <c r="AF105" s="8">
        <f>INDEX(FPL_Raw_Data!$L:$L,MATCH(A105,FPL_Raw_Data!$AA:$AA,0))</f>
        <v>0</v>
      </c>
      <c r="AG105" s="2">
        <f>INDEX(FPL_Raw_Data!$M:$M,MATCH(A105,FPL_Raw_Data!$AA:$AA,0))</f>
        <v>0</v>
      </c>
      <c r="AH105" s="2">
        <f t="shared" si="33"/>
        <v>0.73972602739726034</v>
      </c>
      <c r="AI105" s="2">
        <f t="shared" si="34"/>
        <v>3.6986301369863014E-2</v>
      </c>
      <c r="AJ105" s="2">
        <f t="shared" si="35"/>
        <v>0</v>
      </c>
      <c r="AK105" s="2">
        <f t="shared" si="36"/>
        <v>2</v>
      </c>
      <c r="AL105" s="2">
        <f t="shared" si="37"/>
        <v>0</v>
      </c>
      <c r="AM105" s="2">
        <f t="shared" si="38"/>
        <v>0</v>
      </c>
      <c r="AN105" s="2">
        <f t="shared" si="39"/>
        <v>0</v>
      </c>
      <c r="AO105" s="3">
        <f t="shared" si="40"/>
        <v>75</v>
      </c>
      <c r="AP105">
        <f t="shared" si="41"/>
        <v>71.3</v>
      </c>
      <c r="AQ105">
        <f t="shared" si="42"/>
        <v>66.600000000000009</v>
      </c>
      <c r="AR105">
        <f t="shared" si="43"/>
        <v>68.8</v>
      </c>
      <c r="AS105" s="2">
        <f t="shared" si="44"/>
        <v>0</v>
      </c>
      <c r="AT105" s="2">
        <f>IFERROR(INDEX(Player_Model!$BC$2:$BC$596,MATCH($A105,Player_Model!$A$2:$A$596,0)),0)</f>
        <v>-0.37502969968475197</v>
      </c>
      <c r="AU105" s="2">
        <f>Table8[[#This Row],[Model Expected Points]]*Table8[[#This Row],[Fixture Adjustment]]</f>
        <v>-0.42194182693690574</v>
      </c>
      <c r="AV105" s="2">
        <f>Table8[[#This Row],[Fixture Adjusted Points / 90]]/Table8[[#This Row],[Price]]</f>
        <v>-9.3764850430423499E-2</v>
      </c>
      <c r="AW105">
        <f t="shared" si="45"/>
        <v>71.3</v>
      </c>
      <c r="AX105">
        <f t="shared" si="46"/>
        <v>1.062544549527128</v>
      </c>
      <c r="AY105" s="2">
        <f t="shared" si="47"/>
        <v>0</v>
      </c>
      <c r="AZ105" s="5">
        <f t="shared" si="48"/>
        <v>1.1250890990542559</v>
      </c>
      <c r="BA105">
        <f>Table8[[#This Row],[Model Score2]]</f>
        <v>-0.37502969968475197</v>
      </c>
      <c r="BB105">
        <f>IFERROR(INDEX(Player_Model!$BG$2:$BG$596,MATCH($A105,Player_Model!$A$2:$A$596,0)),"")</f>
        <v>112</v>
      </c>
      <c r="BC105" t="str">
        <f t="shared" si="49"/>
        <v>AVOID</v>
      </c>
      <c r="BD105">
        <f>IF(H105=1,Table8[[#This Row],[Model Score]],-10000)</f>
        <v>-0.37502969968475197</v>
      </c>
      <c r="BE105">
        <f>IFERROR(INDEX(Player_Model!$BF$2:$BF$596,MATCH($A105,Player_Model!$A$2:$A$596,0)),"")</f>
        <v>511</v>
      </c>
      <c r="BF105">
        <f>IFERROR(INDEX(Player_Model!$BG$2:$BG$596,MATCH($A105,Player_Model!$A$2:$A$596,0)),"")</f>
        <v>112</v>
      </c>
      <c r="BG105">
        <f>IFERROR(INDEX(Player_Model!$BE$2:$BE$596,MATCH($A105,Player_Model!$A$2:$A$596,0)),0)</f>
        <v>-0.37502969968475197</v>
      </c>
    </row>
    <row r="106" spans="1:59" x14ac:dyDescent="0.25">
      <c r="A106" t="str">
        <f>tblPlayers[first_name]&amp;" "&amp;tblPlayers[second_name]</f>
        <v>Kevin Schade</v>
      </c>
      <c r="B106" t="str">
        <f>_xlfn.SWITCH(tblPlayers[element_type],1,"GK",2,"DEF",3,"MID",4,"FWD")</f>
        <v>MID</v>
      </c>
      <c r="C106">
        <f>tblPlayers[team]</f>
        <v>4</v>
      </c>
      <c r="D106" t="str">
        <f>INDEX(tblTeams[Column1.short_name],MATCH(C106,tblTeams[Column1.id],0))</f>
        <v>BRE</v>
      </c>
      <c r="E106" s="4">
        <f>INDEX(FPL_Raw_Data!$F:$F,MATCH(A106,FPL_Raw_Data!$AA:$AA,0))/10</f>
        <v>6</v>
      </c>
      <c r="F106" s="4" t="str">
        <f>tblPlayers[[#This Row],[status]]</f>
        <v>a</v>
      </c>
      <c r="G106" s="4" t="b">
        <f>tblPlayers[[#This Row],[can_select]]</f>
        <v>1</v>
      </c>
      <c r="H106">
        <f>IF(AND(Table8[[#This Row],[Availability Status]]="a",Table8[[#This Row],[Can Select]]=TRUE),1,0)</f>
        <v>1</v>
      </c>
      <c r="I106">
        <f>tblPlayers[minutes]</f>
        <v>267</v>
      </c>
      <c r="J106" s="2">
        <f>Table8[[#This Row],[Minutes]]/90</f>
        <v>2.9666666666666668</v>
      </c>
      <c r="K106" s="5">
        <f>IFERROR(Z106/(FIXTURE_ANALYSIS!$B$1-1),0)</f>
        <v>1</v>
      </c>
      <c r="L106">
        <f>tblPlayers[total_points]</f>
        <v>15</v>
      </c>
      <c r="M106">
        <f>tblPlayers[points_per_game]</f>
        <v>5</v>
      </c>
      <c r="N106">
        <f>tblPlayers[form]</f>
        <v>5</v>
      </c>
      <c r="O106">
        <f>tblPlayers[expected_goals]</f>
        <v>0.77</v>
      </c>
      <c r="P106">
        <f>tblPlayers[expected_assists]</f>
        <v>0.2</v>
      </c>
      <c r="Q106">
        <f>tblPlayers[expected_goal_involvements]</f>
        <v>0.97</v>
      </c>
      <c r="R106" s="2">
        <f t="shared" si="25"/>
        <v>5.0561797752808983</v>
      </c>
      <c r="S106" s="5">
        <f t="shared" si="26"/>
        <v>0.25955056179775282</v>
      </c>
      <c r="T106" s="5">
        <f t="shared" si="27"/>
        <v>6.741573033707865E-2</v>
      </c>
      <c r="U106" s="5">
        <f t="shared" si="28"/>
        <v>0.32696629213483147</v>
      </c>
      <c r="V106" s="3">
        <f t="shared" si="29"/>
        <v>2.5</v>
      </c>
      <c r="W106" s="5">
        <f t="shared" si="30"/>
        <v>0.16166666666666665</v>
      </c>
      <c r="X106" s="5">
        <f>IFERROR(IF(OR($B106="MID",$B106="FWD"),INDEX(FIXTURE_ANALYSIS!$Q:$Q,MATCH($D106,FIXTURE_ANALYSIS!$A:$A,0)),INDEX(FIXTURE_ANALYSIS!$R:$R,MATCH($D106,FIXTURE_ANALYSIS!$A:$A,0))),1)</f>
        <v>1.1305622837370244</v>
      </c>
      <c r="Y106" s="5">
        <f t="shared" si="31"/>
        <v>1.1305622837370244</v>
      </c>
      <c r="Z106" s="8">
        <f>INDEX(FPL_Raw_Data!$T:$T,MATCH(A106,FPL_Raw_Data!$AA:$AA,0))</f>
        <v>3</v>
      </c>
      <c r="AA106" s="8">
        <f>INDEX(FPL_Raw_Data!$S:$S,MATCH(A106,FPL_Raw_Data!$AA:$AA,0))</f>
        <v>23</v>
      </c>
      <c r="AB106" s="2">
        <f t="shared" si="32"/>
        <v>1</v>
      </c>
      <c r="AC106" s="2">
        <f>INDEX(FPL_Raw_Data!$Q:$Q,MATCH(A106,FPL_Raw_Data!$AA:$AA,0))</f>
        <v>3</v>
      </c>
      <c r="AD106" s="8">
        <f>INDEX(FPL_Raw_Data!$R:$R,MATCH(A106,FPL_Raw_Data!$AA:$AA,0))</f>
        <v>62</v>
      </c>
      <c r="AE106" s="8">
        <f>INDEX(FPL_Raw_Data!$N:$N,MATCH(A106,FPL_Raw_Data!$AA:$AA,0))</f>
        <v>1</v>
      </c>
      <c r="AF106" s="8">
        <f>INDEX(FPL_Raw_Data!$L:$L,MATCH(A106,FPL_Raw_Data!$AA:$AA,0))</f>
        <v>1</v>
      </c>
      <c r="AG106" s="2">
        <f>INDEX(FPL_Raw_Data!$M:$M,MATCH(A106,FPL_Raw_Data!$AA:$AA,0))</f>
        <v>0</v>
      </c>
      <c r="AH106" s="2">
        <f t="shared" si="33"/>
        <v>1.297752808988764</v>
      </c>
      <c r="AI106" s="2">
        <f t="shared" si="34"/>
        <v>0.20224719101123595</v>
      </c>
      <c r="AJ106" s="2">
        <f t="shared" si="35"/>
        <v>2</v>
      </c>
      <c r="AK106" s="2">
        <f t="shared" si="36"/>
        <v>2</v>
      </c>
      <c r="AL106" s="2">
        <f t="shared" si="37"/>
        <v>0.33333333333333331</v>
      </c>
      <c r="AM106" s="2">
        <f t="shared" si="38"/>
        <v>0.33333333333333331</v>
      </c>
      <c r="AN106" s="2">
        <f t="shared" si="39"/>
        <v>1</v>
      </c>
      <c r="AO106" s="3">
        <f t="shared" si="40"/>
        <v>76.5</v>
      </c>
      <c r="AP106">
        <f t="shared" si="41"/>
        <v>85.1</v>
      </c>
      <c r="AQ106">
        <f t="shared" si="42"/>
        <v>91.7</v>
      </c>
      <c r="AR106">
        <f t="shared" si="43"/>
        <v>92.4</v>
      </c>
      <c r="AS106" s="2">
        <f t="shared" si="44"/>
        <v>100</v>
      </c>
      <c r="AT106" s="2">
        <f>IFERROR(INDEX(Player_Model!$BC$2:$BC$596,MATCH($A106,Player_Model!$A$2:$A$596,0)),0)</f>
        <v>5.872707947870035</v>
      </c>
      <c r="AU106" s="2">
        <f>Table8[[#This Row],[Model Expected Points]]*Table8[[#This Row],[Fixture Adjustment]]</f>
        <v>6.639462109264521</v>
      </c>
      <c r="AV106" s="2">
        <f>Table8[[#This Row],[Fixture Adjusted Points / 90]]/Table8[[#This Row],[Price]]</f>
        <v>1.1065770182107535</v>
      </c>
      <c r="AW106">
        <f t="shared" si="45"/>
        <v>80.8</v>
      </c>
      <c r="AX106">
        <f t="shared" si="46"/>
        <v>1</v>
      </c>
      <c r="AY106" s="2">
        <f t="shared" si="47"/>
        <v>100</v>
      </c>
      <c r="AZ106" s="5">
        <f t="shared" si="48"/>
        <v>1.1305622837370244</v>
      </c>
      <c r="BA106">
        <f>Table8[[#This Row],[Model Score2]]</f>
        <v>5.872707947870035</v>
      </c>
      <c r="BB106">
        <f>IFERROR(INDEX(Player_Model!$BG$2:$BG$596,MATCH($A106,Player_Model!$A$2:$A$596,0)),"")</f>
        <v>21</v>
      </c>
      <c r="BC106" t="str">
        <f t="shared" si="49"/>
        <v>AVOID</v>
      </c>
      <c r="BD106">
        <f>IF(H106=1,Table8[[#This Row],[Model Score]],-10000)</f>
        <v>5.872707947870035</v>
      </c>
      <c r="BE106">
        <f>IFERROR(INDEX(Player_Model!$BF$2:$BF$596,MATCH($A106,Player_Model!$A$2:$A$596,0)),"")</f>
        <v>52</v>
      </c>
      <c r="BF106">
        <f>IFERROR(INDEX(Player_Model!$BG$2:$BG$596,MATCH($A106,Player_Model!$A$2:$A$596,0)),"")</f>
        <v>21</v>
      </c>
      <c r="BG106">
        <f>IFERROR(INDEX(Player_Model!$BE$2:$BE$596,MATCH($A106,Player_Model!$A$2:$A$596,0)),0)</f>
        <v>5.872707947870035</v>
      </c>
    </row>
    <row r="107" spans="1:59" x14ac:dyDescent="0.25">
      <c r="A107" t="str">
        <f>tblPlayers[first_name]&amp;" "&amp;tblPlayers[second_name]</f>
        <v>Dango Ouattara</v>
      </c>
      <c r="B107" t="str">
        <f>_xlfn.SWITCH(tblPlayers[element_type],1,"GK",2,"DEF",3,"MID",4,"FWD")</f>
        <v>MID</v>
      </c>
      <c r="C107">
        <f>tblPlayers[team]</f>
        <v>4</v>
      </c>
      <c r="D107" t="str">
        <f>INDEX(tblTeams[Column1.short_name],MATCH(C107,tblTeams[Column1.id],0))</f>
        <v>BRE</v>
      </c>
      <c r="E107" s="4">
        <f>INDEX(FPL_Raw_Data!$F:$F,MATCH(A107,FPL_Raw_Data!$AA:$AA,0))/10</f>
        <v>6.4</v>
      </c>
      <c r="F107" s="4" t="str">
        <f>tblPlayers[[#This Row],[status]]</f>
        <v>a</v>
      </c>
      <c r="G107" s="4" t="b">
        <f>tblPlayers[[#This Row],[can_select]]</f>
        <v>1</v>
      </c>
      <c r="H107">
        <f>IF(AND(Table8[[#This Row],[Availability Status]]="a",Table8[[#This Row],[Can Select]]=TRUE),1,0)</f>
        <v>1</v>
      </c>
      <c r="I107">
        <f>tblPlayers[minutes]</f>
        <v>140</v>
      </c>
      <c r="J107" s="2">
        <f>Table8[[#This Row],[Minutes]]/90</f>
        <v>1.5555555555555556</v>
      </c>
      <c r="K107" s="5">
        <f>IFERROR(Z107/(FIXTURE_ANALYSIS!$B$1-1),0)</f>
        <v>0.66666666666666663</v>
      </c>
      <c r="L107">
        <f>tblPlayers[total_points]</f>
        <v>5</v>
      </c>
      <c r="M107">
        <f>tblPlayers[points_per_game]</f>
        <v>1.7</v>
      </c>
      <c r="N107">
        <f>tblPlayers[form]</f>
        <v>1.7</v>
      </c>
      <c r="O107">
        <f>tblPlayers[expected_goals]</f>
        <v>7.0000000000000007E-2</v>
      </c>
      <c r="P107">
        <f>tblPlayers[expected_assists]</f>
        <v>0.38</v>
      </c>
      <c r="Q107">
        <f>tblPlayers[expected_goal_involvements]</f>
        <v>0.45</v>
      </c>
      <c r="R107" s="2">
        <f t="shared" si="25"/>
        <v>3.214285714285714</v>
      </c>
      <c r="S107" s="5">
        <f t="shared" si="26"/>
        <v>4.4999999999999998E-2</v>
      </c>
      <c r="T107" s="5">
        <f t="shared" si="27"/>
        <v>0.24428571428571427</v>
      </c>
      <c r="U107" s="5">
        <f t="shared" si="28"/>
        <v>0.28928571428571426</v>
      </c>
      <c r="V107" s="3">
        <f t="shared" si="29"/>
        <v>0.78125</v>
      </c>
      <c r="W107" s="5">
        <f t="shared" si="30"/>
        <v>7.03125E-2</v>
      </c>
      <c r="X107" s="5">
        <f>IFERROR(IF(OR($B107="MID",$B107="FWD"),INDEX(FIXTURE_ANALYSIS!$Q:$Q,MATCH($D107,FIXTURE_ANALYSIS!$A:$A,0)),INDEX(FIXTURE_ANALYSIS!$R:$R,MATCH($D107,FIXTURE_ANALYSIS!$A:$A,0))),1)</f>
        <v>1.1305622837370244</v>
      </c>
      <c r="Y107" s="5">
        <f t="shared" si="31"/>
        <v>1.1305622837370244</v>
      </c>
      <c r="Z107" s="8">
        <f>INDEX(FPL_Raw_Data!$T:$T,MATCH(A107,FPL_Raw_Data!$AA:$AA,0))</f>
        <v>2</v>
      </c>
      <c r="AA107" s="8">
        <f>INDEX(FPL_Raw_Data!$S:$S,MATCH(A107,FPL_Raw_Data!$AA:$AA,0))</f>
        <v>24</v>
      </c>
      <c r="AB107" s="2">
        <f t="shared" si="32"/>
        <v>1</v>
      </c>
      <c r="AC107" s="2">
        <f>INDEX(FPL_Raw_Data!$Q:$Q,MATCH(A107,FPL_Raw_Data!$AA:$AA,0))</f>
        <v>0</v>
      </c>
      <c r="AD107" s="8">
        <f>INDEX(FPL_Raw_Data!$R:$R,MATCH(A107,FPL_Raw_Data!$AA:$AA,0))</f>
        <v>28</v>
      </c>
      <c r="AE107" s="8">
        <f>INDEX(FPL_Raw_Data!$N:$N,MATCH(A107,FPL_Raw_Data!$AA:$AA,0))</f>
        <v>1</v>
      </c>
      <c r="AF107" s="8">
        <f>INDEX(FPL_Raw_Data!$L:$L,MATCH(A107,FPL_Raw_Data!$AA:$AA,0))</f>
        <v>0</v>
      </c>
      <c r="AG107" s="2">
        <f>INDEX(FPL_Raw_Data!$M:$M,MATCH(A107,FPL_Raw_Data!$AA:$AA,0))</f>
        <v>0</v>
      </c>
      <c r="AH107" s="2">
        <f t="shared" si="33"/>
        <v>0.22499999999999998</v>
      </c>
      <c r="AI107" s="2">
        <f t="shared" si="34"/>
        <v>0.73285714285714287</v>
      </c>
      <c r="AJ107" s="2">
        <f t="shared" si="35"/>
        <v>1.3333333333333333</v>
      </c>
      <c r="AK107" s="2">
        <f t="shared" si="36"/>
        <v>2</v>
      </c>
      <c r="AL107" s="2">
        <f t="shared" si="37"/>
        <v>0.5</v>
      </c>
      <c r="AM107" s="2">
        <f t="shared" si="38"/>
        <v>0.5</v>
      </c>
      <c r="AN107" s="2">
        <f t="shared" si="39"/>
        <v>0</v>
      </c>
      <c r="AO107" s="3">
        <f t="shared" si="40"/>
        <v>61.9</v>
      </c>
      <c r="AP107">
        <f t="shared" si="41"/>
        <v>82.899999999999991</v>
      </c>
      <c r="AQ107">
        <f t="shared" si="42"/>
        <v>65.100000000000009</v>
      </c>
      <c r="AR107">
        <f t="shared" si="43"/>
        <v>80.300000000000011</v>
      </c>
      <c r="AS107" s="2">
        <f t="shared" si="44"/>
        <v>66.666666666666657</v>
      </c>
      <c r="AT107" s="2">
        <f>IFERROR(INDEX(Player_Model!$BC$2:$BC$596,MATCH($A107,Player_Model!$A$2:$A$596,0)),0)</f>
        <v>7.4311304098396649</v>
      </c>
      <c r="AU107" s="2">
        <f>Table8[[#This Row],[Model Expected Points]]*Table8[[#This Row],[Fixture Adjustment]]</f>
        <v>8.401355766895982</v>
      </c>
      <c r="AV107" s="2">
        <f>Table8[[#This Row],[Fixture Adjusted Points / 90]]/Table8[[#This Row],[Price]]</f>
        <v>1.3127118385774972</v>
      </c>
      <c r="AW107">
        <f t="shared" si="45"/>
        <v>72.399999999999991</v>
      </c>
      <c r="AX107">
        <f t="shared" si="46"/>
        <v>1</v>
      </c>
      <c r="AY107" s="2">
        <f t="shared" si="47"/>
        <v>66.666666666666657</v>
      </c>
      <c r="AZ107" s="5">
        <f t="shared" si="48"/>
        <v>1.1305622837370244</v>
      </c>
      <c r="BA107">
        <f>Table8[[#This Row],[Model Score2]]</f>
        <v>7.4311304098396649</v>
      </c>
      <c r="BB107">
        <f>IFERROR(INDEX(Player_Model!$BG$2:$BG$596,MATCH($A107,Player_Model!$A$2:$A$596,0)),"")</f>
        <v>5</v>
      </c>
      <c r="BC107" t="str">
        <f t="shared" si="49"/>
        <v>STRONG PICK</v>
      </c>
      <c r="BD107">
        <f>IF(H107=1,Table8[[#This Row],[Model Score]],-10000)</f>
        <v>7.4311304098396649</v>
      </c>
      <c r="BE107">
        <f>IFERROR(INDEX(Player_Model!$BF$2:$BF$596,MATCH($A107,Player_Model!$A$2:$A$596,0)),"")</f>
        <v>15</v>
      </c>
      <c r="BF107">
        <f>IFERROR(INDEX(Player_Model!$BG$2:$BG$596,MATCH($A107,Player_Model!$A$2:$A$596,0)),"")</f>
        <v>5</v>
      </c>
      <c r="BG107">
        <f>IFERROR(INDEX(Player_Model!$BE$2:$BE$596,MATCH($A107,Player_Model!$A$2:$A$596,0)),0)</f>
        <v>7.4311304098396649</v>
      </c>
    </row>
    <row r="108" spans="1:59" x14ac:dyDescent="0.25">
      <c r="A108" t="str">
        <f>tblPlayers[first_name]&amp;" "&amp;tblPlayers[second_name]</f>
        <v>Mikkel Damsgaard</v>
      </c>
      <c r="B108" t="str">
        <f>_xlfn.SWITCH(tblPlayers[element_type],1,"GK",2,"DEF",3,"MID",4,"FWD")</f>
        <v>MID</v>
      </c>
      <c r="C108">
        <f>tblPlayers[team]</f>
        <v>4</v>
      </c>
      <c r="D108" t="str">
        <f>INDEX(tblTeams[Column1.short_name],MATCH(C108,tblTeams[Column1.id],0))</f>
        <v>BRE</v>
      </c>
      <c r="E108" s="4">
        <f>INDEX(FPL_Raw_Data!$F:$F,MATCH(A108,FPL_Raw_Data!$AA:$AA,0))/10</f>
        <v>5.5</v>
      </c>
      <c r="F108" s="4" t="str">
        <f>tblPlayers[[#This Row],[status]]</f>
        <v>a</v>
      </c>
      <c r="G108" s="4" t="b">
        <f>tblPlayers[[#This Row],[can_select]]</f>
        <v>1</v>
      </c>
      <c r="H108">
        <f>IF(AND(Table8[[#This Row],[Availability Status]]="a",Table8[[#This Row],[Can Select]]=TRUE),1,0)</f>
        <v>1</v>
      </c>
      <c r="I108">
        <f>tblPlayers[minutes]</f>
        <v>167</v>
      </c>
      <c r="J108" s="2">
        <f>Table8[[#This Row],[Minutes]]/90</f>
        <v>1.8555555555555556</v>
      </c>
      <c r="K108" s="5">
        <f>IFERROR(Z108/(FIXTURE_ANALYSIS!$B$1-1),0)</f>
        <v>0.66666666666666663</v>
      </c>
      <c r="L108">
        <f>tblPlayers[total_points]</f>
        <v>12</v>
      </c>
      <c r="M108">
        <f>tblPlayers[points_per_game]</f>
        <v>4</v>
      </c>
      <c r="N108">
        <f>tblPlayers[form]</f>
        <v>4</v>
      </c>
      <c r="O108">
        <f>tblPlayers[expected_goals]</f>
        <v>0.03</v>
      </c>
      <c r="P108">
        <f>tblPlayers[expected_assists]</f>
        <v>0.45</v>
      </c>
      <c r="Q108">
        <f>tblPlayers[expected_goal_involvements]</f>
        <v>0.48</v>
      </c>
      <c r="R108" s="2">
        <f t="shared" si="25"/>
        <v>6.4670658682634725</v>
      </c>
      <c r="S108" s="5">
        <f t="shared" si="26"/>
        <v>1.6167664670658683E-2</v>
      </c>
      <c r="T108" s="5">
        <f t="shared" si="27"/>
        <v>0.24251497005988024</v>
      </c>
      <c r="U108" s="5">
        <f t="shared" si="28"/>
        <v>0.25868263473053893</v>
      </c>
      <c r="V108" s="3">
        <f t="shared" si="29"/>
        <v>2.1818181818181817</v>
      </c>
      <c r="W108" s="5">
        <f t="shared" si="30"/>
        <v>8.7272727272727266E-2</v>
      </c>
      <c r="X108" s="5">
        <f>IFERROR(IF(OR($B108="MID",$B108="FWD"),INDEX(FIXTURE_ANALYSIS!$Q:$Q,MATCH($D108,FIXTURE_ANALYSIS!$A:$A,0)),INDEX(FIXTURE_ANALYSIS!$R:$R,MATCH($D108,FIXTURE_ANALYSIS!$A:$A,0))),1)</f>
        <v>1.1305622837370244</v>
      </c>
      <c r="Y108" s="5">
        <f t="shared" si="31"/>
        <v>1.1305622837370244</v>
      </c>
      <c r="Z108" s="8">
        <f>INDEX(FPL_Raw_Data!$T:$T,MATCH(A108,FPL_Raw_Data!$AA:$AA,0))</f>
        <v>2</v>
      </c>
      <c r="AA108" s="8">
        <f>INDEX(FPL_Raw_Data!$S:$S,MATCH(A108,FPL_Raw_Data!$AA:$AA,0))</f>
        <v>17</v>
      </c>
      <c r="AB108" s="2">
        <f t="shared" si="32"/>
        <v>1</v>
      </c>
      <c r="AC108" s="2">
        <f>INDEX(FPL_Raw_Data!$Q:$Q,MATCH(A108,FPL_Raw_Data!$AA:$AA,0))</f>
        <v>3</v>
      </c>
      <c r="AD108" s="8">
        <f>INDEX(FPL_Raw_Data!$R:$R,MATCH(A108,FPL_Raw_Data!$AA:$AA,0))</f>
        <v>56</v>
      </c>
      <c r="AE108" s="8">
        <f>INDEX(FPL_Raw_Data!$N:$N,MATCH(A108,FPL_Raw_Data!$AA:$AA,0))</f>
        <v>1</v>
      </c>
      <c r="AF108" s="8">
        <f>INDEX(FPL_Raw_Data!$L:$L,MATCH(A108,FPL_Raw_Data!$AA:$AA,0))</f>
        <v>0</v>
      </c>
      <c r="AG108" s="2">
        <f>INDEX(FPL_Raw_Data!$M:$M,MATCH(A108,FPL_Raw_Data!$AA:$AA,0))</f>
        <v>1</v>
      </c>
      <c r="AH108" s="2">
        <f t="shared" si="33"/>
        <v>8.0838323353293412E-2</v>
      </c>
      <c r="AI108" s="2">
        <f t="shared" si="34"/>
        <v>0.72754491017964074</v>
      </c>
      <c r="AJ108" s="2">
        <f t="shared" si="35"/>
        <v>1.3333333333333333</v>
      </c>
      <c r="AK108" s="2">
        <f t="shared" si="36"/>
        <v>2</v>
      </c>
      <c r="AL108" s="2">
        <f t="shared" si="37"/>
        <v>0.5</v>
      </c>
      <c r="AM108" s="2">
        <f t="shared" si="38"/>
        <v>0.5</v>
      </c>
      <c r="AN108" s="2">
        <f t="shared" si="39"/>
        <v>1.5</v>
      </c>
      <c r="AO108" s="3">
        <f t="shared" si="40"/>
        <v>83.8</v>
      </c>
      <c r="AP108">
        <f t="shared" si="41"/>
        <v>80.800000000000011</v>
      </c>
      <c r="AQ108">
        <f t="shared" si="42"/>
        <v>87.8</v>
      </c>
      <c r="AR108">
        <f t="shared" si="43"/>
        <v>82.899999999999991</v>
      </c>
      <c r="AS108" s="2">
        <f t="shared" si="44"/>
        <v>66.666666666666657</v>
      </c>
      <c r="AT108" s="2">
        <f>IFERROR(INDEX(Player_Model!$BC$2:$BC$596,MATCH($A108,Player_Model!$A$2:$A$596,0)),0)</f>
        <v>5.6220294779572253</v>
      </c>
      <c r="AU108" s="2">
        <f>Table8[[#This Row],[Model Expected Points]]*Table8[[#This Row],[Fixture Adjustment]]</f>
        <v>6.356054485836192</v>
      </c>
      <c r="AV108" s="2">
        <f>Table8[[#This Row],[Fixture Adjusted Points / 90]]/Table8[[#This Row],[Price]]</f>
        <v>1.1556462701520349</v>
      </c>
      <c r="AW108">
        <f t="shared" si="45"/>
        <v>82.300000000000011</v>
      </c>
      <c r="AX108">
        <f t="shared" si="46"/>
        <v>1</v>
      </c>
      <c r="AY108" s="2">
        <f t="shared" si="47"/>
        <v>66.666666666666657</v>
      </c>
      <c r="AZ108" s="5">
        <f t="shared" si="48"/>
        <v>1.1305622837370244</v>
      </c>
      <c r="BA108">
        <f>Table8[[#This Row],[Model Score2]]</f>
        <v>5.6220294779572253</v>
      </c>
      <c r="BB108">
        <f>IFERROR(INDEX(Player_Model!$BG$2:$BG$596,MATCH($A108,Player_Model!$A$2:$A$596,0)),"")</f>
        <v>25</v>
      </c>
      <c r="BC108" t="str">
        <f t="shared" si="49"/>
        <v>AVOID</v>
      </c>
      <c r="BD108">
        <f>IF(H108=1,Table8[[#This Row],[Model Score]],-10000)</f>
        <v>5.6220294779572253</v>
      </c>
      <c r="BE108">
        <f>IFERROR(INDEX(Player_Model!$BF$2:$BF$596,MATCH($A108,Player_Model!$A$2:$A$596,0)),"")</f>
        <v>59</v>
      </c>
      <c r="BF108">
        <f>IFERROR(INDEX(Player_Model!$BG$2:$BG$596,MATCH($A108,Player_Model!$A$2:$A$596,0)),"")</f>
        <v>25</v>
      </c>
      <c r="BG108">
        <f>IFERROR(INDEX(Player_Model!$BE$2:$BE$596,MATCH($A108,Player_Model!$A$2:$A$596,0)),0)</f>
        <v>5.6220294779572253</v>
      </c>
    </row>
    <row r="109" spans="1:59" x14ac:dyDescent="0.25">
      <c r="A109" t="str">
        <f>tblPlayers[first_name]&amp;" "&amp;tblPlayers[second_name]</f>
        <v>Mathias Jensen</v>
      </c>
      <c r="B109" t="str">
        <f>_xlfn.SWITCH(tblPlayers[element_type],1,"GK",2,"DEF",3,"MID",4,"FWD")</f>
        <v>MID</v>
      </c>
      <c r="C109">
        <f>tblPlayers[team]</f>
        <v>4</v>
      </c>
      <c r="D109" t="str">
        <f>INDEX(tblTeams[Column1.short_name],MATCH(C109,tblTeams[Column1.id],0))</f>
        <v>BRE</v>
      </c>
      <c r="E109" s="4">
        <f>INDEX(FPL_Raw_Data!$F:$F,MATCH(A109,FPL_Raw_Data!$AA:$AA,0))/10</f>
        <v>5.5</v>
      </c>
      <c r="F109" s="4" t="str">
        <f>tblPlayers[[#This Row],[status]]</f>
        <v>i</v>
      </c>
      <c r="G109" s="4" t="b">
        <f>tblPlayers[[#This Row],[can_select]]</f>
        <v>1</v>
      </c>
      <c r="H109">
        <f>IF(AND(Table8[[#This Row],[Availability Status]]="a",Table8[[#This Row],[Can Select]]=TRUE),1,0)</f>
        <v>0</v>
      </c>
      <c r="I109">
        <f>tblPlayers[minutes]</f>
        <v>66</v>
      </c>
      <c r="J109" s="2">
        <f>Table8[[#This Row],[Minutes]]/90</f>
        <v>0.73333333333333328</v>
      </c>
      <c r="K109" s="5">
        <f>IFERROR(Z109/(FIXTURE_ANALYSIS!$B$1-1),0)</f>
        <v>0.33333333333333331</v>
      </c>
      <c r="L109">
        <f>tblPlayers[total_points]</f>
        <v>6</v>
      </c>
      <c r="M109">
        <f>tblPlayers[points_per_game]</f>
        <v>6</v>
      </c>
      <c r="N109">
        <f>tblPlayers[form]</f>
        <v>2</v>
      </c>
      <c r="O109">
        <f>tblPlayers[expected_goals]</f>
        <v>0.08</v>
      </c>
      <c r="P109">
        <f>tblPlayers[expected_assists]</f>
        <v>0.34</v>
      </c>
      <c r="Q109">
        <f>tblPlayers[expected_goal_involvements]</f>
        <v>0.42</v>
      </c>
      <c r="R109" s="2">
        <f t="shared" si="25"/>
        <v>8.1818181818181817</v>
      </c>
      <c r="S109" s="5">
        <f t="shared" si="26"/>
        <v>0.10909090909090909</v>
      </c>
      <c r="T109" s="5">
        <f t="shared" si="27"/>
        <v>0.46363636363636368</v>
      </c>
      <c r="U109" s="5">
        <f t="shared" si="28"/>
        <v>0.57272727272727264</v>
      </c>
      <c r="V109" s="3">
        <f t="shared" si="29"/>
        <v>1.0909090909090908</v>
      </c>
      <c r="W109" s="5">
        <f t="shared" si="30"/>
        <v>7.6363636363636356E-2</v>
      </c>
      <c r="X109" s="5">
        <f>IFERROR(IF(OR($B109="MID",$B109="FWD"),INDEX(FIXTURE_ANALYSIS!$Q:$Q,MATCH($D109,FIXTURE_ANALYSIS!$A:$A,0)),INDEX(FIXTURE_ANALYSIS!$R:$R,MATCH($D109,FIXTURE_ANALYSIS!$A:$A,0))),1)</f>
        <v>1.1305622837370244</v>
      </c>
      <c r="Y109" s="5">
        <f t="shared" si="31"/>
        <v>1.1305622837370244</v>
      </c>
      <c r="Z109" s="8">
        <f>INDEX(FPL_Raw_Data!$T:$T,MATCH(A109,FPL_Raw_Data!$AA:$AA,0))</f>
        <v>1</v>
      </c>
      <c r="AA109" s="8">
        <f>INDEX(FPL_Raw_Data!$S:$S,MATCH(A109,FPL_Raw_Data!$AA:$AA,0))</f>
        <v>5</v>
      </c>
      <c r="AB109" s="2">
        <f t="shared" si="32"/>
        <v>0.41666666666666669</v>
      </c>
      <c r="AC109" s="2">
        <f>INDEX(FPL_Raw_Data!$Q:$Q,MATCH(A109,FPL_Raw_Data!$AA:$AA,0))</f>
        <v>0</v>
      </c>
      <c r="AD109" s="8">
        <f>INDEX(FPL_Raw_Data!$R:$R,MATCH(A109,FPL_Raw_Data!$AA:$AA,0))</f>
        <v>22</v>
      </c>
      <c r="AE109" s="8">
        <f>INDEX(FPL_Raw_Data!$N:$N,MATCH(A109,FPL_Raw_Data!$AA:$AA,0))</f>
        <v>1</v>
      </c>
      <c r="AF109" s="8">
        <f>INDEX(FPL_Raw_Data!$L:$L,MATCH(A109,FPL_Raw_Data!$AA:$AA,0))</f>
        <v>0</v>
      </c>
      <c r="AG109" s="2">
        <f>INDEX(FPL_Raw_Data!$M:$M,MATCH(A109,FPL_Raw_Data!$AA:$AA,0))</f>
        <v>1</v>
      </c>
      <c r="AH109" s="2">
        <f t="shared" si="33"/>
        <v>0.54545454545454541</v>
      </c>
      <c r="AI109" s="2">
        <f t="shared" si="34"/>
        <v>1.3909090909090911</v>
      </c>
      <c r="AJ109" s="2">
        <f t="shared" si="35"/>
        <v>0.66666666666666663</v>
      </c>
      <c r="AK109" s="2">
        <f t="shared" si="36"/>
        <v>0.83333333333333337</v>
      </c>
      <c r="AL109" s="2">
        <f t="shared" si="37"/>
        <v>1</v>
      </c>
      <c r="AM109" s="2">
        <f t="shared" si="38"/>
        <v>1</v>
      </c>
      <c r="AN109" s="2">
        <f t="shared" si="39"/>
        <v>0</v>
      </c>
      <c r="AO109" s="3">
        <f t="shared" si="40"/>
        <v>89.8</v>
      </c>
      <c r="AP109">
        <f t="shared" si="41"/>
        <v>94.199999999999989</v>
      </c>
      <c r="AQ109">
        <f t="shared" si="42"/>
        <v>70.199999999999989</v>
      </c>
      <c r="AR109">
        <f t="shared" si="43"/>
        <v>81.3</v>
      </c>
      <c r="AS109" s="2">
        <f t="shared" si="44"/>
        <v>33.333333333333329</v>
      </c>
      <c r="AT109" s="2">
        <f>IFERROR(INDEX(Player_Model!$BC$2:$BC$596,MATCH($A109,Player_Model!$A$2:$A$596,0)),0)</f>
        <v>5.9876103792980375</v>
      </c>
      <c r="AU109" s="2">
        <f>Table8[[#This Row],[Model Expected Points]]*Table8[[#This Row],[Fixture Adjustment]]</f>
        <v>6.7693664645467004</v>
      </c>
      <c r="AV109" s="2">
        <f>Table8[[#This Row],[Fixture Adjusted Points / 90]]/Table8[[#This Row],[Price]]</f>
        <v>1.2307939026448547</v>
      </c>
      <c r="AW109">
        <f t="shared" si="45"/>
        <v>92</v>
      </c>
      <c r="AX109">
        <f t="shared" si="46"/>
        <v>0.41666666666666669</v>
      </c>
      <c r="AY109" s="2">
        <f t="shared" si="47"/>
        <v>33.333333333333329</v>
      </c>
      <c r="AZ109" s="5">
        <f t="shared" si="48"/>
        <v>1.1305622837370244</v>
      </c>
      <c r="BA109">
        <f>Table8[[#This Row],[Model Score2]]</f>
        <v>5.9876103792980375</v>
      </c>
      <c r="BB109">
        <f>IFERROR(INDEX(Player_Model!$BG$2:$BG$596,MATCH($A109,Player_Model!$A$2:$A$596,0)),"")</f>
        <v>19</v>
      </c>
      <c r="BC109" t="str">
        <f t="shared" si="49"/>
        <v>AVOID</v>
      </c>
      <c r="BD109">
        <f>IF(H109=1,Table8[[#This Row],[Model Score]],-10000)</f>
        <v>-10000</v>
      </c>
      <c r="BE109">
        <f>IFERROR(INDEX(Player_Model!$BF$2:$BF$596,MATCH($A109,Player_Model!$A$2:$A$596,0)),"")</f>
        <v>47</v>
      </c>
      <c r="BF109">
        <f>IFERROR(INDEX(Player_Model!$BG$2:$BG$596,MATCH($A109,Player_Model!$A$2:$A$596,0)),"")</f>
        <v>19</v>
      </c>
      <c r="BG109">
        <f>IFERROR(INDEX(Player_Model!$BE$2:$BE$596,MATCH($A109,Player_Model!$A$2:$A$596,0)),0)</f>
        <v>5.9876103792980375</v>
      </c>
    </row>
    <row r="110" spans="1:59" x14ac:dyDescent="0.25">
      <c r="A110" t="str">
        <f>tblPlayers[first_name]&amp;" "&amp;tblPlayers[second_name]</f>
        <v>Vitaly Janelt</v>
      </c>
      <c r="B110" t="str">
        <f>_xlfn.SWITCH(tblPlayers[element_type],1,"GK",2,"DEF",3,"MID",4,"FWD")</f>
        <v>MID</v>
      </c>
      <c r="C110">
        <f>tblPlayers[team]</f>
        <v>4</v>
      </c>
      <c r="D110" t="str">
        <f>INDEX(tblTeams[Column1.short_name],MATCH(C110,tblTeams[Column1.id],0))</f>
        <v>BRE</v>
      </c>
      <c r="E110" s="4">
        <f>INDEX(FPL_Raw_Data!$F:$F,MATCH(A110,FPL_Raw_Data!$AA:$AA,0))/10</f>
        <v>5</v>
      </c>
      <c r="F110" s="4" t="str">
        <f>tblPlayers[[#This Row],[status]]</f>
        <v>a</v>
      </c>
      <c r="G110" s="4" t="b">
        <f>tblPlayers[[#This Row],[can_select]]</f>
        <v>1</v>
      </c>
      <c r="H110">
        <f>IF(AND(Table8[[#This Row],[Availability Status]]="a",Table8[[#This Row],[Can Select]]=TRUE),1,0)</f>
        <v>1</v>
      </c>
      <c r="I110">
        <f>tblPlayers[minutes]</f>
        <v>270</v>
      </c>
      <c r="J110" s="2">
        <f>Table8[[#This Row],[Minutes]]/90</f>
        <v>3</v>
      </c>
      <c r="K110" s="5">
        <f>IFERROR(Z110/(FIXTURE_ANALYSIS!$B$1-1),0)</f>
        <v>1</v>
      </c>
      <c r="L110">
        <f>tblPlayers[total_points]</f>
        <v>21</v>
      </c>
      <c r="M110">
        <f>tblPlayers[points_per_game]</f>
        <v>7</v>
      </c>
      <c r="N110">
        <f>tblPlayers[form]</f>
        <v>7</v>
      </c>
      <c r="O110">
        <f>tblPlayers[expected_goals]</f>
        <v>0.5</v>
      </c>
      <c r="P110">
        <f>tblPlayers[expected_assists]</f>
        <v>0.32</v>
      </c>
      <c r="Q110">
        <f>tblPlayers[expected_goal_involvements]</f>
        <v>0.82</v>
      </c>
      <c r="R110" s="2">
        <f t="shared" si="25"/>
        <v>7</v>
      </c>
      <c r="S110" s="5">
        <f t="shared" si="26"/>
        <v>0.16666666666666669</v>
      </c>
      <c r="T110" s="5">
        <f t="shared" si="27"/>
        <v>0.10666666666666666</v>
      </c>
      <c r="U110" s="5">
        <f t="shared" si="28"/>
        <v>0.27333333333333332</v>
      </c>
      <c r="V110" s="3">
        <f t="shared" si="29"/>
        <v>4.2</v>
      </c>
      <c r="W110" s="5">
        <f t="shared" si="30"/>
        <v>0.16399999999999998</v>
      </c>
      <c r="X110" s="5">
        <f>IFERROR(IF(OR($B110="MID",$B110="FWD"),INDEX(FIXTURE_ANALYSIS!$Q:$Q,MATCH($D110,FIXTURE_ANALYSIS!$A:$A,0)),INDEX(FIXTURE_ANALYSIS!$R:$R,MATCH($D110,FIXTURE_ANALYSIS!$A:$A,0))),1)</f>
        <v>1.1305622837370244</v>
      </c>
      <c r="Y110" s="5">
        <f t="shared" si="31"/>
        <v>1.1305622837370244</v>
      </c>
      <c r="Z110" s="8">
        <f>INDEX(FPL_Raw_Data!$T:$T,MATCH(A110,FPL_Raw_Data!$AA:$AA,0))</f>
        <v>3</v>
      </c>
      <c r="AA110" s="8">
        <f>INDEX(FPL_Raw_Data!$S:$S,MATCH(A110,FPL_Raw_Data!$AA:$AA,0))</f>
        <v>35</v>
      </c>
      <c r="AB110" s="2">
        <f t="shared" si="32"/>
        <v>1</v>
      </c>
      <c r="AC110" s="2">
        <f>INDEX(FPL_Raw_Data!$Q:$Q,MATCH(A110,FPL_Raw_Data!$AA:$AA,0))</f>
        <v>3</v>
      </c>
      <c r="AD110" s="8">
        <f>INDEX(FPL_Raw_Data!$R:$R,MATCH(A110,FPL_Raw_Data!$AA:$AA,0))</f>
        <v>76</v>
      </c>
      <c r="AE110" s="8">
        <f>INDEX(FPL_Raw_Data!$N:$N,MATCH(A110,FPL_Raw_Data!$AA:$AA,0))</f>
        <v>1</v>
      </c>
      <c r="AF110" s="8">
        <f>INDEX(FPL_Raw_Data!$L:$L,MATCH(A110,FPL_Raw_Data!$AA:$AA,0))</f>
        <v>2</v>
      </c>
      <c r="AG110" s="2">
        <f>INDEX(FPL_Raw_Data!$M:$M,MATCH(A110,FPL_Raw_Data!$AA:$AA,0))</f>
        <v>0</v>
      </c>
      <c r="AH110" s="2">
        <f t="shared" si="33"/>
        <v>0.83333333333333348</v>
      </c>
      <c r="AI110" s="2">
        <f t="shared" si="34"/>
        <v>0.31999999999999995</v>
      </c>
      <c r="AJ110" s="2">
        <f t="shared" si="35"/>
        <v>2</v>
      </c>
      <c r="AK110" s="2">
        <f t="shared" si="36"/>
        <v>2</v>
      </c>
      <c r="AL110" s="2">
        <f t="shared" si="37"/>
        <v>0.33333333333333331</v>
      </c>
      <c r="AM110" s="2">
        <f t="shared" si="38"/>
        <v>0.33333333333333331</v>
      </c>
      <c r="AN110" s="2">
        <f t="shared" si="39"/>
        <v>1</v>
      </c>
      <c r="AO110" s="3">
        <f t="shared" si="40"/>
        <v>86.1</v>
      </c>
      <c r="AP110">
        <f t="shared" si="41"/>
        <v>81.899999999999991</v>
      </c>
      <c r="AQ110">
        <f t="shared" si="42"/>
        <v>98.8</v>
      </c>
      <c r="AR110">
        <f t="shared" si="43"/>
        <v>92.7</v>
      </c>
      <c r="AS110" s="2">
        <f t="shared" si="44"/>
        <v>100</v>
      </c>
      <c r="AT110" s="2">
        <f>IFERROR(INDEX(Player_Model!$BC$2:$BC$596,MATCH($A110,Player_Model!$A$2:$A$596,0)),0)</f>
        <v>6.0767746869016097</v>
      </c>
      <c r="AU110" s="2">
        <f>Table8[[#This Row],[Model Expected Points]]*Table8[[#This Row],[Fixture Adjustment]]</f>
        <v>6.8701722677788251</v>
      </c>
      <c r="AV110" s="2">
        <f>Table8[[#This Row],[Fixture Adjusted Points / 90]]/Table8[[#This Row],[Price]]</f>
        <v>1.3740344535557649</v>
      </c>
      <c r="AW110">
        <f t="shared" si="45"/>
        <v>84</v>
      </c>
      <c r="AX110">
        <f t="shared" si="46"/>
        <v>1</v>
      </c>
      <c r="AY110" s="2">
        <f t="shared" si="47"/>
        <v>100</v>
      </c>
      <c r="AZ110" s="5">
        <f t="shared" si="48"/>
        <v>1.1305622837370244</v>
      </c>
      <c r="BA110">
        <f>Table8[[#This Row],[Model Score2]]</f>
        <v>6.0767746869016097</v>
      </c>
      <c r="BB110">
        <f>IFERROR(INDEX(Player_Model!$BG$2:$BG$596,MATCH($A110,Player_Model!$A$2:$A$596,0)),"")</f>
        <v>17</v>
      </c>
      <c r="BC110" t="str">
        <f t="shared" si="49"/>
        <v>AVOID</v>
      </c>
      <c r="BD110">
        <f>IF(H110=1,Table8[[#This Row],[Model Score]],-10000)</f>
        <v>6.0767746869016097</v>
      </c>
      <c r="BE110">
        <f>IFERROR(INDEX(Player_Model!$BF$2:$BF$596,MATCH($A110,Player_Model!$A$2:$A$596,0)),"")</f>
        <v>43</v>
      </c>
      <c r="BF110">
        <f>IFERROR(INDEX(Player_Model!$BG$2:$BG$596,MATCH($A110,Player_Model!$A$2:$A$596,0)),"")</f>
        <v>17</v>
      </c>
      <c r="BG110">
        <f>IFERROR(INDEX(Player_Model!$BE$2:$BE$596,MATCH($A110,Player_Model!$A$2:$A$596,0)),0)</f>
        <v>6.0767746869016097</v>
      </c>
    </row>
    <row r="111" spans="1:59" x14ac:dyDescent="0.25">
      <c r="A111" t="str">
        <f>tblPlayers[first_name]&amp;" "&amp;tblPlayers[second_name]</f>
        <v>Antoni Milambo</v>
      </c>
      <c r="B111" t="str">
        <f>_xlfn.SWITCH(tblPlayers[element_type],1,"GK",2,"DEF",3,"MID",4,"FWD")</f>
        <v>MID</v>
      </c>
      <c r="C111">
        <f>tblPlayers[team]</f>
        <v>4</v>
      </c>
      <c r="D111" t="str">
        <f>INDEX(tblTeams[Column1.short_name],MATCH(C111,tblTeams[Column1.id],0))</f>
        <v>BRE</v>
      </c>
      <c r="E111" s="4">
        <f>INDEX(FPL_Raw_Data!$F:$F,MATCH(A111,FPL_Raw_Data!$AA:$AA,0))/10</f>
        <v>5</v>
      </c>
      <c r="F111" s="4" t="str">
        <f>tblPlayers[[#This Row],[status]]</f>
        <v>i</v>
      </c>
      <c r="G111" s="4" t="b">
        <f>tblPlayers[[#This Row],[can_select]]</f>
        <v>1</v>
      </c>
      <c r="H111">
        <f>IF(AND(Table8[[#This Row],[Availability Status]]="a",Table8[[#This Row],[Can Select]]=TRUE),1,0)</f>
        <v>0</v>
      </c>
      <c r="I111">
        <f>tblPlayers[minutes]</f>
        <v>0</v>
      </c>
      <c r="J111" s="2">
        <f>Table8[[#This Row],[Minutes]]/90</f>
        <v>0</v>
      </c>
      <c r="K111" s="5">
        <f>IFERROR(Z111/(FIXTURE_ANALYSIS!$B$1-1),0)</f>
        <v>0</v>
      </c>
      <c r="L111">
        <f>tblPlayers[total_points]</f>
        <v>0</v>
      </c>
      <c r="M111">
        <f>tblPlayers[points_per_game]</f>
        <v>0</v>
      </c>
      <c r="N111">
        <f>tblPlayers[form]</f>
        <v>0</v>
      </c>
      <c r="O111">
        <f>tblPlayers[expected_goals]</f>
        <v>0</v>
      </c>
      <c r="P111">
        <f>tblPlayers[expected_assists]</f>
        <v>0</v>
      </c>
      <c r="Q111">
        <f>tblPlayers[expected_goal_involvements]</f>
        <v>0</v>
      </c>
      <c r="R111" s="2">
        <f t="shared" si="25"/>
        <v>0</v>
      </c>
      <c r="S111" s="5">
        <f t="shared" si="26"/>
        <v>0</v>
      </c>
      <c r="T111" s="5">
        <f t="shared" si="27"/>
        <v>0</v>
      </c>
      <c r="U111" s="5">
        <f t="shared" si="28"/>
        <v>0</v>
      </c>
      <c r="V111" s="3">
        <f t="shared" si="29"/>
        <v>0</v>
      </c>
      <c r="W111" s="5">
        <f t="shared" si="30"/>
        <v>0</v>
      </c>
      <c r="X111" s="5">
        <f>IFERROR(IF(OR($B111="MID",$B111="FWD"),INDEX(FIXTURE_ANALYSIS!$Q:$Q,MATCH($D111,FIXTURE_ANALYSIS!$A:$A,0)),INDEX(FIXTURE_ANALYSIS!$R:$R,MATCH($D111,FIXTURE_ANALYSIS!$A:$A,0))),1)</f>
        <v>1.1305622837370244</v>
      </c>
      <c r="Y111" s="5">
        <f t="shared" si="31"/>
        <v>1.1305622837370244</v>
      </c>
      <c r="Z111" s="8">
        <f>INDEX(FPL_Raw_Data!$T:$T,MATCH(A111,FPL_Raw_Data!$AA:$AA,0))</f>
        <v>0</v>
      </c>
      <c r="AA111" s="8">
        <f>INDEX(FPL_Raw_Data!$S:$S,MATCH(A111,FPL_Raw_Data!$AA:$AA,0))</f>
        <v>0</v>
      </c>
      <c r="AB111" s="2">
        <f t="shared" si="32"/>
        <v>0</v>
      </c>
      <c r="AC111" s="2">
        <f>INDEX(FPL_Raw_Data!$Q:$Q,MATCH(A111,FPL_Raw_Data!$AA:$AA,0))</f>
        <v>0</v>
      </c>
      <c r="AD111" s="8">
        <f>INDEX(FPL_Raw_Data!$R:$R,MATCH(A111,FPL_Raw_Data!$AA:$AA,0))</f>
        <v>0</v>
      </c>
      <c r="AE111" s="8">
        <f>INDEX(FPL_Raw_Data!$N:$N,MATCH(A111,FPL_Raw_Data!$AA:$AA,0))</f>
        <v>0</v>
      </c>
      <c r="AF111" s="8">
        <f>INDEX(FPL_Raw_Data!$L:$L,MATCH(A111,FPL_Raw_Data!$AA:$AA,0))</f>
        <v>0</v>
      </c>
      <c r="AG111" s="2">
        <f>INDEX(FPL_Raw_Data!$M:$M,MATCH(A111,FPL_Raw_Data!$AA:$AA,0))</f>
        <v>0</v>
      </c>
      <c r="AH111" s="2">
        <f t="shared" si="33"/>
        <v>0</v>
      </c>
      <c r="AI111" s="2">
        <f t="shared" si="34"/>
        <v>0</v>
      </c>
      <c r="AJ111" s="2">
        <f t="shared" si="35"/>
        <v>0</v>
      </c>
      <c r="AK111" s="2">
        <f t="shared" si="36"/>
        <v>0</v>
      </c>
      <c r="AL111" s="2">
        <f t="shared" si="37"/>
        <v>0</v>
      </c>
      <c r="AM111" s="2">
        <f t="shared" si="38"/>
        <v>0</v>
      </c>
      <c r="AN111" s="2">
        <f t="shared" si="39"/>
        <v>0</v>
      </c>
      <c r="AO111" s="3">
        <f t="shared" si="40"/>
        <v>0.1</v>
      </c>
      <c r="AP111">
        <f t="shared" si="41"/>
        <v>0</v>
      </c>
      <c r="AQ111">
        <f t="shared" si="42"/>
        <v>0.1</v>
      </c>
      <c r="AR111">
        <f t="shared" si="43"/>
        <v>0</v>
      </c>
      <c r="AS111" s="2">
        <f t="shared" si="44"/>
        <v>0</v>
      </c>
      <c r="AT111" s="2">
        <f>IFERROR(INDEX(Player_Model!$BC$2:$BC$596,MATCH($A111,Player_Model!$A$2:$A$596,0)),0)</f>
        <v>0</v>
      </c>
      <c r="AU111" s="2">
        <f>Table8[[#This Row],[Model Expected Points]]*Table8[[#This Row],[Fixture Adjustment]]</f>
        <v>0</v>
      </c>
      <c r="AV111" s="2">
        <f>Table8[[#This Row],[Fixture Adjusted Points / 90]]/Table8[[#This Row],[Price]]</f>
        <v>0</v>
      </c>
      <c r="AW111">
        <f t="shared" si="45"/>
        <v>0.05</v>
      </c>
      <c r="AX111">
        <f t="shared" si="46"/>
        <v>0</v>
      </c>
      <c r="AY111" s="2">
        <f t="shared" si="47"/>
        <v>0</v>
      </c>
      <c r="AZ111" s="5">
        <f t="shared" si="48"/>
        <v>1.1305622837370244</v>
      </c>
      <c r="BA111">
        <f>Table8[[#This Row],[Model Score2]]</f>
        <v>0</v>
      </c>
      <c r="BB111">
        <f>IFERROR(INDEX(Player_Model!$BG$2:$BG$596,MATCH($A111,Player_Model!$A$2:$A$596,0)),"")</f>
        <v>138</v>
      </c>
      <c r="BC111" t="str">
        <f t="shared" si="49"/>
        <v>AVOID</v>
      </c>
      <c r="BD111">
        <f>IF(H111=1,Table8[[#This Row],[Model Score]],-10000)</f>
        <v>-10000</v>
      </c>
      <c r="BE111">
        <f>IFERROR(INDEX(Player_Model!$BF$2:$BF$596,MATCH($A111,Player_Model!$A$2:$A$596,0)),"")</f>
        <v>253</v>
      </c>
      <c r="BF111">
        <f>IFERROR(INDEX(Player_Model!$BG$2:$BG$596,MATCH($A111,Player_Model!$A$2:$A$596,0)),"")</f>
        <v>138</v>
      </c>
      <c r="BG111">
        <f>IFERROR(INDEX(Player_Model!$BE$2:$BE$596,MATCH($A111,Player_Model!$A$2:$A$596,0)),0)</f>
        <v>0</v>
      </c>
    </row>
    <row r="112" spans="1:59" x14ac:dyDescent="0.25">
      <c r="A112" t="str">
        <f>tblPlayers[first_name]&amp;" "&amp;tblPlayers[second_name]</f>
        <v>Fábio Freitas Gouveia Carvalho</v>
      </c>
      <c r="B112" t="str">
        <f>_xlfn.SWITCH(tblPlayers[element_type],1,"GK",2,"DEF",3,"MID",4,"FWD")</f>
        <v>MID</v>
      </c>
      <c r="C112">
        <f>tblPlayers[team]</f>
        <v>4</v>
      </c>
      <c r="D112" t="str">
        <f>INDEX(tblTeams[Column1.short_name],MATCH(C112,tblTeams[Column1.id],0))</f>
        <v>BRE</v>
      </c>
      <c r="E112" s="4">
        <f>INDEX(FPL_Raw_Data!$F:$F,MATCH(A112,FPL_Raw_Data!$AA:$AA,0))/10</f>
        <v>5</v>
      </c>
      <c r="F112" s="4" t="str">
        <f>tblPlayers[[#This Row],[status]]</f>
        <v>a</v>
      </c>
      <c r="G112" s="4" t="b">
        <f>tblPlayers[[#This Row],[can_select]]</f>
        <v>1</v>
      </c>
      <c r="H112">
        <f>IF(AND(Table8[[#This Row],[Availability Status]]="a",Table8[[#This Row],[Can Select]]=TRUE),1,0)</f>
        <v>1</v>
      </c>
      <c r="I112">
        <f>tblPlayers[minutes]</f>
        <v>0</v>
      </c>
      <c r="J112" s="2">
        <f>Table8[[#This Row],[Minutes]]/90</f>
        <v>0</v>
      </c>
      <c r="K112" s="5">
        <f>IFERROR(Z112/(FIXTURE_ANALYSIS!$B$1-1),0)</f>
        <v>0</v>
      </c>
      <c r="L112">
        <f>tblPlayers[total_points]</f>
        <v>0</v>
      </c>
      <c r="M112">
        <f>tblPlayers[points_per_game]</f>
        <v>0</v>
      </c>
      <c r="N112">
        <f>tblPlayers[form]</f>
        <v>0</v>
      </c>
      <c r="O112">
        <f>tblPlayers[expected_goals]</f>
        <v>0</v>
      </c>
      <c r="P112">
        <f>tblPlayers[expected_assists]</f>
        <v>0</v>
      </c>
      <c r="Q112">
        <f>tblPlayers[expected_goal_involvements]</f>
        <v>0</v>
      </c>
      <c r="R112" s="2">
        <f t="shared" si="25"/>
        <v>0</v>
      </c>
      <c r="S112" s="5">
        <f t="shared" si="26"/>
        <v>0</v>
      </c>
      <c r="T112" s="5">
        <f t="shared" si="27"/>
        <v>0</v>
      </c>
      <c r="U112" s="5">
        <f t="shared" si="28"/>
        <v>0</v>
      </c>
      <c r="V112" s="3">
        <f t="shared" si="29"/>
        <v>0</v>
      </c>
      <c r="W112" s="5">
        <f t="shared" si="30"/>
        <v>0</v>
      </c>
      <c r="X112" s="5">
        <f>IFERROR(IF(OR($B112="MID",$B112="FWD"),INDEX(FIXTURE_ANALYSIS!$Q:$Q,MATCH($D112,FIXTURE_ANALYSIS!$A:$A,0)),INDEX(FIXTURE_ANALYSIS!$R:$R,MATCH($D112,FIXTURE_ANALYSIS!$A:$A,0))),1)</f>
        <v>1.1305622837370244</v>
      </c>
      <c r="Y112" s="5">
        <f t="shared" si="31"/>
        <v>1.1305622837370244</v>
      </c>
      <c r="Z112" s="8">
        <f>INDEX(FPL_Raw_Data!$T:$T,MATCH(A112,FPL_Raw_Data!$AA:$AA,0))</f>
        <v>0</v>
      </c>
      <c r="AA112" s="8">
        <f>INDEX(FPL_Raw_Data!$S:$S,MATCH(A112,FPL_Raw_Data!$AA:$AA,0))</f>
        <v>0</v>
      </c>
      <c r="AB112" s="2">
        <f t="shared" si="32"/>
        <v>0</v>
      </c>
      <c r="AC112" s="2">
        <f>INDEX(FPL_Raw_Data!$Q:$Q,MATCH(A112,FPL_Raw_Data!$AA:$AA,0))</f>
        <v>0</v>
      </c>
      <c r="AD112" s="8">
        <f>INDEX(FPL_Raw_Data!$R:$R,MATCH(A112,FPL_Raw_Data!$AA:$AA,0))</f>
        <v>0</v>
      </c>
      <c r="AE112" s="8">
        <f>INDEX(FPL_Raw_Data!$N:$N,MATCH(A112,FPL_Raw_Data!$AA:$AA,0))</f>
        <v>0</v>
      </c>
      <c r="AF112" s="8">
        <f>INDEX(FPL_Raw_Data!$L:$L,MATCH(A112,FPL_Raw_Data!$AA:$AA,0))</f>
        <v>0</v>
      </c>
      <c r="AG112" s="2">
        <f>INDEX(FPL_Raw_Data!$M:$M,MATCH(A112,FPL_Raw_Data!$AA:$AA,0))</f>
        <v>0</v>
      </c>
      <c r="AH112" s="2">
        <f t="shared" si="33"/>
        <v>0</v>
      </c>
      <c r="AI112" s="2">
        <f t="shared" si="34"/>
        <v>0</v>
      </c>
      <c r="AJ112" s="2">
        <f t="shared" si="35"/>
        <v>0</v>
      </c>
      <c r="AK112" s="2">
        <f t="shared" si="36"/>
        <v>0</v>
      </c>
      <c r="AL112" s="2">
        <f t="shared" si="37"/>
        <v>0</v>
      </c>
      <c r="AM112" s="2">
        <f t="shared" si="38"/>
        <v>0</v>
      </c>
      <c r="AN112" s="2">
        <f t="shared" si="39"/>
        <v>0</v>
      </c>
      <c r="AO112" s="3">
        <f t="shared" si="40"/>
        <v>0.1</v>
      </c>
      <c r="AP112">
        <f t="shared" si="41"/>
        <v>0</v>
      </c>
      <c r="AQ112">
        <f t="shared" si="42"/>
        <v>0.1</v>
      </c>
      <c r="AR112">
        <f t="shared" si="43"/>
        <v>0</v>
      </c>
      <c r="AS112" s="2">
        <f t="shared" si="44"/>
        <v>0</v>
      </c>
      <c r="AT112" s="2">
        <f>IFERROR(INDEX(Player_Model!$BC$2:$BC$596,MATCH($A112,Player_Model!$A$2:$A$596,0)),0)</f>
        <v>0</v>
      </c>
      <c r="AU112" s="2">
        <f>Table8[[#This Row],[Model Expected Points]]*Table8[[#This Row],[Fixture Adjustment]]</f>
        <v>0</v>
      </c>
      <c r="AV112" s="2">
        <f>Table8[[#This Row],[Fixture Adjusted Points / 90]]/Table8[[#This Row],[Price]]</f>
        <v>0</v>
      </c>
      <c r="AW112">
        <f t="shared" si="45"/>
        <v>0.05</v>
      </c>
      <c r="AX112">
        <f t="shared" si="46"/>
        <v>0</v>
      </c>
      <c r="AY112" s="2">
        <f t="shared" si="47"/>
        <v>0</v>
      </c>
      <c r="AZ112" s="5">
        <f t="shared" si="48"/>
        <v>1.1305622837370244</v>
      </c>
      <c r="BA112">
        <f>Table8[[#This Row],[Model Score2]]</f>
        <v>0</v>
      </c>
      <c r="BB112">
        <f>IFERROR(INDEX(Player_Model!$BG$2:$BG$596,MATCH($A112,Player_Model!$A$2:$A$596,0)),"")</f>
        <v>139</v>
      </c>
      <c r="BC112" t="str">
        <f t="shared" si="49"/>
        <v>AVOID</v>
      </c>
      <c r="BD112">
        <f>IF(H112=1,Table8[[#This Row],[Model Score]],-10000)</f>
        <v>0</v>
      </c>
      <c r="BE112">
        <f>IFERROR(INDEX(Player_Model!$BF$2:$BF$596,MATCH($A112,Player_Model!$A$2:$A$596,0)),"")</f>
        <v>253</v>
      </c>
      <c r="BF112">
        <f>IFERROR(INDEX(Player_Model!$BG$2:$BG$596,MATCH($A112,Player_Model!$A$2:$A$596,0)),"")</f>
        <v>139</v>
      </c>
      <c r="BG112">
        <f>IFERROR(INDEX(Player_Model!$BE$2:$BE$596,MATCH($A112,Player_Model!$A$2:$A$596,0)),0)</f>
        <v>0</v>
      </c>
    </row>
    <row r="113" spans="1:59" x14ac:dyDescent="0.25">
      <c r="A113" t="str">
        <f>tblPlayers[first_name]&amp;" "&amp;tblPlayers[second_name]</f>
        <v>Yehor Yarmoliuk</v>
      </c>
      <c r="B113" t="str">
        <f>_xlfn.SWITCH(tblPlayers[element_type],1,"GK",2,"DEF",3,"MID",4,"FWD")</f>
        <v>MID</v>
      </c>
      <c r="C113">
        <f>tblPlayers[team]</f>
        <v>4</v>
      </c>
      <c r="D113" t="str">
        <f>INDEX(tblTeams[Column1.short_name],MATCH(C113,tblTeams[Column1.id],0))</f>
        <v>BRE</v>
      </c>
      <c r="E113" s="4">
        <f>INDEX(FPL_Raw_Data!$F:$F,MATCH(A113,FPL_Raw_Data!$AA:$AA,0))/10</f>
        <v>4.9000000000000004</v>
      </c>
      <c r="F113" s="4" t="str">
        <f>tblPlayers[[#This Row],[status]]</f>
        <v>a</v>
      </c>
      <c r="G113" s="4" t="b">
        <f>tblPlayers[[#This Row],[can_select]]</f>
        <v>1</v>
      </c>
      <c r="H113">
        <f>IF(AND(Table8[[#This Row],[Availability Status]]="a",Table8[[#This Row],[Can Select]]=TRUE),1,0)</f>
        <v>1</v>
      </c>
      <c r="I113">
        <f>tblPlayers[minutes]</f>
        <v>89</v>
      </c>
      <c r="J113" s="2">
        <f>Table8[[#This Row],[Minutes]]/90</f>
        <v>0.98888888888888893</v>
      </c>
      <c r="K113" s="5">
        <f>IFERROR(Z113/(FIXTURE_ANALYSIS!$B$1-1),0)</f>
        <v>0</v>
      </c>
      <c r="L113">
        <f>tblPlayers[total_points]</f>
        <v>2</v>
      </c>
      <c r="M113">
        <f>tblPlayers[points_per_game]</f>
        <v>0.7</v>
      </c>
      <c r="N113">
        <f>tblPlayers[form]</f>
        <v>0.7</v>
      </c>
      <c r="O113">
        <f>tblPlayers[expected_goals]</f>
        <v>7.0000000000000007E-2</v>
      </c>
      <c r="P113">
        <f>tblPlayers[expected_assists]</f>
        <v>0.03</v>
      </c>
      <c r="Q113">
        <f>tblPlayers[expected_goal_involvements]</f>
        <v>0.1</v>
      </c>
      <c r="R113" s="2">
        <f t="shared" si="25"/>
        <v>2.0224719101123596</v>
      </c>
      <c r="S113" s="5">
        <f t="shared" si="26"/>
        <v>7.0786516853932599E-2</v>
      </c>
      <c r="T113" s="5">
        <f t="shared" si="27"/>
        <v>3.0337078651685393E-2</v>
      </c>
      <c r="U113" s="5">
        <f t="shared" si="28"/>
        <v>0.10112359550561799</v>
      </c>
      <c r="V113" s="3">
        <f t="shared" si="29"/>
        <v>0.4081632653061224</v>
      </c>
      <c r="W113" s="5">
        <f t="shared" si="30"/>
        <v>2.0408163265306121E-2</v>
      </c>
      <c r="X113" s="5">
        <f>IFERROR(IF(OR($B113="MID",$B113="FWD"),INDEX(FIXTURE_ANALYSIS!$Q:$Q,MATCH($D113,FIXTURE_ANALYSIS!$A:$A,0)),INDEX(FIXTURE_ANALYSIS!$R:$R,MATCH($D113,FIXTURE_ANALYSIS!$A:$A,0))),1)</f>
        <v>1.1305622837370244</v>
      </c>
      <c r="Y113" s="5">
        <f t="shared" si="31"/>
        <v>1.1305622837370244</v>
      </c>
      <c r="Z113" s="8">
        <f>INDEX(FPL_Raw_Data!$T:$T,MATCH(A113,FPL_Raw_Data!$AA:$AA,0))</f>
        <v>0</v>
      </c>
      <c r="AA113" s="8">
        <f>INDEX(FPL_Raw_Data!$S:$S,MATCH(A113,FPL_Raw_Data!$AA:$AA,0))</f>
        <v>11</v>
      </c>
      <c r="AB113" s="2">
        <f t="shared" si="32"/>
        <v>0.91666666666666663</v>
      </c>
      <c r="AC113" s="2">
        <f>INDEX(FPL_Raw_Data!$Q:$Q,MATCH(A113,FPL_Raw_Data!$AA:$AA,0))</f>
        <v>0</v>
      </c>
      <c r="AD113" s="8">
        <f>INDEX(FPL_Raw_Data!$R:$R,MATCH(A113,FPL_Raw_Data!$AA:$AA,0))</f>
        <v>12</v>
      </c>
      <c r="AE113" s="8">
        <f>INDEX(FPL_Raw_Data!$N:$N,MATCH(A113,FPL_Raw_Data!$AA:$AA,0))</f>
        <v>0</v>
      </c>
      <c r="AF113" s="8">
        <f>INDEX(FPL_Raw_Data!$L:$L,MATCH(A113,FPL_Raw_Data!$AA:$AA,0))</f>
        <v>0</v>
      </c>
      <c r="AG113" s="2">
        <f>INDEX(FPL_Raw_Data!$M:$M,MATCH(A113,FPL_Raw_Data!$AA:$AA,0))</f>
        <v>0</v>
      </c>
      <c r="AH113" s="2">
        <f t="shared" si="33"/>
        <v>0.35393258426966301</v>
      </c>
      <c r="AI113" s="2">
        <f t="shared" si="34"/>
        <v>9.1011235955056183E-2</v>
      </c>
      <c r="AJ113" s="2">
        <f t="shared" si="35"/>
        <v>0</v>
      </c>
      <c r="AK113" s="2">
        <f t="shared" si="36"/>
        <v>1.8333333333333333</v>
      </c>
      <c r="AL113" s="2">
        <f t="shared" si="37"/>
        <v>0</v>
      </c>
      <c r="AM113" s="2">
        <f t="shared" si="38"/>
        <v>0</v>
      </c>
      <c r="AN113" s="2">
        <f t="shared" si="39"/>
        <v>0</v>
      </c>
      <c r="AO113" s="3">
        <f t="shared" si="40"/>
        <v>48.1</v>
      </c>
      <c r="AP113">
        <f t="shared" si="41"/>
        <v>68.100000000000009</v>
      </c>
      <c r="AQ113">
        <f t="shared" si="42"/>
        <v>54.800000000000004</v>
      </c>
      <c r="AR113">
        <f t="shared" si="43"/>
        <v>66.600000000000009</v>
      </c>
      <c r="AS113" s="2">
        <f t="shared" si="44"/>
        <v>0</v>
      </c>
      <c r="AT113" s="2">
        <f>IFERROR(INDEX(Player_Model!$BC$2:$BC$596,MATCH($A113,Player_Model!$A$2:$A$596,0)),0)</f>
        <v>0</v>
      </c>
      <c r="AU113" s="2">
        <f>Table8[[#This Row],[Model Expected Points]]*Table8[[#This Row],[Fixture Adjustment]]</f>
        <v>0</v>
      </c>
      <c r="AV113" s="2">
        <f>Table8[[#This Row],[Fixture Adjusted Points / 90]]/Table8[[#This Row],[Price]]</f>
        <v>0</v>
      </c>
      <c r="AW113">
        <f t="shared" si="45"/>
        <v>58.100000000000009</v>
      </c>
      <c r="AX113">
        <f t="shared" si="46"/>
        <v>0.91666666666666663</v>
      </c>
      <c r="AY113" s="2">
        <f t="shared" si="47"/>
        <v>0</v>
      </c>
      <c r="AZ113" s="5">
        <f t="shared" si="48"/>
        <v>1.1305622837370244</v>
      </c>
      <c r="BA113">
        <f>Table8[[#This Row],[Model Score2]]</f>
        <v>0</v>
      </c>
      <c r="BB113">
        <f>IFERROR(INDEX(Player_Model!$BG$2:$BG$596,MATCH($A113,Player_Model!$A$2:$A$596,0)),"")</f>
        <v>140</v>
      </c>
      <c r="BC113" t="str">
        <f t="shared" si="49"/>
        <v>AVOID</v>
      </c>
      <c r="BD113">
        <f>IF(H113=1,Table8[[#This Row],[Model Score]],-10000)</f>
        <v>0</v>
      </c>
      <c r="BE113">
        <f>IFERROR(INDEX(Player_Model!$BF$2:$BF$596,MATCH($A113,Player_Model!$A$2:$A$596,0)),"")</f>
        <v>253</v>
      </c>
      <c r="BF113">
        <f>IFERROR(INDEX(Player_Model!$BG$2:$BG$596,MATCH($A113,Player_Model!$A$2:$A$596,0)),"")</f>
        <v>140</v>
      </c>
      <c r="BG113">
        <f>IFERROR(INDEX(Player_Model!$BE$2:$BE$596,MATCH($A113,Player_Model!$A$2:$A$596,0)),0)</f>
        <v>0</v>
      </c>
    </row>
    <row r="114" spans="1:59" x14ac:dyDescent="0.25">
      <c r="A114" t="str">
        <f>tblPlayers[first_name]&amp;" "&amp;tblPlayers[second_name]</f>
        <v>Josh Dasilva</v>
      </c>
      <c r="B114" t="str">
        <f>_xlfn.SWITCH(tblPlayers[element_type],1,"GK",2,"DEF",3,"MID",4,"FWD")</f>
        <v>MID</v>
      </c>
      <c r="C114">
        <f>tblPlayers[team]</f>
        <v>4</v>
      </c>
      <c r="D114" t="str">
        <f>INDEX(tblTeams[Column1.short_name],MATCH(C114,tblTeams[Column1.id],0))</f>
        <v>BRE</v>
      </c>
      <c r="E114" s="4">
        <f>INDEX(FPL_Raw_Data!$F:$F,MATCH(A114,FPL_Raw_Data!$AA:$AA,0))/10</f>
        <v>5</v>
      </c>
      <c r="F114" s="4" t="str">
        <f>tblPlayers[[#This Row],[status]]</f>
        <v>i</v>
      </c>
      <c r="G114" s="4" t="b">
        <f>tblPlayers[[#This Row],[can_select]]</f>
        <v>1</v>
      </c>
      <c r="H114">
        <f>IF(AND(Table8[[#This Row],[Availability Status]]="a",Table8[[#This Row],[Can Select]]=TRUE),1,0)</f>
        <v>0</v>
      </c>
      <c r="I114">
        <f>tblPlayers[minutes]</f>
        <v>0</v>
      </c>
      <c r="J114" s="2">
        <f>Table8[[#This Row],[Minutes]]/90</f>
        <v>0</v>
      </c>
      <c r="K114" s="5">
        <f>IFERROR(Z114/(FIXTURE_ANALYSIS!$B$1-1),0)</f>
        <v>0</v>
      </c>
      <c r="L114">
        <f>tblPlayers[total_points]</f>
        <v>0</v>
      </c>
      <c r="M114">
        <f>tblPlayers[points_per_game]</f>
        <v>0</v>
      </c>
      <c r="N114">
        <f>tblPlayers[form]</f>
        <v>0</v>
      </c>
      <c r="O114">
        <f>tblPlayers[expected_goals]</f>
        <v>0</v>
      </c>
      <c r="P114">
        <f>tblPlayers[expected_assists]</f>
        <v>0</v>
      </c>
      <c r="Q114">
        <f>tblPlayers[expected_goal_involvements]</f>
        <v>0</v>
      </c>
      <c r="R114" s="2">
        <f t="shared" si="25"/>
        <v>0</v>
      </c>
      <c r="S114" s="5">
        <f t="shared" si="26"/>
        <v>0</v>
      </c>
      <c r="T114" s="5">
        <f t="shared" si="27"/>
        <v>0</v>
      </c>
      <c r="U114" s="5">
        <f t="shared" si="28"/>
        <v>0</v>
      </c>
      <c r="V114" s="3">
        <f t="shared" si="29"/>
        <v>0</v>
      </c>
      <c r="W114" s="5">
        <f t="shared" si="30"/>
        <v>0</v>
      </c>
      <c r="X114" s="5">
        <f>IFERROR(IF(OR($B114="MID",$B114="FWD"),INDEX(FIXTURE_ANALYSIS!$Q:$Q,MATCH($D114,FIXTURE_ANALYSIS!$A:$A,0)),INDEX(FIXTURE_ANALYSIS!$R:$R,MATCH($D114,FIXTURE_ANALYSIS!$A:$A,0))),1)</f>
        <v>1.1305622837370244</v>
      </c>
      <c r="Y114" s="5">
        <f t="shared" si="31"/>
        <v>1.1305622837370244</v>
      </c>
      <c r="Z114" s="8">
        <f>INDEX(FPL_Raw_Data!$T:$T,MATCH(A114,FPL_Raw_Data!$AA:$AA,0))</f>
        <v>0</v>
      </c>
      <c r="AA114" s="8">
        <f>INDEX(FPL_Raw_Data!$S:$S,MATCH(A114,FPL_Raw_Data!$AA:$AA,0))</f>
        <v>0</v>
      </c>
      <c r="AB114" s="2">
        <f t="shared" si="32"/>
        <v>0</v>
      </c>
      <c r="AC114" s="2">
        <f>INDEX(FPL_Raw_Data!$Q:$Q,MATCH(A114,FPL_Raw_Data!$AA:$AA,0))</f>
        <v>0</v>
      </c>
      <c r="AD114" s="8">
        <f>INDEX(FPL_Raw_Data!$R:$R,MATCH(A114,FPL_Raw_Data!$AA:$AA,0))</f>
        <v>0</v>
      </c>
      <c r="AE114" s="8">
        <f>INDEX(FPL_Raw_Data!$N:$N,MATCH(A114,FPL_Raw_Data!$AA:$AA,0))</f>
        <v>0</v>
      </c>
      <c r="AF114" s="8">
        <f>INDEX(FPL_Raw_Data!$L:$L,MATCH(A114,FPL_Raw_Data!$AA:$AA,0))</f>
        <v>0</v>
      </c>
      <c r="AG114" s="2">
        <f>INDEX(FPL_Raw_Data!$M:$M,MATCH(A114,FPL_Raw_Data!$AA:$AA,0))</f>
        <v>0</v>
      </c>
      <c r="AH114" s="2">
        <f t="shared" si="33"/>
        <v>0</v>
      </c>
      <c r="AI114" s="2">
        <f t="shared" si="34"/>
        <v>0</v>
      </c>
      <c r="AJ114" s="2">
        <f t="shared" si="35"/>
        <v>0</v>
      </c>
      <c r="AK114" s="2">
        <f t="shared" si="36"/>
        <v>0</v>
      </c>
      <c r="AL114" s="2">
        <f t="shared" si="37"/>
        <v>0</v>
      </c>
      <c r="AM114" s="2">
        <f t="shared" si="38"/>
        <v>0</v>
      </c>
      <c r="AN114" s="2">
        <f t="shared" si="39"/>
        <v>0</v>
      </c>
      <c r="AO114" s="3">
        <f t="shared" si="40"/>
        <v>0.1</v>
      </c>
      <c r="AP114">
        <f t="shared" si="41"/>
        <v>0</v>
      </c>
      <c r="AQ114">
        <f t="shared" si="42"/>
        <v>0.1</v>
      </c>
      <c r="AR114">
        <f t="shared" si="43"/>
        <v>0</v>
      </c>
      <c r="AS114" s="2">
        <f t="shared" si="44"/>
        <v>0</v>
      </c>
      <c r="AT114" s="2">
        <f>IFERROR(INDEX(Player_Model!$BC$2:$BC$596,MATCH($A114,Player_Model!$A$2:$A$596,0)),0)</f>
        <v>0</v>
      </c>
      <c r="AU114" s="2">
        <f>Table8[[#This Row],[Model Expected Points]]*Table8[[#This Row],[Fixture Adjustment]]</f>
        <v>0</v>
      </c>
      <c r="AV114" s="2">
        <f>Table8[[#This Row],[Fixture Adjusted Points / 90]]/Table8[[#This Row],[Price]]</f>
        <v>0</v>
      </c>
      <c r="AW114">
        <f t="shared" si="45"/>
        <v>0.05</v>
      </c>
      <c r="AX114">
        <f t="shared" si="46"/>
        <v>0</v>
      </c>
      <c r="AY114" s="2">
        <f t="shared" si="47"/>
        <v>0</v>
      </c>
      <c r="AZ114" s="5">
        <f t="shared" si="48"/>
        <v>1.1305622837370244</v>
      </c>
      <c r="BA114">
        <f>Table8[[#This Row],[Model Score2]]</f>
        <v>0</v>
      </c>
      <c r="BB114">
        <f>IFERROR(INDEX(Player_Model!$BG$2:$BG$596,MATCH($A114,Player_Model!$A$2:$A$596,0)),"")</f>
        <v>141</v>
      </c>
      <c r="BC114" t="str">
        <f t="shared" si="49"/>
        <v>AVOID</v>
      </c>
      <c r="BD114">
        <f>IF(H114=1,Table8[[#This Row],[Model Score]],-10000)</f>
        <v>-10000</v>
      </c>
      <c r="BE114">
        <f>IFERROR(INDEX(Player_Model!$BF$2:$BF$596,MATCH($A114,Player_Model!$A$2:$A$596,0)),"")</f>
        <v>253</v>
      </c>
      <c r="BF114">
        <f>IFERROR(INDEX(Player_Model!$BG$2:$BG$596,MATCH($A114,Player_Model!$A$2:$A$596,0)),"")</f>
        <v>141</v>
      </c>
      <c r="BG114">
        <f>IFERROR(INDEX(Player_Model!$BE$2:$BE$596,MATCH($A114,Player_Model!$A$2:$A$596,0)),0)</f>
        <v>0</v>
      </c>
    </row>
    <row r="115" spans="1:59" x14ac:dyDescent="0.25">
      <c r="A115" t="str">
        <f>tblPlayers[first_name]&amp;" "&amp;tblPlayers[second_name]</f>
        <v>Jaidon Anthony</v>
      </c>
      <c r="B115" t="str">
        <f>_xlfn.SWITCH(tblPlayers[element_type],1,"GK",2,"DEF",3,"MID",4,"FWD")</f>
        <v>MID</v>
      </c>
      <c r="C115">
        <f>tblPlayers[team]</f>
        <v>4</v>
      </c>
      <c r="D115" t="str">
        <f>INDEX(tblTeams[Column1.short_name],MATCH(C115,tblTeams[Column1.id],0))</f>
        <v>BRE</v>
      </c>
      <c r="E115" s="4">
        <f>INDEX(FPL_Raw_Data!$F:$F,MATCH(A115,FPL_Raw_Data!$AA:$AA,0))/10</f>
        <v>6</v>
      </c>
      <c r="F115" s="4" t="str">
        <f>tblPlayers[[#This Row],[status]]</f>
        <v>a</v>
      </c>
      <c r="G115" s="4" t="b">
        <f>tblPlayers[[#This Row],[can_select]]</f>
        <v>1</v>
      </c>
      <c r="H115">
        <f>IF(AND(Table8[[#This Row],[Availability Status]]="a",Table8[[#This Row],[Can Select]]=TRUE),1,0)</f>
        <v>1</v>
      </c>
      <c r="I115">
        <f>tblPlayers[minutes]</f>
        <v>128</v>
      </c>
      <c r="J115" s="2">
        <f>Table8[[#This Row],[Minutes]]/90</f>
        <v>1.4222222222222223</v>
      </c>
      <c r="K115" s="5">
        <f>IFERROR(Z115/(FIXTURE_ANALYSIS!$B$1-1),0)</f>
        <v>0.33333333333333331</v>
      </c>
      <c r="L115">
        <f>tblPlayers[total_points]</f>
        <v>4</v>
      </c>
      <c r="M115">
        <f>tblPlayers[points_per_game]</f>
        <v>1.3</v>
      </c>
      <c r="N115">
        <f>tblPlayers[form]</f>
        <v>1.3</v>
      </c>
      <c r="O115">
        <f>tblPlayers[expected_goals]</f>
        <v>0.19</v>
      </c>
      <c r="P115">
        <f>tblPlayers[expected_assists]</f>
        <v>0.42</v>
      </c>
      <c r="Q115">
        <f>tblPlayers[expected_goal_involvements]</f>
        <v>0.61</v>
      </c>
      <c r="R115" s="2">
        <f t="shared" si="25"/>
        <v>2.8125</v>
      </c>
      <c r="S115" s="5">
        <f t="shared" si="26"/>
        <v>0.13359375000000001</v>
      </c>
      <c r="T115" s="5">
        <f t="shared" si="27"/>
        <v>0.29531249999999998</v>
      </c>
      <c r="U115" s="5">
        <f t="shared" si="28"/>
        <v>0.42890624999999999</v>
      </c>
      <c r="V115" s="3">
        <f t="shared" si="29"/>
        <v>0.66666666666666663</v>
      </c>
      <c r="W115" s="5">
        <f t="shared" si="30"/>
        <v>0.10166666666666667</v>
      </c>
      <c r="X115" s="5">
        <f>IFERROR(IF(OR($B115="MID",$B115="FWD"),INDEX(FIXTURE_ANALYSIS!$Q:$Q,MATCH($D115,FIXTURE_ANALYSIS!$A:$A,0)),INDEX(FIXTURE_ANALYSIS!$R:$R,MATCH($D115,FIXTURE_ANALYSIS!$A:$A,0))),1)</f>
        <v>1.1305622837370244</v>
      </c>
      <c r="Y115" s="5">
        <f t="shared" si="31"/>
        <v>1.1305622837370244</v>
      </c>
      <c r="Z115" s="8">
        <f>INDEX(FPL_Raw_Data!$T:$T,MATCH(A115,FPL_Raw_Data!$AA:$AA,0))</f>
        <v>1</v>
      </c>
      <c r="AA115" s="8">
        <f>INDEX(FPL_Raw_Data!$S:$S,MATCH(A115,FPL_Raw_Data!$AA:$AA,0))</f>
        <v>13</v>
      </c>
      <c r="AB115" s="2">
        <f t="shared" si="32"/>
        <v>1</v>
      </c>
      <c r="AC115" s="2">
        <f>INDEX(FPL_Raw_Data!$Q:$Q,MATCH(A115,FPL_Raw_Data!$AA:$AA,0))</f>
        <v>0</v>
      </c>
      <c r="AD115" s="8">
        <f>INDEX(FPL_Raw_Data!$R:$R,MATCH(A115,FPL_Raw_Data!$AA:$AA,0))</f>
        <v>16</v>
      </c>
      <c r="AE115" s="8">
        <f>INDEX(FPL_Raw_Data!$N:$N,MATCH(A115,FPL_Raw_Data!$AA:$AA,0))</f>
        <v>1</v>
      </c>
      <c r="AF115" s="8">
        <f>INDEX(FPL_Raw_Data!$L:$L,MATCH(A115,FPL_Raw_Data!$AA:$AA,0))</f>
        <v>0</v>
      </c>
      <c r="AG115" s="2">
        <f>INDEX(FPL_Raw_Data!$M:$M,MATCH(A115,FPL_Raw_Data!$AA:$AA,0))</f>
        <v>0</v>
      </c>
      <c r="AH115" s="2">
        <f t="shared" si="33"/>
        <v>0.66796875</v>
      </c>
      <c r="AI115" s="2">
        <f t="shared" si="34"/>
        <v>0.88593749999999993</v>
      </c>
      <c r="AJ115" s="2">
        <f t="shared" si="35"/>
        <v>0.66666666666666663</v>
      </c>
      <c r="AK115" s="2">
        <f t="shared" si="36"/>
        <v>2</v>
      </c>
      <c r="AL115" s="2">
        <f t="shared" si="37"/>
        <v>1</v>
      </c>
      <c r="AM115" s="2">
        <f t="shared" si="38"/>
        <v>1</v>
      </c>
      <c r="AN115" s="2">
        <f t="shared" si="39"/>
        <v>0</v>
      </c>
      <c r="AO115" s="3">
        <f t="shared" si="40"/>
        <v>56.3</v>
      </c>
      <c r="AP115">
        <f t="shared" si="41"/>
        <v>89.7</v>
      </c>
      <c r="AQ115">
        <f t="shared" si="42"/>
        <v>62.2</v>
      </c>
      <c r="AR115">
        <f t="shared" si="43"/>
        <v>84</v>
      </c>
      <c r="AS115" s="2">
        <f t="shared" si="44"/>
        <v>33.333333333333329</v>
      </c>
      <c r="AT115" s="2">
        <f>IFERROR(INDEX(Player_Model!$BC$2:$BC$596,MATCH($A115,Player_Model!$A$2:$A$596,0)),0)</f>
        <v>4.402513689510358</v>
      </c>
      <c r="AU115" s="2">
        <f>Table8[[#This Row],[Model Expected Points]]*Table8[[#This Row],[Fixture Adjustment]]</f>
        <v>4.9773159309963431</v>
      </c>
      <c r="AV115" s="2">
        <f>Table8[[#This Row],[Fixture Adjusted Points / 90]]/Table8[[#This Row],[Price]]</f>
        <v>0.82955265516605714</v>
      </c>
      <c r="AW115">
        <f t="shared" si="45"/>
        <v>73</v>
      </c>
      <c r="AX115">
        <f t="shared" si="46"/>
        <v>1</v>
      </c>
      <c r="AY115" s="2">
        <f t="shared" si="47"/>
        <v>33.333333333333329</v>
      </c>
      <c r="AZ115" s="5">
        <f t="shared" si="48"/>
        <v>1.1305622837370244</v>
      </c>
      <c r="BA115">
        <f>Table8[[#This Row],[Model Score2]]</f>
        <v>4.402513689510358</v>
      </c>
      <c r="BB115">
        <f>IFERROR(INDEX(Player_Model!$BG$2:$BG$596,MATCH($A115,Player_Model!$A$2:$A$596,0)),"")</f>
        <v>62</v>
      </c>
      <c r="BC115" t="str">
        <f t="shared" si="49"/>
        <v>AVOID</v>
      </c>
      <c r="BD115">
        <f>IF(H115=1,Table8[[#This Row],[Model Score]],-10000)</f>
        <v>4.402513689510358</v>
      </c>
      <c r="BE115">
        <f>IFERROR(INDEX(Player_Model!$BF$2:$BF$596,MATCH($A115,Player_Model!$A$2:$A$596,0)),"")</f>
        <v>128</v>
      </c>
      <c r="BF115">
        <f>IFERROR(INDEX(Player_Model!$BG$2:$BG$596,MATCH($A115,Player_Model!$A$2:$A$596,0)),"")</f>
        <v>62</v>
      </c>
      <c r="BG115">
        <f>IFERROR(INDEX(Player_Model!$BE$2:$BE$596,MATCH($A115,Player_Model!$A$2:$A$596,0)),0)</f>
        <v>4.402513689510358</v>
      </c>
    </row>
    <row r="116" spans="1:59" x14ac:dyDescent="0.25">
      <c r="A116" t="str">
        <f>tblPlayers[first_name]&amp;" "&amp;tblPlayers[second_name]</f>
        <v>Igor Thiago Nascimento Rodrigues</v>
      </c>
      <c r="B116" t="str">
        <f>_xlfn.SWITCH(tblPlayers[element_type],1,"GK",2,"DEF",3,"MID",4,"FWD")</f>
        <v>FWD</v>
      </c>
      <c r="C116">
        <f>tblPlayers[team]</f>
        <v>4</v>
      </c>
      <c r="D116" t="str">
        <f>INDEX(tblTeams[Column1.short_name],MATCH(C116,tblTeams[Column1.id],0))</f>
        <v>BRE</v>
      </c>
      <c r="E116" s="4">
        <f>INDEX(FPL_Raw_Data!$F:$F,MATCH(A116,FPL_Raw_Data!$AA:$AA,0))/10</f>
        <v>7.9</v>
      </c>
      <c r="F116" s="4" t="str">
        <f>tblPlayers[[#This Row],[status]]</f>
        <v>a</v>
      </c>
      <c r="G116" s="4" t="b">
        <f>tblPlayers[[#This Row],[can_select]]</f>
        <v>1</v>
      </c>
      <c r="H116">
        <f>IF(AND(Table8[[#This Row],[Availability Status]]="a",Table8[[#This Row],[Can Select]]=TRUE),1,0)</f>
        <v>1</v>
      </c>
      <c r="I116">
        <f>tblPlayers[minutes]</f>
        <v>262</v>
      </c>
      <c r="J116" s="2">
        <f>Table8[[#This Row],[Minutes]]/90</f>
        <v>2.911111111111111</v>
      </c>
      <c r="K116" s="5">
        <f>IFERROR(Z116/(FIXTURE_ANALYSIS!$B$1-1),0)</f>
        <v>1</v>
      </c>
      <c r="L116">
        <f>tblPlayers[total_points]</f>
        <v>4</v>
      </c>
      <c r="M116">
        <f>tblPlayers[points_per_game]</f>
        <v>1.3</v>
      </c>
      <c r="N116">
        <f>tblPlayers[form]</f>
        <v>1.3</v>
      </c>
      <c r="O116">
        <f>tblPlayers[expected_goals]</f>
        <v>2.2999999999999998</v>
      </c>
      <c r="P116">
        <f>tblPlayers[expected_assists]</f>
        <v>0.1</v>
      </c>
      <c r="Q116">
        <f>tblPlayers[expected_goal_involvements]</f>
        <v>2.4</v>
      </c>
      <c r="R116" s="2">
        <f t="shared" si="25"/>
        <v>1.3740458015267174</v>
      </c>
      <c r="S116" s="5">
        <f t="shared" si="26"/>
        <v>0.79007633587786252</v>
      </c>
      <c r="T116" s="5">
        <f t="shared" si="27"/>
        <v>3.4351145038167941E-2</v>
      </c>
      <c r="U116" s="5">
        <f t="shared" si="28"/>
        <v>0.82442748091603058</v>
      </c>
      <c r="V116" s="3">
        <f t="shared" si="29"/>
        <v>0.50632911392405056</v>
      </c>
      <c r="W116" s="5">
        <f t="shared" si="30"/>
        <v>0.30379746835443033</v>
      </c>
      <c r="X116" s="5">
        <f>IFERROR(IF(OR($B116="MID",$B116="FWD"),INDEX(FIXTURE_ANALYSIS!$Q:$Q,MATCH($D116,FIXTURE_ANALYSIS!$A:$A,0)),INDEX(FIXTURE_ANALYSIS!$R:$R,MATCH($D116,FIXTURE_ANALYSIS!$A:$A,0))),1)</f>
        <v>1.1305622837370244</v>
      </c>
      <c r="Y116" s="5">
        <f t="shared" si="31"/>
        <v>1.1305622837370244</v>
      </c>
      <c r="Z116" s="8">
        <f>INDEX(FPL_Raw_Data!$T:$T,MATCH(A116,FPL_Raw_Data!$AA:$AA,0))</f>
        <v>3</v>
      </c>
      <c r="AA116" s="8">
        <f>INDEX(FPL_Raw_Data!$S:$S,MATCH(A116,FPL_Raw_Data!$AA:$AA,0))</f>
        <v>15</v>
      </c>
      <c r="AB116" s="2">
        <f t="shared" si="32"/>
        <v>1</v>
      </c>
      <c r="AC116" s="2">
        <f>INDEX(FPL_Raw_Data!$Q:$Q,MATCH(A116,FPL_Raw_Data!$AA:$AA,0))</f>
        <v>0</v>
      </c>
      <c r="AD116" s="8">
        <f>INDEX(FPL_Raw_Data!$R:$R,MATCH(A116,FPL_Raw_Data!$AA:$AA,0))</f>
        <v>8</v>
      </c>
      <c r="AE116" s="8">
        <f>INDEX(FPL_Raw_Data!$N:$N,MATCH(A116,FPL_Raw_Data!$AA:$AA,0))</f>
        <v>1</v>
      </c>
      <c r="AF116" s="8">
        <f>INDEX(FPL_Raw_Data!$L:$L,MATCH(A116,FPL_Raw_Data!$AA:$AA,0))</f>
        <v>0</v>
      </c>
      <c r="AG116" s="2">
        <f>INDEX(FPL_Raw_Data!$M:$M,MATCH(A116,FPL_Raw_Data!$AA:$AA,0))</f>
        <v>0</v>
      </c>
      <c r="AH116" s="2">
        <f t="shared" si="33"/>
        <v>3.1603053435114501</v>
      </c>
      <c r="AI116" s="2">
        <f t="shared" si="34"/>
        <v>0.10305343511450382</v>
      </c>
      <c r="AJ116" s="2">
        <f t="shared" si="35"/>
        <v>2</v>
      </c>
      <c r="AK116" s="2">
        <f t="shared" si="36"/>
        <v>2</v>
      </c>
      <c r="AL116" s="2">
        <f t="shared" si="37"/>
        <v>0.33333333333333331</v>
      </c>
      <c r="AM116" s="2">
        <f t="shared" si="38"/>
        <v>0</v>
      </c>
      <c r="AN116" s="2">
        <f t="shared" si="39"/>
        <v>0</v>
      </c>
      <c r="AO116" s="3">
        <f t="shared" si="40"/>
        <v>43.7</v>
      </c>
      <c r="AP116">
        <f t="shared" si="41"/>
        <v>96.1</v>
      </c>
      <c r="AQ116">
        <f t="shared" si="42"/>
        <v>58.5</v>
      </c>
      <c r="AR116">
        <f t="shared" si="43"/>
        <v>98.4</v>
      </c>
      <c r="AS116" s="2">
        <f t="shared" si="44"/>
        <v>100</v>
      </c>
      <c r="AT116" s="2">
        <f>IFERROR(INDEX(Player_Model!$BC$2:$BC$596,MATCH($A116,Player_Model!$A$2:$A$596,0)),0)</f>
        <v>6.688367019006515</v>
      </c>
      <c r="AU116" s="2">
        <f>Table8[[#This Row],[Model Expected Points]]*Table8[[#This Row],[Fixture Adjustment]]</f>
        <v>7.5616154914793992</v>
      </c>
      <c r="AV116" s="2">
        <f>Table8[[#This Row],[Fixture Adjusted Points / 90]]/Table8[[#This Row],[Price]]</f>
        <v>0.95716651790878471</v>
      </c>
      <c r="AW116">
        <f t="shared" si="45"/>
        <v>69.900000000000006</v>
      </c>
      <c r="AX116">
        <f t="shared" si="46"/>
        <v>0</v>
      </c>
      <c r="AY116" s="2">
        <f t="shared" si="47"/>
        <v>100</v>
      </c>
      <c r="AZ116" s="5">
        <f t="shared" si="48"/>
        <v>1.1305622837370244</v>
      </c>
      <c r="BA116">
        <f>Table8[[#This Row],[Model Score2]]</f>
        <v>6.688367019006515</v>
      </c>
      <c r="BB116">
        <f>IFERROR(INDEX(Player_Model!$BG$2:$BG$596,MATCH($A116,Player_Model!$A$2:$A$596,0)),"")</f>
        <v>2</v>
      </c>
      <c r="BC116" t="str">
        <f t="shared" si="49"/>
        <v>STRONG PICK</v>
      </c>
      <c r="BD116">
        <f>IF(H116=1,Table8[[#This Row],[Model Score]],-10000)</f>
        <v>6.688367019006515</v>
      </c>
      <c r="BE116">
        <f>IFERROR(INDEX(Player_Model!$BF$2:$BF$596,MATCH($A116,Player_Model!$A$2:$A$596,0)),"")</f>
        <v>27</v>
      </c>
      <c r="BF116">
        <f>IFERROR(INDEX(Player_Model!$BG$2:$BG$596,MATCH($A116,Player_Model!$A$2:$A$596,0)),"")</f>
        <v>2</v>
      </c>
      <c r="BG116">
        <f>IFERROR(INDEX(Player_Model!$BE$2:$BE$596,MATCH($A116,Player_Model!$A$2:$A$596,0)),0)</f>
        <v>6.688367019006515</v>
      </c>
    </row>
    <row r="117" spans="1:59" x14ac:dyDescent="0.25">
      <c r="A117" t="str">
        <f>tblPlayers[first_name]&amp;" "&amp;tblPlayers[second_name]</f>
        <v>Kaye Furo</v>
      </c>
      <c r="B117" t="str">
        <f>_xlfn.SWITCH(tblPlayers[element_type],1,"GK",2,"DEF",3,"MID",4,"FWD")</f>
        <v>FWD</v>
      </c>
      <c r="C117">
        <f>tblPlayers[team]</f>
        <v>4</v>
      </c>
      <c r="D117" t="str">
        <f>INDEX(tblTeams[Column1.short_name],MATCH(C117,tblTeams[Column1.id],0))</f>
        <v>BRE</v>
      </c>
      <c r="E117" s="4">
        <f>INDEX(FPL_Raw_Data!$F:$F,MATCH(A117,FPL_Raw_Data!$AA:$AA,0))/10</f>
        <v>4.5</v>
      </c>
      <c r="F117" s="4" t="str">
        <f>tblPlayers[[#This Row],[status]]</f>
        <v>a</v>
      </c>
      <c r="G117" s="4" t="b">
        <f>tblPlayers[[#This Row],[can_select]]</f>
        <v>1</v>
      </c>
      <c r="H117">
        <f>IF(AND(Table8[[#This Row],[Availability Status]]="a",Table8[[#This Row],[Can Select]]=TRUE),1,0)</f>
        <v>1</v>
      </c>
      <c r="I117">
        <f>tblPlayers[minutes]</f>
        <v>0</v>
      </c>
      <c r="J117" s="2">
        <f>Table8[[#This Row],[Minutes]]/90</f>
        <v>0</v>
      </c>
      <c r="K117" s="5">
        <f>IFERROR(Z117/(FIXTURE_ANALYSIS!$B$1-1),0)</f>
        <v>0</v>
      </c>
      <c r="L117">
        <f>tblPlayers[total_points]</f>
        <v>0</v>
      </c>
      <c r="M117">
        <f>tblPlayers[points_per_game]</f>
        <v>0</v>
      </c>
      <c r="N117">
        <f>tblPlayers[form]</f>
        <v>0</v>
      </c>
      <c r="O117">
        <f>tblPlayers[expected_goals]</f>
        <v>0</v>
      </c>
      <c r="P117">
        <f>tblPlayers[expected_assists]</f>
        <v>0</v>
      </c>
      <c r="Q117">
        <f>tblPlayers[expected_goal_involvements]</f>
        <v>0</v>
      </c>
      <c r="R117" s="2">
        <f t="shared" si="25"/>
        <v>0</v>
      </c>
      <c r="S117" s="5">
        <f t="shared" si="26"/>
        <v>0</v>
      </c>
      <c r="T117" s="5">
        <f t="shared" si="27"/>
        <v>0</v>
      </c>
      <c r="U117" s="5">
        <f t="shared" si="28"/>
        <v>0</v>
      </c>
      <c r="V117" s="3">
        <f t="shared" si="29"/>
        <v>0</v>
      </c>
      <c r="W117" s="5">
        <f t="shared" si="30"/>
        <v>0</v>
      </c>
      <c r="X117" s="5">
        <f>IFERROR(IF(OR($B117="MID",$B117="FWD"),INDEX(FIXTURE_ANALYSIS!$Q:$Q,MATCH($D117,FIXTURE_ANALYSIS!$A:$A,0)),INDEX(FIXTURE_ANALYSIS!$R:$R,MATCH($D117,FIXTURE_ANALYSIS!$A:$A,0))),1)</f>
        <v>1.1305622837370244</v>
      </c>
      <c r="Y117" s="5">
        <f t="shared" si="31"/>
        <v>1.1305622837370244</v>
      </c>
      <c r="Z117" s="8">
        <f>INDEX(FPL_Raw_Data!$T:$T,MATCH(A117,FPL_Raw_Data!$AA:$AA,0))</f>
        <v>0</v>
      </c>
      <c r="AA117" s="8">
        <f>INDEX(FPL_Raw_Data!$S:$S,MATCH(A117,FPL_Raw_Data!$AA:$AA,0))</f>
        <v>0</v>
      </c>
      <c r="AB117" s="2">
        <f t="shared" si="32"/>
        <v>0</v>
      </c>
      <c r="AC117" s="2">
        <f>INDEX(FPL_Raw_Data!$Q:$Q,MATCH(A117,FPL_Raw_Data!$AA:$AA,0))</f>
        <v>0</v>
      </c>
      <c r="AD117" s="8">
        <f>INDEX(FPL_Raw_Data!$R:$R,MATCH(A117,FPL_Raw_Data!$AA:$AA,0))</f>
        <v>0</v>
      </c>
      <c r="AE117" s="8">
        <f>INDEX(FPL_Raw_Data!$N:$N,MATCH(A117,FPL_Raw_Data!$AA:$AA,0))</f>
        <v>0</v>
      </c>
      <c r="AF117" s="8">
        <f>INDEX(FPL_Raw_Data!$L:$L,MATCH(A117,FPL_Raw_Data!$AA:$AA,0))</f>
        <v>0</v>
      </c>
      <c r="AG117" s="2">
        <f>INDEX(FPL_Raw_Data!$M:$M,MATCH(A117,FPL_Raw_Data!$AA:$AA,0))</f>
        <v>0</v>
      </c>
      <c r="AH117" s="2">
        <f t="shared" si="33"/>
        <v>0</v>
      </c>
      <c r="AI117" s="2">
        <f t="shared" si="34"/>
        <v>0</v>
      </c>
      <c r="AJ117" s="2">
        <f t="shared" si="35"/>
        <v>0</v>
      </c>
      <c r="AK117" s="2">
        <f t="shared" si="36"/>
        <v>0</v>
      </c>
      <c r="AL117" s="2">
        <f t="shared" si="37"/>
        <v>0</v>
      </c>
      <c r="AM117" s="2">
        <f t="shared" si="38"/>
        <v>0</v>
      </c>
      <c r="AN117" s="2">
        <f t="shared" si="39"/>
        <v>0</v>
      </c>
      <c r="AO117" s="3">
        <f t="shared" si="40"/>
        <v>0.1</v>
      </c>
      <c r="AP117">
        <f t="shared" si="41"/>
        <v>0</v>
      </c>
      <c r="AQ117">
        <f t="shared" si="42"/>
        <v>0.1</v>
      </c>
      <c r="AR117">
        <f t="shared" si="43"/>
        <v>0</v>
      </c>
      <c r="AS117" s="2">
        <f t="shared" si="44"/>
        <v>0</v>
      </c>
      <c r="AT117" s="2">
        <f>IFERROR(INDEX(Player_Model!$BC$2:$BC$596,MATCH($A117,Player_Model!$A$2:$A$596,0)),0)</f>
        <v>0</v>
      </c>
      <c r="AU117" s="2">
        <f>Table8[[#This Row],[Model Expected Points]]*Table8[[#This Row],[Fixture Adjustment]]</f>
        <v>0</v>
      </c>
      <c r="AV117" s="2">
        <f>Table8[[#This Row],[Fixture Adjusted Points / 90]]/Table8[[#This Row],[Price]]</f>
        <v>0</v>
      </c>
      <c r="AW117">
        <f t="shared" si="45"/>
        <v>0.05</v>
      </c>
      <c r="AX117">
        <f t="shared" si="46"/>
        <v>0</v>
      </c>
      <c r="AY117" s="2">
        <f t="shared" si="47"/>
        <v>0</v>
      </c>
      <c r="AZ117" s="5">
        <f t="shared" si="48"/>
        <v>1.1305622837370244</v>
      </c>
      <c r="BA117">
        <f>Table8[[#This Row],[Model Score2]]</f>
        <v>0</v>
      </c>
      <c r="BB117">
        <f>IFERROR(INDEX(Player_Model!$BG$2:$BG$596,MATCH($A117,Player_Model!$A$2:$A$596,0)),"")</f>
        <v>34</v>
      </c>
      <c r="BC117" t="str">
        <f t="shared" si="49"/>
        <v>AVOID</v>
      </c>
      <c r="BD117">
        <f>IF(H117=1,Table8[[#This Row],[Model Score]],-10000)</f>
        <v>0</v>
      </c>
      <c r="BE117">
        <f>IFERROR(INDEX(Player_Model!$BF$2:$BF$596,MATCH($A117,Player_Model!$A$2:$A$596,0)),"")</f>
        <v>253</v>
      </c>
      <c r="BF117">
        <f>IFERROR(INDEX(Player_Model!$BG$2:$BG$596,MATCH($A117,Player_Model!$A$2:$A$596,0)),"")</f>
        <v>34</v>
      </c>
      <c r="BG117">
        <f>IFERROR(INDEX(Player_Model!$BE$2:$BE$596,MATCH($A117,Player_Model!$A$2:$A$596,0)),0)</f>
        <v>0</v>
      </c>
    </row>
    <row r="118" spans="1:59" x14ac:dyDescent="0.25">
      <c r="A118" t="str">
        <f>tblPlayers[first_name]&amp;" "&amp;tblPlayers[second_name]</f>
        <v>Callum Wilson</v>
      </c>
      <c r="B118" t="str">
        <f>_xlfn.SWITCH(tblPlayers[element_type],1,"GK",2,"DEF",3,"MID",4,"FWD")</f>
        <v>FWD</v>
      </c>
      <c r="C118">
        <f>tblPlayers[team]</f>
        <v>4</v>
      </c>
      <c r="D118" t="str">
        <f>INDEX(tblTeams[Column1.short_name],MATCH(C118,tblTeams[Column1.id],0))</f>
        <v>BRE</v>
      </c>
      <c r="E118" s="4">
        <f>INDEX(FPL_Raw_Data!$F:$F,MATCH(A118,FPL_Raw_Data!$AA:$AA,0))/10</f>
        <v>5.5</v>
      </c>
      <c r="F118" s="4" t="str">
        <f>tblPlayers[[#This Row],[status]]</f>
        <v>a</v>
      </c>
      <c r="G118" s="4" t="b">
        <f>tblPlayers[[#This Row],[can_select]]</f>
        <v>1</v>
      </c>
      <c r="H118">
        <f>IF(AND(Table8[[#This Row],[Availability Status]]="a",Table8[[#This Row],[Can Select]]=TRUE),1,0)</f>
        <v>1</v>
      </c>
      <c r="I118">
        <f>tblPlayers[minutes]</f>
        <v>13</v>
      </c>
      <c r="J118" s="2">
        <f>Table8[[#This Row],[Minutes]]/90</f>
        <v>0.14444444444444443</v>
      </c>
      <c r="K118" s="5">
        <f>IFERROR(Z118/(FIXTURE_ANALYSIS!$B$1-1),0)</f>
        <v>0</v>
      </c>
      <c r="L118">
        <f>tblPlayers[total_points]</f>
        <v>3</v>
      </c>
      <c r="M118">
        <f>tblPlayers[points_per_game]</f>
        <v>1</v>
      </c>
      <c r="N118">
        <f>tblPlayers[form]</f>
        <v>1</v>
      </c>
      <c r="O118">
        <f>tblPlayers[expected_goals]</f>
        <v>7.0000000000000007E-2</v>
      </c>
      <c r="P118">
        <f>tblPlayers[expected_assists]</f>
        <v>0.04</v>
      </c>
      <c r="Q118">
        <f>tblPlayers[expected_goal_involvements]</f>
        <v>0.11</v>
      </c>
      <c r="R118" s="2">
        <f t="shared" si="25"/>
        <v>20.76923076923077</v>
      </c>
      <c r="S118" s="5">
        <f t="shared" si="26"/>
        <v>0.48461538461538467</v>
      </c>
      <c r="T118" s="5">
        <f t="shared" si="27"/>
        <v>0.27692307692307694</v>
      </c>
      <c r="U118" s="5">
        <f t="shared" si="28"/>
        <v>0.7615384615384615</v>
      </c>
      <c r="V118" s="3">
        <f t="shared" si="29"/>
        <v>0.54545454545454541</v>
      </c>
      <c r="W118" s="5">
        <f t="shared" si="30"/>
        <v>0.02</v>
      </c>
      <c r="X118" s="5">
        <f>IFERROR(IF(OR($B118="MID",$B118="FWD"),INDEX(FIXTURE_ANALYSIS!$Q:$Q,MATCH($D118,FIXTURE_ANALYSIS!$A:$A,0)),INDEX(FIXTURE_ANALYSIS!$R:$R,MATCH($D118,FIXTURE_ANALYSIS!$A:$A,0))),1)</f>
        <v>1.1305622837370244</v>
      </c>
      <c r="Y118" s="5">
        <f t="shared" si="31"/>
        <v>1.1305622837370244</v>
      </c>
      <c r="Z118" s="8">
        <f>INDEX(FPL_Raw_Data!$T:$T,MATCH(A118,FPL_Raw_Data!$AA:$AA,0))</f>
        <v>0</v>
      </c>
      <c r="AA118" s="8">
        <f>INDEX(FPL_Raw_Data!$S:$S,MATCH(A118,FPL_Raw_Data!$AA:$AA,0))</f>
        <v>2</v>
      </c>
      <c r="AB118" s="2">
        <f t="shared" si="32"/>
        <v>0.16666666666666666</v>
      </c>
      <c r="AC118" s="2">
        <f>INDEX(FPL_Raw_Data!$Q:$Q,MATCH(A118,FPL_Raw_Data!$AA:$AA,0))</f>
        <v>0</v>
      </c>
      <c r="AD118" s="8">
        <f>INDEX(FPL_Raw_Data!$R:$R,MATCH(A118,FPL_Raw_Data!$AA:$AA,0))</f>
        <v>9</v>
      </c>
      <c r="AE118" s="8">
        <f>INDEX(FPL_Raw_Data!$N:$N,MATCH(A118,FPL_Raw_Data!$AA:$AA,0))</f>
        <v>0</v>
      </c>
      <c r="AF118" s="8">
        <f>INDEX(FPL_Raw_Data!$L:$L,MATCH(A118,FPL_Raw_Data!$AA:$AA,0))</f>
        <v>0</v>
      </c>
      <c r="AG118" s="2">
        <f>INDEX(FPL_Raw_Data!$M:$M,MATCH(A118,FPL_Raw_Data!$AA:$AA,0))</f>
        <v>0</v>
      </c>
      <c r="AH118" s="2">
        <f t="shared" si="33"/>
        <v>1.9384615384615387</v>
      </c>
      <c r="AI118" s="2">
        <f t="shared" si="34"/>
        <v>0.83076923076923082</v>
      </c>
      <c r="AJ118" s="2">
        <f t="shared" si="35"/>
        <v>0</v>
      </c>
      <c r="AK118" s="2">
        <f t="shared" si="36"/>
        <v>0.33333333333333331</v>
      </c>
      <c r="AL118" s="2">
        <f t="shared" si="37"/>
        <v>0</v>
      </c>
      <c r="AM118" s="2">
        <f t="shared" si="38"/>
        <v>0</v>
      </c>
      <c r="AN118" s="2">
        <f t="shared" si="39"/>
        <v>0</v>
      </c>
      <c r="AO118" s="3">
        <f t="shared" si="40"/>
        <v>96.8</v>
      </c>
      <c r="AP118">
        <f t="shared" si="41"/>
        <v>95.6</v>
      </c>
      <c r="AQ118">
        <f t="shared" si="42"/>
        <v>59.4</v>
      </c>
      <c r="AR118">
        <f t="shared" si="43"/>
        <v>65.100000000000009</v>
      </c>
      <c r="AS118" s="2">
        <f t="shared" si="44"/>
        <v>0</v>
      </c>
      <c r="AT118" s="2">
        <f>IFERROR(INDEX(Player_Model!$BC$2:$BC$596,MATCH($A118,Player_Model!$A$2:$A$596,0)),0)</f>
        <v>0</v>
      </c>
      <c r="AU118" s="2">
        <f>Table8[[#This Row],[Model Expected Points]]*Table8[[#This Row],[Fixture Adjustment]]</f>
        <v>0</v>
      </c>
      <c r="AV118" s="2">
        <f>Table8[[#This Row],[Fixture Adjusted Points / 90]]/Table8[[#This Row],[Price]]</f>
        <v>0</v>
      </c>
      <c r="AW118">
        <f t="shared" si="45"/>
        <v>96.199999999999989</v>
      </c>
      <c r="AX118">
        <f t="shared" si="46"/>
        <v>0</v>
      </c>
      <c r="AY118" s="2">
        <f t="shared" si="47"/>
        <v>0</v>
      </c>
      <c r="AZ118" s="5">
        <f t="shared" si="48"/>
        <v>1.1305622837370244</v>
      </c>
      <c r="BA118">
        <f>Table8[[#This Row],[Model Score2]]</f>
        <v>0</v>
      </c>
      <c r="BB118">
        <f>IFERROR(INDEX(Player_Model!$BG$2:$BG$596,MATCH($A118,Player_Model!$A$2:$A$596,0)),"")</f>
        <v>35</v>
      </c>
      <c r="BC118" t="str">
        <f t="shared" si="49"/>
        <v>AVOID</v>
      </c>
      <c r="BD118">
        <f>IF(H118=1,Table8[[#This Row],[Model Score]],-10000)</f>
        <v>0</v>
      </c>
      <c r="BE118">
        <f>IFERROR(INDEX(Player_Model!$BF$2:$BF$596,MATCH($A118,Player_Model!$A$2:$A$596,0)),"")</f>
        <v>253</v>
      </c>
      <c r="BF118">
        <f>IFERROR(INDEX(Player_Model!$BG$2:$BG$596,MATCH($A118,Player_Model!$A$2:$A$596,0)),"")</f>
        <v>35</v>
      </c>
      <c r="BG118">
        <f>IFERROR(INDEX(Player_Model!$BE$2:$BE$596,MATCH($A118,Player_Model!$A$2:$A$596,0)),0)</f>
        <v>0</v>
      </c>
    </row>
    <row r="119" spans="1:59" x14ac:dyDescent="0.25">
      <c r="A119" t="str">
        <f>tblPlayers[first_name]&amp;" "&amp;tblPlayers[second_name]</f>
        <v>Mamadou Sangaré</v>
      </c>
      <c r="B119" t="str">
        <f>_xlfn.SWITCH(tblPlayers[element_type],1,"GK",2,"DEF",3,"MID",4,"FWD")</f>
        <v>MID</v>
      </c>
      <c r="C119">
        <f>tblPlayers[team]</f>
        <v>4</v>
      </c>
      <c r="D119" t="str">
        <f>INDEX(tblTeams[Column1.short_name],MATCH(C119,tblTeams[Column1.id],0))</f>
        <v>BRE</v>
      </c>
      <c r="E119" s="4">
        <f>INDEX(FPL_Raw_Data!$F:$F,MATCH(A119,FPL_Raw_Data!$AA:$AA,0))/10</f>
        <v>5.7</v>
      </c>
      <c r="F119" s="4" t="str">
        <f>tblPlayers[[#This Row],[status]]</f>
        <v>a</v>
      </c>
      <c r="G119" s="4" t="b">
        <f>tblPlayers[[#This Row],[can_select]]</f>
        <v>1</v>
      </c>
      <c r="H119">
        <f>IF(AND(Table8[[#This Row],[Availability Status]]="a",Table8[[#This Row],[Can Select]]=TRUE),1,0)</f>
        <v>1</v>
      </c>
      <c r="I119">
        <f>tblPlayers[minutes]</f>
        <v>210</v>
      </c>
      <c r="J119" s="2">
        <f>Table8[[#This Row],[Minutes]]/90</f>
        <v>2.3333333333333335</v>
      </c>
      <c r="K119" s="5">
        <f>IFERROR(Z119/(FIXTURE_ANALYSIS!$B$1-1),0)</f>
        <v>1</v>
      </c>
      <c r="L119">
        <f>tblPlayers[total_points]</f>
        <v>18</v>
      </c>
      <c r="M119">
        <f>tblPlayers[points_per_game]</f>
        <v>6</v>
      </c>
      <c r="N119">
        <f>tblPlayers[form]</f>
        <v>6</v>
      </c>
      <c r="O119">
        <f>tblPlayers[expected_goals]</f>
        <v>0.41</v>
      </c>
      <c r="P119">
        <f>tblPlayers[expected_assists]</f>
        <v>0.37</v>
      </c>
      <c r="Q119">
        <f>tblPlayers[expected_goal_involvements]</f>
        <v>0.78</v>
      </c>
      <c r="R119" s="2">
        <f t="shared" si="25"/>
        <v>7.7142857142857144</v>
      </c>
      <c r="S119" s="5">
        <f t="shared" si="26"/>
        <v>0.17571428571428568</v>
      </c>
      <c r="T119" s="5">
        <f t="shared" si="27"/>
        <v>0.15857142857142856</v>
      </c>
      <c r="U119" s="5">
        <f t="shared" si="28"/>
        <v>0.3342857142857143</v>
      </c>
      <c r="V119" s="3">
        <f t="shared" si="29"/>
        <v>3.1578947368421053</v>
      </c>
      <c r="W119" s="5">
        <f t="shared" si="30"/>
        <v>0.1368421052631579</v>
      </c>
      <c r="X119" s="5">
        <f>IFERROR(IF(OR($B119="MID",$B119="FWD"),INDEX(FIXTURE_ANALYSIS!$Q:$Q,MATCH($D119,FIXTURE_ANALYSIS!$A:$A,0)),INDEX(FIXTURE_ANALYSIS!$R:$R,MATCH($D119,FIXTURE_ANALYSIS!$A:$A,0))),1)</f>
        <v>1.1305622837370244</v>
      </c>
      <c r="Y119" s="5">
        <f t="shared" si="31"/>
        <v>1.1305622837370244</v>
      </c>
      <c r="Z119" s="8">
        <f>INDEX(FPL_Raw_Data!$T:$T,MATCH(A119,FPL_Raw_Data!$AA:$AA,0))</f>
        <v>3</v>
      </c>
      <c r="AA119" s="8">
        <f>INDEX(FPL_Raw_Data!$S:$S,MATCH(A119,FPL_Raw_Data!$AA:$AA,0))</f>
        <v>32</v>
      </c>
      <c r="AB119" s="2">
        <f t="shared" si="32"/>
        <v>1</v>
      </c>
      <c r="AC119" s="2">
        <f>INDEX(FPL_Raw_Data!$Q:$Q,MATCH(A119,FPL_Raw_Data!$AA:$AA,0))</f>
        <v>3</v>
      </c>
      <c r="AD119" s="8">
        <f>INDEX(FPL_Raw_Data!$R:$R,MATCH(A119,FPL_Raw_Data!$AA:$AA,0))</f>
        <v>57</v>
      </c>
      <c r="AE119" s="8">
        <f>INDEX(FPL_Raw_Data!$N:$N,MATCH(A119,FPL_Raw_Data!$AA:$AA,0))</f>
        <v>1</v>
      </c>
      <c r="AF119" s="8">
        <f>INDEX(FPL_Raw_Data!$L:$L,MATCH(A119,FPL_Raw_Data!$AA:$AA,0))</f>
        <v>0</v>
      </c>
      <c r="AG119" s="2">
        <f>INDEX(FPL_Raw_Data!$M:$M,MATCH(A119,FPL_Raw_Data!$AA:$AA,0))</f>
        <v>2</v>
      </c>
      <c r="AH119" s="2">
        <f t="shared" si="33"/>
        <v>0.87857142857142845</v>
      </c>
      <c r="AI119" s="2">
        <f t="shared" si="34"/>
        <v>0.47571428571428565</v>
      </c>
      <c r="AJ119" s="2">
        <f t="shared" si="35"/>
        <v>2</v>
      </c>
      <c r="AK119" s="2">
        <f t="shared" si="36"/>
        <v>2</v>
      </c>
      <c r="AL119" s="2">
        <f t="shared" si="37"/>
        <v>0.33333333333333331</v>
      </c>
      <c r="AM119" s="2">
        <f t="shared" si="38"/>
        <v>0.33333333333333331</v>
      </c>
      <c r="AN119" s="2">
        <f t="shared" si="39"/>
        <v>1</v>
      </c>
      <c r="AO119" s="3">
        <f t="shared" si="40"/>
        <v>88.2</v>
      </c>
      <c r="AP119">
        <f t="shared" si="41"/>
        <v>85.8</v>
      </c>
      <c r="AQ119">
        <f t="shared" si="42"/>
        <v>95.399999999999991</v>
      </c>
      <c r="AR119">
        <f t="shared" si="43"/>
        <v>90</v>
      </c>
      <c r="AS119" s="2">
        <f t="shared" si="44"/>
        <v>100</v>
      </c>
      <c r="AT119" s="2">
        <f>IFERROR(INDEX(Player_Model!$BC$2:$BC$596,MATCH($A119,Player_Model!$A$2:$A$596,0)),0)</f>
        <v>6.753225374855826</v>
      </c>
      <c r="AU119" s="2">
        <f>Table8[[#This Row],[Model Expected Points]]*Table8[[#This Row],[Fixture Adjustment]]</f>
        <v>7.6349419023878253</v>
      </c>
      <c r="AV119" s="2">
        <f>Table8[[#This Row],[Fixture Adjusted Points / 90]]/Table8[[#This Row],[Price]]</f>
        <v>1.3394634916469867</v>
      </c>
      <c r="AW119">
        <f t="shared" si="45"/>
        <v>87</v>
      </c>
      <c r="AX119">
        <f t="shared" si="46"/>
        <v>1</v>
      </c>
      <c r="AY119" s="2">
        <f t="shared" si="47"/>
        <v>100</v>
      </c>
      <c r="AZ119" s="5">
        <f t="shared" si="48"/>
        <v>1.1305622837370244</v>
      </c>
      <c r="BA119">
        <f>Table8[[#This Row],[Model Score2]]</f>
        <v>6.753225374855826</v>
      </c>
      <c r="BB119">
        <f>IFERROR(INDEX(Player_Model!$BG$2:$BG$596,MATCH($A119,Player_Model!$A$2:$A$596,0)),"")</f>
        <v>12</v>
      </c>
      <c r="BC119" t="str">
        <f t="shared" si="49"/>
        <v>AVOID</v>
      </c>
      <c r="BD119">
        <f>IF(H119=1,Table8[[#This Row],[Model Score]],-10000)</f>
        <v>6.753225374855826</v>
      </c>
      <c r="BE119">
        <f>IFERROR(INDEX(Player_Model!$BF$2:$BF$596,MATCH($A119,Player_Model!$A$2:$A$596,0)),"")</f>
        <v>25</v>
      </c>
      <c r="BF119">
        <f>IFERROR(INDEX(Player_Model!$BG$2:$BG$596,MATCH($A119,Player_Model!$A$2:$A$596,0)),"")</f>
        <v>12</v>
      </c>
      <c r="BG119">
        <f>IFERROR(INDEX(Player_Model!$BE$2:$BE$596,MATCH($A119,Player_Model!$A$2:$A$596,0)),0)</f>
        <v>6.753225374855826</v>
      </c>
    </row>
    <row r="120" spans="1:59" x14ac:dyDescent="0.25">
      <c r="A120" t="str">
        <f>tblPlayers[first_name]&amp;" "&amp;tblPlayers[second_name]</f>
        <v>El Hadji Malick Diouf</v>
      </c>
      <c r="B120" t="str">
        <f>_xlfn.SWITCH(tblPlayers[element_type],1,"GK",2,"DEF",3,"MID",4,"FWD")</f>
        <v>DEF</v>
      </c>
      <c r="C120">
        <f>tblPlayers[team]</f>
        <v>4</v>
      </c>
      <c r="D120" t="str">
        <f>INDEX(tblTeams[Column1.short_name],MATCH(C120,tblTeams[Column1.id],0))</f>
        <v>BRE</v>
      </c>
      <c r="E120" s="4">
        <f>INDEX(FPL_Raw_Data!$F:$F,MATCH(A120,FPL_Raw_Data!$AA:$AA,0))/10</f>
        <v>4.5</v>
      </c>
      <c r="F120" s="4" t="str">
        <f>tblPlayers[[#This Row],[status]]</f>
        <v>a</v>
      </c>
      <c r="G120" s="4" t="b">
        <f>tblPlayers[[#This Row],[can_select]]</f>
        <v>1</v>
      </c>
      <c r="H120">
        <f>IF(AND(Table8[[#This Row],[Availability Status]]="a",Table8[[#This Row],[Can Select]]=TRUE),1,0)</f>
        <v>1</v>
      </c>
      <c r="I120">
        <f>tblPlayers[minutes]</f>
        <v>0</v>
      </c>
      <c r="J120" s="2">
        <f>Table8[[#This Row],[Minutes]]/90</f>
        <v>0</v>
      </c>
      <c r="K120" s="5">
        <f>IFERROR(Z120/(FIXTURE_ANALYSIS!$B$1-1),0)</f>
        <v>0</v>
      </c>
      <c r="L120">
        <f>tblPlayers[total_points]</f>
        <v>0</v>
      </c>
      <c r="M120">
        <f>tblPlayers[points_per_game]</f>
        <v>0</v>
      </c>
      <c r="N120">
        <f>tblPlayers[form]</f>
        <v>0</v>
      </c>
      <c r="O120">
        <f>tblPlayers[expected_goals]</f>
        <v>0</v>
      </c>
      <c r="P120">
        <f>tblPlayers[expected_assists]</f>
        <v>0</v>
      </c>
      <c r="Q120">
        <f>tblPlayers[expected_goal_involvements]</f>
        <v>0</v>
      </c>
      <c r="R120" s="2">
        <f t="shared" si="25"/>
        <v>0</v>
      </c>
      <c r="S120" s="5">
        <f t="shared" si="26"/>
        <v>0</v>
      </c>
      <c r="T120" s="5">
        <f t="shared" si="27"/>
        <v>0</v>
      </c>
      <c r="U120" s="5">
        <f t="shared" si="28"/>
        <v>0</v>
      </c>
      <c r="V120" s="3">
        <f t="shared" si="29"/>
        <v>0</v>
      </c>
      <c r="W120" s="5">
        <f t="shared" si="30"/>
        <v>0</v>
      </c>
      <c r="X120" s="5">
        <f>IFERROR(IF(OR($B120="MID",$B120="FWD"),INDEX(FIXTURE_ANALYSIS!$Q:$Q,MATCH($D120,FIXTURE_ANALYSIS!$A:$A,0)),INDEX(FIXTURE_ANALYSIS!$R:$R,MATCH($D120,FIXTURE_ANALYSIS!$A:$A,0))),1)</f>
        <v>1.1250890990542559</v>
      </c>
      <c r="Y120" s="5">
        <f t="shared" si="31"/>
        <v>1.1250890990542559</v>
      </c>
      <c r="Z120" s="8">
        <f>INDEX(FPL_Raw_Data!$T:$T,MATCH(A120,FPL_Raw_Data!$AA:$AA,0))</f>
        <v>0</v>
      </c>
      <c r="AA120" s="8">
        <f>INDEX(FPL_Raw_Data!$S:$S,MATCH(A120,FPL_Raw_Data!$AA:$AA,0))</f>
        <v>0</v>
      </c>
      <c r="AB120" s="2">
        <f t="shared" si="32"/>
        <v>0</v>
      </c>
      <c r="AC120" s="2">
        <f>INDEX(FPL_Raw_Data!$Q:$Q,MATCH(A120,FPL_Raw_Data!$AA:$AA,0))</f>
        <v>0</v>
      </c>
      <c r="AD120" s="8">
        <f>INDEX(FPL_Raw_Data!$R:$R,MATCH(A120,FPL_Raw_Data!$AA:$AA,0))</f>
        <v>0</v>
      </c>
      <c r="AE120" s="8">
        <f>INDEX(FPL_Raw_Data!$N:$N,MATCH(A120,FPL_Raw_Data!$AA:$AA,0))</f>
        <v>0</v>
      </c>
      <c r="AF120" s="8">
        <f>INDEX(FPL_Raw_Data!$L:$L,MATCH(A120,FPL_Raw_Data!$AA:$AA,0))</f>
        <v>0</v>
      </c>
      <c r="AG120" s="2">
        <f>INDEX(FPL_Raw_Data!$M:$M,MATCH(A120,FPL_Raw_Data!$AA:$AA,0))</f>
        <v>0</v>
      </c>
      <c r="AH120" s="2">
        <f t="shared" si="33"/>
        <v>0</v>
      </c>
      <c r="AI120" s="2">
        <f t="shared" si="34"/>
        <v>0</v>
      </c>
      <c r="AJ120" s="2">
        <f t="shared" si="35"/>
        <v>0</v>
      </c>
      <c r="AK120" s="2">
        <f t="shared" si="36"/>
        <v>0</v>
      </c>
      <c r="AL120" s="2">
        <f t="shared" si="37"/>
        <v>0</v>
      </c>
      <c r="AM120" s="2">
        <f t="shared" si="38"/>
        <v>0</v>
      </c>
      <c r="AN120" s="2">
        <f t="shared" si="39"/>
        <v>0</v>
      </c>
      <c r="AO120" s="3">
        <f t="shared" si="40"/>
        <v>0.1</v>
      </c>
      <c r="AP120">
        <f t="shared" si="41"/>
        <v>0</v>
      </c>
      <c r="AQ120">
        <f t="shared" si="42"/>
        <v>0.1</v>
      </c>
      <c r="AR120">
        <f t="shared" si="43"/>
        <v>0</v>
      </c>
      <c r="AS120" s="2">
        <f t="shared" si="44"/>
        <v>0</v>
      </c>
      <c r="AT120" s="2">
        <f>IFERROR(INDEX(Player_Model!$BC$2:$BC$596,MATCH($A120,Player_Model!$A$2:$A$596,0)),0)</f>
        <v>-0.37502969968475197</v>
      </c>
      <c r="AU120" s="2">
        <f>Table8[[#This Row],[Model Expected Points]]*Table8[[#This Row],[Fixture Adjustment]]</f>
        <v>-0.42194182693690574</v>
      </c>
      <c r="AV120" s="2">
        <f>Table8[[#This Row],[Fixture Adjusted Points / 90]]/Table8[[#This Row],[Price]]</f>
        <v>-9.3764850430423499E-2</v>
      </c>
      <c r="AW120">
        <f t="shared" si="45"/>
        <v>0</v>
      </c>
      <c r="AX120">
        <f t="shared" si="46"/>
        <v>0.56254454952712796</v>
      </c>
      <c r="AY120" s="2">
        <f t="shared" si="47"/>
        <v>0</v>
      </c>
      <c r="AZ120" s="5">
        <f t="shared" si="48"/>
        <v>1.1250890990542559</v>
      </c>
      <c r="BA120">
        <f>Table8[[#This Row],[Model Score2]]</f>
        <v>-0.37502969968475197</v>
      </c>
      <c r="BB120">
        <f>IFERROR(INDEX(Player_Model!$BG$2:$BG$596,MATCH($A120,Player_Model!$A$2:$A$596,0)),"")</f>
        <v>113</v>
      </c>
      <c r="BC120" t="str">
        <f t="shared" si="49"/>
        <v>AVOID</v>
      </c>
      <c r="BD120">
        <f>IF(H120=1,Table8[[#This Row],[Model Score]],-10000)</f>
        <v>-0.37502969968475197</v>
      </c>
      <c r="BE120">
        <f>IFERROR(INDEX(Player_Model!$BF$2:$BF$596,MATCH($A120,Player_Model!$A$2:$A$596,0)),"")</f>
        <v>511</v>
      </c>
      <c r="BF120">
        <f>IFERROR(INDEX(Player_Model!$BG$2:$BG$596,MATCH($A120,Player_Model!$A$2:$A$596,0)),"")</f>
        <v>113</v>
      </c>
      <c r="BG120">
        <f>IFERROR(INDEX(Player_Model!$BE$2:$BE$596,MATCH($A120,Player_Model!$A$2:$A$596,0)),0)</f>
        <v>-0.37502969968475197</v>
      </c>
    </row>
    <row r="121" spans="1:59" x14ac:dyDescent="0.25">
      <c r="A121" t="str">
        <f>tblPlayers[first_name]&amp;" "&amp;tblPlayers[second_name]</f>
        <v>Bart Verbruggen</v>
      </c>
      <c r="B121" t="str">
        <f>_xlfn.SWITCH(tblPlayers[element_type],1,"GK",2,"DEF",3,"MID",4,"FWD")</f>
        <v>GK</v>
      </c>
      <c r="C121">
        <f>tblPlayers[team]</f>
        <v>5</v>
      </c>
      <c r="D121" t="str">
        <f>INDEX(tblTeams[Column1.short_name],MATCH(C121,tblTeams[Column1.id],0))</f>
        <v>BHA</v>
      </c>
      <c r="E121" s="4">
        <f>INDEX(FPL_Raw_Data!$F:$F,MATCH(A121,FPL_Raw_Data!$AA:$AA,0))/10</f>
        <v>4.5</v>
      </c>
      <c r="F121" s="4" t="str">
        <f>tblPlayers[[#This Row],[status]]</f>
        <v>a</v>
      </c>
      <c r="G121" s="4" t="b">
        <f>tblPlayers[[#This Row],[can_select]]</f>
        <v>1</v>
      </c>
      <c r="H121">
        <f>IF(AND(Table8[[#This Row],[Availability Status]]="a",Table8[[#This Row],[Can Select]]=TRUE),1,0)</f>
        <v>1</v>
      </c>
      <c r="I121">
        <f>tblPlayers[minutes]</f>
        <v>270</v>
      </c>
      <c r="J121" s="2">
        <f>Table8[[#This Row],[Minutes]]/90</f>
        <v>3</v>
      </c>
      <c r="K121" s="5">
        <f>IFERROR(Z121/(FIXTURE_ANALYSIS!$B$1-1),0)</f>
        <v>1</v>
      </c>
      <c r="L121">
        <f>tblPlayers[total_points]</f>
        <v>9</v>
      </c>
      <c r="M121">
        <f>tblPlayers[points_per_game]</f>
        <v>3</v>
      </c>
      <c r="N121">
        <f>tblPlayers[form]</f>
        <v>3</v>
      </c>
      <c r="O121">
        <f>tblPlayers[expected_goals]</f>
        <v>0</v>
      </c>
      <c r="P121">
        <f>tblPlayers[expected_assists]</f>
        <v>0.2</v>
      </c>
      <c r="Q121">
        <f>tblPlayers[expected_goal_involvements]</f>
        <v>0.2</v>
      </c>
      <c r="R121" s="2">
        <f t="shared" si="25"/>
        <v>3</v>
      </c>
      <c r="S121" s="5">
        <f t="shared" si="26"/>
        <v>0</v>
      </c>
      <c r="T121" s="5">
        <f t="shared" si="27"/>
        <v>6.666666666666668E-2</v>
      </c>
      <c r="U121" s="5">
        <f t="shared" si="28"/>
        <v>6.666666666666668E-2</v>
      </c>
      <c r="V121" s="3">
        <f t="shared" si="29"/>
        <v>2</v>
      </c>
      <c r="W121" s="5">
        <f t="shared" si="30"/>
        <v>4.4444444444444446E-2</v>
      </c>
      <c r="X121" s="5">
        <f>IFERROR(IF(OR($B121="MID",$B121="FWD"),INDEX(FIXTURE_ANALYSIS!$Q:$Q,MATCH($D121,FIXTURE_ANALYSIS!$A:$A,0)),INDEX(FIXTURE_ANALYSIS!$R:$R,MATCH($D121,FIXTURE_ANALYSIS!$A:$A,0))),1)</f>
        <v>0.99748538507159212</v>
      </c>
      <c r="Y121" s="5">
        <f t="shared" si="31"/>
        <v>0.99748538507159212</v>
      </c>
      <c r="Z121" s="8">
        <f>INDEX(FPL_Raw_Data!$T:$T,MATCH(A121,FPL_Raw_Data!$AA:$AA,0))</f>
        <v>3</v>
      </c>
      <c r="AA121" s="8">
        <f>INDEX(FPL_Raw_Data!$S:$S,MATCH(A121,FPL_Raw_Data!$AA:$AA,0))</f>
        <v>0</v>
      </c>
      <c r="AB121" s="2">
        <f t="shared" si="32"/>
        <v>0</v>
      </c>
      <c r="AC121" s="2">
        <f>INDEX(FPL_Raw_Data!$Q:$Q,MATCH(A121,FPL_Raw_Data!$AA:$AA,0))</f>
        <v>0</v>
      </c>
      <c r="AD121" s="8">
        <f>INDEX(FPL_Raw_Data!$R:$R,MATCH(A121,FPL_Raw_Data!$AA:$AA,0))</f>
        <v>41</v>
      </c>
      <c r="AE121" s="8">
        <f>INDEX(FPL_Raw_Data!$N:$N,MATCH(A121,FPL_Raw_Data!$AA:$AA,0))</f>
        <v>1</v>
      </c>
      <c r="AF121" s="8">
        <f>INDEX(FPL_Raw_Data!$L:$L,MATCH(A121,FPL_Raw_Data!$AA:$AA,0))</f>
        <v>0</v>
      </c>
      <c r="AG121" s="2">
        <f>INDEX(FPL_Raw_Data!$M:$M,MATCH(A121,FPL_Raw_Data!$AA:$AA,0))</f>
        <v>0</v>
      </c>
      <c r="AH121" s="2">
        <f t="shared" si="33"/>
        <v>0</v>
      </c>
      <c r="AI121" s="2">
        <f t="shared" si="34"/>
        <v>0.20000000000000004</v>
      </c>
      <c r="AJ121" s="2">
        <f t="shared" si="35"/>
        <v>2</v>
      </c>
      <c r="AK121" s="2">
        <f t="shared" si="36"/>
        <v>0</v>
      </c>
      <c r="AL121" s="2">
        <f t="shared" si="37"/>
        <v>0.33333333333333331</v>
      </c>
      <c r="AM121" s="2">
        <f t="shared" si="38"/>
        <v>1.3333333333333333</v>
      </c>
      <c r="AN121" s="2">
        <f t="shared" si="39"/>
        <v>0</v>
      </c>
      <c r="AO121" s="3">
        <f t="shared" si="40"/>
        <v>58.4</v>
      </c>
      <c r="AP121">
        <f t="shared" si="41"/>
        <v>64.3</v>
      </c>
      <c r="AQ121">
        <f t="shared" si="42"/>
        <v>85.5</v>
      </c>
      <c r="AR121">
        <f t="shared" si="43"/>
        <v>74.400000000000006</v>
      </c>
      <c r="AS121" s="2">
        <f t="shared" si="44"/>
        <v>100</v>
      </c>
      <c r="AT121" s="2">
        <f>IFERROR(INDEX(Player_Model!$BC$2:$BC$596,MATCH($A121,Player_Model!$A$2:$A$596,0)),0)</f>
        <v>3.9480866743676533</v>
      </c>
      <c r="AU121" s="2">
        <f>Table8[[#This Row],[Model Expected Points]]*Table8[[#This Row],[Fixture Adjustment]]</f>
        <v>3.9381587566776401</v>
      </c>
      <c r="AV121" s="2">
        <f>Table8[[#This Row],[Fixture Adjusted Points / 90]]/Table8[[#This Row],[Price]]</f>
        <v>0.87514639037280895</v>
      </c>
      <c r="AW121">
        <f t="shared" si="45"/>
        <v>0</v>
      </c>
      <c r="AX121">
        <f t="shared" si="46"/>
        <v>50.498742692535799</v>
      </c>
      <c r="AY121" s="2">
        <f t="shared" si="47"/>
        <v>100</v>
      </c>
      <c r="AZ121" s="5">
        <f t="shared" si="48"/>
        <v>0.99748538507159212</v>
      </c>
      <c r="BA121">
        <f>Table8[[#This Row],[Model Score2]]</f>
        <v>3.9480866743676533</v>
      </c>
      <c r="BB121">
        <f>IFERROR(INDEX(Player_Model!$BG$2:$BG$596,MATCH($A121,Player_Model!$A$2:$A$596,0)),"")</f>
        <v>11</v>
      </c>
      <c r="BC121" t="str">
        <f t="shared" si="49"/>
        <v>AVOID</v>
      </c>
      <c r="BD121">
        <f>IF(H121=1,Table8[[#This Row],[Model Score]],-10000)</f>
        <v>3.9480866743676533</v>
      </c>
      <c r="BE121">
        <f>IFERROR(INDEX(Player_Model!$BF$2:$BF$596,MATCH($A121,Player_Model!$A$2:$A$596,0)),"")</f>
        <v>156</v>
      </c>
      <c r="BF121">
        <f>IFERROR(INDEX(Player_Model!$BG$2:$BG$596,MATCH($A121,Player_Model!$A$2:$A$596,0)),"")</f>
        <v>11</v>
      </c>
      <c r="BG121">
        <f>IFERROR(INDEX(Player_Model!$BE$2:$BE$596,MATCH($A121,Player_Model!$A$2:$A$596,0)),0)</f>
        <v>3.9480866743676533</v>
      </c>
    </row>
    <row r="122" spans="1:59" x14ac:dyDescent="0.25">
      <c r="A122" t="str">
        <f>tblPlayers[first_name]&amp;" "&amp;tblPlayers[second_name]</f>
        <v>Jason Steele</v>
      </c>
      <c r="B122" t="str">
        <f>_xlfn.SWITCH(tblPlayers[element_type],1,"GK",2,"DEF",3,"MID",4,"FWD")</f>
        <v>GK</v>
      </c>
      <c r="C122">
        <f>tblPlayers[team]</f>
        <v>5</v>
      </c>
      <c r="D122" t="str">
        <f>INDEX(tblTeams[Column1.short_name],MATCH(C122,tblTeams[Column1.id],0))</f>
        <v>BHA</v>
      </c>
      <c r="E122" s="4">
        <f>INDEX(FPL_Raw_Data!$F:$F,MATCH(A122,FPL_Raw_Data!$AA:$AA,0))/10</f>
        <v>4</v>
      </c>
      <c r="F122" s="4" t="str">
        <f>tblPlayers[[#This Row],[status]]</f>
        <v>a</v>
      </c>
      <c r="G122" s="4" t="b">
        <f>tblPlayers[[#This Row],[can_select]]</f>
        <v>1</v>
      </c>
      <c r="H122">
        <f>IF(AND(Table8[[#This Row],[Availability Status]]="a",Table8[[#This Row],[Can Select]]=TRUE),1,0)</f>
        <v>1</v>
      </c>
      <c r="I122">
        <f>tblPlayers[minutes]</f>
        <v>0</v>
      </c>
      <c r="J122" s="2">
        <f>Table8[[#This Row],[Minutes]]/90</f>
        <v>0</v>
      </c>
      <c r="K122" s="5">
        <f>IFERROR(Z122/(FIXTURE_ANALYSIS!$B$1-1),0)</f>
        <v>0</v>
      </c>
      <c r="L122">
        <f>tblPlayers[total_points]</f>
        <v>0</v>
      </c>
      <c r="M122">
        <f>tblPlayers[points_per_game]</f>
        <v>0</v>
      </c>
      <c r="N122">
        <f>tblPlayers[form]</f>
        <v>0</v>
      </c>
      <c r="O122">
        <f>tblPlayers[expected_goals]</f>
        <v>0</v>
      </c>
      <c r="P122">
        <f>tblPlayers[expected_assists]</f>
        <v>0</v>
      </c>
      <c r="Q122">
        <f>tblPlayers[expected_goal_involvements]</f>
        <v>0</v>
      </c>
      <c r="R122" s="2">
        <f t="shared" si="25"/>
        <v>0</v>
      </c>
      <c r="S122" s="5">
        <f t="shared" si="26"/>
        <v>0</v>
      </c>
      <c r="T122" s="5">
        <f t="shared" si="27"/>
        <v>0</v>
      </c>
      <c r="U122" s="5">
        <f t="shared" si="28"/>
        <v>0</v>
      </c>
      <c r="V122" s="3">
        <f t="shared" si="29"/>
        <v>0</v>
      </c>
      <c r="W122" s="5">
        <f t="shared" si="30"/>
        <v>0</v>
      </c>
      <c r="X122" s="5">
        <f>IFERROR(IF(OR($B122="MID",$B122="FWD"),INDEX(FIXTURE_ANALYSIS!$Q:$Q,MATCH($D122,FIXTURE_ANALYSIS!$A:$A,0)),INDEX(FIXTURE_ANALYSIS!$R:$R,MATCH($D122,FIXTURE_ANALYSIS!$A:$A,0))),1)</f>
        <v>0.99748538507159212</v>
      </c>
      <c r="Y122" s="5">
        <f t="shared" si="31"/>
        <v>0.99748538507159212</v>
      </c>
      <c r="Z122" s="8">
        <f>INDEX(FPL_Raw_Data!$T:$T,MATCH(A122,FPL_Raw_Data!$AA:$AA,0))</f>
        <v>0</v>
      </c>
      <c r="AA122" s="8">
        <f>INDEX(FPL_Raw_Data!$S:$S,MATCH(A122,FPL_Raw_Data!$AA:$AA,0))</f>
        <v>0</v>
      </c>
      <c r="AB122" s="2">
        <f t="shared" si="32"/>
        <v>0</v>
      </c>
      <c r="AC122" s="2">
        <f>INDEX(FPL_Raw_Data!$Q:$Q,MATCH(A122,FPL_Raw_Data!$AA:$AA,0))</f>
        <v>0</v>
      </c>
      <c r="AD122" s="8">
        <f>INDEX(FPL_Raw_Data!$R:$R,MATCH(A122,FPL_Raw_Data!$AA:$AA,0))</f>
        <v>0</v>
      </c>
      <c r="AE122" s="8">
        <f>INDEX(FPL_Raw_Data!$N:$N,MATCH(A122,FPL_Raw_Data!$AA:$AA,0))</f>
        <v>0</v>
      </c>
      <c r="AF122" s="8">
        <f>INDEX(FPL_Raw_Data!$L:$L,MATCH(A122,FPL_Raw_Data!$AA:$AA,0))</f>
        <v>0</v>
      </c>
      <c r="AG122" s="2">
        <f>INDEX(FPL_Raw_Data!$M:$M,MATCH(A122,FPL_Raw_Data!$AA:$AA,0))</f>
        <v>0</v>
      </c>
      <c r="AH122" s="2">
        <f t="shared" si="33"/>
        <v>0</v>
      </c>
      <c r="AI122" s="2">
        <f t="shared" si="34"/>
        <v>0</v>
      </c>
      <c r="AJ122" s="2">
        <f t="shared" si="35"/>
        <v>0</v>
      </c>
      <c r="AK122" s="2">
        <f t="shared" si="36"/>
        <v>0</v>
      </c>
      <c r="AL122" s="2">
        <f t="shared" si="37"/>
        <v>0</v>
      </c>
      <c r="AM122" s="2">
        <f t="shared" si="38"/>
        <v>0</v>
      </c>
      <c r="AN122" s="2">
        <f t="shared" si="39"/>
        <v>0</v>
      </c>
      <c r="AO122" s="3">
        <f t="shared" si="40"/>
        <v>0.1</v>
      </c>
      <c r="AP122">
        <f t="shared" si="41"/>
        <v>0</v>
      </c>
      <c r="AQ122">
        <f t="shared" si="42"/>
        <v>0.1</v>
      </c>
      <c r="AR122">
        <f t="shared" si="43"/>
        <v>0</v>
      </c>
      <c r="AS122" s="2">
        <f t="shared" si="44"/>
        <v>0</v>
      </c>
      <c r="AT122" s="2">
        <f>IFERROR(INDEX(Player_Model!$BC$2:$BC$596,MATCH($A122,Player_Model!$A$2:$A$596,0)),0)</f>
        <v>0</v>
      </c>
      <c r="AU122" s="2">
        <f>Table8[[#This Row],[Model Expected Points]]*Table8[[#This Row],[Fixture Adjustment]]</f>
        <v>0</v>
      </c>
      <c r="AV122" s="2">
        <f>Table8[[#This Row],[Fixture Adjusted Points / 90]]/Table8[[#This Row],[Price]]</f>
        <v>0</v>
      </c>
      <c r="AW122">
        <f t="shared" si="45"/>
        <v>0</v>
      </c>
      <c r="AX122">
        <f t="shared" si="46"/>
        <v>0.49874269253579606</v>
      </c>
      <c r="AY122" s="2">
        <f t="shared" si="47"/>
        <v>0</v>
      </c>
      <c r="AZ122" s="5">
        <f t="shared" si="48"/>
        <v>0.99748538507159212</v>
      </c>
      <c r="BA122">
        <f>Table8[[#This Row],[Model Score2]]</f>
        <v>0</v>
      </c>
      <c r="BB122">
        <f>IFERROR(INDEX(Player_Model!$BG$2:$BG$596,MATCH($A122,Player_Model!$A$2:$A$596,0)),"")</f>
        <v>28</v>
      </c>
      <c r="BC122" t="str">
        <f t="shared" si="49"/>
        <v>AVOID</v>
      </c>
      <c r="BD122">
        <f>IF(H122=1,Table8[[#This Row],[Model Score]],-10000)</f>
        <v>0</v>
      </c>
      <c r="BE122">
        <f>IFERROR(INDEX(Player_Model!$BF$2:$BF$596,MATCH($A122,Player_Model!$A$2:$A$596,0)),"")</f>
        <v>253</v>
      </c>
      <c r="BF122">
        <f>IFERROR(INDEX(Player_Model!$BG$2:$BG$596,MATCH($A122,Player_Model!$A$2:$A$596,0)),"")</f>
        <v>28</v>
      </c>
      <c r="BG122">
        <f>IFERROR(INDEX(Player_Model!$BE$2:$BE$596,MATCH($A122,Player_Model!$A$2:$A$596,0)),0)</f>
        <v>0</v>
      </c>
    </row>
    <row r="123" spans="1:59" x14ac:dyDescent="0.25">
      <c r="A123" t="str">
        <f>tblPlayers[first_name]&amp;" "&amp;tblPlayers[second_name]</f>
        <v>Ferdi Kadıoğlu</v>
      </c>
      <c r="B123" t="str">
        <f>_xlfn.SWITCH(tblPlayers[element_type],1,"GK",2,"DEF",3,"MID",4,"FWD")</f>
        <v>DEF</v>
      </c>
      <c r="C123">
        <f>tblPlayers[team]</f>
        <v>5</v>
      </c>
      <c r="D123" t="str">
        <f>INDEX(tblTeams[Column1.short_name],MATCH(C123,tblTeams[Column1.id],0))</f>
        <v>BHA</v>
      </c>
      <c r="E123" s="4">
        <f>INDEX(FPL_Raw_Data!$F:$F,MATCH(A123,FPL_Raw_Data!$AA:$AA,0))/10</f>
        <v>4.4000000000000004</v>
      </c>
      <c r="F123" s="4" t="str">
        <f>tblPlayers[[#This Row],[status]]</f>
        <v>a</v>
      </c>
      <c r="G123" s="4" t="b">
        <f>tblPlayers[[#This Row],[can_select]]</f>
        <v>1</v>
      </c>
      <c r="H123">
        <f>IF(AND(Table8[[#This Row],[Availability Status]]="a",Table8[[#This Row],[Can Select]]=TRUE),1,0)</f>
        <v>1</v>
      </c>
      <c r="I123">
        <f>tblPlayers[minutes]</f>
        <v>167</v>
      </c>
      <c r="J123" s="2">
        <f>Table8[[#This Row],[Minutes]]/90</f>
        <v>1.8555555555555556</v>
      </c>
      <c r="K123" s="5">
        <f>IFERROR(Z123/(FIXTURE_ANALYSIS!$B$1-1),0)</f>
        <v>0.66666666666666663</v>
      </c>
      <c r="L123">
        <f>tblPlayers[total_points]</f>
        <v>2</v>
      </c>
      <c r="M123">
        <f>tblPlayers[points_per_game]</f>
        <v>1</v>
      </c>
      <c r="N123">
        <f>tblPlayers[form]</f>
        <v>0.7</v>
      </c>
      <c r="O123">
        <f>tblPlayers[expected_goals]</f>
        <v>0.08</v>
      </c>
      <c r="P123">
        <f>tblPlayers[expected_assists]</f>
        <v>0.02</v>
      </c>
      <c r="Q123">
        <f>tblPlayers[expected_goal_involvements]</f>
        <v>0.1</v>
      </c>
      <c r="R123" s="2">
        <f t="shared" si="25"/>
        <v>1.0778443113772456</v>
      </c>
      <c r="S123" s="5">
        <f t="shared" si="26"/>
        <v>4.3113772455089822E-2</v>
      </c>
      <c r="T123" s="5">
        <f t="shared" si="27"/>
        <v>1.0778443113772455E-2</v>
      </c>
      <c r="U123" s="5">
        <f t="shared" si="28"/>
        <v>5.3892215568862277E-2</v>
      </c>
      <c r="V123" s="3">
        <f t="shared" si="29"/>
        <v>0.45454545454545453</v>
      </c>
      <c r="W123" s="5">
        <f t="shared" si="30"/>
        <v>2.2727272727272728E-2</v>
      </c>
      <c r="X123" s="5">
        <f>IFERROR(IF(OR($B123="MID",$B123="FWD"),INDEX(FIXTURE_ANALYSIS!$Q:$Q,MATCH($D123,FIXTURE_ANALYSIS!$A:$A,0)),INDEX(FIXTURE_ANALYSIS!$R:$R,MATCH($D123,FIXTURE_ANALYSIS!$A:$A,0))),1)</f>
        <v>0.99748538507159212</v>
      </c>
      <c r="Y123" s="5">
        <f t="shared" si="31"/>
        <v>0.99748538507159212</v>
      </c>
      <c r="Z123" s="8">
        <f>INDEX(FPL_Raw_Data!$T:$T,MATCH(A123,FPL_Raw_Data!$AA:$AA,0))</f>
        <v>2</v>
      </c>
      <c r="AA123" s="8">
        <f>INDEX(FPL_Raw_Data!$S:$S,MATCH(A123,FPL_Raw_Data!$AA:$AA,0))</f>
        <v>5</v>
      </c>
      <c r="AB123" s="2">
        <f t="shared" si="32"/>
        <v>0.5</v>
      </c>
      <c r="AC123" s="2">
        <f>INDEX(FPL_Raw_Data!$Q:$Q,MATCH(A123,FPL_Raw_Data!$AA:$AA,0))</f>
        <v>0</v>
      </c>
      <c r="AD123" s="8">
        <f>INDEX(FPL_Raw_Data!$R:$R,MATCH(A123,FPL_Raw_Data!$AA:$AA,0))</f>
        <v>4</v>
      </c>
      <c r="AE123" s="8">
        <f>INDEX(FPL_Raw_Data!$N:$N,MATCH(A123,FPL_Raw_Data!$AA:$AA,0))</f>
        <v>0</v>
      </c>
      <c r="AF123" s="8">
        <f>INDEX(FPL_Raw_Data!$L:$L,MATCH(A123,FPL_Raw_Data!$AA:$AA,0))</f>
        <v>0</v>
      </c>
      <c r="AG123" s="2">
        <f>INDEX(FPL_Raw_Data!$M:$M,MATCH(A123,FPL_Raw_Data!$AA:$AA,0))</f>
        <v>0</v>
      </c>
      <c r="AH123" s="2">
        <f t="shared" si="33"/>
        <v>0.25868263473053893</v>
      </c>
      <c r="AI123" s="2">
        <f t="shared" si="34"/>
        <v>3.2335329341317366E-2</v>
      </c>
      <c r="AJ123" s="2">
        <f t="shared" si="35"/>
        <v>1.3333333333333333</v>
      </c>
      <c r="AK123" s="2">
        <f t="shared" si="36"/>
        <v>1</v>
      </c>
      <c r="AL123" s="2">
        <f t="shared" si="37"/>
        <v>0</v>
      </c>
      <c r="AM123" s="2">
        <f t="shared" si="38"/>
        <v>0</v>
      </c>
      <c r="AN123" s="2">
        <f t="shared" si="39"/>
        <v>0</v>
      </c>
      <c r="AO123" s="3">
        <f t="shared" si="40"/>
        <v>42.9</v>
      </c>
      <c r="AP123">
        <f t="shared" si="41"/>
        <v>62.4</v>
      </c>
      <c r="AQ123">
        <f t="shared" si="42"/>
        <v>57.699999999999996</v>
      </c>
      <c r="AR123">
        <f t="shared" si="43"/>
        <v>68.5</v>
      </c>
      <c r="AS123" s="2">
        <f t="shared" si="44"/>
        <v>66.666666666666657</v>
      </c>
      <c r="AT123" s="2">
        <f>IFERROR(INDEX(Player_Model!$BC$2:$BC$596,MATCH($A123,Player_Model!$A$2:$A$596,0)),0)</f>
        <v>2.1463221321101686</v>
      </c>
      <c r="AU123" s="2">
        <f>Table8[[#This Row],[Model Expected Points]]*Table8[[#This Row],[Fixture Adjustment]]</f>
        <v>2.1409249584355923</v>
      </c>
      <c r="AV123" s="2">
        <f>Table8[[#This Row],[Fixture Adjusted Points / 90]]/Table8[[#This Row],[Price]]</f>
        <v>0.48657385418990728</v>
      </c>
      <c r="AW123">
        <f t="shared" si="45"/>
        <v>62.4</v>
      </c>
      <c r="AX123">
        <f t="shared" si="46"/>
        <v>0.74874269253579606</v>
      </c>
      <c r="AY123" s="2">
        <f t="shared" si="47"/>
        <v>66.666666666666657</v>
      </c>
      <c r="AZ123" s="5">
        <f t="shared" si="48"/>
        <v>0.99748538507159212</v>
      </c>
      <c r="BA123">
        <f>Table8[[#This Row],[Model Score2]]</f>
        <v>2.1463221321101686</v>
      </c>
      <c r="BB123">
        <f>IFERROR(INDEX(Player_Model!$BG$2:$BG$596,MATCH($A123,Player_Model!$A$2:$A$596,0)),"")</f>
        <v>84</v>
      </c>
      <c r="BC123" t="str">
        <f t="shared" si="49"/>
        <v>AVOID</v>
      </c>
      <c r="BD123">
        <f>IF(H123=1,Table8[[#This Row],[Model Score]],-10000)</f>
        <v>2.1463221321101686</v>
      </c>
      <c r="BE123">
        <f>IFERROR(INDEX(Player_Model!$BF$2:$BF$596,MATCH($A123,Player_Model!$A$2:$A$596,0)),"")</f>
        <v>239</v>
      </c>
      <c r="BF123">
        <f>IFERROR(INDEX(Player_Model!$BG$2:$BG$596,MATCH($A123,Player_Model!$A$2:$A$596,0)),"")</f>
        <v>84</v>
      </c>
      <c r="BG123">
        <f>IFERROR(INDEX(Player_Model!$BE$2:$BE$596,MATCH($A123,Player_Model!$A$2:$A$596,0)),0)</f>
        <v>2.1463221321101686</v>
      </c>
    </row>
    <row r="124" spans="1:59" x14ac:dyDescent="0.25">
      <c r="A124" t="str">
        <f>tblPlayers[first_name]&amp;" "&amp;tblPlayers[second_name]</f>
        <v>Olivier Boscagli</v>
      </c>
      <c r="B124" t="str">
        <f>_xlfn.SWITCH(tblPlayers[element_type],1,"GK",2,"DEF",3,"MID",4,"FWD")</f>
        <v>DEF</v>
      </c>
      <c r="C124">
        <f>tblPlayers[team]</f>
        <v>5</v>
      </c>
      <c r="D124" t="str">
        <f>INDEX(tblTeams[Column1.short_name],MATCH(C124,tblTeams[Column1.id],0))</f>
        <v>BHA</v>
      </c>
      <c r="E124" s="4">
        <f>INDEX(FPL_Raw_Data!$F:$F,MATCH(A124,FPL_Raw_Data!$AA:$AA,0))/10</f>
        <v>4.5</v>
      </c>
      <c r="F124" s="4" t="str">
        <f>tblPlayers[[#This Row],[status]]</f>
        <v>a</v>
      </c>
      <c r="G124" s="4" t="b">
        <f>tblPlayers[[#This Row],[can_select]]</f>
        <v>1</v>
      </c>
      <c r="H124">
        <f>IF(AND(Table8[[#This Row],[Availability Status]]="a",Table8[[#This Row],[Can Select]]=TRUE),1,0)</f>
        <v>1</v>
      </c>
      <c r="I124">
        <f>tblPlayers[minutes]</f>
        <v>270</v>
      </c>
      <c r="J124" s="2">
        <f>Table8[[#This Row],[Minutes]]/90</f>
        <v>3</v>
      </c>
      <c r="K124" s="5">
        <f>IFERROR(Z124/(FIXTURE_ANALYSIS!$B$1-1),0)</f>
        <v>1</v>
      </c>
      <c r="L124">
        <f>tblPlayers[total_points]</f>
        <v>7</v>
      </c>
      <c r="M124">
        <f>tblPlayers[points_per_game]</f>
        <v>2.2999999999999998</v>
      </c>
      <c r="N124">
        <f>tblPlayers[form]</f>
        <v>2.2999999999999998</v>
      </c>
      <c r="O124">
        <f>tblPlayers[expected_goals]</f>
        <v>0.05</v>
      </c>
      <c r="P124">
        <f>tblPlayers[expected_assists]</f>
        <v>0.48</v>
      </c>
      <c r="Q124">
        <f>tblPlayers[expected_goal_involvements]</f>
        <v>0.53</v>
      </c>
      <c r="R124" s="2">
        <f t="shared" si="25"/>
        <v>2.3333333333333335</v>
      </c>
      <c r="S124" s="5">
        <f t="shared" si="26"/>
        <v>1.666666666666667E-2</v>
      </c>
      <c r="T124" s="5">
        <f t="shared" si="27"/>
        <v>0.15999999999999998</v>
      </c>
      <c r="U124" s="5">
        <f t="shared" si="28"/>
        <v>0.17666666666666669</v>
      </c>
      <c r="V124" s="3">
        <f t="shared" si="29"/>
        <v>1.5555555555555556</v>
      </c>
      <c r="W124" s="5">
        <f t="shared" si="30"/>
        <v>0.11777777777777779</v>
      </c>
      <c r="X124" s="5">
        <f>IFERROR(IF(OR($B124="MID",$B124="FWD"),INDEX(FIXTURE_ANALYSIS!$Q:$Q,MATCH($D124,FIXTURE_ANALYSIS!$A:$A,0)),INDEX(FIXTURE_ANALYSIS!$R:$R,MATCH($D124,FIXTURE_ANALYSIS!$A:$A,0))),1)</f>
        <v>0.99748538507159212</v>
      </c>
      <c r="Y124" s="5">
        <f t="shared" si="31"/>
        <v>0.99748538507159212</v>
      </c>
      <c r="Z124" s="8">
        <f>INDEX(FPL_Raw_Data!$T:$T,MATCH(A124,FPL_Raw_Data!$AA:$AA,0))</f>
        <v>3</v>
      </c>
      <c r="AA124" s="8">
        <f>INDEX(FPL_Raw_Data!$S:$S,MATCH(A124,FPL_Raw_Data!$AA:$AA,0))</f>
        <v>13</v>
      </c>
      <c r="AB124" s="2">
        <f t="shared" si="32"/>
        <v>1</v>
      </c>
      <c r="AC124" s="2">
        <f>INDEX(FPL_Raw_Data!$Q:$Q,MATCH(A124,FPL_Raw_Data!$AA:$AA,0))</f>
        <v>0</v>
      </c>
      <c r="AD124" s="8">
        <f>INDEX(FPL_Raw_Data!$R:$R,MATCH(A124,FPL_Raw_Data!$AA:$AA,0))</f>
        <v>44</v>
      </c>
      <c r="AE124" s="8">
        <f>INDEX(FPL_Raw_Data!$N:$N,MATCH(A124,FPL_Raw_Data!$AA:$AA,0))</f>
        <v>1</v>
      </c>
      <c r="AF124" s="8">
        <f>INDEX(FPL_Raw_Data!$L:$L,MATCH(A124,FPL_Raw_Data!$AA:$AA,0))</f>
        <v>0</v>
      </c>
      <c r="AG124" s="2">
        <f>INDEX(FPL_Raw_Data!$M:$M,MATCH(A124,FPL_Raw_Data!$AA:$AA,0))</f>
        <v>0</v>
      </c>
      <c r="AH124" s="2">
        <f t="shared" si="33"/>
        <v>0.10000000000000002</v>
      </c>
      <c r="AI124" s="2">
        <f t="shared" si="34"/>
        <v>0.47999999999999993</v>
      </c>
      <c r="AJ124" s="2">
        <f t="shared" si="35"/>
        <v>2</v>
      </c>
      <c r="AK124" s="2">
        <f t="shared" si="36"/>
        <v>2</v>
      </c>
      <c r="AL124" s="2">
        <f t="shared" si="37"/>
        <v>0.33333333333333331</v>
      </c>
      <c r="AM124" s="2">
        <f t="shared" si="38"/>
        <v>1.3333333333333333</v>
      </c>
      <c r="AN124" s="2">
        <f t="shared" si="39"/>
        <v>0</v>
      </c>
      <c r="AO124" s="3">
        <f t="shared" si="40"/>
        <v>50</v>
      </c>
      <c r="AP124">
        <f t="shared" si="41"/>
        <v>74.400000000000006</v>
      </c>
      <c r="AQ124">
        <f t="shared" si="42"/>
        <v>79.600000000000009</v>
      </c>
      <c r="AR124">
        <f t="shared" si="43"/>
        <v>87</v>
      </c>
      <c r="AS124" s="2">
        <f t="shared" si="44"/>
        <v>100</v>
      </c>
      <c r="AT124" s="2">
        <f>IFERROR(INDEX(Player_Model!$BC$2:$BC$596,MATCH($A124,Player_Model!$A$2:$A$596,0)),0)</f>
        <v>3.8981013089372816</v>
      </c>
      <c r="AU124" s="2">
        <f>Table8[[#This Row],[Model Expected Points]]*Table8[[#This Row],[Fixture Adjustment]]</f>
        <v>3.8882990851933816</v>
      </c>
      <c r="AV124" s="2">
        <f>Table8[[#This Row],[Fixture Adjusted Points / 90]]/Table8[[#This Row],[Price]]</f>
        <v>0.86406646337630699</v>
      </c>
      <c r="AW124">
        <f t="shared" si="45"/>
        <v>74.400000000000006</v>
      </c>
      <c r="AX124">
        <f t="shared" si="46"/>
        <v>0.99874269253579606</v>
      </c>
      <c r="AY124" s="2">
        <f t="shared" si="47"/>
        <v>100</v>
      </c>
      <c r="AZ124" s="5">
        <f t="shared" si="48"/>
        <v>0.99748538507159212</v>
      </c>
      <c r="BA124">
        <f>Table8[[#This Row],[Model Score2]]</f>
        <v>3.8981013089372816</v>
      </c>
      <c r="BB124">
        <f>IFERROR(INDEX(Player_Model!$BG$2:$BG$596,MATCH($A124,Player_Model!$A$2:$A$596,0)),"")</f>
        <v>52</v>
      </c>
      <c r="BC124" t="str">
        <f t="shared" si="49"/>
        <v>AVOID</v>
      </c>
      <c r="BD124">
        <f>IF(H124=1,Table8[[#This Row],[Model Score]],-10000)</f>
        <v>3.8981013089372816</v>
      </c>
      <c r="BE124">
        <f>IFERROR(INDEX(Player_Model!$BF$2:$BF$596,MATCH($A124,Player_Model!$A$2:$A$596,0)),"")</f>
        <v>159</v>
      </c>
      <c r="BF124">
        <f>IFERROR(INDEX(Player_Model!$BG$2:$BG$596,MATCH($A124,Player_Model!$A$2:$A$596,0)),"")</f>
        <v>52</v>
      </c>
      <c r="BG124">
        <f>IFERROR(INDEX(Player_Model!$BE$2:$BE$596,MATCH($A124,Player_Model!$A$2:$A$596,0)),0)</f>
        <v>3.8981013089372816</v>
      </c>
    </row>
    <row r="125" spans="1:59" x14ac:dyDescent="0.25">
      <c r="A125" t="str">
        <f>tblPlayers[first_name]&amp;" "&amp;tblPlayers[second_name]</f>
        <v>Maxim De Cuyper</v>
      </c>
      <c r="B125" t="str">
        <f>_xlfn.SWITCH(tblPlayers[element_type],1,"GK",2,"DEF",3,"MID",4,"FWD")</f>
        <v>DEF</v>
      </c>
      <c r="C125">
        <f>tblPlayers[team]</f>
        <v>5</v>
      </c>
      <c r="D125" t="str">
        <f>INDEX(tblTeams[Column1.short_name],MATCH(C125,tblTeams[Column1.id],0))</f>
        <v>BHA</v>
      </c>
      <c r="E125" s="4">
        <f>INDEX(FPL_Raw_Data!$F:$F,MATCH(A125,FPL_Raw_Data!$AA:$AA,0))/10</f>
        <v>4.7</v>
      </c>
      <c r="F125" s="4" t="str">
        <f>tblPlayers[[#This Row],[status]]</f>
        <v>a</v>
      </c>
      <c r="G125" s="4" t="b">
        <f>tblPlayers[[#This Row],[can_select]]</f>
        <v>1</v>
      </c>
      <c r="H125">
        <f>IF(AND(Table8[[#This Row],[Availability Status]]="a",Table8[[#This Row],[Can Select]]=TRUE),1,0)</f>
        <v>1</v>
      </c>
      <c r="I125">
        <f>tblPlayers[minutes]</f>
        <v>243</v>
      </c>
      <c r="J125" s="2">
        <f>Table8[[#This Row],[Minutes]]/90</f>
        <v>2.7</v>
      </c>
      <c r="K125" s="5">
        <f>IFERROR(Z125/(FIXTURE_ANALYSIS!$B$1-1),0)</f>
        <v>1</v>
      </c>
      <c r="L125">
        <f>tblPlayers[total_points]</f>
        <v>21</v>
      </c>
      <c r="M125">
        <f>tblPlayers[points_per_game]</f>
        <v>7</v>
      </c>
      <c r="N125">
        <f>tblPlayers[form]</f>
        <v>7</v>
      </c>
      <c r="O125">
        <f>tblPlayers[expected_goals]</f>
        <v>1.5</v>
      </c>
      <c r="P125">
        <f>tblPlayers[expected_assists]</f>
        <v>0.4</v>
      </c>
      <c r="Q125">
        <f>tblPlayers[expected_goal_involvements]</f>
        <v>1.9</v>
      </c>
      <c r="R125" s="2">
        <f t="shared" si="25"/>
        <v>7.7777777777777777</v>
      </c>
      <c r="S125" s="5">
        <f t="shared" si="26"/>
        <v>0.55555555555555558</v>
      </c>
      <c r="T125" s="5">
        <f t="shared" si="27"/>
        <v>0.14814814814814817</v>
      </c>
      <c r="U125" s="5">
        <f t="shared" si="28"/>
        <v>0.70370370370370372</v>
      </c>
      <c r="V125" s="3">
        <f t="shared" si="29"/>
        <v>4.4680851063829783</v>
      </c>
      <c r="W125" s="5">
        <f t="shared" si="30"/>
        <v>0.40425531914893614</v>
      </c>
      <c r="X125" s="5">
        <f>IFERROR(IF(OR($B125="MID",$B125="FWD"),INDEX(FIXTURE_ANALYSIS!$Q:$Q,MATCH($D125,FIXTURE_ANALYSIS!$A:$A,0)),INDEX(FIXTURE_ANALYSIS!$R:$R,MATCH($D125,FIXTURE_ANALYSIS!$A:$A,0))),1)</f>
        <v>0.99748538507159212</v>
      </c>
      <c r="Y125" s="5">
        <f t="shared" si="31"/>
        <v>0.99748538507159212</v>
      </c>
      <c r="Z125" s="8">
        <f>INDEX(FPL_Raw_Data!$T:$T,MATCH(A125,FPL_Raw_Data!$AA:$AA,0))</f>
        <v>3</v>
      </c>
      <c r="AA125" s="8">
        <f>INDEX(FPL_Raw_Data!$S:$S,MATCH(A125,FPL_Raw_Data!$AA:$AA,0))</f>
        <v>8</v>
      </c>
      <c r="AB125" s="2">
        <f t="shared" si="32"/>
        <v>0.8</v>
      </c>
      <c r="AC125" s="2">
        <f>INDEX(FPL_Raw_Data!$Q:$Q,MATCH(A125,FPL_Raw_Data!$AA:$AA,0))</f>
        <v>2</v>
      </c>
      <c r="AD125" s="8">
        <f>INDEX(FPL_Raw_Data!$R:$R,MATCH(A125,FPL_Raw_Data!$AA:$AA,0))</f>
        <v>61</v>
      </c>
      <c r="AE125" s="8">
        <f>INDEX(FPL_Raw_Data!$N:$N,MATCH(A125,FPL_Raw_Data!$AA:$AA,0))</f>
        <v>1</v>
      </c>
      <c r="AF125" s="8">
        <f>INDEX(FPL_Raw_Data!$L:$L,MATCH(A125,FPL_Raw_Data!$AA:$AA,0))</f>
        <v>1</v>
      </c>
      <c r="AG125" s="2">
        <f>INDEX(FPL_Raw_Data!$M:$M,MATCH(A125,FPL_Raw_Data!$AA:$AA,0))</f>
        <v>2</v>
      </c>
      <c r="AH125" s="2">
        <f t="shared" si="33"/>
        <v>3.3333333333333335</v>
      </c>
      <c r="AI125" s="2">
        <f t="shared" si="34"/>
        <v>0.44444444444444453</v>
      </c>
      <c r="AJ125" s="2">
        <f t="shared" si="35"/>
        <v>2</v>
      </c>
      <c r="AK125" s="2">
        <f t="shared" si="36"/>
        <v>1.6</v>
      </c>
      <c r="AL125" s="2">
        <f t="shared" si="37"/>
        <v>0.33333333333333331</v>
      </c>
      <c r="AM125" s="2">
        <f t="shared" si="38"/>
        <v>1.3333333333333333</v>
      </c>
      <c r="AN125" s="2">
        <f t="shared" si="39"/>
        <v>0.66666666666666663</v>
      </c>
      <c r="AO125" s="3">
        <f t="shared" si="40"/>
        <v>88.3</v>
      </c>
      <c r="AP125">
        <f t="shared" si="41"/>
        <v>95.399999999999991</v>
      </c>
      <c r="AQ125">
        <f t="shared" si="42"/>
        <v>98.9</v>
      </c>
      <c r="AR125">
        <f t="shared" si="43"/>
        <v>99.8</v>
      </c>
      <c r="AS125" s="2">
        <f t="shared" si="44"/>
        <v>100</v>
      </c>
      <c r="AT125" s="2">
        <f>IFERROR(INDEX(Player_Model!$BC$2:$BC$596,MATCH($A125,Player_Model!$A$2:$A$596,0)),0)</f>
        <v>6.4068258936052054</v>
      </c>
      <c r="AU125" s="2">
        <f>Table8[[#This Row],[Model Expected Points]]*Table8[[#This Row],[Fixture Adjustment]]</f>
        <v>6.3907151935694353</v>
      </c>
      <c r="AV125" s="2">
        <f>Table8[[#This Row],[Fixture Adjusted Points / 90]]/Table8[[#This Row],[Price]]</f>
        <v>1.359726636929667</v>
      </c>
      <c r="AW125">
        <f t="shared" si="45"/>
        <v>95.399999999999991</v>
      </c>
      <c r="AX125">
        <f t="shared" si="46"/>
        <v>0.89874269253579608</v>
      </c>
      <c r="AY125" s="2">
        <f t="shared" si="47"/>
        <v>100</v>
      </c>
      <c r="AZ125" s="5">
        <f t="shared" si="48"/>
        <v>0.99748538507159212</v>
      </c>
      <c r="BA125">
        <f>Table8[[#This Row],[Model Score2]]</f>
        <v>6.4068258936052054</v>
      </c>
      <c r="BB125">
        <f>IFERROR(INDEX(Player_Model!$BG$2:$BG$596,MATCH($A125,Player_Model!$A$2:$A$596,0)),"")</f>
        <v>16</v>
      </c>
      <c r="BC125" t="str">
        <f t="shared" si="49"/>
        <v>AVOID</v>
      </c>
      <c r="BD125">
        <f>IF(H125=1,Table8[[#This Row],[Model Score]],-10000)</f>
        <v>6.4068258936052054</v>
      </c>
      <c r="BE125">
        <f>IFERROR(INDEX(Player_Model!$BF$2:$BF$596,MATCH($A125,Player_Model!$A$2:$A$596,0)),"")</f>
        <v>31</v>
      </c>
      <c r="BF125">
        <f>IFERROR(INDEX(Player_Model!$BG$2:$BG$596,MATCH($A125,Player_Model!$A$2:$A$596,0)),"")</f>
        <v>16</v>
      </c>
      <c r="BG125">
        <f>IFERROR(INDEX(Player_Model!$BE$2:$BE$596,MATCH($A125,Player_Model!$A$2:$A$596,0)),0)</f>
        <v>6.4068258936052054</v>
      </c>
    </row>
    <row r="126" spans="1:59" x14ac:dyDescent="0.25">
      <c r="A126" t="str">
        <f>tblPlayers[first_name]&amp;" "&amp;tblPlayers[second_name]</f>
        <v>Lewis Dunk</v>
      </c>
      <c r="B126" t="str">
        <f>_xlfn.SWITCH(tblPlayers[element_type],1,"GK",2,"DEF",3,"MID",4,"FWD")</f>
        <v>DEF</v>
      </c>
      <c r="C126">
        <f>tblPlayers[team]</f>
        <v>5</v>
      </c>
      <c r="D126" t="str">
        <f>INDEX(tblTeams[Column1.short_name],MATCH(C126,tblTeams[Column1.id],0))</f>
        <v>BHA</v>
      </c>
      <c r="E126" s="4">
        <f>INDEX(FPL_Raw_Data!$F:$F,MATCH(A126,FPL_Raw_Data!$AA:$AA,0))/10</f>
        <v>4.5</v>
      </c>
      <c r="F126" s="4" t="str">
        <f>tblPlayers[[#This Row],[status]]</f>
        <v>a</v>
      </c>
      <c r="G126" s="4" t="b">
        <f>tblPlayers[[#This Row],[can_select]]</f>
        <v>1</v>
      </c>
      <c r="H126">
        <f>IF(AND(Table8[[#This Row],[Availability Status]]="a",Table8[[#This Row],[Can Select]]=TRUE),1,0)</f>
        <v>1</v>
      </c>
      <c r="I126">
        <f>tblPlayers[minutes]</f>
        <v>270</v>
      </c>
      <c r="J126" s="2">
        <f>Table8[[#This Row],[Minutes]]/90</f>
        <v>3</v>
      </c>
      <c r="K126" s="5">
        <f>IFERROR(Z126/(FIXTURE_ANALYSIS!$B$1-1),0)</f>
        <v>1</v>
      </c>
      <c r="L126">
        <f>tblPlayers[total_points]</f>
        <v>10</v>
      </c>
      <c r="M126">
        <f>tblPlayers[points_per_game]</f>
        <v>3.3</v>
      </c>
      <c r="N126">
        <f>tblPlayers[form]</f>
        <v>3.3</v>
      </c>
      <c r="O126">
        <f>tblPlayers[expected_goals]</f>
        <v>0</v>
      </c>
      <c r="P126">
        <f>tblPlayers[expected_assists]</f>
        <v>0.06</v>
      </c>
      <c r="Q126">
        <f>tblPlayers[expected_goal_involvements]</f>
        <v>0.06</v>
      </c>
      <c r="R126" s="2">
        <f t="shared" si="25"/>
        <v>3.333333333333333</v>
      </c>
      <c r="S126" s="5">
        <f t="shared" si="26"/>
        <v>0</v>
      </c>
      <c r="T126" s="5">
        <f t="shared" si="27"/>
        <v>1.9999999999999997E-2</v>
      </c>
      <c r="U126" s="5">
        <f t="shared" si="28"/>
        <v>1.9999999999999997E-2</v>
      </c>
      <c r="V126" s="3">
        <f t="shared" si="29"/>
        <v>2.2222222222222223</v>
      </c>
      <c r="W126" s="5">
        <f t="shared" si="30"/>
        <v>1.3333333333333332E-2</v>
      </c>
      <c r="X126" s="5">
        <f>IFERROR(IF(OR($B126="MID",$B126="FWD"),INDEX(FIXTURE_ANALYSIS!$Q:$Q,MATCH($D126,FIXTURE_ANALYSIS!$A:$A,0)),INDEX(FIXTURE_ANALYSIS!$R:$R,MATCH($D126,FIXTURE_ANALYSIS!$A:$A,0))),1)</f>
        <v>0.99748538507159212</v>
      </c>
      <c r="Y126" s="5">
        <f t="shared" si="31"/>
        <v>0.99748538507159212</v>
      </c>
      <c r="Z126" s="8">
        <f>INDEX(FPL_Raw_Data!$T:$T,MATCH(A126,FPL_Raw_Data!$AA:$AA,0))</f>
        <v>3</v>
      </c>
      <c r="AA126" s="8">
        <f>INDEX(FPL_Raw_Data!$S:$S,MATCH(A126,FPL_Raw_Data!$AA:$AA,0))</f>
        <v>17</v>
      </c>
      <c r="AB126" s="2">
        <f t="shared" si="32"/>
        <v>1</v>
      </c>
      <c r="AC126" s="2">
        <f>INDEX(FPL_Raw_Data!$Q:$Q,MATCH(A126,FPL_Raw_Data!$AA:$AA,0))</f>
        <v>1</v>
      </c>
      <c r="AD126" s="8">
        <f>INDEX(FPL_Raw_Data!$R:$R,MATCH(A126,FPL_Raw_Data!$AA:$AA,0))</f>
        <v>40</v>
      </c>
      <c r="AE126" s="8">
        <f>INDEX(FPL_Raw_Data!$N:$N,MATCH(A126,FPL_Raw_Data!$AA:$AA,0))</f>
        <v>1</v>
      </c>
      <c r="AF126" s="8">
        <f>INDEX(FPL_Raw_Data!$L:$L,MATCH(A126,FPL_Raw_Data!$AA:$AA,0))</f>
        <v>0</v>
      </c>
      <c r="AG126" s="2">
        <f>INDEX(FPL_Raw_Data!$M:$M,MATCH(A126,FPL_Raw_Data!$AA:$AA,0))</f>
        <v>0</v>
      </c>
      <c r="AH126" s="2">
        <f t="shared" si="33"/>
        <v>0</v>
      </c>
      <c r="AI126" s="2">
        <f t="shared" si="34"/>
        <v>5.9999999999999991E-2</v>
      </c>
      <c r="AJ126" s="2">
        <f t="shared" si="35"/>
        <v>2</v>
      </c>
      <c r="AK126" s="2">
        <f t="shared" si="36"/>
        <v>2</v>
      </c>
      <c r="AL126" s="2">
        <f t="shared" si="37"/>
        <v>0.33333333333333331</v>
      </c>
      <c r="AM126" s="2">
        <f t="shared" si="38"/>
        <v>1.3333333333333333</v>
      </c>
      <c r="AN126" s="2">
        <f t="shared" si="39"/>
        <v>0.33333333333333331</v>
      </c>
      <c r="AO126" s="3">
        <f t="shared" si="40"/>
        <v>62.2</v>
      </c>
      <c r="AP126">
        <f t="shared" si="41"/>
        <v>54.800000000000004</v>
      </c>
      <c r="AQ126">
        <f t="shared" si="42"/>
        <v>89.2</v>
      </c>
      <c r="AR126">
        <f t="shared" si="43"/>
        <v>62.2</v>
      </c>
      <c r="AS126" s="2">
        <f t="shared" si="44"/>
        <v>100</v>
      </c>
      <c r="AT126" s="2">
        <f>IFERROR(INDEX(Player_Model!$BC$2:$BC$596,MATCH($A126,Player_Model!$A$2:$A$596,0)),0)</f>
        <v>3.7243751481455125</v>
      </c>
      <c r="AU126" s="2">
        <f>Table8[[#This Row],[Model Expected Points]]*Table8[[#This Row],[Fixture Adjustment]]</f>
        <v>3.7150097787989944</v>
      </c>
      <c r="AV126" s="2">
        <f>Table8[[#This Row],[Fixture Adjusted Points / 90]]/Table8[[#This Row],[Price]]</f>
        <v>0.82555772862199872</v>
      </c>
      <c r="AW126">
        <f t="shared" si="45"/>
        <v>54.800000000000004</v>
      </c>
      <c r="AX126">
        <f t="shared" si="46"/>
        <v>0.99874269253579606</v>
      </c>
      <c r="AY126" s="2">
        <f t="shared" si="47"/>
        <v>100</v>
      </c>
      <c r="AZ126" s="5">
        <f t="shared" si="48"/>
        <v>0.99748538507159212</v>
      </c>
      <c r="BA126">
        <f>Table8[[#This Row],[Model Score2]]</f>
        <v>3.7243751481455125</v>
      </c>
      <c r="BB126">
        <f>IFERROR(INDEX(Player_Model!$BG$2:$BG$596,MATCH($A126,Player_Model!$A$2:$A$596,0)),"")</f>
        <v>55</v>
      </c>
      <c r="BC126" t="str">
        <f t="shared" si="49"/>
        <v>AVOID</v>
      </c>
      <c r="BD126">
        <f>IF(H126=1,Table8[[#This Row],[Model Score]],-10000)</f>
        <v>3.7243751481455125</v>
      </c>
      <c r="BE126">
        <f>IFERROR(INDEX(Player_Model!$BF$2:$BF$596,MATCH($A126,Player_Model!$A$2:$A$596,0)),"")</f>
        <v>172</v>
      </c>
      <c r="BF126">
        <f>IFERROR(INDEX(Player_Model!$BG$2:$BG$596,MATCH($A126,Player_Model!$A$2:$A$596,0)),"")</f>
        <v>55</v>
      </c>
      <c r="BG126">
        <f>IFERROR(INDEX(Player_Model!$BE$2:$BE$596,MATCH($A126,Player_Model!$A$2:$A$596,0)),0)</f>
        <v>3.7243751481455125</v>
      </c>
    </row>
    <row r="127" spans="1:59" x14ac:dyDescent="0.25">
      <c r="A127" t="str">
        <f>tblPlayers[first_name]&amp;" "&amp;tblPlayers[second_name]</f>
        <v>Diego Coppola</v>
      </c>
      <c r="B127" t="str">
        <f>_xlfn.SWITCH(tblPlayers[element_type],1,"GK",2,"DEF",3,"MID",4,"FWD")</f>
        <v>DEF</v>
      </c>
      <c r="C127">
        <f>tblPlayers[team]</f>
        <v>5</v>
      </c>
      <c r="D127" t="str">
        <f>INDEX(tblTeams[Column1.short_name],MATCH(C127,tblTeams[Column1.id],0))</f>
        <v>BHA</v>
      </c>
      <c r="E127" s="4">
        <f>INDEX(FPL_Raw_Data!$F:$F,MATCH(A127,FPL_Raw_Data!$AA:$AA,0))/10</f>
        <v>4.5</v>
      </c>
      <c r="F127" s="4" t="str">
        <f>tblPlayers[[#This Row],[status]]</f>
        <v>a</v>
      </c>
      <c r="G127" s="4" t="b">
        <f>tblPlayers[[#This Row],[can_select]]</f>
        <v>1</v>
      </c>
      <c r="H127">
        <f>IF(AND(Table8[[#This Row],[Availability Status]]="a",Table8[[#This Row],[Can Select]]=TRUE),1,0)</f>
        <v>1</v>
      </c>
      <c r="I127">
        <f>tblPlayers[minutes]</f>
        <v>0</v>
      </c>
      <c r="J127" s="2">
        <f>Table8[[#This Row],[Minutes]]/90</f>
        <v>0</v>
      </c>
      <c r="K127" s="5">
        <f>IFERROR(Z127/(FIXTURE_ANALYSIS!$B$1-1),0)</f>
        <v>0</v>
      </c>
      <c r="L127">
        <f>tblPlayers[total_points]</f>
        <v>0</v>
      </c>
      <c r="M127">
        <f>tblPlayers[points_per_game]</f>
        <v>0</v>
      </c>
      <c r="N127">
        <f>tblPlayers[form]</f>
        <v>0</v>
      </c>
      <c r="O127">
        <f>tblPlayers[expected_goals]</f>
        <v>0</v>
      </c>
      <c r="P127">
        <f>tblPlayers[expected_assists]</f>
        <v>0</v>
      </c>
      <c r="Q127">
        <f>tblPlayers[expected_goal_involvements]</f>
        <v>0</v>
      </c>
      <c r="R127" s="2">
        <f t="shared" si="25"/>
        <v>0</v>
      </c>
      <c r="S127" s="5">
        <f t="shared" si="26"/>
        <v>0</v>
      </c>
      <c r="T127" s="5">
        <f t="shared" si="27"/>
        <v>0</v>
      </c>
      <c r="U127" s="5">
        <f t="shared" si="28"/>
        <v>0</v>
      </c>
      <c r="V127" s="3">
        <f t="shared" si="29"/>
        <v>0</v>
      </c>
      <c r="W127" s="5">
        <f t="shared" si="30"/>
        <v>0</v>
      </c>
      <c r="X127" s="5">
        <f>IFERROR(IF(OR($B127="MID",$B127="FWD"),INDEX(FIXTURE_ANALYSIS!$Q:$Q,MATCH($D127,FIXTURE_ANALYSIS!$A:$A,0)),INDEX(FIXTURE_ANALYSIS!$R:$R,MATCH($D127,FIXTURE_ANALYSIS!$A:$A,0))),1)</f>
        <v>0.99748538507159212</v>
      </c>
      <c r="Y127" s="5">
        <f t="shared" si="31"/>
        <v>0.99748538507159212</v>
      </c>
      <c r="Z127" s="8">
        <f>INDEX(FPL_Raw_Data!$T:$T,MATCH(A127,FPL_Raw_Data!$AA:$AA,0))</f>
        <v>0</v>
      </c>
      <c r="AA127" s="8">
        <f>INDEX(FPL_Raw_Data!$S:$S,MATCH(A127,FPL_Raw_Data!$AA:$AA,0))</f>
        <v>0</v>
      </c>
      <c r="AB127" s="2">
        <f t="shared" si="32"/>
        <v>0</v>
      </c>
      <c r="AC127" s="2">
        <f>INDEX(FPL_Raw_Data!$Q:$Q,MATCH(A127,FPL_Raw_Data!$AA:$AA,0))</f>
        <v>0</v>
      </c>
      <c r="AD127" s="8">
        <f>INDEX(FPL_Raw_Data!$R:$R,MATCH(A127,FPL_Raw_Data!$AA:$AA,0))</f>
        <v>0</v>
      </c>
      <c r="AE127" s="8">
        <f>INDEX(FPL_Raw_Data!$N:$N,MATCH(A127,FPL_Raw_Data!$AA:$AA,0))</f>
        <v>0</v>
      </c>
      <c r="AF127" s="8">
        <f>INDEX(FPL_Raw_Data!$L:$L,MATCH(A127,FPL_Raw_Data!$AA:$AA,0))</f>
        <v>0</v>
      </c>
      <c r="AG127" s="2">
        <f>INDEX(FPL_Raw_Data!$M:$M,MATCH(A127,FPL_Raw_Data!$AA:$AA,0))</f>
        <v>0</v>
      </c>
      <c r="AH127" s="2">
        <f t="shared" si="33"/>
        <v>0</v>
      </c>
      <c r="AI127" s="2">
        <f t="shared" si="34"/>
        <v>0</v>
      </c>
      <c r="AJ127" s="2">
        <f t="shared" si="35"/>
        <v>0</v>
      </c>
      <c r="AK127" s="2">
        <f t="shared" si="36"/>
        <v>0</v>
      </c>
      <c r="AL127" s="2">
        <f t="shared" si="37"/>
        <v>0</v>
      </c>
      <c r="AM127" s="2">
        <f t="shared" si="38"/>
        <v>0</v>
      </c>
      <c r="AN127" s="2">
        <f t="shared" si="39"/>
        <v>0</v>
      </c>
      <c r="AO127" s="3">
        <f t="shared" si="40"/>
        <v>0.1</v>
      </c>
      <c r="AP127">
        <f t="shared" si="41"/>
        <v>0</v>
      </c>
      <c r="AQ127">
        <f t="shared" si="42"/>
        <v>0.1</v>
      </c>
      <c r="AR127">
        <f t="shared" si="43"/>
        <v>0</v>
      </c>
      <c r="AS127" s="2">
        <f t="shared" si="44"/>
        <v>0</v>
      </c>
      <c r="AT127" s="2">
        <f>IFERROR(INDEX(Player_Model!$BC$2:$BC$596,MATCH($A127,Player_Model!$A$2:$A$596,0)),0)</f>
        <v>-0.83123782089299347</v>
      </c>
      <c r="AU127" s="2">
        <f>Table8[[#This Row],[Model Expected Points]]*Table8[[#This Row],[Fixture Adjustment]]</f>
        <v>-0.82914757785951876</v>
      </c>
      <c r="AV127" s="2">
        <f>Table8[[#This Row],[Fixture Adjusted Points / 90]]/Table8[[#This Row],[Price]]</f>
        <v>-0.18425501730211527</v>
      </c>
      <c r="AW127">
        <f t="shared" si="45"/>
        <v>0</v>
      </c>
      <c r="AX127">
        <f t="shared" si="46"/>
        <v>0.49874269253579606</v>
      </c>
      <c r="AY127" s="2">
        <f t="shared" si="47"/>
        <v>0</v>
      </c>
      <c r="AZ127" s="5">
        <f t="shared" si="48"/>
        <v>0.99748538507159212</v>
      </c>
      <c r="BA127">
        <f>Table8[[#This Row],[Model Score2]]</f>
        <v>-0.83123782089299347</v>
      </c>
      <c r="BB127">
        <f>IFERROR(INDEX(Player_Model!$BG$2:$BG$596,MATCH($A127,Player_Model!$A$2:$A$596,0)),"")</f>
        <v>157</v>
      </c>
      <c r="BC127" t="str">
        <f t="shared" si="49"/>
        <v>AVOID</v>
      </c>
      <c r="BD127">
        <f>IF(H127=1,Table8[[#This Row],[Model Score]],-10000)</f>
        <v>-0.83123782089299347</v>
      </c>
      <c r="BE127">
        <f>IFERROR(INDEX(Player_Model!$BF$2:$BF$596,MATCH($A127,Player_Model!$A$2:$A$596,0)),"")</f>
        <v>560</v>
      </c>
      <c r="BF127">
        <f>IFERROR(INDEX(Player_Model!$BG$2:$BG$596,MATCH($A127,Player_Model!$A$2:$A$596,0)),"")</f>
        <v>157</v>
      </c>
      <c r="BG127">
        <f>IFERROR(INDEX(Player_Model!$BE$2:$BE$596,MATCH($A127,Player_Model!$A$2:$A$596,0)),0)</f>
        <v>-0.83123782089299347</v>
      </c>
    </row>
    <row r="128" spans="1:59" x14ac:dyDescent="0.25">
      <c r="A128" t="str">
        <f>tblPlayers[first_name]&amp;" "&amp;tblPlayers[second_name]</f>
        <v>Igor Julio dos Santos de Paulo</v>
      </c>
      <c r="B128" t="str">
        <f>_xlfn.SWITCH(tblPlayers[element_type],1,"GK",2,"DEF",3,"MID",4,"FWD")</f>
        <v>DEF</v>
      </c>
      <c r="C128">
        <f>tblPlayers[team]</f>
        <v>5</v>
      </c>
      <c r="D128" t="str">
        <f>INDEX(tblTeams[Column1.short_name],MATCH(C128,tblTeams[Column1.id],0))</f>
        <v>BHA</v>
      </c>
      <c r="E128" s="4">
        <f>INDEX(FPL_Raw_Data!$F:$F,MATCH(A128,FPL_Raw_Data!$AA:$AA,0))/10</f>
        <v>4.5</v>
      </c>
      <c r="F128" s="4" t="str">
        <f>tblPlayers[[#This Row],[status]]</f>
        <v>u</v>
      </c>
      <c r="G128" s="4" t="b">
        <f>tblPlayers[[#This Row],[can_select]]</f>
        <v>0</v>
      </c>
      <c r="H128">
        <f>IF(AND(Table8[[#This Row],[Availability Status]]="a",Table8[[#This Row],[Can Select]]=TRUE),1,0)</f>
        <v>0</v>
      </c>
      <c r="I128">
        <f>tblPlayers[minutes]</f>
        <v>0</v>
      </c>
      <c r="J128" s="2">
        <f>Table8[[#This Row],[Minutes]]/90</f>
        <v>0</v>
      </c>
      <c r="K128" s="5">
        <f>IFERROR(Z128/(FIXTURE_ANALYSIS!$B$1-1),0)</f>
        <v>0</v>
      </c>
      <c r="L128">
        <f>tblPlayers[total_points]</f>
        <v>0</v>
      </c>
      <c r="M128">
        <f>tblPlayers[points_per_game]</f>
        <v>0</v>
      </c>
      <c r="N128">
        <f>tblPlayers[form]</f>
        <v>0</v>
      </c>
      <c r="O128">
        <f>tblPlayers[expected_goals]</f>
        <v>0</v>
      </c>
      <c r="P128">
        <f>tblPlayers[expected_assists]</f>
        <v>0</v>
      </c>
      <c r="Q128">
        <f>tblPlayers[expected_goal_involvements]</f>
        <v>0</v>
      </c>
      <c r="R128" s="2">
        <f t="shared" si="25"/>
        <v>0</v>
      </c>
      <c r="S128" s="5">
        <f t="shared" si="26"/>
        <v>0</v>
      </c>
      <c r="T128" s="5">
        <f t="shared" si="27"/>
        <v>0</v>
      </c>
      <c r="U128" s="5">
        <f t="shared" si="28"/>
        <v>0</v>
      </c>
      <c r="V128" s="3">
        <f t="shared" si="29"/>
        <v>0</v>
      </c>
      <c r="W128" s="5">
        <f t="shared" si="30"/>
        <v>0</v>
      </c>
      <c r="X128" s="5">
        <f>IFERROR(IF(OR($B128="MID",$B128="FWD"),INDEX(FIXTURE_ANALYSIS!$Q:$Q,MATCH($D128,FIXTURE_ANALYSIS!$A:$A,0)),INDEX(FIXTURE_ANALYSIS!$R:$R,MATCH($D128,FIXTURE_ANALYSIS!$A:$A,0))),1)</f>
        <v>0.99748538507159212</v>
      </c>
      <c r="Y128" s="5">
        <f t="shared" si="31"/>
        <v>0.99748538507159212</v>
      </c>
      <c r="Z128" s="8">
        <f>INDEX(FPL_Raw_Data!$T:$T,MATCH(A128,FPL_Raw_Data!$AA:$AA,0))</f>
        <v>0</v>
      </c>
      <c r="AA128" s="8">
        <f>INDEX(FPL_Raw_Data!$S:$S,MATCH(A128,FPL_Raw_Data!$AA:$AA,0))</f>
        <v>0</v>
      </c>
      <c r="AB128" s="2">
        <f t="shared" si="32"/>
        <v>0</v>
      </c>
      <c r="AC128" s="2">
        <f>INDEX(FPL_Raw_Data!$Q:$Q,MATCH(A128,FPL_Raw_Data!$AA:$AA,0))</f>
        <v>0</v>
      </c>
      <c r="AD128" s="8">
        <f>INDEX(FPL_Raw_Data!$R:$R,MATCH(A128,FPL_Raw_Data!$AA:$AA,0))</f>
        <v>0</v>
      </c>
      <c r="AE128" s="8">
        <f>INDEX(FPL_Raw_Data!$N:$N,MATCH(A128,FPL_Raw_Data!$AA:$AA,0))</f>
        <v>0</v>
      </c>
      <c r="AF128" s="8">
        <f>INDEX(FPL_Raw_Data!$L:$L,MATCH(A128,FPL_Raw_Data!$AA:$AA,0))</f>
        <v>0</v>
      </c>
      <c r="AG128" s="2">
        <f>INDEX(FPL_Raw_Data!$M:$M,MATCH(A128,FPL_Raw_Data!$AA:$AA,0))</f>
        <v>0</v>
      </c>
      <c r="AH128" s="2">
        <f t="shared" si="33"/>
        <v>0</v>
      </c>
      <c r="AI128" s="2">
        <f t="shared" si="34"/>
        <v>0</v>
      </c>
      <c r="AJ128" s="2">
        <f t="shared" si="35"/>
        <v>0</v>
      </c>
      <c r="AK128" s="2">
        <f t="shared" si="36"/>
        <v>0</v>
      </c>
      <c r="AL128" s="2">
        <f t="shared" si="37"/>
        <v>0</v>
      </c>
      <c r="AM128" s="2">
        <f t="shared" si="38"/>
        <v>0</v>
      </c>
      <c r="AN128" s="2">
        <f t="shared" si="39"/>
        <v>0</v>
      </c>
      <c r="AO128" s="3">
        <f t="shared" si="40"/>
        <v>0.1</v>
      </c>
      <c r="AP128">
        <f t="shared" si="41"/>
        <v>0</v>
      </c>
      <c r="AQ128">
        <f t="shared" si="42"/>
        <v>0.1</v>
      </c>
      <c r="AR128">
        <f t="shared" si="43"/>
        <v>0</v>
      </c>
      <c r="AS128" s="2">
        <f t="shared" si="44"/>
        <v>0</v>
      </c>
      <c r="AT128" s="2">
        <f>IFERROR(INDEX(Player_Model!$BC$2:$BC$596,MATCH($A128,Player_Model!$A$2:$A$596,0)),0)</f>
        <v>-0.83123782089299347</v>
      </c>
      <c r="AU128" s="2">
        <f>Table8[[#This Row],[Model Expected Points]]*Table8[[#This Row],[Fixture Adjustment]]</f>
        <v>-0.82914757785951876</v>
      </c>
      <c r="AV128" s="2">
        <f>Table8[[#This Row],[Fixture Adjusted Points / 90]]/Table8[[#This Row],[Price]]</f>
        <v>-0.18425501730211527</v>
      </c>
      <c r="AW128">
        <f t="shared" si="45"/>
        <v>0</v>
      </c>
      <c r="AX128">
        <f t="shared" si="46"/>
        <v>0.49874269253579606</v>
      </c>
      <c r="AY128" s="2">
        <f t="shared" si="47"/>
        <v>0</v>
      </c>
      <c r="AZ128" s="5">
        <f t="shared" si="48"/>
        <v>0.99748538507159212</v>
      </c>
      <c r="BA128">
        <f>Table8[[#This Row],[Model Score2]]</f>
        <v>-0.83123782089299347</v>
      </c>
      <c r="BB128">
        <f>IFERROR(INDEX(Player_Model!$BG$2:$BG$596,MATCH($A128,Player_Model!$A$2:$A$596,0)),"")</f>
        <v>158</v>
      </c>
      <c r="BC128" t="str">
        <f t="shared" si="49"/>
        <v>AVOID</v>
      </c>
      <c r="BD128">
        <f>IF(H128=1,Table8[[#This Row],[Model Score]],-10000)</f>
        <v>-10000</v>
      </c>
      <c r="BE128">
        <f>IFERROR(INDEX(Player_Model!$BF$2:$BF$596,MATCH($A128,Player_Model!$A$2:$A$596,0)),"")</f>
        <v>560</v>
      </c>
      <c r="BF128">
        <f>IFERROR(INDEX(Player_Model!$BG$2:$BG$596,MATCH($A128,Player_Model!$A$2:$A$596,0)),"")</f>
        <v>158</v>
      </c>
      <c r="BG128">
        <f>IFERROR(INDEX(Player_Model!$BE$2:$BE$596,MATCH($A128,Player_Model!$A$2:$A$596,0)),0)</f>
        <v>-0.83123782089299347</v>
      </c>
    </row>
    <row r="129" spans="1:59" x14ac:dyDescent="0.25">
      <c r="A129" t="str">
        <f>tblPlayers[first_name]&amp;" "&amp;tblPlayers[second_name]</f>
        <v>João Pedro Loureiro da Costa</v>
      </c>
      <c r="B129" t="str">
        <f>_xlfn.SWITCH(tblPlayers[element_type],1,"GK",2,"DEF",3,"MID",4,"FWD")</f>
        <v>DEF</v>
      </c>
      <c r="C129">
        <f>tblPlayers[team]</f>
        <v>5</v>
      </c>
      <c r="D129" t="str">
        <f>INDEX(tblTeams[Column1.short_name],MATCH(C129,tblTeams[Column1.id],0))</f>
        <v>BHA</v>
      </c>
      <c r="E129" s="4">
        <f>INDEX(FPL_Raw_Data!$F:$F,MATCH(A129,FPL_Raw_Data!$AA:$AA,0))/10</f>
        <v>4.5</v>
      </c>
      <c r="F129" s="4" t="str">
        <f>tblPlayers[[#This Row],[status]]</f>
        <v>a</v>
      </c>
      <c r="G129" s="4" t="b">
        <f>tblPlayers[[#This Row],[can_select]]</f>
        <v>1</v>
      </c>
      <c r="H129">
        <f>IF(AND(Table8[[#This Row],[Availability Status]]="a",Table8[[#This Row],[Can Select]]=TRUE),1,0)</f>
        <v>1</v>
      </c>
      <c r="I129">
        <f>tblPlayers[minutes]</f>
        <v>48</v>
      </c>
      <c r="J129" s="2">
        <f>Table8[[#This Row],[Minutes]]/90</f>
        <v>0.53333333333333333</v>
      </c>
      <c r="K129" s="5">
        <f>IFERROR(Z129/(FIXTURE_ANALYSIS!$B$1-1),0)</f>
        <v>0</v>
      </c>
      <c r="L129">
        <f>tblPlayers[total_points]</f>
        <v>2</v>
      </c>
      <c r="M129">
        <f>tblPlayers[points_per_game]</f>
        <v>0.7</v>
      </c>
      <c r="N129">
        <f>tblPlayers[form]</f>
        <v>0.7</v>
      </c>
      <c r="O129">
        <f>tblPlayers[expected_goals]</f>
        <v>0.12</v>
      </c>
      <c r="P129">
        <f>tblPlayers[expected_assists]</f>
        <v>0.16</v>
      </c>
      <c r="Q129">
        <f>tblPlayers[expected_goal_involvements]</f>
        <v>0.28000000000000003</v>
      </c>
      <c r="R129" s="2">
        <f t="shared" si="25"/>
        <v>3.75</v>
      </c>
      <c r="S129" s="5">
        <f t="shared" si="26"/>
        <v>0.22500000000000001</v>
      </c>
      <c r="T129" s="5">
        <f t="shared" si="27"/>
        <v>0.30000000000000004</v>
      </c>
      <c r="U129" s="5">
        <f t="shared" si="28"/>
        <v>0.52500000000000002</v>
      </c>
      <c r="V129" s="3">
        <f t="shared" si="29"/>
        <v>0.44444444444444442</v>
      </c>
      <c r="W129" s="5">
        <f t="shared" si="30"/>
        <v>6.2222222222222227E-2</v>
      </c>
      <c r="X129" s="5">
        <f>IFERROR(IF(OR($B129="MID",$B129="FWD"),INDEX(FIXTURE_ANALYSIS!$Q:$Q,MATCH($D129,FIXTURE_ANALYSIS!$A:$A,0)),INDEX(FIXTURE_ANALYSIS!$R:$R,MATCH($D129,FIXTURE_ANALYSIS!$A:$A,0))),1)</f>
        <v>0.99748538507159212</v>
      </c>
      <c r="Y129" s="5">
        <f t="shared" si="31"/>
        <v>0.99748538507159212</v>
      </c>
      <c r="Z129" s="8">
        <f>INDEX(FPL_Raw_Data!$T:$T,MATCH(A129,FPL_Raw_Data!$AA:$AA,0))</f>
        <v>0</v>
      </c>
      <c r="AA129" s="8">
        <f>INDEX(FPL_Raw_Data!$S:$S,MATCH(A129,FPL_Raw_Data!$AA:$AA,0))</f>
        <v>5</v>
      </c>
      <c r="AB129" s="2">
        <f t="shared" si="32"/>
        <v>0.5</v>
      </c>
      <c r="AC129" s="2">
        <f>INDEX(FPL_Raw_Data!$Q:$Q,MATCH(A129,FPL_Raw_Data!$AA:$AA,0))</f>
        <v>0</v>
      </c>
      <c r="AD129" s="8">
        <f>INDEX(FPL_Raw_Data!$R:$R,MATCH(A129,FPL_Raw_Data!$AA:$AA,0))</f>
        <v>13</v>
      </c>
      <c r="AE129" s="8">
        <f>INDEX(FPL_Raw_Data!$N:$N,MATCH(A129,FPL_Raw_Data!$AA:$AA,0))</f>
        <v>0</v>
      </c>
      <c r="AF129" s="8">
        <f>INDEX(FPL_Raw_Data!$L:$L,MATCH(A129,FPL_Raw_Data!$AA:$AA,0))</f>
        <v>0</v>
      </c>
      <c r="AG129" s="2">
        <f>INDEX(FPL_Raw_Data!$M:$M,MATCH(A129,FPL_Raw_Data!$AA:$AA,0))</f>
        <v>0</v>
      </c>
      <c r="AH129" s="2">
        <f t="shared" si="33"/>
        <v>1.35</v>
      </c>
      <c r="AI129" s="2">
        <f t="shared" si="34"/>
        <v>0.90000000000000013</v>
      </c>
      <c r="AJ129" s="2">
        <f t="shared" si="35"/>
        <v>0</v>
      </c>
      <c r="AK129" s="2">
        <f t="shared" si="36"/>
        <v>1</v>
      </c>
      <c r="AL129" s="2">
        <f t="shared" si="37"/>
        <v>0</v>
      </c>
      <c r="AM129" s="2">
        <f t="shared" si="38"/>
        <v>0</v>
      </c>
      <c r="AN129" s="2">
        <f t="shared" si="39"/>
        <v>0</v>
      </c>
      <c r="AO129" s="3">
        <f t="shared" si="40"/>
        <v>68</v>
      </c>
      <c r="AP129">
        <f t="shared" si="41"/>
        <v>92.5</v>
      </c>
      <c r="AQ129">
        <f t="shared" si="42"/>
        <v>56.000000000000007</v>
      </c>
      <c r="AR129">
        <f t="shared" si="43"/>
        <v>78.2</v>
      </c>
      <c r="AS129" s="2">
        <f t="shared" si="44"/>
        <v>0</v>
      </c>
      <c r="AT129" s="2">
        <f>IFERROR(INDEX(Player_Model!$BC$2:$BC$596,MATCH($A129,Player_Model!$A$2:$A$596,0)),0)</f>
        <v>-0.83123782089299347</v>
      </c>
      <c r="AU129" s="2">
        <f>Table8[[#This Row],[Model Expected Points]]*Table8[[#This Row],[Fixture Adjustment]]</f>
        <v>-0.82914757785951876</v>
      </c>
      <c r="AV129" s="2">
        <f>Table8[[#This Row],[Fixture Adjusted Points / 90]]/Table8[[#This Row],[Price]]</f>
        <v>-0.18425501730211527</v>
      </c>
      <c r="AW129">
        <f t="shared" si="45"/>
        <v>92.5</v>
      </c>
      <c r="AX129">
        <f t="shared" si="46"/>
        <v>0.74874269253579606</v>
      </c>
      <c r="AY129" s="2">
        <f t="shared" si="47"/>
        <v>0</v>
      </c>
      <c r="AZ129" s="5">
        <f t="shared" si="48"/>
        <v>0.99748538507159212</v>
      </c>
      <c r="BA129">
        <f>Table8[[#This Row],[Model Score2]]</f>
        <v>-0.83123782089299347</v>
      </c>
      <c r="BB129">
        <f>IFERROR(INDEX(Player_Model!$BG$2:$BG$596,MATCH($A129,Player_Model!$A$2:$A$596,0)),"")</f>
        <v>159</v>
      </c>
      <c r="BC129" t="str">
        <f t="shared" si="49"/>
        <v>AVOID</v>
      </c>
      <c r="BD129">
        <f>IF(H129=1,Table8[[#This Row],[Model Score]],-10000)</f>
        <v>-0.83123782089299347</v>
      </c>
      <c r="BE129">
        <f>IFERROR(INDEX(Player_Model!$BF$2:$BF$596,MATCH($A129,Player_Model!$A$2:$A$596,0)),"")</f>
        <v>560</v>
      </c>
      <c r="BF129">
        <f>IFERROR(INDEX(Player_Model!$BG$2:$BG$596,MATCH($A129,Player_Model!$A$2:$A$596,0)),"")</f>
        <v>159</v>
      </c>
      <c r="BG129">
        <f>IFERROR(INDEX(Player_Model!$BE$2:$BE$596,MATCH($A129,Player_Model!$A$2:$A$596,0)),0)</f>
        <v>-0.83123782089299347</v>
      </c>
    </row>
    <row r="130" spans="1:59" x14ac:dyDescent="0.25">
      <c r="A130" t="str">
        <f>tblPlayers[first_name]&amp;" "&amp;tblPlayers[second_name]</f>
        <v>Michael Svoboda</v>
      </c>
      <c r="B130" t="str">
        <f>_xlfn.SWITCH(tblPlayers[element_type],1,"GK",2,"DEF",3,"MID",4,"FWD")</f>
        <v>DEF</v>
      </c>
      <c r="C130">
        <f>tblPlayers[team]</f>
        <v>5</v>
      </c>
      <c r="D130" t="str">
        <f>INDEX(tblTeams[Column1.short_name],MATCH(C130,tblTeams[Column1.id],0))</f>
        <v>BHA</v>
      </c>
      <c r="E130" s="4">
        <f>INDEX(FPL_Raw_Data!$F:$F,MATCH(A130,FPL_Raw_Data!$AA:$AA,0))/10</f>
        <v>5</v>
      </c>
      <c r="F130" s="4" t="str">
        <f>tblPlayers[[#This Row],[status]]</f>
        <v>a</v>
      </c>
      <c r="G130" s="4" t="b">
        <f>tblPlayers[[#This Row],[can_select]]</f>
        <v>1</v>
      </c>
      <c r="H130">
        <f>IF(AND(Table8[[#This Row],[Availability Status]]="a",Table8[[#This Row],[Can Select]]=TRUE),1,0)</f>
        <v>1</v>
      </c>
      <c r="I130">
        <f>tblPlayers[minutes]</f>
        <v>0</v>
      </c>
      <c r="J130" s="2">
        <f>Table8[[#This Row],[Minutes]]/90</f>
        <v>0</v>
      </c>
      <c r="K130" s="5">
        <f>IFERROR(Z130/(FIXTURE_ANALYSIS!$B$1-1),0)</f>
        <v>0</v>
      </c>
      <c r="L130">
        <f>tblPlayers[total_points]</f>
        <v>0</v>
      </c>
      <c r="M130">
        <f>tblPlayers[points_per_game]</f>
        <v>0</v>
      </c>
      <c r="N130">
        <f>tblPlayers[form]</f>
        <v>0</v>
      </c>
      <c r="O130">
        <f>tblPlayers[expected_goals]</f>
        <v>0</v>
      </c>
      <c r="P130">
        <f>tblPlayers[expected_assists]</f>
        <v>0</v>
      </c>
      <c r="Q130">
        <f>tblPlayers[expected_goal_involvements]</f>
        <v>0</v>
      </c>
      <c r="R130" s="2">
        <f t="shared" ref="R130:R193" si="50">IF(I130=0,0,L130/I130*90)</f>
        <v>0</v>
      </c>
      <c r="S130" s="5">
        <f t="shared" ref="S130:S193" si="51">IF(I130=0,0,O130/I130*90)</f>
        <v>0</v>
      </c>
      <c r="T130" s="5">
        <f t="shared" ref="T130:T193" si="52">IF(I130=0,0,P130/I130*90)</f>
        <v>0</v>
      </c>
      <c r="U130" s="5">
        <f t="shared" ref="U130:U193" si="53">IF(I130=0,0,Q130/I130*90)</f>
        <v>0</v>
      </c>
      <c r="V130" s="3">
        <f t="shared" ref="V130:V193" si="54">IF(E130=0,0,L130/E130)</f>
        <v>0</v>
      </c>
      <c r="W130" s="5">
        <f t="shared" ref="W130:W193" si="55">IF(E130=0,0,Q130/E130)</f>
        <v>0</v>
      </c>
      <c r="X130" s="5">
        <f>IFERROR(IF(OR($B130="MID",$B130="FWD"),INDEX(FIXTURE_ANALYSIS!$Q:$Q,MATCH($D130,FIXTURE_ANALYSIS!$A:$A,0)),INDEX(FIXTURE_ANALYSIS!$R:$R,MATCH($D130,FIXTURE_ANALYSIS!$A:$A,0))),1)</f>
        <v>0.99748538507159212</v>
      </c>
      <c r="Y130" s="5">
        <f t="shared" ref="Y130:Y193" si="56">X130</f>
        <v>0.99748538507159212</v>
      </c>
      <c r="Z130" s="8">
        <f>INDEX(FPL_Raw_Data!$T:$T,MATCH(A130,FPL_Raw_Data!$AA:$AA,0))</f>
        <v>0</v>
      </c>
      <c r="AA130" s="8">
        <f>INDEX(FPL_Raw_Data!$S:$S,MATCH(A130,FPL_Raw_Data!$AA:$AA,0))</f>
        <v>0</v>
      </c>
      <c r="AB130" s="2">
        <f t="shared" ref="AB130:AB193" si="57">IF(B130="DEF",MIN(AA130/10,1),IF(OR(B130="MID",B130="FWD"),MIN(AA130/12,1),0))</f>
        <v>0</v>
      </c>
      <c r="AC130" s="2">
        <f>INDEX(FPL_Raw_Data!$Q:$Q,MATCH(A130,FPL_Raw_Data!$AA:$AA,0))</f>
        <v>0</v>
      </c>
      <c r="AD130" s="8">
        <f>INDEX(FPL_Raw_Data!$R:$R,MATCH(A130,FPL_Raw_Data!$AA:$AA,0))</f>
        <v>0</v>
      </c>
      <c r="AE130" s="8">
        <f>INDEX(FPL_Raw_Data!$N:$N,MATCH(A130,FPL_Raw_Data!$AA:$AA,0))</f>
        <v>0</v>
      </c>
      <c r="AF130" s="8">
        <f>INDEX(FPL_Raw_Data!$L:$L,MATCH(A130,FPL_Raw_Data!$AA:$AA,0))</f>
        <v>0</v>
      </c>
      <c r="AG130" s="2">
        <f>INDEX(FPL_Raw_Data!$M:$M,MATCH(A130,FPL_Raw_Data!$AA:$AA,0))</f>
        <v>0</v>
      </c>
      <c r="AH130" s="2">
        <f t="shared" ref="AH130:AH193" si="58">IF(B130="GK",S130*10,IF(B130="DEF",S130*6,IF(B130="MID",S130*5,S130*4)))</f>
        <v>0</v>
      </c>
      <c r="AI130" s="2">
        <f t="shared" ref="AI130:AI193" si="59">T130*3</f>
        <v>0</v>
      </c>
      <c r="AJ130" s="2">
        <f t="shared" ref="AJ130:AJ193" si="60">K130*2</f>
        <v>0</v>
      </c>
      <c r="AK130" s="2">
        <f t="shared" ref="AK130:AK193" si="61">AB130*2</f>
        <v>0</v>
      </c>
      <c r="AL130" s="2">
        <f t="shared" ref="AL130:AL193" si="62">IFERROR(AE130/Z130,0)</f>
        <v>0</v>
      </c>
      <c r="AM130" s="2">
        <f t="shared" ref="AM130:AM193" si="63">IF(OR(B130="GK",B130="DEF"),AL130*4,IF(B130="MID",AL130*1,0))</f>
        <v>0</v>
      </c>
      <c r="AN130" s="2">
        <f t="shared" ref="AN130:AN193" si="64">IFERROR(AC130/Z130,0)</f>
        <v>0</v>
      </c>
      <c r="AO130" s="3">
        <f t="shared" ref="AO130:AO193" si="65">IFERROR(_xlfn.PERCENTRANK.INC($R$2:$R$700,R130)*100,0)</f>
        <v>0.1</v>
      </c>
      <c r="AP130">
        <f t="shared" ref="AP130:AP193" si="66">IFERROR(_xlfn.PERCENTRANK.INC($U$2:$U$700,U130)*100,0)</f>
        <v>0</v>
      </c>
      <c r="AQ130">
        <f t="shared" ref="AQ130:AQ193" si="67">IFERROR(_xlfn.PERCENTRANK.INC($V$2:$V$700,V130)*100,0)</f>
        <v>0.1</v>
      </c>
      <c r="AR130">
        <f t="shared" ref="AR130:AR193" si="68">IFERROR(_xlfn.PERCENTRANK.INC($W$2:$W$700,W130)*100,0)</f>
        <v>0</v>
      </c>
      <c r="AS130" s="2">
        <f t="shared" ref="AS130:AS193" si="69">K130*100</f>
        <v>0</v>
      </c>
      <c r="AT130" s="2">
        <f>IFERROR(INDEX(Player_Model!$BC$2:$BC$596,MATCH($A130,Player_Model!$A$2:$A$596,0)),0)</f>
        <v>-0.83123782089299347</v>
      </c>
      <c r="AU130" s="2">
        <f>Table8[[#This Row],[Model Expected Points]]*Table8[[#This Row],[Fixture Adjustment]]</f>
        <v>-0.82914757785951876</v>
      </c>
      <c r="AV130" s="2">
        <f>Table8[[#This Row],[Fixture Adjusted Points / 90]]/Table8[[#This Row],[Price]]</f>
        <v>-0.16582951557190376</v>
      </c>
      <c r="AW130">
        <f t="shared" ref="AW130:AW193" si="70">IF(OR(B130="MID",B130="FWD"),AVERAGE(AO130,AP130),IF(B130="DEF",AP130,0))</f>
        <v>0</v>
      </c>
      <c r="AX130">
        <f t="shared" ref="AX130:AX193" si="71">IF(B130="GK",AVERAGE(AS130,X130),IF(B130="DEF",AVERAGE(AB130,X130),IF(B130="MID",AB130,0)))</f>
        <v>0.49874269253579606</v>
      </c>
      <c r="AY130" s="2">
        <f t="shared" ref="AY130:AY193" si="72">AS130</f>
        <v>0</v>
      </c>
      <c r="AZ130" s="5">
        <f t="shared" ref="AZ130:AZ193" si="73">X130</f>
        <v>0.99748538507159212</v>
      </c>
      <c r="BA130">
        <f>Table8[[#This Row],[Model Score2]]</f>
        <v>-0.83123782089299347</v>
      </c>
      <c r="BB130">
        <f>IFERROR(INDEX(Player_Model!$BG$2:$BG$596,MATCH($A130,Player_Model!$A$2:$A$596,0)),"")</f>
        <v>160</v>
      </c>
      <c r="BC130" t="str">
        <f t="shared" ref="BC130:BC193" si="74">IF(BB130=1,"TOP PICK",IF(BB130&lt;=5,"STRONG PICK",IF(BB130&lt;=10,"CONSIDER","AVOID")))</f>
        <v>AVOID</v>
      </c>
      <c r="BD130">
        <f>IF(H130=1,Table8[[#This Row],[Model Score]],-10000)</f>
        <v>-0.83123782089299347</v>
      </c>
      <c r="BE130">
        <f>IFERROR(INDEX(Player_Model!$BF$2:$BF$596,MATCH($A130,Player_Model!$A$2:$A$596,0)),"")</f>
        <v>560</v>
      </c>
      <c r="BF130">
        <f>IFERROR(INDEX(Player_Model!$BG$2:$BG$596,MATCH($A130,Player_Model!$A$2:$A$596,0)),"")</f>
        <v>160</v>
      </c>
      <c r="BG130">
        <f>IFERROR(INDEX(Player_Model!$BE$2:$BE$596,MATCH($A130,Player_Model!$A$2:$A$596,0)),0)</f>
        <v>-0.83123782089299347</v>
      </c>
    </row>
    <row r="131" spans="1:59" x14ac:dyDescent="0.25">
      <c r="A131" t="str">
        <f>tblPlayers[first_name]&amp;" "&amp;tblPlayers[second_name]</f>
        <v>Mitoma Kaoru</v>
      </c>
      <c r="B131" t="str">
        <f>_xlfn.SWITCH(tblPlayers[element_type],1,"GK",2,"DEF",3,"MID",4,"FWD")</f>
        <v>MID</v>
      </c>
      <c r="C131">
        <f>tblPlayers[team]</f>
        <v>5</v>
      </c>
      <c r="D131" t="str">
        <f>INDEX(tblTeams[Column1.short_name],MATCH(C131,tblTeams[Column1.id],0))</f>
        <v>BHA</v>
      </c>
      <c r="E131" s="4">
        <f>INDEX(FPL_Raw_Data!$F:$F,MATCH(A131,FPL_Raw_Data!$AA:$AA,0))/10</f>
        <v>5.9</v>
      </c>
      <c r="F131" s="4" t="str">
        <f>tblPlayers[[#This Row],[status]]</f>
        <v>i</v>
      </c>
      <c r="G131" s="4" t="b">
        <f>tblPlayers[[#This Row],[can_select]]</f>
        <v>1</v>
      </c>
      <c r="H131">
        <f>IF(AND(Table8[[#This Row],[Availability Status]]="a",Table8[[#This Row],[Can Select]]=TRUE),1,0)</f>
        <v>0</v>
      </c>
      <c r="I131">
        <f>tblPlayers[minutes]</f>
        <v>0</v>
      </c>
      <c r="J131" s="2">
        <f>Table8[[#This Row],[Minutes]]/90</f>
        <v>0</v>
      </c>
      <c r="K131" s="5">
        <f>IFERROR(Z131/(FIXTURE_ANALYSIS!$B$1-1),0)</f>
        <v>0</v>
      </c>
      <c r="L131">
        <f>tblPlayers[total_points]</f>
        <v>0</v>
      </c>
      <c r="M131">
        <f>tblPlayers[points_per_game]</f>
        <v>0</v>
      </c>
      <c r="N131">
        <f>tblPlayers[form]</f>
        <v>0</v>
      </c>
      <c r="O131">
        <f>tblPlayers[expected_goals]</f>
        <v>0</v>
      </c>
      <c r="P131">
        <f>tblPlayers[expected_assists]</f>
        <v>0</v>
      </c>
      <c r="Q131">
        <f>tblPlayers[expected_goal_involvements]</f>
        <v>0</v>
      </c>
      <c r="R131" s="2">
        <f t="shared" si="50"/>
        <v>0</v>
      </c>
      <c r="S131" s="5">
        <f t="shared" si="51"/>
        <v>0</v>
      </c>
      <c r="T131" s="5">
        <f t="shared" si="52"/>
        <v>0</v>
      </c>
      <c r="U131" s="5">
        <f t="shared" si="53"/>
        <v>0</v>
      </c>
      <c r="V131" s="3">
        <f t="shared" si="54"/>
        <v>0</v>
      </c>
      <c r="W131" s="5">
        <f t="shared" si="55"/>
        <v>0</v>
      </c>
      <c r="X131" s="5">
        <f>IFERROR(IF(OR($B131="MID",$B131="FWD"),INDEX(FIXTURE_ANALYSIS!$Q:$Q,MATCH($D131,FIXTURE_ANALYSIS!$A:$A,0)),INDEX(FIXTURE_ANALYSIS!$R:$R,MATCH($D131,FIXTURE_ANALYSIS!$A:$A,0))),1)</f>
        <v>1.1225346020761244</v>
      </c>
      <c r="Y131" s="5">
        <f t="shared" si="56"/>
        <v>1.1225346020761244</v>
      </c>
      <c r="Z131" s="8">
        <f>INDEX(FPL_Raw_Data!$T:$T,MATCH(A131,FPL_Raw_Data!$AA:$AA,0))</f>
        <v>0</v>
      </c>
      <c r="AA131" s="8">
        <f>INDEX(FPL_Raw_Data!$S:$S,MATCH(A131,FPL_Raw_Data!$AA:$AA,0))</f>
        <v>0</v>
      </c>
      <c r="AB131" s="2">
        <f t="shared" si="57"/>
        <v>0</v>
      </c>
      <c r="AC131" s="2">
        <f>INDEX(FPL_Raw_Data!$Q:$Q,MATCH(A131,FPL_Raw_Data!$AA:$AA,0))</f>
        <v>0</v>
      </c>
      <c r="AD131" s="8">
        <f>INDEX(FPL_Raw_Data!$R:$R,MATCH(A131,FPL_Raw_Data!$AA:$AA,0))</f>
        <v>0</v>
      </c>
      <c r="AE131" s="8">
        <f>INDEX(FPL_Raw_Data!$N:$N,MATCH(A131,FPL_Raw_Data!$AA:$AA,0))</f>
        <v>0</v>
      </c>
      <c r="AF131" s="8">
        <f>INDEX(FPL_Raw_Data!$L:$L,MATCH(A131,FPL_Raw_Data!$AA:$AA,0))</f>
        <v>0</v>
      </c>
      <c r="AG131" s="2">
        <f>INDEX(FPL_Raw_Data!$M:$M,MATCH(A131,FPL_Raw_Data!$AA:$AA,0))</f>
        <v>0</v>
      </c>
      <c r="AH131" s="2">
        <f t="shared" si="58"/>
        <v>0</v>
      </c>
      <c r="AI131" s="2">
        <f t="shared" si="59"/>
        <v>0</v>
      </c>
      <c r="AJ131" s="2">
        <f t="shared" si="60"/>
        <v>0</v>
      </c>
      <c r="AK131" s="2">
        <f t="shared" si="61"/>
        <v>0</v>
      </c>
      <c r="AL131" s="2">
        <f t="shared" si="62"/>
        <v>0</v>
      </c>
      <c r="AM131" s="2">
        <f t="shared" si="63"/>
        <v>0</v>
      </c>
      <c r="AN131" s="2">
        <f t="shared" si="64"/>
        <v>0</v>
      </c>
      <c r="AO131" s="3">
        <f t="shared" si="65"/>
        <v>0.1</v>
      </c>
      <c r="AP131">
        <f t="shared" si="66"/>
        <v>0</v>
      </c>
      <c r="AQ131">
        <f t="shared" si="67"/>
        <v>0.1</v>
      </c>
      <c r="AR131">
        <f t="shared" si="68"/>
        <v>0</v>
      </c>
      <c r="AS131" s="2">
        <f t="shared" si="69"/>
        <v>0</v>
      </c>
      <c r="AT131" s="2">
        <f>IFERROR(INDEX(Player_Model!$BC$2:$BC$596,MATCH($A131,Player_Model!$A$2:$A$596,0)),0)</f>
        <v>0</v>
      </c>
      <c r="AU131" s="2">
        <f>Table8[[#This Row],[Model Expected Points]]*Table8[[#This Row],[Fixture Adjustment]]</f>
        <v>0</v>
      </c>
      <c r="AV131" s="2">
        <f>Table8[[#This Row],[Fixture Adjusted Points / 90]]/Table8[[#This Row],[Price]]</f>
        <v>0</v>
      </c>
      <c r="AW131">
        <f t="shared" si="70"/>
        <v>0.05</v>
      </c>
      <c r="AX131">
        <f t="shared" si="71"/>
        <v>0</v>
      </c>
      <c r="AY131" s="2">
        <f t="shared" si="72"/>
        <v>0</v>
      </c>
      <c r="AZ131" s="5">
        <f t="shared" si="73"/>
        <v>1.1225346020761244</v>
      </c>
      <c r="BA131">
        <f>Table8[[#This Row],[Model Score2]]</f>
        <v>0</v>
      </c>
      <c r="BB131">
        <f>IFERROR(INDEX(Player_Model!$BG$2:$BG$596,MATCH($A131,Player_Model!$A$2:$A$596,0)),"")</f>
        <v>142</v>
      </c>
      <c r="BC131" t="str">
        <f t="shared" si="74"/>
        <v>AVOID</v>
      </c>
      <c r="BD131">
        <f>IF(H131=1,Table8[[#This Row],[Model Score]],-10000)</f>
        <v>-10000</v>
      </c>
      <c r="BE131">
        <f>IFERROR(INDEX(Player_Model!$BF$2:$BF$596,MATCH($A131,Player_Model!$A$2:$A$596,0)),"")</f>
        <v>253</v>
      </c>
      <c r="BF131">
        <f>IFERROR(INDEX(Player_Model!$BG$2:$BG$596,MATCH($A131,Player_Model!$A$2:$A$596,0)),"")</f>
        <v>142</v>
      </c>
      <c r="BG131">
        <f>IFERROR(INDEX(Player_Model!$BE$2:$BE$596,MATCH($A131,Player_Model!$A$2:$A$596,0)),0)</f>
        <v>0</v>
      </c>
    </row>
    <row r="132" spans="1:59" x14ac:dyDescent="0.25">
      <c r="A132" t="str">
        <f>tblPlayers[first_name]&amp;" "&amp;tblPlayers[second_name]</f>
        <v>Yankuba Minteh</v>
      </c>
      <c r="B132" t="str">
        <f>_xlfn.SWITCH(tblPlayers[element_type],1,"GK",2,"DEF",3,"MID",4,"FWD")</f>
        <v>MID</v>
      </c>
      <c r="C132">
        <f>tblPlayers[team]</f>
        <v>5</v>
      </c>
      <c r="D132" t="str">
        <f>INDEX(tblTeams[Column1.short_name],MATCH(C132,tblTeams[Column1.id],0))</f>
        <v>BHA</v>
      </c>
      <c r="E132" s="4">
        <f>INDEX(FPL_Raw_Data!$F:$F,MATCH(A132,FPL_Raw_Data!$AA:$AA,0))/10</f>
        <v>5.9</v>
      </c>
      <c r="F132" s="4" t="str">
        <f>tblPlayers[[#This Row],[status]]</f>
        <v>i</v>
      </c>
      <c r="G132" s="4" t="b">
        <f>tblPlayers[[#This Row],[can_select]]</f>
        <v>1</v>
      </c>
      <c r="H132">
        <f>IF(AND(Table8[[#This Row],[Availability Status]]="a",Table8[[#This Row],[Can Select]]=TRUE),1,0)</f>
        <v>0</v>
      </c>
      <c r="I132">
        <f>tblPlayers[minutes]</f>
        <v>0</v>
      </c>
      <c r="J132" s="2">
        <f>Table8[[#This Row],[Minutes]]/90</f>
        <v>0</v>
      </c>
      <c r="K132" s="5">
        <f>IFERROR(Z132/(FIXTURE_ANALYSIS!$B$1-1),0)</f>
        <v>0</v>
      </c>
      <c r="L132">
        <f>tblPlayers[total_points]</f>
        <v>0</v>
      </c>
      <c r="M132">
        <f>tblPlayers[points_per_game]</f>
        <v>0</v>
      </c>
      <c r="N132">
        <f>tblPlayers[form]</f>
        <v>0</v>
      </c>
      <c r="O132">
        <f>tblPlayers[expected_goals]</f>
        <v>0</v>
      </c>
      <c r="P132">
        <f>tblPlayers[expected_assists]</f>
        <v>0</v>
      </c>
      <c r="Q132">
        <f>tblPlayers[expected_goal_involvements]</f>
        <v>0</v>
      </c>
      <c r="R132" s="2">
        <f t="shared" si="50"/>
        <v>0</v>
      </c>
      <c r="S132" s="5">
        <f t="shared" si="51"/>
        <v>0</v>
      </c>
      <c r="T132" s="5">
        <f t="shared" si="52"/>
        <v>0</v>
      </c>
      <c r="U132" s="5">
        <f t="shared" si="53"/>
        <v>0</v>
      </c>
      <c r="V132" s="3">
        <f t="shared" si="54"/>
        <v>0</v>
      </c>
      <c r="W132" s="5">
        <f t="shared" si="55"/>
        <v>0</v>
      </c>
      <c r="X132" s="5">
        <f>IFERROR(IF(OR($B132="MID",$B132="FWD"),INDEX(FIXTURE_ANALYSIS!$Q:$Q,MATCH($D132,FIXTURE_ANALYSIS!$A:$A,0)),INDEX(FIXTURE_ANALYSIS!$R:$R,MATCH($D132,FIXTURE_ANALYSIS!$A:$A,0))),1)</f>
        <v>1.1225346020761244</v>
      </c>
      <c r="Y132" s="5">
        <f t="shared" si="56"/>
        <v>1.1225346020761244</v>
      </c>
      <c r="Z132" s="8">
        <f>INDEX(FPL_Raw_Data!$T:$T,MATCH(A132,FPL_Raw_Data!$AA:$AA,0))</f>
        <v>0</v>
      </c>
      <c r="AA132" s="8">
        <f>INDEX(FPL_Raw_Data!$S:$S,MATCH(A132,FPL_Raw_Data!$AA:$AA,0))</f>
        <v>0</v>
      </c>
      <c r="AB132" s="2">
        <f t="shared" si="57"/>
        <v>0</v>
      </c>
      <c r="AC132" s="2">
        <f>INDEX(FPL_Raw_Data!$Q:$Q,MATCH(A132,FPL_Raw_Data!$AA:$AA,0))</f>
        <v>0</v>
      </c>
      <c r="AD132" s="8">
        <f>INDEX(FPL_Raw_Data!$R:$R,MATCH(A132,FPL_Raw_Data!$AA:$AA,0))</f>
        <v>0</v>
      </c>
      <c r="AE132" s="8">
        <f>INDEX(FPL_Raw_Data!$N:$N,MATCH(A132,FPL_Raw_Data!$AA:$AA,0))</f>
        <v>0</v>
      </c>
      <c r="AF132" s="8">
        <f>INDEX(FPL_Raw_Data!$L:$L,MATCH(A132,FPL_Raw_Data!$AA:$AA,0))</f>
        <v>0</v>
      </c>
      <c r="AG132" s="2">
        <f>INDEX(FPL_Raw_Data!$M:$M,MATCH(A132,FPL_Raw_Data!$AA:$AA,0))</f>
        <v>0</v>
      </c>
      <c r="AH132" s="2">
        <f t="shared" si="58"/>
        <v>0</v>
      </c>
      <c r="AI132" s="2">
        <f t="shared" si="59"/>
        <v>0</v>
      </c>
      <c r="AJ132" s="2">
        <f t="shared" si="60"/>
        <v>0</v>
      </c>
      <c r="AK132" s="2">
        <f t="shared" si="61"/>
        <v>0</v>
      </c>
      <c r="AL132" s="2">
        <f t="shared" si="62"/>
        <v>0</v>
      </c>
      <c r="AM132" s="2">
        <f t="shared" si="63"/>
        <v>0</v>
      </c>
      <c r="AN132" s="2">
        <f t="shared" si="64"/>
        <v>0</v>
      </c>
      <c r="AO132" s="3">
        <f t="shared" si="65"/>
        <v>0.1</v>
      </c>
      <c r="AP132">
        <f t="shared" si="66"/>
        <v>0</v>
      </c>
      <c r="AQ132">
        <f t="shared" si="67"/>
        <v>0.1</v>
      </c>
      <c r="AR132">
        <f t="shared" si="68"/>
        <v>0</v>
      </c>
      <c r="AS132" s="2">
        <f t="shared" si="69"/>
        <v>0</v>
      </c>
      <c r="AT132" s="2">
        <f>IFERROR(INDEX(Player_Model!$BC$2:$BC$596,MATCH($A132,Player_Model!$A$2:$A$596,0)),0)</f>
        <v>0</v>
      </c>
      <c r="AU132" s="2">
        <f>Table8[[#This Row],[Model Expected Points]]*Table8[[#This Row],[Fixture Adjustment]]</f>
        <v>0</v>
      </c>
      <c r="AV132" s="2">
        <f>Table8[[#This Row],[Fixture Adjusted Points / 90]]/Table8[[#This Row],[Price]]</f>
        <v>0</v>
      </c>
      <c r="AW132">
        <f t="shared" si="70"/>
        <v>0.05</v>
      </c>
      <c r="AX132">
        <f t="shared" si="71"/>
        <v>0</v>
      </c>
      <c r="AY132" s="2">
        <f t="shared" si="72"/>
        <v>0</v>
      </c>
      <c r="AZ132" s="5">
        <f t="shared" si="73"/>
        <v>1.1225346020761244</v>
      </c>
      <c r="BA132">
        <f>Table8[[#This Row],[Model Score2]]</f>
        <v>0</v>
      </c>
      <c r="BB132">
        <f>IFERROR(INDEX(Player_Model!$BG$2:$BG$596,MATCH($A132,Player_Model!$A$2:$A$596,0)),"")</f>
        <v>143</v>
      </c>
      <c r="BC132" t="str">
        <f t="shared" si="74"/>
        <v>AVOID</v>
      </c>
      <c r="BD132">
        <f>IF(H132=1,Table8[[#This Row],[Model Score]],-10000)</f>
        <v>-10000</v>
      </c>
      <c r="BE132">
        <f>IFERROR(INDEX(Player_Model!$BF$2:$BF$596,MATCH($A132,Player_Model!$A$2:$A$596,0)),"")</f>
        <v>253</v>
      </c>
      <c r="BF132">
        <f>IFERROR(INDEX(Player_Model!$BG$2:$BG$596,MATCH($A132,Player_Model!$A$2:$A$596,0)),"")</f>
        <v>143</v>
      </c>
      <c r="BG132">
        <f>IFERROR(INDEX(Player_Model!$BE$2:$BE$596,MATCH($A132,Player_Model!$A$2:$A$596,0)),0)</f>
        <v>0</v>
      </c>
    </row>
    <row r="133" spans="1:59" x14ac:dyDescent="0.25">
      <c r="A133" t="str">
        <f>tblPlayers[first_name]&amp;" "&amp;tblPlayers[second_name]</f>
        <v>Jack Hinshelwood</v>
      </c>
      <c r="B133" t="str">
        <f>_xlfn.SWITCH(tblPlayers[element_type],1,"GK",2,"DEF",3,"MID",4,"FWD")</f>
        <v>MID</v>
      </c>
      <c r="C133">
        <f>tblPlayers[team]</f>
        <v>5</v>
      </c>
      <c r="D133" t="str">
        <f>INDEX(tblTeams[Column1.short_name],MATCH(C133,tblTeams[Column1.id],0))</f>
        <v>BHA</v>
      </c>
      <c r="E133" s="4">
        <f>INDEX(FPL_Raw_Data!$F:$F,MATCH(A133,FPL_Raw_Data!$AA:$AA,0))/10</f>
        <v>6</v>
      </c>
      <c r="F133" s="4" t="str">
        <f>tblPlayers[[#This Row],[status]]</f>
        <v>d</v>
      </c>
      <c r="G133" s="4" t="b">
        <f>tblPlayers[[#This Row],[can_select]]</f>
        <v>1</v>
      </c>
      <c r="H133">
        <f>IF(AND(Table8[[#This Row],[Availability Status]]="a",Table8[[#This Row],[Can Select]]=TRUE),1,0)</f>
        <v>0</v>
      </c>
      <c r="I133">
        <f>tblPlayers[minutes]</f>
        <v>63</v>
      </c>
      <c r="J133" s="2">
        <f>Table8[[#This Row],[Minutes]]/90</f>
        <v>0.7</v>
      </c>
      <c r="K133" s="5">
        <f>IFERROR(Z133/(FIXTURE_ANALYSIS!$B$1-1),0)</f>
        <v>0.33333333333333331</v>
      </c>
      <c r="L133">
        <f>tblPlayers[total_points]</f>
        <v>16</v>
      </c>
      <c r="M133">
        <f>tblPlayers[points_per_game]</f>
        <v>16</v>
      </c>
      <c r="N133">
        <f>tblPlayers[form]</f>
        <v>5.3</v>
      </c>
      <c r="O133">
        <f>tblPlayers[expected_goals]</f>
        <v>1.41</v>
      </c>
      <c r="P133">
        <f>tblPlayers[expected_assists]</f>
        <v>0.02</v>
      </c>
      <c r="Q133">
        <f>tblPlayers[expected_goal_involvements]</f>
        <v>1.43</v>
      </c>
      <c r="R133" s="2">
        <f t="shared" si="50"/>
        <v>22.857142857142854</v>
      </c>
      <c r="S133" s="5">
        <f t="shared" si="51"/>
        <v>2.0142857142857142</v>
      </c>
      <c r="T133" s="5">
        <f t="shared" si="52"/>
        <v>2.8571428571428571E-2</v>
      </c>
      <c r="U133" s="5">
        <f t="shared" si="53"/>
        <v>2.0428571428571427</v>
      </c>
      <c r="V133" s="3">
        <f t="shared" si="54"/>
        <v>2.6666666666666665</v>
      </c>
      <c r="W133" s="5">
        <f t="shared" si="55"/>
        <v>0.23833333333333331</v>
      </c>
      <c r="X133" s="5">
        <f>IFERROR(IF(OR($B133="MID",$B133="FWD"),INDEX(FIXTURE_ANALYSIS!$Q:$Q,MATCH($D133,FIXTURE_ANALYSIS!$A:$A,0)),INDEX(FIXTURE_ANALYSIS!$R:$R,MATCH($D133,FIXTURE_ANALYSIS!$A:$A,0))),1)</f>
        <v>1.1225346020761244</v>
      </c>
      <c r="Y133" s="5">
        <f t="shared" si="56"/>
        <v>1.1225346020761244</v>
      </c>
      <c r="Z133" s="8">
        <f>INDEX(FPL_Raw_Data!$T:$T,MATCH(A133,FPL_Raw_Data!$AA:$AA,0))</f>
        <v>1</v>
      </c>
      <c r="AA133" s="8">
        <f>INDEX(FPL_Raw_Data!$S:$S,MATCH(A133,FPL_Raw_Data!$AA:$AA,0))</f>
        <v>3</v>
      </c>
      <c r="AB133" s="2">
        <f t="shared" si="57"/>
        <v>0.25</v>
      </c>
      <c r="AC133" s="2">
        <f>INDEX(FPL_Raw_Data!$Q:$Q,MATCH(A133,FPL_Raw_Data!$AA:$AA,0))</f>
        <v>3</v>
      </c>
      <c r="AD133" s="8">
        <f>INDEX(FPL_Raw_Data!$R:$R,MATCH(A133,FPL_Raw_Data!$AA:$AA,0))</f>
        <v>54</v>
      </c>
      <c r="AE133" s="8">
        <f>INDEX(FPL_Raw_Data!$N:$N,MATCH(A133,FPL_Raw_Data!$AA:$AA,0))</f>
        <v>1</v>
      </c>
      <c r="AF133" s="8">
        <f>INDEX(FPL_Raw_Data!$L:$L,MATCH(A133,FPL_Raw_Data!$AA:$AA,0))</f>
        <v>2</v>
      </c>
      <c r="AG133" s="2">
        <f>INDEX(FPL_Raw_Data!$M:$M,MATCH(A133,FPL_Raw_Data!$AA:$AA,0))</f>
        <v>0</v>
      </c>
      <c r="AH133" s="2">
        <f t="shared" si="58"/>
        <v>10.071428571428571</v>
      </c>
      <c r="AI133" s="2">
        <f t="shared" si="59"/>
        <v>8.5714285714285715E-2</v>
      </c>
      <c r="AJ133" s="2">
        <f t="shared" si="60"/>
        <v>0.66666666666666663</v>
      </c>
      <c r="AK133" s="2">
        <f t="shared" si="61"/>
        <v>0.5</v>
      </c>
      <c r="AL133" s="2">
        <f t="shared" si="62"/>
        <v>1</v>
      </c>
      <c r="AM133" s="2">
        <f t="shared" si="63"/>
        <v>1</v>
      </c>
      <c r="AN133" s="2">
        <f t="shared" si="64"/>
        <v>3</v>
      </c>
      <c r="AO133" s="3">
        <f t="shared" si="65"/>
        <v>97.1</v>
      </c>
      <c r="AP133">
        <f t="shared" si="66"/>
        <v>99.6</v>
      </c>
      <c r="AQ133">
        <f t="shared" si="67"/>
        <v>92.9</v>
      </c>
      <c r="AR133">
        <f t="shared" si="68"/>
        <v>96.8</v>
      </c>
      <c r="AS133" s="2">
        <f t="shared" si="69"/>
        <v>33.333333333333329</v>
      </c>
      <c r="AT133" s="2">
        <f>IFERROR(INDEX(Player_Model!$BC$2:$BC$596,MATCH($A133,Player_Model!$A$2:$A$596,0)),0)</f>
        <v>7.7433502973512285</v>
      </c>
      <c r="AU133" s="2">
        <f>Table8[[#This Row],[Model Expected Points]]*Table8[[#This Row],[Fixture Adjustment]]</f>
        <v>8.6921786447732003</v>
      </c>
      <c r="AV133" s="2">
        <f>Table8[[#This Row],[Fixture Adjusted Points / 90]]/Table8[[#This Row],[Price]]</f>
        <v>1.4486964407955334</v>
      </c>
      <c r="AW133">
        <f t="shared" si="70"/>
        <v>98.35</v>
      </c>
      <c r="AX133">
        <f t="shared" si="71"/>
        <v>0.25</v>
      </c>
      <c r="AY133" s="2">
        <f t="shared" si="72"/>
        <v>33.333333333333329</v>
      </c>
      <c r="AZ133" s="5">
        <f t="shared" si="73"/>
        <v>1.1225346020761244</v>
      </c>
      <c r="BA133">
        <f>Table8[[#This Row],[Model Score2]]</f>
        <v>7.7433502973512285</v>
      </c>
      <c r="BB133">
        <f>IFERROR(INDEX(Player_Model!$BG$2:$BG$596,MATCH($A133,Player_Model!$A$2:$A$596,0)),"")</f>
        <v>3</v>
      </c>
      <c r="BC133" t="str">
        <f t="shared" si="74"/>
        <v>STRONG PICK</v>
      </c>
      <c r="BD133">
        <f>IF(H133=1,Table8[[#This Row],[Model Score]],-10000)</f>
        <v>-10000</v>
      </c>
      <c r="BE133">
        <f>IFERROR(INDEX(Player_Model!$BF$2:$BF$596,MATCH($A133,Player_Model!$A$2:$A$596,0)),"")</f>
        <v>13</v>
      </c>
      <c r="BF133">
        <f>IFERROR(INDEX(Player_Model!$BG$2:$BG$596,MATCH($A133,Player_Model!$A$2:$A$596,0)),"")</f>
        <v>3</v>
      </c>
      <c r="BG133">
        <f>IFERROR(INDEX(Player_Model!$BE$2:$BE$596,MATCH($A133,Player_Model!$A$2:$A$596,0)),0)</f>
        <v>7.7433502973512285</v>
      </c>
    </row>
    <row r="134" spans="1:59" x14ac:dyDescent="0.25">
      <c r="A134" t="str">
        <f>tblPlayers[first_name]&amp;" "&amp;tblPlayers[second_name]</f>
        <v>Pascal Groß</v>
      </c>
      <c r="B134" t="str">
        <f>_xlfn.SWITCH(tblPlayers[element_type],1,"GK",2,"DEF",3,"MID",4,"FWD")</f>
        <v>MID</v>
      </c>
      <c r="C134">
        <f>tblPlayers[team]</f>
        <v>5</v>
      </c>
      <c r="D134" t="str">
        <f>INDEX(tblTeams[Column1.short_name],MATCH(C134,tblTeams[Column1.id],0))</f>
        <v>BHA</v>
      </c>
      <c r="E134" s="4">
        <f>INDEX(FPL_Raw_Data!$F:$F,MATCH(A134,FPL_Raw_Data!$AA:$AA,0))/10</f>
        <v>5.5</v>
      </c>
      <c r="F134" s="4" t="str">
        <f>tblPlayers[[#This Row],[status]]</f>
        <v>a</v>
      </c>
      <c r="G134" s="4" t="b">
        <f>tblPlayers[[#This Row],[can_select]]</f>
        <v>1</v>
      </c>
      <c r="H134">
        <f>IF(AND(Table8[[#This Row],[Availability Status]]="a",Table8[[#This Row],[Can Select]]=TRUE),1,0)</f>
        <v>1</v>
      </c>
      <c r="I134">
        <f>tblPlayers[minutes]</f>
        <v>270</v>
      </c>
      <c r="J134" s="2">
        <f>Table8[[#This Row],[Minutes]]/90</f>
        <v>3</v>
      </c>
      <c r="K134" s="5">
        <f>IFERROR(Z134/(FIXTURE_ANALYSIS!$B$1-1),0)</f>
        <v>1</v>
      </c>
      <c r="L134">
        <f>tblPlayers[total_points]</f>
        <v>16</v>
      </c>
      <c r="M134">
        <f>tblPlayers[points_per_game]</f>
        <v>5.3</v>
      </c>
      <c r="N134">
        <f>tblPlayers[form]</f>
        <v>5.3</v>
      </c>
      <c r="O134">
        <f>tblPlayers[expected_goals]</f>
        <v>0.84</v>
      </c>
      <c r="P134">
        <f>tblPlayers[expected_assists]</f>
        <v>0.42</v>
      </c>
      <c r="Q134">
        <f>tblPlayers[expected_goal_involvements]</f>
        <v>1.26</v>
      </c>
      <c r="R134" s="2">
        <f t="shared" si="50"/>
        <v>5.3333333333333339</v>
      </c>
      <c r="S134" s="5">
        <f t="shared" si="51"/>
        <v>0.27999999999999997</v>
      </c>
      <c r="T134" s="5">
        <f t="shared" si="52"/>
        <v>0.13999999999999999</v>
      </c>
      <c r="U134" s="5">
        <f t="shared" si="53"/>
        <v>0.42000000000000004</v>
      </c>
      <c r="V134" s="3">
        <f t="shared" si="54"/>
        <v>2.9090909090909092</v>
      </c>
      <c r="W134" s="5">
        <f t="shared" si="55"/>
        <v>0.2290909090909091</v>
      </c>
      <c r="X134" s="5">
        <f>IFERROR(IF(OR($B134="MID",$B134="FWD"),INDEX(FIXTURE_ANALYSIS!$Q:$Q,MATCH($D134,FIXTURE_ANALYSIS!$A:$A,0)),INDEX(FIXTURE_ANALYSIS!$R:$R,MATCH($D134,FIXTURE_ANALYSIS!$A:$A,0))),1)</f>
        <v>1.1225346020761244</v>
      </c>
      <c r="Y134" s="5">
        <f t="shared" si="56"/>
        <v>1.1225346020761244</v>
      </c>
      <c r="Z134" s="8">
        <f>INDEX(FPL_Raw_Data!$T:$T,MATCH(A134,FPL_Raw_Data!$AA:$AA,0))</f>
        <v>3</v>
      </c>
      <c r="AA134" s="8">
        <f>INDEX(FPL_Raw_Data!$S:$S,MATCH(A134,FPL_Raw_Data!$AA:$AA,0))</f>
        <v>15</v>
      </c>
      <c r="AB134" s="2">
        <f t="shared" si="57"/>
        <v>1</v>
      </c>
      <c r="AC134" s="2">
        <f>INDEX(FPL_Raw_Data!$Q:$Q,MATCH(A134,FPL_Raw_Data!$AA:$AA,0))</f>
        <v>3</v>
      </c>
      <c r="AD134" s="8">
        <f>INDEX(FPL_Raw_Data!$R:$R,MATCH(A134,FPL_Raw_Data!$AA:$AA,0))</f>
        <v>63</v>
      </c>
      <c r="AE134" s="8">
        <f>INDEX(FPL_Raw_Data!$N:$N,MATCH(A134,FPL_Raw_Data!$AA:$AA,0))</f>
        <v>1</v>
      </c>
      <c r="AF134" s="8">
        <f>INDEX(FPL_Raw_Data!$L:$L,MATCH(A134,FPL_Raw_Data!$AA:$AA,0))</f>
        <v>1</v>
      </c>
      <c r="AG134" s="2">
        <f>INDEX(FPL_Raw_Data!$M:$M,MATCH(A134,FPL_Raw_Data!$AA:$AA,0))</f>
        <v>1</v>
      </c>
      <c r="AH134" s="2">
        <f t="shared" si="58"/>
        <v>1.4</v>
      </c>
      <c r="AI134" s="2">
        <f t="shared" si="59"/>
        <v>0.41999999999999993</v>
      </c>
      <c r="AJ134" s="2">
        <f t="shared" si="60"/>
        <v>2</v>
      </c>
      <c r="AK134" s="2">
        <f t="shared" si="61"/>
        <v>2</v>
      </c>
      <c r="AL134" s="2">
        <f t="shared" si="62"/>
        <v>0.33333333333333331</v>
      </c>
      <c r="AM134" s="2">
        <f t="shared" si="63"/>
        <v>0.33333333333333331</v>
      </c>
      <c r="AN134" s="2">
        <f t="shared" si="64"/>
        <v>1</v>
      </c>
      <c r="AO134" s="3">
        <f t="shared" si="65"/>
        <v>77.900000000000006</v>
      </c>
      <c r="AP134">
        <f t="shared" si="66"/>
        <v>88.8</v>
      </c>
      <c r="AQ134">
        <f t="shared" si="67"/>
        <v>94.6</v>
      </c>
      <c r="AR134">
        <f t="shared" si="68"/>
        <v>96.1</v>
      </c>
      <c r="AS134" s="2">
        <f t="shared" si="69"/>
        <v>100</v>
      </c>
      <c r="AT134" s="2">
        <f>IFERROR(INDEX(Player_Model!$BC$2:$BC$596,MATCH($A134,Player_Model!$A$2:$A$596,0)),0)</f>
        <v>5.4895458359650133</v>
      </c>
      <c r="AU134" s="2">
        <f>Table8[[#This Row],[Model Expected Points]]*Table8[[#This Row],[Fixture Adjustment]]</f>
        <v>6.1622051505536319</v>
      </c>
      <c r="AV134" s="2">
        <f>Table8[[#This Row],[Fixture Adjusted Points / 90]]/Table8[[#This Row],[Price]]</f>
        <v>1.1204009364642966</v>
      </c>
      <c r="AW134">
        <f t="shared" si="70"/>
        <v>83.35</v>
      </c>
      <c r="AX134">
        <f t="shared" si="71"/>
        <v>1</v>
      </c>
      <c r="AY134" s="2">
        <f t="shared" si="72"/>
        <v>100</v>
      </c>
      <c r="AZ134" s="5">
        <f t="shared" si="73"/>
        <v>1.1225346020761244</v>
      </c>
      <c r="BA134">
        <f>Table8[[#This Row],[Model Score2]]</f>
        <v>5.4895458359650133</v>
      </c>
      <c r="BB134">
        <f>IFERROR(INDEX(Player_Model!$BG$2:$BG$596,MATCH($A134,Player_Model!$A$2:$A$596,0)),"")</f>
        <v>28</v>
      </c>
      <c r="BC134" t="str">
        <f t="shared" si="74"/>
        <v>AVOID</v>
      </c>
      <c r="BD134">
        <f>IF(H134=1,Table8[[#This Row],[Model Score]],-10000)</f>
        <v>5.4895458359650133</v>
      </c>
      <c r="BE134">
        <f>IFERROR(INDEX(Player_Model!$BF$2:$BF$596,MATCH($A134,Player_Model!$A$2:$A$596,0)),"")</f>
        <v>66</v>
      </c>
      <c r="BF134">
        <f>IFERROR(INDEX(Player_Model!$BG$2:$BG$596,MATCH($A134,Player_Model!$A$2:$A$596,0)),"")</f>
        <v>28</v>
      </c>
      <c r="BG134">
        <f>IFERROR(INDEX(Player_Model!$BE$2:$BE$596,MATCH($A134,Player_Model!$A$2:$A$596,0)),0)</f>
        <v>5.4895458359650133</v>
      </c>
    </row>
    <row r="135" spans="1:59" x14ac:dyDescent="0.25">
      <c r="A135" t="str">
        <f>tblPlayers[first_name]&amp;" "&amp;tblPlayers[second_name]</f>
        <v>Georginio Rutter</v>
      </c>
      <c r="B135" t="str">
        <f>_xlfn.SWITCH(tblPlayers[element_type],1,"GK",2,"DEF",3,"MID",4,"FWD")</f>
        <v>FWD</v>
      </c>
      <c r="C135">
        <f>tblPlayers[team]</f>
        <v>5</v>
      </c>
      <c r="D135" t="str">
        <f>INDEX(tblTeams[Column1.short_name],MATCH(C135,tblTeams[Column1.id],0))</f>
        <v>BHA</v>
      </c>
      <c r="E135" s="4">
        <f>INDEX(FPL_Raw_Data!$F:$F,MATCH(A135,FPL_Raw_Data!$AA:$AA,0))/10</f>
        <v>5.5</v>
      </c>
      <c r="F135" s="4" t="str">
        <f>tblPlayers[[#This Row],[status]]</f>
        <v>d</v>
      </c>
      <c r="G135" s="4" t="b">
        <f>tblPlayers[[#This Row],[can_select]]</f>
        <v>1</v>
      </c>
      <c r="H135">
        <f>IF(AND(Table8[[#This Row],[Availability Status]]="a",Table8[[#This Row],[Can Select]]=TRUE),1,0)</f>
        <v>0</v>
      </c>
      <c r="I135">
        <f>tblPlayers[minutes]</f>
        <v>90</v>
      </c>
      <c r="J135" s="2">
        <f>Table8[[#This Row],[Minutes]]/90</f>
        <v>1</v>
      </c>
      <c r="K135" s="5">
        <f>IFERROR(Z135/(FIXTURE_ANALYSIS!$B$1-1),0)</f>
        <v>0.33333333333333331</v>
      </c>
      <c r="L135">
        <f>tblPlayers[total_points]</f>
        <v>5</v>
      </c>
      <c r="M135">
        <f>tblPlayers[points_per_game]</f>
        <v>5</v>
      </c>
      <c r="N135">
        <f>tblPlayers[form]</f>
        <v>1.7</v>
      </c>
      <c r="O135">
        <f>tblPlayers[expected_goals]</f>
        <v>0.08</v>
      </c>
      <c r="P135">
        <f>tblPlayers[expected_assists]</f>
        <v>0.44</v>
      </c>
      <c r="Q135">
        <f>tblPlayers[expected_goal_involvements]</f>
        <v>0.52</v>
      </c>
      <c r="R135" s="2">
        <f t="shared" si="50"/>
        <v>5</v>
      </c>
      <c r="S135" s="5">
        <f t="shared" si="51"/>
        <v>0.08</v>
      </c>
      <c r="T135" s="5">
        <f t="shared" si="52"/>
        <v>0.44</v>
      </c>
      <c r="U135" s="5">
        <f t="shared" si="53"/>
        <v>0.52</v>
      </c>
      <c r="V135" s="3">
        <f t="shared" si="54"/>
        <v>0.90909090909090906</v>
      </c>
      <c r="W135" s="5">
        <f t="shared" si="55"/>
        <v>9.4545454545454544E-2</v>
      </c>
      <c r="X135" s="5">
        <f>IFERROR(IF(OR($B135="MID",$B135="FWD"),INDEX(FIXTURE_ANALYSIS!$Q:$Q,MATCH($D135,FIXTURE_ANALYSIS!$A:$A,0)),INDEX(FIXTURE_ANALYSIS!$R:$R,MATCH($D135,FIXTURE_ANALYSIS!$A:$A,0))),1)</f>
        <v>1.1225346020761244</v>
      </c>
      <c r="Y135" s="5">
        <f t="shared" si="56"/>
        <v>1.1225346020761244</v>
      </c>
      <c r="Z135" s="8">
        <f>INDEX(FPL_Raw_Data!$T:$T,MATCH(A135,FPL_Raw_Data!$AA:$AA,0))</f>
        <v>1</v>
      </c>
      <c r="AA135" s="8">
        <f>INDEX(FPL_Raw_Data!$S:$S,MATCH(A135,FPL_Raw_Data!$AA:$AA,0))</f>
        <v>7</v>
      </c>
      <c r="AB135" s="2">
        <f t="shared" si="57"/>
        <v>0.58333333333333337</v>
      </c>
      <c r="AC135" s="2">
        <f>INDEX(FPL_Raw_Data!$Q:$Q,MATCH(A135,FPL_Raw_Data!$AA:$AA,0))</f>
        <v>0</v>
      </c>
      <c r="AD135" s="8">
        <f>INDEX(FPL_Raw_Data!$R:$R,MATCH(A135,FPL_Raw_Data!$AA:$AA,0))</f>
        <v>22</v>
      </c>
      <c r="AE135" s="8">
        <f>INDEX(FPL_Raw_Data!$N:$N,MATCH(A135,FPL_Raw_Data!$AA:$AA,0))</f>
        <v>1</v>
      </c>
      <c r="AF135" s="8">
        <f>INDEX(FPL_Raw_Data!$L:$L,MATCH(A135,FPL_Raw_Data!$AA:$AA,0))</f>
        <v>0</v>
      </c>
      <c r="AG135" s="2">
        <f>INDEX(FPL_Raw_Data!$M:$M,MATCH(A135,FPL_Raw_Data!$AA:$AA,0))</f>
        <v>1</v>
      </c>
      <c r="AH135" s="2">
        <f t="shared" si="58"/>
        <v>0.32</v>
      </c>
      <c r="AI135" s="2">
        <f t="shared" si="59"/>
        <v>1.32</v>
      </c>
      <c r="AJ135" s="2">
        <f t="shared" si="60"/>
        <v>0.66666666666666663</v>
      </c>
      <c r="AK135" s="2">
        <f t="shared" si="61"/>
        <v>1.1666666666666667</v>
      </c>
      <c r="AL135" s="2">
        <f t="shared" si="62"/>
        <v>1</v>
      </c>
      <c r="AM135" s="2">
        <f t="shared" si="63"/>
        <v>0</v>
      </c>
      <c r="AN135" s="2">
        <f t="shared" si="64"/>
        <v>0</v>
      </c>
      <c r="AO135" s="3">
        <f t="shared" si="65"/>
        <v>75.400000000000006</v>
      </c>
      <c r="AP135">
        <f t="shared" si="66"/>
        <v>92.4</v>
      </c>
      <c r="AQ135">
        <f t="shared" si="67"/>
        <v>67.300000000000011</v>
      </c>
      <c r="AR135">
        <f t="shared" si="68"/>
        <v>83.3</v>
      </c>
      <c r="AS135" s="2">
        <f t="shared" si="69"/>
        <v>33.333333333333329</v>
      </c>
      <c r="AT135" s="2">
        <f>IFERROR(INDEX(Player_Model!$BC$2:$BC$596,MATCH($A135,Player_Model!$A$2:$A$596,0)),0)</f>
        <v>4.9862970016852275</v>
      </c>
      <c r="AU135" s="2">
        <f>Table8[[#This Row],[Model Expected Points]]*Table8[[#This Row],[Fixture Adjustment]]</f>
        <v>5.5972909206200994</v>
      </c>
      <c r="AV135" s="2">
        <f>Table8[[#This Row],[Fixture Adjusted Points / 90]]/Table8[[#This Row],[Price]]</f>
        <v>1.0176892582945636</v>
      </c>
      <c r="AW135">
        <f t="shared" si="70"/>
        <v>83.9</v>
      </c>
      <c r="AX135">
        <f t="shared" si="71"/>
        <v>0</v>
      </c>
      <c r="AY135" s="2">
        <f t="shared" si="72"/>
        <v>33.333333333333329</v>
      </c>
      <c r="AZ135" s="5">
        <f t="shared" si="73"/>
        <v>1.1225346020761244</v>
      </c>
      <c r="BA135">
        <f>Table8[[#This Row],[Model Score2]]</f>
        <v>4.9862970016852275</v>
      </c>
      <c r="BB135">
        <f>IFERROR(INDEX(Player_Model!$BG$2:$BG$596,MATCH($A135,Player_Model!$A$2:$A$596,0)),"")</f>
        <v>10</v>
      </c>
      <c r="BC135" t="str">
        <f t="shared" si="74"/>
        <v>CONSIDER</v>
      </c>
      <c r="BD135">
        <f>IF(H135=1,Table8[[#This Row],[Model Score]],-10000)</f>
        <v>-10000</v>
      </c>
      <c r="BE135">
        <f>IFERROR(INDEX(Player_Model!$BF$2:$BF$596,MATCH($A135,Player_Model!$A$2:$A$596,0)),"")</f>
        <v>93</v>
      </c>
      <c r="BF135">
        <f>IFERROR(INDEX(Player_Model!$BG$2:$BG$596,MATCH($A135,Player_Model!$A$2:$A$596,0)),"")</f>
        <v>10</v>
      </c>
      <c r="BG135">
        <f>IFERROR(INDEX(Player_Model!$BE$2:$BE$596,MATCH($A135,Player_Model!$A$2:$A$596,0)),0)</f>
        <v>4.9862970016852275</v>
      </c>
    </row>
    <row r="136" spans="1:59" x14ac:dyDescent="0.25">
      <c r="A136" t="str">
        <f>tblPlayers[first_name]&amp;" "&amp;tblPlayers[second_name]</f>
        <v>Matt O'Riley</v>
      </c>
      <c r="B136" t="str">
        <f>_xlfn.SWITCH(tblPlayers[element_type],1,"GK",2,"DEF",3,"MID",4,"FWD")</f>
        <v>MID</v>
      </c>
      <c r="C136">
        <f>tblPlayers[team]</f>
        <v>5</v>
      </c>
      <c r="D136" t="str">
        <f>INDEX(tblTeams[Column1.short_name],MATCH(C136,tblTeams[Column1.id],0))</f>
        <v>BHA</v>
      </c>
      <c r="E136" s="4">
        <f>INDEX(FPL_Raw_Data!$F:$F,MATCH(A136,FPL_Raw_Data!$AA:$AA,0))/10</f>
        <v>5.5</v>
      </c>
      <c r="F136" s="4" t="str">
        <f>tblPlayers[[#This Row],[status]]</f>
        <v>a</v>
      </c>
      <c r="G136" s="4" t="b">
        <f>tblPlayers[[#This Row],[can_select]]</f>
        <v>1</v>
      </c>
      <c r="H136">
        <f>IF(AND(Table8[[#This Row],[Availability Status]]="a",Table8[[#This Row],[Can Select]]=TRUE),1,0)</f>
        <v>1</v>
      </c>
      <c r="I136">
        <f>tblPlayers[minutes]</f>
        <v>0</v>
      </c>
      <c r="J136" s="2">
        <f>Table8[[#This Row],[Minutes]]/90</f>
        <v>0</v>
      </c>
      <c r="K136" s="5">
        <f>IFERROR(Z136/(FIXTURE_ANALYSIS!$B$1-1),0)</f>
        <v>0</v>
      </c>
      <c r="L136">
        <f>tblPlayers[total_points]</f>
        <v>0</v>
      </c>
      <c r="M136">
        <f>tblPlayers[points_per_game]</f>
        <v>0</v>
      </c>
      <c r="N136">
        <f>tblPlayers[form]</f>
        <v>0</v>
      </c>
      <c r="O136">
        <f>tblPlayers[expected_goals]</f>
        <v>0</v>
      </c>
      <c r="P136">
        <f>tblPlayers[expected_assists]</f>
        <v>0</v>
      </c>
      <c r="Q136">
        <f>tblPlayers[expected_goal_involvements]</f>
        <v>0</v>
      </c>
      <c r="R136" s="2">
        <f t="shared" si="50"/>
        <v>0</v>
      </c>
      <c r="S136" s="5">
        <f t="shared" si="51"/>
        <v>0</v>
      </c>
      <c r="T136" s="5">
        <f t="shared" si="52"/>
        <v>0</v>
      </c>
      <c r="U136" s="5">
        <f t="shared" si="53"/>
        <v>0</v>
      </c>
      <c r="V136" s="3">
        <f t="shared" si="54"/>
        <v>0</v>
      </c>
      <c r="W136" s="5">
        <f t="shared" si="55"/>
        <v>0</v>
      </c>
      <c r="X136" s="5">
        <f>IFERROR(IF(OR($B136="MID",$B136="FWD"),INDEX(FIXTURE_ANALYSIS!$Q:$Q,MATCH($D136,FIXTURE_ANALYSIS!$A:$A,0)),INDEX(FIXTURE_ANALYSIS!$R:$R,MATCH($D136,FIXTURE_ANALYSIS!$A:$A,0))),1)</f>
        <v>1.1225346020761244</v>
      </c>
      <c r="Y136" s="5">
        <f t="shared" si="56"/>
        <v>1.1225346020761244</v>
      </c>
      <c r="Z136" s="8">
        <f>INDEX(FPL_Raw_Data!$T:$T,MATCH(A136,FPL_Raw_Data!$AA:$AA,0))</f>
        <v>0</v>
      </c>
      <c r="AA136" s="8">
        <f>INDEX(FPL_Raw_Data!$S:$S,MATCH(A136,FPL_Raw_Data!$AA:$AA,0))</f>
        <v>0</v>
      </c>
      <c r="AB136" s="2">
        <f t="shared" si="57"/>
        <v>0</v>
      </c>
      <c r="AC136" s="2">
        <f>INDEX(FPL_Raw_Data!$Q:$Q,MATCH(A136,FPL_Raw_Data!$AA:$AA,0))</f>
        <v>0</v>
      </c>
      <c r="AD136" s="8">
        <f>INDEX(FPL_Raw_Data!$R:$R,MATCH(A136,FPL_Raw_Data!$AA:$AA,0))</f>
        <v>0</v>
      </c>
      <c r="AE136" s="8">
        <f>INDEX(FPL_Raw_Data!$N:$N,MATCH(A136,FPL_Raw_Data!$AA:$AA,0))</f>
        <v>0</v>
      </c>
      <c r="AF136" s="8">
        <f>INDEX(FPL_Raw_Data!$L:$L,MATCH(A136,FPL_Raw_Data!$AA:$AA,0))</f>
        <v>0</v>
      </c>
      <c r="AG136" s="2">
        <f>INDEX(FPL_Raw_Data!$M:$M,MATCH(A136,FPL_Raw_Data!$AA:$AA,0))</f>
        <v>0</v>
      </c>
      <c r="AH136" s="2">
        <f t="shared" si="58"/>
        <v>0</v>
      </c>
      <c r="AI136" s="2">
        <f t="shared" si="59"/>
        <v>0</v>
      </c>
      <c r="AJ136" s="2">
        <f t="shared" si="60"/>
        <v>0</v>
      </c>
      <c r="AK136" s="2">
        <f t="shared" si="61"/>
        <v>0</v>
      </c>
      <c r="AL136" s="2">
        <f t="shared" si="62"/>
        <v>0</v>
      </c>
      <c r="AM136" s="2">
        <f t="shared" si="63"/>
        <v>0</v>
      </c>
      <c r="AN136" s="2">
        <f t="shared" si="64"/>
        <v>0</v>
      </c>
      <c r="AO136" s="3">
        <f t="shared" si="65"/>
        <v>0.1</v>
      </c>
      <c r="AP136">
        <f t="shared" si="66"/>
        <v>0</v>
      </c>
      <c r="AQ136">
        <f t="shared" si="67"/>
        <v>0.1</v>
      </c>
      <c r="AR136">
        <f t="shared" si="68"/>
        <v>0</v>
      </c>
      <c r="AS136" s="2">
        <f t="shared" si="69"/>
        <v>0</v>
      </c>
      <c r="AT136" s="2">
        <f>IFERROR(INDEX(Player_Model!$BC$2:$BC$596,MATCH($A136,Player_Model!$A$2:$A$596,0)),0)</f>
        <v>0</v>
      </c>
      <c r="AU136" s="2">
        <f>Table8[[#This Row],[Model Expected Points]]*Table8[[#This Row],[Fixture Adjustment]]</f>
        <v>0</v>
      </c>
      <c r="AV136" s="2">
        <f>Table8[[#This Row],[Fixture Adjusted Points / 90]]/Table8[[#This Row],[Price]]</f>
        <v>0</v>
      </c>
      <c r="AW136">
        <f t="shared" si="70"/>
        <v>0.05</v>
      </c>
      <c r="AX136">
        <f t="shared" si="71"/>
        <v>0</v>
      </c>
      <c r="AY136" s="2">
        <f t="shared" si="72"/>
        <v>0</v>
      </c>
      <c r="AZ136" s="5">
        <f t="shared" si="73"/>
        <v>1.1225346020761244</v>
      </c>
      <c r="BA136">
        <f>Table8[[#This Row],[Model Score2]]</f>
        <v>0</v>
      </c>
      <c r="BB136">
        <f>IFERROR(INDEX(Player_Model!$BG$2:$BG$596,MATCH($A136,Player_Model!$A$2:$A$596,0)),"")</f>
        <v>144</v>
      </c>
      <c r="BC136" t="str">
        <f t="shared" si="74"/>
        <v>AVOID</v>
      </c>
      <c r="BD136">
        <f>IF(H136=1,Table8[[#This Row],[Model Score]],-10000)</f>
        <v>0</v>
      </c>
      <c r="BE136">
        <f>IFERROR(INDEX(Player_Model!$BF$2:$BF$596,MATCH($A136,Player_Model!$A$2:$A$596,0)),"")</f>
        <v>253</v>
      </c>
      <c r="BF136">
        <f>IFERROR(INDEX(Player_Model!$BG$2:$BG$596,MATCH($A136,Player_Model!$A$2:$A$596,0)),"")</f>
        <v>144</v>
      </c>
      <c r="BG136">
        <f>IFERROR(INDEX(Player_Model!$BE$2:$BE$596,MATCH($A136,Player_Model!$A$2:$A$596,0)),0)</f>
        <v>0</v>
      </c>
    </row>
    <row r="137" spans="1:59" x14ac:dyDescent="0.25">
      <c r="A137" t="str">
        <f>tblPlayers[first_name]&amp;" "&amp;tblPlayers[second_name]</f>
        <v>Diego Gómez Amarilla</v>
      </c>
      <c r="B137" t="str">
        <f>_xlfn.SWITCH(tblPlayers[element_type],1,"GK",2,"DEF",3,"MID",4,"FWD")</f>
        <v>MID</v>
      </c>
      <c r="C137">
        <f>tblPlayers[team]</f>
        <v>5</v>
      </c>
      <c r="D137" t="str">
        <f>INDEX(tblTeams[Column1.short_name],MATCH(C137,tblTeams[Column1.id],0))</f>
        <v>BHA</v>
      </c>
      <c r="E137" s="4">
        <f>INDEX(FPL_Raw_Data!$F:$F,MATCH(A137,FPL_Raw_Data!$AA:$AA,0))/10</f>
        <v>5</v>
      </c>
      <c r="F137" s="4" t="str">
        <f>tblPlayers[[#This Row],[status]]</f>
        <v>a</v>
      </c>
      <c r="G137" s="4" t="b">
        <f>tblPlayers[[#This Row],[can_select]]</f>
        <v>1</v>
      </c>
      <c r="H137">
        <f>IF(AND(Table8[[#This Row],[Availability Status]]="a",Table8[[#This Row],[Can Select]]=TRUE),1,0)</f>
        <v>1</v>
      </c>
      <c r="I137">
        <f>tblPlayers[minutes]</f>
        <v>265</v>
      </c>
      <c r="J137" s="2">
        <f>Table8[[#This Row],[Minutes]]/90</f>
        <v>2.9444444444444446</v>
      </c>
      <c r="K137" s="5">
        <f>IFERROR(Z137/(FIXTURE_ANALYSIS!$B$1-1),0)</f>
        <v>1</v>
      </c>
      <c r="L137">
        <f>tblPlayers[total_points]</f>
        <v>13</v>
      </c>
      <c r="M137">
        <f>tblPlayers[points_per_game]</f>
        <v>4.3</v>
      </c>
      <c r="N137">
        <f>tblPlayers[form]</f>
        <v>4.3</v>
      </c>
      <c r="O137">
        <f>tblPlayers[expected_goals]</f>
        <v>0.65</v>
      </c>
      <c r="P137">
        <f>tblPlayers[expected_assists]</f>
        <v>0.7</v>
      </c>
      <c r="Q137">
        <f>tblPlayers[expected_goal_involvements]</f>
        <v>1.35</v>
      </c>
      <c r="R137" s="2">
        <f t="shared" si="50"/>
        <v>4.4150943396226419</v>
      </c>
      <c r="S137" s="5">
        <f t="shared" si="51"/>
        <v>0.22075471698113208</v>
      </c>
      <c r="T137" s="5">
        <f t="shared" si="52"/>
        <v>0.23773584905660375</v>
      </c>
      <c r="U137" s="5">
        <f t="shared" si="53"/>
        <v>0.45849056603773586</v>
      </c>
      <c r="V137" s="3">
        <f t="shared" si="54"/>
        <v>2.6</v>
      </c>
      <c r="W137" s="5">
        <f t="shared" si="55"/>
        <v>0.27</v>
      </c>
      <c r="X137" s="5">
        <f>IFERROR(IF(OR($B137="MID",$B137="FWD"),INDEX(FIXTURE_ANALYSIS!$Q:$Q,MATCH($D137,FIXTURE_ANALYSIS!$A:$A,0)),INDEX(FIXTURE_ANALYSIS!$R:$R,MATCH($D137,FIXTURE_ANALYSIS!$A:$A,0))),1)</f>
        <v>1.1225346020761244</v>
      </c>
      <c r="Y137" s="5">
        <f t="shared" si="56"/>
        <v>1.1225346020761244</v>
      </c>
      <c r="Z137" s="8">
        <f>INDEX(FPL_Raw_Data!$T:$T,MATCH(A137,FPL_Raw_Data!$AA:$AA,0))</f>
        <v>3</v>
      </c>
      <c r="AA137" s="8">
        <f>INDEX(FPL_Raw_Data!$S:$S,MATCH(A137,FPL_Raw_Data!$AA:$AA,0))</f>
        <v>20</v>
      </c>
      <c r="AB137" s="2">
        <f t="shared" si="57"/>
        <v>1</v>
      </c>
      <c r="AC137" s="2">
        <f>INDEX(FPL_Raw_Data!$Q:$Q,MATCH(A137,FPL_Raw_Data!$AA:$AA,0))</f>
        <v>0</v>
      </c>
      <c r="AD137" s="8">
        <f>INDEX(FPL_Raw_Data!$R:$R,MATCH(A137,FPL_Raw_Data!$AA:$AA,0))</f>
        <v>55</v>
      </c>
      <c r="AE137" s="8">
        <f>INDEX(FPL_Raw_Data!$N:$N,MATCH(A137,FPL_Raw_Data!$AA:$AA,0))</f>
        <v>1</v>
      </c>
      <c r="AF137" s="8">
        <f>INDEX(FPL_Raw_Data!$L:$L,MATCH(A137,FPL_Raw_Data!$AA:$AA,0))</f>
        <v>0</v>
      </c>
      <c r="AG137" s="2">
        <f>INDEX(FPL_Raw_Data!$M:$M,MATCH(A137,FPL_Raw_Data!$AA:$AA,0))</f>
        <v>2</v>
      </c>
      <c r="AH137" s="2">
        <f t="shared" si="58"/>
        <v>1.1037735849056605</v>
      </c>
      <c r="AI137" s="2">
        <f t="shared" si="59"/>
        <v>0.71320754716981127</v>
      </c>
      <c r="AJ137" s="2">
        <f t="shared" si="60"/>
        <v>2</v>
      </c>
      <c r="AK137" s="2">
        <f t="shared" si="61"/>
        <v>2</v>
      </c>
      <c r="AL137" s="2">
        <f t="shared" si="62"/>
        <v>0.33333333333333331</v>
      </c>
      <c r="AM137" s="2">
        <f t="shared" si="63"/>
        <v>0.33333333333333331</v>
      </c>
      <c r="AN137" s="2">
        <f t="shared" si="64"/>
        <v>0</v>
      </c>
      <c r="AO137" s="3">
        <f t="shared" si="65"/>
        <v>72.3</v>
      </c>
      <c r="AP137">
        <f t="shared" si="66"/>
        <v>91</v>
      </c>
      <c r="AQ137">
        <f t="shared" si="67"/>
        <v>92.5</v>
      </c>
      <c r="AR137">
        <f t="shared" si="68"/>
        <v>97.8</v>
      </c>
      <c r="AS137" s="2">
        <f t="shared" si="69"/>
        <v>100</v>
      </c>
      <c r="AT137" s="2">
        <f>IFERROR(INDEX(Player_Model!$BC$2:$BC$596,MATCH($A137,Player_Model!$A$2:$A$596,0)),0)</f>
        <v>5.8941473371121775</v>
      </c>
      <c r="AU137" s="2">
        <f>Table8[[#This Row],[Model Expected Points]]*Table8[[#This Row],[Fixture Adjustment]]</f>
        <v>6.616384335643267</v>
      </c>
      <c r="AV137" s="2">
        <f>Table8[[#This Row],[Fixture Adjusted Points / 90]]/Table8[[#This Row],[Price]]</f>
        <v>1.3232768671286534</v>
      </c>
      <c r="AW137">
        <f t="shared" si="70"/>
        <v>81.650000000000006</v>
      </c>
      <c r="AX137">
        <f t="shared" si="71"/>
        <v>1</v>
      </c>
      <c r="AY137" s="2">
        <f t="shared" si="72"/>
        <v>100</v>
      </c>
      <c r="AZ137" s="5">
        <f t="shared" si="73"/>
        <v>1.1225346020761244</v>
      </c>
      <c r="BA137">
        <f>Table8[[#This Row],[Model Score2]]</f>
        <v>5.8941473371121775</v>
      </c>
      <c r="BB137">
        <f>IFERROR(INDEX(Player_Model!$BG$2:$BG$596,MATCH($A137,Player_Model!$A$2:$A$596,0)),"")</f>
        <v>20</v>
      </c>
      <c r="BC137" t="str">
        <f t="shared" si="74"/>
        <v>AVOID</v>
      </c>
      <c r="BD137">
        <f>IF(H137=1,Table8[[#This Row],[Model Score]],-10000)</f>
        <v>5.8941473371121775</v>
      </c>
      <c r="BE137">
        <f>IFERROR(INDEX(Player_Model!$BF$2:$BF$596,MATCH($A137,Player_Model!$A$2:$A$596,0)),"")</f>
        <v>50</v>
      </c>
      <c r="BF137">
        <f>IFERROR(INDEX(Player_Model!$BG$2:$BG$596,MATCH($A137,Player_Model!$A$2:$A$596,0)),"")</f>
        <v>20</v>
      </c>
      <c r="BG137">
        <f>IFERROR(INDEX(Player_Model!$BE$2:$BE$596,MATCH($A137,Player_Model!$A$2:$A$596,0)),0)</f>
        <v>5.8941473371121775</v>
      </c>
    </row>
    <row r="138" spans="1:59" x14ac:dyDescent="0.25">
      <c r="A138" t="str">
        <f>tblPlayers[first_name]&amp;" "&amp;tblPlayers[second_name]</f>
        <v>Facundo Buonanotte</v>
      </c>
      <c r="B138" t="str">
        <f>_xlfn.SWITCH(tblPlayers[element_type],1,"GK",2,"DEF",3,"MID",4,"FWD")</f>
        <v>MID</v>
      </c>
      <c r="C138">
        <f>tblPlayers[team]</f>
        <v>5</v>
      </c>
      <c r="D138" t="str">
        <f>INDEX(tblTeams[Column1.short_name],MATCH(C138,tblTeams[Column1.id],0))</f>
        <v>BHA</v>
      </c>
      <c r="E138" s="4">
        <f>INDEX(FPL_Raw_Data!$F:$F,MATCH(A138,FPL_Raw_Data!$AA:$AA,0))/10</f>
        <v>5</v>
      </c>
      <c r="F138" s="4" t="str">
        <f>tblPlayers[[#This Row],[status]]</f>
        <v>u</v>
      </c>
      <c r="G138" s="4" t="b">
        <f>tblPlayers[[#This Row],[can_select]]</f>
        <v>0</v>
      </c>
      <c r="H138">
        <f>IF(AND(Table8[[#This Row],[Availability Status]]="a",Table8[[#This Row],[Can Select]]=TRUE),1,0)</f>
        <v>0</v>
      </c>
      <c r="I138">
        <f>tblPlayers[minutes]</f>
        <v>0</v>
      </c>
      <c r="J138" s="2">
        <f>Table8[[#This Row],[Minutes]]/90</f>
        <v>0</v>
      </c>
      <c r="K138" s="5">
        <f>IFERROR(Z138/(FIXTURE_ANALYSIS!$B$1-1),0)</f>
        <v>0</v>
      </c>
      <c r="L138">
        <f>tblPlayers[total_points]</f>
        <v>0</v>
      </c>
      <c r="M138">
        <f>tblPlayers[points_per_game]</f>
        <v>0</v>
      </c>
      <c r="N138">
        <f>tblPlayers[form]</f>
        <v>0</v>
      </c>
      <c r="O138">
        <f>tblPlayers[expected_goals]</f>
        <v>0</v>
      </c>
      <c r="P138">
        <f>tblPlayers[expected_assists]</f>
        <v>0</v>
      </c>
      <c r="Q138">
        <f>tblPlayers[expected_goal_involvements]</f>
        <v>0</v>
      </c>
      <c r="R138" s="2">
        <f t="shared" si="50"/>
        <v>0</v>
      </c>
      <c r="S138" s="5">
        <f t="shared" si="51"/>
        <v>0</v>
      </c>
      <c r="T138" s="5">
        <f t="shared" si="52"/>
        <v>0</v>
      </c>
      <c r="U138" s="5">
        <f t="shared" si="53"/>
        <v>0</v>
      </c>
      <c r="V138" s="3">
        <f t="shared" si="54"/>
        <v>0</v>
      </c>
      <c r="W138" s="5">
        <f t="shared" si="55"/>
        <v>0</v>
      </c>
      <c r="X138" s="5">
        <f>IFERROR(IF(OR($B138="MID",$B138="FWD"),INDEX(FIXTURE_ANALYSIS!$Q:$Q,MATCH($D138,FIXTURE_ANALYSIS!$A:$A,0)),INDEX(FIXTURE_ANALYSIS!$R:$R,MATCH($D138,FIXTURE_ANALYSIS!$A:$A,0))),1)</f>
        <v>1.1225346020761244</v>
      </c>
      <c r="Y138" s="5">
        <f t="shared" si="56"/>
        <v>1.1225346020761244</v>
      </c>
      <c r="Z138" s="8">
        <f>INDEX(FPL_Raw_Data!$T:$T,MATCH(A138,FPL_Raw_Data!$AA:$AA,0))</f>
        <v>0</v>
      </c>
      <c r="AA138" s="8">
        <f>INDEX(FPL_Raw_Data!$S:$S,MATCH(A138,FPL_Raw_Data!$AA:$AA,0))</f>
        <v>0</v>
      </c>
      <c r="AB138" s="2">
        <f t="shared" si="57"/>
        <v>0</v>
      </c>
      <c r="AC138" s="2">
        <f>INDEX(FPL_Raw_Data!$Q:$Q,MATCH(A138,FPL_Raw_Data!$AA:$AA,0))</f>
        <v>0</v>
      </c>
      <c r="AD138" s="8">
        <f>INDEX(FPL_Raw_Data!$R:$R,MATCH(A138,FPL_Raw_Data!$AA:$AA,0))</f>
        <v>0</v>
      </c>
      <c r="AE138" s="8">
        <f>INDEX(FPL_Raw_Data!$N:$N,MATCH(A138,FPL_Raw_Data!$AA:$AA,0))</f>
        <v>0</v>
      </c>
      <c r="AF138" s="8">
        <f>INDEX(FPL_Raw_Data!$L:$L,MATCH(A138,FPL_Raw_Data!$AA:$AA,0))</f>
        <v>0</v>
      </c>
      <c r="AG138" s="2">
        <f>INDEX(FPL_Raw_Data!$M:$M,MATCH(A138,FPL_Raw_Data!$AA:$AA,0))</f>
        <v>0</v>
      </c>
      <c r="AH138" s="2">
        <f t="shared" si="58"/>
        <v>0</v>
      </c>
      <c r="AI138" s="2">
        <f t="shared" si="59"/>
        <v>0</v>
      </c>
      <c r="AJ138" s="2">
        <f t="shared" si="60"/>
        <v>0</v>
      </c>
      <c r="AK138" s="2">
        <f t="shared" si="61"/>
        <v>0</v>
      </c>
      <c r="AL138" s="2">
        <f t="shared" si="62"/>
        <v>0</v>
      </c>
      <c r="AM138" s="2">
        <f t="shared" si="63"/>
        <v>0</v>
      </c>
      <c r="AN138" s="2">
        <f t="shared" si="64"/>
        <v>0</v>
      </c>
      <c r="AO138" s="3">
        <f t="shared" si="65"/>
        <v>0.1</v>
      </c>
      <c r="AP138">
        <f t="shared" si="66"/>
        <v>0</v>
      </c>
      <c r="AQ138">
        <f t="shared" si="67"/>
        <v>0.1</v>
      </c>
      <c r="AR138">
        <f t="shared" si="68"/>
        <v>0</v>
      </c>
      <c r="AS138" s="2">
        <f t="shared" si="69"/>
        <v>0</v>
      </c>
      <c r="AT138" s="2">
        <f>IFERROR(INDEX(Player_Model!$BC$2:$BC$596,MATCH($A138,Player_Model!$A$2:$A$596,0)),0)</f>
        <v>0</v>
      </c>
      <c r="AU138" s="2">
        <f>Table8[[#This Row],[Model Expected Points]]*Table8[[#This Row],[Fixture Adjustment]]</f>
        <v>0</v>
      </c>
      <c r="AV138" s="2">
        <f>Table8[[#This Row],[Fixture Adjusted Points / 90]]/Table8[[#This Row],[Price]]</f>
        <v>0</v>
      </c>
      <c r="AW138">
        <f t="shared" si="70"/>
        <v>0.05</v>
      </c>
      <c r="AX138">
        <f t="shared" si="71"/>
        <v>0</v>
      </c>
      <c r="AY138" s="2">
        <f t="shared" si="72"/>
        <v>0</v>
      </c>
      <c r="AZ138" s="5">
        <f t="shared" si="73"/>
        <v>1.1225346020761244</v>
      </c>
      <c r="BA138">
        <f>Table8[[#This Row],[Model Score2]]</f>
        <v>0</v>
      </c>
      <c r="BB138">
        <f>IFERROR(INDEX(Player_Model!$BG$2:$BG$596,MATCH($A138,Player_Model!$A$2:$A$596,0)),"")</f>
        <v>145</v>
      </c>
      <c r="BC138" t="str">
        <f t="shared" si="74"/>
        <v>AVOID</v>
      </c>
      <c r="BD138">
        <f>IF(H138=1,Table8[[#This Row],[Model Score]],-10000)</f>
        <v>-10000</v>
      </c>
      <c r="BE138">
        <f>IFERROR(INDEX(Player_Model!$BF$2:$BF$596,MATCH($A138,Player_Model!$A$2:$A$596,0)),"")</f>
        <v>253</v>
      </c>
      <c r="BF138">
        <f>IFERROR(INDEX(Player_Model!$BG$2:$BG$596,MATCH($A138,Player_Model!$A$2:$A$596,0)),"")</f>
        <v>145</v>
      </c>
      <c r="BG138">
        <f>IFERROR(INDEX(Player_Model!$BE$2:$BE$596,MATCH($A138,Player_Model!$A$2:$A$596,0)),0)</f>
        <v>0</v>
      </c>
    </row>
    <row r="139" spans="1:59" x14ac:dyDescent="0.25">
      <c r="A139" t="str">
        <f>tblPlayers[first_name]&amp;" "&amp;tblPlayers[second_name]</f>
        <v>Yasin Ayari</v>
      </c>
      <c r="B139" t="str">
        <f>_xlfn.SWITCH(tblPlayers[element_type],1,"GK",2,"DEF",3,"MID",4,"FWD")</f>
        <v>MID</v>
      </c>
      <c r="C139">
        <f>tblPlayers[team]</f>
        <v>5</v>
      </c>
      <c r="D139" t="str">
        <f>INDEX(tblTeams[Column1.short_name],MATCH(C139,tblTeams[Column1.id],0))</f>
        <v>BHA</v>
      </c>
      <c r="E139" s="4">
        <f>INDEX(FPL_Raw_Data!$F:$F,MATCH(A139,FPL_Raw_Data!$AA:$AA,0))/10</f>
        <v>5.4</v>
      </c>
      <c r="F139" s="4" t="str">
        <f>tblPlayers[[#This Row],[status]]</f>
        <v>a</v>
      </c>
      <c r="G139" s="4" t="b">
        <f>tblPlayers[[#This Row],[can_select]]</f>
        <v>1</v>
      </c>
      <c r="H139">
        <f>IF(AND(Table8[[#This Row],[Availability Status]]="a",Table8[[#This Row],[Can Select]]=TRUE),1,0)</f>
        <v>1</v>
      </c>
      <c r="I139">
        <f>tblPlayers[minutes]</f>
        <v>153</v>
      </c>
      <c r="J139" s="2">
        <f>Table8[[#This Row],[Minutes]]/90</f>
        <v>1.7</v>
      </c>
      <c r="K139" s="5">
        <f>IFERROR(Z139/(FIXTURE_ANALYSIS!$B$1-1),0)</f>
        <v>0.66666666666666663</v>
      </c>
      <c r="L139">
        <f>tblPlayers[total_points]</f>
        <v>4</v>
      </c>
      <c r="M139">
        <f>tblPlayers[points_per_game]</f>
        <v>2</v>
      </c>
      <c r="N139">
        <f>tblPlayers[form]</f>
        <v>1.3</v>
      </c>
      <c r="O139">
        <f>tblPlayers[expected_goals]</f>
        <v>0.28000000000000003</v>
      </c>
      <c r="P139">
        <f>tblPlayers[expected_assists]</f>
        <v>7.0000000000000007E-2</v>
      </c>
      <c r="Q139">
        <f>tblPlayers[expected_goal_involvements]</f>
        <v>0.35</v>
      </c>
      <c r="R139" s="2">
        <f t="shared" si="50"/>
        <v>2.3529411764705883</v>
      </c>
      <c r="S139" s="5">
        <f t="shared" si="51"/>
        <v>0.1647058823529412</v>
      </c>
      <c r="T139" s="5">
        <f t="shared" si="52"/>
        <v>4.11764705882353E-2</v>
      </c>
      <c r="U139" s="5">
        <f t="shared" si="53"/>
        <v>0.20588235294117643</v>
      </c>
      <c r="V139" s="3">
        <f t="shared" si="54"/>
        <v>0.7407407407407407</v>
      </c>
      <c r="W139" s="5">
        <f t="shared" si="55"/>
        <v>6.4814814814814811E-2</v>
      </c>
      <c r="X139" s="5">
        <f>IFERROR(IF(OR($B139="MID",$B139="FWD"),INDEX(FIXTURE_ANALYSIS!$Q:$Q,MATCH($D139,FIXTURE_ANALYSIS!$A:$A,0)),INDEX(FIXTURE_ANALYSIS!$R:$R,MATCH($D139,FIXTURE_ANALYSIS!$A:$A,0))),1)</f>
        <v>1.1225346020761244</v>
      </c>
      <c r="Y139" s="5">
        <f t="shared" si="56"/>
        <v>1.1225346020761244</v>
      </c>
      <c r="Z139" s="8">
        <f>INDEX(FPL_Raw_Data!$T:$T,MATCH(A139,FPL_Raw_Data!$AA:$AA,0))</f>
        <v>2</v>
      </c>
      <c r="AA139" s="8">
        <f>INDEX(FPL_Raw_Data!$S:$S,MATCH(A139,FPL_Raw_Data!$AA:$AA,0))</f>
        <v>7</v>
      </c>
      <c r="AB139" s="2">
        <f t="shared" si="57"/>
        <v>0.58333333333333337</v>
      </c>
      <c r="AC139" s="2">
        <f>INDEX(FPL_Raw_Data!$Q:$Q,MATCH(A139,FPL_Raw_Data!$AA:$AA,0))</f>
        <v>0</v>
      </c>
      <c r="AD139" s="8">
        <f>INDEX(FPL_Raw_Data!$R:$R,MATCH(A139,FPL_Raw_Data!$AA:$AA,0))</f>
        <v>26</v>
      </c>
      <c r="AE139" s="8">
        <f>INDEX(FPL_Raw_Data!$N:$N,MATCH(A139,FPL_Raw_Data!$AA:$AA,0))</f>
        <v>1</v>
      </c>
      <c r="AF139" s="8">
        <f>INDEX(FPL_Raw_Data!$L:$L,MATCH(A139,FPL_Raw_Data!$AA:$AA,0))</f>
        <v>0</v>
      </c>
      <c r="AG139" s="2">
        <f>INDEX(FPL_Raw_Data!$M:$M,MATCH(A139,FPL_Raw_Data!$AA:$AA,0))</f>
        <v>0</v>
      </c>
      <c r="AH139" s="2">
        <f t="shared" si="58"/>
        <v>0.82352941176470607</v>
      </c>
      <c r="AI139" s="2">
        <f t="shared" si="59"/>
        <v>0.1235294117647059</v>
      </c>
      <c r="AJ139" s="2">
        <f t="shared" si="60"/>
        <v>1.3333333333333333</v>
      </c>
      <c r="AK139" s="2">
        <f t="shared" si="61"/>
        <v>1.1666666666666667</v>
      </c>
      <c r="AL139" s="2">
        <f t="shared" si="62"/>
        <v>0.5</v>
      </c>
      <c r="AM139" s="2">
        <f t="shared" si="63"/>
        <v>0.5</v>
      </c>
      <c r="AN139" s="2">
        <f t="shared" si="64"/>
        <v>0</v>
      </c>
      <c r="AO139" s="3">
        <f t="shared" si="65"/>
        <v>51.1</v>
      </c>
      <c r="AP139">
        <f t="shared" si="66"/>
        <v>76.5</v>
      </c>
      <c r="AQ139">
        <f t="shared" si="67"/>
        <v>64.600000000000009</v>
      </c>
      <c r="AR139">
        <f t="shared" si="68"/>
        <v>78.7</v>
      </c>
      <c r="AS139" s="2">
        <f t="shared" si="69"/>
        <v>66.666666666666657</v>
      </c>
      <c r="AT139" s="2">
        <f>IFERROR(INDEX(Player_Model!$BC$2:$BC$596,MATCH($A139,Player_Model!$A$2:$A$596,0)),0)</f>
        <v>4.492093365186653</v>
      </c>
      <c r="AU139" s="2">
        <f>Table8[[#This Row],[Model Expected Points]]*Table8[[#This Row],[Fixture Adjustment]]</f>
        <v>5.0425302381785979</v>
      </c>
      <c r="AV139" s="2">
        <f>Table8[[#This Row],[Fixture Adjusted Points / 90]]/Table8[[#This Row],[Price]]</f>
        <v>0.93380189595899954</v>
      </c>
      <c r="AW139">
        <f t="shared" si="70"/>
        <v>63.8</v>
      </c>
      <c r="AX139">
        <f t="shared" si="71"/>
        <v>0.58333333333333337</v>
      </c>
      <c r="AY139" s="2">
        <f t="shared" si="72"/>
        <v>66.666666666666657</v>
      </c>
      <c r="AZ139" s="5">
        <f t="shared" si="73"/>
        <v>1.1225346020761244</v>
      </c>
      <c r="BA139">
        <f>Table8[[#This Row],[Model Score2]]</f>
        <v>4.492093365186653</v>
      </c>
      <c r="BB139">
        <f>IFERROR(INDEX(Player_Model!$BG$2:$BG$596,MATCH($A139,Player_Model!$A$2:$A$596,0)),"")</f>
        <v>58</v>
      </c>
      <c r="BC139" t="str">
        <f t="shared" si="74"/>
        <v>AVOID</v>
      </c>
      <c r="BD139">
        <f>IF(H139=1,Table8[[#This Row],[Model Score]],-10000)</f>
        <v>4.492093365186653</v>
      </c>
      <c r="BE139">
        <f>IFERROR(INDEX(Player_Model!$BF$2:$BF$596,MATCH($A139,Player_Model!$A$2:$A$596,0)),"")</f>
        <v>123</v>
      </c>
      <c r="BF139">
        <f>IFERROR(INDEX(Player_Model!$BG$2:$BG$596,MATCH($A139,Player_Model!$A$2:$A$596,0)),"")</f>
        <v>58</v>
      </c>
      <c r="BG139">
        <f>IFERROR(INDEX(Player_Model!$BE$2:$BE$596,MATCH($A139,Player_Model!$A$2:$A$596,0)),0)</f>
        <v>4.492093365186653</v>
      </c>
    </row>
    <row r="140" spans="1:59" x14ac:dyDescent="0.25">
      <c r="A140" t="str">
        <f>tblPlayers[first_name]&amp;" "&amp;tblPlayers[second_name]</f>
        <v>Mats Wieffer</v>
      </c>
      <c r="B140" t="str">
        <f>_xlfn.SWITCH(tblPlayers[element_type],1,"GK",2,"DEF",3,"MID",4,"FWD")</f>
        <v>DEF</v>
      </c>
      <c r="C140">
        <f>tblPlayers[team]</f>
        <v>5</v>
      </c>
      <c r="D140" t="str">
        <f>INDEX(tblTeams[Column1.short_name],MATCH(C140,tblTeams[Column1.id],0))</f>
        <v>BHA</v>
      </c>
      <c r="E140" s="4">
        <f>INDEX(FPL_Raw_Data!$F:$F,MATCH(A140,FPL_Raw_Data!$AA:$AA,0))/10</f>
        <v>5</v>
      </c>
      <c r="F140" s="4" t="str">
        <f>tblPlayers[[#This Row],[status]]</f>
        <v>i</v>
      </c>
      <c r="G140" s="4" t="b">
        <f>tblPlayers[[#This Row],[can_select]]</f>
        <v>1</v>
      </c>
      <c r="H140">
        <f>IF(AND(Table8[[#This Row],[Availability Status]]="a",Table8[[#This Row],[Can Select]]=TRUE),1,0)</f>
        <v>0</v>
      </c>
      <c r="I140">
        <f>tblPlayers[minutes]</f>
        <v>156</v>
      </c>
      <c r="J140" s="2">
        <f>Table8[[#This Row],[Minutes]]/90</f>
        <v>1.7333333333333334</v>
      </c>
      <c r="K140" s="5">
        <f>IFERROR(Z140/(FIXTURE_ANALYSIS!$B$1-1),0)</f>
        <v>0.66666666666666663</v>
      </c>
      <c r="L140">
        <f>tblPlayers[total_points]</f>
        <v>7</v>
      </c>
      <c r="M140">
        <f>tblPlayers[points_per_game]</f>
        <v>3.5</v>
      </c>
      <c r="N140">
        <f>tblPlayers[form]</f>
        <v>2.2999999999999998</v>
      </c>
      <c r="O140">
        <f>tblPlayers[expected_goals]</f>
        <v>0.12</v>
      </c>
      <c r="P140">
        <f>tblPlayers[expected_assists]</f>
        <v>0.13</v>
      </c>
      <c r="Q140">
        <f>tblPlayers[expected_goal_involvements]</f>
        <v>0.25</v>
      </c>
      <c r="R140" s="2">
        <f t="shared" si="50"/>
        <v>4.0384615384615383</v>
      </c>
      <c r="S140" s="5">
        <f t="shared" si="51"/>
        <v>6.9230769230769235E-2</v>
      </c>
      <c r="T140" s="5">
        <f t="shared" si="52"/>
        <v>7.5000000000000011E-2</v>
      </c>
      <c r="U140" s="5">
        <f t="shared" si="53"/>
        <v>0.14423076923076922</v>
      </c>
      <c r="V140" s="3">
        <f t="shared" si="54"/>
        <v>1.4</v>
      </c>
      <c r="W140" s="5">
        <f t="shared" si="55"/>
        <v>0.05</v>
      </c>
      <c r="X140" s="5">
        <f>IFERROR(IF(OR($B140="MID",$B140="FWD"),INDEX(FIXTURE_ANALYSIS!$Q:$Q,MATCH($D140,FIXTURE_ANALYSIS!$A:$A,0)),INDEX(FIXTURE_ANALYSIS!$R:$R,MATCH($D140,FIXTURE_ANALYSIS!$A:$A,0))),1)</f>
        <v>0.99748538507159212</v>
      </c>
      <c r="Y140" s="5">
        <f t="shared" si="56"/>
        <v>0.99748538507159212</v>
      </c>
      <c r="Z140" s="8">
        <f>INDEX(FPL_Raw_Data!$T:$T,MATCH(A140,FPL_Raw_Data!$AA:$AA,0))</f>
        <v>2</v>
      </c>
      <c r="AA140" s="8">
        <f>INDEX(FPL_Raw_Data!$S:$S,MATCH(A140,FPL_Raw_Data!$AA:$AA,0))</f>
        <v>15</v>
      </c>
      <c r="AB140" s="2">
        <f t="shared" si="57"/>
        <v>1</v>
      </c>
      <c r="AC140" s="2">
        <f>INDEX(FPL_Raw_Data!$Q:$Q,MATCH(A140,FPL_Raw_Data!$AA:$AA,0))</f>
        <v>1</v>
      </c>
      <c r="AD140" s="8">
        <f>INDEX(FPL_Raw_Data!$R:$R,MATCH(A140,FPL_Raw_Data!$AA:$AA,0))</f>
        <v>38</v>
      </c>
      <c r="AE140" s="8">
        <f>INDEX(FPL_Raw_Data!$N:$N,MATCH(A140,FPL_Raw_Data!$AA:$AA,0))</f>
        <v>1</v>
      </c>
      <c r="AF140" s="8">
        <f>INDEX(FPL_Raw_Data!$L:$L,MATCH(A140,FPL_Raw_Data!$AA:$AA,0))</f>
        <v>0</v>
      </c>
      <c r="AG140" s="2">
        <f>INDEX(FPL_Raw_Data!$M:$M,MATCH(A140,FPL_Raw_Data!$AA:$AA,0))</f>
        <v>0</v>
      </c>
      <c r="AH140" s="2">
        <f t="shared" si="58"/>
        <v>0.41538461538461541</v>
      </c>
      <c r="AI140" s="2">
        <f t="shared" si="59"/>
        <v>0.22500000000000003</v>
      </c>
      <c r="AJ140" s="2">
        <f t="shared" si="60"/>
        <v>1.3333333333333333</v>
      </c>
      <c r="AK140" s="2">
        <f t="shared" si="61"/>
        <v>2</v>
      </c>
      <c r="AL140" s="2">
        <f t="shared" si="62"/>
        <v>0.5</v>
      </c>
      <c r="AM140" s="2">
        <f t="shared" si="63"/>
        <v>2</v>
      </c>
      <c r="AN140" s="2">
        <f t="shared" si="64"/>
        <v>0.5</v>
      </c>
      <c r="AO140" s="3">
        <f t="shared" si="65"/>
        <v>69.8</v>
      </c>
      <c r="AP140">
        <f t="shared" si="66"/>
        <v>72</v>
      </c>
      <c r="AQ140">
        <f t="shared" si="67"/>
        <v>76</v>
      </c>
      <c r="AR140">
        <f t="shared" si="68"/>
        <v>75.900000000000006</v>
      </c>
      <c r="AS140" s="2">
        <f t="shared" si="69"/>
        <v>66.666666666666657</v>
      </c>
      <c r="AT140" s="2">
        <f>IFERROR(INDEX(Player_Model!$BC$2:$BC$596,MATCH($A140,Player_Model!$A$2:$A$596,0)),0)</f>
        <v>5.5852100652813172</v>
      </c>
      <c r="AU140" s="2">
        <f>Table8[[#This Row],[Model Expected Points]]*Table8[[#This Row],[Fixture Adjustment]]</f>
        <v>5.5711654126728671</v>
      </c>
      <c r="AV140" s="2">
        <f>Table8[[#This Row],[Fixture Adjusted Points / 90]]/Table8[[#This Row],[Price]]</f>
        <v>1.1142330825345734</v>
      </c>
      <c r="AW140">
        <f t="shared" si="70"/>
        <v>72</v>
      </c>
      <c r="AX140">
        <f t="shared" si="71"/>
        <v>0.99874269253579606</v>
      </c>
      <c r="AY140" s="2">
        <f t="shared" si="72"/>
        <v>66.666666666666657</v>
      </c>
      <c r="AZ140" s="5">
        <f t="shared" si="73"/>
        <v>0.99748538507159212</v>
      </c>
      <c r="BA140">
        <f>Table8[[#This Row],[Model Score2]]</f>
        <v>5.5852100652813172</v>
      </c>
      <c r="BB140">
        <f>IFERROR(INDEX(Player_Model!$BG$2:$BG$596,MATCH($A140,Player_Model!$A$2:$A$596,0)),"")</f>
        <v>28</v>
      </c>
      <c r="BC140" t="str">
        <f t="shared" si="74"/>
        <v>AVOID</v>
      </c>
      <c r="BD140">
        <f>IF(H140=1,Table8[[#This Row],[Model Score]],-10000)</f>
        <v>-10000</v>
      </c>
      <c r="BE140">
        <f>IFERROR(INDEX(Player_Model!$BF$2:$BF$596,MATCH($A140,Player_Model!$A$2:$A$596,0)),"")</f>
        <v>63</v>
      </c>
      <c r="BF140">
        <f>IFERROR(INDEX(Player_Model!$BG$2:$BG$596,MATCH($A140,Player_Model!$A$2:$A$596,0)),"")</f>
        <v>28</v>
      </c>
      <c r="BG140">
        <f>IFERROR(INDEX(Player_Model!$BE$2:$BE$596,MATCH($A140,Player_Model!$A$2:$A$596,0)),0)</f>
        <v>5.5852100652813172</v>
      </c>
    </row>
    <row r="141" spans="1:59" x14ac:dyDescent="0.25">
      <c r="A141" t="str">
        <f>tblPlayers[first_name]&amp;" "&amp;tblPlayers[second_name]</f>
        <v>Harry Howell</v>
      </c>
      <c r="B141" t="str">
        <f>_xlfn.SWITCH(tblPlayers[element_type],1,"GK",2,"DEF",3,"MID",4,"FWD")</f>
        <v>MID</v>
      </c>
      <c r="C141">
        <f>tblPlayers[team]</f>
        <v>5</v>
      </c>
      <c r="D141" t="str">
        <f>INDEX(tblTeams[Column1.short_name],MATCH(C141,tblTeams[Column1.id],0))</f>
        <v>BHA</v>
      </c>
      <c r="E141" s="4">
        <f>INDEX(FPL_Raw_Data!$F:$F,MATCH(A141,FPL_Raw_Data!$AA:$AA,0))/10</f>
        <v>4.5</v>
      </c>
      <c r="F141" s="4" t="str">
        <f>tblPlayers[[#This Row],[status]]</f>
        <v>u</v>
      </c>
      <c r="G141" s="4" t="b">
        <f>tblPlayers[[#This Row],[can_select]]</f>
        <v>0</v>
      </c>
      <c r="H141">
        <f>IF(AND(Table8[[#This Row],[Availability Status]]="a",Table8[[#This Row],[Can Select]]=TRUE),1,0)</f>
        <v>0</v>
      </c>
      <c r="I141">
        <f>tblPlayers[minutes]</f>
        <v>0</v>
      </c>
      <c r="J141" s="2">
        <f>Table8[[#This Row],[Minutes]]/90</f>
        <v>0</v>
      </c>
      <c r="K141" s="5">
        <f>IFERROR(Z141/(FIXTURE_ANALYSIS!$B$1-1),0)</f>
        <v>0</v>
      </c>
      <c r="L141">
        <f>tblPlayers[total_points]</f>
        <v>0</v>
      </c>
      <c r="M141">
        <f>tblPlayers[points_per_game]</f>
        <v>0</v>
      </c>
      <c r="N141">
        <f>tblPlayers[form]</f>
        <v>0</v>
      </c>
      <c r="O141">
        <f>tblPlayers[expected_goals]</f>
        <v>0</v>
      </c>
      <c r="P141">
        <f>tblPlayers[expected_assists]</f>
        <v>0</v>
      </c>
      <c r="Q141">
        <f>tblPlayers[expected_goal_involvements]</f>
        <v>0</v>
      </c>
      <c r="R141" s="2">
        <f t="shared" si="50"/>
        <v>0</v>
      </c>
      <c r="S141" s="5">
        <f t="shared" si="51"/>
        <v>0</v>
      </c>
      <c r="T141" s="5">
        <f t="shared" si="52"/>
        <v>0</v>
      </c>
      <c r="U141" s="5">
        <f t="shared" si="53"/>
        <v>0</v>
      </c>
      <c r="V141" s="3">
        <f t="shared" si="54"/>
        <v>0</v>
      </c>
      <c r="W141" s="5">
        <f t="shared" si="55"/>
        <v>0</v>
      </c>
      <c r="X141" s="5">
        <f>IFERROR(IF(OR($B141="MID",$B141="FWD"),INDEX(FIXTURE_ANALYSIS!$Q:$Q,MATCH($D141,FIXTURE_ANALYSIS!$A:$A,0)),INDEX(FIXTURE_ANALYSIS!$R:$R,MATCH($D141,FIXTURE_ANALYSIS!$A:$A,0))),1)</f>
        <v>1.1225346020761244</v>
      </c>
      <c r="Y141" s="5">
        <f t="shared" si="56"/>
        <v>1.1225346020761244</v>
      </c>
      <c r="Z141" s="8">
        <f>INDEX(FPL_Raw_Data!$T:$T,MATCH(A141,FPL_Raw_Data!$AA:$AA,0))</f>
        <v>0</v>
      </c>
      <c r="AA141" s="8">
        <f>INDEX(FPL_Raw_Data!$S:$S,MATCH(A141,FPL_Raw_Data!$AA:$AA,0))</f>
        <v>0</v>
      </c>
      <c r="AB141" s="2">
        <f t="shared" si="57"/>
        <v>0</v>
      </c>
      <c r="AC141" s="2">
        <f>INDEX(FPL_Raw_Data!$Q:$Q,MATCH(A141,FPL_Raw_Data!$AA:$AA,0))</f>
        <v>0</v>
      </c>
      <c r="AD141" s="8">
        <f>INDEX(FPL_Raw_Data!$R:$R,MATCH(A141,FPL_Raw_Data!$AA:$AA,0))</f>
        <v>0</v>
      </c>
      <c r="AE141" s="8">
        <f>INDEX(FPL_Raw_Data!$N:$N,MATCH(A141,FPL_Raw_Data!$AA:$AA,0))</f>
        <v>0</v>
      </c>
      <c r="AF141" s="8">
        <f>INDEX(FPL_Raw_Data!$L:$L,MATCH(A141,FPL_Raw_Data!$AA:$AA,0))</f>
        <v>0</v>
      </c>
      <c r="AG141" s="2">
        <f>INDEX(FPL_Raw_Data!$M:$M,MATCH(A141,FPL_Raw_Data!$AA:$AA,0))</f>
        <v>0</v>
      </c>
      <c r="AH141" s="2">
        <f t="shared" si="58"/>
        <v>0</v>
      </c>
      <c r="AI141" s="2">
        <f t="shared" si="59"/>
        <v>0</v>
      </c>
      <c r="AJ141" s="2">
        <f t="shared" si="60"/>
        <v>0</v>
      </c>
      <c r="AK141" s="2">
        <f t="shared" si="61"/>
        <v>0</v>
      </c>
      <c r="AL141" s="2">
        <f t="shared" si="62"/>
        <v>0</v>
      </c>
      <c r="AM141" s="2">
        <f t="shared" si="63"/>
        <v>0</v>
      </c>
      <c r="AN141" s="2">
        <f t="shared" si="64"/>
        <v>0</v>
      </c>
      <c r="AO141" s="3">
        <f t="shared" si="65"/>
        <v>0.1</v>
      </c>
      <c r="AP141">
        <f t="shared" si="66"/>
        <v>0</v>
      </c>
      <c r="AQ141">
        <f t="shared" si="67"/>
        <v>0.1</v>
      </c>
      <c r="AR141">
        <f t="shared" si="68"/>
        <v>0</v>
      </c>
      <c r="AS141" s="2">
        <f t="shared" si="69"/>
        <v>0</v>
      </c>
      <c r="AT141" s="2">
        <f>IFERROR(INDEX(Player_Model!$BC$2:$BC$596,MATCH($A141,Player_Model!$A$2:$A$596,0)),0)</f>
        <v>0</v>
      </c>
      <c r="AU141" s="2">
        <f>Table8[[#This Row],[Model Expected Points]]*Table8[[#This Row],[Fixture Adjustment]]</f>
        <v>0</v>
      </c>
      <c r="AV141" s="2">
        <f>Table8[[#This Row],[Fixture Adjusted Points / 90]]/Table8[[#This Row],[Price]]</f>
        <v>0</v>
      </c>
      <c r="AW141">
        <f t="shared" si="70"/>
        <v>0.05</v>
      </c>
      <c r="AX141">
        <f t="shared" si="71"/>
        <v>0</v>
      </c>
      <c r="AY141" s="2">
        <f t="shared" si="72"/>
        <v>0</v>
      </c>
      <c r="AZ141" s="5">
        <f t="shared" si="73"/>
        <v>1.1225346020761244</v>
      </c>
      <c r="BA141">
        <f>Table8[[#This Row],[Model Score2]]</f>
        <v>0</v>
      </c>
      <c r="BB141">
        <f>IFERROR(INDEX(Player_Model!$BG$2:$BG$596,MATCH($A141,Player_Model!$A$2:$A$596,0)),"")</f>
        <v>146</v>
      </c>
      <c r="BC141" t="str">
        <f t="shared" si="74"/>
        <v>AVOID</v>
      </c>
      <c r="BD141">
        <f>IF(H141=1,Table8[[#This Row],[Model Score]],-10000)</f>
        <v>-10000</v>
      </c>
      <c r="BE141">
        <f>IFERROR(INDEX(Player_Model!$BF$2:$BF$596,MATCH($A141,Player_Model!$A$2:$A$596,0)),"")</f>
        <v>253</v>
      </c>
      <c r="BF141">
        <f>IFERROR(INDEX(Player_Model!$BG$2:$BG$596,MATCH($A141,Player_Model!$A$2:$A$596,0)),"")</f>
        <v>146</v>
      </c>
      <c r="BG141">
        <f>IFERROR(INDEX(Player_Model!$BE$2:$BE$596,MATCH($A141,Player_Model!$A$2:$A$596,0)),0)</f>
        <v>0</v>
      </c>
    </row>
    <row r="142" spans="1:59" x14ac:dyDescent="0.25">
      <c r="A142" t="str">
        <f>tblPlayers[first_name]&amp;" "&amp;tblPlayers[second_name]</f>
        <v>Tom Watson</v>
      </c>
      <c r="B142" t="str">
        <f>_xlfn.SWITCH(tblPlayers[element_type],1,"GK",2,"DEF",3,"MID",4,"FWD")</f>
        <v>MID</v>
      </c>
      <c r="C142">
        <f>tblPlayers[team]</f>
        <v>5</v>
      </c>
      <c r="D142" t="str">
        <f>INDEX(tblTeams[Column1.short_name],MATCH(C142,tblTeams[Column1.id],0))</f>
        <v>BHA</v>
      </c>
      <c r="E142" s="4">
        <f>INDEX(FPL_Raw_Data!$F:$F,MATCH(A142,FPL_Raw_Data!$AA:$AA,0))/10</f>
        <v>5</v>
      </c>
      <c r="F142" s="4" t="str">
        <f>tblPlayers[[#This Row],[status]]</f>
        <v>u</v>
      </c>
      <c r="G142" s="4" t="b">
        <f>tblPlayers[[#This Row],[can_select]]</f>
        <v>0</v>
      </c>
      <c r="H142">
        <f>IF(AND(Table8[[#This Row],[Availability Status]]="a",Table8[[#This Row],[Can Select]]=TRUE),1,0)</f>
        <v>0</v>
      </c>
      <c r="I142">
        <f>tblPlayers[minutes]</f>
        <v>0</v>
      </c>
      <c r="J142" s="2">
        <f>Table8[[#This Row],[Minutes]]/90</f>
        <v>0</v>
      </c>
      <c r="K142" s="5">
        <f>IFERROR(Z142/(FIXTURE_ANALYSIS!$B$1-1),0)</f>
        <v>0</v>
      </c>
      <c r="L142">
        <f>tblPlayers[total_points]</f>
        <v>0</v>
      </c>
      <c r="M142">
        <f>tblPlayers[points_per_game]</f>
        <v>0</v>
      </c>
      <c r="N142">
        <f>tblPlayers[form]</f>
        <v>0</v>
      </c>
      <c r="O142">
        <f>tblPlayers[expected_goals]</f>
        <v>0</v>
      </c>
      <c r="P142">
        <f>tblPlayers[expected_assists]</f>
        <v>0</v>
      </c>
      <c r="Q142">
        <f>tblPlayers[expected_goal_involvements]</f>
        <v>0</v>
      </c>
      <c r="R142" s="2">
        <f t="shared" si="50"/>
        <v>0</v>
      </c>
      <c r="S142" s="5">
        <f t="shared" si="51"/>
        <v>0</v>
      </c>
      <c r="T142" s="5">
        <f t="shared" si="52"/>
        <v>0</v>
      </c>
      <c r="U142" s="5">
        <f t="shared" si="53"/>
        <v>0</v>
      </c>
      <c r="V142" s="3">
        <f t="shared" si="54"/>
        <v>0</v>
      </c>
      <c r="W142" s="5">
        <f t="shared" si="55"/>
        <v>0</v>
      </c>
      <c r="X142" s="5">
        <f>IFERROR(IF(OR($B142="MID",$B142="FWD"),INDEX(FIXTURE_ANALYSIS!$Q:$Q,MATCH($D142,FIXTURE_ANALYSIS!$A:$A,0)),INDEX(FIXTURE_ANALYSIS!$R:$R,MATCH($D142,FIXTURE_ANALYSIS!$A:$A,0))),1)</f>
        <v>1.1225346020761244</v>
      </c>
      <c r="Y142" s="5">
        <f t="shared" si="56"/>
        <v>1.1225346020761244</v>
      </c>
      <c r="Z142" s="8">
        <f>INDEX(FPL_Raw_Data!$T:$T,MATCH(A142,FPL_Raw_Data!$AA:$AA,0))</f>
        <v>0</v>
      </c>
      <c r="AA142" s="8">
        <f>INDEX(FPL_Raw_Data!$S:$S,MATCH(A142,FPL_Raw_Data!$AA:$AA,0))</f>
        <v>0</v>
      </c>
      <c r="AB142" s="2">
        <f t="shared" si="57"/>
        <v>0</v>
      </c>
      <c r="AC142" s="2">
        <f>INDEX(FPL_Raw_Data!$Q:$Q,MATCH(A142,FPL_Raw_Data!$AA:$AA,0))</f>
        <v>0</v>
      </c>
      <c r="AD142" s="8">
        <f>INDEX(FPL_Raw_Data!$R:$R,MATCH(A142,FPL_Raw_Data!$AA:$AA,0))</f>
        <v>0</v>
      </c>
      <c r="AE142" s="8">
        <f>INDEX(FPL_Raw_Data!$N:$N,MATCH(A142,FPL_Raw_Data!$AA:$AA,0))</f>
        <v>0</v>
      </c>
      <c r="AF142" s="8">
        <f>INDEX(FPL_Raw_Data!$L:$L,MATCH(A142,FPL_Raw_Data!$AA:$AA,0))</f>
        <v>0</v>
      </c>
      <c r="AG142" s="2">
        <f>INDEX(FPL_Raw_Data!$M:$M,MATCH(A142,FPL_Raw_Data!$AA:$AA,0))</f>
        <v>0</v>
      </c>
      <c r="AH142" s="2">
        <f t="shared" si="58"/>
        <v>0</v>
      </c>
      <c r="AI142" s="2">
        <f t="shared" si="59"/>
        <v>0</v>
      </c>
      <c r="AJ142" s="2">
        <f t="shared" si="60"/>
        <v>0</v>
      </c>
      <c r="AK142" s="2">
        <f t="shared" si="61"/>
        <v>0</v>
      </c>
      <c r="AL142" s="2">
        <f t="shared" si="62"/>
        <v>0</v>
      </c>
      <c r="AM142" s="2">
        <f t="shared" si="63"/>
        <v>0</v>
      </c>
      <c r="AN142" s="2">
        <f t="shared" si="64"/>
        <v>0</v>
      </c>
      <c r="AO142" s="3">
        <f t="shared" si="65"/>
        <v>0.1</v>
      </c>
      <c r="AP142">
        <f t="shared" si="66"/>
        <v>0</v>
      </c>
      <c r="AQ142">
        <f t="shared" si="67"/>
        <v>0.1</v>
      </c>
      <c r="AR142">
        <f t="shared" si="68"/>
        <v>0</v>
      </c>
      <c r="AS142" s="2">
        <f t="shared" si="69"/>
        <v>0</v>
      </c>
      <c r="AT142" s="2">
        <f>IFERROR(INDEX(Player_Model!$BC$2:$BC$596,MATCH($A142,Player_Model!$A$2:$A$596,0)),0)</f>
        <v>0</v>
      </c>
      <c r="AU142" s="2">
        <f>Table8[[#This Row],[Model Expected Points]]*Table8[[#This Row],[Fixture Adjustment]]</f>
        <v>0</v>
      </c>
      <c r="AV142" s="2">
        <f>Table8[[#This Row],[Fixture Adjusted Points / 90]]/Table8[[#This Row],[Price]]</f>
        <v>0</v>
      </c>
      <c r="AW142">
        <f t="shared" si="70"/>
        <v>0.05</v>
      </c>
      <c r="AX142">
        <f t="shared" si="71"/>
        <v>0</v>
      </c>
      <c r="AY142" s="2">
        <f t="shared" si="72"/>
        <v>0</v>
      </c>
      <c r="AZ142" s="5">
        <f t="shared" si="73"/>
        <v>1.1225346020761244</v>
      </c>
      <c r="BA142">
        <f>Table8[[#This Row],[Model Score2]]</f>
        <v>0</v>
      </c>
      <c r="BB142">
        <f>IFERROR(INDEX(Player_Model!$BG$2:$BG$596,MATCH($A142,Player_Model!$A$2:$A$596,0)),"")</f>
        <v>147</v>
      </c>
      <c r="BC142" t="str">
        <f t="shared" si="74"/>
        <v>AVOID</v>
      </c>
      <c r="BD142">
        <f>IF(H142=1,Table8[[#This Row],[Model Score]],-10000)</f>
        <v>-10000</v>
      </c>
      <c r="BE142">
        <f>IFERROR(INDEX(Player_Model!$BF$2:$BF$596,MATCH($A142,Player_Model!$A$2:$A$596,0)),"")</f>
        <v>253</v>
      </c>
      <c r="BF142">
        <f>IFERROR(INDEX(Player_Model!$BG$2:$BG$596,MATCH($A142,Player_Model!$A$2:$A$596,0)),"")</f>
        <v>147</v>
      </c>
      <c r="BG142">
        <f>IFERROR(INDEX(Player_Model!$BE$2:$BE$596,MATCH($A142,Player_Model!$A$2:$A$596,0)),0)</f>
        <v>0</v>
      </c>
    </row>
    <row r="143" spans="1:59" x14ac:dyDescent="0.25">
      <c r="A143" t="str">
        <f>tblPlayers[first_name]&amp;" "&amp;tblPlayers[second_name]</f>
        <v>Nehemiah Oriola</v>
      </c>
      <c r="B143" t="str">
        <f>_xlfn.SWITCH(tblPlayers[element_type],1,"GK",2,"DEF",3,"MID",4,"FWD")</f>
        <v>MID</v>
      </c>
      <c r="C143">
        <f>tblPlayers[team]</f>
        <v>5</v>
      </c>
      <c r="D143" t="str">
        <f>INDEX(tblTeams[Column1.short_name],MATCH(C143,tblTeams[Column1.id],0))</f>
        <v>BHA</v>
      </c>
      <c r="E143" s="4">
        <f>INDEX(FPL_Raw_Data!$F:$F,MATCH(A143,FPL_Raw_Data!$AA:$AA,0))/10</f>
        <v>4.5</v>
      </c>
      <c r="F143" s="4" t="str">
        <f>tblPlayers[[#This Row],[status]]</f>
        <v>a</v>
      </c>
      <c r="G143" s="4" t="b">
        <f>tblPlayers[[#This Row],[can_select]]</f>
        <v>1</v>
      </c>
      <c r="H143">
        <f>IF(AND(Table8[[#This Row],[Availability Status]]="a",Table8[[#This Row],[Can Select]]=TRUE),1,0)</f>
        <v>1</v>
      </c>
      <c r="I143">
        <f>tblPlayers[minutes]</f>
        <v>0</v>
      </c>
      <c r="J143" s="2">
        <f>Table8[[#This Row],[Minutes]]/90</f>
        <v>0</v>
      </c>
      <c r="K143" s="5">
        <f>IFERROR(Z143/(FIXTURE_ANALYSIS!$B$1-1),0)</f>
        <v>0</v>
      </c>
      <c r="L143">
        <f>tblPlayers[total_points]</f>
        <v>0</v>
      </c>
      <c r="M143">
        <f>tblPlayers[points_per_game]</f>
        <v>0</v>
      </c>
      <c r="N143">
        <f>tblPlayers[form]</f>
        <v>0</v>
      </c>
      <c r="O143">
        <f>tblPlayers[expected_goals]</f>
        <v>0</v>
      </c>
      <c r="P143">
        <f>tblPlayers[expected_assists]</f>
        <v>0</v>
      </c>
      <c r="Q143">
        <f>tblPlayers[expected_goal_involvements]</f>
        <v>0</v>
      </c>
      <c r="R143" s="2">
        <f t="shared" si="50"/>
        <v>0</v>
      </c>
      <c r="S143" s="5">
        <f t="shared" si="51"/>
        <v>0</v>
      </c>
      <c r="T143" s="5">
        <f t="shared" si="52"/>
        <v>0</v>
      </c>
      <c r="U143" s="5">
        <f t="shared" si="53"/>
        <v>0</v>
      </c>
      <c r="V143" s="3">
        <f t="shared" si="54"/>
        <v>0</v>
      </c>
      <c r="W143" s="5">
        <f t="shared" si="55"/>
        <v>0</v>
      </c>
      <c r="X143" s="5">
        <f>IFERROR(IF(OR($B143="MID",$B143="FWD"),INDEX(FIXTURE_ANALYSIS!$Q:$Q,MATCH($D143,FIXTURE_ANALYSIS!$A:$A,0)),INDEX(FIXTURE_ANALYSIS!$R:$R,MATCH($D143,FIXTURE_ANALYSIS!$A:$A,0))),1)</f>
        <v>1.1225346020761244</v>
      </c>
      <c r="Y143" s="5">
        <f t="shared" si="56"/>
        <v>1.1225346020761244</v>
      </c>
      <c r="Z143" s="8">
        <f>INDEX(FPL_Raw_Data!$T:$T,MATCH(A143,FPL_Raw_Data!$AA:$AA,0))</f>
        <v>0</v>
      </c>
      <c r="AA143" s="8">
        <f>INDEX(FPL_Raw_Data!$S:$S,MATCH(A143,FPL_Raw_Data!$AA:$AA,0))</f>
        <v>0</v>
      </c>
      <c r="AB143" s="2">
        <f t="shared" si="57"/>
        <v>0</v>
      </c>
      <c r="AC143" s="2">
        <f>INDEX(FPL_Raw_Data!$Q:$Q,MATCH(A143,FPL_Raw_Data!$AA:$AA,0))</f>
        <v>0</v>
      </c>
      <c r="AD143" s="8">
        <f>INDEX(FPL_Raw_Data!$R:$R,MATCH(A143,FPL_Raw_Data!$AA:$AA,0))</f>
        <v>0</v>
      </c>
      <c r="AE143" s="8">
        <f>INDEX(FPL_Raw_Data!$N:$N,MATCH(A143,FPL_Raw_Data!$AA:$AA,0))</f>
        <v>0</v>
      </c>
      <c r="AF143" s="8">
        <f>INDEX(FPL_Raw_Data!$L:$L,MATCH(A143,FPL_Raw_Data!$AA:$AA,0))</f>
        <v>0</v>
      </c>
      <c r="AG143" s="2">
        <f>INDEX(FPL_Raw_Data!$M:$M,MATCH(A143,FPL_Raw_Data!$AA:$AA,0))</f>
        <v>0</v>
      </c>
      <c r="AH143" s="2">
        <f t="shared" si="58"/>
        <v>0</v>
      </c>
      <c r="AI143" s="2">
        <f t="shared" si="59"/>
        <v>0</v>
      </c>
      <c r="AJ143" s="2">
        <f t="shared" si="60"/>
        <v>0</v>
      </c>
      <c r="AK143" s="2">
        <f t="shared" si="61"/>
        <v>0</v>
      </c>
      <c r="AL143" s="2">
        <f t="shared" si="62"/>
        <v>0</v>
      </c>
      <c r="AM143" s="2">
        <f t="shared" si="63"/>
        <v>0</v>
      </c>
      <c r="AN143" s="2">
        <f t="shared" si="64"/>
        <v>0</v>
      </c>
      <c r="AO143" s="3">
        <f t="shared" si="65"/>
        <v>0.1</v>
      </c>
      <c r="AP143">
        <f t="shared" si="66"/>
        <v>0</v>
      </c>
      <c r="AQ143">
        <f t="shared" si="67"/>
        <v>0.1</v>
      </c>
      <c r="AR143">
        <f t="shared" si="68"/>
        <v>0</v>
      </c>
      <c r="AS143" s="2">
        <f t="shared" si="69"/>
        <v>0</v>
      </c>
      <c r="AT143" s="2">
        <f>IFERROR(INDEX(Player_Model!$BC$2:$BC$596,MATCH($A143,Player_Model!$A$2:$A$596,0)),0)</f>
        <v>0</v>
      </c>
      <c r="AU143" s="2">
        <f>Table8[[#This Row],[Model Expected Points]]*Table8[[#This Row],[Fixture Adjustment]]</f>
        <v>0</v>
      </c>
      <c r="AV143" s="2">
        <f>Table8[[#This Row],[Fixture Adjusted Points / 90]]/Table8[[#This Row],[Price]]</f>
        <v>0</v>
      </c>
      <c r="AW143">
        <f t="shared" si="70"/>
        <v>0.05</v>
      </c>
      <c r="AX143">
        <f t="shared" si="71"/>
        <v>0</v>
      </c>
      <c r="AY143" s="2">
        <f t="shared" si="72"/>
        <v>0</v>
      </c>
      <c r="AZ143" s="5">
        <f t="shared" si="73"/>
        <v>1.1225346020761244</v>
      </c>
      <c r="BA143">
        <f>Table8[[#This Row],[Model Score2]]</f>
        <v>0</v>
      </c>
      <c r="BB143">
        <f>IFERROR(INDEX(Player_Model!$BG$2:$BG$596,MATCH($A143,Player_Model!$A$2:$A$596,0)),"")</f>
        <v>148</v>
      </c>
      <c r="BC143" t="str">
        <f t="shared" si="74"/>
        <v>AVOID</v>
      </c>
      <c r="BD143">
        <f>IF(H143=1,Table8[[#This Row],[Model Score]],-10000)</f>
        <v>0</v>
      </c>
      <c r="BE143">
        <f>IFERROR(INDEX(Player_Model!$BF$2:$BF$596,MATCH($A143,Player_Model!$A$2:$A$596,0)),"")</f>
        <v>253</v>
      </c>
      <c r="BF143">
        <f>IFERROR(INDEX(Player_Model!$BG$2:$BG$596,MATCH($A143,Player_Model!$A$2:$A$596,0)),"")</f>
        <v>148</v>
      </c>
      <c r="BG143">
        <f>IFERROR(INDEX(Player_Model!$BE$2:$BE$596,MATCH($A143,Player_Model!$A$2:$A$596,0)),0)</f>
        <v>0</v>
      </c>
    </row>
    <row r="144" spans="1:59" x14ac:dyDescent="0.25">
      <c r="A144" t="str">
        <f>tblPlayers[first_name]&amp;" "&amp;tblPlayers[second_name]</f>
        <v>Zadok Yohanna</v>
      </c>
      <c r="B144" t="str">
        <f>_xlfn.SWITCH(tblPlayers[element_type],1,"GK",2,"DEF",3,"MID",4,"FWD")</f>
        <v>MID</v>
      </c>
      <c r="C144">
        <f>tblPlayers[team]</f>
        <v>5</v>
      </c>
      <c r="D144" t="str">
        <f>INDEX(tblTeams[Column1.short_name],MATCH(C144,tblTeams[Column1.id],0))</f>
        <v>BHA</v>
      </c>
      <c r="E144" s="4">
        <f>INDEX(FPL_Raw_Data!$F:$F,MATCH(A144,FPL_Raw_Data!$AA:$AA,0))/10</f>
        <v>4.9000000000000004</v>
      </c>
      <c r="F144" s="4" t="str">
        <f>tblPlayers[[#This Row],[status]]</f>
        <v>a</v>
      </c>
      <c r="G144" s="4" t="b">
        <f>tblPlayers[[#This Row],[can_select]]</f>
        <v>1</v>
      </c>
      <c r="H144">
        <f>IF(AND(Table8[[#This Row],[Availability Status]]="a",Table8[[#This Row],[Can Select]]=TRUE),1,0)</f>
        <v>1</v>
      </c>
      <c r="I144">
        <f>tblPlayers[minutes]</f>
        <v>12</v>
      </c>
      <c r="J144" s="2">
        <f>Table8[[#This Row],[Minutes]]/90</f>
        <v>0.13333333333333333</v>
      </c>
      <c r="K144" s="5">
        <f>IFERROR(Z144/(FIXTURE_ANALYSIS!$B$1-1),0)</f>
        <v>0</v>
      </c>
      <c r="L144">
        <f>tblPlayers[total_points]</f>
        <v>1</v>
      </c>
      <c r="M144">
        <f>tblPlayers[points_per_game]</f>
        <v>1</v>
      </c>
      <c r="N144">
        <f>tblPlayers[form]</f>
        <v>0.3</v>
      </c>
      <c r="O144">
        <f>tblPlayers[expected_goals]</f>
        <v>0</v>
      </c>
      <c r="P144">
        <f>tblPlayers[expected_assists]</f>
        <v>0.03</v>
      </c>
      <c r="Q144">
        <f>tblPlayers[expected_goal_involvements]</f>
        <v>0.03</v>
      </c>
      <c r="R144" s="2">
        <f t="shared" si="50"/>
        <v>7.5</v>
      </c>
      <c r="S144" s="5">
        <f t="shared" si="51"/>
        <v>0</v>
      </c>
      <c r="T144" s="5">
        <f t="shared" si="52"/>
        <v>0.22500000000000001</v>
      </c>
      <c r="U144" s="5">
        <f t="shared" si="53"/>
        <v>0.22500000000000001</v>
      </c>
      <c r="V144" s="3">
        <f t="shared" si="54"/>
        <v>0.2040816326530612</v>
      </c>
      <c r="W144" s="5">
        <f t="shared" si="55"/>
        <v>6.1224489795918364E-3</v>
      </c>
      <c r="X144" s="5">
        <f>IFERROR(IF(OR($B144="MID",$B144="FWD"),INDEX(FIXTURE_ANALYSIS!$Q:$Q,MATCH($D144,FIXTURE_ANALYSIS!$A:$A,0)),INDEX(FIXTURE_ANALYSIS!$R:$R,MATCH($D144,FIXTURE_ANALYSIS!$A:$A,0))),1)</f>
        <v>1.1225346020761244</v>
      </c>
      <c r="Y144" s="5">
        <f t="shared" si="56"/>
        <v>1.1225346020761244</v>
      </c>
      <c r="Z144" s="8">
        <f>INDEX(FPL_Raw_Data!$T:$T,MATCH(A144,FPL_Raw_Data!$AA:$AA,0))</f>
        <v>0</v>
      </c>
      <c r="AA144" s="8">
        <f>INDEX(FPL_Raw_Data!$S:$S,MATCH(A144,FPL_Raw_Data!$AA:$AA,0))</f>
        <v>0</v>
      </c>
      <c r="AB144" s="2">
        <f t="shared" si="57"/>
        <v>0</v>
      </c>
      <c r="AC144" s="2">
        <f>INDEX(FPL_Raw_Data!$Q:$Q,MATCH(A144,FPL_Raw_Data!$AA:$AA,0))</f>
        <v>0</v>
      </c>
      <c r="AD144" s="8">
        <f>INDEX(FPL_Raw_Data!$R:$R,MATCH(A144,FPL_Raw_Data!$AA:$AA,0))</f>
        <v>3</v>
      </c>
      <c r="AE144" s="8">
        <f>INDEX(FPL_Raw_Data!$N:$N,MATCH(A144,FPL_Raw_Data!$AA:$AA,0))</f>
        <v>0</v>
      </c>
      <c r="AF144" s="8">
        <f>INDEX(FPL_Raw_Data!$L:$L,MATCH(A144,FPL_Raw_Data!$AA:$AA,0))</f>
        <v>0</v>
      </c>
      <c r="AG144" s="2">
        <f>INDEX(FPL_Raw_Data!$M:$M,MATCH(A144,FPL_Raw_Data!$AA:$AA,0))</f>
        <v>0</v>
      </c>
      <c r="AH144" s="2">
        <f t="shared" si="58"/>
        <v>0</v>
      </c>
      <c r="AI144" s="2">
        <f t="shared" si="59"/>
        <v>0.67500000000000004</v>
      </c>
      <c r="AJ144" s="2">
        <f t="shared" si="60"/>
        <v>0</v>
      </c>
      <c r="AK144" s="2">
        <f t="shared" si="61"/>
        <v>0</v>
      </c>
      <c r="AL144" s="2">
        <f t="shared" si="62"/>
        <v>0</v>
      </c>
      <c r="AM144" s="2">
        <f t="shared" si="63"/>
        <v>0</v>
      </c>
      <c r="AN144" s="2">
        <f t="shared" si="64"/>
        <v>0</v>
      </c>
      <c r="AO144" s="3">
        <f t="shared" si="65"/>
        <v>87.3</v>
      </c>
      <c r="AP144">
        <f t="shared" si="66"/>
        <v>78.2</v>
      </c>
      <c r="AQ144">
        <f t="shared" si="67"/>
        <v>46.2</v>
      </c>
      <c r="AR144">
        <f t="shared" si="68"/>
        <v>57.4</v>
      </c>
      <c r="AS144" s="2">
        <f t="shared" si="69"/>
        <v>0</v>
      </c>
      <c r="AT144" s="2">
        <f>IFERROR(INDEX(Player_Model!$BC$2:$BC$596,MATCH($A144,Player_Model!$A$2:$A$596,0)),0)</f>
        <v>0</v>
      </c>
      <c r="AU144" s="2">
        <f>Table8[[#This Row],[Model Expected Points]]*Table8[[#This Row],[Fixture Adjustment]]</f>
        <v>0</v>
      </c>
      <c r="AV144" s="2">
        <f>Table8[[#This Row],[Fixture Adjusted Points / 90]]/Table8[[#This Row],[Price]]</f>
        <v>0</v>
      </c>
      <c r="AW144">
        <f t="shared" si="70"/>
        <v>82.75</v>
      </c>
      <c r="AX144">
        <f t="shared" si="71"/>
        <v>0</v>
      </c>
      <c r="AY144" s="2">
        <f t="shared" si="72"/>
        <v>0</v>
      </c>
      <c r="AZ144" s="5">
        <f t="shared" si="73"/>
        <v>1.1225346020761244</v>
      </c>
      <c r="BA144">
        <f>Table8[[#This Row],[Model Score2]]</f>
        <v>0</v>
      </c>
      <c r="BB144">
        <f>IFERROR(INDEX(Player_Model!$BG$2:$BG$596,MATCH($A144,Player_Model!$A$2:$A$596,0)),"")</f>
        <v>149</v>
      </c>
      <c r="BC144" t="str">
        <f t="shared" si="74"/>
        <v>AVOID</v>
      </c>
      <c r="BD144">
        <f>IF(H144=1,Table8[[#This Row],[Model Score]],-10000)</f>
        <v>0</v>
      </c>
      <c r="BE144">
        <f>IFERROR(INDEX(Player_Model!$BF$2:$BF$596,MATCH($A144,Player_Model!$A$2:$A$596,0)),"")</f>
        <v>253</v>
      </c>
      <c r="BF144">
        <f>IFERROR(INDEX(Player_Model!$BG$2:$BG$596,MATCH($A144,Player_Model!$A$2:$A$596,0)),"")</f>
        <v>149</v>
      </c>
      <c r="BG144">
        <f>IFERROR(INDEX(Player_Model!$BE$2:$BE$596,MATCH($A144,Player_Model!$A$2:$A$596,0)),0)</f>
        <v>0</v>
      </c>
    </row>
    <row r="145" spans="1:59" x14ac:dyDescent="0.25">
      <c r="A145" t="str">
        <f>tblPlayers[first_name]&amp;" "&amp;tblPlayers[second_name]</f>
        <v>Stefanos Tzimas</v>
      </c>
      <c r="B145" t="str">
        <f>_xlfn.SWITCH(tblPlayers[element_type],1,"GK",2,"DEF",3,"MID",4,"FWD")</f>
        <v>FWD</v>
      </c>
      <c r="C145">
        <f>tblPlayers[team]</f>
        <v>5</v>
      </c>
      <c r="D145" t="str">
        <f>INDEX(tblTeams[Column1.short_name],MATCH(C145,tblTeams[Column1.id],0))</f>
        <v>BHA</v>
      </c>
      <c r="E145" s="4">
        <f>INDEX(FPL_Raw_Data!$F:$F,MATCH(A145,FPL_Raw_Data!$AA:$AA,0))/10</f>
        <v>5.5</v>
      </c>
      <c r="F145" s="4" t="str">
        <f>tblPlayers[[#This Row],[status]]</f>
        <v>i</v>
      </c>
      <c r="G145" s="4" t="b">
        <f>tblPlayers[[#This Row],[can_select]]</f>
        <v>1</v>
      </c>
      <c r="H145">
        <f>IF(AND(Table8[[#This Row],[Availability Status]]="a",Table8[[#This Row],[Can Select]]=TRUE),1,0)</f>
        <v>0</v>
      </c>
      <c r="I145">
        <f>tblPlayers[minutes]</f>
        <v>0</v>
      </c>
      <c r="J145" s="2">
        <f>Table8[[#This Row],[Minutes]]/90</f>
        <v>0</v>
      </c>
      <c r="K145" s="5">
        <f>IFERROR(Z145/(FIXTURE_ANALYSIS!$B$1-1),0)</f>
        <v>0</v>
      </c>
      <c r="L145">
        <f>tblPlayers[total_points]</f>
        <v>0</v>
      </c>
      <c r="M145">
        <f>tblPlayers[points_per_game]</f>
        <v>0</v>
      </c>
      <c r="N145">
        <f>tblPlayers[form]</f>
        <v>0</v>
      </c>
      <c r="O145">
        <f>tblPlayers[expected_goals]</f>
        <v>0</v>
      </c>
      <c r="P145">
        <f>tblPlayers[expected_assists]</f>
        <v>0</v>
      </c>
      <c r="Q145">
        <f>tblPlayers[expected_goal_involvements]</f>
        <v>0</v>
      </c>
      <c r="R145" s="2">
        <f t="shared" si="50"/>
        <v>0</v>
      </c>
      <c r="S145" s="5">
        <f t="shared" si="51"/>
        <v>0</v>
      </c>
      <c r="T145" s="5">
        <f t="shared" si="52"/>
        <v>0</v>
      </c>
      <c r="U145" s="5">
        <f t="shared" si="53"/>
        <v>0</v>
      </c>
      <c r="V145" s="3">
        <f t="shared" si="54"/>
        <v>0</v>
      </c>
      <c r="W145" s="5">
        <f t="shared" si="55"/>
        <v>0</v>
      </c>
      <c r="X145" s="5">
        <f>IFERROR(IF(OR($B145="MID",$B145="FWD"),INDEX(FIXTURE_ANALYSIS!$Q:$Q,MATCH($D145,FIXTURE_ANALYSIS!$A:$A,0)),INDEX(FIXTURE_ANALYSIS!$R:$R,MATCH($D145,FIXTURE_ANALYSIS!$A:$A,0))),1)</f>
        <v>1.1225346020761244</v>
      </c>
      <c r="Y145" s="5">
        <f t="shared" si="56"/>
        <v>1.1225346020761244</v>
      </c>
      <c r="Z145" s="8">
        <f>INDEX(FPL_Raw_Data!$T:$T,MATCH(A145,FPL_Raw_Data!$AA:$AA,0))</f>
        <v>0</v>
      </c>
      <c r="AA145" s="8">
        <f>INDEX(FPL_Raw_Data!$S:$S,MATCH(A145,FPL_Raw_Data!$AA:$AA,0))</f>
        <v>0</v>
      </c>
      <c r="AB145" s="2">
        <f t="shared" si="57"/>
        <v>0</v>
      </c>
      <c r="AC145" s="2">
        <f>INDEX(FPL_Raw_Data!$Q:$Q,MATCH(A145,FPL_Raw_Data!$AA:$AA,0))</f>
        <v>0</v>
      </c>
      <c r="AD145" s="8">
        <f>INDEX(FPL_Raw_Data!$R:$R,MATCH(A145,FPL_Raw_Data!$AA:$AA,0))</f>
        <v>0</v>
      </c>
      <c r="AE145" s="8">
        <f>INDEX(FPL_Raw_Data!$N:$N,MATCH(A145,FPL_Raw_Data!$AA:$AA,0))</f>
        <v>0</v>
      </c>
      <c r="AF145" s="8">
        <f>INDEX(FPL_Raw_Data!$L:$L,MATCH(A145,FPL_Raw_Data!$AA:$AA,0))</f>
        <v>0</v>
      </c>
      <c r="AG145" s="2">
        <f>INDEX(FPL_Raw_Data!$M:$M,MATCH(A145,FPL_Raw_Data!$AA:$AA,0))</f>
        <v>0</v>
      </c>
      <c r="AH145" s="2">
        <f t="shared" si="58"/>
        <v>0</v>
      </c>
      <c r="AI145" s="2">
        <f t="shared" si="59"/>
        <v>0</v>
      </c>
      <c r="AJ145" s="2">
        <f t="shared" si="60"/>
        <v>0</v>
      </c>
      <c r="AK145" s="2">
        <f t="shared" si="61"/>
        <v>0</v>
      </c>
      <c r="AL145" s="2">
        <f t="shared" si="62"/>
        <v>0</v>
      </c>
      <c r="AM145" s="2">
        <f t="shared" si="63"/>
        <v>0</v>
      </c>
      <c r="AN145" s="2">
        <f t="shared" si="64"/>
        <v>0</v>
      </c>
      <c r="AO145" s="3">
        <f t="shared" si="65"/>
        <v>0.1</v>
      </c>
      <c r="AP145">
        <f t="shared" si="66"/>
        <v>0</v>
      </c>
      <c r="AQ145">
        <f t="shared" si="67"/>
        <v>0.1</v>
      </c>
      <c r="AR145">
        <f t="shared" si="68"/>
        <v>0</v>
      </c>
      <c r="AS145" s="2">
        <f t="shared" si="69"/>
        <v>0</v>
      </c>
      <c r="AT145" s="2">
        <f>IFERROR(INDEX(Player_Model!$BC$2:$BC$596,MATCH($A145,Player_Model!$A$2:$A$596,0)),0)</f>
        <v>0</v>
      </c>
      <c r="AU145" s="2">
        <f>Table8[[#This Row],[Model Expected Points]]*Table8[[#This Row],[Fixture Adjustment]]</f>
        <v>0</v>
      </c>
      <c r="AV145" s="2">
        <f>Table8[[#This Row],[Fixture Adjusted Points / 90]]/Table8[[#This Row],[Price]]</f>
        <v>0</v>
      </c>
      <c r="AW145">
        <f t="shared" si="70"/>
        <v>0.05</v>
      </c>
      <c r="AX145">
        <f t="shared" si="71"/>
        <v>0</v>
      </c>
      <c r="AY145" s="2">
        <f t="shared" si="72"/>
        <v>0</v>
      </c>
      <c r="AZ145" s="5">
        <f t="shared" si="73"/>
        <v>1.1225346020761244</v>
      </c>
      <c r="BA145">
        <f>Table8[[#This Row],[Model Score2]]</f>
        <v>0</v>
      </c>
      <c r="BB145">
        <f>IFERROR(INDEX(Player_Model!$BG$2:$BG$596,MATCH($A145,Player_Model!$A$2:$A$596,0)),"")</f>
        <v>36</v>
      </c>
      <c r="BC145" t="str">
        <f t="shared" si="74"/>
        <v>AVOID</v>
      </c>
      <c r="BD145">
        <f>IF(H145=1,Table8[[#This Row],[Model Score]],-10000)</f>
        <v>-10000</v>
      </c>
      <c r="BE145">
        <f>IFERROR(INDEX(Player_Model!$BF$2:$BF$596,MATCH($A145,Player_Model!$A$2:$A$596,0)),"")</f>
        <v>253</v>
      </c>
      <c r="BF145">
        <f>IFERROR(INDEX(Player_Model!$BG$2:$BG$596,MATCH($A145,Player_Model!$A$2:$A$596,0)),"")</f>
        <v>36</v>
      </c>
      <c r="BG145">
        <f>IFERROR(INDEX(Player_Model!$BE$2:$BE$596,MATCH($A145,Player_Model!$A$2:$A$596,0)),0)</f>
        <v>0</v>
      </c>
    </row>
    <row r="146" spans="1:59" x14ac:dyDescent="0.25">
      <c r="A146" t="str">
        <f>tblPlayers[first_name]&amp;" "&amp;tblPlayers[second_name]</f>
        <v>Charalampos Kostoulas</v>
      </c>
      <c r="B146" t="str">
        <f>_xlfn.SWITCH(tblPlayers[element_type],1,"GK",2,"DEF",3,"MID",4,"FWD")</f>
        <v>FWD</v>
      </c>
      <c r="C146">
        <f>tblPlayers[team]</f>
        <v>5</v>
      </c>
      <c r="D146" t="str">
        <f>INDEX(tblTeams[Column1.short_name],MATCH(C146,tblTeams[Column1.id],0))</f>
        <v>BHA</v>
      </c>
      <c r="E146" s="4">
        <f>INDEX(FPL_Raw_Data!$F:$F,MATCH(A146,FPL_Raw_Data!$AA:$AA,0))/10</f>
        <v>5.5</v>
      </c>
      <c r="F146" s="4" t="str">
        <f>tblPlayers[[#This Row],[status]]</f>
        <v>a</v>
      </c>
      <c r="G146" s="4" t="b">
        <f>tblPlayers[[#This Row],[can_select]]</f>
        <v>1</v>
      </c>
      <c r="H146">
        <f>IF(AND(Table8[[#This Row],[Availability Status]]="a",Table8[[#This Row],[Can Select]]=TRUE),1,0)</f>
        <v>1</v>
      </c>
      <c r="I146">
        <f>tblPlayers[minutes]</f>
        <v>195</v>
      </c>
      <c r="J146" s="2">
        <f>Table8[[#This Row],[Minutes]]/90</f>
        <v>2.1666666666666665</v>
      </c>
      <c r="K146" s="5">
        <f>IFERROR(Z146/(FIXTURE_ANALYSIS!$B$1-1),0)</f>
        <v>0.66666666666666663</v>
      </c>
      <c r="L146">
        <f>tblPlayers[total_points]</f>
        <v>8</v>
      </c>
      <c r="M146">
        <f>tblPlayers[points_per_game]</f>
        <v>2.7</v>
      </c>
      <c r="N146">
        <f>tblPlayers[form]</f>
        <v>2.7</v>
      </c>
      <c r="O146">
        <f>tblPlayers[expected_goals]</f>
        <v>0.78</v>
      </c>
      <c r="P146">
        <f>tblPlayers[expected_assists]</f>
        <v>0.04</v>
      </c>
      <c r="Q146">
        <f>tblPlayers[expected_goal_involvements]</f>
        <v>0.82</v>
      </c>
      <c r="R146" s="2">
        <f t="shared" si="50"/>
        <v>3.6923076923076925</v>
      </c>
      <c r="S146" s="5">
        <f t="shared" si="51"/>
        <v>0.36</v>
      </c>
      <c r="T146" s="5">
        <f t="shared" si="52"/>
        <v>1.8461538461538463E-2</v>
      </c>
      <c r="U146" s="5">
        <f t="shared" si="53"/>
        <v>0.37846153846153846</v>
      </c>
      <c r="V146" s="3">
        <f t="shared" si="54"/>
        <v>1.4545454545454546</v>
      </c>
      <c r="W146" s="5">
        <f t="shared" si="55"/>
        <v>0.14909090909090908</v>
      </c>
      <c r="X146" s="5">
        <f>IFERROR(IF(OR($B146="MID",$B146="FWD"),INDEX(FIXTURE_ANALYSIS!$Q:$Q,MATCH($D146,FIXTURE_ANALYSIS!$A:$A,0)),INDEX(FIXTURE_ANALYSIS!$R:$R,MATCH($D146,FIXTURE_ANALYSIS!$A:$A,0))),1)</f>
        <v>1.1225346020761244</v>
      </c>
      <c r="Y146" s="5">
        <f t="shared" si="56"/>
        <v>1.1225346020761244</v>
      </c>
      <c r="Z146" s="8">
        <f>INDEX(FPL_Raw_Data!$T:$T,MATCH(A146,FPL_Raw_Data!$AA:$AA,0))</f>
        <v>2</v>
      </c>
      <c r="AA146" s="8">
        <f>INDEX(FPL_Raw_Data!$S:$S,MATCH(A146,FPL_Raw_Data!$AA:$AA,0))</f>
        <v>16</v>
      </c>
      <c r="AB146" s="2">
        <f t="shared" si="57"/>
        <v>1</v>
      </c>
      <c r="AC146" s="2">
        <f>INDEX(FPL_Raw_Data!$Q:$Q,MATCH(A146,FPL_Raw_Data!$AA:$AA,0))</f>
        <v>0</v>
      </c>
      <c r="AD146" s="8">
        <f>INDEX(FPL_Raw_Data!$R:$R,MATCH(A146,FPL_Raw_Data!$AA:$AA,0))</f>
        <v>25</v>
      </c>
      <c r="AE146" s="8">
        <f>INDEX(FPL_Raw_Data!$N:$N,MATCH(A146,FPL_Raw_Data!$AA:$AA,0))</f>
        <v>0</v>
      </c>
      <c r="AF146" s="8">
        <f>INDEX(FPL_Raw_Data!$L:$L,MATCH(A146,FPL_Raw_Data!$AA:$AA,0))</f>
        <v>0</v>
      </c>
      <c r="AG146" s="2">
        <f>INDEX(FPL_Raw_Data!$M:$M,MATCH(A146,FPL_Raw_Data!$AA:$AA,0))</f>
        <v>1</v>
      </c>
      <c r="AH146" s="2">
        <f t="shared" si="58"/>
        <v>1.44</v>
      </c>
      <c r="AI146" s="2">
        <f t="shared" si="59"/>
        <v>5.5384615384615393E-2</v>
      </c>
      <c r="AJ146" s="2">
        <f t="shared" si="60"/>
        <v>1.3333333333333333</v>
      </c>
      <c r="AK146" s="2">
        <f t="shared" si="61"/>
        <v>2</v>
      </c>
      <c r="AL146" s="2">
        <f t="shared" si="62"/>
        <v>0</v>
      </c>
      <c r="AM146" s="2">
        <f t="shared" si="63"/>
        <v>0</v>
      </c>
      <c r="AN146" s="2">
        <f t="shared" si="64"/>
        <v>0</v>
      </c>
      <c r="AO146" s="3">
        <f t="shared" si="65"/>
        <v>67.5</v>
      </c>
      <c r="AP146">
        <f t="shared" si="66"/>
        <v>87.8</v>
      </c>
      <c r="AQ146">
        <f t="shared" si="67"/>
        <v>77.2</v>
      </c>
      <c r="AR146">
        <f t="shared" si="68"/>
        <v>91.5</v>
      </c>
      <c r="AS146" s="2">
        <f t="shared" si="69"/>
        <v>66.666666666666657</v>
      </c>
      <c r="AT146" s="2">
        <f>IFERROR(INDEX(Player_Model!$BC$2:$BC$596,MATCH($A146,Player_Model!$A$2:$A$596,0)),0)</f>
        <v>5.2940591654552529</v>
      </c>
      <c r="AU146" s="2">
        <f>Table8[[#This Row],[Model Expected Points]]*Table8[[#This Row],[Fixture Adjustment]]</f>
        <v>5.9427645986617721</v>
      </c>
      <c r="AV146" s="2">
        <f>Table8[[#This Row],[Fixture Adjusted Points / 90]]/Table8[[#This Row],[Price]]</f>
        <v>1.0805026543021403</v>
      </c>
      <c r="AW146">
        <f t="shared" si="70"/>
        <v>77.650000000000006</v>
      </c>
      <c r="AX146">
        <f t="shared" si="71"/>
        <v>0</v>
      </c>
      <c r="AY146" s="2">
        <f t="shared" si="72"/>
        <v>66.666666666666657</v>
      </c>
      <c r="AZ146" s="5">
        <f t="shared" si="73"/>
        <v>1.1225346020761244</v>
      </c>
      <c r="BA146">
        <f>Table8[[#This Row],[Model Score2]]</f>
        <v>5.2940591654552529</v>
      </c>
      <c r="BB146">
        <f>IFERROR(INDEX(Player_Model!$BG$2:$BG$596,MATCH($A146,Player_Model!$A$2:$A$596,0)),"")</f>
        <v>7</v>
      </c>
      <c r="BC146" t="str">
        <f t="shared" si="74"/>
        <v>CONSIDER</v>
      </c>
      <c r="BD146">
        <f>IF(H146=1,Table8[[#This Row],[Model Score]],-10000)</f>
        <v>5.2940591654552529</v>
      </c>
      <c r="BE146">
        <f>IFERROR(INDEX(Player_Model!$BF$2:$BF$596,MATCH($A146,Player_Model!$A$2:$A$596,0)),"")</f>
        <v>76</v>
      </c>
      <c r="BF146">
        <f>IFERROR(INDEX(Player_Model!$BG$2:$BG$596,MATCH($A146,Player_Model!$A$2:$A$596,0)),"")</f>
        <v>7</v>
      </c>
      <c r="BG146">
        <f>IFERROR(INDEX(Player_Model!$BE$2:$BE$596,MATCH($A146,Player_Model!$A$2:$A$596,0)),0)</f>
        <v>5.2940591654552529</v>
      </c>
    </row>
    <row r="147" spans="1:59" x14ac:dyDescent="0.25">
      <c r="A147" t="str">
        <f>tblPlayers[first_name]&amp;" "&amp;tblPlayers[second_name]</f>
        <v>Evan Ferguson</v>
      </c>
      <c r="B147" t="str">
        <f>_xlfn.SWITCH(tblPlayers[element_type],1,"GK",2,"DEF",3,"MID",4,"FWD")</f>
        <v>FWD</v>
      </c>
      <c r="C147">
        <f>tblPlayers[team]</f>
        <v>5</v>
      </c>
      <c r="D147" t="str">
        <f>INDEX(tblTeams[Column1.short_name],MATCH(C147,tblTeams[Column1.id],0))</f>
        <v>BHA</v>
      </c>
      <c r="E147" s="4">
        <f>INDEX(FPL_Raw_Data!$F:$F,MATCH(A147,FPL_Raw_Data!$AA:$AA,0))/10</f>
        <v>5</v>
      </c>
      <c r="F147" s="4" t="str">
        <f>tblPlayers[[#This Row],[status]]</f>
        <v>i</v>
      </c>
      <c r="G147" s="4" t="b">
        <f>tblPlayers[[#This Row],[can_select]]</f>
        <v>1</v>
      </c>
      <c r="H147">
        <f>IF(AND(Table8[[#This Row],[Availability Status]]="a",Table8[[#This Row],[Can Select]]=TRUE),1,0)</f>
        <v>0</v>
      </c>
      <c r="I147">
        <f>tblPlayers[minutes]</f>
        <v>0</v>
      </c>
      <c r="J147" s="2">
        <f>Table8[[#This Row],[Minutes]]/90</f>
        <v>0</v>
      </c>
      <c r="K147" s="5">
        <f>IFERROR(Z147/(FIXTURE_ANALYSIS!$B$1-1),0)</f>
        <v>0</v>
      </c>
      <c r="L147">
        <f>tblPlayers[total_points]</f>
        <v>0</v>
      </c>
      <c r="M147">
        <f>tblPlayers[points_per_game]</f>
        <v>0</v>
      </c>
      <c r="N147">
        <f>tblPlayers[form]</f>
        <v>0</v>
      </c>
      <c r="O147">
        <f>tblPlayers[expected_goals]</f>
        <v>0</v>
      </c>
      <c r="P147">
        <f>tblPlayers[expected_assists]</f>
        <v>0</v>
      </c>
      <c r="Q147">
        <f>tblPlayers[expected_goal_involvements]</f>
        <v>0</v>
      </c>
      <c r="R147" s="2">
        <f t="shared" si="50"/>
        <v>0</v>
      </c>
      <c r="S147" s="5">
        <f t="shared" si="51"/>
        <v>0</v>
      </c>
      <c r="T147" s="5">
        <f t="shared" si="52"/>
        <v>0</v>
      </c>
      <c r="U147" s="5">
        <f t="shared" si="53"/>
        <v>0</v>
      </c>
      <c r="V147" s="3">
        <f t="shared" si="54"/>
        <v>0</v>
      </c>
      <c r="W147" s="5">
        <f t="shared" si="55"/>
        <v>0</v>
      </c>
      <c r="X147" s="5">
        <f>IFERROR(IF(OR($B147="MID",$B147="FWD"),INDEX(FIXTURE_ANALYSIS!$Q:$Q,MATCH($D147,FIXTURE_ANALYSIS!$A:$A,0)),INDEX(FIXTURE_ANALYSIS!$R:$R,MATCH($D147,FIXTURE_ANALYSIS!$A:$A,0))),1)</f>
        <v>1.1225346020761244</v>
      </c>
      <c r="Y147" s="5">
        <f t="shared" si="56"/>
        <v>1.1225346020761244</v>
      </c>
      <c r="Z147" s="8">
        <f>INDEX(FPL_Raw_Data!$T:$T,MATCH(A147,FPL_Raw_Data!$AA:$AA,0))</f>
        <v>0</v>
      </c>
      <c r="AA147" s="8">
        <f>INDEX(FPL_Raw_Data!$S:$S,MATCH(A147,FPL_Raw_Data!$AA:$AA,0))</f>
        <v>0</v>
      </c>
      <c r="AB147" s="2">
        <f t="shared" si="57"/>
        <v>0</v>
      </c>
      <c r="AC147" s="2">
        <f>INDEX(FPL_Raw_Data!$Q:$Q,MATCH(A147,FPL_Raw_Data!$AA:$AA,0))</f>
        <v>0</v>
      </c>
      <c r="AD147" s="8">
        <f>INDEX(FPL_Raw_Data!$R:$R,MATCH(A147,FPL_Raw_Data!$AA:$AA,0))</f>
        <v>0</v>
      </c>
      <c r="AE147" s="8">
        <f>INDEX(FPL_Raw_Data!$N:$N,MATCH(A147,FPL_Raw_Data!$AA:$AA,0))</f>
        <v>0</v>
      </c>
      <c r="AF147" s="8">
        <f>INDEX(FPL_Raw_Data!$L:$L,MATCH(A147,FPL_Raw_Data!$AA:$AA,0))</f>
        <v>0</v>
      </c>
      <c r="AG147" s="2">
        <f>INDEX(FPL_Raw_Data!$M:$M,MATCH(A147,FPL_Raw_Data!$AA:$AA,0))</f>
        <v>0</v>
      </c>
      <c r="AH147" s="2">
        <f t="shared" si="58"/>
        <v>0</v>
      </c>
      <c r="AI147" s="2">
        <f t="shared" si="59"/>
        <v>0</v>
      </c>
      <c r="AJ147" s="2">
        <f t="shared" si="60"/>
        <v>0</v>
      </c>
      <c r="AK147" s="2">
        <f t="shared" si="61"/>
        <v>0</v>
      </c>
      <c r="AL147" s="2">
        <f t="shared" si="62"/>
        <v>0</v>
      </c>
      <c r="AM147" s="2">
        <f t="shared" si="63"/>
        <v>0</v>
      </c>
      <c r="AN147" s="2">
        <f t="shared" si="64"/>
        <v>0</v>
      </c>
      <c r="AO147" s="3">
        <f t="shared" si="65"/>
        <v>0.1</v>
      </c>
      <c r="AP147">
        <f t="shared" si="66"/>
        <v>0</v>
      </c>
      <c r="AQ147">
        <f t="shared" si="67"/>
        <v>0.1</v>
      </c>
      <c r="AR147">
        <f t="shared" si="68"/>
        <v>0</v>
      </c>
      <c r="AS147" s="2">
        <f t="shared" si="69"/>
        <v>0</v>
      </c>
      <c r="AT147" s="2">
        <f>IFERROR(INDEX(Player_Model!$BC$2:$BC$596,MATCH($A147,Player_Model!$A$2:$A$596,0)),0)</f>
        <v>0</v>
      </c>
      <c r="AU147" s="2">
        <f>Table8[[#This Row],[Model Expected Points]]*Table8[[#This Row],[Fixture Adjustment]]</f>
        <v>0</v>
      </c>
      <c r="AV147" s="2">
        <f>Table8[[#This Row],[Fixture Adjusted Points / 90]]/Table8[[#This Row],[Price]]</f>
        <v>0</v>
      </c>
      <c r="AW147">
        <f t="shared" si="70"/>
        <v>0.05</v>
      </c>
      <c r="AX147">
        <f t="shared" si="71"/>
        <v>0</v>
      </c>
      <c r="AY147" s="2">
        <f t="shared" si="72"/>
        <v>0</v>
      </c>
      <c r="AZ147" s="5">
        <f t="shared" si="73"/>
        <v>1.1225346020761244</v>
      </c>
      <c r="BA147">
        <f>Table8[[#This Row],[Model Score2]]</f>
        <v>0</v>
      </c>
      <c r="BB147">
        <f>IFERROR(INDEX(Player_Model!$BG$2:$BG$596,MATCH($A147,Player_Model!$A$2:$A$596,0)),"")</f>
        <v>37</v>
      </c>
      <c r="BC147" t="str">
        <f t="shared" si="74"/>
        <v>AVOID</v>
      </c>
      <c r="BD147">
        <f>IF(H147=1,Table8[[#This Row],[Model Score]],-10000)</f>
        <v>-10000</v>
      </c>
      <c r="BE147">
        <f>IFERROR(INDEX(Player_Model!$BF$2:$BF$596,MATCH($A147,Player_Model!$A$2:$A$596,0)),"")</f>
        <v>253</v>
      </c>
      <c r="BF147">
        <f>IFERROR(INDEX(Player_Model!$BG$2:$BG$596,MATCH($A147,Player_Model!$A$2:$A$596,0)),"")</f>
        <v>37</v>
      </c>
      <c r="BG147">
        <f>IFERROR(INDEX(Player_Model!$BE$2:$BE$596,MATCH($A147,Player_Model!$A$2:$A$596,0)),0)</f>
        <v>0</v>
      </c>
    </row>
    <row r="148" spans="1:59" x14ac:dyDescent="0.25">
      <c r="A148" t="str">
        <f>tblPlayers[first_name]&amp;" "&amp;tblPlayers[second_name]</f>
        <v>Pascal Struijk</v>
      </c>
      <c r="B148" t="str">
        <f>_xlfn.SWITCH(tblPlayers[element_type],1,"GK",2,"DEF",3,"MID",4,"FWD")</f>
        <v>DEF</v>
      </c>
      <c r="C148">
        <f>tblPlayers[team]</f>
        <v>5</v>
      </c>
      <c r="D148" t="str">
        <f>INDEX(tblTeams[Column1.short_name],MATCH(C148,tblTeams[Column1.id],0))</f>
        <v>BHA</v>
      </c>
      <c r="E148" s="4">
        <f>INDEX(FPL_Raw_Data!$F:$F,MATCH(A148,FPL_Raw_Data!$AA:$AA,0))/10</f>
        <v>5</v>
      </c>
      <c r="F148" s="4" t="str">
        <f>tblPlayers[[#This Row],[status]]</f>
        <v>a</v>
      </c>
      <c r="G148" s="4" t="b">
        <f>tblPlayers[[#This Row],[can_select]]</f>
        <v>1</v>
      </c>
      <c r="H148">
        <f>IF(AND(Table8[[#This Row],[Availability Status]]="a",Table8[[#This Row],[Can Select]]=TRUE),1,0)</f>
        <v>1</v>
      </c>
      <c r="I148">
        <f>tblPlayers[minutes]</f>
        <v>1</v>
      </c>
      <c r="J148" s="2">
        <f>Table8[[#This Row],[Minutes]]/90</f>
        <v>1.1111111111111112E-2</v>
      </c>
      <c r="K148" s="5">
        <f>IFERROR(Z148/(FIXTURE_ANALYSIS!$B$1-1),0)</f>
        <v>0</v>
      </c>
      <c r="L148">
        <f>tblPlayers[total_points]</f>
        <v>1</v>
      </c>
      <c r="M148">
        <f>tblPlayers[points_per_game]</f>
        <v>1</v>
      </c>
      <c r="N148">
        <f>tblPlayers[form]</f>
        <v>0.3</v>
      </c>
      <c r="O148">
        <f>tblPlayers[expected_goals]</f>
        <v>0</v>
      </c>
      <c r="P148">
        <f>tblPlayers[expected_assists]</f>
        <v>0</v>
      </c>
      <c r="Q148">
        <f>tblPlayers[expected_goal_involvements]</f>
        <v>0</v>
      </c>
      <c r="R148" s="2">
        <f t="shared" si="50"/>
        <v>90</v>
      </c>
      <c r="S148" s="5">
        <f t="shared" si="51"/>
        <v>0</v>
      </c>
      <c r="T148" s="5">
        <f t="shared" si="52"/>
        <v>0</v>
      </c>
      <c r="U148" s="5">
        <f t="shared" si="53"/>
        <v>0</v>
      </c>
      <c r="V148" s="3">
        <f t="shared" si="54"/>
        <v>0.2</v>
      </c>
      <c r="W148" s="5">
        <f t="shared" si="55"/>
        <v>0</v>
      </c>
      <c r="X148" s="5">
        <f>IFERROR(IF(OR($B148="MID",$B148="FWD"),INDEX(FIXTURE_ANALYSIS!$Q:$Q,MATCH($D148,FIXTURE_ANALYSIS!$A:$A,0)),INDEX(FIXTURE_ANALYSIS!$R:$R,MATCH($D148,FIXTURE_ANALYSIS!$A:$A,0))),1)</f>
        <v>0.99748538507159212</v>
      </c>
      <c r="Y148" s="5">
        <f t="shared" si="56"/>
        <v>0.99748538507159212</v>
      </c>
      <c r="Z148" s="8">
        <f>INDEX(FPL_Raw_Data!$T:$T,MATCH(A148,FPL_Raw_Data!$AA:$AA,0))</f>
        <v>0</v>
      </c>
      <c r="AA148" s="8">
        <f>INDEX(FPL_Raw_Data!$S:$S,MATCH(A148,FPL_Raw_Data!$AA:$AA,0))</f>
        <v>0</v>
      </c>
      <c r="AB148" s="2">
        <f t="shared" si="57"/>
        <v>0</v>
      </c>
      <c r="AC148" s="2">
        <f>INDEX(FPL_Raw_Data!$Q:$Q,MATCH(A148,FPL_Raw_Data!$AA:$AA,0))</f>
        <v>0</v>
      </c>
      <c r="AD148" s="8">
        <f>INDEX(FPL_Raw_Data!$R:$R,MATCH(A148,FPL_Raw_Data!$AA:$AA,0))</f>
        <v>3</v>
      </c>
      <c r="AE148" s="8">
        <f>INDEX(FPL_Raw_Data!$N:$N,MATCH(A148,FPL_Raw_Data!$AA:$AA,0))</f>
        <v>0</v>
      </c>
      <c r="AF148" s="8">
        <f>INDEX(FPL_Raw_Data!$L:$L,MATCH(A148,FPL_Raw_Data!$AA:$AA,0))</f>
        <v>0</v>
      </c>
      <c r="AG148" s="2">
        <f>INDEX(FPL_Raw_Data!$M:$M,MATCH(A148,FPL_Raw_Data!$AA:$AA,0))</f>
        <v>0</v>
      </c>
      <c r="AH148" s="2">
        <f t="shared" si="58"/>
        <v>0</v>
      </c>
      <c r="AI148" s="2">
        <f t="shared" si="59"/>
        <v>0</v>
      </c>
      <c r="AJ148" s="2">
        <f t="shared" si="60"/>
        <v>0</v>
      </c>
      <c r="AK148" s="2">
        <f t="shared" si="61"/>
        <v>0</v>
      </c>
      <c r="AL148" s="2">
        <f t="shared" si="62"/>
        <v>0</v>
      </c>
      <c r="AM148" s="2">
        <f t="shared" si="63"/>
        <v>0</v>
      </c>
      <c r="AN148" s="2">
        <f t="shared" si="64"/>
        <v>0</v>
      </c>
      <c r="AO148" s="3">
        <f t="shared" si="65"/>
        <v>98.1</v>
      </c>
      <c r="AP148">
        <f t="shared" si="66"/>
        <v>0</v>
      </c>
      <c r="AQ148">
        <f t="shared" si="67"/>
        <v>44.4</v>
      </c>
      <c r="AR148">
        <f t="shared" si="68"/>
        <v>0</v>
      </c>
      <c r="AS148" s="2">
        <f t="shared" si="69"/>
        <v>0</v>
      </c>
      <c r="AT148" s="2">
        <f>IFERROR(INDEX(Player_Model!$BC$2:$BC$596,MATCH($A148,Player_Model!$A$2:$A$596,0)),0)</f>
        <v>-0.83123782089299347</v>
      </c>
      <c r="AU148" s="2">
        <f>Table8[[#This Row],[Model Expected Points]]*Table8[[#This Row],[Fixture Adjustment]]</f>
        <v>-0.82914757785951876</v>
      </c>
      <c r="AV148" s="2">
        <f>Table8[[#This Row],[Fixture Adjusted Points / 90]]/Table8[[#This Row],[Price]]</f>
        <v>-0.16582951557190376</v>
      </c>
      <c r="AW148">
        <f t="shared" si="70"/>
        <v>0</v>
      </c>
      <c r="AX148">
        <f t="shared" si="71"/>
        <v>0.49874269253579606</v>
      </c>
      <c r="AY148" s="2">
        <f t="shared" si="72"/>
        <v>0</v>
      </c>
      <c r="AZ148" s="5">
        <f t="shared" si="73"/>
        <v>0.99748538507159212</v>
      </c>
      <c r="BA148">
        <f>Table8[[#This Row],[Model Score2]]</f>
        <v>-0.83123782089299347</v>
      </c>
      <c r="BB148">
        <f>IFERROR(INDEX(Player_Model!$BG$2:$BG$596,MATCH($A148,Player_Model!$A$2:$A$596,0)),"")</f>
        <v>161</v>
      </c>
      <c r="BC148" t="str">
        <f t="shared" si="74"/>
        <v>AVOID</v>
      </c>
      <c r="BD148">
        <f>IF(H148=1,Table8[[#This Row],[Model Score]],-10000)</f>
        <v>-0.83123782089299347</v>
      </c>
      <c r="BE148">
        <f>IFERROR(INDEX(Player_Model!$BF$2:$BF$596,MATCH($A148,Player_Model!$A$2:$A$596,0)),"")</f>
        <v>560</v>
      </c>
      <c r="BF148">
        <f>IFERROR(INDEX(Player_Model!$BG$2:$BG$596,MATCH($A148,Player_Model!$A$2:$A$596,0)),"")</f>
        <v>161</v>
      </c>
      <c r="BG148">
        <f>IFERROR(INDEX(Player_Model!$BE$2:$BE$596,MATCH($A148,Player_Model!$A$2:$A$596,0)),0)</f>
        <v>-0.83123782089299347</v>
      </c>
    </row>
    <row r="149" spans="1:59" x14ac:dyDescent="0.25">
      <c r="A149" t="str">
        <f>tblPlayers[first_name]&amp;" "&amp;tblPlayers[second_name]</f>
        <v>Luka Vušković</v>
      </c>
      <c r="B149" t="str">
        <f>_xlfn.SWITCH(tblPlayers[element_type],1,"GK",2,"DEF",3,"MID",4,"FWD")</f>
        <v>DEF</v>
      </c>
      <c r="C149">
        <f>tblPlayers[team]</f>
        <v>5</v>
      </c>
      <c r="D149" t="str">
        <f>INDEX(tblTeams[Column1.short_name],MATCH(C149,tblTeams[Column1.id],0))</f>
        <v>BHA</v>
      </c>
      <c r="E149" s="4">
        <f>INDEX(FPL_Raw_Data!$F:$F,MATCH(A149,FPL_Raw_Data!$AA:$AA,0))/10</f>
        <v>5</v>
      </c>
      <c r="F149" s="4" t="str">
        <f>tblPlayers[[#This Row],[status]]</f>
        <v>a</v>
      </c>
      <c r="G149" s="4" t="b">
        <f>tblPlayers[[#This Row],[can_select]]</f>
        <v>1</v>
      </c>
      <c r="H149">
        <f>IF(AND(Table8[[#This Row],[Availability Status]]="a",Table8[[#This Row],[Can Select]]=TRUE),1,0)</f>
        <v>1</v>
      </c>
      <c r="I149">
        <f>tblPlayers[minutes]</f>
        <v>270</v>
      </c>
      <c r="J149" s="2">
        <f>Table8[[#This Row],[Minutes]]/90</f>
        <v>3</v>
      </c>
      <c r="K149" s="5">
        <f>IFERROR(Z149/(FIXTURE_ANALYSIS!$B$1-1),0)</f>
        <v>1</v>
      </c>
      <c r="L149">
        <f>tblPlayers[total_points]</f>
        <v>18</v>
      </c>
      <c r="M149">
        <f>tblPlayers[points_per_game]</f>
        <v>6</v>
      </c>
      <c r="N149">
        <f>tblPlayers[form]</f>
        <v>6</v>
      </c>
      <c r="O149">
        <f>tblPlayers[expected_goals]</f>
        <v>0.35</v>
      </c>
      <c r="P149">
        <f>tblPlayers[expected_assists]</f>
        <v>0.06</v>
      </c>
      <c r="Q149">
        <f>tblPlayers[expected_goal_involvements]</f>
        <v>0.41</v>
      </c>
      <c r="R149" s="2">
        <f t="shared" si="50"/>
        <v>6</v>
      </c>
      <c r="S149" s="5">
        <f t="shared" si="51"/>
        <v>0.11666666666666667</v>
      </c>
      <c r="T149" s="5">
        <f t="shared" si="52"/>
        <v>1.9999999999999997E-2</v>
      </c>
      <c r="U149" s="5">
        <f t="shared" si="53"/>
        <v>0.13666666666666666</v>
      </c>
      <c r="V149" s="3">
        <f t="shared" si="54"/>
        <v>3.6</v>
      </c>
      <c r="W149" s="5">
        <f t="shared" si="55"/>
        <v>8.199999999999999E-2</v>
      </c>
      <c r="X149" s="5">
        <f>IFERROR(IF(OR($B149="MID",$B149="FWD"),INDEX(FIXTURE_ANALYSIS!$Q:$Q,MATCH($D149,FIXTURE_ANALYSIS!$A:$A,0)),INDEX(FIXTURE_ANALYSIS!$R:$R,MATCH($D149,FIXTURE_ANALYSIS!$A:$A,0))),1)</f>
        <v>0.99748538507159212</v>
      </c>
      <c r="Y149" s="5">
        <f t="shared" si="56"/>
        <v>0.99748538507159212</v>
      </c>
      <c r="Z149" s="8">
        <f>INDEX(FPL_Raw_Data!$T:$T,MATCH(A149,FPL_Raw_Data!$AA:$AA,0))</f>
        <v>3</v>
      </c>
      <c r="AA149" s="8">
        <f>INDEX(FPL_Raw_Data!$S:$S,MATCH(A149,FPL_Raw_Data!$AA:$AA,0))</f>
        <v>22</v>
      </c>
      <c r="AB149" s="2">
        <f t="shared" si="57"/>
        <v>1</v>
      </c>
      <c r="AC149" s="2">
        <f>INDEX(FPL_Raw_Data!$Q:$Q,MATCH(A149,FPL_Raw_Data!$AA:$AA,0))</f>
        <v>2</v>
      </c>
      <c r="AD149" s="8">
        <f>INDEX(FPL_Raw_Data!$R:$R,MATCH(A149,FPL_Raw_Data!$AA:$AA,0))</f>
        <v>44</v>
      </c>
      <c r="AE149" s="8">
        <f>INDEX(FPL_Raw_Data!$N:$N,MATCH(A149,FPL_Raw_Data!$AA:$AA,0))</f>
        <v>1</v>
      </c>
      <c r="AF149" s="8">
        <f>INDEX(FPL_Raw_Data!$L:$L,MATCH(A149,FPL_Raw_Data!$AA:$AA,0))</f>
        <v>1</v>
      </c>
      <c r="AG149" s="2">
        <f>INDEX(FPL_Raw_Data!$M:$M,MATCH(A149,FPL_Raw_Data!$AA:$AA,0))</f>
        <v>0</v>
      </c>
      <c r="AH149" s="2">
        <f t="shared" si="58"/>
        <v>0.7</v>
      </c>
      <c r="AI149" s="2">
        <f t="shared" si="59"/>
        <v>5.9999999999999991E-2</v>
      </c>
      <c r="AJ149" s="2">
        <f t="shared" si="60"/>
        <v>2</v>
      </c>
      <c r="AK149" s="2">
        <f t="shared" si="61"/>
        <v>2</v>
      </c>
      <c r="AL149" s="2">
        <f t="shared" si="62"/>
        <v>0.33333333333333331</v>
      </c>
      <c r="AM149" s="2">
        <f t="shared" si="63"/>
        <v>1.3333333333333333</v>
      </c>
      <c r="AN149" s="2">
        <f t="shared" si="64"/>
        <v>0.66666666666666663</v>
      </c>
      <c r="AO149" s="3">
        <f t="shared" si="65"/>
        <v>81.3</v>
      </c>
      <c r="AP149">
        <f t="shared" si="66"/>
        <v>71.5</v>
      </c>
      <c r="AQ149">
        <f t="shared" si="67"/>
        <v>97.399999999999991</v>
      </c>
      <c r="AR149">
        <f t="shared" si="68"/>
        <v>81.899999999999991</v>
      </c>
      <c r="AS149" s="2">
        <f t="shared" si="69"/>
        <v>100</v>
      </c>
      <c r="AT149" s="2">
        <f>IFERROR(INDEX(Player_Model!$BC$2:$BC$596,MATCH($A149,Player_Model!$A$2:$A$596,0)),0)</f>
        <v>4.6389720308396178</v>
      </c>
      <c r="AU149" s="2">
        <f>Table8[[#This Row],[Model Expected Points]]*Table8[[#This Row],[Fixture Adjustment]]</f>
        <v>4.6273068025184019</v>
      </c>
      <c r="AV149" s="2">
        <f>Table8[[#This Row],[Fixture Adjusted Points / 90]]/Table8[[#This Row],[Price]]</f>
        <v>0.92546136050368033</v>
      </c>
      <c r="AW149">
        <f t="shared" si="70"/>
        <v>71.5</v>
      </c>
      <c r="AX149">
        <f t="shared" si="71"/>
        <v>0.99874269253579606</v>
      </c>
      <c r="AY149" s="2">
        <f t="shared" si="72"/>
        <v>100</v>
      </c>
      <c r="AZ149" s="5">
        <f t="shared" si="73"/>
        <v>0.99748538507159212</v>
      </c>
      <c r="BA149">
        <f>Table8[[#This Row],[Model Score2]]</f>
        <v>4.6389720308396178</v>
      </c>
      <c r="BB149">
        <f>IFERROR(INDEX(Player_Model!$BG$2:$BG$596,MATCH($A149,Player_Model!$A$2:$A$596,0)),"")</f>
        <v>43</v>
      </c>
      <c r="BC149" t="str">
        <f t="shared" si="74"/>
        <v>AVOID</v>
      </c>
      <c r="BD149">
        <f>IF(H149=1,Table8[[#This Row],[Model Score]],-10000)</f>
        <v>4.6389720308396178</v>
      </c>
      <c r="BE149">
        <f>IFERROR(INDEX(Player_Model!$BF$2:$BF$596,MATCH($A149,Player_Model!$A$2:$A$596,0)),"")</f>
        <v>118</v>
      </c>
      <c r="BF149">
        <f>IFERROR(INDEX(Player_Model!$BG$2:$BG$596,MATCH($A149,Player_Model!$A$2:$A$596,0)),"")</f>
        <v>43</v>
      </c>
      <c r="BG149">
        <f>IFERROR(INDEX(Player_Model!$BE$2:$BE$596,MATCH($A149,Player_Model!$A$2:$A$596,0)),0)</f>
        <v>4.6389720308396178</v>
      </c>
    </row>
    <row r="150" spans="1:59" x14ac:dyDescent="0.25">
      <c r="A150" t="str">
        <f>tblPlayers[first_name]&amp;" "&amp;tblPlayers[second_name]</f>
        <v>Promise David</v>
      </c>
      <c r="B150" t="str">
        <f>_xlfn.SWITCH(tblPlayers[element_type],1,"GK",2,"DEF",3,"MID",4,"FWD")</f>
        <v>FWD</v>
      </c>
      <c r="C150">
        <f>tblPlayers[team]</f>
        <v>5</v>
      </c>
      <c r="D150" t="str">
        <f>INDEX(tblTeams[Column1.short_name],MATCH(C150,tblTeams[Column1.id],0))</f>
        <v>BHA</v>
      </c>
      <c r="E150" s="4">
        <f>INDEX(FPL_Raw_Data!$F:$F,MATCH(A150,FPL_Raw_Data!$AA:$AA,0))/10</f>
        <v>6</v>
      </c>
      <c r="F150" s="4" t="str">
        <f>tblPlayers[[#This Row],[status]]</f>
        <v>a</v>
      </c>
      <c r="G150" s="4" t="b">
        <f>tblPlayers[[#This Row],[can_select]]</f>
        <v>1</v>
      </c>
      <c r="H150">
        <f>IF(AND(Table8[[#This Row],[Availability Status]]="a",Table8[[#This Row],[Can Select]]=TRUE),1,0)</f>
        <v>1</v>
      </c>
      <c r="I150">
        <f>tblPlayers[minutes]</f>
        <v>23</v>
      </c>
      <c r="J150" s="2">
        <f>Table8[[#This Row],[Minutes]]/90</f>
        <v>0.25555555555555554</v>
      </c>
      <c r="K150" s="5">
        <f>IFERROR(Z150/(FIXTURE_ANALYSIS!$B$1-1),0)</f>
        <v>0</v>
      </c>
      <c r="L150">
        <f>tblPlayers[total_points]</f>
        <v>1</v>
      </c>
      <c r="M150">
        <f>tblPlayers[points_per_game]</f>
        <v>0.5</v>
      </c>
      <c r="N150">
        <f>tblPlayers[form]</f>
        <v>0.3</v>
      </c>
      <c r="O150">
        <f>tblPlayers[expected_goals]</f>
        <v>0.42</v>
      </c>
      <c r="P150">
        <f>tblPlayers[expected_assists]</f>
        <v>0</v>
      </c>
      <c r="Q150">
        <f>tblPlayers[expected_goal_involvements]</f>
        <v>0.42</v>
      </c>
      <c r="R150" s="2">
        <f t="shared" si="50"/>
        <v>3.9130434782608696</v>
      </c>
      <c r="S150" s="5">
        <f t="shared" si="51"/>
        <v>1.6434782608695651</v>
      </c>
      <c r="T150" s="5">
        <f t="shared" si="52"/>
        <v>0</v>
      </c>
      <c r="U150" s="5">
        <f t="shared" si="53"/>
        <v>1.6434782608695651</v>
      </c>
      <c r="V150" s="3">
        <f t="shared" si="54"/>
        <v>0.16666666666666666</v>
      </c>
      <c r="W150" s="5">
        <f t="shared" si="55"/>
        <v>6.9999999999999993E-2</v>
      </c>
      <c r="X150" s="5">
        <f>IFERROR(IF(OR($B150="MID",$B150="FWD"),INDEX(FIXTURE_ANALYSIS!$Q:$Q,MATCH($D150,FIXTURE_ANALYSIS!$A:$A,0)),INDEX(FIXTURE_ANALYSIS!$R:$R,MATCH($D150,FIXTURE_ANALYSIS!$A:$A,0))),1)</f>
        <v>1.1225346020761244</v>
      </c>
      <c r="Y150" s="5">
        <f t="shared" si="56"/>
        <v>1.1225346020761244</v>
      </c>
      <c r="Z150" s="8">
        <f>INDEX(FPL_Raw_Data!$T:$T,MATCH(A150,FPL_Raw_Data!$AA:$AA,0))</f>
        <v>0</v>
      </c>
      <c r="AA150" s="8">
        <f>INDEX(FPL_Raw_Data!$S:$S,MATCH(A150,FPL_Raw_Data!$AA:$AA,0))</f>
        <v>0</v>
      </c>
      <c r="AB150" s="2">
        <f t="shared" si="57"/>
        <v>0</v>
      </c>
      <c r="AC150" s="2">
        <f>INDEX(FPL_Raw_Data!$Q:$Q,MATCH(A150,FPL_Raw_Data!$AA:$AA,0))</f>
        <v>0</v>
      </c>
      <c r="AD150" s="8">
        <f>INDEX(FPL_Raw_Data!$R:$R,MATCH(A150,FPL_Raw_Data!$AA:$AA,0))</f>
        <v>-4</v>
      </c>
      <c r="AE150" s="8">
        <f>INDEX(FPL_Raw_Data!$N:$N,MATCH(A150,FPL_Raw_Data!$AA:$AA,0))</f>
        <v>0</v>
      </c>
      <c r="AF150" s="8">
        <f>INDEX(FPL_Raw_Data!$L:$L,MATCH(A150,FPL_Raw_Data!$AA:$AA,0))</f>
        <v>0</v>
      </c>
      <c r="AG150" s="2">
        <f>INDEX(FPL_Raw_Data!$M:$M,MATCH(A150,FPL_Raw_Data!$AA:$AA,0))</f>
        <v>0</v>
      </c>
      <c r="AH150" s="2">
        <f t="shared" si="58"/>
        <v>6.5739130434782602</v>
      </c>
      <c r="AI150" s="2">
        <f t="shared" si="59"/>
        <v>0</v>
      </c>
      <c r="AJ150" s="2">
        <f t="shared" si="60"/>
        <v>0</v>
      </c>
      <c r="AK150" s="2">
        <f t="shared" si="61"/>
        <v>0</v>
      </c>
      <c r="AL150" s="2">
        <f t="shared" si="62"/>
        <v>0</v>
      </c>
      <c r="AM150" s="2">
        <f t="shared" si="63"/>
        <v>0</v>
      </c>
      <c r="AN150" s="2">
        <f t="shared" si="64"/>
        <v>0</v>
      </c>
      <c r="AO150" s="3">
        <f t="shared" si="65"/>
        <v>68.8</v>
      </c>
      <c r="AP150">
        <f t="shared" si="66"/>
        <v>99.4</v>
      </c>
      <c r="AQ150">
        <f t="shared" si="67"/>
        <v>41.5</v>
      </c>
      <c r="AR150">
        <f t="shared" si="68"/>
        <v>79.7</v>
      </c>
      <c r="AS150" s="2">
        <f t="shared" si="69"/>
        <v>0</v>
      </c>
      <c r="AT150" s="2">
        <f>IFERROR(INDEX(Player_Model!$BC$2:$BC$596,MATCH($A150,Player_Model!$A$2:$A$596,0)),0)</f>
        <v>0</v>
      </c>
      <c r="AU150" s="2">
        <f>Table8[[#This Row],[Model Expected Points]]*Table8[[#This Row],[Fixture Adjustment]]</f>
        <v>0</v>
      </c>
      <c r="AV150" s="2">
        <f>Table8[[#This Row],[Fixture Adjusted Points / 90]]/Table8[[#This Row],[Price]]</f>
        <v>0</v>
      </c>
      <c r="AW150">
        <f t="shared" si="70"/>
        <v>84.1</v>
      </c>
      <c r="AX150">
        <f t="shared" si="71"/>
        <v>0</v>
      </c>
      <c r="AY150" s="2">
        <f t="shared" si="72"/>
        <v>0</v>
      </c>
      <c r="AZ150" s="5">
        <f t="shared" si="73"/>
        <v>1.1225346020761244</v>
      </c>
      <c r="BA150">
        <f>Table8[[#This Row],[Model Score2]]</f>
        <v>0</v>
      </c>
      <c r="BB150">
        <f>IFERROR(INDEX(Player_Model!$BG$2:$BG$596,MATCH($A150,Player_Model!$A$2:$A$596,0)),"")</f>
        <v>38</v>
      </c>
      <c r="BC150" t="str">
        <f t="shared" si="74"/>
        <v>AVOID</v>
      </c>
      <c r="BD150">
        <f>IF(H150=1,Table8[[#This Row],[Model Score]],-10000)</f>
        <v>0</v>
      </c>
      <c r="BE150">
        <f>IFERROR(INDEX(Player_Model!$BF$2:$BF$596,MATCH($A150,Player_Model!$A$2:$A$596,0)),"")</f>
        <v>253</v>
      </c>
      <c r="BF150">
        <f>IFERROR(INDEX(Player_Model!$BG$2:$BG$596,MATCH($A150,Player_Model!$A$2:$A$596,0)),"")</f>
        <v>38</v>
      </c>
      <c r="BG150">
        <f>IFERROR(INDEX(Player_Model!$BE$2:$BE$596,MATCH($A150,Player_Model!$A$2:$A$596,0)),0)</f>
        <v>0</v>
      </c>
    </row>
    <row r="151" spans="1:59" x14ac:dyDescent="0.25">
      <c r="A151" t="str">
        <f>tblPlayers[first_name]&amp;" "&amp;tblPlayers[second_name]</f>
        <v>Ibrahim Osman</v>
      </c>
      <c r="B151" t="str">
        <f>_xlfn.SWITCH(tblPlayers[element_type],1,"GK",2,"DEF",3,"MID",4,"FWD")</f>
        <v>MID</v>
      </c>
      <c r="C151">
        <f>tblPlayers[team]</f>
        <v>5</v>
      </c>
      <c r="D151" t="str">
        <f>INDEX(tblTeams[Column1.short_name],MATCH(C151,tblTeams[Column1.id],0))</f>
        <v>BHA</v>
      </c>
      <c r="E151" s="4">
        <f>INDEX(FPL_Raw_Data!$F:$F,MATCH(A151,FPL_Raw_Data!$AA:$AA,0))/10</f>
        <v>5</v>
      </c>
      <c r="F151" s="4" t="str">
        <f>tblPlayers[[#This Row],[status]]</f>
        <v>a</v>
      </c>
      <c r="G151" s="4" t="b">
        <f>tblPlayers[[#This Row],[can_select]]</f>
        <v>1</v>
      </c>
      <c r="H151">
        <f>IF(AND(Table8[[#This Row],[Availability Status]]="a",Table8[[#This Row],[Can Select]]=TRUE),1,0)</f>
        <v>1</v>
      </c>
      <c r="I151">
        <f>tblPlayers[minutes]</f>
        <v>28</v>
      </c>
      <c r="J151" s="2">
        <f>Table8[[#This Row],[Minutes]]/90</f>
        <v>0.31111111111111112</v>
      </c>
      <c r="K151" s="5">
        <f>IFERROR(Z151/(FIXTURE_ANALYSIS!$B$1-1),0)</f>
        <v>0</v>
      </c>
      <c r="L151">
        <f>tblPlayers[total_points]</f>
        <v>2</v>
      </c>
      <c r="M151">
        <f>tblPlayers[points_per_game]</f>
        <v>1</v>
      </c>
      <c r="N151">
        <f>tblPlayers[form]</f>
        <v>0.7</v>
      </c>
      <c r="O151">
        <f>tblPlayers[expected_goals]</f>
        <v>0</v>
      </c>
      <c r="P151">
        <f>tblPlayers[expected_assists]</f>
        <v>0.06</v>
      </c>
      <c r="Q151">
        <f>tblPlayers[expected_goal_involvements]</f>
        <v>0.06</v>
      </c>
      <c r="R151" s="2">
        <f t="shared" si="50"/>
        <v>6.4285714285714279</v>
      </c>
      <c r="S151" s="5">
        <f t="shared" si="51"/>
        <v>0</v>
      </c>
      <c r="T151" s="5">
        <f t="shared" si="52"/>
        <v>0.19285714285714287</v>
      </c>
      <c r="U151" s="5">
        <f t="shared" si="53"/>
        <v>0.19285714285714287</v>
      </c>
      <c r="V151" s="3">
        <f t="shared" si="54"/>
        <v>0.4</v>
      </c>
      <c r="W151" s="5">
        <f t="shared" si="55"/>
        <v>1.2E-2</v>
      </c>
      <c r="X151" s="5">
        <f>IFERROR(IF(OR($B151="MID",$B151="FWD"),INDEX(FIXTURE_ANALYSIS!$Q:$Q,MATCH($D151,FIXTURE_ANALYSIS!$A:$A,0)),INDEX(FIXTURE_ANALYSIS!$R:$R,MATCH($D151,FIXTURE_ANALYSIS!$A:$A,0))),1)</f>
        <v>1.1225346020761244</v>
      </c>
      <c r="Y151" s="5">
        <f t="shared" si="56"/>
        <v>1.1225346020761244</v>
      </c>
      <c r="Z151" s="8">
        <f>INDEX(FPL_Raw_Data!$T:$T,MATCH(A151,FPL_Raw_Data!$AA:$AA,0))</f>
        <v>0</v>
      </c>
      <c r="AA151" s="8">
        <f>INDEX(FPL_Raw_Data!$S:$S,MATCH(A151,FPL_Raw_Data!$AA:$AA,0))</f>
        <v>3</v>
      </c>
      <c r="AB151" s="2">
        <f t="shared" si="57"/>
        <v>0.25</v>
      </c>
      <c r="AC151" s="2">
        <f>INDEX(FPL_Raw_Data!$Q:$Q,MATCH(A151,FPL_Raw_Data!$AA:$AA,0))</f>
        <v>0</v>
      </c>
      <c r="AD151" s="8">
        <f>INDEX(FPL_Raw_Data!$R:$R,MATCH(A151,FPL_Raw_Data!$AA:$AA,0))</f>
        <v>13</v>
      </c>
      <c r="AE151" s="8">
        <f>INDEX(FPL_Raw_Data!$N:$N,MATCH(A151,FPL_Raw_Data!$AA:$AA,0))</f>
        <v>0</v>
      </c>
      <c r="AF151" s="8">
        <f>INDEX(FPL_Raw_Data!$L:$L,MATCH(A151,FPL_Raw_Data!$AA:$AA,0))</f>
        <v>0</v>
      </c>
      <c r="AG151" s="2">
        <f>INDEX(FPL_Raw_Data!$M:$M,MATCH(A151,FPL_Raw_Data!$AA:$AA,0))</f>
        <v>0</v>
      </c>
      <c r="AH151" s="2">
        <f t="shared" si="58"/>
        <v>0</v>
      </c>
      <c r="AI151" s="2">
        <f t="shared" si="59"/>
        <v>0.57857142857142863</v>
      </c>
      <c r="AJ151" s="2">
        <f t="shared" si="60"/>
        <v>0</v>
      </c>
      <c r="AK151" s="2">
        <f t="shared" si="61"/>
        <v>0.5</v>
      </c>
      <c r="AL151" s="2">
        <f t="shared" si="62"/>
        <v>0</v>
      </c>
      <c r="AM151" s="2">
        <f t="shared" si="63"/>
        <v>0</v>
      </c>
      <c r="AN151" s="2">
        <f t="shared" si="64"/>
        <v>0</v>
      </c>
      <c r="AO151" s="3">
        <f t="shared" si="65"/>
        <v>83.1</v>
      </c>
      <c r="AP151">
        <f t="shared" si="66"/>
        <v>75.900000000000006</v>
      </c>
      <c r="AQ151">
        <f t="shared" si="67"/>
        <v>53.300000000000004</v>
      </c>
      <c r="AR151">
        <f t="shared" si="68"/>
        <v>61.4</v>
      </c>
      <c r="AS151" s="2">
        <f t="shared" si="69"/>
        <v>0</v>
      </c>
      <c r="AT151" s="2">
        <f>IFERROR(INDEX(Player_Model!$BC$2:$BC$596,MATCH($A151,Player_Model!$A$2:$A$596,0)),0)</f>
        <v>0</v>
      </c>
      <c r="AU151" s="2">
        <f>Table8[[#This Row],[Model Expected Points]]*Table8[[#This Row],[Fixture Adjustment]]</f>
        <v>0</v>
      </c>
      <c r="AV151" s="2">
        <f>Table8[[#This Row],[Fixture Adjusted Points / 90]]/Table8[[#This Row],[Price]]</f>
        <v>0</v>
      </c>
      <c r="AW151">
        <f t="shared" si="70"/>
        <v>79.5</v>
      </c>
      <c r="AX151">
        <f t="shared" si="71"/>
        <v>0.25</v>
      </c>
      <c r="AY151" s="2">
        <f t="shared" si="72"/>
        <v>0</v>
      </c>
      <c r="AZ151" s="5">
        <f t="shared" si="73"/>
        <v>1.1225346020761244</v>
      </c>
      <c r="BA151">
        <f>Table8[[#This Row],[Model Score2]]</f>
        <v>0</v>
      </c>
      <c r="BB151">
        <f>IFERROR(INDEX(Player_Model!$BG$2:$BG$596,MATCH($A151,Player_Model!$A$2:$A$596,0)),"")</f>
        <v>150</v>
      </c>
      <c r="BC151" t="str">
        <f t="shared" si="74"/>
        <v>AVOID</v>
      </c>
      <c r="BD151">
        <f>IF(H151=1,Table8[[#This Row],[Model Score]],-10000)</f>
        <v>0</v>
      </c>
      <c r="BE151">
        <f>IFERROR(INDEX(Player_Model!$BF$2:$BF$596,MATCH($A151,Player_Model!$A$2:$A$596,0)),"")</f>
        <v>253</v>
      </c>
      <c r="BF151">
        <f>IFERROR(INDEX(Player_Model!$BG$2:$BG$596,MATCH($A151,Player_Model!$A$2:$A$596,0)),"")</f>
        <v>150</v>
      </c>
      <c r="BG151">
        <f>IFERROR(INDEX(Player_Model!$BE$2:$BE$596,MATCH($A151,Player_Model!$A$2:$A$596,0)),0)</f>
        <v>0</v>
      </c>
    </row>
    <row r="152" spans="1:59" x14ac:dyDescent="0.25">
      <c r="A152" t="str">
        <f>tblPlayers[first_name]&amp;" "&amp;tblPlayers[second_name]</f>
        <v>Malick Yalcouyé</v>
      </c>
      <c r="B152" t="str">
        <f>_xlfn.SWITCH(tblPlayers[element_type],1,"GK",2,"DEF",3,"MID",4,"FWD")</f>
        <v>MID</v>
      </c>
      <c r="C152">
        <f>tblPlayers[team]</f>
        <v>5</v>
      </c>
      <c r="D152" t="str">
        <f>INDEX(tblTeams[Column1.short_name],MATCH(C152,tblTeams[Column1.id],0))</f>
        <v>BHA</v>
      </c>
      <c r="E152" s="4">
        <f>INDEX(FPL_Raw_Data!$F:$F,MATCH(A152,FPL_Raw_Data!$AA:$AA,0))/10</f>
        <v>4.5</v>
      </c>
      <c r="F152" s="4" t="str">
        <f>tblPlayers[[#This Row],[status]]</f>
        <v>a</v>
      </c>
      <c r="G152" s="4" t="b">
        <f>tblPlayers[[#This Row],[can_select]]</f>
        <v>1</v>
      </c>
      <c r="H152">
        <f>IF(AND(Table8[[#This Row],[Availability Status]]="a",Table8[[#This Row],[Can Select]]=TRUE),1,0)</f>
        <v>1</v>
      </c>
      <c r="I152">
        <f>tblPlayers[minutes]</f>
        <v>167</v>
      </c>
      <c r="J152" s="2">
        <f>Table8[[#This Row],[Minutes]]/90</f>
        <v>1.8555555555555556</v>
      </c>
      <c r="K152" s="5">
        <f>IFERROR(Z152/(FIXTURE_ANALYSIS!$B$1-1),0)</f>
        <v>0.66666666666666663</v>
      </c>
      <c r="L152">
        <f>tblPlayers[total_points]</f>
        <v>11</v>
      </c>
      <c r="M152">
        <f>tblPlayers[points_per_game]</f>
        <v>3.7</v>
      </c>
      <c r="N152">
        <f>tblPlayers[form]</f>
        <v>3.7</v>
      </c>
      <c r="O152">
        <f>tblPlayers[expected_goals]</f>
        <v>0.75</v>
      </c>
      <c r="P152">
        <f>tblPlayers[expected_assists]</f>
        <v>0.26</v>
      </c>
      <c r="Q152">
        <f>tblPlayers[expected_goal_involvements]</f>
        <v>1.01</v>
      </c>
      <c r="R152" s="2">
        <f t="shared" si="50"/>
        <v>5.9281437125748511</v>
      </c>
      <c r="S152" s="5">
        <f t="shared" si="51"/>
        <v>0.40419161676646703</v>
      </c>
      <c r="T152" s="5">
        <f t="shared" si="52"/>
        <v>0.14011976047904193</v>
      </c>
      <c r="U152" s="5">
        <f t="shared" si="53"/>
        <v>0.54431137724550893</v>
      </c>
      <c r="V152" s="3">
        <f t="shared" si="54"/>
        <v>2.4444444444444446</v>
      </c>
      <c r="W152" s="5">
        <f t="shared" si="55"/>
        <v>0.22444444444444445</v>
      </c>
      <c r="X152" s="5">
        <f>IFERROR(IF(OR($B152="MID",$B152="FWD"),INDEX(FIXTURE_ANALYSIS!$Q:$Q,MATCH($D152,FIXTURE_ANALYSIS!$A:$A,0)),INDEX(FIXTURE_ANALYSIS!$R:$R,MATCH($D152,FIXTURE_ANALYSIS!$A:$A,0))),1)</f>
        <v>1.1225346020761244</v>
      </c>
      <c r="Y152" s="5">
        <f t="shared" si="56"/>
        <v>1.1225346020761244</v>
      </c>
      <c r="Z152" s="8">
        <f>INDEX(FPL_Raw_Data!$T:$T,MATCH(A152,FPL_Raw_Data!$AA:$AA,0))</f>
        <v>2</v>
      </c>
      <c r="AA152" s="8">
        <f>INDEX(FPL_Raw_Data!$S:$S,MATCH(A152,FPL_Raw_Data!$AA:$AA,0))</f>
        <v>12</v>
      </c>
      <c r="AB152" s="2">
        <f t="shared" si="57"/>
        <v>1</v>
      </c>
      <c r="AC152" s="2">
        <f>INDEX(FPL_Raw_Data!$Q:$Q,MATCH(A152,FPL_Raw_Data!$AA:$AA,0))</f>
        <v>1</v>
      </c>
      <c r="AD152" s="8">
        <f>INDEX(FPL_Raw_Data!$R:$R,MATCH(A152,FPL_Raw_Data!$AA:$AA,0))</f>
        <v>58</v>
      </c>
      <c r="AE152" s="8">
        <f>INDEX(FPL_Raw_Data!$N:$N,MATCH(A152,FPL_Raw_Data!$AA:$AA,0))</f>
        <v>0</v>
      </c>
      <c r="AF152" s="8">
        <f>INDEX(FPL_Raw_Data!$L:$L,MATCH(A152,FPL_Raw_Data!$AA:$AA,0))</f>
        <v>1</v>
      </c>
      <c r="AG152" s="2">
        <f>INDEX(FPL_Raw_Data!$M:$M,MATCH(A152,FPL_Raw_Data!$AA:$AA,0))</f>
        <v>0</v>
      </c>
      <c r="AH152" s="2">
        <f t="shared" si="58"/>
        <v>2.0209580838323351</v>
      </c>
      <c r="AI152" s="2">
        <f t="shared" si="59"/>
        <v>0.42035928143712575</v>
      </c>
      <c r="AJ152" s="2">
        <f t="shared" si="60"/>
        <v>1.3333333333333333</v>
      </c>
      <c r="AK152" s="2">
        <f t="shared" si="61"/>
        <v>2</v>
      </c>
      <c r="AL152" s="2">
        <f t="shared" si="62"/>
        <v>0</v>
      </c>
      <c r="AM152" s="2">
        <f t="shared" si="63"/>
        <v>0</v>
      </c>
      <c r="AN152" s="2">
        <f t="shared" si="64"/>
        <v>0.5</v>
      </c>
      <c r="AO152" s="3">
        <f t="shared" si="65"/>
        <v>80.600000000000009</v>
      </c>
      <c r="AP152">
        <f t="shared" si="66"/>
        <v>93</v>
      </c>
      <c r="AQ152">
        <f t="shared" si="67"/>
        <v>91.2</v>
      </c>
      <c r="AR152">
        <f t="shared" si="68"/>
        <v>95.399999999999991</v>
      </c>
      <c r="AS152" s="2">
        <f t="shared" si="69"/>
        <v>66.666666666666657</v>
      </c>
      <c r="AT152" s="2">
        <f>IFERROR(INDEX(Player_Model!$BC$2:$BC$596,MATCH($A152,Player_Model!$A$2:$A$596,0)),0)</f>
        <v>4.9805112635455728</v>
      </c>
      <c r="AU152" s="2">
        <f>Table8[[#This Row],[Model Expected Points]]*Table8[[#This Row],[Fixture Adjustment]]</f>
        <v>5.5907962293597855</v>
      </c>
      <c r="AV152" s="2">
        <f>Table8[[#This Row],[Fixture Adjusted Points / 90]]/Table8[[#This Row],[Price]]</f>
        <v>1.2423991620799524</v>
      </c>
      <c r="AW152">
        <f t="shared" si="70"/>
        <v>86.800000000000011</v>
      </c>
      <c r="AX152">
        <f t="shared" si="71"/>
        <v>1</v>
      </c>
      <c r="AY152" s="2">
        <f t="shared" si="72"/>
        <v>66.666666666666657</v>
      </c>
      <c r="AZ152" s="5">
        <f t="shared" si="73"/>
        <v>1.1225346020761244</v>
      </c>
      <c r="BA152">
        <f>Table8[[#This Row],[Model Score2]]</f>
        <v>4.9805112635455728</v>
      </c>
      <c r="BB152">
        <f>IFERROR(INDEX(Player_Model!$BG$2:$BG$596,MATCH($A152,Player_Model!$A$2:$A$596,0)),"")</f>
        <v>44</v>
      </c>
      <c r="BC152" t="str">
        <f t="shared" si="74"/>
        <v>AVOID</v>
      </c>
      <c r="BD152">
        <f>IF(H152=1,Table8[[#This Row],[Model Score]],-10000)</f>
        <v>4.9805112635455728</v>
      </c>
      <c r="BE152">
        <f>IFERROR(INDEX(Player_Model!$BF$2:$BF$596,MATCH($A152,Player_Model!$A$2:$A$596,0)),"")</f>
        <v>94</v>
      </c>
      <c r="BF152">
        <f>IFERROR(INDEX(Player_Model!$BG$2:$BG$596,MATCH($A152,Player_Model!$A$2:$A$596,0)),"")</f>
        <v>44</v>
      </c>
      <c r="BG152">
        <f>IFERROR(INDEX(Player_Model!$BE$2:$BE$596,MATCH($A152,Player_Model!$A$2:$A$596,0)),0)</f>
        <v>4.9805112635455728</v>
      </c>
    </row>
    <row r="153" spans="1:59" x14ac:dyDescent="0.25">
      <c r="A153" t="str">
        <f>tblPlayers[first_name]&amp;" "&amp;tblPlayers[second_name]</f>
        <v>Jaouen Hadjam</v>
      </c>
      <c r="B153" t="str">
        <f>_xlfn.SWITCH(tblPlayers[element_type],1,"GK",2,"DEF",3,"MID",4,"FWD")</f>
        <v>DEF</v>
      </c>
      <c r="C153">
        <f>tblPlayers[team]</f>
        <v>5</v>
      </c>
      <c r="D153" t="str">
        <f>INDEX(tblTeams[Column1.short_name],MATCH(C153,tblTeams[Column1.id],0))</f>
        <v>BHA</v>
      </c>
      <c r="E153" s="4">
        <f>INDEX(FPL_Raw_Data!$F:$F,MATCH(A153,FPL_Raw_Data!$AA:$AA,0))/10</f>
        <v>4.5</v>
      </c>
      <c r="F153" s="4" t="str">
        <f>tblPlayers[[#This Row],[status]]</f>
        <v>a</v>
      </c>
      <c r="G153" s="4" t="b">
        <f>tblPlayers[[#This Row],[can_select]]</f>
        <v>1</v>
      </c>
      <c r="H153">
        <f>IF(AND(Table8[[#This Row],[Availability Status]]="a",Table8[[#This Row],[Can Select]]=TRUE),1,0)</f>
        <v>1</v>
      </c>
      <c r="I153">
        <f>tblPlayers[minutes]</f>
        <v>0</v>
      </c>
      <c r="J153" s="2">
        <f>Table8[[#This Row],[Minutes]]/90</f>
        <v>0</v>
      </c>
      <c r="K153" s="5">
        <f>IFERROR(Z153/(FIXTURE_ANALYSIS!$B$1-1),0)</f>
        <v>0</v>
      </c>
      <c r="L153">
        <f>tblPlayers[total_points]</f>
        <v>0</v>
      </c>
      <c r="M153">
        <f>tblPlayers[points_per_game]</f>
        <v>0</v>
      </c>
      <c r="N153">
        <f>tblPlayers[form]</f>
        <v>0</v>
      </c>
      <c r="O153">
        <f>tblPlayers[expected_goals]</f>
        <v>0</v>
      </c>
      <c r="P153">
        <f>tblPlayers[expected_assists]</f>
        <v>0</v>
      </c>
      <c r="Q153">
        <f>tblPlayers[expected_goal_involvements]</f>
        <v>0</v>
      </c>
      <c r="R153" s="2">
        <f t="shared" si="50"/>
        <v>0</v>
      </c>
      <c r="S153" s="5">
        <f t="shared" si="51"/>
        <v>0</v>
      </c>
      <c r="T153" s="5">
        <f t="shared" si="52"/>
        <v>0</v>
      </c>
      <c r="U153" s="5">
        <f t="shared" si="53"/>
        <v>0</v>
      </c>
      <c r="V153" s="3">
        <f t="shared" si="54"/>
        <v>0</v>
      </c>
      <c r="W153" s="5">
        <f t="shared" si="55"/>
        <v>0</v>
      </c>
      <c r="X153" s="5">
        <f>IFERROR(IF(OR($B153="MID",$B153="FWD"),INDEX(FIXTURE_ANALYSIS!$Q:$Q,MATCH($D153,FIXTURE_ANALYSIS!$A:$A,0)),INDEX(FIXTURE_ANALYSIS!$R:$R,MATCH($D153,FIXTURE_ANALYSIS!$A:$A,0))),1)</f>
        <v>0.99748538507159212</v>
      </c>
      <c r="Y153" s="5">
        <f t="shared" si="56"/>
        <v>0.99748538507159212</v>
      </c>
      <c r="Z153" s="8">
        <f>INDEX(FPL_Raw_Data!$T:$T,MATCH(A153,FPL_Raw_Data!$AA:$AA,0))</f>
        <v>0</v>
      </c>
      <c r="AA153" s="8">
        <f>INDEX(FPL_Raw_Data!$S:$S,MATCH(A153,FPL_Raw_Data!$AA:$AA,0))</f>
        <v>0</v>
      </c>
      <c r="AB153" s="2">
        <f t="shared" si="57"/>
        <v>0</v>
      </c>
      <c r="AC153" s="2">
        <f>INDEX(FPL_Raw_Data!$Q:$Q,MATCH(A153,FPL_Raw_Data!$AA:$AA,0))</f>
        <v>0</v>
      </c>
      <c r="AD153" s="8">
        <f>INDEX(FPL_Raw_Data!$R:$R,MATCH(A153,FPL_Raw_Data!$AA:$AA,0))</f>
        <v>0</v>
      </c>
      <c r="AE153" s="8">
        <f>INDEX(FPL_Raw_Data!$N:$N,MATCH(A153,FPL_Raw_Data!$AA:$AA,0))</f>
        <v>0</v>
      </c>
      <c r="AF153" s="8">
        <f>INDEX(FPL_Raw_Data!$L:$L,MATCH(A153,FPL_Raw_Data!$AA:$AA,0))</f>
        <v>0</v>
      </c>
      <c r="AG153" s="2">
        <f>INDEX(FPL_Raw_Data!$M:$M,MATCH(A153,FPL_Raw_Data!$AA:$AA,0))</f>
        <v>0</v>
      </c>
      <c r="AH153" s="2">
        <f t="shared" si="58"/>
        <v>0</v>
      </c>
      <c r="AI153" s="2">
        <f t="shared" si="59"/>
        <v>0</v>
      </c>
      <c r="AJ153" s="2">
        <f t="shared" si="60"/>
        <v>0</v>
      </c>
      <c r="AK153" s="2">
        <f t="shared" si="61"/>
        <v>0</v>
      </c>
      <c r="AL153" s="2">
        <f t="shared" si="62"/>
        <v>0</v>
      </c>
      <c r="AM153" s="2">
        <f t="shared" si="63"/>
        <v>0</v>
      </c>
      <c r="AN153" s="2">
        <f t="shared" si="64"/>
        <v>0</v>
      </c>
      <c r="AO153" s="3">
        <f t="shared" si="65"/>
        <v>0.1</v>
      </c>
      <c r="AP153">
        <f t="shared" si="66"/>
        <v>0</v>
      </c>
      <c r="AQ153">
        <f t="shared" si="67"/>
        <v>0.1</v>
      </c>
      <c r="AR153">
        <f t="shared" si="68"/>
        <v>0</v>
      </c>
      <c r="AS153" s="2">
        <f t="shared" si="69"/>
        <v>0</v>
      </c>
      <c r="AT153" s="2">
        <f>IFERROR(INDEX(Player_Model!$BC$2:$BC$596,MATCH($A153,Player_Model!$A$2:$A$596,0)),0)</f>
        <v>-0.83123782089299347</v>
      </c>
      <c r="AU153" s="2">
        <f>Table8[[#This Row],[Model Expected Points]]*Table8[[#This Row],[Fixture Adjustment]]</f>
        <v>-0.82914757785951876</v>
      </c>
      <c r="AV153" s="2">
        <f>Table8[[#This Row],[Fixture Adjusted Points / 90]]/Table8[[#This Row],[Price]]</f>
        <v>-0.18425501730211527</v>
      </c>
      <c r="AW153">
        <f t="shared" si="70"/>
        <v>0</v>
      </c>
      <c r="AX153">
        <f t="shared" si="71"/>
        <v>0.49874269253579606</v>
      </c>
      <c r="AY153" s="2">
        <f t="shared" si="72"/>
        <v>0</v>
      </c>
      <c r="AZ153" s="5">
        <f t="shared" si="73"/>
        <v>0.99748538507159212</v>
      </c>
      <c r="BA153">
        <f>Table8[[#This Row],[Model Score2]]</f>
        <v>-0.83123782089299347</v>
      </c>
      <c r="BB153">
        <f>IFERROR(INDEX(Player_Model!$BG$2:$BG$596,MATCH($A153,Player_Model!$A$2:$A$596,0)),"")</f>
        <v>162</v>
      </c>
      <c r="BC153" t="str">
        <f t="shared" si="74"/>
        <v>AVOID</v>
      </c>
      <c r="BD153">
        <f>IF(H153=1,Table8[[#This Row],[Model Score]],-10000)</f>
        <v>-0.83123782089299347</v>
      </c>
      <c r="BE153">
        <f>IFERROR(INDEX(Player_Model!$BF$2:$BF$596,MATCH($A153,Player_Model!$A$2:$A$596,0)),"")</f>
        <v>560</v>
      </c>
      <c r="BF153">
        <f>IFERROR(INDEX(Player_Model!$BG$2:$BG$596,MATCH($A153,Player_Model!$A$2:$A$596,0)),"")</f>
        <v>162</v>
      </c>
      <c r="BG153">
        <f>IFERROR(INDEX(Player_Model!$BE$2:$BE$596,MATCH($A153,Player_Model!$A$2:$A$596,0)),0)</f>
        <v>-0.83123782089299347</v>
      </c>
    </row>
    <row r="154" spans="1:59" x14ac:dyDescent="0.25">
      <c r="A154" t="str">
        <f>tblPlayers[first_name]&amp;" "&amp;tblPlayers[second_name]</f>
        <v>Amario Cozier-Duberry</v>
      </c>
      <c r="B154" t="str">
        <f>_xlfn.SWITCH(tblPlayers[element_type],1,"GK",2,"DEF",3,"MID",4,"FWD")</f>
        <v>MID</v>
      </c>
      <c r="C154">
        <f>tblPlayers[team]</f>
        <v>5</v>
      </c>
      <c r="D154" t="str">
        <f>INDEX(tblTeams[Column1.short_name],MATCH(C154,tblTeams[Column1.id],0))</f>
        <v>BHA</v>
      </c>
      <c r="E154" s="4">
        <f>INDEX(FPL_Raw_Data!$F:$F,MATCH(A154,FPL_Raw_Data!$AA:$AA,0))/10</f>
        <v>5</v>
      </c>
      <c r="F154" s="4" t="str">
        <f>tblPlayers[[#This Row],[status]]</f>
        <v>u</v>
      </c>
      <c r="G154" s="4" t="b">
        <f>tblPlayers[[#This Row],[can_select]]</f>
        <v>0</v>
      </c>
      <c r="H154">
        <f>IF(AND(Table8[[#This Row],[Availability Status]]="a",Table8[[#This Row],[Can Select]]=TRUE),1,0)</f>
        <v>0</v>
      </c>
      <c r="I154">
        <f>tblPlayers[minutes]</f>
        <v>0</v>
      </c>
      <c r="J154" s="2">
        <f>Table8[[#This Row],[Minutes]]/90</f>
        <v>0</v>
      </c>
      <c r="K154" s="5">
        <f>IFERROR(Z154/(FIXTURE_ANALYSIS!$B$1-1),0)</f>
        <v>0</v>
      </c>
      <c r="L154">
        <f>tblPlayers[total_points]</f>
        <v>0</v>
      </c>
      <c r="M154">
        <f>tblPlayers[points_per_game]</f>
        <v>0</v>
      </c>
      <c r="N154">
        <f>tblPlayers[form]</f>
        <v>0</v>
      </c>
      <c r="O154">
        <f>tblPlayers[expected_goals]</f>
        <v>0</v>
      </c>
      <c r="P154">
        <f>tblPlayers[expected_assists]</f>
        <v>0</v>
      </c>
      <c r="Q154">
        <f>tblPlayers[expected_goal_involvements]</f>
        <v>0</v>
      </c>
      <c r="R154" s="2">
        <f t="shared" si="50"/>
        <v>0</v>
      </c>
      <c r="S154" s="5">
        <f t="shared" si="51"/>
        <v>0</v>
      </c>
      <c r="T154" s="5">
        <f t="shared" si="52"/>
        <v>0</v>
      </c>
      <c r="U154" s="5">
        <f t="shared" si="53"/>
        <v>0</v>
      </c>
      <c r="V154" s="3">
        <f t="shared" si="54"/>
        <v>0</v>
      </c>
      <c r="W154" s="5">
        <f t="shared" si="55"/>
        <v>0</v>
      </c>
      <c r="X154" s="5">
        <f>IFERROR(IF(OR($B154="MID",$B154="FWD"),INDEX(FIXTURE_ANALYSIS!$Q:$Q,MATCH($D154,FIXTURE_ANALYSIS!$A:$A,0)),INDEX(FIXTURE_ANALYSIS!$R:$R,MATCH($D154,FIXTURE_ANALYSIS!$A:$A,0))),1)</f>
        <v>1.1225346020761244</v>
      </c>
      <c r="Y154" s="5">
        <f t="shared" si="56"/>
        <v>1.1225346020761244</v>
      </c>
      <c r="Z154" s="8">
        <f>INDEX(FPL_Raw_Data!$T:$T,MATCH(A154,FPL_Raw_Data!$AA:$AA,0))</f>
        <v>0</v>
      </c>
      <c r="AA154" s="8">
        <f>INDEX(FPL_Raw_Data!$S:$S,MATCH(A154,FPL_Raw_Data!$AA:$AA,0))</f>
        <v>0</v>
      </c>
      <c r="AB154" s="2">
        <f t="shared" si="57"/>
        <v>0</v>
      </c>
      <c r="AC154" s="2">
        <f>INDEX(FPL_Raw_Data!$Q:$Q,MATCH(A154,FPL_Raw_Data!$AA:$AA,0))</f>
        <v>0</v>
      </c>
      <c r="AD154" s="8">
        <f>INDEX(FPL_Raw_Data!$R:$R,MATCH(A154,FPL_Raw_Data!$AA:$AA,0))</f>
        <v>0</v>
      </c>
      <c r="AE154" s="8">
        <f>INDEX(FPL_Raw_Data!$N:$N,MATCH(A154,FPL_Raw_Data!$AA:$AA,0))</f>
        <v>0</v>
      </c>
      <c r="AF154" s="8">
        <f>INDEX(FPL_Raw_Data!$L:$L,MATCH(A154,FPL_Raw_Data!$AA:$AA,0))</f>
        <v>0</v>
      </c>
      <c r="AG154" s="2">
        <f>INDEX(FPL_Raw_Data!$M:$M,MATCH(A154,FPL_Raw_Data!$AA:$AA,0))</f>
        <v>0</v>
      </c>
      <c r="AH154" s="2">
        <f t="shared" si="58"/>
        <v>0</v>
      </c>
      <c r="AI154" s="2">
        <f t="shared" si="59"/>
        <v>0</v>
      </c>
      <c r="AJ154" s="2">
        <f t="shared" si="60"/>
        <v>0</v>
      </c>
      <c r="AK154" s="2">
        <f t="shared" si="61"/>
        <v>0</v>
      </c>
      <c r="AL154" s="2">
        <f t="shared" si="62"/>
        <v>0</v>
      </c>
      <c r="AM154" s="2">
        <f t="shared" si="63"/>
        <v>0</v>
      </c>
      <c r="AN154" s="2">
        <f t="shared" si="64"/>
        <v>0</v>
      </c>
      <c r="AO154" s="3">
        <f t="shared" si="65"/>
        <v>0.1</v>
      </c>
      <c r="AP154">
        <f t="shared" si="66"/>
        <v>0</v>
      </c>
      <c r="AQ154">
        <f t="shared" si="67"/>
        <v>0.1</v>
      </c>
      <c r="AR154">
        <f t="shared" si="68"/>
        <v>0</v>
      </c>
      <c r="AS154" s="2">
        <f t="shared" si="69"/>
        <v>0</v>
      </c>
      <c r="AT154" s="2">
        <f>IFERROR(INDEX(Player_Model!$BC$2:$BC$596,MATCH($A154,Player_Model!$A$2:$A$596,0)),0)</f>
        <v>0</v>
      </c>
      <c r="AU154" s="2">
        <f>Table8[[#This Row],[Model Expected Points]]*Table8[[#This Row],[Fixture Adjustment]]</f>
        <v>0</v>
      </c>
      <c r="AV154" s="2">
        <f>Table8[[#This Row],[Fixture Adjusted Points / 90]]/Table8[[#This Row],[Price]]</f>
        <v>0</v>
      </c>
      <c r="AW154">
        <f t="shared" si="70"/>
        <v>0.05</v>
      </c>
      <c r="AX154">
        <f t="shared" si="71"/>
        <v>0</v>
      </c>
      <c r="AY154" s="2">
        <f t="shared" si="72"/>
        <v>0</v>
      </c>
      <c r="AZ154" s="5">
        <f t="shared" si="73"/>
        <v>1.1225346020761244</v>
      </c>
      <c r="BA154">
        <f>Table8[[#This Row],[Model Score2]]</f>
        <v>0</v>
      </c>
      <c r="BB154">
        <f>IFERROR(INDEX(Player_Model!$BG$2:$BG$596,MATCH($A154,Player_Model!$A$2:$A$596,0)),"")</f>
        <v>151</v>
      </c>
      <c r="BC154" t="str">
        <f t="shared" si="74"/>
        <v>AVOID</v>
      </c>
      <c r="BD154">
        <f>IF(H154=1,Table8[[#This Row],[Model Score]],-10000)</f>
        <v>-10000</v>
      </c>
      <c r="BE154">
        <f>IFERROR(INDEX(Player_Model!$BF$2:$BF$596,MATCH($A154,Player_Model!$A$2:$A$596,0)),"")</f>
        <v>253</v>
      </c>
      <c r="BF154">
        <f>IFERROR(INDEX(Player_Model!$BG$2:$BG$596,MATCH($A154,Player_Model!$A$2:$A$596,0)),"")</f>
        <v>151</v>
      </c>
      <c r="BG154">
        <f>IFERROR(INDEX(Player_Model!$BE$2:$BE$596,MATCH($A154,Player_Model!$A$2:$A$596,0)),0)</f>
        <v>0</v>
      </c>
    </row>
    <row r="155" spans="1:59" x14ac:dyDescent="0.25">
      <c r="A155" t="str">
        <f>tblPlayers[first_name]&amp;" "&amp;tblPlayers[second_name]</f>
        <v>José María Andrés Baixauli</v>
      </c>
      <c r="B155" t="str">
        <f>_xlfn.SWITCH(tblPlayers[element_type],1,"GK",2,"DEF",3,"MID",4,"FWD")</f>
        <v>MID</v>
      </c>
      <c r="C155">
        <f>tblPlayers[team]</f>
        <v>5</v>
      </c>
      <c r="D155" t="str">
        <f>INDEX(tblTeams[Column1.short_name],MATCH(C155,tblTeams[Column1.id],0))</f>
        <v>BHA</v>
      </c>
      <c r="E155" s="4">
        <f>INDEX(FPL_Raw_Data!$F:$F,MATCH(A155,FPL_Raw_Data!$AA:$AA,0))/10</f>
        <v>5.5</v>
      </c>
      <c r="F155" s="4" t="str">
        <f>tblPlayers[[#This Row],[status]]</f>
        <v>a</v>
      </c>
      <c r="G155" s="4" t="b">
        <f>tblPlayers[[#This Row],[can_select]]</f>
        <v>1</v>
      </c>
      <c r="H155">
        <f>IF(AND(Table8[[#This Row],[Availability Status]]="a",Table8[[#This Row],[Can Select]]=TRUE),1,0)</f>
        <v>1</v>
      </c>
      <c r="I155">
        <f>tblPlayers[minutes]</f>
        <v>0</v>
      </c>
      <c r="J155" s="2">
        <f>Table8[[#This Row],[Minutes]]/90</f>
        <v>0</v>
      </c>
      <c r="K155" s="5">
        <f>IFERROR(Z155/(FIXTURE_ANALYSIS!$B$1-1),0)</f>
        <v>0</v>
      </c>
      <c r="L155">
        <f>tblPlayers[total_points]</f>
        <v>0</v>
      </c>
      <c r="M155">
        <f>tblPlayers[points_per_game]</f>
        <v>0</v>
      </c>
      <c r="N155">
        <f>tblPlayers[form]</f>
        <v>0</v>
      </c>
      <c r="O155">
        <f>tblPlayers[expected_goals]</f>
        <v>0</v>
      </c>
      <c r="P155">
        <f>tblPlayers[expected_assists]</f>
        <v>0</v>
      </c>
      <c r="Q155">
        <f>tblPlayers[expected_goal_involvements]</f>
        <v>0</v>
      </c>
      <c r="R155" s="2">
        <f t="shared" si="50"/>
        <v>0</v>
      </c>
      <c r="S155" s="5">
        <f t="shared" si="51"/>
        <v>0</v>
      </c>
      <c r="T155" s="5">
        <f t="shared" si="52"/>
        <v>0</v>
      </c>
      <c r="U155" s="5">
        <f t="shared" si="53"/>
        <v>0</v>
      </c>
      <c r="V155" s="3">
        <f t="shared" si="54"/>
        <v>0</v>
      </c>
      <c r="W155" s="5">
        <f t="shared" si="55"/>
        <v>0</v>
      </c>
      <c r="X155" s="5">
        <f>IFERROR(IF(OR($B155="MID",$B155="FWD"),INDEX(FIXTURE_ANALYSIS!$Q:$Q,MATCH($D155,FIXTURE_ANALYSIS!$A:$A,0)),INDEX(FIXTURE_ANALYSIS!$R:$R,MATCH($D155,FIXTURE_ANALYSIS!$A:$A,0))),1)</f>
        <v>1.1225346020761244</v>
      </c>
      <c r="Y155" s="5">
        <f t="shared" si="56"/>
        <v>1.1225346020761244</v>
      </c>
      <c r="Z155" s="8">
        <f>INDEX(FPL_Raw_Data!$T:$T,MATCH(A155,FPL_Raw_Data!$AA:$AA,0))</f>
        <v>0</v>
      </c>
      <c r="AA155" s="8">
        <f>INDEX(FPL_Raw_Data!$S:$S,MATCH(A155,FPL_Raw_Data!$AA:$AA,0))</f>
        <v>0</v>
      </c>
      <c r="AB155" s="2">
        <f t="shared" si="57"/>
        <v>0</v>
      </c>
      <c r="AC155" s="2">
        <f>INDEX(FPL_Raw_Data!$Q:$Q,MATCH(A155,FPL_Raw_Data!$AA:$AA,0))</f>
        <v>0</v>
      </c>
      <c r="AD155" s="8">
        <f>INDEX(FPL_Raw_Data!$R:$R,MATCH(A155,FPL_Raw_Data!$AA:$AA,0))</f>
        <v>0</v>
      </c>
      <c r="AE155" s="8">
        <f>INDEX(FPL_Raw_Data!$N:$N,MATCH(A155,FPL_Raw_Data!$AA:$AA,0))</f>
        <v>0</v>
      </c>
      <c r="AF155" s="8">
        <f>INDEX(FPL_Raw_Data!$L:$L,MATCH(A155,FPL_Raw_Data!$AA:$AA,0))</f>
        <v>0</v>
      </c>
      <c r="AG155" s="2">
        <f>INDEX(FPL_Raw_Data!$M:$M,MATCH(A155,FPL_Raw_Data!$AA:$AA,0))</f>
        <v>0</v>
      </c>
      <c r="AH155" s="2">
        <f t="shared" si="58"/>
        <v>0</v>
      </c>
      <c r="AI155" s="2">
        <f t="shared" si="59"/>
        <v>0</v>
      </c>
      <c r="AJ155" s="2">
        <f t="shared" si="60"/>
        <v>0</v>
      </c>
      <c r="AK155" s="2">
        <f t="shared" si="61"/>
        <v>0</v>
      </c>
      <c r="AL155" s="2">
        <f t="shared" si="62"/>
        <v>0</v>
      </c>
      <c r="AM155" s="2">
        <f t="shared" si="63"/>
        <v>0</v>
      </c>
      <c r="AN155" s="2">
        <f t="shared" si="64"/>
        <v>0</v>
      </c>
      <c r="AO155" s="3">
        <f t="shared" si="65"/>
        <v>0.1</v>
      </c>
      <c r="AP155">
        <f t="shared" si="66"/>
        <v>0</v>
      </c>
      <c r="AQ155">
        <f t="shared" si="67"/>
        <v>0.1</v>
      </c>
      <c r="AR155">
        <f t="shared" si="68"/>
        <v>0</v>
      </c>
      <c r="AS155" s="2">
        <f t="shared" si="69"/>
        <v>0</v>
      </c>
      <c r="AT155" s="2">
        <f>IFERROR(INDEX(Player_Model!$BC$2:$BC$596,MATCH($A155,Player_Model!$A$2:$A$596,0)),0)</f>
        <v>0</v>
      </c>
      <c r="AU155" s="2">
        <f>Table8[[#This Row],[Model Expected Points]]*Table8[[#This Row],[Fixture Adjustment]]</f>
        <v>0</v>
      </c>
      <c r="AV155" s="2">
        <f>Table8[[#This Row],[Fixture Adjusted Points / 90]]/Table8[[#This Row],[Price]]</f>
        <v>0</v>
      </c>
      <c r="AW155">
        <f t="shared" si="70"/>
        <v>0.05</v>
      </c>
      <c r="AX155">
        <f t="shared" si="71"/>
        <v>0</v>
      </c>
      <c r="AY155" s="2">
        <f t="shared" si="72"/>
        <v>0</v>
      </c>
      <c r="AZ155" s="5">
        <f t="shared" si="73"/>
        <v>1.1225346020761244</v>
      </c>
      <c r="BA155">
        <f>Table8[[#This Row],[Model Score2]]</f>
        <v>0</v>
      </c>
      <c r="BB155">
        <f>IFERROR(INDEX(Player_Model!$BG$2:$BG$596,MATCH($A155,Player_Model!$A$2:$A$596,0)),"")</f>
        <v>152</v>
      </c>
      <c r="BC155" t="str">
        <f t="shared" si="74"/>
        <v>AVOID</v>
      </c>
      <c r="BD155">
        <f>IF(H155=1,Table8[[#This Row],[Model Score]],-10000)</f>
        <v>0</v>
      </c>
      <c r="BE155">
        <f>IFERROR(INDEX(Player_Model!$BF$2:$BF$596,MATCH($A155,Player_Model!$A$2:$A$596,0)),"")</f>
        <v>253</v>
      </c>
      <c r="BF155">
        <f>IFERROR(INDEX(Player_Model!$BG$2:$BG$596,MATCH($A155,Player_Model!$A$2:$A$596,0)),"")</f>
        <v>152</v>
      </c>
      <c r="BG155">
        <f>IFERROR(INDEX(Player_Model!$BE$2:$BE$596,MATCH($A155,Player_Model!$A$2:$A$596,0)),0)</f>
        <v>0</v>
      </c>
    </row>
    <row r="156" spans="1:59" x14ac:dyDescent="0.25">
      <c r="A156" t="str">
        <f>tblPlayers[first_name]&amp;" "&amp;tblPlayers[second_name]</f>
        <v>Femi Azeez</v>
      </c>
      <c r="B156" t="str">
        <f>_xlfn.SWITCH(tblPlayers[element_type],1,"GK",2,"DEF",3,"MID",4,"FWD")</f>
        <v>MID</v>
      </c>
      <c r="C156">
        <f>tblPlayers[team]</f>
        <v>5</v>
      </c>
      <c r="D156" t="str">
        <f>INDEX(tblTeams[Column1.short_name],MATCH(C156,tblTeams[Column1.id],0))</f>
        <v>BHA</v>
      </c>
      <c r="E156" s="4">
        <f>INDEX(FPL_Raw_Data!$F:$F,MATCH(A156,FPL_Raw_Data!$AA:$AA,0))/10</f>
        <v>5.5</v>
      </c>
      <c r="F156" s="4" t="str">
        <f>tblPlayers[[#This Row],[status]]</f>
        <v>i</v>
      </c>
      <c r="G156" s="4" t="b">
        <f>tblPlayers[[#This Row],[can_select]]</f>
        <v>1</v>
      </c>
      <c r="H156">
        <f>IF(AND(Table8[[#This Row],[Availability Status]]="a",Table8[[#This Row],[Can Select]]=TRUE),1,0)</f>
        <v>0</v>
      </c>
      <c r="I156">
        <f>tblPlayers[minutes]</f>
        <v>0</v>
      </c>
      <c r="J156" s="2">
        <f>Table8[[#This Row],[Minutes]]/90</f>
        <v>0</v>
      </c>
      <c r="K156" s="5">
        <f>IFERROR(Z156/(FIXTURE_ANALYSIS!$B$1-1),0)</f>
        <v>0</v>
      </c>
      <c r="L156">
        <f>tblPlayers[total_points]</f>
        <v>0</v>
      </c>
      <c r="M156">
        <f>tblPlayers[points_per_game]</f>
        <v>0</v>
      </c>
      <c r="N156">
        <f>tblPlayers[form]</f>
        <v>0</v>
      </c>
      <c r="O156">
        <f>tblPlayers[expected_goals]</f>
        <v>0</v>
      </c>
      <c r="P156">
        <f>tblPlayers[expected_assists]</f>
        <v>0</v>
      </c>
      <c r="Q156">
        <f>tblPlayers[expected_goal_involvements]</f>
        <v>0</v>
      </c>
      <c r="R156" s="2">
        <f t="shared" si="50"/>
        <v>0</v>
      </c>
      <c r="S156" s="5">
        <f t="shared" si="51"/>
        <v>0</v>
      </c>
      <c r="T156" s="5">
        <f t="shared" si="52"/>
        <v>0</v>
      </c>
      <c r="U156" s="5">
        <f t="shared" si="53"/>
        <v>0</v>
      </c>
      <c r="V156" s="3">
        <f t="shared" si="54"/>
        <v>0</v>
      </c>
      <c r="W156" s="5">
        <f t="shared" si="55"/>
        <v>0</v>
      </c>
      <c r="X156" s="5">
        <f>IFERROR(IF(OR($B156="MID",$B156="FWD"),INDEX(FIXTURE_ANALYSIS!$Q:$Q,MATCH($D156,FIXTURE_ANALYSIS!$A:$A,0)),INDEX(FIXTURE_ANALYSIS!$R:$R,MATCH($D156,FIXTURE_ANALYSIS!$A:$A,0))),1)</f>
        <v>1.1225346020761244</v>
      </c>
      <c r="Y156" s="5">
        <f t="shared" si="56"/>
        <v>1.1225346020761244</v>
      </c>
      <c r="Z156" s="8">
        <f>INDEX(FPL_Raw_Data!$T:$T,MATCH(A156,FPL_Raw_Data!$AA:$AA,0))</f>
        <v>0</v>
      </c>
      <c r="AA156" s="8">
        <f>INDEX(FPL_Raw_Data!$S:$S,MATCH(A156,FPL_Raw_Data!$AA:$AA,0))</f>
        <v>0</v>
      </c>
      <c r="AB156" s="2">
        <f t="shared" si="57"/>
        <v>0</v>
      </c>
      <c r="AC156" s="2">
        <f>INDEX(FPL_Raw_Data!$Q:$Q,MATCH(A156,FPL_Raw_Data!$AA:$AA,0))</f>
        <v>0</v>
      </c>
      <c r="AD156" s="8">
        <f>INDEX(FPL_Raw_Data!$R:$R,MATCH(A156,FPL_Raw_Data!$AA:$AA,0))</f>
        <v>0</v>
      </c>
      <c r="AE156" s="8">
        <f>INDEX(FPL_Raw_Data!$N:$N,MATCH(A156,FPL_Raw_Data!$AA:$AA,0))</f>
        <v>0</v>
      </c>
      <c r="AF156" s="8">
        <f>INDEX(FPL_Raw_Data!$L:$L,MATCH(A156,FPL_Raw_Data!$AA:$AA,0))</f>
        <v>0</v>
      </c>
      <c r="AG156" s="2">
        <f>INDEX(FPL_Raw_Data!$M:$M,MATCH(A156,FPL_Raw_Data!$AA:$AA,0))</f>
        <v>0</v>
      </c>
      <c r="AH156" s="2">
        <f t="shared" si="58"/>
        <v>0</v>
      </c>
      <c r="AI156" s="2">
        <f t="shared" si="59"/>
        <v>0</v>
      </c>
      <c r="AJ156" s="2">
        <f t="shared" si="60"/>
        <v>0</v>
      </c>
      <c r="AK156" s="2">
        <f t="shared" si="61"/>
        <v>0</v>
      </c>
      <c r="AL156" s="2">
        <f t="shared" si="62"/>
        <v>0</v>
      </c>
      <c r="AM156" s="2">
        <f t="shared" si="63"/>
        <v>0</v>
      </c>
      <c r="AN156" s="2">
        <f t="shared" si="64"/>
        <v>0</v>
      </c>
      <c r="AO156" s="3">
        <f t="shared" si="65"/>
        <v>0.1</v>
      </c>
      <c r="AP156">
        <f t="shared" si="66"/>
        <v>0</v>
      </c>
      <c r="AQ156">
        <f t="shared" si="67"/>
        <v>0.1</v>
      </c>
      <c r="AR156">
        <f t="shared" si="68"/>
        <v>0</v>
      </c>
      <c r="AS156" s="2">
        <f t="shared" si="69"/>
        <v>0</v>
      </c>
      <c r="AT156" s="2">
        <f>IFERROR(INDEX(Player_Model!$BC$2:$BC$596,MATCH($A156,Player_Model!$A$2:$A$596,0)),0)</f>
        <v>0</v>
      </c>
      <c r="AU156" s="2">
        <f>Table8[[#This Row],[Model Expected Points]]*Table8[[#This Row],[Fixture Adjustment]]</f>
        <v>0</v>
      </c>
      <c r="AV156" s="2">
        <f>Table8[[#This Row],[Fixture Adjusted Points / 90]]/Table8[[#This Row],[Price]]</f>
        <v>0</v>
      </c>
      <c r="AW156">
        <f t="shared" si="70"/>
        <v>0.05</v>
      </c>
      <c r="AX156">
        <f t="shared" si="71"/>
        <v>0</v>
      </c>
      <c r="AY156" s="2">
        <f t="shared" si="72"/>
        <v>0</v>
      </c>
      <c r="AZ156" s="5">
        <f t="shared" si="73"/>
        <v>1.1225346020761244</v>
      </c>
      <c r="BA156">
        <f>Table8[[#This Row],[Model Score2]]</f>
        <v>0</v>
      </c>
      <c r="BB156">
        <f>IFERROR(INDEX(Player_Model!$BG$2:$BG$596,MATCH($A156,Player_Model!$A$2:$A$596,0)),"")</f>
        <v>153</v>
      </c>
      <c r="BC156" t="str">
        <f t="shared" si="74"/>
        <v>AVOID</v>
      </c>
      <c r="BD156">
        <f>IF(H156=1,Table8[[#This Row],[Model Score]],-10000)</f>
        <v>-10000</v>
      </c>
      <c r="BE156">
        <f>IFERROR(INDEX(Player_Model!$BF$2:$BF$596,MATCH($A156,Player_Model!$A$2:$A$596,0)),"")</f>
        <v>253</v>
      </c>
      <c r="BF156">
        <f>IFERROR(INDEX(Player_Model!$BG$2:$BG$596,MATCH($A156,Player_Model!$A$2:$A$596,0)),"")</f>
        <v>153</v>
      </c>
      <c r="BG156">
        <f>IFERROR(INDEX(Player_Model!$BE$2:$BE$596,MATCH($A156,Player_Model!$A$2:$A$596,0)),0)</f>
        <v>0</v>
      </c>
    </row>
    <row r="157" spans="1:59" x14ac:dyDescent="0.25">
      <c r="A157" t="str">
        <f>tblPlayers[first_name]&amp;" "&amp;tblPlayers[second_name]</f>
        <v>Emiliano Martínez Romero</v>
      </c>
      <c r="B157" t="str">
        <f>_xlfn.SWITCH(tblPlayers[element_type],1,"GK",2,"DEF",3,"MID",4,"FWD")</f>
        <v>GK</v>
      </c>
      <c r="C157">
        <f>tblPlayers[team]</f>
        <v>6</v>
      </c>
      <c r="D157" t="str">
        <f>INDEX(tblTeams[Column1.short_name],MATCH(C157,tblTeams[Column1.id],0))</f>
        <v>CHE</v>
      </c>
      <c r="E157" s="4">
        <f>INDEX(FPL_Raw_Data!$F:$F,MATCH(A157,FPL_Raw_Data!$AA:$AA,0))/10</f>
        <v>5</v>
      </c>
      <c r="F157" s="4" t="str">
        <f>tblPlayers[[#This Row],[status]]</f>
        <v>a</v>
      </c>
      <c r="G157" s="4" t="b">
        <f>tblPlayers[[#This Row],[can_select]]</f>
        <v>1</v>
      </c>
      <c r="H157">
        <f>IF(AND(Table8[[#This Row],[Availability Status]]="a",Table8[[#This Row],[Can Select]]=TRUE),1,0)</f>
        <v>1</v>
      </c>
      <c r="I157">
        <f>tblPlayers[minutes]</f>
        <v>180</v>
      </c>
      <c r="J157" s="2">
        <f>Table8[[#This Row],[Minutes]]/90</f>
        <v>2</v>
      </c>
      <c r="K157" s="5">
        <f>IFERROR(Z157/(FIXTURE_ANALYSIS!$B$1-1),0)</f>
        <v>0.66666666666666663</v>
      </c>
      <c r="L157">
        <f>tblPlayers[total_points]</f>
        <v>5</v>
      </c>
      <c r="M157">
        <f>tblPlayers[points_per_game]</f>
        <v>2.5</v>
      </c>
      <c r="N157">
        <f>tblPlayers[form]</f>
        <v>1.7</v>
      </c>
      <c r="O157">
        <f>tblPlayers[expected_goals]</f>
        <v>0</v>
      </c>
      <c r="P157">
        <f>tblPlayers[expected_assists]</f>
        <v>0.01</v>
      </c>
      <c r="Q157">
        <f>tblPlayers[expected_goal_involvements]</f>
        <v>0.01</v>
      </c>
      <c r="R157" s="2">
        <f t="shared" si="50"/>
        <v>2.5</v>
      </c>
      <c r="S157" s="5">
        <f t="shared" si="51"/>
        <v>0</v>
      </c>
      <c r="T157" s="5">
        <f t="shared" si="52"/>
        <v>5.0000000000000001E-3</v>
      </c>
      <c r="U157" s="5">
        <f t="shared" si="53"/>
        <v>5.0000000000000001E-3</v>
      </c>
      <c r="V157" s="3">
        <f t="shared" si="54"/>
        <v>1</v>
      </c>
      <c r="W157" s="5">
        <f t="shared" si="55"/>
        <v>2E-3</v>
      </c>
      <c r="X157" s="5">
        <f>IFERROR(IF(OR($B157="MID",$B157="FWD"),INDEX(FIXTURE_ANALYSIS!$Q:$Q,MATCH($D157,FIXTURE_ANALYSIS!$A:$A,0)),INDEX(FIXTURE_ANALYSIS!$R:$R,MATCH($D157,FIXTURE_ANALYSIS!$A:$A,0))),1)</f>
        <v>0.86574712643678164</v>
      </c>
      <c r="Y157" s="5">
        <f t="shared" si="56"/>
        <v>0.86574712643678164</v>
      </c>
      <c r="Z157" s="8">
        <f>INDEX(FPL_Raw_Data!$T:$T,MATCH(A157,FPL_Raw_Data!$AA:$AA,0))</f>
        <v>2</v>
      </c>
      <c r="AA157" s="8">
        <f>INDEX(FPL_Raw_Data!$S:$S,MATCH(A157,FPL_Raw_Data!$AA:$AA,0))</f>
        <v>0</v>
      </c>
      <c r="AB157" s="2">
        <f t="shared" si="57"/>
        <v>0</v>
      </c>
      <c r="AC157" s="2">
        <f>INDEX(FPL_Raw_Data!$Q:$Q,MATCH(A157,FPL_Raw_Data!$AA:$AA,0))</f>
        <v>0</v>
      </c>
      <c r="AD157" s="8">
        <f>INDEX(FPL_Raw_Data!$R:$R,MATCH(A157,FPL_Raw_Data!$AA:$AA,0))</f>
        <v>44</v>
      </c>
      <c r="AE157" s="8">
        <f>INDEX(FPL_Raw_Data!$N:$N,MATCH(A157,FPL_Raw_Data!$AA:$AA,0))</f>
        <v>0</v>
      </c>
      <c r="AF157" s="8">
        <f>INDEX(FPL_Raw_Data!$L:$L,MATCH(A157,FPL_Raw_Data!$AA:$AA,0))</f>
        <v>0</v>
      </c>
      <c r="AG157" s="2">
        <f>INDEX(FPL_Raw_Data!$M:$M,MATCH(A157,FPL_Raw_Data!$AA:$AA,0))</f>
        <v>0</v>
      </c>
      <c r="AH157" s="2">
        <f t="shared" si="58"/>
        <v>0</v>
      </c>
      <c r="AI157" s="2">
        <f t="shared" si="59"/>
        <v>1.4999999999999999E-2</v>
      </c>
      <c r="AJ157" s="2">
        <f t="shared" si="60"/>
        <v>1.3333333333333333</v>
      </c>
      <c r="AK157" s="2">
        <f t="shared" si="61"/>
        <v>0</v>
      </c>
      <c r="AL157" s="2">
        <f t="shared" si="62"/>
        <v>0</v>
      </c>
      <c r="AM157" s="2">
        <f t="shared" si="63"/>
        <v>0</v>
      </c>
      <c r="AN157" s="2">
        <f t="shared" si="64"/>
        <v>0</v>
      </c>
      <c r="AO157" s="3">
        <f t="shared" si="65"/>
        <v>52.800000000000004</v>
      </c>
      <c r="AP157">
        <f t="shared" si="66"/>
        <v>51.6</v>
      </c>
      <c r="AQ157">
        <f t="shared" si="67"/>
        <v>68.600000000000009</v>
      </c>
      <c r="AR157">
        <f t="shared" si="68"/>
        <v>51.5</v>
      </c>
      <c r="AS157" s="2">
        <f t="shared" si="69"/>
        <v>66.666666666666657</v>
      </c>
      <c r="AT157" s="2">
        <f>IFERROR(INDEX(Player_Model!$BC$2:$BC$596,MATCH($A157,Player_Model!$A$2:$A$596,0)),0)</f>
        <v>3.4723370754258496</v>
      </c>
      <c r="AU157" s="2">
        <f>Table8[[#This Row],[Model Expected Points]]*Table8[[#This Row],[Fixture Adjustment]]</f>
        <v>3.0061658450698276</v>
      </c>
      <c r="AV157" s="2">
        <f>Table8[[#This Row],[Fixture Adjusted Points / 90]]/Table8[[#This Row],[Price]]</f>
        <v>0.60123316901396551</v>
      </c>
      <c r="AW157">
        <f t="shared" si="70"/>
        <v>0</v>
      </c>
      <c r="AX157">
        <f t="shared" si="71"/>
        <v>33.766206896551722</v>
      </c>
      <c r="AY157" s="2">
        <f t="shared" si="72"/>
        <v>66.666666666666657</v>
      </c>
      <c r="AZ157" s="5">
        <f t="shared" si="73"/>
        <v>0.86574712643678164</v>
      </c>
      <c r="BA157">
        <f>Table8[[#This Row],[Model Score2]]</f>
        <v>3.4723370754258496</v>
      </c>
      <c r="BB157">
        <f>IFERROR(INDEX(Player_Model!$BG$2:$BG$596,MATCH($A157,Player_Model!$A$2:$A$596,0)),"")</f>
        <v>13</v>
      </c>
      <c r="BC157" t="str">
        <f t="shared" si="74"/>
        <v>AVOID</v>
      </c>
      <c r="BD157">
        <f>IF(H157=1,Table8[[#This Row],[Model Score]],-10000)</f>
        <v>3.4723370754258496</v>
      </c>
      <c r="BE157">
        <f>IFERROR(INDEX(Player_Model!$BF$2:$BF$596,MATCH($A157,Player_Model!$A$2:$A$596,0)),"")</f>
        <v>178</v>
      </c>
      <c r="BF157">
        <f>IFERROR(INDEX(Player_Model!$BG$2:$BG$596,MATCH($A157,Player_Model!$A$2:$A$596,0)),"")</f>
        <v>13</v>
      </c>
      <c r="BG157">
        <f>IFERROR(INDEX(Player_Model!$BE$2:$BE$596,MATCH($A157,Player_Model!$A$2:$A$596,0)),0)</f>
        <v>3.4723370754258496</v>
      </c>
    </row>
    <row r="158" spans="1:59" x14ac:dyDescent="0.25">
      <c r="A158" t="str">
        <f>tblPlayers[first_name]&amp;" "&amp;tblPlayers[second_name]</f>
        <v>Morgan Rogers</v>
      </c>
      <c r="B158" t="str">
        <f>_xlfn.SWITCH(tblPlayers[element_type],1,"GK",2,"DEF",3,"MID",4,"FWD")</f>
        <v>MID</v>
      </c>
      <c r="C158">
        <f>tblPlayers[team]</f>
        <v>6</v>
      </c>
      <c r="D158" t="str">
        <f>INDEX(tblTeams[Column1.short_name],MATCH(C158,tblTeams[Column1.id],0))</f>
        <v>CHE</v>
      </c>
      <c r="E158" s="4">
        <f>INDEX(FPL_Raw_Data!$F:$F,MATCH(A158,FPL_Raw_Data!$AA:$AA,0))/10</f>
        <v>7.6</v>
      </c>
      <c r="F158" s="4" t="str">
        <f>tblPlayers[[#This Row],[status]]</f>
        <v>a</v>
      </c>
      <c r="G158" s="4" t="b">
        <f>tblPlayers[[#This Row],[can_select]]</f>
        <v>1</v>
      </c>
      <c r="H158">
        <f>IF(AND(Table8[[#This Row],[Availability Status]]="a",Table8[[#This Row],[Can Select]]=TRUE),1,0)</f>
        <v>1</v>
      </c>
      <c r="I158">
        <f>tblPlayers[minutes]</f>
        <v>257</v>
      </c>
      <c r="J158" s="2">
        <f>Table8[[#This Row],[Minutes]]/90</f>
        <v>2.8555555555555556</v>
      </c>
      <c r="K158" s="5">
        <f>IFERROR(Z158/(FIXTURE_ANALYSIS!$B$1-1),0)</f>
        <v>1</v>
      </c>
      <c r="L158">
        <f>tblPlayers[total_points]</f>
        <v>19</v>
      </c>
      <c r="M158">
        <f>tblPlayers[points_per_game]</f>
        <v>6.3</v>
      </c>
      <c r="N158">
        <f>tblPlayers[form]</f>
        <v>6.3</v>
      </c>
      <c r="O158">
        <f>tblPlayers[expected_goals]</f>
        <v>1.18</v>
      </c>
      <c r="P158">
        <f>tblPlayers[expected_assists]</f>
        <v>1.1399999999999999</v>
      </c>
      <c r="Q158">
        <f>tblPlayers[expected_goal_involvements]</f>
        <v>2.3199999999999998</v>
      </c>
      <c r="R158" s="2">
        <f t="shared" si="50"/>
        <v>6.6536964980544751</v>
      </c>
      <c r="S158" s="5">
        <f t="shared" si="51"/>
        <v>0.41322957198443577</v>
      </c>
      <c r="T158" s="5">
        <f t="shared" si="52"/>
        <v>0.3992217898832684</v>
      </c>
      <c r="U158" s="5">
        <f t="shared" si="53"/>
        <v>0.81245136186770428</v>
      </c>
      <c r="V158" s="3">
        <f t="shared" si="54"/>
        <v>2.5</v>
      </c>
      <c r="W158" s="5">
        <f t="shared" si="55"/>
        <v>0.30526315789473685</v>
      </c>
      <c r="X158" s="5">
        <f>IFERROR(IF(OR($B158="MID",$B158="FWD"),INDEX(FIXTURE_ANALYSIS!$Q:$Q,MATCH($D158,FIXTURE_ANALYSIS!$A:$A,0)),INDEX(FIXTURE_ANALYSIS!$R:$R,MATCH($D158,FIXTURE_ANALYSIS!$A:$A,0))),1)</f>
        <v>1.0449221453287199</v>
      </c>
      <c r="Y158" s="5">
        <f t="shared" si="56"/>
        <v>1.0449221453287199</v>
      </c>
      <c r="Z158" s="8">
        <f>INDEX(FPL_Raw_Data!$T:$T,MATCH(A158,FPL_Raw_Data!$AA:$AA,0))</f>
        <v>3</v>
      </c>
      <c r="AA158" s="8">
        <f>INDEX(FPL_Raw_Data!$S:$S,MATCH(A158,FPL_Raw_Data!$AA:$AA,0))</f>
        <v>17</v>
      </c>
      <c r="AB158" s="2">
        <f t="shared" si="57"/>
        <v>1</v>
      </c>
      <c r="AC158" s="2">
        <f>INDEX(FPL_Raw_Data!$Q:$Q,MATCH(A158,FPL_Raw_Data!$AA:$AA,0))</f>
        <v>1</v>
      </c>
      <c r="AD158" s="8">
        <f>INDEX(FPL_Raw_Data!$R:$R,MATCH(A158,FPL_Raw_Data!$AA:$AA,0))</f>
        <v>87</v>
      </c>
      <c r="AE158" s="8">
        <f>INDEX(FPL_Raw_Data!$N:$N,MATCH(A158,FPL_Raw_Data!$AA:$AA,0))</f>
        <v>0</v>
      </c>
      <c r="AF158" s="8">
        <f>INDEX(FPL_Raw_Data!$L:$L,MATCH(A158,FPL_Raw_Data!$AA:$AA,0))</f>
        <v>2</v>
      </c>
      <c r="AG158" s="2">
        <f>INDEX(FPL_Raw_Data!$M:$M,MATCH(A158,FPL_Raw_Data!$AA:$AA,0))</f>
        <v>1</v>
      </c>
      <c r="AH158" s="2">
        <f t="shared" si="58"/>
        <v>2.0661478599221788</v>
      </c>
      <c r="AI158" s="2">
        <f t="shared" si="59"/>
        <v>1.1976653696498052</v>
      </c>
      <c r="AJ158" s="2">
        <f t="shared" si="60"/>
        <v>2</v>
      </c>
      <c r="AK158" s="2">
        <f t="shared" si="61"/>
        <v>2</v>
      </c>
      <c r="AL158" s="2">
        <f t="shared" si="62"/>
        <v>0</v>
      </c>
      <c r="AM158" s="2">
        <f t="shared" si="63"/>
        <v>0</v>
      </c>
      <c r="AN158" s="2">
        <f t="shared" si="64"/>
        <v>0.33333333333333331</v>
      </c>
      <c r="AO158" s="3">
        <f t="shared" si="65"/>
        <v>84.6</v>
      </c>
      <c r="AP158">
        <f t="shared" si="66"/>
        <v>95.7</v>
      </c>
      <c r="AQ158">
        <f t="shared" si="67"/>
        <v>91.7</v>
      </c>
      <c r="AR158">
        <f t="shared" si="68"/>
        <v>98.6</v>
      </c>
      <c r="AS158" s="2">
        <f t="shared" si="69"/>
        <v>100</v>
      </c>
      <c r="AT158" s="2">
        <f>IFERROR(INDEX(Player_Model!$BC$2:$BC$596,MATCH($A158,Player_Model!$A$2:$A$596,0)),0)</f>
        <v>6.2404836804517192</v>
      </c>
      <c r="AU158" s="2">
        <f>Table8[[#This Row],[Model Expected Points]]*Table8[[#This Row],[Fixture Adjustment]]</f>
        <v>6.5208195952664756</v>
      </c>
      <c r="AV158" s="2">
        <f>Table8[[#This Row],[Fixture Adjusted Points / 90]]/Table8[[#This Row],[Price]]</f>
        <v>0.8580025783245363</v>
      </c>
      <c r="AW158">
        <f t="shared" si="70"/>
        <v>90.15</v>
      </c>
      <c r="AX158">
        <f t="shared" si="71"/>
        <v>1</v>
      </c>
      <c r="AY158" s="2">
        <f t="shared" si="72"/>
        <v>100</v>
      </c>
      <c r="AZ158" s="5">
        <f t="shared" si="73"/>
        <v>1.0449221453287199</v>
      </c>
      <c r="BA158">
        <f>Table8[[#This Row],[Model Score2]]</f>
        <v>6.2404836804517192</v>
      </c>
      <c r="BB158">
        <f>IFERROR(INDEX(Player_Model!$BG$2:$BG$596,MATCH($A158,Player_Model!$A$2:$A$596,0)),"")</f>
        <v>15</v>
      </c>
      <c r="BC158" t="str">
        <f t="shared" si="74"/>
        <v>AVOID</v>
      </c>
      <c r="BD158">
        <f>IF(H158=1,Table8[[#This Row],[Model Score]],-10000)</f>
        <v>6.2404836804517192</v>
      </c>
      <c r="BE158">
        <f>IFERROR(INDEX(Player_Model!$BF$2:$BF$596,MATCH($A158,Player_Model!$A$2:$A$596,0)),"")</f>
        <v>37</v>
      </c>
      <c r="BF158">
        <f>IFERROR(INDEX(Player_Model!$BG$2:$BG$596,MATCH($A158,Player_Model!$A$2:$A$596,0)),"")</f>
        <v>15</v>
      </c>
      <c r="BG158">
        <f>IFERROR(INDEX(Player_Model!$BE$2:$BE$596,MATCH($A158,Player_Model!$A$2:$A$596,0)),0)</f>
        <v>6.2404836804517192</v>
      </c>
    </row>
    <row r="159" spans="1:59" x14ac:dyDescent="0.25">
      <c r="A159" t="str">
        <f>tblPlayers[first_name]&amp;" "&amp;tblPlayers[second_name]</f>
        <v>Jordan Henderson</v>
      </c>
      <c r="B159" t="str">
        <f>_xlfn.SWITCH(tblPlayers[element_type],1,"GK",2,"DEF",3,"MID",4,"FWD")</f>
        <v>MID</v>
      </c>
      <c r="C159">
        <f>tblPlayers[team]</f>
        <v>6</v>
      </c>
      <c r="D159" t="str">
        <f>INDEX(tblTeams[Column1.short_name],MATCH(C159,tblTeams[Column1.id],0))</f>
        <v>CHE</v>
      </c>
      <c r="E159" s="4">
        <f>INDEX(FPL_Raw_Data!$F:$F,MATCH(A159,FPL_Raw_Data!$AA:$AA,0))/10</f>
        <v>5</v>
      </c>
      <c r="F159" s="4" t="str">
        <f>tblPlayers[[#This Row],[status]]</f>
        <v>d</v>
      </c>
      <c r="G159" s="4" t="b">
        <f>tblPlayers[[#This Row],[can_select]]</f>
        <v>1</v>
      </c>
      <c r="H159">
        <f>IF(AND(Table8[[#This Row],[Availability Status]]="a",Table8[[#This Row],[Can Select]]=TRUE),1,0)</f>
        <v>0</v>
      </c>
      <c r="I159">
        <f>tblPlayers[minutes]</f>
        <v>0</v>
      </c>
      <c r="J159" s="2">
        <f>Table8[[#This Row],[Minutes]]/90</f>
        <v>0</v>
      </c>
      <c r="K159" s="5">
        <f>IFERROR(Z159/(FIXTURE_ANALYSIS!$B$1-1),0)</f>
        <v>0</v>
      </c>
      <c r="L159">
        <f>tblPlayers[total_points]</f>
        <v>0</v>
      </c>
      <c r="M159">
        <f>tblPlayers[points_per_game]</f>
        <v>0</v>
      </c>
      <c r="N159">
        <f>tblPlayers[form]</f>
        <v>0</v>
      </c>
      <c r="O159">
        <f>tblPlayers[expected_goals]</f>
        <v>0</v>
      </c>
      <c r="P159">
        <f>tblPlayers[expected_assists]</f>
        <v>0</v>
      </c>
      <c r="Q159">
        <f>tblPlayers[expected_goal_involvements]</f>
        <v>0</v>
      </c>
      <c r="R159" s="2">
        <f t="shared" si="50"/>
        <v>0</v>
      </c>
      <c r="S159" s="5">
        <f t="shared" si="51"/>
        <v>0</v>
      </c>
      <c r="T159" s="5">
        <f t="shared" si="52"/>
        <v>0</v>
      </c>
      <c r="U159" s="5">
        <f t="shared" si="53"/>
        <v>0</v>
      </c>
      <c r="V159" s="3">
        <f t="shared" si="54"/>
        <v>0</v>
      </c>
      <c r="W159" s="5">
        <f t="shared" si="55"/>
        <v>0</v>
      </c>
      <c r="X159" s="5">
        <f>IFERROR(IF(OR($B159="MID",$B159="FWD"),INDEX(FIXTURE_ANALYSIS!$Q:$Q,MATCH($D159,FIXTURE_ANALYSIS!$A:$A,0)),INDEX(FIXTURE_ANALYSIS!$R:$R,MATCH($D159,FIXTURE_ANALYSIS!$A:$A,0))),1)</f>
        <v>1.0449221453287199</v>
      </c>
      <c r="Y159" s="5">
        <f t="shared" si="56"/>
        <v>1.0449221453287199</v>
      </c>
      <c r="Z159" s="8">
        <f>INDEX(FPL_Raw_Data!$T:$T,MATCH(A159,FPL_Raw_Data!$AA:$AA,0))</f>
        <v>0</v>
      </c>
      <c r="AA159" s="8">
        <f>INDEX(FPL_Raw_Data!$S:$S,MATCH(A159,FPL_Raw_Data!$AA:$AA,0))</f>
        <v>0</v>
      </c>
      <c r="AB159" s="2">
        <f t="shared" si="57"/>
        <v>0</v>
      </c>
      <c r="AC159" s="2">
        <f>INDEX(FPL_Raw_Data!$Q:$Q,MATCH(A159,FPL_Raw_Data!$AA:$AA,0))</f>
        <v>0</v>
      </c>
      <c r="AD159" s="8">
        <f>INDEX(FPL_Raw_Data!$R:$R,MATCH(A159,FPL_Raw_Data!$AA:$AA,0))</f>
        <v>0</v>
      </c>
      <c r="AE159" s="8">
        <f>INDEX(FPL_Raw_Data!$N:$N,MATCH(A159,FPL_Raw_Data!$AA:$AA,0))</f>
        <v>0</v>
      </c>
      <c r="AF159" s="8">
        <f>INDEX(FPL_Raw_Data!$L:$L,MATCH(A159,FPL_Raw_Data!$AA:$AA,0))</f>
        <v>0</v>
      </c>
      <c r="AG159" s="2">
        <f>INDEX(FPL_Raw_Data!$M:$M,MATCH(A159,FPL_Raw_Data!$AA:$AA,0))</f>
        <v>0</v>
      </c>
      <c r="AH159" s="2">
        <f t="shared" si="58"/>
        <v>0</v>
      </c>
      <c r="AI159" s="2">
        <f t="shared" si="59"/>
        <v>0</v>
      </c>
      <c r="AJ159" s="2">
        <f t="shared" si="60"/>
        <v>0</v>
      </c>
      <c r="AK159" s="2">
        <f t="shared" si="61"/>
        <v>0</v>
      </c>
      <c r="AL159" s="2">
        <f t="shared" si="62"/>
        <v>0</v>
      </c>
      <c r="AM159" s="2">
        <f t="shared" si="63"/>
        <v>0</v>
      </c>
      <c r="AN159" s="2">
        <f t="shared" si="64"/>
        <v>0</v>
      </c>
      <c r="AO159" s="3">
        <f t="shared" si="65"/>
        <v>0.1</v>
      </c>
      <c r="AP159">
        <f t="shared" si="66"/>
        <v>0</v>
      </c>
      <c r="AQ159">
        <f t="shared" si="67"/>
        <v>0.1</v>
      </c>
      <c r="AR159">
        <f t="shared" si="68"/>
        <v>0</v>
      </c>
      <c r="AS159" s="2">
        <f t="shared" si="69"/>
        <v>0</v>
      </c>
      <c r="AT159" s="2">
        <f>IFERROR(INDEX(Player_Model!$BC$2:$BC$596,MATCH($A159,Player_Model!$A$2:$A$596,0)),0)</f>
        <v>0</v>
      </c>
      <c r="AU159" s="2">
        <f>Table8[[#This Row],[Model Expected Points]]*Table8[[#This Row],[Fixture Adjustment]]</f>
        <v>0</v>
      </c>
      <c r="AV159" s="2">
        <f>Table8[[#This Row],[Fixture Adjusted Points / 90]]/Table8[[#This Row],[Price]]</f>
        <v>0</v>
      </c>
      <c r="AW159">
        <f t="shared" si="70"/>
        <v>0.05</v>
      </c>
      <c r="AX159">
        <f t="shared" si="71"/>
        <v>0</v>
      </c>
      <c r="AY159" s="2">
        <f t="shared" si="72"/>
        <v>0</v>
      </c>
      <c r="AZ159" s="5">
        <f t="shared" si="73"/>
        <v>1.0449221453287199</v>
      </c>
      <c r="BA159">
        <f>Table8[[#This Row],[Model Score2]]</f>
        <v>0</v>
      </c>
      <c r="BB159">
        <f>IFERROR(INDEX(Player_Model!$BG$2:$BG$596,MATCH($A159,Player_Model!$A$2:$A$596,0)),"")</f>
        <v>154</v>
      </c>
      <c r="BC159" t="str">
        <f t="shared" si="74"/>
        <v>AVOID</v>
      </c>
      <c r="BD159">
        <f>IF(H159=1,Table8[[#This Row],[Model Score]],-10000)</f>
        <v>-10000</v>
      </c>
      <c r="BE159">
        <f>IFERROR(INDEX(Player_Model!$BF$2:$BF$596,MATCH($A159,Player_Model!$A$2:$A$596,0)),"")</f>
        <v>253</v>
      </c>
      <c r="BF159">
        <f>IFERROR(INDEX(Player_Model!$BG$2:$BG$596,MATCH($A159,Player_Model!$A$2:$A$596,0)),"")</f>
        <v>154</v>
      </c>
      <c r="BG159">
        <f>IFERROR(INDEX(Player_Model!$BE$2:$BE$596,MATCH($A159,Player_Model!$A$2:$A$596,0)),0)</f>
        <v>0</v>
      </c>
    </row>
    <row r="160" spans="1:59" x14ac:dyDescent="0.25">
      <c r="A160" t="str">
        <f>tblPlayers[first_name]&amp;" "&amp;tblPlayers[second_name]</f>
        <v>Danny Welbeck</v>
      </c>
      <c r="B160" t="str">
        <f>_xlfn.SWITCH(tblPlayers[element_type],1,"GK",2,"DEF",3,"MID",4,"FWD")</f>
        <v>FWD</v>
      </c>
      <c r="C160">
        <f>tblPlayers[team]</f>
        <v>6</v>
      </c>
      <c r="D160" t="str">
        <f>INDEX(tblTeams[Column1.short_name],MATCH(C160,tblTeams[Column1.id],0))</f>
        <v>CHE</v>
      </c>
      <c r="E160" s="4">
        <f>INDEX(FPL_Raw_Data!$F:$F,MATCH(A160,FPL_Raw_Data!$AA:$AA,0))/10</f>
        <v>5.9</v>
      </c>
      <c r="F160" s="4" t="str">
        <f>tblPlayers[[#This Row],[status]]</f>
        <v>a</v>
      </c>
      <c r="G160" s="4" t="b">
        <f>tblPlayers[[#This Row],[can_select]]</f>
        <v>1</v>
      </c>
      <c r="H160">
        <f>IF(AND(Table8[[#This Row],[Availability Status]]="a",Table8[[#This Row],[Can Select]]=TRUE),1,0)</f>
        <v>1</v>
      </c>
      <c r="I160">
        <f>tblPlayers[minutes]</f>
        <v>3</v>
      </c>
      <c r="J160" s="2">
        <f>Table8[[#This Row],[Minutes]]/90</f>
        <v>3.3333333333333333E-2</v>
      </c>
      <c r="K160" s="5">
        <f>IFERROR(Z160/(FIXTURE_ANALYSIS!$B$1-1),0)</f>
        <v>0</v>
      </c>
      <c r="L160">
        <f>tblPlayers[total_points]</f>
        <v>1</v>
      </c>
      <c r="M160">
        <f>tblPlayers[points_per_game]</f>
        <v>1</v>
      </c>
      <c r="N160">
        <f>tblPlayers[form]</f>
        <v>0.3</v>
      </c>
      <c r="O160">
        <f>tblPlayers[expected_goals]</f>
        <v>0</v>
      </c>
      <c r="P160">
        <f>tblPlayers[expected_assists]</f>
        <v>0</v>
      </c>
      <c r="Q160">
        <f>tblPlayers[expected_goal_involvements]</f>
        <v>0</v>
      </c>
      <c r="R160" s="2">
        <f t="shared" si="50"/>
        <v>30</v>
      </c>
      <c r="S160" s="5">
        <f t="shared" si="51"/>
        <v>0</v>
      </c>
      <c r="T160" s="5">
        <f t="shared" si="52"/>
        <v>0</v>
      </c>
      <c r="U160" s="5">
        <f t="shared" si="53"/>
        <v>0</v>
      </c>
      <c r="V160" s="3">
        <f t="shared" si="54"/>
        <v>0.16949152542372881</v>
      </c>
      <c r="W160" s="5">
        <f t="shared" si="55"/>
        <v>0</v>
      </c>
      <c r="X160" s="5">
        <f>IFERROR(IF(OR($B160="MID",$B160="FWD"),INDEX(FIXTURE_ANALYSIS!$Q:$Q,MATCH($D160,FIXTURE_ANALYSIS!$A:$A,0)),INDEX(FIXTURE_ANALYSIS!$R:$R,MATCH($D160,FIXTURE_ANALYSIS!$A:$A,0))),1)</f>
        <v>1.0449221453287199</v>
      </c>
      <c r="Y160" s="5">
        <f t="shared" si="56"/>
        <v>1.0449221453287199</v>
      </c>
      <c r="Z160" s="8">
        <f>INDEX(FPL_Raw_Data!$T:$T,MATCH(A160,FPL_Raw_Data!$AA:$AA,0))</f>
        <v>0</v>
      </c>
      <c r="AA160" s="8">
        <f>INDEX(FPL_Raw_Data!$S:$S,MATCH(A160,FPL_Raw_Data!$AA:$AA,0))</f>
        <v>0</v>
      </c>
      <c r="AB160" s="2">
        <f t="shared" si="57"/>
        <v>0</v>
      </c>
      <c r="AC160" s="2">
        <f>INDEX(FPL_Raw_Data!$Q:$Q,MATCH(A160,FPL_Raw_Data!$AA:$AA,0))</f>
        <v>0</v>
      </c>
      <c r="AD160" s="8">
        <f>INDEX(FPL_Raw_Data!$R:$R,MATCH(A160,FPL_Raw_Data!$AA:$AA,0))</f>
        <v>3</v>
      </c>
      <c r="AE160" s="8">
        <f>INDEX(FPL_Raw_Data!$N:$N,MATCH(A160,FPL_Raw_Data!$AA:$AA,0))</f>
        <v>0</v>
      </c>
      <c r="AF160" s="8">
        <f>INDEX(FPL_Raw_Data!$L:$L,MATCH(A160,FPL_Raw_Data!$AA:$AA,0))</f>
        <v>0</v>
      </c>
      <c r="AG160" s="2">
        <f>INDEX(FPL_Raw_Data!$M:$M,MATCH(A160,FPL_Raw_Data!$AA:$AA,0))</f>
        <v>0</v>
      </c>
      <c r="AH160" s="2">
        <f t="shared" si="58"/>
        <v>0</v>
      </c>
      <c r="AI160" s="2">
        <f t="shared" si="59"/>
        <v>0</v>
      </c>
      <c r="AJ160" s="2">
        <f t="shared" si="60"/>
        <v>0</v>
      </c>
      <c r="AK160" s="2">
        <f t="shared" si="61"/>
        <v>0</v>
      </c>
      <c r="AL160" s="2">
        <f t="shared" si="62"/>
        <v>0</v>
      </c>
      <c r="AM160" s="2">
        <f t="shared" si="63"/>
        <v>0</v>
      </c>
      <c r="AN160" s="2">
        <f t="shared" si="64"/>
        <v>0</v>
      </c>
      <c r="AO160" s="3">
        <f t="shared" si="65"/>
        <v>97.3</v>
      </c>
      <c r="AP160">
        <f t="shared" si="66"/>
        <v>0</v>
      </c>
      <c r="AQ160">
        <f t="shared" si="67"/>
        <v>42</v>
      </c>
      <c r="AR160">
        <f t="shared" si="68"/>
        <v>0</v>
      </c>
      <c r="AS160" s="2">
        <f t="shared" si="69"/>
        <v>0</v>
      </c>
      <c r="AT160" s="2">
        <f>IFERROR(INDEX(Player_Model!$BC$2:$BC$596,MATCH($A160,Player_Model!$A$2:$A$596,0)),0)</f>
        <v>0</v>
      </c>
      <c r="AU160" s="2">
        <f>Table8[[#This Row],[Model Expected Points]]*Table8[[#This Row],[Fixture Adjustment]]</f>
        <v>0</v>
      </c>
      <c r="AV160" s="2">
        <f>Table8[[#This Row],[Fixture Adjusted Points / 90]]/Table8[[#This Row],[Price]]</f>
        <v>0</v>
      </c>
      <c r="AW160">
        <f t="shared" si="70"/>
        <v>48.65</v>
      </c>
      <c r="AX160">
        <f t="shared" si="71"/>
        <v>0</v>
      </c>
      <c r="AY160" s="2">
        <f t="shared" si="72"/>
        <v>0</v>
      </c>
      <c r="AZ160" s="5">
        <f t="shared" si="73"/>
        <v>1.0449221453287199</v>
      </c>
      <c r="BA160">
        <f>Table8[[#This Row],[Model Score2]]</f>
        <v>0</v>
      </c>
      <c r="BB160">
        <f>IFERROR(INDEX(Player_Model!$BG$2:$BG$596,MATCH($A160,Player_Model!$A$2:$A$596,0)),"")</f>
        <v>39</v>
      </c>
      <c r="BC160" t="str">
        <f t="shared" si="74"/>
        <v>AVOID</v>
      </c>
      <c r="BD160">
        <f>IF(H160=1,Table8[[#This Row],[Model Score]],-10000)</f>
        <v>0</v>
      </c>
      <c r="BE160">
        <f>IFERROR(INDEX(Player_Model!$BF$2:$BF$596,MATCH($A160,Player_Model!$A$2:$A$596,0)),"")</f>
        <v>253</v>
      </c>
      <c r="BF160">
        <f>IFERROR(INDEX(Player_Model!$BG$2:$BG$596,MATCH($A160,Player_Model!$A$2:$A$596,0)),"")</f>
        <v>39</v>
      </c>
      <c r="BG160">
        <f>IFERROR(INDEX(Player_Model!$BE$2:$BE$596,MATCH($A160,Player_Model!$A$2:$A$596,0)),0)</f>
        <v>0</v>
      </c>
    </row>
    <row r="161" spans="1:59" x14ac:dyDescent="0.25">
      <c r="A161" t="str">
        <f>tblPlayers[first_name]&amp;" "&amp;tblPlayers[second_name]</f>
        <v>Robert Lynch Sánchez</v>
      </c>
      <c r="B161" t="str">
        <f>_xlfn.SWITCH(tblPlayers[element_type],1,"GK",2,"DEF",3,"MID",4,"FWD")</f>
        <v>GK</v>
      </c>
      <c r="C161">
        <f>tblPlayers[team]</f>
        <v>6</v>
      </c>
      <c r="D161" t="str">
        <f>INDEX(tblTeams[Column1.short_name],MATCH(C161,tblTeams[Column1.id],0))</f>
        <v>CHE</v>
      </c>
      <c r="E161" s="4">
        <f>INDEX(FPL_Raw_Data!$F:$F,MATCH(A161,FPL_Raw_Data!$AA:$AA,0))/10</f>
        <v>4.9000000000000004</v>
      </c>
      <c r="F161" s="4" t="str">
        <f>tblPlayers[[#This Row],[status]]</f>
        <v>u</v>
      </c>
      <c r="G161" s="4" t="b">
        <f>tblPlayers[[#This Row],[can_select]]</f>
        <v>0</v>
      </c>
      <c r="H161">
        <f>IF(AND(Table8[[#This Row],[Availability Status]]="a",Table8[[#This Row],[Can Select]]=TRUE),1,0)</f>
        <v>0</v>
      </c>
      <c r="I161">
        <f>tblPlayers[minutes]</f>
        <v>90</v>
      </c>
      <c r="J161" s="2">
        <f>Table8[[#This Row],[Minutes]]/90</f>
        <v>1</v>
      </c>
      <c r="K161" s="5">
        <f>IFERROR(Z161/(FIXTURE_ANALYSIS!$B$1-1),0)</f>
        <v>0.33333333333333331</v>
      </c>
      <c r="L161">
        <f>tblPlayers[total_points]</f>
        <v>2</v>
      </c>
      <c r="M161">
        <f>tblPlayers[points_per_game]</f>
        <v>2</v>
      </c>
      <c r="N161">
        <f>tblPlayers[form]</f>
        <v>0.7</v>
      </c>
      <c r="O161">
        <f>tblPlayers[expected_goals]</f>
        <v>0</v>
      </c>
      <c r="P161">
        <f>tblPlayers[expected_assists]</f>
        <v>0.01</v>
      </c>
      <c r="Q161">
        <f>tblPlayers[expected_goal_involvements]</f>
        <v>0.01</v>
      </c>
      <c r="R161" s="2">
        <f t="shared" si="50"/>
        <v>2</v>
      </c>
      <c r="S161" s="5">
        <f t="shared" si="51"/>
        <v>0</v>
      </c>
      <c r="T161" s="5">
        <f t="shared" si="52"/>
        <v>0.01</v>
      </c>
      <c r="U161" s="5">
        <f t="shared" si="53"/>
        <v>0.01</v>
      </c>
      <c r="V161" s="3">
        <f t="shared" si="54"/>
        <v>0.4081632653061224</v>
      </c>
      <c r="W161" s="5">
        <f t="shared" si="55"/>
        <v>2.040816326530612E-3</v>
      </c>
      <c r="X161" s="5">
        <f>IFERROR(IF(OR($B161="MID",$B161="FWD"),INDEX(FIXTURE_ANALYSIS!$Q:$Q,MATCH($D161,FIXTURE_ANALYSIS!$A:$A,0)),INDEX(FIXTURE_ANALYSIS!$R:$R,MATCH($D161,FIXTURE_ANALYSIS!$A:$A,0))),1)</f>
        <v>0.86574712643678164</v>
      </c>
      <c r="Y161" s="5">
        <f t="shared" si="56"/>
        <v>0.86574712643678164</v>
      </c>
      <c r="Z161" s="8">
        <f>INDEX(FPL_Raw_Data!$T:$T,MATCH(A161,FPL_Raw_Data!$AA:$AA,0))</f>
        <v>1</v>
      </c>
      <c r="AA161" s="8">
        <f>INDEX(FPL_Raw_Data!$S:$S,MATCH(A161,FPL_Raw_Data!$AA:$AA,0))</f>
        <v>0</v>
      </c>
      <c r="AB161" s="2">
        <f t="shared" si="57"/>
        <v>0</v>
      </c>
      <c r="AC161" s="2">
        <f>INDEX(FPL_Raw_Data!$Q:$Q,MATCH(A161,FPL_Raw_Data!$AA:$AA,0))</f>
        <v>0</v>
      </c>
      <c r="AD161" s="8">
        <f>INDEX(FPL_Raw_Data!$R:$R,MATCH(A161,FPL_Raw_Data!$AA:$AA,0))</f>
        <v>6</v>
      </c>
      <c r="AE161" s="8">
        <f>INDEX(FPL_Raw_Data!$N:$N,MATCH(A161,FPL_Raw_Data!$AA:$AA,0))</f>
        <v>0</v>
      </c>
      <c r="AF161" s="8">
        <f>INDEX(FPL_Raw_Data!$L:$L,MATCH(A161,FPL_Raw_Data!$AA:$AA,0))</f>
        <v>0</v>
      </c>
      <c r="AG161" s="2">
        <f>INDEX(FPL_Raw_Data!$M:$M,MATCH(A161,FPL_Raw_Data!$AA:$AA,0))</f>
        <v>0</v>
      </c>
      <c r="AH161" s="2">
        <f t="shared" si="58"/>
        <v>0</v>
      </c>
      <c r="AI161" s="2">
        <f t="shared" si="59"/>
        <v>0.03</v>
      </c>
      <c r="AJ161" s="2">
        <f t="shared" si="60"/>
        <v>0.66666666666666663</v>
      </c>
      <c r="AK161" s="2">
        <f t="shared" si="61"/>
        <v>0</v>
      </c>
      <c r="AL161" s="2">
        <f t="shared" si="62"/>
        <v>0</v>
      </c>
      <c r="AM161" s="2">
        <f t="shared" si="63"/>
        <v>0</v>
      </c>
      <c r="AN161" s="2">
        <f t="shared" si="64"/>
        <v>0</v>
      </c>
      <c r="AO161" s="3">
        <f t="shared" si="65"/>
        <v>45.9</v>
      </c>
      <c r="AP161">
        <f t="shared" si="66"/>
        <v>53.5</v>
      </c>
      <c r="AQ161">
        <f t="shared" si="67"/>
        <v>54.800000000000004</v>
      </c>
      <c r="AR161">
        <f t="shared" si="68"/>
        <v>52.5</v>
      </c>
      <c r="AS161" s="2">
        <f t="shared" si="69"/>
        <v>33.333333333333329</v>
      </c>
      <c r="AT161" s="2">
        <f>IFERROR(INDEX(Player_Model!$BC$2:$BC$596,MATCH($A161,Player_Model!$A$2:$A$596,0)),0)</f>
        <v>2.8957684553337368</v>
      </c>
      <c r="AU161" s="2">
        <f>Table8[[#This Row],[Model Expected Points]]*Table8[[#This Row],[Fixture Adjustment]]</f>
        <v>2.5070032190314606</v>
      </c>
      <c r="AV161" s="2">
        <f>Table8[[#This Row],[Fixture Adjusted Points / 90]]/Table8[[#This Row],[Price]]</f>
        <v>0.51163331000642054</v>
      </c>
      <c r="AW161">
        <f t="shared" si="70"/>
        <v>0</v>
      </c>
      <c r="AX161">
        <f t="shared" si="71"/>
        <v>17.099540229885054</v>
      </c>
      <c r="AY161" s="2">
        <f t="shared" si="72"/>
        <v>33.333333333333329</v>
      </c>
      <c r="AZ161" s="5">
        <f t="shared" si="73"/>
        <v>0.86574712643678164</v>
      </c>
      <c r="BA161">
        <f>Table8[[#This Row],[Model Score2]]</f>
        <v>2.8957684553337368</v>
      </c>
      <c r="BB161">
        <f>IFERROR(INDEX(Player_Model!$BG$2:$BG$596,MATCH($A161,Player_Model!$A$2:$A$596,0)),"")</f>
        <v>15</v>
      </c>
      <c r="BC161" t="str">
        <f t="shared" si="74"/>
        <v>AVOID</v>
      </c>
      <c r="BD161">
        <f>IF(H161=1,Table8[[#This Row],[Model Score]],-10000)</f>
        <v>-10000</v>
      </c>
      <c r="BE161">
        <f>IFERROR(INDEX(Player_Model!$BF$2:$BF$596,MATCH($A161,Player_Model!$A$2:$A$596,0)),"")</f>
        <v>204</v>
      </c>
      <c r="BF161">
        <f>IFERROR(INDEX(Player_Model!$BG$2:$BG$596,MATCH($A161,Player_Model!$A$2:$A$596,0)),"")</f>
        <v>15</v>
      </c>
      <c r="BG161">
        <f>IFERROR(INDEX(Player_Model!$BE$2:$BE$596,MATCH($A161,Player_Model!$A$2:$A$596,0)),0)</f>
        <v>2.8957684553337368</v>
      </c>
    </row>
    <row r="162" spans="1:59" x14ac:dyDescent="0.25">
      <c r="A162" t="str">
        <f>tblPlayers[first_name]&amp;" "&amp;tblPlayers[second_name]</f>
        <v>Filip Jörgensen</v>
      </c>
      <c r="B162" t="str">
        <f>_xlfn.SWITCH(tblPlayers[element_type],1,"GK",2,"DEF",3,"MID",4,"FWD")</f>
        <v>GK</v>
      </c>
      <c r="C162">
        <f>tblPlayers[team]</f>
        <v>6</v>
      </c>
      <c r="D162" t="str">
        <f>INDEX(tblTeams[Column1.short_name],MATCH(C162,tblTeams[Column1.id],0))</f>
        <v>CHE</v>
      </c>
      <c r="E162" s="4">
        <f>INDEX(FPL_Raw_Data!$F:$F,MATCH(A162,FPL_Raw_Data!$AA:$AA,0))/10</f>
        <v>5</v>
      </c>
      <c r="F162" s="4" t="str">
        <f>tblPlayers[[#This Row],[status]]</f>
        <v>u</v>
      </c>
      <c r="G162" s="4" t="b">
        <f>tblPlayers[[#This Row],[can_select]]</f>
        <v>0</v>
      </c>
      <c r="H162">
        <f>IF(AND(Table8[[#This Row],[Availability Status]]="a",Table8[[#This Row],[Can Select]]=TRUE),1,0)</f>
        <v>0</v>
      </c>
      <c r="I162">
        <f>tblPlayers[minutes]</f>
        <v>0</v>
      </c>
      <c r="J162" s="2">
        <f>Table8[[#This Row],[Minutes]]/90</f>
        <v>0</v>
      </c>
      <c r="K162" s="5">
        <f>IFERROR(Z162/(FIXTURE_ANALYSIS!$B$1-1),0)</f>
        <v>0</v>
      </c>
      <c r="L162">
        <f>tblPlayers[total_points]</f>
        <v>0</v>
      </c>
      <c r="M162">
        <f>tblPlayers[points_per_game]</f>
        <v>0</v>
      </c>
      <c r="N162">
        <f>tblPlayers[form]</f>
        <v>0</v>
      </c>
      <c r="O162">
        <f>tblPlayers[expected_goals]</f>
        <v>0</v>
      </c>
      <c r="P162">
        <f>tblPlayers[expected_assists]</f>
        <v>0</v>
      </c>
      <c r="Q162">
        <f>tblPlayers[expected_goal_involvements]</f>
        <v>0</v>
      </c>
      <c r="R162" s="2">
        <f t="shared" si="50"/>
        <v>0</v>
      </c>
      <c r="S162" s="5">
        <f t="shared" si="51"/>
        <v>0</v>
      </c>
      <c r="T162" s="5">
        <f t="shared" si="52"/>
        <v>0</v>
      </c>
      <c r="U162" s="5">
        <f t="shared" si="53"/>
        <v>0</v>
      </c>
      <c r="V162" s="3">
        <f t="shared" si="54"/>
        <v>0</v>
      </c>
      <c r="W162" s="5">
        <f t="shared" si="55"/>
        <v>0</v>
      </c>
      <c r="X162" s="5">
        <f>IFERROR(IF(OR($B162="MID",$B162="FWD"),INDEX(FIXTURE_ANALYSIS!$Q:$Q,MATCH($D162,FIXTURE_ANALYSIS!$A:$A,0)),INDEX(FIXTURE_ANALYSIS!$R:$R,MATCH($D162,FIXTURE_ANALYSIS!$A:$A,0))),1)</f>
        <v>0.86574712643678164</v>
      </c>
      <c r="Y162" s="5">
        <f t="shared" si="56"/>
        <v>0.86574712643678164</v>
      </c>
      <c r="Z162" s="8">
        <f>INDEX(FPL_Raw_Data!$T:$T,MATCH(A162,FPL_Raw_Data!$AA:$AA,0))</f>
        <v>0</v>
      </c>
      <c r="AA162" s="8">
        <f>INDEX(FPL_Raw_Data!$S:$S,MATCH(A162,FPL_Raw_Data!$AA:$AA,0))</f>
        <v>0</v>
      </c>
      <c r="AB162" s="2">
        <f t="shared" si="57"/>
        <v>0</v>
      </c>
      <c r="AC162" s="2">
        <f>INDEX(FPL_Raw_Data!$Q:$Q,MATCH(A162,FPL_Raw_Data!$AA:$AA,0))</f>
        <v>0</v>
      </c>
      <c r="AD162" s="8">
        <f>INDEX(FPL_Raw_Data!$R:$R,MATCH(A162,FPL_Raw_Data!$AA:$AA,0))</f>
        <v>0</v>
      </c>
      <c r="AE162" s="8">
        <f>INDEX(FPL_Raw_Data!$N:$N,MATCH(A162,FPL_Raw_Data!$AA:$AA,0))</f>
        <v>0</v>
      </c>
      <c r="AF162" s="8">
        <f>INDEX(FPL_Raw_Data!$L:$L,MATCH(A162,FPL_Raw_Data!$AA:$AA,0))</f>
        <v>0</v>
      </c>
      <c r="AG162" s="2">
        <f>INDEX(FPL_Raw_Data!$M:$M,MATCH(A162,FPL_Raw_Data!$AA:$AA,0))</f>
        <v>0</v>
      </c>
      <c r="AH162" s="2">
        <f t="shared" si="58"/>
        <v>0</v>
      </c>
      <c r="AI162" s="2">
        <f t="shared" si="59"/>
        <v>0</v>
      </c>
      <c r="AJ162" s="2">
        <f t="shared" si="60"/>
        <v>0</v>
      </c>
      <c r="AK162" s="2">
        <f t="shared" si="61"/>
        <v>0</v>
      </c>
      <c r="AL162" s="2">
        <f t="shared" si="62"/>
        <v>0</v>
      </c>
      <c r="AM162" s="2">
        <f t="shared" si="63"/>
        <v>0</v>
      </c>
      <c r="AN162" s="2">
        <f t="shared" si="64"/>
        <v>0</v>
      </c>
      <c r="AO162" s="3">
        <f t="shared" si="65"/>
        <v>0.1</v>
      </c>
      <c r="AP162">
        <f t="shared" si="66"/>
        <v>0</v>
      </c>
      <c r="AQ162">
        <f t="shared" si="67"/>
        <v>0.1</v>
      </c>
      <c r="AR162">
        <f t="shared" si="68"/>
        <v>0</v>
      </c>
      <c r="AS162" s="2">
        <f t="shared" si="69"/>
        <v>0</v>
      </c>
      <c r="AT162" s="2">
        <f>IFERROR(INDEX(Player_Model!$BC$2:$BC$596,MATCH($A162,Player_Model!$A$2:$A$596,0)),0)</f>
        <v>0</v>
      </c>
      <c r="AU162" s="2">
        <f>Table8[[#This Row],[Model Expected Points]]*Table8[[#This Row],[Fixture Adjustment]]</f>
        <v>0</v>
      </c>
      <c r="AV162" s="2">
        <f>Table8[[#This Row],[Fixture Adjusted Points / 90]]/Table8[[#This Row],[Price]]</f>
        <v>0</v>
      </c>
      <c r="AW162">
        <f t="shared" si="70"/>
        <v>0</v>
      </c>
      <c r="AX162">
        <f t="shared" si="71"/>
        <v>0.43287356321839082</v>
      </c>
      <c r="AY162" s="2">
        <f t="shared" si="72"/>
        <v>0</v>
      </c>
      <c r="AZ162" s="5">
        <f t="shared" si="73"/>
        <v>0.86574712643678164</v>
      </c>
      <c r="BA162">
        <f>Table8[[#This Row],[Model Score2]]</f>
        <v>0</v>
      </c>
      <c r="BB162">
        <f>IFERROR(INDEX(Player_Model!$BG$2:$BG$596,MATCH($A162,Player_Model!$A$2:$A$596,0)),"")</f>
        <v>29</v>
      </c>
      <c r="BC162" t="str">
        <f t="shared" si="74"/>
        <v>AVOID</v>
      </c>
      <c r="BD162">
        <f>IF(H162=1,Table8[[#This Row],[Model Score]],-10000)</f>
        <v>-10000</v>
      </c>
      <c r="BE162">
        <f>IFERROR(INDEX(Player_Model!$BF$2:$BF$596,MATCH($A162,Player_Model!$A$2:$A$596,0)),"")</f>
        <v>253</v>
      </c>
      <c r="BF162">
        <f>IFERROR(INDEX(Player_Model!$BG$2:$BG$596,MATCH($A162,Player_Model!$A$2:$A$596,0)),"")</f>
        <v>29</v>
      </c>
      <c r="BG162">
        <f>IFERROR(INDEX(Player_Model!$BE$2:$BE$596,MATCH($A162,Player_Model!$A$2:$A$596,0)),0)</f>
        <v>0</v>
      </c>
    </row>
    <row r="163" spans="1:59" x14ac:dyDescent="0.25">
      <c r="A163" t="str">
        <f>tblPlayers[first_name]&amp;" "&amp;tblPlayers[second_name]</f>
        <v>Reece James</v>
      </c>
      <c r="B163" t="str">
        <f>_xlfn.SWITCH(tblPlayers[element_type],1,"GK",2,"DEF",3,"MID",4,"FWD")</f>
        <v>DEF</v>
      </c>
      <c r="C163">
        <f>tblPlayers[team]</f>
        <v>6</v>
      </c>
      <c r="D163" t="str">
        <f>INDEX(tblTeams[Column1.short_name],MATCH(C163,tblTeams[Column1.id],0))</f>
        <v>CHE</v>
      </c>
      <c r="E163" s="4">
        <f>INDEX(FPL_Raw_Data!$F:$F,MATCH(A163,FPL_Raw_Data!$AA:$AA,0))/10</f>
        <v>5.4</v>
      </c>
      <c r="F163" s="4" t="str">
        <f>tblPlayers[[#This Row],[status]]</f>
        <v>a</v>
      </c>
      <c r="G163" s="4" t="b">
        <f>tblPlayers[[#This Row],[can_select]]</f>
        <v>1</v>
      </c>
      <c r="H163">
        <f>IF(AND(Table8[[#This Row],[Availability Status]]="a",Table8[[#This Row],[Can Select]]=TRUE),1,0)</f>
        <v>1</v>
      </c>
      <c r="I163">
        <f>tblPlayers[minutes]</f>
        <v>202</v>
      </c>
      <c r="J163" s="2">
        <f>Table8[[#This Row],[Minutes]]/90</f>
        <v>2.2444444444444445</v>
      </c>
      <c r="K163" s="5">
        <f>IFERROR(Z163/(FIXTURE_ANALYSIS!$B$1-1),0)</f>
        <v>0.66666666666666663</v>
      </c>
      <c r="L163">
        <f>tblPlayers[total_points]</f>
        <v>2</v>
      </c>
      <c r="M163">
        <f>tblPlayers[points_per_game]</f>
        <v>0.7</v>
      </c>
      <c r="N163">
        <f>tblPlayers[form]</f>
        <v>0.7</v>
      </c>
      <c r="O163">
        <f>tblPlayers[expected_goals]</f>
        <v>0.17</v>
      </c>
      <c r="P163">
        <f>tblPlayers[expected_assists]</f>
        <v>0.12</v>
      </c>
      <c r="Q163">
        <f>tblPlayers[expected_goal_involvements]</f>
        <v>0.28999999999999998</v>
      </c>
      <c r="R163" s="2">
        <f t="shared" si="50"/>
        <v>0.8910891089108911</v>
      </c>
      <c r="S163" s="5">
        <f t="shared" si="51"/>
        <v>7.5742574257425754E-2</v>
      </c>
      <c r="T163" s="5">
        <f t="shared" si="52"/>
        <v>5.3465346534653464E-2</v>
      </c>
      <c r="U163" s="5">
        <f t="shared" si="53"/>
        <v>0.12920792079207921</v>
      </c>
      <c r="V163" s="3">
        <f t="shared" si="54"/>
        <v>0.37037037037037035</v>
      </c>
      <c r="W163" s="5">
        <f t="shared" si="55"/>
        <v>5.3703703703703698E-2</v>
      </c>
      <c r="X163" s="5">
        <f>IFERROR(IF(OR($B163="MID",$B163="FWD"),INDEX(FIXTURE_ANALYSIS!$Q:$Q,MATCH($D163,FIXTURE_ANALYSIS!$A:$A,0)),INDEX(FIXTURE_ANALYSIS!$R:$R,MATCH($D163,FIXTURE_ANALYSIS!$A:$A,0))),1)</f>
        <v>0.86574712643678164</v>
      </c>
      <c r="Y163" s="5">
        <f t="shared" si="56"/>
        <v>0.86574712643678164</v>
      </c>
      <c r="Z163" s="8">
        <f>INDEX(FPL_Raw_Data!$T:$T,MATCH(A163,FPL_Raw_Data!$AA:$AA,0))</f>
        <v>2</v>
      </c>
      <c r="AA163" s="8">
        <f>INDEX(FPL_Raw_Data!$S:$S,MATCH(A163,FPL_Raw_Data!$AA:$AA,0))</f>
        <v>9</v>
      </c>
      <c r="AB163" s="2">
        <f t="shared" si="57"/>
        <v>0.9</v>
      </c>
      <c r="AC163" s="2">
        <f>INDEX(FPL_Raw_Data!$Q:$Q,MATCH(A163,FPL_Raw_Data!$AA:$AA,0))</f>
        <v>0</v>
      </c>
      <c r="AD163" s="8">
        <f>INDEX(FPL_Raw_Data!$R:$R,MATCH(A163,FPL_Raw_Data!$AA:$AA,0))</f>
        <v>13</v>
      </c>
      <c r="AE163" s="8">
        <f>INDEX(FPL_Raw_Data!$N:$N,MATCH(A163,FPL_Raw_Data!$AA:$AA,0))</f>
        <v>0</v>
      </c>
      <c r="AF163" s="8">
        <f>INDEX(FPL_Raw_Data!$L:$L,MATCH(A163,FPL_Raw_Data!$AA:$AA,0))</f>
        <v>0</v>
      </c>
      <c r="AG163" s="2">
        <f>INDEX(FPL_Raw_Data!$M:$M,MATCH(A163,FPL_Raw_Data!$AA:$AA,0))</f>
        <v>0</v>
      </c>
      <c r="AH163" s="2">
        <f t="shared" si="58"/>
        <v>0.45445544554455453</v>
      </c>
      <c r="AI163" s="2">
        <f t="shared" si="59"/>
        <v>0.1603960396039604</v>
      </c>
      <c r="AJ163" s="2">
        <f t="shared" si="60"/>
        <v>1.3333333333333333</v>
      </c>
      <c r="AK163" s="2">
        <f t="shared" si="61"/>
        <v>1.8</v>
      </c>
      <c r="AL163" s="2">
        <f t="shared" si="62"/>
        <v>0</v>
      </c>
      <c r="AM163" s="2">
        <f t="shared" si="63"/>
        <v>0</v>
      </c>
      <c r="AN163" s="2">
        <f t="shared" si="64"/>
        <v>0</v>
      </c>
      <c r="AO163" s="3">
        <f t="shared" si="65"/>
        <v>41.9</v>
      </c>
      <c r="AP163">
        <f t="shared" si="66"/>
        <v>70.5</v>
      </c>
      <c r="AQ163">
        <f t="shared" si="67"/>
        <v>52</v>
      </c>
      <c r="AR163">
        <f t="shared" si="68"/>
        <v>76.900000000000006</v>
      </c>
      <c r="AS163" s="2">
        <f t="shared" si="69"/>
        <v>66.666666666666657</v>
      </c>
      <c r="AT163" s="2">
        <f>IFERROR(INDEX(Player_Model!$BC$2:$BC$596,MATCH($A163,Player_Model!$A$2:$A$596,0)),0)</f>
        <v>1.6664511222669316</v>
      </c>
      <c r="AU163" s="2">
        <f>Table8[[#This Row],[Model Expected Points]]*Table8[[#This Row],[Fixture Adjustment]]</f>
        <v>1.4427252704499458</v>
      </c>
      <c r="AV163" s="2">
        <f>Table8[[#This Row],[Fixture Adjusted Points / 90]]/Table8[[#This Row],[Price]]</f>
        <v>0.26717134637961959</v>
      </c>
      <c r="AW163">
        <f t="shared" si="70"/>
        <v>70.5</v>
      </c>
      <c r="AX163">
        <f t="shared" si="71"/>
        <v>0.88287356321839083</v>
      </c>
      <c r="AY163" s="2">
        <f t="shared" si="72"/>
        <v>66.666666666666657</v>
      </c>
      <c r="AZ163" s="5">
        <f t="shared" si="73"/>
        <v>0.86574712643678164</v>
      </c>
      <c r="BA163">
        <f>Table8[[#This Row],[Model Score2]]</f>
        <v>1.6664511222669316</v>
      </c>
      <c r="BB163">
        <f>IFERROR(INDEX(Player_Model!$BG$2:$BG$596,MATCH($A163,Player_Model!$A$2:$A$596,0)),"")</f>
        <v>94</v>
      </c>
      <c r="BC163" t="str">
        <f t="shared" si="74"/>
        <v>AVOID</v>
      </c>
      <c r="BD163">
        <f>IF(H163=1,Table8[[#This Row],[Model Score]],-10000)</f>
        <v>1.6664511222669316</v>
      </c>
      <c r="BE163">
        <f>IFERROR(INDEX(Player_Model!$BF$2:$BF$596,MATCH($A163,Player_Model!$A$2:$A$596,0)),"")</f>
        <v>250</v>
      </c>
      <c r="BF163">
        <f>IFERROR(INDEX(Player_Model!$BG$2:$BG$596,MATCH($A163,Player_Model!$A$2:$A$596,0)),"")</f>
        <v>94</v>
      </c>
      <c r="BG163">
        <f>IFERROR(INDEX(Player_Model!$BE$2:$BE$596,MATCH($A163,Player_Model!$A$2:$A$596,0)),0)</f>
        <v>1.6664511222669316</v>
      </c>
    </row>
    <row r="164" spans="1:59" x14ac:dyDescent="0.25">
      <c r="A164" t="str">
        <f>tblPlayers[first_name]&amp;" "&amp;tblPlayers[second_name]</f>
        <v>Trevoh Chalobah</v>
      </c>
      <c r="B164" t="str">
        <f>_xlfn.SWITCH(tblPlayers[element_type],1,"GK",2,"DEF",3,"MID",4,"FWD")</f>
        <v>DEF</v>
      </c>
      <c r="C164">
        <f>tblPlayers[team]</f>
        <v>6</v>
      </c>
      <c r="D164" t="str">
        <f>INDEX(tblTeams[Column1.short_name],MATCH(C164,tblTeams[Column1.id],0))</f>
        <v>CHE</v>
      </c>
      <c r="E164" s="4">
        <f>INDEX(FPL_Raw_Data!$F:$F,MATCH(A164,FPL_Raw_Data!$AA:$AA,0))/10</f>
        <v>5.5</v>
      </c>
      <c r="F164" s="4" t="str">
        <f>tblPlayers[[#This Row],[status]]</f>
        <v>u</v>
      </c>
      <c r="G164" s="4" t="b">
        <f>tblPlayers[[#This Row],[can_select]]</f>
        <v>0</v>
      </c>
      <c r="H164">
        <f>IF(AND(Table8[[#This Row],[Availability Status]]="a",Table8[[#This Row],[Can Select]]=TRUE),1,0)</f>
        <v>0</v>
      </c>
      <c r="I164">
        <f>tblPlayers[minutes]</f>
        <v>0</v>
      </c>
      <c r="J164" s="2">
        <f>Table8[[#This Row],[Minutes]]/90</f>
        <v>0</v>
      </c>
      <c r="K164" s="5">
        <f>IFERROR(Z164/(FIXTURE_ANALYSIS!$B$1-1),0)</f>
        <v>0</v>
      </c>
      <c r="L164">
        <f>tblPlayers[total_points]</f>
        <v>0</v>
      </c>
      <c r="M164">
        <f>tblPlayers[points_per_game]</f>
        <v>0</v>
      </c>
      <c r="N164">
        <f>tblPlayers[form]</f>
        <v>0</v>
      </c>
      <c r="O164">
        <f>tblPlayers[expected_goals]</f>
        <v>0</v>
      </c>
      <c r="P164">
        <f>tblPlayers[expected_assists]</f>
        <v>0</v>
      </c>
      <c r="Q164">
        <f>tblPlayers[expected_goal_involvements]</f>
        <v>0</v>
      </c>
      <c r="R164" s="2">
        <f t="shared" si="50"/>
        <v>0</v>
      </c>
      <c r="S164" s="5">
        <f t="shared" si="51"/>
        <v>0</v>
      </c>
      <c r="T164" s="5">
        <f t="shared" si="52"/>
        <v>0</v>
      </c>
      <c r="U164" s="5">
        <f t="shared" si="53"/>
        <v>0</v>
      </c>
      <c r="V164" s="3">
        <f t="shared" si="54"/>
        <v>0</v>
      </c>
      <c r="W164" s="5">
        <f t="shared" si="55"/>
        <v>0</v>
      </c>
      <c r="X164" s="5">
        <f>IFERROR(IF(OR($B164="MID",$B164="FWD"),INDEX(FIXTURE_ANALYSIS!$Q:$Q,MATCH($D164,FIXTURE_ANALYSIS!$A:$A,0)),INDEX(FIXTURE_ANALYSIS!$R:$R,MATCH($D164,FIXTURE_ANALYSIS!$A:$A,0))),1)</f>
        <v>0.86574712643678164</v>
      </c>
      <c r="Y164" s="5">
        <f t="shared" si="56"/>
        <v>0.86574712643678164</v>
      </c>
      <c r="Z164" s="8">
        <f>INDEX(FPL_Raw_Data!$T:$T,MATCH(A164,FPL_Raw_Data!$AA:$AA,0))</f>
        <v>0</v>
      </c>
      <c r="AA164" s="8">
        <f>INDEX(FPL_Raw_Data!$S:$S,MATCH(A164,FPL_Raw_Data!$AA:$AA,0))</f>
        <v>0</v>
      </c>
      <c r="AB164" s="2">
        <f t="shared" si="57"/>
        <v>0</v>
      </c>
      <c r="AC164" s="2">
        <f>INDEX(FPL_Raw_Data!$Q:$Q,MATCH(A164,FPL_Raw_Data!$AA:$AA,0))</f>
        <v>0</v>
      </c>
      <c r="AD164" s="8">
        <f>INDEX(FPL_Raw_Data!$R:$R,MATCH(A164,FPL_Raw_Data!$AA:$AA,0))</f>
        <v>0</v>
      </c>
      <c r="AE164" s="8">
        <f>INDEX(FPL_Raw_Data!$N:$N,MATCH(A164,FPL_Raw_Data!$AA:$AA,0))</f>
        <v>0</v>
      </c>
      <c r="AF164" s="8">
        <f>INDEX(FPL_Raw_Data!$L:$L,MATCH(A164,FPL_Raw_Data!$AA:$AA,0))</f>
        <v>0</v>
      </c>
      <c r="AG164" s="2">
        <f>INDEX(FPL_Raw_Data!$M:$M,MATCH(A164,FPL_Raw_Data!$AA:$AA,0))</f>
        <v>0</v>
      </c>
      <c r="AH164" s="2">
        <f t="shared" si="58"/>
        <v>0</v>
      </c>
      <c r="AI164" s="2">
        <f t="shared" si="59"/>
        <v>0</v>
      </c>
      <c r="AJ164" s="2">
        <f t="shared" si="60"/>
        <v>0</v>
      </c>
      <c r="AK164" s="2">
        <f t="shared" si="61"/>
        <v>0</v>
      </c>
      <c r="AL164" s="2">
        <f t="shared" si="62"/>
        <v>0</v>
      </c>
      <c r="AM164" s="2">
        <f t="shared" si="63"/>
        <v>0</v>
      </c>
      <c r="AN164" s="2">
        <f t="shared" si="64"/>
        <v>0</v>
      </c>
      <c r="AO164" s="3">
        <f t="shared" si="65"/>
        <v>0.1</v>
      </c>
      <c r="AP164">
        <f t="shared" si="66"/>
        <v>0</v>
      </c>
      <c r="AQ164">
        <f t="shared" si="67"/>
        <v>0.1</v>
      </c>
      <c r="AR164">
        <f t="shared" si="68"/>
        <v>0</v>
      </c>
      <c r="AS164" s="2">
        <f t="shared" si="69"/>
        <v>0</v>
      </c>
      <c r="AT164" s="2">
        <f>IFERROR(INDEX(Player_Model!$BC$2:$BC$596,MATCH($A164,Player_Model!$A$2:$A$596,0)),0)</f>
        <v>-1.0100383141762452</v>
      </c>
      <c r="AU164" s="2">
        <f>Table8[[#This Row],[Model Expected Points]]*Table8[[#This Row],[Fixture Adjustment]]</f>
        <v>-0.87443776808913554</v>
      </c>
      <c r="AV164" s="2">
        <f>Table8[[#This Row],[Fixture Adjusted Points / 90]]/Table8[[#This Row],[Price]]</f>
        <v>-0.15898868510711556</v>
      </c>
      <c r="AW164">
        <f t="shared" si="70"/>
        <v>0</v>
      </c>
      <c r="AX164">
        <f t="shared" si="71"/>
        <v>0.43287356321839082</v>
      </c>
      <c r="AY164" s="2">
        <f t="shared" si="72"/>
        <v>0</v>
      </c>
      <c r="AZ164" s="5">
        <f t="shared" si="73"/>
        <v>0.86574712643678164</v>
      </c>
      <c r="BA164">
        <f>Table8[[#This Row],[Model Score2]]</f>
        <v>-1.0100383141762452</v>
      </c>
      <c r="BB164">
        <f>IFERROR(INDEX(Player_Model!$BG$2:$BG$596,MATCH($A164,Player_Model!$A$2:$A$596,0)),"")</f>
        <v>178</v>
      </c>
      <c r="BC164" t="str">
        <f t="shared" si="74"/>
        <v>AVOID</v>
      </c>
      <c r="BD164">
        <f>IF(H164=1,Table8[[#This Row],[Model Score]],-10000)</f>
        <v>-10000</v>
      </c>
      <c r="BE164">
        <f>IFERROR(INDEX(Player_Model!$BF$2:$BF$596,MATCH($A164,Player_Model!$A$2:$A$596,0)),"")</f>
        <v>581</v>
      </c>
      <c r="BF164">
        <f>IFERROR(INDEX(Player_Model!$BG$2:$BG$596,MATCH($A164,Player_Model!$A$2:$A$596,0)),"")</f>
        <v>178</v>
      </c>
      <c r="BG164">
        <f>IFERROR(INDEX(Player_Model!$BE$2:$BE$596,MATCH($A164,Player_Model!$A$2:$A$596,0)),0)</f>
        <v>-1.0100383141762452</v>
      </c>
    </row>
    <row r="165" spans="1:59" x14ac:dyDescent="0.25">
      <c r="A165" t="str">
        <f>tblPlayers[first_name]&amp;" "&amp;tblPlayers[second_name]</f>
        <v>Malo Gusto</v>
      </c>
      <c r="B165" t="str">
        <f>_xlfn.SWITCH(tblPlayers[element_type],1,"GK",2,"DEF",3,"MID",4,"FWD")</f>
        <v>DEF</v>
      </c>
      <c r="C165">
        <f>tblPlayers[team]</f>
        <v>6</v>
      </c>
      <c r="D165" t="str">
        <f>INDEX(tblTeams[Column1.short_name],MATCH(C165,tblTeams[Column1.id],0))</f>
        <v>CHE</v>
      </c>
      <c r="E165" s="4">
        <f>INDEX(FPL_Raw_Data!$F:$F,MATCH(A165,FPL_Raw_Data!$AA:$AA,0))/10</f>
        <v>5</v>
      </c>
      <c r="F165" s="4" t="str">
        <f>tblPlayers[[#This Row],[status]]</f>
        <v>a</v>
      </c>
      <c r="G165" s="4" t="b">
        <f>tblPlayers[[#This Row],[can_select]]</f>
        <v>1</v>
      </c>
      <c r="H165">
        <f>IF(AND(Table8[[#This Row],[Availability Status]]="a",Table8[[#This Row],[Can Select]]=TRUE),1,0)</f>
        <v>1</v>
      </c>
      <c r="I165">
        <f>tblPlayers[minutes]</f>
        <v>195</v>
      </c>
      <c r="J165" s="2">
        <f>Table8[[#This Row],[Minutes]]/90</f>
        <v>2.1666666666666665</v>
      </c>
      <c r="K165" s="5">
        <f>IFERROR(Z165/(FIXTURE_ANALYSIS!$B$1-1),0)</f>
        <v>0.66666666666666663</v>
      </c>
      <c r="L165">
        <f>tblPlayers[total_points]</f>
        <v>3</v>
      </c>
      <c r="M165">
        <f>tblPlayers[points_per_game]</f>
        <v>1</v>
      </c>
      <c r="N165">
        <f>tblPlayers[form]</f>
        <v>1</v>
      </c>
      <c r="O165">
        <f>tblPlayers[expected_goals]</f>
        <v>0.04</v>
      </c>
      <c r="P165">
        <f>tblPlayers[expected_assists]</f>
        <v>0.05</v>
      </c>
      <c r="Q165">
        <f>tblPlayers[expected_goal_involvements]</f>
        <v>0.09</v>
      </c>
      <c r="R165" s="2">
        <f t="shared" si="50"/>
        <v>1.3846153846153846</v>
      </c>
      <c r="S165" s="5">
        <f t="shared" si="51"/>
        <v>1.8461538461538463E-2</v>
      </c>
      <c r="T165" s="5">
        <f t="shared" si="52"/>
        <v>2.3076923076923078E-2</v>
      </c>
      <c r="U165" s="5">
        <f t="shared" si="53"/>
        <v>4.1538461538461538E-2</v>
      </c>
      <c r="V165" s="3">
        <f t="shared" si="54"/>
        <v>0.6</v>
      </c>
      <c r="W165" s="5">
        <f t="shared" si="55"/>
        <v>1.7999999999999999E-2</v>
      </c>
      <c r="X165" s="5">
        <f>IFERROR(IF(OR($B165="MID",$B165="FWD"),INDEX(FIXTURE_ANALYSIS!$Q:$Q,MATCH($D165,FIXTURE_ANALYSIS!$A:$A,0)),INDEX(FIXTURE_ANALYSIS!$R:$R,MATCH($D165,FIXTURE_ANALYSIS!$A:$A,0))),1)</f>
        <v>0.86574712643678164</v>
      </c>
      <c r="Y165" s="5">
        <f t="shared" si="56"/>
        <v>0.86574712643678164</v>
      </c>
      <c r="Z165" s="8">
        <f>INDEX(FPL_Raw_Data!$T:$T,MATCH(A165,FPL_Raw_Data!$AA:$AA,0))</f>
        <v>2</v>
      </c>
      <c r="AA165" s="8">
        <f>INDEX(FPL_Raw_Data!$S:$S,MATCH(A165,FPL_Raw_Data!$AA:$AA,0))</f>
        <v>10</v>
      </c>
      <c r="AB165" s="2">
        <f t="shared" si="57"/>
        <v>1</v>
      </c>
      <c r="AC165" s="2">
        <f>INDEX(FPL_Raw_Data!$Q:$Q,MATCH(A165,FPL_Raw_Data!$AA:$AA,0))</f>
        <v>0</v>
      </c>
      <c r="AD165" s="8">
        <f>INDEX(FPL_Raw_Data!$R:$R,MATCH(A165,FPL_Raw_Data!$AA:$AA,0))</f>
        <v>5</v>
      </c>
      <c r="AE165" s="8">
        <f>INDEX(FPL_Raw_Data!$N:$N,MATCH(A165,FPL_Raw_Data!$AA:$AA,0))</f>
        <v>0</v>
      </c>
      <c r="AF165" s="8">
        <f>INDEX(FPL_Raw_Data!$L:$L,MATCH(A165,FPL_Raw_Data!$AA:$AA,0))</f>
        <v>0</v>
      </c>
      <c r="AG165" s="2">
        <f>INDEX(FPL_Raw_Data!$M:$M,MATCH(A165,FPL_Raw_Data!$AA:$AA,0))</f>
        <v>0</v>
      </c>
      <c r="AH165" s="2">
        <f t="shared" si="58"/>
        <v>0.11076923076923079</v>
      </c>
      <c r="AI165" s="2">
        <f t="shared" si="59"/>
        <v>6.9230769230769235E-2</v>
      </c>
      <c r="AJ165" s="2">
        <f t="shared" si="60"/>
        <v>1.3333333333333333</v>
      </c>
      <c r="AK165" s="2">
        <f t="shared" si="61"/>
        <v>2</v>
      </c>
      <c r="AL165" s="2">
        <f t="shared" si="62"/>
        <v>0</v>
      </c>
      <c r="AM165" s="2">
        <f t="shared" si="63"/>
        <v>0</v>
      </c>
      <c r="AN165" s="2">
        <f t="shared" si="64"/>
        <v>0</v>
      </c>
      <c r="AO165" s="3">
        <f t="shared" si="65"/>
        <v>43.9</v>
      </c>
      <c r="AP165">
        <f t="shared" si="66"/>
        <v>59.5</v>
      </c>
      <c r="AQ165">
        <f t="shared" si="67"/>
        <v>60.699999999999996</v>
      </c>
      <c r="AR165">
        <f t="shared" si="68"/>
        <v>64.600000000000009</v>
      </c>
      <c r="AS165" s="2">
        <f t="shared" si="69"/>
        <v>66.666666666666657</v>
      </c>
      <c r="AT165" s="2">
        <f>IFERROR(INDEX(Player_Model!$BC$2:$BC$596,MATCH($A165,Player_Model!$A$2:$A$596,0)),0)</f>
        <v>1.626784929778337</v>
      </c>
      <c r="AU165" s="2">
        <f>Table8[[#This Row],[Model Expected Points]]*Table8[[#This Row],[Fixture Adjustment]]</f>
        <v>1.4083843782862568</v>
      </c>
      <c r="AV165" s="2">
        <f>Table8[[#This Row],[Fixture Adjusted Points / 90]]/Table8[[#This Row],[Price]]</f>
        <v>0.28167687565725136</v>
      </c>
      <c r="AW165">
        <f t="shared" si="70"/>
        <v>59.5</v>
      </c>
      <c r="AX165">
        <f t="shared" si="71"/>
        <v>0.93287356321839088</v>
      </c>
      <c r="AY165" s="2">
        <f t="shared" si="72"/>
        <v>66.666666666666657</v>
      </c>
      <c r="AZ165" s="5">
        <f t="shared" si="73"/>
        <v>0.86574712643678164</v>
      </c>
      <c r="BA165">
        <f>Table8[[#This Row],[Model Score2]]</f>
        <v>1.626784929778337</v>
      </c>
      <c r="BB165">
        <f>IFERROR(INDEX(Player_Model!$BG$2:$BG$596,MATCH($A165,Player_Model!$A$2:$A$596,0)),"")</f>
        <v>95</v>
      </c>
      <c r="BC165" t="str">
        <f t="shared" si="74"/>
        <v>AVOID</v>
      </c>
      <c r="BD165">
        <f>IF(H165=1,Table8[[#This Row],[Model Score]],-10000)</f>
        <v>1.626784929778337</v>
      </c>
      <c r="BE165">
        <f>IFERROR(INDEX(Player_Model!$BF$2:$BF$596,MATCH($A165,Player_Model!$A$2:$A$596,0)),"")</f>
        <v>251</v>
      </c>
      <c r="BF165">
        <f>IFERROR(INDEX(Player_Model!$BG$2:$BG$596,MATCH($A165,Player_Model!$A$2:$A$596,0)),"")</f>
        <v>95</v>
      </c>
      <c r="BG165">
        <f>IFERROR(INDEX(Player_Model!$BE$2:$BE$596,MATCH($A165,Player_Model!$A$2:$A$596,0)),0)</f>
        <v>1.626784929778337</v>
      </c>
    </row>
    <row r="166" spans="1:59" x14ac:dyDescent="0.25">
      <c r="A166" t="str">
        <f>tblPlayers[first_name]&amp;" "&amp;tblPlayers[second_name]</f>
        <v>Wesley Fofana</v>
      </c>
      <c r="B166" t="str">
        <f>_xlfn.SWITCH(tblPlayers[element_type],1,"GK",2,"DEF",3,"MID",4,"FWD")</f>
        <v>DEF</v>
      </c>
      <c r="C166">
        <f>tblPlayers[team]</f>
        <v>6</v>
      </c>
      <c r="D166" t="str">
        <f>INDEX(tblTeams[Column1.short_name],MATCH(C166,tblTeams[Column1.id],0))</f>
        <v>CHE</v>
      </c>
      <c r="E166" s="4">
        <f>INDEX(FPL_Raw_Data!$F:$F,MATCH(A166,FPL_Raw_Data!$AA:$AA,0))/10</f>
        <v>5</v>
      </c>
      <c r="F166" s="4" t="str">
        <f>tblPlayers[[#This Row],[status]]</f>
        <v>a</v>
      </c>
      <c r="G166" s="4" t="b">
        <f>tblPlayers[[#This Row],[can_select]]</f>
        <v>1</v>
      </c>
      <c r="H166">
        <f>IF(AND(Table8[[#This Row],[Availability Status]]="a",Table8[[#This Row],[Can Select]]=TRUE),1,0)</f>
        <v>1</v>
      </c>
      <c r="I166">
        <f>tblPlayers[minutes]</f>
        <v>157</v>
      </c>
      <c r="J166" s="2">
        <f>Table8[[#This Row],[Minutes]]/90</f>
        <v>1.7444444444444445</v>
      </c>
      <c r="K166" s="5">
        <f>IFERROR(Z166/(FIXTURE_ANALYSIS!$B$1-1),0)</f>
        <v>0.66666666666666663</v>
      </c>
      <c r="L166">
        <f>tblPlayers[total_points]</f>
        <v>3</v>
      </c>
      <c r="M166">
        <f>tblPlayers[points_per_game]</f>
        <v>1.5</v>
      </c>
      <c r="N166">
        <f>tblPlayers[form]</f>
        <v>1</v>
      </c>
      <c r="O166">
        <f>tblPlayers[expected_goals]</f>
        <v>0</v>
      </c>
      <c r="P166">
        <f>tblPlayers[expected_assists]</f>
        <v>0.05</v>
      </c>
      <c r="Q166">
        <f>tblPlayers[expected_goal_involvements]</f>
        <v>0.05</v>
      </c>
      <c r="R166" s="2">
        <f t="shared" si="50"/>
        <v>1.7197452229299361</v>
      </c>
      <c r="S166" s="5">
        <f t="shared" si="51"/>
        <v>0</v>
      </c>
      <c r="T166" s="5">
        <f t="shared" si="52"/>
        <v>2.8662420382165609E-2</v>
      </c>
      <c r="U166" s="5">
        <f t="shared" si="53"/>
        <v>2.8662420382165609E-2</v>
      </c>
      <c r="V166" s="3">
        <f t="shared" si="54"/>
        <v>0.6</v>
      </c>
      <c r="W166" s="5">
        <f t="shared" si="55"/>
        <v>0.01</v>
      </c>
      <c r="X166" s="5">
        <f>IFERROR(IF(OR($B166="MID",$B166="FWD"),INDEX(FIXTURE_ANALYSIS!$Q:$Q,MATCH($D166,FIXTURE_ANALYSIS!$A:$A,0)),INDEX(FIXTURE_ANALYSIS!$R:$R,MATCH($D166,FIXTURE_ANALYSIS!$A:$A,0))),1)</f>
        <v>0.86574712643678164</v>
      </c>
      <c r="Y166" s="5">
        <f t="shared" si="56"/>
        <v>0.86574712643678164</v>
      </c>
      <c r="Z166" s="8">
        <f>INDEX(FPL_Raw_Data!$T:$T,MATCH(A166,FPL_Raw_Data!$AA:$AA,0))</f>
        <v>2</v>
      </c>
      <c r="AA166" s="8">
        <f>INDEX(FPL_Raw_Data!$S:$S,MATCH(A166,FPL_Raw_Data!$AA:$AA,0))</f>
        <v>26</v>
      </c>
      <c r="AB166" s="2">
        <f t="shared" si="57"/>
        <v>1</v>
      </c>
      <c r="AC166" s="2">
        <f>INDEX(FPL_Raw_Data!$Q:$Q,MATCH(A166,FPL_Raw_Data!$AA:$AA,0))</f>
        <v>0</v>
      </c>
      <c r="AD166" s="8">
        <f>INDEX(FPL_Raw_Data!$R:$R,MATCH(A166,FPL_Raw_Data!$AA:$AA,0))</f>
        <v>14</v>
      </c>
      <c r="AE166" s="8">
        <f>INDEX(FPL_Raw_Data!$N:$N,MATCH(A166,FPL_Raw_Data!$AA:$AA,0))</f>
        <v>0</v>
      </c>
      <c r="AF166" s="8">
        <f>INDEX(FPL_Raw_Data!$L:$L,MATCH(A166,FPL_Raw_Data!$AA:$AA,0))</f>
        <v>0</v>
      </c>
      <c r="AG166" s="2">
        <f>INDEX(FPL_Raw_Data!$M:$M,MATCH(A166,FPL_Raw_Data!$AA:$AA,0))</f>
        <v>0</v>
      </c>
      <c r="AH166" s="2">
        <f t="shared" si="58"/>
        <v>0</v>
      </c>
      <c r="AI166" s="2">
        <f t="shared" si="59"/>
        <v>8.5987261146496824E-2</v>
      </c>
      <c r="AJ166" s="2">
        <f t="shared" si="60"/>
        <v>1.3333333333333333</v>
      </c>
      <c r="AK166" s="2">
        <f t="shared" si="61"/>
        <v>2</v>
      </c>
      <c r="AL166" s="2">
        <f t="shared" si="62"/>
        <v>0</v>
      </c>
      <c r="AM166" s="2">
        <f t="shared" si="63"/>
        <v>0</v>
      </c>
      <c r="AN166" s="2">
        <f t="shared" si="64"/>
        <v>0</v>
      </c>
      <c r="AO166" s="3">
        <f t="shared" si="65"/>
        <v>45.4</v>
      </c>
      <c r="AP166">
        <f t="shared" si="66"/>
        <v>57.199999999999996</v>
      </c>
      <c r="AQ166">
        <f t="shared" si="67"/>
        <v>60.699999999999996</v>
      </c>
      <c r="AR166">
        <f t="shared" si="68"/>
        <v>60.099999999999994</v>
      </c>
      <c r="AS166" s="2">
        <f t="shared" si="69"/>
        <v>66.666666666666657</v>
      </c>
      <c r="AT166" s="2">
        <f>IFERROR(INDEX(Player_Model!$BC$2:$BC$596,MATCH($A166,Player_Model!$A$2:$A$596,0)),0)</f>
        <v>3.4374977098532034</v>
      </c>
      <c r="AU166" s="2">
        <f>Table8[[#This Row],[Model Expected Points]]*Table8[[#This Row],[Fixture Adjustment]]</f>
        <v>2.9760037644384285</v>
      </c>
      <c r="AV166" s="2">
        <f>Table8[[#This Row],[Fixture Adjusted Points / 90]]/Table8[[#This Row],[Price]]</f>
        <v>0.5952007528876857</v>
      </c>
      <c r="AW166">
        <f t="shared" si="70"/>
        <v>57.199999999999996</v>
      </c>
      <c r="AX166">
        <f t="shared" si="71"/>
        <v>0.93287356321839088</v>
      </c>
      <c r="AY166" s="2">
        <f t="shared" si="72"/>
        <v>66.666666666666657</v>
      </c>
      <c r="AZ166" s="5">
        <f t="shared" si="73"/>
        <v>0.86574712643678164</v>
      </c>
      <c r="BA166">
        <f>Table8[[#This Row],[Model Score2]]</f>
        <v>3.4374977098532034</v>
      </c>
      <c r="BB166">
        <f>IFERROR(INDEX(Player_Model!$BG$2:$BG$596,MATCH($A166,Player_Model!$A$2:$A$596,0)),"")</f>
        <v>59</v>
      </c>
      <c r="BC166" t="str">
        <f t="shared" si="74"/>
        <v>AVOID</v>
      </c>
      <c r="BD166">
        <f>IF(H166=1,Table8[[#This Row],[Model Score]],-10000)</f>
        <v>3.4374977098532034</v>
      </c>
      <c r="BE166">
        <f>IFERROR(INDEX(Player_Model!$BF$2:$BF$596,MATCH($A166,Player_Model!$A$2:$A$596,0)),"")</f>
        <v>182</v>
      </c>
      <c r="BF166">
        <f>IFERROR(INDEX(Player_Model!$BG$2:$BG$596,MATCH($A166,Player_Model!$A$2:$A$596,0)),"")</f>
        <v>59</v>
      </c>
      <c r="BG166">
        <f>IFERROR(INDEX(Player_Model!$BE$2:$BE$596,MATCH($A166,Player_Model!$A$2:$A$596,0)),0)</f>
        <v>3.4374977098532034</v>
      </c>
    </row>
    <row r="167" spans="1:59" x14ac:dyDescent="0.25">
      <c r="A167" t="str">
        <f>tblPlayers[first_name]&amp;" "&amp;tblPlayers[second_name]</f>
        <v>Benoît Badiashile Mukinayi</v>
      </c>
      <c r="B167" t="str">
        <f>_xlfn.SWITCH(tblPlayers[element_type],1,"GK",2,"DEF",3,"MID",4,"FWD")</f>
        <v>DEF</v>
      </c>
      <c r="C167">
        <f>tblPlayers[team]</f>
        <v>6</v>
      </c>
      <c r="D167" t="str">
        <f>INDEX(tblTeams[Column1.short_name],MATCH(C167,tblTeams[Column1.id],0))</f>
        <v>CHE</v>
      </c>
      <c r="E167" s="4">
        <f>INDEX(FPL_Raw_Data!$F:$F,MATCH(A167,FPL_Raw_Data!$AA:$AA,0))/10</f>
        <v>4.5</v>
      </c>
      <c r="F167" s="4" t="str">
        <f>tblPlayers[[#This Row],[status]]</f>
        <v>u</v>
      </c>
      <c r="G167" s="4" t="b">
        <f>tblPlayers[[#This Row],[can_select]]</f>
        <v>0</v>
      </c>
      <c r="H167">
        <f>IF(AND(Table8[[#This Row],[Availability Status]]="a",Table8[[#This Row],[Can Select]]=TRUE),1,0)</f>
        <v>0</v>
      </c>
      <c r="I167">
        <f>tblPlayers[minutes]</f>
        <v>0</v>
      </c>
      <c r="J167" s="2">
        <f>Table8[[#This Row],[Minutes]]/90</f>
        <v>0</v>
      </c>
      <c r="K167" s="5">
        <f>IFERROR(Z167/(FIXTURE_ANALYSIS!$B$1-1),0)</f>
        <v>0</v>
      </c>
      <c r="L167">
        <f>tblPlayers[total_points]</f>
        <v>0</v>
      </c>
      <c r="M167">
        <f>tblPlayers[points_per_game]</f>
        <v>0</v>
      </c>
      <c r="N167">
        <f>tblPlayers[form]</f>
        <v>0</v>
      </c>
      <c r="O167">
        <f>tblPlayers[expected_goals]</f>
        <v>0</v>
      </c>
      <c r="P167">
        <f>tblPlayers[expected_assists]</f>
        <v>0</v>
      </c>
      <c r="Q167">
        <f>tblPlayers[expected_goal_involvements]</f>
        <v>0</v>
      </c>
      <c r="R167" s="2">
        <f t="shared" si="50"/>
        <v>0</v>
      </c>
      <c r="S167" s="5">
        <f t="shared" si="51"/>
        <v>0</v>
      </c>
      <c r="T167" s="5">
        <f t="shared" si="52"/>
        <v>0</v>
      </c>
      <c r="U167" s="5">
        <f t="shared" si="53"/>
        <v>0</v>
      </c>
      <c r="V167" s="3">
        <f t="shared" si="54"/>
        <v>0</v>
      </c>
      <c r="W167" s="5">
        <f t="shared" si="55"/>
        <v>0</v>
      </c>
      <c r="X167" s="5">
        <f>IFERROR(IF(OR($B167="MID",$B167="FWD"),INDEX(FIXTURE_ANALYSIS!$Q:$Q,MATCH($D167,FIXTURE_ANALYSIS!$A:$A,0)),INDEX(FIXTURE_ANALYSIS!$R:$R,MATCH($D167,FIXTURE_ANALYSIS!$A:$A,0))),1)</f>
        <v>0.86574712643678164</v>
      </c>
      <c r="Y167" s="5">
        <f t="shared" si="56"/>
        <v>0.86574712643678164</v>
      </c>
      <c r="Z167" s="8">
        <f>INDEX(FPL_Raw_Data!$T:$T,MATCH(A167,FPL_Raw_Data!$AA:$AA,0))</f>
        <v>0</v>
      </c>
      <c r="AA167" s="8">
        <f>INDEX(FPL_Raw_Data!$S:$S,MATCH(A167,FPL_Raw_Data!$AA:$AA,0))</f>
        <v>0</v>
      </c>
      <c r="AB167" s="2">
        <f t="shared" si="57"/>
        <v>0</v>
      </c>
      <c r="AC167" s="2">
        <f>INDEX(FPL_Raw_Data!$Q:$Q,MATCH(A167,FPL_Raw_Data!$AA:$AA,0))</f>
        <v>0</v>
      </c>
      <c r="AD167" s="8">
        <f>INDEX(FPL_Raw_Data!$R:$R,MATCH(A167,FPL_Raw_Data!$AA:$AA,0))</f>
        <v>0</v>
      </c>
      <c r="AE167" s="8">
        <f>INDEX(FPL_Raw_Data!$N:$N,MATCH(A167,FPL_Raw_Data!$AA:$AA,0))</f>
        <v>0</v>
      </c>
      <c r="AF167" s="8">
        <f>INDEX(FPL_Raw_Data!$L:$L,MATCH(A167,FPL_Raw_Data!$AA:$AA,0))</f>
        <v>0</v>
      </c>
      <c r="AG167" s="2">
        <f>INDEX(FPL_Raw_Data!$M:$M,MATCH(A167,FPL_Raw_Data!$AA:$AA,0))</f>
        <v>0</v>
      </c>
      <c r="AH167" s="2">
        <f t="shared" si="58"/>
        <v>0</v>
      </c>
      <c r="AI167" s="2">
        <f t="shared" si="59"/>
        <v>0</v>
      </c>
      <c r="AJ167" s="2">
        <f t="shared" si="60"/>
        <v>0</v>
      </c>
      <c r="AK167" s="2">
        <f t="shared" si="61"/>
        <v>0</v>
      </c>
      <c r="AL167" s="2">
        <f t="shared" si="62"/>
        <v>0</v>
      </c>
      <c r="AM167" s="2">
        <f t="shared" si="63"/>
        <v>0</v>
      </c>
      <c r="AN167" s="2">
        <f t="shared" si="64"/>
        <v>0</v>
      </c>
      <c r="AO167" s="3">
        <f t="shared" si="65"/>
        <v>0.1</v>
      </c>
      <c r="AP167">
        <f t="shared" si="66"/>
        <v>0</v>
      </c>
      <c r="AQ167">
        <f t="shared" si="67"/>
        <v>0.1</v>
      </c>
      <c r="AR167">
        <f t="shared" si="68"/>
        <v>0</v>
      </c>
      <c r="AS167" s="2">
        <f t="shared" si="69"/>
        <v>0</v>
      </c>
      <c r="AT167" s="2">
        <f>IFERROR(INDEX(Player_Model!$BC$2:$BC$596,MATCH($A167,Player_Model!$A$2:$A$596,0)),0)</f>
        <v>-1.0100383141762452</v>
      </c>
      <c r="AU167" s="2">
        <f>Table8[[#This Row],[Model Expected Points]]*Table8[[#This Row],[Fixture Adjustment]]</f>
        <v>-0.87443776808913554</v>
      </c>
      <c r="AV167" s="2">
        <f>Table8[[#This Row],[Fixture Adjusted Points / 90]]/Table8[[#This Row],[Price]]</f>
        <v>-0.19431950401980791</v>
      </c>
      <c r="AW167">
        <f t="shared" si="70"/>
        <v>0</v>
      </c>
      <c r="AX167">
        <f t="shared" si="71"/>
        <v>0.43287356321839082</v>
      </c>
      <c r="AY167" s="2">
        <f t="shared" si="72"/>
        <v>0</v>
      </c>
      <c r="AZ167" s="5">
        <f t="shared" si="73"/>
        <v>0.86574712643678164</v>
      </c>
      <c r="BA167">
        <f>Table8[[#This Row],[Model Score2]]</f>
        <v>-1.0100383141762452</v>
      </c>
      <c r="BB167">
        <f>IFERROR(INDEX(Player_Model!$BG$2:$BG$596,MATCH($A167,Player_Model!$A$2:$A$596,0)),"")</f>
        <v>179</v>
      </c>
      <c r="BC167" t="str">
        <f t="shared" si="74"/>
        <v>AVOID</v>
      </c>
      <c r="BD167">
        <f>IF(H167=1,Table8[[#This Row],[Model Score]],-10000)</f>
        <v>-10000</v>
      </c>
      <c r="BE167">
        <f>IFERROR(INDEX(Player_Model!$BF$2:$BF$596,MATCH($A167,Player_Model!$A$2:$A$596,0)),"")</f>
        <v>581</v>
      </c>
      <c r="BF167">
        <f>IFERROR(INDEX(Player_Model!$BG$2:$BG$596,MATCH($A167,Player_Model!$A$2:$A$596,0)),"")</f>
        <v>179</v>
      </c>
      <c r="BG167">
        <f>IFERROR(INDEX(Player_Model!$BE$2:$BE$596,MATCH($A167,Player_Model!$A$2:$A$596,0)),0)</f>
        <v>-1.0100383141762452</v>
      </c>
    </row>
    <row r="168" spans="1:59" x14ac:dyDescent="0.25">
      <c r="A168" t="str">
        <f>tblPlayers[first_name]&amp;" "&amp;tblPlayers[second_name]</f>
        <v>Jorrel Hato</v>
      </c>
      <c r="B168" t="str">
        <f>_xlfn.SWITCH(tblPlayers[element_type],1,"GK",2,"DEF",3,"MID",4,"FWD")</f>
        <v>DEF</v>
      </c>
      <c r="C168">
        <f>tblPlayers[team]</f>
        <v>6</v>
      </c>
      <c r="D168" t="str">
        <f>INDEX(tblTeams[Column1.short_name],MATCH(C168,tblTeams[Column1.id],0))</f>
        <v>CHE</v>
      </c>
      <c r="E168" s="4">
        <f>INDEX(FPL_Raw_Data!$F:$F,MATCH(A168,FPL_Raw_Data!$AA:$AA,0))/10</f>
        <v>4.5</v>
      </c>
      <c r="F168" s="4" t="str">
        <f>tblPlayers[[#This Row],[status]]</f>
        <v>a</v>
      </c>
      <c r="G168" s="4" t="b">
        <f>tblPlayers[[#This Row],[can_select]]</f>
        <v>1</v>
      </c>
      <c r="H168">
        <f>IF(AND(Table8[[#This Row],[Availability Status]]="a",Table8[[#This Row],[Can Select]]=TRUE),1,0)</f>
        <v>1</v>
      </c>
      <c r="I168">
        <f>tblPlayers[minutes]</f>
        <v>213</v>
      </c>
      <c r="J168" s="2">
        <f>Table8[[#This Row],[Minutes]]/90</f>
        <v>2.3666666666666667</v>
      </c>
      <c r="K168" s="5">
        <f>IFERROR(Z168/(FIXTURE_ANALYSIS!$B$1-1),0)</f>
        <v>1</v>
      </c>
      <c r="L168">
        <f>tblPlayers[total_points]</f>
        <v>8</v>
      </c>
      <c r="M168">
        <f>tblPlayers[points_per_game]</f>
        <v>2.7</v>
      </c>
      <c r="N168">
        <f>tblPlayers[form]</f>
        <v>2.7</v>
      </c>
      <c r="O168">
        <f>tblPlayers[expected_goals]</f>
        <v>0.01</v>
      </c>
      <c r="P168">
        <f>tblPlayers[expected_assists]</f>
        <v>0.11</v>
      </c>
      <c r="Q168">
        <f>tblPlayers[expected_goal_involvements]</f>
        <v>0.12</v>
      </c>
      <c r="R168" s="2">
        <f t="shared" si="50"/>
        <v>3.380281690140845</v>
      </c>
      <c r="S168" s="5">
        <f t="shared" si="51"/>
        <v>4.2253521126760568E-3</v>
      </c>
      <c r="T168" s="5">
        <f t="shared" si="52"/>
        <v>4.6478873239436613E-2</v>
      </c>
      <c r="U168" s="5">
        <f t="shared" si="53"/>
        <v>5.0704225352112678E-2</v>
      </c>
      <c r="V168" s="3">
        <f t="shared" si="54"/>
        <v>1.7777777777777777</v>
      </c>
      <c r="W168" s="5">
        <f t="shared" si="55"/>
        <v>2.6666666666666665E-2</v>
      </c>
      <c r="X168" s="5">
        <f>IFERROR(IF(OR($B168="MID",$B168="FWD"),INDEX(FIXTURE_ANALYSIS!$Q:$Q,MATCH($D168,FIXTURE_ANALYSIS!$A:$A,0)),INDEX(FIXTURE_ANALYSIS!$R:$R,MATCH($D168,FIXTURE_ANALYSIS!$A:$A,0))),1)</f>
        <v>0.86574712643678164</v>
      </c>
      <c r="Y168" s="5">
        <f t="shared" si="56"/>
        <v>0.86574712643678164</v>
      </c>
      <c r="Z168" s="8">
        <f>INDEX(FPL_Raw_Data!$T:$T,MATCH(A168,FPL_Raw_Data!$AA:$AA,0))</f>
        <v>3</v>
      </c>
      <c r="AA168" s="8">
        <f>INDEX(FPL_Raw_Data!$S:$S,MATCH(A168,FPL_Raw_Data!$AA:$AA,0))</f>
        <v>15</v>
      </c>
      <c r="AB168" s="2">
        <f t="shared" si="57"/>
        <v>1</v>
      </c>
      <c r="AC168" s="2">
        <f>INDEX(FPL_Raw_Data!$Q:$Q,MATCH(A168,FPL_Raw_Data!$AA:$AA,0))</f>
        <v>0</v>
      </c>
      <c r="AD168" s="8">
        <f>INDEX(FPL_Raw_Data!$R:$R,MATCH(A168,FPL_Raw_Data!$AA:$AA,0))</f>
        <v>22</v>
      </c>
      <c r="AE168" s="8">
        <f>INDEX(FPL_Raw_Data!$N:$N,MATCH(A168,FPL_Raw_Data!$AA:$AA,0))</f>
        <v>0</v>
      </c>
      <c r="AF168" s="8">
        <f>INDEX(FPL_Raw_Data!$L:$L,MATCH(A168,FPL_Raw_Data!$AA:$AA,0))</f>
        <v>0</v>
      </c>
      <c r="AG168" s="2">
        <f>INDEX(FPL_Raw_Data!$M:$M,MATCH(A168,FPL_Raw_Data!$AA:$AA,0))</f>
        <v>2</v>
      </c>
      <c r="AH168" s="2">
        <f t="shared" si="58"/>
        <v>2.5352112676056339E-2</v>
      </c>
      <c r="AI168" s="2">
        <f t="shared" si="59"/>
        <v>0.13943661971830984</v>
      </c>
      <c r="AJ168" s="2">
        <f t="shared" si="60"/>
        <v>2</v>
      </c>
      <c r="AK168" s="2">
        <f t="shared" si="61"/>
        <v>2</v>
      </c>
      <c r="AL168" s="2">
        <f t="shared" si="62"/>
        <v>0</v>
      </c>
      <c r="AM168" s="2">
        <f t="shared" si="63"/>
        <v>0</v>
      </c>
      <c r="AN168" s="2">
        <f t="shared" si="64"/>
        <v>0</v>
      </c>
      <c r="AO168" s="3">
        <f t="shared" si="65"/>
        <v>64.600000000000009</v>
      </c>
      <c r="AP168">
        <f t="shared" si="66"/>
        <v>61.9</v>
      </c>
      <c r="AQ168">
        <f t="shared" si="67"/>
        <v>83.5</v>
      </c>
      <c r="AR168">
        <f t="shared" si="68"/>
        <v>69.5</v>
      </c>
      <c r="AS168" s="2">
        <f t="shared" si="69"/>
        <v>100</v>
      </c>
      <c r="AT168" s="2">
        <f>IFERROR(INDEX(Player_Model!$BC$2:$BC$596,MATCH($A168,Player_Model!$A$2:$A$596,0)),0)</f>
        <v>1.9921878782794691</v>
      </c>
      <c r="AU168" s="2">
        <f>Table8[[#This Row],[Model Expected Points]]*Table8[[#This Row],[Fixture Adjustment]]</f>
        <v>1.7247309309426393</v>
      </c>
      <c r="AV168" s="2">
        <f>Table8[[#This Row],[Fixture Adjusted Points / 90]]/Table8[[#This Row],[Price]]</f>
        <v>0.38327354020947541</v>
      </c>
      <c r="AW168">
        <f t="shared" si="70"/>
        <v>61.9</v>
      </c>
      <c r="AX168">
        <f t="shared" si="71"/>
        <v>0.93287356321839088</v>
      </c>
      <c r="AY168" s="2">
        <f t="shared" si="72"/>
        <v>100</v>
      </c>
      <c r="AZ168" s="5">
        <f t="shared" si="73"/>
        <v>0.86574712643678164</v>
      </c>
      <c r="BA168">
        <f>Table8[[#This Row],[Model Score2]]</f>
        <v>1.9921878782794691</v>
      </c>
      <c r="BB168">
        <f>IFERROR(INDEX(Player_Model!$BG$2:$BG$596,MATCH($A168,Player_Model!$A$2:$A$596,0)),"")</f>
        <v>89</v>
      </c>
      <c r="BC168" t="str">
        <f t="shared" si="74"/>
        <v>AVOID</v>
      </c>
      <c r="BD168">
        <f>IF(H168=1,Table8[[#This Row],[Model Score]],-10000)</f>
        <v>1.9921878782794691</v>
      </c>
      <c r="BE168">
        <f>IFERROR(INDEX(Player_Model!$BF$2:$BF$596,MATCH($A168,Player_Model!$A$2:$A$596,0)),"")</f>
        <v>245</v>
      </c>
      <c r="BF168">
        <f>IFERROR(INDEX(Player_Model!$BG$2:$BG$596,MATCH($A168,Player_Model!$A$2:$A$596,0)),"")</f>
        <v>89</v>
      </c>
      <c r="BG168">
        <f>IFERROR(INDEX(Player_Model!$BE$2:$BE$596,MATCH($A168,Player_Model!$A$2:$A$596,0)),0)</f>
        <v>1.9921878782794691</v>
      </c>
    </row>
    <row r="169" spans="1:59" x14ac:dyDescent="0.25">
      <c r="A169" t="str">
        <f>tblPlayers[first_name]&amp;" "&amp;tblPlayers[second_name]</f>
        <v>Levi Samuels Colwill</v>
      </c>
      <c r="B169" t="str">
        <f>_xlfn.SWITCH(tblPlayers[element_type],1,"GK",2,"DEF",3,"MID",4,"FWD")</f>
        <v>DEF</v>
      </c>
      <c r="C169">
        <f>tblPlayers[team]</f>
        <v>6</v>
      </c>
      <c r="D169" t="str">
        <f>INDEX(tblTeams[Column1.short_name],MATCH(C169,tblTeams[Column1.id],0))</f>
        <v>CHE</v>
      </c>
      <c r="E169" s="4">
        <f>INDEX(FPL_Raw_Data!$F:$F,MATCH(A169,FPL_Raw_Data!$AA:$AA,0))/10</f>
        <v>4.9000000000000004</v>
      </c>
      <c r="F169" s="4" t="str">
        <f>tblPlayers[[#This Row],[status]]</f>
        <v>a</v>
      </c>
      <c r="G169" s="4" t="b">
        <f>tblPlayers[[#This Row],[can_select]]</f>
        <v>1</v>
      </c>
      <c r="H169">
        <f>IF(AND(Table8[[#This Row],[Availability Status]]="a",Table8[[#This Row],[Can Select]]=TRUE),1,0)</f>
        <v>1</v>
      </c>
      <c r="I169">
        <f>tblPlayers[minutes]</f>
        <v>161</v>
      </c>
      <c r="J169" s="2">
        <f>Table8[[#This Row],[Minutes]]/90</f>
        <v>1.788888888888889</v>
      </c>
      <c r="K169" s="5">
        <f>IFERROR(Z169/(FIXTURE_ANALYSIS!$B$1-1),0)</f>
        <v>0.66666666666666663</v>
      </c>
      <c r="L169">
        <f>tblPlayers[total_points]</f>
        <v>1</v>
      </c>
      <c r="M169">
        <f>tblPlayers[points_per_game]</f>
        <v>0.5</v>
      </c>
      <c r="N169">
        <f>tblPlayers[form]</f>
        <v>0.3</v>
      </c>
      <c r="O169">
        <f>tblPlayers[expected_goals]</f>
        <v>0.01</v>
      </c>
      <c r="P169">
        <f>tblPlayers[expected_assists]</f>
        <v>0.03</v>
      </c>
      <c r="Q169">
        <f>tblPlayers[expected_goal_involvements]</f>
        <v>0.04</v>
      </c>
      <c r="R169" s="2">
        <f t="shared" si="50"/>
        <v>0.55900621118012417</v>
      </c>
      <c r="S169" s="5">
        <f t="shared" si="51"/>
        <v>5.5900621118012426E-3</v>
      </c>
      <c r="T169" s="5">
        <f t="shared" si="52"/>
        <v>1.6770186335403725E-2</v>
      </c>
      <c r="U169" s="5">
        <f t="shared" si="53"/>
        <v>2.236024844720497E-2</v>
      </c>
      <c r="V169" s="3">
        <f t="shared" si="54"/>
        <v>0.2040816326530612</v>
      </c>
      <c r="W169" s="5">
        <f t="shared" si="55"/>
        <v>8.163265306122448E-3</v>
      </c>
      <c r="X169" s="5">
        <f>IFERROR(IF(OR($B169="MID",$B169="FWD"),INDEX(FIXTURE_ANALYSIS!$Q:$Q,MATCH($D169,FIXTURE_ANALYSIS!$A:$A,0)),INDEX(FIXTURE_ANALYSIS!$R:$R,MATCH($D169,FIXTURE_ANALYSIS!$A:$A,0))),1)</f>
        <v>0.86574712643678164</v>
      </c>
      <c r="Y169" s="5">
        <f t="shared" si="56"/>
        <v>0.86574712643678164</v>
      </c>
      <c r="Z169" s="8">
        <f>INDEX(FPL_Raw_Data!$T:$T,MATCH(A169,FPL_Raw_Data!$AA:$AA,0))</f>
        <v>2</v>
      </c>
      <c r="AA169" s="8">
        <f>INDEX(FPL_Raw_Data!$S:$S,MATCH(A169,FPL_Raw_Data!$AA:$AA,0))</f>
        <v>13</v>
      </c>
      <c r="AB169" s="2">
        <f t="shared" si="57"/>
        <v>1</v>
      </c>
      <c r="AC169" s="2">
        <f>INDEX(FPL_Raw_Data!$Q:$Q,MATCH(A169,FPL_Raw_Data!$AA:$AA,0))</f>
        <v>0</v>
      </c>
      <c r="AD169" s="8">
        <f>INDEX(FPL_Raw_Data!$R:$R,MATCH(A169,FPL_Raw_Data!$AA:$AA,0))</f>
        <v>8</v>
      </c>
      <c r="AE169" s="8">
        <f>INDEX(FPL_Raw_Data!$N:$N,MATCH(A169,FPL_Raw_Data!$AA:$AA,0))</f>
        <v>0</v>
      </c>
      <c r="AF169" s="8">
        <f>INDEX(FPL_Raw_Data!$L:$L,MATCH(A169,FPL_Raw_Data!$AA:$AA,0))</f>
        <v>0</v>
      </c>
      <c r="AG169" s="2">
        <f>INDEX(FPL_Raw_Data!$M:$M,MATCH(A169,FPL_Raw_Data!$AA:$AA,0))</f>
        <v>0</v>
      </c>
      <c r="AH169" s="2">
        <f t="shared" si="58"/>
        <v>3.3540372670807457E-2</v>
      </c>
      <c r="AI169" s="2">
        <f t="shared" si="59"/>
        <v>5.0310559006211175E-2</v>
      </c>
      <c r="AJ169" s="2">
        <f t="shared" si="60"/>
        <v>1.3333333333333333</v>
      </c>
      <c r="AK169" s="2">
        <f t="shared" si="61"/>
        <v>2</v>
      </c>
      <c r="AL169" s="2">
        <f t="shared" si="62"/>
        <v>0</v>
      </c>
      <c r="AM169" s="2">
        <f t="shared" si="63"/>
        <v>0</v>
      </c>
      <c r="AN169" s="2">
        <f t="shared" si="64"/>
        <v>0</v>
      </c>
      <c r="AO169" s="3">
        <f t="shared" si="65"/>
        <v>41</v>
      </c>
      <c r="AP169">
        <f t="shared" si="66"/>
        <v>55.500000000000007</v>
      </c>
      <c r="AQ169">
        <f t="shared" si="67"/>
        <v>46.2</v>
      </c>
      <c r="AR169">
        <f t="shared" si="68"/>
        <v>58.699999999999996</v>
      </c>
      <c r="AS169" s="2">
        <f t="shared" si="69"/>
        <v>66.666666666666657</v>
      </c>
      <c r="AT169" s="2">
        <f>IFERROR(INDEX(Player_Model!$BC$2:$BC$596,MATCH($A169,Player_Model!$A$2:$A$596,0)),0)</f>
        <v>2.0764680622355485</v>
      </c>
      <c r="AU169" s="2">
        <f>Table8[[#This Row],[Model Expected Points]]*Table8[[#This Row],[Fixture Adjustment]]</f>
        <v>1.7976962580181783</v>
      </c>
      <c r="AV169" s="2">
        <f>Table8[[#This Row],[Fixture Adjusted Points / 90]]/Table8[[#This Row],[Price]]</f>
        <v>0.3668767873506486</v>
      </c>
      <c r="AW169">
        <f t="shared" si="70"/>
        <v>55.500000000000007</v>
      </c>
      <c r="AX169">
        <f t="shared" si="71"/>
        <v>0.93287356321839088</v>
      </c>
      <c r="AY169" s="2">
        <f t="shared" si="72"/>
        <v>66.666666666666657</v>
      </c>
      <c r="AZ169" s="5">
        <f t="shared" si="73"/>
        <v>0.86574712643678164</v>
      </c>
      <c r="BA169">
        <f>Table8[[#This Row],[Model Score2]]</f>
        <v>2.0764680622355485</v>
      </c>
      <c r="BB169">
        <f>IFERROR(INDEX(Player_Model!$BG$2:$BG$596,MATCH($A169,Player_Model!$A$2:$A$596,0)),"")</f>
        <v>86</v>
      </c>
      <c r="BC169" t="str">
        <f t="shared" si="74"/>
        <v>AVOID</v>
      </c>
      <c r="BD169">
        <f>IF(H169=1,Table8[[#This Row],[Model Score]],-10000)</f>
        <v>2.0764680622355485</v>
      </c>
      <c r="BE169">
        <f>IFERROR(INDEX(Player_Model!$BF$2:$BF$596,MATCH($A169,Player_Model!$A$2:$A$596,0)),"")</f>
        <v>241</v>
      </c>
      <c r="BF169">
        <f>IFERROR(INDEX(Player_Model!$BG$2:$BG$596,MATCH($A169,Player_Model!$A$2:$A$596,0)),"")</f>
        <v>86</v>
      </c>
      <c r="BG169">
        <f>IFERROR(INDEX(Player_Model!$BE$2:$BE$596,MATCH($A169,Player_Model!$A$2:$A$596,0)),0)</f>
        <v>2.0764680622355485</v>
      </c>
    </row>
    <row r="170" spans="1:59" x14ac:dyDescent="0.25">
      <c r="A170" t="str">
        <f>tblPlayers[first_name]&amp;" "&amp;tblPlayers[second_name]</f>
        <v>Mamadou Sarr</v>
      </c>
      <c r="B170" t="str">
        <f>_xlfn.SWITCH(tblPlayers[element_type],1,"GK",2,"DEF",3,"MID",4,"FWD")</f>
        <v>DEF</v>
      </c>
      <c r="C170">
        <f>tblPlayers[team]</f>
        <v>6</v>
      </c>
      <c r="D170" t="str">
        <f>INDEX(tblTeams[Column1.short_name],MATCH(C170,tblTeams[Column1.id],0))</f>
        <v>CHE</v>
      </c>
      <c r="E170" s="4">
        <f>INDEX(FPL_Raw_Data!$F:$F,MATCH(A170,FPL_Raw_Data!$AA:$AA,0))/10</f>
        <v>4.5</v>
      </c>
      <c r="F170" s="4" t="str">
        <f>tblPlayers[[#This Row],[status]]</f>
        <v>u</v>
      </c>
      <c r="G170" s="4" t="b">
        <f>tblPlayers[[#This Row],[can_select]]</f>
        <v>0</v>
      </c>
      <c r="H170">
        <f>IF(AND(Table8[[#This Row],[Availability Status]]="a",Table8[[#This Row],[Can Select]]=TRUE),1,0)</f>
        <v>0</v>
      </c>
      <c r="I170">
        <f>tblPlayers[minutes]</f>
        <v>0</v>
      </c>
      <c r="J170" s="2">
        <f>Table8[[#This Row],[Minutes]]/90</f>
        <v>0</v>
      </c>
      <c r="K170" s="5">
        <f>IFERROR(Z170/(FIXTURE_ANALYSIS!$B$1-1),0)</f>
        <v>0</v>
      </c>
      <c r="L170">
        <f>tblPlayers[total_points]</f>
        <v>0</v>
      </c>
      <c r="M170">
        <f>tblPlayers[points_per_game]</f>
        <v>0</v>
      </c>
      <c r="N170">
        <f>tblPlayers[form]</f>
        <v>0</v>
      </c>
      <c r="O170">
        <f>tblPlayers[expected_goals]</f>
        <v>0</v>
      </c>
      <c r="P170">
        <f>tblPlayers[expected_assists]</f>
        <v>0</v>
      </c>
      <c r="Q170">
        <f>tblPlayers[expected_goal_involvements]</f>
        <v>0</v>
      </c>
      <c r="R170" s="2">
        <f t="shared" si="50"/>
        <v>0</v>
      </c>
      <c r="S170" s="5">
        <f t="shared" si="51"/>
        <v>0</v>
      </c>
      <c r="T170" s="5">
        <f t="shared" si="52"/>
        <v>0</v>
      </c>
      <c r="U170" s="5">
        <f t="shared" si="53"/>
        <v>0</v>
      </c>
      <c r="V170" s="3">
        <f t="shared" si="54"/>
        <v>0</v>
      </c>
      <c r="W170" s="5">
        <f t="shared" si="55"/>
        <v>0</v>
      </c>
      <c r="X170" s="5">
        <f>IFERROR(IF(OR($B170="MID",$B170="FWD"),INDEX(FIXTURE_ANALYSIS!$Q:$Q,MATCH($D170,FIXTURE_ANALYSIS!$A:$A,0)),INDEX(FIXTURE_ANALYSIS!$R:$R,MATCH($D170,FIXTURE_ANALYSIS!$A:$A,0))),1)</f>
        <v>0.86574712643678164</v>
      </c>
      <c r="Y170" s="5">
        <f t="shared" si="56"/>
        <v>0.86574712643678164</v>
      </c>
      <c r="Z170" s="8">
        <f>INDEX(FPL_Raw_Data!$T:$T,MATCH(A170,FPL_Raw_Data!$AA:$AA,0))</f>
        <v>0</v>
      </c>
      <c r="AA170" s="8">
        <f>INDEX(FPL_Raw_Data!$S:$S,MATCH(A170,FPL_Raw_Data!$AA:$AA,0))</f>
        <v>0</v>
      </c>
      <c r="AB170" s="2">
        <f t="shared" si="57"/>
        <v>0</v>
      </c>
      <c r="AC170" s="2">
        <f>INDEX(FPL_Raw_Data!$Q:$Q,MATCH(A170,FPL_Raw_Data!$AA:$AA,0))</f>
        <v>0</v>
      </c>
      <c r="AD170" s="8">
        <f>INDEX(FPL_Raw_Data!$R:$R,MATCH(A170,FPL_Raw_Data!$AA:$AA,0))</f>
        <v>0</v>
      </c>
      <c r="AE170" s="8">
        <f>INDEX(FPL_Raw_Data!$N:$N,MATCH(A170,FPL_Raw_Data!$AA:$AA,0))</f>
        <v>0</v>
      </c>
      <c r="AF170" s="8">
        <f>INDEX(FPL_Raw_Data!$L:$L,MATCH(A170,FPL_Raw_Data!$AA:$AA,0))</f>
        <v>0</v>
      </c>
      <c r="AG170" s="2">
        <f>INDEX(FPL_Raw_Data!$M:$M,MATCH(A170,FPL_Raw_Data!$AA:$AA,0))</f>
        <v>0</v>
      </c>
      <c r="AH170" s="2">
        <f t="shared" si="58"/>
        <v>0</v>
      </c>
      <c r="AI170" s="2">
        <f t="shared" si="59"/>
        <v>0</v>
      </c>
      <c r="AJ170" s="2">
        <f t="shared" si="60"/>
        <v>0</v>
      </c>
      <c r="AK170" s="2">
        <f t="shared" si="61"/>
        <v>0</v>
      </c>
      <c r="AL170" s="2">
        <f t="shared" si="62"/>
        <v>0</v>
      </c>
      <c r="AM170" s="2">
        <f t="shared" si="63"/>
        <v>0</v>
      </c>
      <c r="AN170" s="2">
        <f t="shared" si="64"/>
        <v>0</v>
      </c>
      <c r="AO170" s="3">
        <f t="shared" si="65"/>
        <v>0.1</v>
      </c>
      <c r="AP170">
        <f t="shared" si="66"/>
        <v>0</v>
      </c>
      <c r="AQ170">
        <f t="shared" si="67"/>
        <v>0.1</v>
      </c>
      <c r="AR170">
        <f t="shared" si="68"/>
        <v>0</v>
      </c>
      <c r="AS170" s="2">
        <f t="shared" si="69"/>
        <v>0</v>
      </c>
      <c r="AT170" s="2">
        <f>IFERROR(INDEX(Player_Model!$BC$2:$BC$596,MATCH($A170,Player_Model!$A$2:$A$596,0)),0)</f>
        <v>-1.0100383141762452</v>
      </c>
      <c r="AU170" s="2">
        <f>Table8[[#This Row],[Model Expected Points]]*Table8[[#This Row],[Fixture Adjustment]]</f>
        <v>-0.87443776808913554</v>
      </c>
      <c r="AV170" s="2">
        <f>Table8[[#This Row],[Fixture Adjusted Points / 90]]/Table8[[#This Row],[Price]]</f>
        <v>-0.19431950401980791</v>
      </c>
      <c r="AW170">
        <f t="shared" si="70"/>
        <v>0</v>
      </c>
      <c r="AX170">
        <f t="shared" si="71"/>
        <v>0.43287356321839082</v>
      </c>
      <c r="AY170" s="2">
        <f t="shared" si="72"/>
        <v>0</v>
      </c>
      <c r="AZ170" s="5">
        <f t="shared" si="73"/>
        <v>0.86574712643678164</v>
      </c>
      <c r="BA170">
        <f>Table8[[#This Row],[Model Score2]]</f>
        <v>-1.0100383141762452</v>
      </c>
      <c r="BB170">
        <f>IFERROR(INDEX(Player_Model!$BG$2:$BG$596,MATCH($A170,Player_Model!$A$2:$A$596,0)),"")</f>
        <v>180</v>
      </c>
      <c r="BC170" t="str">
        <f t="shared" si="74"/>
        <v>AVOID</v>
      </c>
      <c r="BD170">
        <f>IF(H170=1,Table8[[#This Row],[Model Score]],-10000)</f>
        <v>-10000</v>
      </c>
      <c r="BE170">
        <f>IFERROR(INDEX(Player_Model!$BF$2:$BF$596,MATCH($A170,Player_Model!$A$2:$A$596,0)),"")</f>
        <v>581</v>
      </c>
      <c r="BF170">
        <f>IFERROR(INDEX(Player_Model!$BG$2:$BG$596,MATCH($A170,Player_Model!$A$2:$A$596,0)),"")</f>
        <v>180</v>
      </c>
      <c r="BG170">
        <f>IFERROR(INDEX(Player_Model!$BE$2:$BE$596,MATCH($A170,Player_Model!$A$2:$A$596,0)),0)</f>
        <v>-1.0100383141762452</v>
      </c>
    </row>
    <row r="171" spans="1:59" x14ac:dyDescent="0.25">
      <c r="A171" t="str">
        <f>tblPlayers[first_name]&amp;" "&amp;tblPlayers[second_name]</f>
        <v>Josh Acheampong</v>
      </c>
      <c r="B171" t="str">
        <f>_xlfn.SWITCH(tblPlayers[element_type],1,"GK",2,"DEF",3,"MID",4,"FWD")</f>
        <v>DEF</v>
      </c>
      <c r="C171">
        <f>tblPlayers[team]</f>
        <v>6</v>
      </c>
      <c r="D171" t="str">
        <f>INDEX(tblTeams[Column1.short_name],MATCH(C171,tblTeams[Column1.id],0))</f>
        <v>CHE</v>
      </c>
      <c r="E171" s="4">
        <f>INDEX(FPL_Raw_Data!$F:$F,MATCH(A171,FPL_Raw_Data!$AA:$AA,0))/10</f>
        <v>4.5</v>
      </c>
      <c r="F171" s="4" t="str">
        <f>tblPlayers[[#This Row],[status]]</f>
        <v>a</v>
      </c>
      <c r="G171" s="4" t="b">
        <f>tblPlayers[[#This Row],[can_select]]</f>
        <v>1</v>
      </c>
      <c r="H171">
        <f>IF(AND(Table8[[#This Row],[Availability Status]]="a",Table8[[#This Row],[Can Select]]=TRUE),1,0)</f>
        <v>1</v>
      </c>
      <c r="I171">
        <f>tblPlayers[minutes]</f>
        <v>202</v>
      </c>
      <c r="J171" s="2">
        <f>Table8[[#This Row],[Minutes]]/90</f>
        <v>2.2444444444444445</v>
      </c>
      <c r="K171" s="5">
        <f>IFERROR(Z171/(FIXTURE_ANALYSIS!$B$1-1),0)</f>
        <v>0.66666666666666663</v>
      </c>
      <c r="L171">
        <f>tblPlayers[total_points]</f>
        <v>5</v>
      </c>
      <c r="M171">
        <f>tblPlayers[points_per_game]</f>
        <v>1.7</v>
      </c>
      <c r="N171">
        <f>tblPlayers[form]</f>
        <v>1.7</v>
      </c>
      <c r="O171">
        <f>tblPlayers[expected_goals]</f>
        <v>0</v>
      </c>
      <c r="P171">
        <f>tblPlayers[expected_assists]</f>
        <v>0.02</v>
      </c>
      <c r="Q171">
        <f>tblPlayers[expected_goal_involvements]</f>
        <v>0.02</v>
      </c>
      <c r="R171" s="2">
        <f t="shared" si="50"/>
        <v>2.2277227722772279</v>
      </c>
      <c r="S171" s="5">
        <f t="shared" si="51"/>
        <v>0</v>
      </c>
      <c r="T171" s="5">
        <f t="shared" si="52"/>
        <v>8.9108910891089119E-3</v>
      </c>
      <c r="U171" s="5">
        <f t="shared" si="53"/>
        <v>8.9108910891089119E-3</v>
      </c>
      <c r="V171" s="3">
        <f t="shared" si="54"/>
        <v>1.1111111111111112</v>
      </c>
      <c r="W171" s="5">
        <f t="shared" si="55"/>
        <v>4.4444444444444444E-3</v>
      </c>
      <c r="X171" s="5">
        <f>IFERROR(IF(OR($B171="MID",$B171="FWD"),INDEX(FIXTURE_ANALYSIS!$Q:$Q,MATCH($D171,FIXTURE_ANALYSIS!$A:$A,0)),INDEX(FIXTURE_ANALYSIS!$R:$R,MATCH($D171,FIXTURE_ANALYSIS!$A:$A,0))),1)</f>
        <v>0.86574712643678164</v>
      </c>
      <c r="Y171" s="5">
        <f t="shared" si="56"/>
        <v>0.86574712643678164</v>
      </c>
      <c r="Z171" s="8">
        <f>INDEX(FPL_Raw_Data!$T:$T,MATCH(A171,FPL_Raw_Data!$AA:$AA,0))</f>
        <v>2</v>
      </c>
      <c r="AA171" s="8">
        <f>INDEX(FPL_Raw_Data!$S:$S,MATCH(A171,FPL_Raw_Data!$AA:$AA,0))</f>
        <v>19</v>
      </c>
      <c r="AB171" s="2">
        <f t="shared" si="57"/>
        <v>1</v>
      </c>
      <c r="AC171" s="2">
        <f>INDEX(FPL_Raw_Data!$Q:$Q,MATCH(A171,FPL_Raw_Data!$AA:$AA,0))</f>
        <v>0</v>
      </c>
      <c r="AD171" s="8">
        <f>INDEX(FPL_Raw_Data!$R:$R,MATCH(A171,FPL_Raw_Data!$AA:$AA,0))</f>
        <v>9</v>
      </c>
      <c r="AE171" s="8">
        <f>INDEX(FPL_Raw_Data!$N:$N,MATCH(A171,FPL_Raw_Data!$AA:$AA,0))</f>
        <v>0</v>
      </c>
      <c r="AF171" s="8">
        <f>INDEX(FPL_Raw_Data!$L:$L,MATCH(A171,FPL_Raw_Data!$AA:$AA,0))</f>
        <v>0</v>
      </c>
      <c r="AG171" s="2">
        <f>INDEX(FPL_Raw_Data!$M:$M,MATCH(A171,FPL_Raw_Data!$AA:$AA,0))</f>
        <v>0</v>
      </c>
      <c r="AH171" s="2">
        <f t="shared" si="58"/>
        <v>0</v>
      </c>
      <c r="AI171" s="2">
        <f t="shared" si="59"/>
        <v>2.6732673267326736E-2</v>
      </c>
      <c r="AJ171" s="2">
        <f t="shared" si="60"/>
        <v>1.3333333333333333</v>
      </c>
      <c r="AK171" s="2">
        <f t="shared" si="61"/>
        <v>2</v>
      </c>
      <c r="AL171" s="2">
        <f t="shared" si="62"/>
        <v>0</v>
      </c>
      <c r="AM171" s="2">
        <f t="shared" si="63"/>
        <v>0</v>
      </c>
      <c r="AN171" s="2">
        <f t="shared" si="64"/>
        <v>0</v>
      </c>
      <c r="AO171" s="3">
        <f t="shared" si="65"/>
        <v>49.8</v>
      </c>
      <c r="AP171">
        <f t="shared" si="66"/>
        <v>53</v>
      </c>
      <c r="AQ171">
        <f t="shared" si="67"/>
        <v>71</v>
      </c>
      <c r="AR171">
        <f t="shared" si="68"/>
        <v>55.7</v>
      </c>
      <c r="AS171" s="2">
        <f t="shared" si="69"/>
        <v>66.666666666666657</v>
      </c>
      <c r="AT171" s="2">
        <f>IFERROR(INDEX(Player_Model!$BC$2:$BC$596,MATCH($A171,Player_Model!$A$2:$A$596,0)),0)</f>
        <v>1.9785146717119835</v>
      </c>
      <c r="AU171" s="2">
        <f>Table8[[#This Row],[Model Expected Points]]*Table8[[#This Row],[Fixture Adjustment]]</f>
        <v>1.7128933916476621</v>
      </c>
      <c r="AV171" s="2">
        <f>Table8[[#This Row],[Fixture Adjusted Points / 90]]/Table8[[#This Row],[Price]]</f>
        <v>0.38064297592170271</v>
      </c>
      <c r="AW171">
        <f t="shared" si="70"/>
        <v>53</v>
      </c>
      <c r="AX171">
        <f t="shared" si="71"/>
        <v>0.93287356321839088</v>
      </c>
      <c r="AY171" s="2">
        <f t="shared" si="72"/>
        <v>66.666666666666657</v>
      </c>
      <c r="AZ171" s="5">
        <f t="shared" si="73"/>
        <v>0.86574712643678164</v>
      </c>
      <c r="BA171">
        <f>Table8[[#This Row],[Model Score2]]</f>
        <v>1.9785146717119835</v>
      </c>
      <c r="BB171">
        <f>IFERROR(INDEX(Player_Model!$BG$2:$BG$596,MATCH($A171,Player_Model!$A$2:$A$596,0)),"")</f>
        <v>90</v>
      </c>
      <c r="BC171" t="str">
        <f t="shared" si="74"/>
        <v>AVOID</v>
      </c>
      <c r="BD171">
        <f>IF(H171=1,Table8[[#This Row],[Model Score]],-10000)</f>
        <v>1.9785146717119835</v>
      </c>
      <c r="BE171">
        <f>IFERROR(INDEX(Player_Model!$BF$2:$BF$596,MATCH($A171,Player_Model!$A$2:$A$596,0)),"")</f>
        <v>246</v>
      </c>
      <c r="BF171">
        <f>IFERROR(INDEX(Player_Model!$BG$2:$BG$596,MATCH($A171,Player_Model!$A$2:$A$596,0)),"")</f>
        <v>90</v>
      </c>
      <c r="BG171">
        <f>IFERROR(INDEX(Player_Model!$BE$2:$BE$596,MATCH($A171,Player_Model!$A$2:$A$596,0)),0)</f>
        <v>1.9785146717119835</v>
      </c>
    </row>
    <row r="172" spans="1:59" x14ac:dyDescent="0.25">
      <c r="A172" t="str">
        <f>tblPlayers[first_name]&amp;" "&amp;tblPlayers[second_name]</f>
        <v>Marco Palestra</v>
      </c>
      <c r="B172" t="str">
        <f>_xlfn.SWITCH(tblPlayers[element_type],1,"GK",2,"DEF",3,"MID",4,"FWD")</f>
        <v>DEF</v>
      </c>
      <c r="C172">
        <f>tblPlayers[team]</f>
        <v>6</v>
      </c>
      <c r="D172" t="str">
        <f>INDEX(tblTeams[Column1.short_name],MATCH(C172,tblTeams[Column1.id],0))</f>
        <v>CHE</v>
      </c>
      <c r="E172" s="4">
        <f>INDEX(FPL_Raw_Data!$F:$F,MATCH(A172,FPL_Raw_Data!$AA:$AA,0))/10</f>
        <v>5.4</v>
      </c>
      <c r="F172" s="4" t="str">
        <f>tblPlayers[[#This Row],[status]]</f>
        <v>d</v>
      </c>
      <c r="G172" s="4" t="b">
        <f>tblPlayers[[#This Row],[can_select]]</f>
        <v>1</v>
      </c>
      <c r="H172">
        <f>IF(AND(Table8[[#This Row],[Availability Status]]="a",Table8[[#This Row],[Can Select]]=TRUE),1,0)</f>
        <v>0</v>
      </c>
      <c r="I172">
        <f>tblPlayers[minutes]</f>
        <v>0</v>
      </c>
      <c r="J172" s="2">
        <f>Table8[[#This Row],[Minutes]]/90</f>
        <v>0</v>
      </c>
      <c r="K172" s="5">
        <f>IFERROR(Z172/(FIXTURE_ANALYSIS!$B$1-1),0)</f>
        <v>0</v>
      </c>
      <c r="L172">
        <f>tblPlayers[total_points]</f>
        <v>0</v>
      </c>
      <c r="M172">
        <f>tblPlayers[points_per_game]</f>
        <v>0</v>
      </c>
      <c r="N172">
        <f>tblPlayers[form]</f>
        <v>0</v>
      </c>
      <c r="O172">
        <f>tblPlayers[expected_goals]</f>
        <v>0</v>
      </c>
      <c r="P172">
        <f>tblPlayers[expected_assists]</f>
        <v>0</v>
      </c>
      <c r="Q172">
        <f>tblPlayers[expected_goal_involvements]</f>
        <v>0</v>
      </c>
      <c r="R172" s="2">
        <f t="shared" si="50"/>
        <v>0</v>
      </c>
      <c r="S172" s="5">
        <f t="shared" si="51"/>
        <v>0</v>
      </c>
      <c r="T172" s="5">
        <f t="shared" si="52"/>
        <v>0</v>
      </c>
      <c r="U172" s="5">
        <f t="shared" si="53"/>
        <v>0</v>
      </c>
      <c r="V172" s="3">
        <f t="shared" si="54"/>
        <v>0</v>
      </c>
      <c r="W172" s="5">
        <f t="shared" si="55"/>
        <v>0</v>
      </c>
      <c r="X172" s="5">
        <f>IFERROR(IF(OR($B172="MID",$B172="FWD"),INDEX(FIXTURE_ANALYSIS!$Q:$Q,MATCH($D172,FIXTURE_ANALYSIS!$A:$A,0)),INDEX(FIXTURE_ANALYSIS!$R:$R,MATCH($D172,FIXTURE_ANALYSIS!$A:$A,0))),1)</f>
        <v>0.86574712643678164</v>
      </c>
      <c r="Y172" s="5">
        <f t="shared" si="56"/>
        <v>0.86574712643678164</v>
      </c>
      <c r="Z172" s="8">
        <f>INDEX(FPL_Raw_Data!$T:$T,MATCH(A172,FPL_Raw_Data!$AA:$AA,0))</f>
        <v>0</v>
      </c>
      <c r="AA172" s="8">
        <f>INDEX(FPL_Raw_Data!$S:$S,MATCH(A172,FPL_Raw_Data!$AA:$AA,0))</f>
        <v>0</v>
      </c>
      <c r="AB172" s="2">
        <f t="shared" si="57"/>
        <v>0</v>
      </c>
      <c r="AC172" s="2">
        <f>INDEX(FPL_Raw_Data!$Q:$Q,MATCH(A172,FPL_Raw_Data!$AA:$AA,0))</f>
        <v>0</v>
      </c>
      <c r="AD172" s="8">
        <f>INDEX(FPL_Raw_Data!$R:$R,MATCH(A172,FPL_Raw_Data!$AA:$AA,0))</f>
        <v>0</v>
      </c>
      <c r="AE172" s="8">
        <f>INDEX(FPL_Raw_Data!$N:$N,MATCH(A172,FPL_Raw_Data!$AA:$AA,0))</f>
        <v>0</v>
      </c>
      <c r="AF172" s="8">
        <f>INDEX(FPL_Raw_Data!$L:$L,MATCH(A172,FPL_Raw_Data!$AA:$AA,0))</f>
        <v>0</v>
      </c>
      <c r="AG172" s="2">
        <f>INDEX(FPL_Raw_Data!$M:$M,MATCH(A172,FPL_Raw_Data!$AA:$AA,0))</f>
        <v>0</v>
      </c>
      <c r="AH172" s="2">
        <f t="shared" si="58"/>
        <v>0</v>
      </c>
      <c r="AI172" s="2">
        <f t="shared" si="59"/>
        <v>0</v>
      </c>
      <c r="AJ172" s="2">
        <f t="shared" si="60"/>
        <v>0</v>
      </c>
      <c r="AK172" s="2">
        <f t="shared" si="61"/>
        <v>0</v>
      </c>
      <c r="AL172" s="2">
        <f t="shared" si="62"/>
        <v>0</v>
      </c>
      <c r="AM172" s="2">
        <f t="shared" si="63"/>
        <v>0</v>
      </c>
      <c r="AN172" s="2">
        <f t="shared" si="64"/>
        <v>0</v>
      </c>
      <c r="AO172" s="3">
        <f t="shared" si="65"/>
        <v>0.1</v>
      </c>
      <c r="AP172">
        <f t="shared" si="66"/>
        <v>0</v>
      </c>
      <c r="AQ172">
        <f t="shared" si="67"/>
        <v>0.1</v>
      </c>
      <c r="AR172">
        <f t="shared" si="68"/>
        <v>0</v>
      </c>
      <c r="AS172" s="2">
        <f t="shared" si="69"/>
        <v>0</v>
      </c>
      <c r="AT172" s="2">
        <f>IFERROR(INDEX(Player_Model!$BC$2:$BC$596,MATCH($A172,Player_Model!$A$2:$A$596,0)),0)</f>
        <v>-1.0100383141762452</v>
      </c>
      <c r="AU172" s="2">
        <f>Table8[[#This Row],[Model Expected Points]]*Table8[[#This Row],[Fixture Adjustment]]</f>
        <v>-0.87443776808913554</v>
      </c>
      <c r="AV172" s="2">
        <f>Table8[[#This Row],[Fixture Adjusted Points / 90]]/Table8[[#This Row],[Price]]</f>
        <v>-0.16193292001650658</v>
      </c>
      <c r="AW172">
        <f t="shared" si="70"/>
        <v>0</v>
      </c>
      <c r="AX172">
        <f t="shared" si="71"/>
        <v>0.43287356321839082</v>
      </c>
      <c r="AY172" s="2">
        <f t="shared" si="72"/>
        <v>0</v>
      </c>
      <c r="AZ172" s="5">
        <f t="shared" si="73"/>
        <v>0.86574712643678164</v>
      </c>
      <c r="BA172">
        <f>Table8[[#This Row],[Model Score2]]</f>
        <v>-1.0100383141762452</v>
      </c>
      <c r="BB172">
        <f>IFERROR(INDEX(Player_Model!$BG$2:$BG$596,MATCH($A172,Player_Model!$A$2:$A$596,0)),"")</f>
        <v>181</v>
      </c>
      <c r="BC172" t="str">
        <f t="shared" si="74"/>
        <v>AVOID</v>
      </c>
      <c r="BD172">
        <f>IF(H172=1,Table8[[#This Row],[Model Score]],-10000)</f>
        <v>-10000</v>
      </c>
      <c r="BE172">
        <f>IFERROR(INDEX(Player_Model!$BF$2:$BF$596,MATCH($A172,Player_Model!$A$2:$A$596,0)),"")</f>
        <v>581</v>
      </c>
      <c r="BF172">
        <f>IFERROR(INDEX(Player_Model!$BG$2:$BG$596,MATCH($A172,Player_Model!$A$2:$A$596,0)),"")</f>
        <v>181</v>
      </c>
      <c r="BG172">
        <f>IFERROR(INDEX(Player_Model!$BE$2:$BE$596,MATCH($A172,Player_Model!$A$2:$A$596,0)),0)</f>
        <v>-1.0100383141762452</v>
      </c>
    </row>
    <row r="173" spans="1:59" x14ac:dyDescent="0.25">
      <c r="A173" t="str">
        <f>tblPlayers[first_name]&amp;" "&amp;tblPlayers[second_name]</f>
        <v>Cole Palmer</v>
      </c>
      <c r="B173" t="str">
        <f>_xlfn.SWITCH(tblPlayers[element_type],1,"GK",2,"DEF",3,"MID",4,"FWD")</f>
        <v>MID</v>
      </c>
      <c r="C173">
        <f>tblPlayers[team]</f>
        <v>6</v>
      </c>
      <c r="D173" t="str">
        <f>INDEX(tblTeams[Column1.short_name],MATCH(C173,tblTeams[Column1.id],0))</f>
        <v>CHE</v>
      </c>
      <c r="E173" s="4">
        <f>INDEX(FPL_Raw_Data!$F:$F,MATCH(A173,FPL_Raw_Data!$AA:$AA,0))/10</f>
        <v>9.6</v>
      </c>
      <c r="F173" s="4" t="str">
        <f>tblPlayers[[#This Row],[status]]</f>
        <v>a</v>
      </c>
      <c r="G173" s="4" t="b">
        <f>tblPlayers[[#This Row],[can_select]]</f>
        <v>1</v>
      </c>
      <c r="H173">
        <f>IF(AND(Table8[[#This Row],[Availability Status]]="a",Table8[[#This Row],[Can Select]]=TRUE),1,0)</f>
        <v>1</v>
      </c>
      <c r="I173">
        <f>tblPlayers[minutes]</f>
        <v>262</v>
      </c>
      <c r="J173" s="2">
        <f>Table8[[#This Row],[Minutes]]/90</f>
        <v>2.911111111111111</v>
      </c>
      <c r="K173" s="5">
        <f>IFERROR(Z173/(FIXTURE_ANALYSIS!$B$1-1),0)</f>
        <v>1</v>
      </c>
      <c r="L173">
        <f>tblPlayers[total_points]</f>
        <v>21</v>
      </c>
      <c r="M173">
        <f>tblPlayers[points_per_game]</f>
        <v>7</v>
      </c>
      <c r="N173">
        <f>tblPlayers[form]</f>
        <v>7</v>
      </c>
      <c r="O173">
        <f>tblPlayers[expected_goals]</f>
        <v>1.05</v>
      </c>
      <c r="P173">
        <f>tblPlayers[expected_assists]</f>
        <v>0.36</v>
      </c>
      <c r="Q173">
        <f>tblPlayers[expected_goal_involvements]</f>
        <v>1.41</v>
      </c>
      <c r="R173" s="2">
        <f t="shared" si="50"/>
        <v>7.2137404580152671</v>
      </c>
      <c r="S173" s="5">
        <f t="shared" si="51"/>
        <v>0.36068702290076338</v>
      </c>
      <c r="T173" s="5">
        <f t="shared" si="52"/>
        <v>0.12366412213740458</v>
      </c>
      <c r="U173" s="5">
        <f t="shared" si="53"/>
        <v>0.48435114503816795</v>
      </c>
      <c r="V173" s="3">
        <f t="shared" si="54"/>
        <v>2.1875</v>
      </c>
      <c r="W173" s="5">
        <f t="shared" si="55"/>
        <v>0.14687500000000001</v>
      </c>
      <c r="X173" s="5">
        <f>IFERROR(IF(OR($B173="MID",$B173="FWD"),INDEX(FIXTURE_ANALYSIS!$Q:$Q,MATCH($D173,FIXTURE_ANALYSIS!$A:$A,0)),INDEX(FIXTURE_ANALYSIS!$R:$R,MATCH($D173,FIXTURE_ANALYSIS!$A:$A,0))),1)</f>
        <v>1.0449221453287199</v>
      </c>
      <c r="Y173" s="5">
        <f t="shared" si="56"/>
        <v>1.0449221453287199</v>
      </c>
      <c r="Z173" s="8">
        <f>INDEX(FPL_Raw_Data!$T:$T,MATCH(A173,FPL_Raw_Data!$AA:$AA,0))</f>
        <v>3</v>
      </c>
      <c r="AA173" s="8">
        <f>INDEX(FPL_Raw_Data!$S:$S,MATCH(A173,FPL_Raw_Data!$AA:$AA,0))</f>
        <v>20</v>
      </c>
      <c r="AB173" s="2">
        <f t="shared" si="57"/>
        <v>1</v>
      </c>
      <c r="AC173" s="2">
        <f>INDEX(FPL_Raw_Data!$Q:$Q,MATCH(A173,FPL_Raw_Data!$AA:$AA,0))</f>
        <v>3</v>
      </c>
      <c r="AD173" s="8">
        <f>INDEX(FPL_Raw_Data!$R:$R,MATCH(A173,FPL_Raw_Data!$AA:$AA,0))</f>
        <v>99</v>
      </c>
      <c r="AE173" s="8">
        <f>INDEX(FPL_Raw_Data!$N:$N,MATCH(A173,FPL_Raw_Data!$AA:$AA,0))</f>
        <v>0</v>
      </c>
      <c r="AF173" s="8">
        <f>INDEX(FPL_Raw_Data!$L:$L,MATCH(A173,FPL_Raw_Data!$AA:$AA,0))</f>
        <v>2</v>
      </c>
      <c r="AG173" s="2">
        <f>INDEX(FPL_Raw_Data!$M:$M,MATCH(A173,FPL_Raw_Data!$AA:$AA,0))</f>
        <v>1</v>
      </c>
      <c r="AH173" s="2">
        <f t="shared" si="58"/>
        <v>1.803435114503817</v>
      </c>
      <c r="AI173" s="2">
        <f t="shared" si="59"/>
        <v>0.37099236641221373</v>
      </c>
      <c r="AJ173" s="2">
        <f t="shared" si="60"/>
        <v>2</v>
      </c>
      <c r="AK173" s="2">
        <f t="shared" si="61"/>
        <v>2</v>
      </c>
      <c r="AL173" s="2">
        <f t="shared" si="62"/>
        <v>0</v>
      </c>
      <c r="AM173" s="2">
        <f t="shared" si="63"/>
        <v>0</v>
      </c>
      <c r="AN173" s="2">
        <f t="shared" si="64"/>
        <v>1</v>
      </c>
      <c r="AO173" s="3">
        <f t="shared" si="65"/>
        <v>87.2</v>
      </c>
      <c r="AP173">
        <f t="shared" si="66"/>
        <v>91.5</v>
      </c>
      <c r="AQ173">
        <f t="shared" si="67"/>
        <v>88.3</v>
      </c>
      <c r="AR173">
        <f t="shared" si="68"/>
        <v>91.2</v>
      </c>
      <c r="AS173" s="2">
        <f t="shared" si="69"/>
        <v>100</v>
      </c>
      <c r="AT173" s="2">
        <f>IFERROR(INDEX(Player_Model!$BC$2:$BC$596,MATCH($A173,Player_Model!$A$2:$A$596,0)),0)</f>
        <v>5.6814287410171715</v>
      </c>
      <c r="AU173" s="2">
        <f>Table8[[#This Row],[Model Expected Points]]*Table8[[#This Row],[Fixture Adjustment]]</f>
        <v>5.936650708595911</v>
      </c>
      <c r="AV173" s="2">
        <f>Table8[[#This Row],[Fixture Adjusted Points / 90]]/Table8[[#This Row],[Price]]</f>
        <v>0.61840111547874077</v>
      </c>
      <c r="AW173">
        <f t="shared" si="70"/>
        <v>89.35</v>
      </c>
      <c r="AX173">
        <f t="shared" si="71"/>
        <v>1</v>
      </c>
      <c r="AY173" s="2">
        <f t="shared" si="72"/>
        <v>100</v>
      </c>
      <c r="AZ173" s="5">
        <f t="shared" si="73"/>
        <v>1.0449221453287199</v>
      </c>
      <c r="BA173">
        <f>Table8[[#This Row],[Model Score2]]</f>
        <v>5.6814287410171715</v>
      </c>
      <c r="BB173">
        <f>IFERROR(INDEX(Player_Model!$BG$2:$BG$596,MATCH($A173,Player_Model!$A$2:$A$596,0)),"")</f>
        <v>23</v>
      </c>
      <c r="BC173" t="str">
        <f t="shared" si="74"/>
        <v>AVOID</v>
      </c>
      <c r="BD173">
        <f>IF(H173=1,Table8[[#This Row],[Model Score]],-10000)</f>
        <v>5.6814287410171715</v>
      </c>
      <c r="BE173">
        <f>IFERROR(INDEX(Player_Model!$BF$2:$BF$596,MATCH($A173,Player_Model!$A$2:$A$596,0)),"")</f>
        <v>56</v>
      </c>
      <c r="BF173">
        <f>IFERROR(INDEX(Player_Model!$BG$2:$BG$596,MATCH($A173,Player_Model!$A$2:$A$596,0)),"")</f>
        <v>23</v>
      </c>
      <c r="BG173">
        <f>IFERROR(INDEX(Player_Model!$BE$2:$BE$596,MATCH($A173,Player_Model!$A$2:$A$596,0)),0)</f>
        <v>5.6814287410171715</v>
      </c>
    </row>
    <row r="174" spans="1:59" x14ac:dyDescent="0.25">
      <c r="A174" t="str">
        <f>tblPlayers[first_name]&amp;" "&amp;tblPlayers[second_name]</f>
        <v>Pedro Lomba Neto</v>
      </c>
      <c r="B174" t="str">
        <f>_xlfn.SWITCH(tblPlayers[element_type],1,"GK",2,"DEF",3,"MID",4,"FWD")</f>
        <v>MID</v>
      </c>
      <c r="C174">
        <f>tblPlayers[team]</f>
        <v>6</v>
      </c>
      <c r="D174" t="str">
        <f>INDEX(tblTeams[Column1.short_name],MATCH(C174,tblTeams[Column1.id],0))</f>
        <v>CHE</v>
      </c>
      <c r="E174" s="4">
        <f>INDEX(FPL_Raw_Data!$F:$F,MATCH(A174,FPL_Raw_Data!$AA:$AA,0))/10</f>
        <v>6.5</v>
      </c>
      <c r="F174" s="4" t="str">
        <f>tblPlayers[[#This Row],[status]]</f>
        <v>a</v>
      </c>
      <c r="G174" s="4" t="b">
        <f>tblPlayers[[#This Row],[can_select]]</f>
        <v>1</v>
      </c>
      <c r="H174">
        <f>IF(AND(Table8[[#This Row],[Availability Status]]="a",Table8[[#This Row],[Can Select]]=TRUE),1,0)</f>
        <v>1</v>
      </c>
      <c r="I174">
        <f>tblPlayers[minutes]</f>
        <v>161</v>
      </c>
      <c r="J174" s="2">
        <f>Table8[[#This Row],[Minutes]]/90</f>
        <v>1.788888888888889</v>
      </c>
      <c r="K174" s="5">
        <f>IFERROR(Z174/(FIXTURE_ANALYSIS!$B$1-1),0)</f>
        <v>0.66666666666666663</v>
      </c>
      <c r="L174">
        <f>tblPlayers[total_points]</f>
        <v>10</v>
      </c>
      <c r="M174">
        <f>tblPlayers[points_per_game]</f>
        <v>3.3</v>
      </c>
      <c r="N174">
        <f>tblPlayers[form]</f>
        <v>3.3</v>
      </c>
      <c r="O174">
        <f>tblPlayers[expected_goals]</f>
        <v>0.47</v>
      </c>
      <c r="P174">
        <f>tblPlayers[expected_assists]</f>
        <v>0.43</v>
      </c>
      <c r="Q174">
        <f>tblPlayers[expected_goal_involvements]</f>
        <v>0.9</v>
      </c>
      <c r="R174" s="2">
        <f t="shared" si="50"/>
        <v>5.5900621118012426</v>
      </c>
      <c r="S174" s="5">
        <f t="shared" si="51"/>
        <v>0.26273291925465836</v>
      </c>
      <c r="T174" s="5">
        <f t="shared" si="52"/>
        <v>0.24037267080745342</v>
      </c>
      <c r="U174" s="5">
        <f t="shared" si="53"/>
        <v>0.50310559006211186</v>
      </c>
      <c r="V174" s="3">
        <f t="shared" si="54"/>
        <v>1.5384615384615385</v>
      </c>
      <c r="W174" s="5">
        <f t="shared" si="55"/>
        <v>0.13846153846153847</v>
      </c>
      <c r="X174" s="5">
        <f>IFERROR(IF(OR($B174="MID",$B174="FWD"),INDEX(FIXTURE_ANALYSIS!$Q:$Q,MATCH($D174,FIXTURE_ANALYSIS!$A:$A,0)),INDEX(FIXTURE_ANALYSIS!$R:$R,MATCH($D174,FIXTURE_ANALYSIS!$A:$A,0))),1)</f>
        <v>1.0449221453287199</v>
      </c>
      <c r="Y174" s="5">
        <f t="shared" si="56"/>
        <v>1.0449221453287199</v>
      </c>
      <c r="Z174" s="8">
        <f>INDEX(FPL_Raw_Data!$T:$T,MATCH(A174,FPL_Raw_Data!$AA:$AA,0))</f>
        <v>2</v>
      </c>
      <c r="AA174" s="8">
        <f>INDEX(FPL_Raw_Data!$S:$S,MATCH(A174,FPL_Raw_Data!$AA:$AA,0))</f>
        <v>15</v>
      </c>
      <c r="AB174" s="2">
        <f t="shared" si="57"/>
        <v>1</v>
      </c>
      <c r="AC174" s="2">
        <f>INDEX(FPL_Raw_Data!$Q:$Q,MATCH(A174,FPL_Raw_Data!$AA:$AA,0))</f>
        <v>0</v>
      </c>
      <c r="AD174" s="8">
        <f>INDEX(FPL_Raw_Data!$R:$R,MATCH(A174,FPL_Raw_Data!$AA:$AA,0))</f>
        <v>51</v>
      </c>
      <c r="AE174" s="8">
        <f>INDEX(FPL_Raw_Data!$N:$N,MATCH(A174,FPL_Raw_Data!$AA:$AA,0))</f>
        <v>0</v>
      </c>
      <c r="AF174" s="8">
        <f>INDEX(FPL_Raw_Data!$L:$L,MATCH(A174,FPL_Raw_Data!$AA:$AA,0))</f>
        <v>1</v>
      </c>
      <c r="AG174" s="2">
        <f>INDEX(FPL_Raw_Data!$M:$M,MATCH(A174,FPL_Raw_Data!$AA:$AA,0))</f>
        <v>0</v>
      </c>
      <c r="AH174" s="2">
        <f t="shared" si="58"/>
        <v>1.3136645962732918</v>
      </c>
      <c r="AI174" s="2">
        <f t="shared" si="59"/>
        <v>0.72111801242236029</v>
      </c>
      <c r="AJ174" s="2">
        <f t="shared" si="60"/>
        <v>1.3333333333333333</v>
      </c>
      <c r="AK174" s="2">
        <f t="shared" si="61"/>
        <v>2</v>
      </c>
      <c r="AL174" s="2">
        <f t="shared" si="62"/>
        <v>0</v>
      </c>
      <c r="AM174" s="2">
        <f t="shared" si="63"/>
        <v>0</v>
      </c>
      <c r="AN174" s="2">
        <f t="shared" si="64"/>
        <v>0</v>
      </c>
      <c r="AO174" s="3">
        <f t="shared" si="65"/>
        <v>78.900000000000006</v>
      </c>
      <c r="AP174">
        <f t="shared" si="66"/>
        <v>91.9</v>
      </c>
      <c r="AQ174">
        <f t="shared" si="67"/>
        <v>79.100000000000009</v>
      </c>
      <c r="AR174">
        <f t="shared" si="68"/>
        <v>90.4</v>
      </c>
      <c r="AS174" s="2">
        <f t="shared" si="69"/>
        <v>66.666666666666657</v>
      </c>
      <c r="AT174" s="2">
        <f>IFERROR(INDEX(Player_Model!$BC$2:$BC$596,MATCH($A174,Player_Model!$A$2:$A$596,0)),0)</f>
        <v>5.3842294136409894</v>
      </c>
      <c r="AU174" s="2">
        <f>Table8[[#This Row],[Model Expected Points]]*Table8[[#This Row],[Fixture Adjustment]]</f>
        <v>5.6261005498437378</v>
      </c>
      <c r="AV174" s="2">
        <f>Table8[[#This Row],[Fixture Adjusted Points / 90]]/Table8[[#This Row],[Price]]</f>
        <v>0.86555393074519038</v>
      </c>
      <c r="AW174">
        <f t="shared" si="70"/>
        <v>85.4</v>
      </c>
      <c r="AX174">
        <f t="shared" si="71"/>
        <v>1</v>
      </c>
      <c r="AY174" s="2">
        <f t="shared" si="72"/>
        <v>66.666666666666657</v>
      </c>
      <c r="AZ174" s="5">
        <f t="shared" si="73"/>
        <v>1.0449221453287199</v>
      </c>
      <c r="BA174">
        <f>Table8[[#This Row],[Model Score2]]</f>
        <v>5.3842294136409894</v>
      </c>
      <c r="BB174">
        <f>IFERROR(INDEX(Player_Model!$BG$2:$BG$596,MATCH($A174,Player_Model!$A$2:$A$596,0)),"")</f>
        <v>32</v>
      </c>
      <c r="BC174" t="str">
        <f t="shared" si="74"/>
        <v>AVOID</v>
      </c>
      <c r="BD174">
        <f>IF(H174=1,Table8[[#This Row],[Model Score]],-10000)</f>
        <v>5.3842294136409894</v>
      </c>
      <c r="BE174">
        <f>IFERROR(INDEX(Player_Model!$BF$2:$BF$596,MATCH($A174,Player_Model!$A$2:$A$596,0)),"")</f>
        <v>72</v>
      </c>
      <c r="BF174">
        <f>IFERROR(INDEX(Player_Model!$BG$2:$BG$596,MATCH($A174,Player_Model!$A$2:$A$596,0)),"")</f>
        <v>32</v>
      </c>
      <c r="BG174">
        <f>IFERROR(INDEX(Player_Model!$BE$2:$BE$596,MATCH($A174,Player_Model!$A$2:$A$596,0)),0)</f>
        <v>5.3842294136409894</v>
      </c>
    </row>
    <row r="175" spans="1:59" x14ac:dyDescent="0.25">
      <c r="A175" t="str">
        <f>tblPlayers[first_name]&amp;" "&amp;tblPlayers[second_name]</f>
        <v>Estêvão Almeida de Oliveira Gonçalves</v>
      </c>
      <c r="B175" t="str">
        <f>_xlfn.SWITCH(tblPlayers[element_type],1,"GK",2,"DEF",3,"MID",4,"FWD")</f>
        <v>MID</v>
      </c>
      <c r="C175">
        <f>tblPlayers[team]</f>
        <v>6</v>
      </c>
      <c r="D175" t="str">
        <f>INDEX(tblTeams[Column1.short_name],MATCH(C175,tblTeams[Column1.id],0))</f>
        <v>CHE</v>
      </c>
      <c r="E175" s="4">
        <f>INDEX(FPL_Raw_Data!$F:$F,MATCH(A175,FPL_Raw_Data!$AA:$AA,0))/10</f>
        <v>6.4</v>
      </c>
      <c r="F175" s="4" t="str">
        <f>tblPlayers[[#This Row],[status]]</f>
        <v>a</v>
      </c>
      <c r="G175" s="4" t="b">
        <f>tblPlayers[[#This Row],[can_select]]</f>
        <v>1</v>
      </c>
      <c r="H175">
        <f>IF(AND(Table8[[#This Row],[Availability Status]]="a",Table8[[#This Row],[Can Select]]=TRUE),1,0)</f>
        <v>1</v>
      </c>
      <c r="I175">
        <f>tblPlayers[minutes]</f>
        <v>16</v>
      </c>
      <c r="J175" s="2">
        <f>Table8[[#This Row],[Minutes]]/90</f>
        <v>0.17777777777777778</v>
      </c>
      <c r="K175" s="5">
        <f>IFERROR(Z175/(FIXTURE_ANALYSIS!$B$1-1),0)</f>
        <v>0</v>
      </c>
      <c r="L175">
        <f>tblPlayers[total_points]</f>
        <v>2</v>
      </c>
      <c r="M175">
        <f>tblPlayers[points_per_game]</f>
        <v>1</v>
      </c>
      <c r="N175">
        <f>tblPlayers[form]</f>
        <v>0.7</v>
      </c>
      <c r="O175">
        <f>tblPlayers[expected_goals]</f>
        <v>0.04</v>
      </c>
      <c r="P175">
        <f>tblPlayers[expected_assists]</f>
        <v>0</v>
      </c>
      <c r="Q175">
        <f>tblPlayers[expected_goal_involvements]</f>
        <v>0.04</v>
      </c>
      <c r="R175" s="2">
        <f t="shared" si="50"/>
        <v>11.25</v>
      </c>
      <c r="S175" s="5">
        <f t="shared" si="51"/>
        <v>0.22500000000000001</v>
      </c>
      <c r="T175" s="5">
        <f t="shared" si="52"/>
        <v>0</v>
      </c>
      <c r="U175" s="5">
        <f t="shared" si="53"/>
        <v>0.22500000000000001</v>
      </c>
      <c r="V175" s="3">
        <f t="shared" si="54"/>
        <v>0.3125</v>
      </c>
      <c r="W175" s="5">
        <f t="shared" si="55"/>
        <v>6.2499999999999995E-3</v>
      </c>
      <c r="X175" s="5">
        <f>IFERROR(IF(OR($B175="MID",$B175="FWD"),INDEX(FIXTURE_ANALYSIS!$Q:$Q,MATCH($D175,FIXTURE_ANALYSIS!$A:$A,0)),INDEX(FIXTURE_ANALYSIS!$R:$R,MATCH($D175,FIXTURE_ANALYSIS!$A:$A,0))),1)</f>
        <v>1.0449221453287199</v>
      </c>
      <c r="Y175" s="5">
        <f t="shared" si="56"/>
        <v>1.0449221453287199</v>
      </c>
      <c r="Z175" s="8">
        <f>INDEX(FPL_Raw_Data!$T:$T,MATCH(A175,FPL_Raw_Data!$AA:$AA,0))</f>
        <v>0</v>
      </c>
      <c r="AA175" s="8">
        <f>INDEX(FPL_Raw_Data!$S:$S,MATCH(A175,FPL_Raw_Data!$AA:$AA,0))</f>
        <v>1</v>
      </c>
      <c r="AB175" s="2">
        <f t="shared" si="57"/>
        <v>8.3333333333333329E-2</v>
      </c>
      <c r="AC175" s="2">
        <f>INDEX(FPL_Raw_Data!$Q:$Q,MATCH(A175,FPL_Raw_Data!$AA:$AA,0))</f>
        <v>0</v>
      </c>
      <c r="AD175" s="8">
        <f>INDEX(FPL_Raw_Data!$R:$R,MATCH(A175,FPL_Raw_Data!$AA:$AA,0))</f>
        <v>8</v>
      </c>
      <c r="AE175" s="8">
        <f>INDEX(FPL_Raw_Data!$N:$N,MATCH(A175,FPL_Raw_Data!$AA:$AA,0))</f>
        <v>0</v>
      </c>
      <c r="AF175" s="8">
        <f>INDEX(FPL_Raw_Data!$L:$L,MATCH(A175,FPL_Raw_Data!$AA:$AA,0))</f>
        <v>0</v>
      </c>
      <c r="AG175" s="2">
        <f>INDEX(FPL_Raw_Data!$M:$M,MATCH(A175,FPL_Raw_Data!$AA:$AA,0))</f>
        <v>0</v>
      </c>
      <c r="AH175" s="2">
        <f t="shared" si="58"/>
        <v>1.125</v>
      </c>
      <c r="AI175" s="2">
        <f t="shared" si="59"/>
        <v>0</v>
      </c>
      <c r="AJ175" s="2">
        <f t="shared" si="60"/>
        <v>0</v>
      </c>
      <c r="AK175" s="2">
        <f t="shared" si="61"/>
        <v>0.16666666666666666</v>
      </c>
      <c r="AL175" s="2">
        <f t="shared" si="62"/>
        <v>0</v>
      </c>
      <c r="AM175" s="2">
        <f t="shared" si="63"/>
        <v>0</v>
      </c>
      <c r="AN175" s="2">
        <f t="shared" si="64"/>
        <v>0</v>
      </c>
      <c r="AO175" s="3">
        <f t="shared" si="65"/>
        <v>93.600000000000009</v>
      </c>
      <c r="AP175">
        <f t="shared" si="66"/>
        <v>78.2</v>
      </c>
      <c r="AQ175">
        <f t="shared" si="67"/>
        <v>50.1</v>
      </c>
      <c r="AR175">
        <f t="shared" si="68"/>
        <v>57.499999999999993</v>
      </c>
      <c r="AS175" s="2">
        <f t="shared" si="69"/>
        <v>0</v>
      </c>
      <c r="AT175" s="2">
        <f>IFERROR(INDEX(Player_Model!$BC$2:$BC$596,MATCH($A175,Player_Model!$A$2:$A$596,0)),0)</f>
        <v>0</v>
      </c>
      <c r="AU175" s="2">
        <f>Table8[[#This Row],[Model Expected Points]]*Table8[[#This Row],[Fixture Adjustment]]</f>
        <v>0</v>
      </c>
      <c r="AV175" s="2">
        <f>Table8[[#This Row],[Fixture Adjusted Points / 90]]/Table8[[#This Row],[Price]]</f>
        <v>0</v>
      </c>
      <c r="AW175">
        <f t="shared" si="70"/>
        <v>85.9</v>
      </c>
      <c r="AX175">
        <f t="shared" si="71"/>
        <v>8.3333333333333329E-2</v>
      </c>
      <c r="AY175" s="2">
        <f t="shared" si="72"/>
        <v>0</v>
      </c>
      <c r="AZ175" s="5">
        <f t="shared" si="73"/>
        <v>1.0449221453287199</v>
      </c>
      <c r="BA175">
        <f>Table8[[#This Row],[Model Score2]]</f>
        <v>0</v>
      </c>
      <c r="BB175">
        <f>IFERROR(INDEX(Player_Model!$BG$2:$BG$596,MATCH($A175,Player_Model!$A$2:$A$596,0)),"")</f>
        <v>155</v>
      </c>
      <c r="BC175" t="str">
        <f t="shared" si="74"/>
        <v>AVOID</v>
      </c>
      <c r="BD175">
        <f>IF(H175=1,Table8[[#This Row],[Model Score]],-10000)</f>
        <v>0</v>
      </c>
      <c r="BE175">
        <f>IFERROR(INDEX(Player_Model!$BF$2:$BF$596,MATCH($A175,Player_Model!$A$2:$A$596,0)),"")</f>
        <v>253</v>
      </c>
      <c r="BF175">
        <f>IFERROR(INDEX(Player_Model!$BG$2:$BG$596,MATCH($A175,Player_Model!$A$2:$A$596,0)),"")</f>
        <v>155</v>
      </c>
      <c r="BG175">
        <f>IFERROR(INDEX(Player_Model!$BE$2:$BE$596,MATCH($A175,Player_Model!$A$2:$A$596,0)),0)</f>
        <v>0</v>
      </c>
    </row>
    <row r="176" spans="1:59" x14ac:dyDescent="0.25">
      <c r="A176" t="str">
        <f>tblPlayers[first_name]&amp;" "&amp;tblPlayers[second_name]</f>
        <v>Jamie Bynoe-Gittens</v>
      </c>
      <c r="B176" t="str">
        <f>_xlfn.SWITCH(tblPlayers[element_type],1,"GK",2,"DEF",3,"MID",4,"FWD")</f>
        <v>MID</v>
      </c>
      <c r="C176">
        <f>tblPlayers[team]</f>
        <v>6</v>
      </c>
      <c r="D176" t="str">
        <f>INDEX(tblTeams[Column1.short_name],MATCH(C176,tblTeams[Column1.id],0))</f>
        <v>CHE</v>
      </c>
      <c r="E176" s="4">
        <f>INDEX(FPL_Raw_Data!$F:$F,MATCH(A176,FPL_Raw_Data!$AA:$AA,0))/10</f>
        <v>5.9</v>
      </c>
      <c r="F176" s="4" t="str">
        <f>tblPlayers[[#This Row],[status]]</f>
        <v>a</v>
      </c>
      <c r="G176" s="4" t="b">
        <f>tblPlayers[[#This Row],[can_select]]</f>
        <v>1</v>
      </c>
      <c r="H176">
        <f>IF(AND(Table8[[#This Row],[Availability Status]]="a",Table8[[#This Row],[Can Select]]=TRUE),1,0)</f>
        <v>1</v>
      </c>
      <c r="I176">
        <f>tblPlayers[minutes]</f>
        <v>0</v>
      </c>
      <c r="J176" s="2">
        <f>Table8[[#This Row],[Minutes]]/90</f>
        <v>0</v>
      </c>
      <c r="K176" s="5">
        <f>IFERROR(Z176/(FIXTURE_ANALYSIS!$B$1-1),0)</f>
        <v>0</v>
      </c>
      <c r="L176">
        <f>tblPlayers[total_points]</f>
        <v>0</v>
      </c>
      <c r="M176">
        <f>tblPlayers[points_per_game]</f>
        <v>0</v>
      </c>
      <c r="N176">
        <f>tblPlayers[form]</f>
        <v>0</v>
      </c>
      <c r="O176">
        <f>tblPlayers[expected_goals]</f>
        <v>0</v>
      </c>
      <c r="P176">
        <f>tblPlayers[expected_assists]</f>
        <v>0</v>
      </c>
      <c r="Q176">
        <f>tblPlayers[expected_goal_involvements]</f>
        <v>0</v>
      </c>
      <c r="R176" s="2">
        <f t="shared" si="50"/>
        <v>0</v>
      </c>
      <c r="S176" s="5">
        <f t="shared" si="51"/>
        <v>0</v>
      </c>
      <c r="T176" s="5">
        <f t="shared" si="52"/>
        <v>0</v>
      </c>
      <c r="U176" s="5">
        <f t="shared" si="53"/>
        <v>0</v>
      </c>
      <c r="V176" s="3">
        <f t="shared" si="54"/>
        <v>0</v>
      </c>
      <c r="W176" s="5">
        <f t="shared" si="55"/>
        <v>0</v>
      </c>
      <c r="X176" s="5">
        <f>IFERROR(IF(OR($B176="MID",$B176="FWD"),INDEX(FIXTURE_ANALYSIS!$Q:$Q,MATCH($D176,FIXTURE_ANALYSIS!$A:$A,0)),INDEX(FIXTURE_ANALYSIS!$R:$R,MATCH($D176,FIXTURE_ANALYSIS!$A:$A,0))),1)</f>
        <v>1.0449221453287199</v>
      </c>
      <c r="Y176" s="5">
        <f t="shared" si="56"/>
        <v>1.0449221453287199</v>
      </c>
      <c r="Z176" s="8">
        <f>INDEX(FPL_Raw_Data!$T:$T,MATCH(A176,FPL_Raw_Data!$AA:$AA,0))</f>
        <v>0</v>
      </c>
      <c r="AA176" s="8">
        <f>INDEX(FPL_Raw_Data!$S:$S,MATCH(A176,FPL_Raw_Data!$AA:$AA,0))</f>
        <v>0</v>
      </c>
      <c r="AB176" s="2">
        <f t="shared" si="57"/>
        <v>0</v>
      </c>
      <c r="AC176" s="2">
        <f>INDEX(FPL_Raw_Data!$Q:$Q,MATCH(A176,FPL_Raw_Data!$AA:$AA,0))</f>
        <v>0</v>
      </c>
      <c r="AD176" s="8">
        <f>INDEX(FPL_Raw_Data!$R:$R,MATCH(A176,FPL_Raw_Data!$AA:$AA,0))</f>
        <v>0</v>
      </c>
      <c r="AE176" s="8">
        <f>INDEX(FPL_Raw_Data!$N:$N,MATCH(A176,FPL_Raw_Data!$AA:$AA,0))</f>
        <v>0</v>
      </c>
      <c r="AF176" s="8">
        <f>INDEX(FPL_Raw_Data!$L:$L,MATCH(A176,FPL_Raw_Data!$AA:$AA,0))</f>
        <v>0</v>
      </c>
      <c r="AG176" s="2">
        <f>INDEX(FPL_Raw_Data!$M:$M,MATCH(A176,FPL_Raw_Data!$AA:$AA,0))</f>
        <v>0</v>
      </c>
      <c r="AH176" s="2">
        <f t="shared" si="58"/>
        <v>0</v>
      </c>
      <c r="AI176" s="2">
        <f t="shared" si="59"/>
        <v>0</v>
      </c>
      <c r="AJ176" s="2">
        <f t="shared" si="60"/>
        <v>0</v>
      </c>
      <c r="AK176" s="2">
        <f t="shared" si="61"/>
        <v>0</v>
      </c>
      <c r="AL176" s="2">
        <f t="shared" si="62"/>
        <v>0</v>
      </c>
      <c r="AM176" s="2">
        <f t="shared" si="63"/>
        <v>0</v>
      </c>
      <c r="AN176" s="2">
        <f t="shared" si="64"/>
        <v>0</v>
      </c>
      <c r="AO176" s="3">
        <f t="shared" si="65"/>
        <v>0.1</v>
      </c>
      <c r="AP176">
        <f t="shared" si="66"/>
        <v>0</v>
      </c>
      <c r="AQ176">
        <f t="shared" si="67"/>
        <v>0.1</v>
      </c>
      <c r="AR176">
        <f t="shared" si="68"/>
        <v>0</v>
      </c>
      <c r="AS176" s="2">
        <f t="shared" si="69"/>
        <v>0</v>
      </c>
      <c r="AT176" s="2">
        <f>IFERROR(INDEX(Player_Model!$BC$2:$BC$596,MATCH($A176,Player_Model!$A$2:$A$596,0)),0)</f>
        <v>0</v>
      </c>
      <c r="AU176" s="2">
        <f>Table8[[#This Row],[Model Expected Points]]*Table8[[#This Row],[Fixture Adjustment]]</f>
        <v>0</v>
      </c>
      <c r="AV176" s="2">
        <f>Table8[[#This Row],[Fixture Adjusted Points / 90]]/Table8[[#This Row],[Price]]</f>
        <v>0</v>
      </c>
      <c r="AW176">
        <f t="shared" si="70"/>
        <v>0.05</v>
      </c>
      <c r="AX176">
        <f t="shared" si="71"/>
        <v>0</v>
      </c>
      <c r="AY176" s="2">
        <f t="shared" si="72"/>
        <v>0</v>
      </c>
      <c r="AZ176" s="5">
        <f t="shared" si="73"/>
        <v>1.0449221453287199</v>
      </c>
      <c r="BA176">
        <f>Table8[[#This Row],[Model Score2]]</f>
        <v>0</v>
      </c>
      <c r="BB176">
        <f>IFERROR(INDEX(Player_Model!$BG$2:$BG$596,MATCH($A176,Player_Model!$A$2:$A$596,0)),"")</f>
        <v>156</v>
      </c>
      <c r="BC176" t="str">
        <f t="shared" si="74"/>
        <v>AVOID</v>
      </c>
      <c r="BD176">
        <f>IF(H176=1,Table8[[#This Row],[Model Score]],-10000)</f>
        <v>0</v>
      </c>
      <c r="BE176">
        <f>IFERROR(INDEX(Player_Model!$BF$2:$BF$596,MATCH($A176,Player_Model!$A$2:$A$596,0)),"")</f>
        <v>253</v>
      </c>
      <c r="BF176">
        <f>IFERROR(INDEX(Player_Model!$BG$2:$BG$596,MATCH($A176,Player_Model!$A$2:$A$596,0)),"")</f>
        <v>156</v>
      </c>
      <c r="BG176">
        <f>IFERROR(INDEX(Player_Model!$BE$2:$BE$596,MATCH($A176,Player_Model!$A$2:$A$596,0)),0)</f>
        <v>0</v>
      </c>
    </row>
    <row r="177" spans="1:59" x14ac:dyDescent="0.25">
      <c r="A177" t="str">
        <f>tblPlayers[first_name]&amp;" "&amp;tblPlayers[second_name]</f>
        <v>Moisés Caicedo Corozo</v>
      </c>
      <c r="B177" t="str">
        <f>_xlfn.SWITCH(tblPlayers[element_type],1,"GK",2,"DEF",3,"MID",4,"FWD")</f>
        <v>MID</v>
      </c>
      <c r="C177">
        <f>tblPlayers[team]</f>
        <v>6</v>
      </c>
      <c r="D177" t="str">
        <f>INDEX(tblTeams[Column1.short_name],MATCH(C177,tblTeams[Column1.id],0))</f>
        <v>CHE</v>
      </c>
      <c r="E177" s="4">
        <f>INDEX(FPL_Raw_Data!$F:$F,MATCH(A177,FPL_Raw_Data!$AA:$AA,0))/10</f>
        <v>5.4</v>
      </c>
      <c r="F177" s="4" t="str">
        <f>tblPlayers[[#This Row],[status]]</f>
        <v>d</v>
      </c>
      <c r="G177" s="4" t="b">
        <f>tblPlayers[[#This Row],[can_select]]</f>
        <v>1</v>
      </c>
      <c r="H177">
        <f>IF(AND(Table8[[#This Row],[Availability Status]]="a",Table8[[#This Row],[Can Select]]=TRUE),1,0)</f>
        <v>0</v>
      </c>
      <c r="I177">
        <f>tblPlayers[minutes]</f>
        <v>13</v>
      </c>
      <c r="J177" s="2">
        <f>Table8[[#This Row],[Minutes]]/90</f>
        <v>0.14444444444444443</v>
      </c>
      <c r="K177" s="5">
        <f>IFERROR(Z177/(FIXTURE_ANALYSIS!$B$1-1),0)</f>
        <v>0</v>
      </c>
      <c r="L177">
        <f>tblPlayers[total_points]</f>
        <v>1</v>
      </c>
      <c r="M177">
        <f>tblPlayers[points_per_game]</f>
        <v>1</v>
      </c>
      <c r="N177">
        <f>tblPlayers[form]</f>
        <v>0.3</v>
      </c>
      <c r="O177">
        <f>tblPlayers[expected_goals]</f>
        <v>0</v>
      </c>
      <c r="P177">
        <f>tblPlayers[expected_assists]</f>
        <v>0</v>
      </c>
      <c r="Q177">
        <f>tblPlayers[expected_goal_involvements]</f>
        <v>0</v>
      </c>
      <c r="R177" s="2">
        <f t="shared" si="50"/>
        <v>6.9230769230769234</v>
      </c>
      <c r="S177" s="5">
        <f t="shared" si="51"/>
        <v>0</v>
      </c>
      <c r="T177" s="5">
        <f t="shared" si="52"/>
        <v>0</v>
      </c>
      <c r="U177" s="5">
        <f t="shared" si="53"/>
        <v>0</v>
      </c>
      <c r="V177" s="3">
        <f t="shared" si="54"/>
        <v>0.18518518518518517</v>
      </c>
      <c r="W177" s="5">
        <f t="shared" si="55"/>
        <v>0</v>
      </c>
      <c r="X177" s="5">
        <f>IFERROR(IF(OR($B177="MID",$B177="FWD"),INDEX(FIXTURE_ANALYSIS!$Q:$Q,MATCH($D177,FIXTURE_ANALYSIS!$A:$A,0)),INDEX(FIXTURE_ANALYSIS!$R:$R,MATCH($D177,FIXTURE_ANALYSIS!$A:$A,0))),1)</f>
        <v>1.0449221453287199</v>
      </c>
      <c r="Y177" s="5">
        <f t="shared" si="56"/>
        <v>1.0449221453287199</v>
      </c>
      <c r="Z177" s="8">
        <f>INDEX(FPL_Raw_Data!$T:$T,MATCH(A177,FPL_Raw_Data!$AA:$AA,0))</f>
        <v>0</v>
      </c>
      <c r="AA177" s="8">
        <f>INDEX(FPL_Raw_Data!$S:$S,MATCH(A177,FPL_Raw_Data!$AA:$AA,0))</f>
        <v>0</v>
      </c>
      <c r="AB177" s="2">
        <f t="shared" si="57"/>
        <v>0</v>
      </c>
      <c r="AC177" s="2">
        <f>INDEX(FPL_Raw_Data!$Q:$Q,MATCH(A177,FPL_Raw_Data!$AA:$AA,0))</f>
        <v>0</v>
      </c>
      <c r="AD177" s="8">
        <f>INDEX(FPL_Raw_Data!$R:$R,MATCH(A177,FPL_Raw_Data!$AA:$AA,0))</f>
        <v>3</v>
      </c>
      <c r="AE177" s="8">
        <f>INDEX(FPL_Raw_Data!$N:$N,MATCH(A177,FPL_Raw_Data!$AA:$AA,0))</f>
        <v>0</v>
      </c>
      <c r="AF177" s="8">
        <f>INDEX(FPL_Raw_Data!$L:$L,MATCH(A177,FPL_Raw_Data!$AA:$AA,0))</f>
        <v>0</v>
      </c>
      <c r="AG177" s="2">
        <f>INDEX(FPL_Raw_Data!$M:$M,MATCH(A177,FPL_Raw_Data!$AA:$AA,0))</f>
        <v>0</v>
      </c>
      <c r="AH177" s="2">
        <f t="shared" si="58"/>
        <v>0</v>
      </c>
      <c r="AI177" s="2">
        <f t="shared" si="59"/>
        <v>0</v>
      </c>
      <c r="AJ177" s="2">
        <f t="shared" si="60"/>
        <v>0</v>
      </c>
      <c r="AK177" s="2">
        <f t="shared" si="61"/>
        <v>0</v>
      </c>
      <c r="AL177" s="2">
        <f t="shared" si="62"/>
        <v>0</v>
      </c>
      <c r="AM177" s="2">
        <f t="shared" si="63"/>
        <v>0</v>
      </c>
      <c r="AN177" s="2">
        <f t="shared" si="64"/>
        <v>0</v>
      </c>
      <c r="AO177" s="3">
        <f t="shared" si="65"/>
        <v>85.5</v>
      </c>
      <c r="AP177">
        <f t="shared" si="66"/>
        <v>0</v>
      </c>
      <c r="AQ177">
        <f t="shared" si="67"/>
        <v>43.4</v>
      </c>
      <c r="AR177">
        <f t="shared" si="68"/>
        <v>0</v>
      </c>
      <c r="AS177" s="2">
        <f t="shared" si="69"/>
        <v>0</v>
      </c>
      <c r="AT177" s="2">
        <f>IFERROR(INDEX(Player_Model!$BC$2:$BC$596,MATCH($A177,Player_Model!$A$2:$A$596,0)),0)</f>
        <v>0</v>
      </c>
      <c r="AU177" s="2">
        <f>Table8[[#This Row],[Model Expected Points]]*Table8[[#This Row],[Fixture Adjustment]]</f>
        <v>0</v>
      </c>
      <c r="AV177" s="2">
        <f>Table8[[#This Row],[Fixture Adjusted Points / 90]]/Table8[[#This Row],[Price]]</f>
        <v>0</v>
      </c>
      <c r="AW177">
        <f t="shared" si="70"/>
        <v>42.75</v>
      </c>
      <c r="AX177">
        <f t="shared" si="71"/>
        <v>0</v>
      </c>
      <c r="AY177" s="2">
        <f t="shared" si="72"/>
        <v>0</v>
      </c>
      <c r="AZ177" s="5">
        <f t="shared" si="73"/>
        <v>1.0449221453287199</v>
      </c>
      <c r="BA177">
        <f>Table8[[#This Row],[Model Score2]]</f>
        <v>0</v>
      </c>
      <c r="BB177">
        <f>IFERROR(INDEX(Player_Model!$BG$2:$BG$596,MATCH($A177,Player_Model!$A$2:$A$596,0)),"")</f>
        <v>157</v>
      </c>
      <c r="BC177" t="str">
        <f t="shared" si="74"/>
        <v>AVOID</v>
      </c>
      <c r="BD177">
        <f>IF(H177=1,Table8[[#This Row],[Model Score]],-10000)</f>
        <v>-10000</v>
      </c>
      <c r="BE177">
        <f>IFERROR(INDEX(Player_Model!$BF$2:$BF$596,MATCH($A177,Player_Model!$A$2:$A$596,0)),"")</f>
        <v>253</v>
      </c>
      <c r="BF177">
        <f>IFERROR(INDEX(Player_Model!$BG$2:$BG$596,MATCH($A177,Player_Model!$A$2:$A$596,0)),"")</f>
        <v>157</v>
      </c>
      <c r="BG177">
        <f>IFERROR(INDEX(Player_Model!$BE$2:$BE$596,MATCH($A177,Player_Model!$A$2:$A$596,0)),0)</f>
        <v>0</v>
      </c>
    </row>
    <row r="178" spans="1:59" x14ac:dyDescent="0.25">
      <c r="A178" t="str">
        <f>tblPlayers[first_name]&amp;" "&amp;tblPlayers[second_name]</f>
        <v>Roméo Lavia</v>
      </c>
      <c r="B178" t="str">
        <f>_xlfn.SWITCH(tblPlayers[element_type],1,"GK",2,"DEF",3,"MID",4,"FWD")</f>
        <v>MID</v>
      </c>
      <c r="C178">
        <f>tblPlayers[team]</f>
        <v>6</v>
      </c>
      <c r="D178" t="str">
        <f>INDEX(tblTeams[Column1.short_name],MATCH(C178,tblTeams[Column1.id],0))</f>
        <v>CHE</v>
      </c>
      <c r="E178" s="4">
        <f>INDEX(FPL_Raw_Data!$F:$F,MATCH(A178,FPL_Raw_Data!$AA:$AA,0))/10</f>
        <v>5</v>
      </c>
      <c r="F178" s="4" t="str">
        <f>tblPlayers[[#This Row],[status]]</f>
        <v>a</v>
      </c>
      <c r="G178" s="4" t="b">
        <f>tblPlayers[[#This Row],[can_select]]</f>
        <v>1</v>
      </c>
      <c r="H178">
        <f>IF(AND(Table8[[#This Row],[Availability Status]]="a",Table8[[#This Row],[Can Select]]=TRUE),1,0)</f>
        <v>1</v>
      </c>
      <c r="I178">
        <f>tblPlayers[minutes]</f>
        <v>190</v>
      </c>
      <c r="J178" s="2">
        <f>Table8[[#This Row],[Minutes]]/90</f>
        <v>2.1111111111111112</v>
      </c>
      <c r="K178" s="5">
        <f>IFERROR(Z178/(FIXTURE_ANALYSIS!$B$1-1),0)</f>
        <v>1</v>
      </c>
      <c r="L178">
        <f>tblPlayers[total_points]</f>
        <v>9</v>
      </c>
      <c r="M178">
        <f>tblPlayers[points_per_game]</f>
        <v>3</v>
      </c>
      <c r="N178">
        <f>tblPlayers[form]</f>
        <v>3</v>
      </c>
      <c r="O178">
        <f>tblPlayers[expected_goals]</f>
        <v>0.75</v>
      </c>
      <c r="P178">
        <f>tblPlayers[expected_assists]</f>
        <v>0.04</v>
      </c>
      <c r="Q178">
        <f>tblPlayers[expected_goal_involvements]</f>
        <v>0.79</v>
      </c>
      <c r="R178" s="2">
        <f t="shared" si="50"/>
        <v>4.2631578947368425</v>
      </c>
      <c r="S178" s="5">
        <f t="shared" si="51"/>
        <v>0.35526315789473684</v>
      </c>
      <c r="T178" s="5">
        <f t="shared" si="52"/>
        <v>1.8947368421052633E-2</v>
      </c>
      <c r="U178" s="5">
        <f t="shared" si="53"/>
        <v>0.37421052631578949</v>
      </c>
      <c r="V178" s="3">
        <f t="shared" si="54"/>
        <v>1.8</v>
      </c>
      <c r="W178" s="5">
        <f t="shared" si="55"/>
        <v>0.158</v>
      </c>
      <c r="X178" s="5">
        <f>IFERROR(IF(OR($B178="MID",$B178="FWD"),INDEX(FIXTURE_ANALYSIS!$Q:$Q,MATCH($D178,FIXTURE_ANALYSIS!$A:$A,0)),INDEX(FIXTURE_ANALYSIS!$R:$R,MATCH($D178,FIXTURE_ANALYSIS!$A:$A,0))),1)</f>
        <v>1.0449221453287199</v>
      </c>
      <c r="Y178" s="5">
        <f t="shared" si="56"/>
        <v>1.0449221453287199</v>
      </c>
      <c r="Z178" s="8">
        <f>INDEX(FPL_Raw_Data!$T:$T,MATCH(A178,FPL_Raw_Data!$AA:$AA,0))</f>
        <v>3</v>
      </c>
      <c r="AA178" s="8">
        <f>INDEX(FPL_Raw_Data!$S:$S,MATCH(A178,FPL_Raw_Data!$AA:$AA,0))</f>
        <v>22</v>
      </c>
      <c r="AB178" s="2">
        <f t="shared" si="57"/>
        <v>1</v>
      </c>
      <c r="AC178" s="2">
        <f>INDEX(FPL_Raw_Data!$Q:$Q,MATCH(A178,FPL_Raw_Data!$AA:$AA,0))</f>
        <v>0</v>
      </c>
      <c r="AD178" s="8">
        <f>INDEX(FPL_Raw_Data!$R:$R,MATCH(A178,FPL_Raw_Data!$AA:$AA,0))</f>
        <v>47</v>
      </c>
      <c r="AE178" s="8">
        <f>INDEX(FPL_Raw_Data!$N:$N,MATCH(A178,FPL_Raw_Data!$AA:$AA,0))</f>
        <v>0</v>
      </c>
      <c r="AF178" s="8">
        <f>INDEX(FPL_Raw_Data!$L:$L,MATCH(A178,FPL_Raw_Data!$AA:$AA,0))</f>
        <v>1</v>
      </c>
      <c r="AG178" s="2">
        <f>INDEX(FPL_Raw_Data!$M:$M,MATCH(A178,FPL_Raw_Data!$AA:$AA,0))</f>
        <v>0</v>
      </c>
      <c r="AH178" s="2">
        <f t="shared" si="58"/>
        <v>1.7763157894736841</v>
      </c>
      <c r="AI178" s="2">
        <f t="shared" si="59"/>
        <v>5.6842105263157902E-2</v>
      </c>
      <c r="AJ178" s="2">
        <f t="shared" si="60"/>
        <v>2</v>
      </c>
      <c r="AK178" s="2">
        <f t="shared" si="61"/>
        <v>2</v>
      </c>
      <c r="AL178" s="2">
        <f t="shared" si="62"/>
        <v>0</v>
      </c>
      <c r="AM178" s="2">
        <f t="shared" si="63"/>
        <v>0</v>
      </c>
      <c r="AN178" s="2">
        <f t="shared" si="64"/>
        <v>0</v>
      </c>
      <c r="AO178" s="3">
        <f t="shared" si="65"/>
        <v>70.7</v>
      </c>
      <c r="AP178">
        <f t="shared" si="66"/>
        <v>87.7</v>
      </c>
      <c r="AQ178">
        <f t="shared" si="67"/>
        <v>83.8</v>
      </c>
      <c r="AR178">
        <f t="shared" si="68"/>
        <v>92</v>
      </c>
      <c r="AS178" s="2">
        <f t="shared" si="69"/>
        <v>100</v>
      </c>
      <c r="AT178" s="2">
        <f>IFERROR(INDEX(Player_Model!$BC$2:$BC$596,MATCH($A178,Player_Model!$A$2:$A$596,0)),0)</f>
        <v>5.2800148522900452</v>
      </c>
      <c r="AU178" s="2">
        <f>Table8[[#This Row],[Model Expected Points]]*Table8[[#This Row],[Fixture Adjustment]]</f>
        <v>5.5172044468224177</v>
      </c>
      <c r="AV178" s="2">
        <f>Table8[[#This Row],[Fixture Adjusted Points / 90]]/Table8[[#This Row],[Price]]</f>
        <v>1.1034408893644836</v>
      </c>
      <c r="AW178">
        <f t="shared" si="70"/>
        <v>79.2</v>
      </c>
      <c r="AX178">
        <f t="shared" si="71"/>
        <v>1</v>
      </c>
      <c r="AY178" s="2">
        <f t="shared" si="72"/>
        <v>100</v>
      </c>
      <c r="AZ178" s="5">
        <f t="shared" si="73"/>
        <v>1.0449221453287199</v>
      </c>
      <c r="BA178">
        <f>Table8[[#This Row],[Model Score2]]</f>
        <v>5.2800148522900452</v>
      </c>
      <c r="BB178">
        <f>IFERROR(INDEX(Player_Model!$BG$2:$BG$596,MATCH($A178,Player_Model!$A$2:$A$596,0)),"")</f>
        <v>35</v>
      </c>
      <c r="BC178" t="str">
        <f t="shared" si="74"/>
        <v>AVOID</v>
      </c>
      <c r="BD178">
        <f>IF(H178=1,Table8[[#This Row],[Model Score]],-10000)</f>
        <v>5.2800148522900452</v>
      </c>
      <c r="BE178">
        <f>IFERROR(INDEX(Player_Model!$BF$2:$BF$596,MATCH($A178,Player_Model!$A$2:$A$596,0)),"")</f>
        <v>77</v>
      </c>
      <c r="BF178">
        <f>IFERROR(INDEX(Player_Model!$BG$2:$BG$596,MATCH($A178,Player_Model!$A$2:$A$596,0)),"")</f>
        <v>35</v>
      </c>
      <c r="BG178">
        <f>IFERROR(INDEX(Player_Model!$BE$2:$BE$596,MATCH($A178,Player_Model!$A$2:$A$596,0)),0)</f>
        <v>5.2800148522900452</v>
      </c>
    </row>
    <row r="179" spans="1:59" x14ac:dyDescent="0.25">
      <c r="A179" t="str">
        <f>tblPlayers[first_name]&amp;" "&amp;tblPlayers[second_name]</f>
        <v>Dário Luís Essugo</v>
      </c>
      <c r="B179" t="str">
        <f>_xlfn.SWITCH(tblPlayers[element_type],1,"GK",2,"DEF",3,"MID",4,"FWD")</f>
        <v>MID</v>
      </c>
      <c r="C179">
        <f>tblPlayers[team]</f>
        <v>6</v>
      </c>
      <c r="D179" t="str">
        <f>INDEX(tblTeams[Column1.short_name],MATCH(C179,tblTeams[Column1.id],0))</f>
        <v>CHE</v>
      </c>
      <c r="E179" s="4">
        <f>INDEX(FPL_Raw_Data!$F:$F,MATCH(A179,FPL_Raw_Data!$AA:$AA,0))/10</f>
        <v>4.5</v>
      </c>
      <c r="F179" s="4" t="str">
        <f>tblPlayers[[#This Row],[status]]</f>
        <v>u</v>
      </c>
      <c r="G179" s="4" t="b">
        <f>tblPlayers[[#This Row],[can_select]]</f>
        <v>0</v>
      </c>
      <c r="H179">
        <f>IF(AND(Table8[[#This Row],[Availability Status]]="a",Table8[[#This Row],[Can Select]]=TRUE),1,0)</f>
        <v>0</v>
      </c>
      <c r="I179">
        <f>tblPlayers[minutes]</f>
        <v>0</v>
      </c>
      <c r="J179" s="2">
        <f>Table8[[#This Row],[Minutes]]/90</f>
        <v>0</v>
      </c>
      <c r="K179" s="5">
        <f>IFERROR(Z179/(FIXTURE_ANALYSIS!$B$1-1),0)</f>
        <v>0</v>
      </c>
      <c r="L179">
        <f>tblPlayers[total_points]</f>
        <v>0</v>
      </c>
      <c r="M179">
        <f>tblPlayers[points_per_game]</f>
        <v>0</v>
      </c>
      <c r="N179">
        <f>tblPlayers[form]</f>
        <v>0</v>
      </c>
      <c r="O179">
        <f>tblPlayers[expected_goals]</f>
        <v>0</v>
      </c>
      <c r="P179">
        <f>tblPlayers[expected_assists]</f>
        <v>0</v>
      </c>
      <c r="Q179">
        <f>tblPlayers[expected_goal_involvements]</f>
        <v>0</v>
      </c>
      <c r="R179" s="2">
        <f t="shared" si="50"/>
        <v>0</v>
      </c>
      <c r="S179" s="5">
        <f t="shared" si="51"/>
        <v>0</v>
      </c>
      <c r="T179" s="5">
        <f t="shared" si="52"/>
        <v>0</v>
      </c>
      <c r="U179" s="5">
        <f t="shared" si="53"/>
        <v>0</v>
      </c>
      <c r="V179" s="3">
        <f t="shared" si="54"/>
        <v>0</v>
      </c>
      <c r="W179" s="5">
        <f t="shared" si="55"/>
        <v>0</v>
      </c>
      <c r="X179" s="5">
        <f>IFERROR(IF(OR($B179="MID",$B179="FWD"),INDEX(FIXTURE_ANALYSIS!$Q:$Q,MATCH($D179,FIXTURE_ANALYSIS!$A:$A,0)),INDEX(FIXTURE_ANALYSIS!$R:$R,MATCH($D179,FIXTURE_ANALYSIS!$A:$A,0))),1)</f>
        <v>1.0449221453287199</v>
      </c>
      <c r="Y179" s="5">
        <f t="shared" si="56"/>
        <v>1.0449221453287199</v>
      </c>
      <c r="Z179" s="8">
        <f>INDEX(FPL_Raw_Data!$T:$T,MATCH(A179,FPL_Raw_Data!$AA:$AA,0))</f>
        <v>0</v>
      </c>
      <c r="AA179" s="8">
        <f>INDEX(FPL_Raw_Data!$S:$S,MATCH(A179,FPL_Raw_Data!$AA:$AA,0))</f>
        <v>0</v>
      </c>
      <c r="AB179" s="2">
        <f t="shared" si="57"/>
        <v>0</v>
      </c>
      <c r="AC179" s="2">
        <f>INDEX(FPL_Raw_Data!$Q:$Q,MATCH(A179,FPL_Raw_Data!$AA:$AA,0))</f>
        <v>0</v>
      </c>
      <c r="AD179" s="8">
        <f>INDEX(FPL_Raw_Data!$R:$R,MATCH(A179,FPL_Raw_Data!$AA:$AA,0))</f>
        <v>0</v>
      </c>
      <c r="AE179" s="8">
        <f>INDEX(FPL_Raw_Data!$N:$N,MATCH(A179,FPL_Raw_Data!$AA:$AA,0))</f>
        <v>0</v>
      </c>
      <c r="AF179" s="8">
        <f>INDEX(FPL_Raw_Data!$L:$L,MATCH(A179,FPL_Raw_Data!$AA:$AA,0))</f>
        <v>0</v>
      </c>
      <c r="AG179" s="2">
        <f>INDEX(FPL_Raw_Data!$M:$M,MATCH(A179,FPL_Raw_Data!$AA:$AA,0))</f>
        <v>0</v>
      </c>
      <c r="AH179" s="2">
        <f t="shared" si="58"/>
        <v>0</v>
      </c>
      <c r="AI179" s="2">
        <f t="shared" si="59"/>
        <v>0</v>
      </c>
      <c r="AJ179" s="2">
        <f t="shared" si="60"/>
        <v>0</v>
      </c>
      <c r="AK179" s="2">
        <f t="shared" si="61"/>
        <v>0</v>
      </c>
      <c r="AL179" s="2">
        <f t="shared" si="62"/>
        <v>0</v>
      </c>
      <c r="AM179" s="2">
        <f t="shared" si="63"/>
        <v>0</v>
      </c>
      <c r="AN179" s="2">
        <f t="shared" si="64"/>
        <v>0</v>
      </c>
      <c r="AO179" s="3">
        <f t="shared" si="65"/>
        <v>0.1</v>
      </c>
      <c r="AP179">
        <f t="shared" si="66"/>
        <v>0</v>
      </c>
      <c r="AQ179">
        <f t="shared" si="67"/>
        <v>0.1</v>
      </c>
      <c r="AR179">
        <f t="shared" si="68"/>
        <v>0</v>
      </c>
      <c r="AS179" s="2">
        <f t="shared" si="69"/>
        <v>0</v>
      </c>
      <c r="AT179" s="2">
        <f>IFERROR(INDEX(Player_Model!$BC$2:$BC$596,MATCH($A179,Player_Model!$A$2:$A$596,0)),0)</f>
        <v>0</v>
      </c>
      <c r="AU179" s="2">
        <f>Table8[[#This Row],[Model Expected Points]]*Table8[[#This Row],[Fixture Adjustment]]</f>
        <v>0</v>
      </c>
      <c r="AV179" s="2">
        <f>Table8[[#This Row],[Fixture Adjusted Points / 90]]/Table8[[#This Row],[Price]]</f>
        <v>0</v>
      </c>
      <c r="AW179">
        <f t="shared" si="70"/>
        <v>0.05</v>
      </c>
      <c r="AX179">
        <f t="shared" si="71"/>
        <v>0</v>
      </c>
      <c r="AY179" s="2">
        <f t="shared" si="72"/>
        <v>0</v>
      </c>
      <c r="AZ179" s="5">
        <f t="shared" si="73"/>
        <v>1.0449221453287199</v>
      </c>
      <c r="BA179">
        <f>Table8[[#This Row],[Model Score2]]</f>
        <v>0</v>
      </c>
      <c r="BB179">
        <f>IFERROR(INDEX(Player_Model!$BG$2:$BG$596,MATCH($A179,Player_Model!$A$2:$A$596,0)),"")</f>
        <v>158</v>
      </c>
      <c r="BC179" t="str">
        <f t="shared" si="74"/>
        <v>AVOID</v>
      </c>
      <c r="BD179">
        <f>IF(H179=1,Table8[[#This Row],[Model Score]],-10000)</f>
        <v>-10000</v>
      </c>
      <c r="BE179">
        <f>IFERROR(INDEX(Player_Model!$BF$2:$BF$596,MATCH($A179,Player_Model!$A$2:$A$596,0)),"")</f>
        <v>253</v>
      </c>
      <c r="BF179">
        <f>IFERROR(INDEX(Player_Model!$BG$2:$BG$596,MATCH($A179,Player_Model!$A$2:$A$596,0)),"")</f>
        <v>158</v>
      </c>
      <c r="BG179">
        <f>IFERROR(INDEX(Player_Model!$BE$2:$BE$596,MATCH($A179,Player_Model!$A$2:$A$596,0)),0)</f>
        <v>0</v>
      </c>
    </row>
    <row r="180" spans="1:59" x14ac:dyDescent="0.25">
      <c r="A180" t="str">
        <f>tblPlayers[first_name]&amp;" "&amp;tblPlayers[second_name]</f>
        <v>Geovany Quenda</v>
      </c>
      <c r="B180" t="str">
        <f>_xlfn.SWITCH(tblPlayers[element_type],1,"GK",2,"DEF",3,"MID",4,"FWD")</f>
        <v>MID</v>
      </c>
      <c r="C180">
        <f>tblPlayers[team]</f>
        <v>6</v>
      </c>
      <c r="D180" t="str">
        <f>INDEX(tblTeams[Column1.short_name],MATCH(C180,tblTeams[Column1.id],0))</f>
        <v>CHE</v>
      </c>
      <c r="E180" s="4">
        <f>INDEX(FPL_Raw_Data!$F:$F,MATCH(A180,FPL_Raw_Data!$AA:$AA,0))/10</f>
        <v>5.4</v>
      </c>
      <c r="F180" s="4" t="str">
        <f>tblPlayers[[#This Row],[status]]</f>
        <v>a</v>
      </c>
      <c r="G180" s="4" t="b">
        <f>tblPlayers[[#This Row],[can_select]]</f>
        <v>1</v>
      </c>
      <c r="H180">
        <f>IF(AND(Table8[[#This Row],[Availability Status]]="a",Table8[[#This Row],[Can Select]]=TRUE),1,0)</f>
        <v>1</v>
      </c>
      <c r="I180">
        <f>tblPlayers[minutes]</f>
        <v>8</v>
      </c>
      <c r="J180" s="2">
        <f>Table8[[#This Row],[Minutes]]/90</f>
        <v>8.8888888888888892E-2</v>
      </c>
      <c r="K180" s="5">
        <f>IFERROR(Z180/(FIXTURE_ANALYSIS!$B$1-1),0)</f>
        <v>0</v>
      </c>
      <c r="L180">
        <f>tblPlayers[total_points]</f>
        <v>1</v>
      </c>
      <c r="M180">
        <f>tblPlayers[points_per_game]</f>
        <v>1</v>
      </c>
      <c r="N180">
        <f>tblPlayers[form]</f>
        <v>0.3</v>
      </c>
      <c r="O180">
        <f>tblPlayers[expected_goals]</f>
        <v>0</v>
      </c>
      <c r="P180">
        <f>tblPlayers[expected_assists]</f>
        <v>0</v>
      </c>
      <c r="Q180">
        <f>tblPlayers[expected_goal_involvements]</f>
        <v>0</v>
      </c>
      <c r="R180" s="2">
        <f t="shared" si="50"/>
        <v>11.25</v>
      </c>
      <c r="S180" s="5">
        <f t="shared" si="51"/>
        <v>0</v>
      </c>
      <c r="T180" s="5">
        <f t="shared" si="52"/>
        <v>0</v>
      </c>
      <c r="U180" s="5">
        <f t="shared" si="53"/>
        <v>0</v>
      </c>
      <c r="V180" s="3">
        <f t="shared" si="54"/>
        <v>0.18518518518518517</v>
      </c>
      <c r="W180" s="5">
        <f t="shared" si="55"/>
        <v>0</v>
      </c>
      <c r="X180" s="5">
        <f>IFERROR(IF(OR($B180="MID",$B180="FWD"),INDEX(FIXTURE_ANALYSIS!$Q:$Q,MATCH($D180,FIXTURE_ANALYSIS!$A:$A,0)),INDEX(FIXTURE_ANALYSIS!$R:$R,MATCH($D180,FIXTURE_ANALYSIS!$A:$A,0))),1)</f>
        <v>1.0449221453287199</v>
      </c>
      <c r="Y180" s="5">
        <f t="shared" si="56"/>
        <v>1.0449221453287199</v>
      </c>
      <c r="Z180" s="8">
        <f>INDEX(FPL_Raw_Data!$T:$T,MATCH(A180,FPL_Raw_Data!$AA:$AA,0))</f>
        <v>0</v>
      </c>
      <c r="AA180" s="8">
        <f>INDEX(FPL_Raw_Data!$S:$S,MATCH(A180,FPL_Raw_Data!$AA:$AA,0))</f>
        <v>1</v>
      </c>
      <c r="AB180" s="2">
        <f t="shared" si="57"/>
        <v>8.3333333333333329E-2</v>
      </c>
      <c r="AC180" s="2">
        <f>INDEX(FPL_Raw_Data!$Q:$Q,MATCH(A180,FPL_Raw_Data!$AA:$AA,0))</f>
        <v>0</v>
      </c>
      <c r="AD180" s="8">
        <f>INDEX(FPL_Raw_Data!$R:$R,MATCH(A180,FPL_Raw_Data!$AA:$AA,0))</f>
        <v>2</v>
      </c>
      <c r="AE180" s="8">
        <f>INDEX(FPL_Raw_Data!$N:$N,MATCH(A180,FPL_Raw_Data!$AA:$AA,0))</f>
        <v>0</v>
      </c>
      <c r="AF180" s="8">
        <f>INDEX(FPL_Raw_Data!$L:$L,MATCH(A180,FPL_Raw_Data!$AA:$AA,0))</f>
        <v>0</v>
      </c>
      <c r="AG180" s="2">
        <f>INDEX(FPL_Raw_Data!$M:$M,MATCH(A180,FPL_Raw_Data!$AA:$AA,0))</f>
        <v>0</v>
      </c>
      <c r="AH180" s="2">
        <f t="shared" si="58"/>
        <v>0</v>
      </c>
      <c r="AI180" s="2">
        <f t="shared" si="59"/>
        <v>0</v>
      </c>
      <c r="AJ180" s="2">
        <f t="shared" si="60"/>
        <v>0</v>
      </c>
      <c r="AK180" s="2">
        <f t="shared" si="61"/>
        <v>0.16666666666666666</v>
      </c>
      <c r="AL180" s="2">
        <f t="shared" si="62"/>
        <v>0</v>
      </c>
      <c r="AM180" s="2">
        <f t="shared" si="63"/>
        <v>0</v>
      </c>
      <c r="AN180" s="2">
        <f t="shared" si="64"/>
        <v>0</v>
      </c>
      <c r="AO180" s="3">
        <f t="shared" si="65"/>
        <v>93.600000000000009</v>
      </c>
      <c r="AP180">
        <f t="shared" si="66"/>
        <v>0</v>
      </c>
      <c r="AQ180">
        <f t="shared" si="67"/>
        <v>43.4</v>
      </c>
      <c r="AR180">
        <f t="shared" si="68"/>
        <v>0</v>
      </c>
      <c r="AS180" s="2">
        <f t="shared" si="69"/>
        <v>0</v>
      </c>
      <c r="AT180" s="2">
        <f>IFERROR(INDEX(Player_Model!$BC$2:$BC$596,MATCH($A180,Player_Model!$A$2:$A$596,0)),0)</f>
        <v>0</v>
      </c>
      <c r="AU180" s="2">
        <f>Table8[[#This Row],[Model Expected Points]]*Table8[[#This Row],[Fixture Adjustment]]</f>
        <v>0</v>
      </c>
      <c r="AV180" s="2">
        <f>Table8[[#This Row],[Fixture Adjusted Points / 90]]/Table8[[#This Row],[Price]]</f>
        <v>0</v>
      </c>
      <c r="AW180">
        <f t="shared" si="70"/>
        <v>46.800000000000004</v>
      </c>
      <c r="AX180">
        <f t="shared" si="71"/>
        <v>8.3333333333333329E-2</v>
      </c>
      <c r="AY180" s="2">
        <f t="shared" si="72"/>
        <v>0</v>
      </c>
      <c r="AZ180" s="5">
        <f t="shared" si="73"/>
        <v>1.0449221453287199</v>
      </c>
      <c r="BA180">
        <f>Table8[[#This Row],[Model Score2]]</f>
        <v>0</v>
      </c>
      <c r="BB180">
        <f>IFERROR(INDEX(Player_Model!$BG$2:$BG$596,MATCH($A180,Player_Model!$A$2:$A$596,0)),"")</f>
        <v>159</v>
      </c>
      <c r="BC180" t="str">
        <f t="shared" si="74"/>
        <v>AVOID</v>
      </c>
      <c r="BD180">
        <f>IF(H180=1,Table8[[#This Row],[Model Score]],-10000)</f>
        <v>0</v>
      </c>
      <c r="BE180">
        <f>IFERROR(INDEX(Player_Model!$BF$2:$BF$596,MATCH($A180,Player_Model!$A$2:$A$596,0)),"")</f>
        <v>253</v>
      </c>
      <c r="BF180">
        <f>IFERROR(INDEX(Player_Model!$BG$2:$BG$596,MATCH($A180,Player_Model!$A$2:$A$596,0)),"")</f>
        <v>159</v>
      </c>
      <c r="BG180">
        <f>IFERROR(INDEX(Player_Model!$BE$2:$BE$596,MATCH($A180,Player_Model!$A$2:$A$596,0)),0)</f>
        <v>0</v>
      </c>
    </row>
    <row r="181" spans="1:59" x14ac:dyDescent="0.25">
      <c r="A181" t="str">
        <f>tblPlayers[first_name]&amp;" "&amp;tblPlayers[second_name]</f>
        <v>João Pedro Junqueira de Jesus</v>
      </c>
      <c r="B181" t="str">
        <f>_xlfn.SWITCH(tblPlayers[element_type],1,"GK",2,"DEF",3,"MID",4,"FWD")</f>
        <v>FWD</v>
      </c>
      <c r="C181">
        <f>tblPlayers[team]</f>
        <v>6</v>
      </c>
      <c r="D181" t="str">
        <f>INDEX(tblTeams[Column1.short_name],MATCH(C181,tblTeams[Column1.id],0))</f>
        <v>CHE</v>
      </c>
      <c r="E181" s="4">
        <f>INDEX(FPL_Raw_Data!$F:$F,MATCH(A181,FPL_Raw_Data!$AA:$AA,0))/10</f>
        <v>7.7</v>
      </c>
      <c r="F181" s="4" t="str">
        <f>tblPlayers[[#This Row],[status]]</f>
        <v>a</v>
      </c>
      <c r="G181" s="4" t="b">
        <f>tblPlayers[[#This Row],[can_select]]</f>
        <v>1</v>
      </c>
      <c r="H181">
        <f>IF(AND(Table8[[#This Row],[Availability Status]]="a",Table8[[#This Row],[Can Select]]=TRUE),1,0)</f>
        <v>1</v>
      </c>
      <c r="I181">
        <f>tblPlayers[minutes]</f>
        <v>270</v>
      </c>
      <c r="J181" s="2">
        <f>Table8[[#This Row],[Minutes]]/90</f>
        <v>3</v>
      </c>
      <c r="K181" s="5">
        <f>IFERROR(Z181/(FIXTURE_ANALYSIS!$B$1-1),0)</f>
        <v>1</v>
      </c>
      <c r="L181">
        <f>tblPlayers[total_points]</f>
        <v>21</v>
      </c>
      <c r="M181">
        <f>tblPlayers[points_per_game]</f>
        <v>7</v>
      </c>
      <c r="N181">
        <f>tblPlayers[form]</f>
        <v>7</v>
      </c>
      <c r="O181">
        <f>tblPlayers[expected_goals]</f>
        <v>1.88</v>
      </c>
      <c r="P181">
        <f>tblPlayers[expected_assists]</f>
        <v>0.15</v>
      </c>
      <c r="Q181">
        <f>tblPlayers[expected_goal_involvements]</f>
        <v>2.0299999999999998</v>
      </c>
      <c r="R181" s="2">
        <f t="shared" si="50"/>
        <v>7</v>
      </c>
      <c r="S181" s="5">
        <f t="shared" si="51"/>
        <v>0.62666666666666659</v>
      </c>
      <c r="T181" s="5">
        <f t="shared" si="52"/>
        <v>0.05</v>
      </c>
      <c r="U181" s="5">
        <f t="shared" si="53"/>
        <v>0.67666666666666664</v>
      </c>
      <c r="V181" s="3">
        <f t="shared" si="54"/>
        <v>2.7272727272727271</v>
      </c>
      <c r="W181" s="5">
        <f t="shared" si="55"/>
        <v>0.26363636363636361</v>
      </c>
      <c r="X181" s="5">
        <f>IFERROR(IF(OR($B181="MID",$B181="FWD"),INDEX(FIXTURE_ANALYSIS!$Q:$Q,MATCH($D181,FIXTURE_ANALYSIS!$A:$A,0)),INDEX(FIXTURE_ANALYSIS!$R:$R,MATCH($D181,FIXTURE_ANALYSIS!$A:$A,0))),1)</f>
        <v>1.0449221453287199</v>
      </c>
      <c r="Y181" s="5">
        <f t="shared" si="56"/>
        <v>1.0449221453287199</v>
      </c>
      <c r="Z181" s="8">
        <f>INDEX(FPL_Raw_Data!$T:$T,MATCH(A181,FPL_Raw_Data!$AA:$AA,0))</f>
        <v>3</v>
      </c>
      <c r="AA181" s="8">
        <f>INDEX(FPL_Raw_Data!$S:$S,MATCH(A181,FPL_Raw_Data!$AA:$AA,0))</f>
        <v>7</v>
      </c>
      <c r="AB181" s="2">
        <f t="shared" si="57"/>
        <v>0.58333333333333337</v>
      </c>
      <c r="AC181" s="2">
        <f>INDEX(FPL_Raw_Data!$Q:$Q,MATCH(A181,FPL_Raw_Data!$AA:$AA,0))</f>
        <v>4</v>
      </c>
      <c r="AD181" s="8">
        <f>INDEX(FPL_Raw_Data!$R:$R,MATCH(A181,FPL_Raw_Data!$AA:$AA,0))</f>
        <v>97</v>
      </c>
      <c r="AE181" s="8">
        <f>INDEX(FPL_Raw_Data!$N:$N,MATCH(A181,FPL_Raw_Data!$AA:$AA,0))</f>
        <v>0</v>
      </c>
      <c r="AF181" s="8">
        <f>INDEX(FPL_Raw_Data!$L:$L,MATCH(A181,FPL_Raw_Data!$AA:$AA,0))</f>
        <v>2</v>
      </c>
      <c r="AG181" s="2">
        <f>INDEX(FPL_Raw_Data!$M:$M,MATCH(A181,FPL_Raw_Data!$AA:$AA,0))</f>
        <v>2</v>
      </c>
      <c r="AH181" s="2">
        <f t="shared" si="58"/>
        <v>2.5066666666666664</v>
      </c>
      <c r="AI181" s="2">
        <f t="shared" si="59"/>
        <v>0.15000000000000002</v>
      </c>
      <c r="AJ181" s="2">
        <f t="shared" si="60"/>
        <v>2</v>
      </c>
      <c r="AK181" s="2">
        <f t="shared" si="61"/>
        <v>1.1666666666666667</v>
      </c>
      <c r="AL181" s="2">
        <f t="shared" si="62"/>
        <v>0</v>
      </c>
      <c r="AM181" s="2">
        <f t="shared" si="63"/>
        <v>0</v>
      </c>
      <c r="AN181" s="2">
        <f t="shared" si="64"/>
        <v>1.3333333333333333</v>
      </c>
      <c r="AO181" s="3">
        <f t="shared" si="65"/>
        <v>86.1</v>
      </c>
      <c r="AP181">
        <f t="shared" si="66"/>
        <v>95.1</v>
      </c>
      <c r="AQ181">
        <f t="shared" si="67"/>
        <v>93.2</v>
      </c>
      <c r="AR181">
        <f t="shared" si="68"/>
        <v>97.6</v>
      </c>
      <c r="AS181" s="2">
        <f t="shared" si="69"/>
        <v>100</v>
      </c>
      <c r="AT181" s="2">
        <f>IFERROR(INDEX(Player_Model!$BC$2:$BC$596,MATCH($A181,Player_Model!$A$2:$A$596,0)),0)</f>
        <v>5.2331743982407986</v>
      </c>
      <c r="AU181" s="2">
        <f>Table8[[#This Row],[Model Expected Points]]*Table8[[#This Row],[Fixture Adjustment]]</f>
        <v>5.4682598190891074</v>
      </c>
      <c r="AV181" s="2">
        <f>Table8[[#This Row],[Fixture Adjusted Points / 90]]/Table8[[#This Row],[Price]]</f>
        <v>0.71016361286871521</v>
      </c>
      <c r="AW181">
        <f t="shared" si="70"/>
        <v>90.6</v>
      </c>
      <c r="AX181">
        <f t="shared" si="71"/>
        <v>0</v>
      </c>
      <c r="AY181" s="2">
        <f t="shared" si="72"/>
        <v>100</v>
      </c>
      <c r="AZ181" s="5">
        <f t="shared" si="73"/>
        <v>1.0449221453287199</v>
      </c>
      <c r="BA181">
        <f>Table8[[#This Row],[Model Score2]]</f>
        <v>5.2331743982407986</v>
      </c>
      <c r="BB181">
        <f>IFERROR(INDEX(Player_Model!$BG$2:$BG$596,MATCH($A181,Player_Model!$A$2:$A$596,0)),"")</f>
        <v>8</v>
      </c>
      <c r="BC181" t="str">
        <f t="shared" si="74"/>
        <v>CONSIDER</v>
      </c>
      <c r="BD181">
        <f>IF(H181=1,Table8[[#This Row],[Model Score]],-10000)</f>
        <v>5.2331743982407986</v>
      </c>
      <c r="BE181">
        <f>IFERROR(INDEX(Player_Model!$BF$2:$BF$596,MATCH($A181,Player_Model!$A$2:$A$596,0)),"")</f>
        <v>80</v>
      </c>
      <c r="BF181">
        <f>IFERROR(INDEX(Player_Model!$BG$2:$BG$596,MATCH($A181,Player_Model!$A$2:$A$596,0)),"")</f>
        <v>8</v>
      </c>
      <c r="BG181">
        <f>IFERROR(INDEX(Player_Model!$BE$2:$BE$596,MATCH($A181,Player_Model!$A$2:$A$596,0)),0)</f>
        <v>5.2331743982407986</v>
      </c>
    </row>
    <row r="182" spans="1:59" x14ac:dyDescent="0.25">
      <c r="A182" t="str">
        <f>tblPlayers[first_name]&amp;" "&amp;tblPlayers[second_name]</f>
        <v>Marc Guiu Paz</v>
      </c>
      <c r="B182" t="str">
        <f>_xlfn.SWITCH(tblPlayers[element_type],1,"GK",2,"DEF",3,"MID",4,"FWD")</f>
        <v>FWD</v>
      </c>
      <c r="C182">
        <f>tblPlayers[team]</f>
        <v>6</v>
      </c>
      <c r="D182" t="str">
        <f>INDEX(tblTeams[Column1.short_name],MATCH(C182,tblTeams[Column1.id],0))</f>
        <v>CHE</v>
      </c>
      <c r="E182" s="4">
        <f>INDEX(FPL_Raw_Data!$F:$F,MATCH(A182,FPL_Raw_Data!$AA:$AA,0))/10</f>
        <v>5</v>
      </c>
      <c r="F182" s="4" t="str">
        <f>tblPlayers[[#This Row],[status]]</f>
        <v>u</v>
      </c>
      <c r="G182" s="4" t="b">
        <f>tblPlayers[[#This Row],[can_select]]</f>
        <v>0</v>
      </c>
      <c r="H182">
        <f>IF(AND(Table8[[#This Row],[Availability Status]]="a",Table8[[#This Row],[Can Select]]=TRUE),1,0)</f>
        <v>0</v>
      </c>
      <c r="I182">
        <f>tblPlayers[minutes]</f>
        <v>0</v>
      </c>
      <c r="J182" s="2">
        <f>Table8[[#This Row],[Minutes]]/90</f>
        <v>0</v>
      </c>
      <c r="K182" s="5">
        <f>IFERROR(Z182/(FIXTURE_ANALYSIS!$B$1-1),0)</f>
        <v>0</v>
      </c>
      <c r="L182">
        <f>tblPlayers[total_points]</f>
        <v>0</v>
      </c>
      <c r="M182">
        <f>tblPlayers[points_per_game]</f>
        <v>0</v>
      </c>
      <c r="N182">
        <f>tblPlayers[form]</f>
        <v>0</v>
      </c>
      <c r="O182">
        <f>tblPlayers[expected_goals]</f>
        <v>0</v>
      </c>
      <c r="P182">
        <f>tblPlayers[expected_assists]</f>
        <v>0</v>
      </c>
      <c r="Q182">
        <f>tblPlayers[expected_goal_involvements]</f>
        <v>0</v>
      </c>
      <c r="R182" s="2">
        <f t="shared" si="50"/>
        <v>0</v>
      </c>
      <c r="S182" s="5">
        <f t="shared" si="51"/>
        <v>0</v>
      </c>
      <c r="T182" s="5">
        <f t="shared" si="52"/>
        <v>0</v>
      </c>
      <c r="U182" s="5">
        <f t="shared" si="53"/>
        <v>0</v>
      </c>
      <c r="V182" s="3">
        <f t="shared" si="54"/>
        <v>0</v>
      </c>
      <c r="W182" s="5">
        <f t="shared" si="55"/>
        <v>0</v>
      </c>
      <c r="X182" s="5">
        <f>IFERROR(IF(OR($B182="MID",$B182="FWD"),INDEX(FIXTURE_ANALYSIS!$Q:$Q,MATCH($D182,FIXTURE_ANALYSIS!$A:$A,0)),INDEX(FIXTURE_ANALYSIS!$R:$R,MATCH($D182,FIXTURE_ANALYSIS!$A:$A,0))),1)</f>
        <v>1.0449221453287199</v>
      </c>
      <c r="Y182" s="5">
        <f t="shared" si="56"/>
        <v>1.0449221453287199</v>
      </c>
      <c r="Z182" s="8">
        <f>INDEX(FPL_Raw_Data!$T:$T,MATCH(A182,FPL_Raw_Data!$AA:$AA,0))</f>
        <v>0</v>
      </c>
      <c r="AA182" s="8">
        <f>INDEX(FPL_Raw_Data!$S:$S,MATCH(A182,FPL_Raw_Data!$AA:$AA,0))</f>
        <v>0</v>
      </c>
      <c r="AB182" s="2">
        <f t="shared" si="57"/>
        <v>0</v>
      </c>
      <c r="AC182" s="2">
        <f>INDEX(FPL_Raw_Data!$Q:$Q,MATCH(A182,FPL_Raw_Data!$AA:$AA,0))</f>
        <v>0</v>
      </c>
      <c r="AD182" s="8">
        <f>INDEX(FPL_Raw_Data!$R:$R,MATCH(A182,FPL_Raw_Data!$AA:$AA,0))</f>
        <v>0</v>
      </c>
      <c r="AE182" s="8">
        <f>INDEX(FPL_Raw_Data!$N:$N,MATCH(A182,FPL_Raw_Data!$AA:$AA,0))</f>
        <v>0</v>
      </c>
      <c r="AF182" s="8">
        <f>INDEX(FPL_Raw_Data!$L:$L,MATCH(A182,FPL_Raw_Data!$AA:$AA,0))</f>
        <v>0</v>
      </c>
      <c r="AG182" s="2">
        <f>INDEX(FPL_Raw_Data!$M:$M,MATCH(A182,FPL_Raw_Data!$AA:$AA,0))</f>
        <v>0</v>
      </c>
      <c r="AH182" s="2">
        <f t="shared" si="58"/>
        <v>0</v>
      </c>
      <c r="AI182" s="2">
        <f t="shared" si="59"/>
        <v>0</v>
      </c>
      <c r="AJ182" s="2">
        <f t="shared" si="60"/>
        <v>0</v>
      </c>
      <c r="AK182" s="2">
        <f t="shared" si="61"/>
        <v>0</v>
      </c>
      <c r="AL182" s="2">
        <f t="shared" si="62"/>
        <v>0</v>
      </c>
      <c r="AM182" s="2">
        <f t="shared" si="63"/>
        <v>0</v>
      </c>
      <c r="AN182" s="2">
        <f t="shared" si="64"/>
        <v>0</v>
      </c>
      <c r="AO182" s="3">
        <f t="shared" si="65"/>
        <v>0.1</v>
      </c>
      <c r="AP182">
        <f t="shared" si="66"/>
        <v>0</v>
      </c>
      <c r="AQ182">
        <f t="shared" si="67"/>
        <v>0.1</v>
      </c>
      <c r="AR182">
        <f t="shared" si="68"/>
        <v>0</v>
      </c>
      <c r="AS182" s="2">
        <f t="shared" si="69"/>
        <v>0</v>
      </c>
      <c r="AT182" s="2">
        <f>IFERROR(INDEX(Player_Model!$BC$2:$BC$596,MATCH($A182,Player_Model!$A$2:$A$596,0)),0)</f>
        <v>0</v>
      </c>
      <c r="AU182" s="2">
        <f>Table8[[#This Row],[Model Expected Points]]*Table8[[#This Row],[Fixture Adjustment]]</f>
        <v>0</v>
      </c>
      <c r="AV182" s="2">
        <f>Table8[[#This Row],[Fixture Adjusted Points / 90]]/Table8[[#This Row],[Price]]</f>
        <v>0</v>
      </c>
      <c r="AW182">
        <f t="shared" si="70"/>
        <v>0.05</v>
      </c>
      <c r="AX182">
        <f t="shared" si="71"/>
        <v>0</v>
      </c>
      <c r="AY182" s="2">
        <f t="shared" si="72"/>
        <v>0</v>
      </c>
      <c r="AZ182" s="5">
        <f t="shared" si="73"/>
        <v>1.0449221453287199</v>
      </c>
      <c r="BA182">
        <f>Table8[[#This Row],[Model Score2]]</f>
        <v>0</v>
      </c>
      <c r="BB182">
        <f>IFERROR(INDEX(Player_Model!$BG$2:$BG$596,MATCH($A182,Player_Model!$A$2:$A$596,0)),"")</f>
        <v>40</v>
      </c>
      <c r="BC182" t="str">
        <f t="shared" si="74"/>
        <v>AVOID</v>
      </c>
      <c r="BD182">
        <f>IF(H182=1,Table8[[#This Row],[Model Score]],-10000)</f>
        <v>-10000</v>
      </c>
      <c r="BE182">
        <f>IFERROR(INDEX(Player_Model!$BF$2:$BF$596,MATCH($A182,Player_Model!$A$2:$A$596,0)),"")</f>
        <v>253</v>
      </c>
      <c r="BF182">
        <f>IFERROR(INDEX(Player_Model!$BG$2:$BG$596,MATCH($A182,Player_Model!$A$2:$A$596,0)),"")</f>
        <v>40</v>
      </c>
      <c r="BG182">
        <f>IFERROR(INDEX(Player_Model!$BE$2:$BE$596,MATCH($A182,Player_Model!$A$2:$A$596,0)),0)</f>
        <v>0</v>
      </c>
    </row>
    <row r="183" spans="1:59" x14ac:dyDescent="0.25">
      <c r="A183" t="str">
        <f>tblPlayers[first_name]&amp;" "&amp;tblPlayers[second_name]</f>
        <v>Shumaira Mheuka</v>
      </c>
      <c r="B183" t="str">
        <f>_xlfn.SWITCH(tblPlayers[element_type],1,"GK",2,"DEF",3,"MID",4,"FWD")</f>
        <v>FWD</v>
      </c>
      <c r="C183">
        <f>tblPlayers[team]</f>
        <v>6</v>
      </c>
      <c r="D183" t="str">
        <f>INDEX(tblTeams[Column1.short_name],MATCH(C183,tblTeams[Column1.id],0))</f>
        <v>CHE</v>
      </c>
      <c r="E183" s="4">
        <f>INDEX(FPL_Raw_Data!$F:$F,MATCH(A183,FPL_Raw_Data!$AA:$AA,0))/10</f>
        <v>4.5</v>
      </c>
      <c r="F183" s="4" t="str">
        <f>tblPlayers[[#This Row],[status]]</f>
        <v>a</v>
      </c>
      <c r="G183" s="4" t="b">
        <f>tblPlayers[[#This Row],[can_select]]</f>
        <v>1</v>
      </c>
      <c r="H183">
        <f>IF(AND(Table8[[#This Row],[Availability Status]]="a",Table8[[#This Row],[Can Select]]=TRUE),1,0)</f>
        <v>1</v>
      </c>
      <c r="I183">
        <f>tblPlayers[minutes]</f>
        <v>0</v>
      </c>
      <c r="J183" s="2">
        <f>Table8[[#This Row],[Minutes]]/90</f>
        <v>0</v>
      </c>
      <c r="K183" s="5">
        <f>IFERROR(Z183/(FIXTURE_ANALYSIS!$B$1-1),0)</f>
        <v>0</v>
      </c>
      <c r="L183">
        <f>tblPlayers[total_points]</f>
        <v>0</v>
      </c>
      <c r="M183">
        <f>tblPlayers[points_per_game]</f>
        <v>0</v>
      </c>
      <c r="N183">
        <f>tblPlayers[form]</f>
        <v>0</v>
      </c>
      <c r="O183">
        <f>tblPlayers[expected_goals]</f>
        <v>0</v>
      </c>
      <c r="P183">
        <f>tblPlayers[expected_assists]</f>
        <v>0</v>
      </c>
      <c r="Q183">
        <f>tblPlayers[expected_goal_involvements]</f>
        <v>0</v>
      </c>
      <c r="R183" s="2">
        <f t="shared" si="50"/>
        <v>0</v>
      </c>
      <c r="S183" s="5">
        <f t="shared" si="51"/>
        <v>0</v>
      </c>
      <c r="T183" s="5">
        <f t="shared" si="52"/>
        <v>0</v>
      </c>
      <c r="U183" s="5">
        <f t="shared" si="53"/>
        <v>0</v>
      </c>
      <c r="V183" s="3">
        <f t="shared" si="54"/>
        <v>0</v>
      </c>
      <c r="W183" s="5">
        <f t="shared" si="55"/>
        <v>0</v>
      </c>
      <c r="X183" s="5">
        <f>IFERROR(IF(OR($B183="MID",$B183="FWD"),INDEX(FIXTURE_ANALYSIS!$Q:$Q,MATCH($D183,FIXTURE_ANALYSIS!$A:$A,0)),INDEX(FIXTURE_ANALYSIS!$R:$R,MATCH($D183,FIXTURE_ANALYSIS!$A:$A,0))),1)</f>
        <v>1.0449221453287199</v>
      </c>
      <c r="Y183" s="5">
        <f t="shared" si="56"/>
        <v>1.0449221453287199</v>
      </c>
      <c r="Z183" s="8">
        <f>INDEX(FPL_Raw_Data!$T:$T,MATCH(A183,FPL_Raw_Data!$AA:$AA,0))</f>
        <v>0</v>
      </c>
      <c r="AA183" s="8">
        <f>INDEX(FPL_Raw_Data!$S:$S,MATCH(A183,FPL_Raw_Data!$AA:$AA,0))</f>
        <v>0</v>
      </c>
      <c r="AB183" s="2">
        <f t="shared" si="57"/>
        <v>0</v>
      </c>
      <c r="AC183" s="2">
        <f>INDEX(FPL_Raw_Data!$Q:$Q,MATCH(A183,FPL_Raw_Data!$AA:$AA,0))</f>
        <v>0</v>
      </c>
      <c r="AD183" s="8">
        <f>INDEX(FPL_Raw_Data!$R:$R,MATCH(A183,FPL_Raw_Data!$AA:$AA,0))</f>
        <v>0</v>
      </c>
      <c r="AE183" s="8">
        <f>INDEX(FPL_Raw_Data!$N:$N,MATCH(A183,FPL_Raw_Data!$AA:$AA,0))</f>
        <v>0</v>
      </c>
      <c r="AF183" s="8">
        <f>INDEX(FPL_Raw_Data!$L:$L,MATCH(A183,FPL_Raw_Data!$AA:$AA,0))</f>
        <v>0</v>
      </c>
      <c r="AG183" s="2">
        <f>INDEX(FPL_Raw_Data!$M:$M,MATCH(A183,FPL_Raw_Data!$AA:$AA,0))</f>
        <v>0</v>
      </c>
      <c r="AH183" s="2">
        <f t="shared" si="58"/>
        <v>0</v>
      </c>
      <c r="AI183" s="2">
        <f t="shared" si="59"/>
        <v>0</v>
      </c>
      <c r="AJ183" s="2">
        <f t="shared" si="60"/>
        <v>0</v>
      </c>
      <c r="AK183" s="2">
        <f t="shared" si="61"/>
        <v>0</v>
      </c>
      <c r="AL183" s="2">
        <f t="shared" si="62"/>
        <v>0</v>
      </c>
      <c r="AM183" s="2">
        <f t="shared" si="63"/>
        <v>0</v>
      </c>
      <c r="AN183" s="2">
        <f t="shared" si="64"/>
        <v>0</v>
      </c>
      <c r="AO183" s="3">
        <f t="shared" si="65"/>
        <v>0.1</v>
      </c>
      <c r="AP183">
        <f t="shared" si="66"/>
        <v>0</v>
      </c>
      <c r="AQ183">
        <f t="shared" si="67"/>
        <v>0.1</v>
      </c>
      <c r="AR183">
        <f t="shared" si="68"/>
        <v>0</v>
      </c>
      <c r="AS183" s="2">
        <f t="shared" si="69"/>
        <v>0</v>
      </c>
      <c r="AT183" s="2">
        <f>IFERROR(INDEX(Player_Model!$BC$2:$BC$596,MATCH($A183,Player_Model!$A$2:$A$596,0)),0)</f>
        <v>0</v>
      </c>
      <c r="AU183" s="2">
        <f>Table8[[#This Row],[Model Expected Points]]*Table8[[#This Row],[Fixture Adjustment]]</f>
        <v>0</v>
      </c>
      <c r="AV183" s="2">
        <f>Table8[[#This Row],[Fixture Adjusted Points / 90]]/Table8[[#This Row],[Price]]</f>
        <v>0</v>
      </c>
      <c r="AW183">
        <f t="shared" si="70"/>
        <v>0.05</v>
      </c>
      <c r="AX183">
        <f t="shared" si="71"/>
        <v>0</v>
      </c>
      <c r="AY183" s="2">
        <f t="shared" si="72"/>
        <v>0</v>
      </c>
      <c r="AZ183" s="5">
        <f t="shared" si="73"/>
        <v>1.0449221453287199</v>
      </c>
      <c r="BA183">
        <f>Table8[[#This Row],[Model Score2]]</f>
        <v>0</v>
      </c>
      <c r="BB183">
        <f>IFERROR(INDEX(Player_Model!$BG$2:$BG$596,MATCH($A183,Player_Model!$A$2:$A$596,0)),"")</f>
        <v>41</v>
      </c>
      <c r="BC183" t="str">
        <f t="shared" si="74"/>
        <v>AVOID</v>
      </c>
      <c r="BD183">
        <f>IF(H183=1,Table8[[#This Row],[Model Score]],-10000)</f>
        <v>0</v>
      </c>
      <c r="BE183">
        <f>IFERROR(INDEX(Player_Model!$BF$2:$BF$596,MATCH($A183,Player_Model!$A$2:$A$596,0)),"")</f>
        <v>253</v>
      </c>
      <c r="BF183">
        <f>IFERROR(INDEX(Player_Model!$BG$2:$BG$596,MATCH($A183,Player_Model!$A$2:$A$596,0)),"")</f>
        <v>41</v>
      </c>
      <c r="BG183">
        <f>IFERROR(INDEX(Player_Model!$BE$2:$BE$596,MATCH($A183,Player_Model!$A$2:$A$596,0)),0)</f>
        <v>0</v>
      </c>
    </row>
    <row r="184" spans="1:59" x14ac:dyDescent="0.25">
      <c r="A184" t="str">
        <f>tblPlayers[first_name]&amp;" "&amp;tblPlayers[second_name]</f>
        <v>Emmanuel Emegha</v>
      </c>
      <c r="B184" t="str">
        <f>_xlfn.SWITCH(tblPlayers[element_type],1,"GK",2,"DEF",3,"MID",4,"FWD")</f>
        <v>FWD</v>
      </c>
      <c r="C184">
        <f>tblPlayers[team]</f>
        <v>6</v>
      </c>
      <c r="D184" t="str">
        <f>INDEX(tblTeams[Column1.short_name],MATCH(C184,tblTeams[Column1.id],0))</f>
        <v>CHE</v>
      </c>
      <c r="E184" s="4">
        <f>INDEX(FPL_Raw_Data!$F:$F,MATCH(A184,FPL_Raw_Data!$AA:$AA,0))/10</f>
        <v>5</v>
      </c>
      <c r="F184" s="4" t="str">
        <f>tblPlayers[[#This Row],[status]]</f>
        <v>a</v>
      </c>
      <c r="G184" s="4" t="b">
        <f>tblPlayers[[#This Row],[can_select]]</f>
        <v>1</v>
      </c>
      <c r="H184">
        <f>IF(AND(Table8[[#This Row],[Availability Status]]="a",Table8[[#This Row],[Can Select]]=TRUE),1,0)</f>
        <v>1</v>
      </c>
      <c r="I184">
        <f>tblPlayers[minutes]</f>
        <v>0</v>
      </c>
      <c r="J184" s="2">
        <f>Table8[[#This Row],[Minutes]]/90</f>
        <v>0</v>
      </c>
      <c r="K184" s="5">
        <f>IFERROR(Z184/(FIXTURE_ANALYSIS!$B$1-1),0)</f>
        <v>0</v>
      </c>
      <c r="L184">
        <f>tblPlayers[total_points]</f>
        <v>0</v>
      </c>
      <c r="M184">
        <f>tblPlayers[points_per_game]</f>
        <v>0</v>
      </c>
      <c r="N184">
        <f>tblPlayers[form]</f>
        <v>0</v>
      </c>
      <c r="O184">
        <f>tblPlayers[expected_goals]</f>
        <v>0</v>
      </c>
      <c r="P184">
        <f>tblPlayers[expected_assists]</f>
        <v>0</v>
      </c>
      <c r="Q184">
        <f>tblPlayers[expected_goal_involvements]</f>
        <v>0</v>
      </c>
      <c r="R184" s="2">
        <f t="shared" si="50"/>
        <v>0</v>
      </c>
      <c r="S184" s="5">
        <f t="shared" si="51"/>
        <v>0</v>
      </c>
      <c r="T184" s="5">
        <f t="shared" si="52"/>
        <v>0</v>
      </c>
      <c r="U184" s="5">
        <f t="shared" si="53"/>
        <v>0</v>
      </c>
      <c r="V184" s="3">
        <f t="shared" si="54"/>
        <v>0</v>
      </c>
      <c r="W184" s="5">
        <f t="shared" si="55"/>
        <v>0</v>
      </c>
      <c r="X184" s="5">
        <f>IFERROR(IF(OR($B184="MID",$B184="FWD"),INDEX(FIXTURE_ANALYSIS!$Q:$Q,MATCH($D184,FIXTURE_ANALYSIS!$A:$A,0)),INDEX(FIXTURE_ANALYSIS!$R:$R,MATCH($D184,FIXTURE_ANALYSIS!$A:$A,0))),1)</f>
        <v>1.0449221453287199</v>
      </c>
      <c r="Y184" s="5">
        <f t="shared" si="56"/>
        <v>1.0449221453287199</v>
      </c>
      <c r="Z184" s="8">
        <f>INDEX(FPL_Raw_Data!$T:$T,MATCH(A184,FPL_Raw_Data!$AA:$AA,0))</f>
        <v>0</v>
      </c>
      <c r="AA184" s="8">
        <f>INDEX(FPL_Raw_Data!$S:$S,MATCH(A184,FPL_Raw_Data!$AA:$AA,0))</f>
        <v>0</v>
      </c>
      <c r="AB184" s="2">
        <f t="shared" si="57"/>
        <v>0</v>
      </c>
      <c r="AC184" s="2">
        <f>INDEX(FPL_Raw_Data!$Q:$Q,MATCH(A184,FPL_Raw_Data!$AA:$AA,0))</f>
        <v>0</v>
      </c>
      <c r="AD184" s="8">
        <f>INDEX(FPL_Raw_Data!$R:$R,MATCH(A184,FPL_Raw_Data!$AA:$AA,0))</f>
        <v>0</v>
      </c>
      <c r="AE184" s="8">
        <f>INDEX(FPL_Raw_Data!$N:$N,MATCH(A184,FPL_Raw_Data!$AA:$AA,0))</f>
        <v>0</v>
      </c>
      <c r="AF184" s="8">
        <f>INDEX(FPL_Raw_Data!$L:$L,MATCH(A184,FPL_Raw_Data!$AA:$AA,0))</f>
        <v>0</v>
      </c>
      <c r="AG184" s="2">
        <f>INDEX(FPL_Raw_Data!$M:$M,MATCH(A184,FPL_Raw_Data!$AA:$AA,0))</f>
        <v>0</v>
      </c>
      <c r="AH184" s="2">
        <f t="shared" si="58"/>
        <v>0</v>
      </c>
      <c r="AI184" s="2">
        <f t="shared" si="59"/>
        <v>0</v>
      </c>
      <c r="AJ184" s="2">
        <f t="shared" si="60"/>
        <v>0</v>
      </c>
      <c r="AK184" s="2">
        <f t="shared" si="61"/>
        <v>0</v>
      </c>
      <c r="AL184" s="2">
        <f t="shared" si="62"/>
        <v>0</v>
      </c>
      <c r="AM184" s="2">
        <f t="shared" si="63"/>
        <v>0</v>
      </c>
      <c r="AN184" s="2">
        <f t="shared" si="64"/>
        <v>0</v>
      </c>
      <c r="AO184" s="3">
        <f t="shared" si="65"/>
        <v>0.1</v>
      </c>
      <c r="AP184">
        <f t="shared" si="66"/>
        <v>0</v>
      </c>
      <c r="AQ184">
        <f t="shared" si="67"/>
        <v>0.1</v>
      </c>
      <c r="AR184">
        <f t="shared" si="68"/>
        <v>0</v>
      </c>
      <c r="AS184" s="2">
        <f t="shared" si="69"/>
        <v>0</v>
      </c>
      <c r="AT184" s="2">
        <f>IFERROR(INDEX(Player_Model!$BC$2:$BC$596,MATCH($A184,Player_Model!$A$2:$A$596,0)),0)</f>
        <v>0</v>
      </c>
      <c r="AU184" s="2">
        <f>Table8[[#This Row],[Model Expected Points]]*Table8[[#This Row],[Fixture Adjustment]]</f>
        <v>0</v>
      </c>
      <c r="AV184" s="2">
        <f>Table8[[#This Row],[Fixture Adjusted Points / 90]]/Table8[[#This Row],[Price]]</f>
        <v>0</v>
      </c>
      <c r="AW184">
        <f t="shared" si="70"/>
        <v>0.05</v>
      </c>
      <c r="AX184">
        <f t="shared" si="71"/>
        <v>0</v>
      </c>
      <c r="AY184" s="2">
        <f t="shared" si="72"/>
        <v>0</v>
      </c>
      <c r="AZ184" s="5">
        <f t="shared" si="73"/>
        <v>1.0449221453287199</v>
      </c>
      <c r="BA184">
        <f>Table8[[#This Row],[Model Score2]]</f>
        <v>0</v>
      </c>
      <c r="BB184">
        <f>IFERROR(INDEX(Player_Model!$BG$2:$BG$596,MATCH($A184,Player_Model!$A$2:$A$596,0)),"")</f>
        <v>42</v>
      </c>
      <c r="BC184" t="str">
        <f t="shared" si="74"/>
        <v>AVOID</v>
      </c>
      <c r="BD184">
        <f>IF(H184=1,Table8[[#This Row],[Model Score]],-10000)</f>
        <v>0</v>
      </c>
      <c r="BE184">
        <f>IFERROR(INDEX(Player_Model!$BF$2:$BF$596,MATCH($A184,Player_Model!$A$2:$A$596,0)),"")</f>
        <v>253</v>
      </c>
      <c r="BF184">
        <f>IFERROR(INDEX(Player_Model!$BG$2:$BG$596,MATCH($A184,Player_Model!$A$2:$A$596,0)),"")</f>
        <v>42</v>
      </c>
      <c r="BG184">
        <f>IFERROR(INDEX(Player_Model!$BE$2:$BE$596,MATCH($A184,Player_Model!$A$2:$A$596,0)),0)</f>
        <v>0</v>
      </c>
    </row>
    <row r="185" spans="1:59" x14ac:dyDescent="0.25">
      <c r="A185" t="str">
        <f>tblPlayers[first_name]&amp;" "&amp;tblPlayers[second_name]</f>
        <v>Maxence Lacroix</v>
      </c>
      <c r="B185" t="str">
        <f>_xlfn.SWITCH(tblPlayers[element_type],1,"GK",2,"DEF",3,"MID",4,"FWD")</f>
        <v>DEF</v>
      </c>
      <c r="C185">
        <f>tblPlayers[team]</f>
        <v>6</v>
      </c>
      <c r="D185" t="str">
        <f>INDEX(tblTeams[Column1.short_name],MATCH(C185,tblTeams[Column1.id],0))</f>
        <v>CHE</v>
      </c>
      <c r="E185" s="4">
        <f>INDEX(FPL_Raw_Data!$F:$F,MATCH(A185,FPL_Raw_Data!$AA:$AA,0))/10</f>
        <v>6</v>
      </c>
      <c r="F185" s="4" t="str">
        <f>tblPlayers[[#This Row],[status]]</f>
        <v>a</v>
      </c>
      <c r="G185" s="4" t="b">
        <f>tblPlayers[[#This Row],[can_select]]</f>
        <v>1</v>
      </c>
      <c r="H185">
        <f>IF(AND(Table8[[#This Row],[Availability Status]]="a",Table8[[#This Row],[Can Select]]=TRUE),1,0)</f>
        <v>1</v>
      </c>
      <c r="I185">
        <f>tblPlayers[minutes]</f>
        <v>270</v>
      </c>
      <c r="J185" s="2">
        <f>Table8[[#This Row],[Minutes]]/90</f>
        <v>3</v>
      </c>
      <c r="K185" s="5">
        <f>IFERROR(Z185/(FIXTURE_ANALYSIS!$B$1-1),0)</f>
        <v>1</v>
      </c>
      <c r="L185">
        <f>tblPlayers[total_points]</f>
        <v>9</v>
      </c>
      <c r="M185">
        <f>tblPlayers[points_per_game]</f>
        <v>3</v>
      </c>
      <c r="N185">
        <f>tblPlayers[form]</f>
        <v>3</v>
      </c>
      <c r="O185">
        <f>tblPlayers[expected_goals]</f>
        <v>0.02</v>
      </c>
      <c r="P185">
        <f>tblPlayers[expected_assists]</f>
        <v>0.21</v>
      </c>
      <c r="Q185">
        <f>tblPlayers[expected_goal_involvements]</f>
        <v>0.23</v>
      </c>
      <c r="R185" s="2">
        <f t="shared" si="50"/>
        <v>3</v>
      </c>
      <c r="S185" s="5">
        <f t="shared" si="51"/>
        <v>6.6666666666666662E-3</v>
      </c>
      <c r="T185" s="5">
        <f t="shared" si="52"/>
        <v>6.9999999999999993E-2</v>
      </c>
      <c r="U185" s="5">
        <f t="shared" si="53"/>
        <v>7.6666666666666675E-2</v>
      </c>
      <c r="V185" s="3">
        <f t="shared" si="54"/>
        <v>1.5</v>
      </c>
      <c r="W185" s="5">
        <f t="shared" si="55"/>
        <v>3.8333333333333337E-2</v>
      </c>
      <c r="X185" s="5">
        <f>IFERROR(IF(OR($B185="MID",$B185="FWD"),INDEX(FIXTURE_ANALYSIS!$Q:$Q,MATCH($D185,FIXTURE_ANALYSIS!$A:$A,0)),INDEX(FIXTURE_ANALYSIS!$R:$R,MATCH($D185,FIXTURE_ANALYSIS!$A:$A,0))),1)</f>
        <v>0.86574712643678164</v>
      </c>
      <c r="Y185" s="5">
        <f t="shared" si="56"/>
        <v>0.86574712643678164</v>
      </c>
      <c r="Z185" s="8">
        <f>INDEX(FPL_Raw_Data!$T:$T,MATCH(A185,FPL_Raw_Data!$AA:$AA,0))</f>
        <v>3</v>
      </c>
      <c r="AA185" s="8">
        <f>INDEX(FPL_Raw_Data!$S:$S,MATCH(A185,FPL_Raw_Data!$AA:$AA,0))</f>
        <v>32</v>
      </c>
      <c r="AB185" s="2">
        <f t="shared" si="57"/>
        <v>1</v>
      </c>
      <c r="AC185" s="2">
        <f>INDEX(FPL_Raw_Data!$Q:$Q,MATCH(A185,FPL_Raw_Data!$AA:$AA,0))</f>
        <v>0</v>
      </c>
      <c r="AD185" s="8">
        <f>INDEX(FPL_Raw_Data!$R:$R,MATCH(A185,FPL_Raw_Data!$AA:$AA,0))</f>
        <v>25</v>
      </c>
      <c r="AE185" s="8">
        <f>INDEX(FPL_Raw_Data!$N:$N,MATCH(A185,FPL_Raw_Data!$AA:$AA,0))</f>
        <v>0</v>
      </c>
      <c r="AF185" s="8">
        <f>INDEX(FPL_Raw_Data!$L:$L,MATCH(A185,FPL_Raw_Data!$AA:$AA,0))</f>
        <v>0</v>
      </c>
      <c r="AG185" s="2">
        <f>INDEX(FPL_Raw_Data!$M:$M,MATCH(A185,FPL_Raw_Data!$AA:$AA,0))</f>
        <v>1</v>
      </c>
      <c r="AH185" s="2">
        <f t="shared" si="58"/>
        <v>3.9999999999999994E-2</v>
      </c>
      <c r="AI185" s="2">
        <f t="shared" si="59"/>
        <v>0.20999999999999996</v>
      </c>
      <c r="AJ185" s="2">
        <f t="shared" si="60"/>
        <v>2</v>
      </c>
      <c r="AK185" s="2">
        <f t="shared" si="61"/>
        <v>2</v>
      </c>
      <c r="AL185" s="2">
        <f t="shared" si="62"/>
        <v>0</v>
      </c>
      <c r="AM185" s="2">
        <f t="shared" si="63"/>
        <v>0</v>
      </c>
      <c r="AN185" s="2">
        <f t="shared" si="64"/>
        <v>0</v>
      </c>
      <c r="AO185" s="3">
        <f t="shared" si="65"/>
        <v>58.4</v>
      </c>
      <c r="AP185">
        <f t="shared" si="66"/>
        <v>65.8</v>
      </c>
      <c r="AQ185">
        <f t="shared" si="67"/>
        <v>78.7</v>
      </c>
      <c r="AR185">
        <f t="shared" si="68"/>
        <v>73</v>
      </c>
      <c r="AS185" s="2">
        <f t="shared" si="69"/>
        <v>100</v>
      </c>
      <c r="AT185" s="2">
        <f>IFERROR(INDEX(Player_Model!$BC$2:$BC$596,MATCH($A185,Player_Model!$A$2:$A$596,0)),0)</f>
        <v>2.812844635454236</v>
      </c>
      <c r="AU185" s="2">
        <f>Table8[[#This Row],[Model Expected Points]]*Table8[[#This Row],[Fixture Adjustment]]</f>
        <v>2.4352121602576213</v>
      </c>
      <c r="AV185" s="2">
        <f>Table8[[#This Row],[Fixture Adjusted Points / 90]]/Table8[[#This Row],[Price]]</f>
        <v>0.40586869337627024</v>
      </c>
      <c r="AW185">
        <f t="shared" si="70"/>
        <v>65.8</v>
      </c>
      <c r="AX185">
        <f t="shared" si="71"/>
        <v>0.93287356321839088</v>
      </c>
      <c r="AY185" s="2">
        <f t="shared" si="72"/>
        <v>100</v>
      </c>
      <c r="AZ185" s="5">
        <f t="shared" si="73"/>
        <v>0.86574712643678164</v>
      </c>
      <c r="BA185">
        <f>Table8[[#This Row],[Model Score2]]</f>
        <v>2.812844635454236</v>
      </c>
      <c r="BB185">
        <f>IFERROR(INDEX(Player_Model!$BG$2:$BG$596,MATCH($A185,Player_Model!$A$2:$A$596,0)),"")</f>
        <v>64</v>
      </c>
      <c r="BC185" t="str">
        <f t="shared" si="74"/>
        <v>AVOID</v>
      </c>
      <c r="BD185">
        <f>IF(H185=1,Table8[[#This Row],[Model Score]],-10000)</f>
        <v>2.812844635454236</v>
      </c>
      <c r="BE185">
        <f>IFERROR(INDEX(Player_Model!$BF$2:$BF$596,MATCH($A185,Player_Model!$A$2:$A$596,0)),"")</f>
        <v>210</v>
      </c>
      <c r="BF185">
        <f>IFERROR(INDEX(Player_Model!$BG$2:$BG$596,MATCH($A185,Player_Model!$A$2:$A$596,0)),"")</f>
        <v>64</v>
      </c>
      <c r="BG185">
        <f>IFERROR(INDEX(Player_Model!$BE$2:$BE$596,MATCH($A185,Player_Model!$A$2:$A$596,0)),0)</f>
        <v>2.812844635454236</v>
      </c>
    </row>
    <row r="186" spans="1:59" x14ac:dyDescent="0.25">
      <c r="A186" t="str">
        <f>tblPlayers[first_name]&amp;" "&amp;tblPlayers[second_name]</f>
        <v>Mike Penders</v>
      </c>
      <c r="B186" t="str">
        <f>_xlfn.SWITCH(tblPlayers[element_type],1,"GK",2,"DEF",3,"MID",4,"FWD")</f>
        <v>GK</v>
      </c>
      <c r="C186">
        <f>tblPlayers[team]</f>
        <v>6</v>
      </c>
      <c r="D186" t="str">
        <f>INDEX(tblTeams[Column1.short_name],MATCH(C186,tblTeams[Column1.id],0))</f>
        <v>CHE</v>
      </c>
      <c r="E186" s="4">
        <f>INDEX(FPL_Raw_Data!$F:$F,MATCH(A186,FPL_Raw_Data!$AA:$AA,0))/10</f>
        <v>4.5</v>
      </c>
      <c r="F186" s="4" t="str">
        <f>tblPlayers[[#This Row],[status]]</f>
        <v>a</v>
      </c>
      <c r="G186" s="4" t="b">
        <f>tblPlayers[[#This Row],[can_select]]</f>
        <v>1</v>
      </c>
      <c r="H186">
        <f>IF(AND(Table8[[#This Row],[Availability Status]]="a",Table8[[#This Row],[Can Select]]=TRUE),1,0)</f>
        <v>1</v>
      </c>
      <c r="I186">
        <f>tblPlayers[minutes]</f>
        <v>0</v>
      </c>
      <c r="J186" s="2">
        <f>Table8[[#This Row],[Minutes]]/90</f>
        <v>0</v>
      </c>
      <c r="K186" s="5">
        <f>IFERROR(Z186/(FIXTURE_ANALYSIS!$B$1-1),0)</f>
        <v>0</v>
      </c>
      <c r="L186">
        <f>tblPlayers[total_points]</f>
        <v>0</v>
      </c>
      <c r="M186">
        <f>tblPlayers[points_per_game]</f>
        <v>0</v>
      </c>
      <c r="N186">
        <f>tblPlayers[form]</f>
        <v>0</v>
      </c>
      <c r="O186">
        <f>tblPlayers[expected_goals]</f>
        <v>0</v>
      </c>
      <c r="P186">
        <f>tblPlayers[expected_assists]</f>
        <v>0</v>
      </c>
      <c r="Q186">
        <f>tblPlayers[expected_goal_involvements]</f>
        <v>0</v>
      </c>
      <c r="R186" s="2">
        <f t="shared" si="50"/>
        <v>0</v>
      </c>
      <c r="S186" s="5">
        <f t="shared" si="51"/>
        <v>0</v>
      </c>
      <c r="T186" s="5">
        <f t="shared" si="52"/>
        <v>0</v>
      </c>
      <c r="U186" s="5">
        <f t="shared" si="53"/>
        <v>0</v>
      </c>
      <c r="V186" s="3">
        <f t="shared" si="54"/>
        <v>0</v>
      </c>
      <c r="W186" s="5">
        <f t="shared" si="55"/>
        <v>0</v>
      </c>
      <c r="X186" s="5">
        <f>IFERROR(IF(OR($B186="MID",$B186="FWD"),INDEX(FIXTURE_ANALYSIS!$Q:$Q,MATCH($D186,FIXTURE_ANALYSIS!$A:$A,0)),INDEX(FIXTURE_ANALYSIS!$R:$R,MATCH($D186,FIXTURE_ANALYSIS!$A:$A,0))),1)</f>
        <v>0.86574712643678164</v>
      </c>
      <c r="Y186" s="5">
        <f t="shared" si="56"/>
        <v>0.86574712643678164</v>
      </c>
      <c r="Z186" s="8">
        <f>INDEX(FPL_Raw_Data!$T:$T,MATCH(A186,FPL_Raw_Data!$AA:$AA,0))</f>
        <v>0</v>
      </c>
      <c r="AA186" s="8">
        <f>INDEX(FPL_Raw_Data!$S:$S,MATCH(A186,FPL_Raw_Data!$AA:$AA,0))</f>
        <v>0</v>
      </c>
      <c r="AB186" s="2">
        <f t="shared" si="57"/>
        <v>0</v>
      </c>
      <c r="AC186" s="2">
        <f>INDEX(FPL_Raw_Data!$Q:$Q,MATCH(A186,FPL_Raw_Data!$AA:$AA,0))</f>
        <v>0</v>
      </c>
      <c r="AD186" s="8">
        <f>INDEX(FPL_Raw_Data!$R:$R,MATCH(A186,FPL_Raw_Data!$AA:$AA,0))</f>
        <v>0</v>
      </c>
      <c r="AE186" s="8">
        <f>INDEX(FPL_Raw_Data!$N:$N,MATCH(A186,FPL_Raw_Data!$AA:$AA,0))</f>
        <v>0</v>
      </c>
      <c r="AF186" s="8">
        <f>INDEX(FPL_Raw_Data!$L:$L,MATCH(A186,FPL_Raw_Data!$AA:$AA,0))</f>
        <v>0</v>
      </c>
      <c r="AG186" s="2">
        <f>INDEX(FPL_Raw_Data!$M:$M,MATCH(A186,FPL_Raw_Data!$AA:$AA,0))</f>
        <v>0</v>
      </c>
      <c r="AH186" s="2">
        <f t="shared" si="58"/>
        <v>0</v>
      </c>
      <c r="AI186" s="2">
        <f t="shared" si="59"/>
        <v>0</v>
      </c>
      <c r="AJ186" s="2">
        <f t="shared" si="60"/>
        <v>0</v>
      </c>
      <c r="AK186" s="2">
        <f t="shared" si="61"/>
        <v>0</v>
      </c>
      <c r="AL186" s="2">
        <f t="shared" si="62"/>
        <v>0</v>
      </c>
      <c r="AM186" s="2">
        <f t="shared" si="63"/>
        <v>0</v>
      </c>
      <c r="AN186" s="2">
        <f t="shared" si="64"/>
        <v>0</v>
      </c>
      <c r="AO186" s="3">
        <f t="shared" si="65"/>
        <v>0.1</v>
      </c>
      <c r="AP186">
        <f t="shared" si="66"/>
        <v>0</v>
      </c>
      <c r="AQ186">
        <f t="shared" si="67"/>
        <v>0.1</v>
      </c>
      <c r="AR186">
        <f t="shared" si="68"/>
        <v>0</v>
      </c>
      <c r="AS186" s="2">
        <f t="shared" si="69"/>
        <v>0</v>
      </c>
      <c r="AT186" s="2">
        <f>IFERROR(INDEX(Player_Model!$BC$2:$BC$596,MATCH($A186,Player_Model!$A$2:$A$596,0)),0)</f>
        <v>0</v>
      </c>
      <c r="AU186" s="2">
        <f>Table8[[#This Row],[Model Expected Points]]*Table8[[#This Row],[Fixture Adjustment]]</f>
        <v>0</v>
      </c>
      <c r="AV186" s="2">
        <f>Table8[[#This Row],[Fixture Adjusted Points / 90]]/Table8[[#This Row],[Price]]</f>
        <v>0</v>
      </c>
      <c r="AW186">
        <f t="shared" si="70"/>
        <v>0</v>
      </c>
      <c r="AX186">
        <f t="shared" si="71"/>
        <v>0.43287356321839082</v>
      </c>
      <c r="AY186" s="2">
        <f t="shared" si="72"/>
        <v>0</v>
      </c>
      <c r="AZ186" s="5">
        <f t="shared" si="73"/>
        <v>0.86574712643678164</v>
      </c>
      <c r="BA186">
        <f>Table8[[#This Row],[Model Score2]]</f>
        <v>0</v>
      </c>
      <c r="BB186">
        <f>IFERROR(INDEX(Player_Model!$BG$2:$BG$596,MATCH($A186,Player_Model!$A$2:$A$596,0)),"")</f>
        <v>30</v>
      </c>
      <c r="BC186" t="str">
        <f t="shared" si="74"/>
        <v>AVOID</v>
      </c>
      <c r="BD186">
        <f>IF(H186=1,Table8[[#This Row],[Model Score]],-10000)</f>
        <v>0</v>
      </c>
      <c r="BE186">
        <f>IFERROR(INDEX(Player_Model!$BF$2:$BF$596,MATCH($A186,Player_Model!$A$2:$A$596,0)),"")</f>
        <v>253</v>
      </c>
      <c r="BF186">
        <f>IFERROR(INDEX(Player_Model!$BG$2:$BG$596,MATCH($A186,Player_Model!$A$2:$A$596,0)),"")</f>
        <v>30</v>
      </c>
      <c r="BG186">
        <f>IFERROR(INDEX(Player_Model!$BE$2:$BE$596,MATCH($A186,Player_Model!$A$2:$A$596,0)),0)</f>
        <v>0</v>
      </c>
    </row>
    <row r="187" spans="1:59" x14ac:dyDescent="0.25">
      <c r="A187" t="str">
        <f>tblPlayers[first_name]&amp;" "&amp;tblPlayers[second_name]</f>
        <v>Aaron Anselmino</v>
      </c>
      <c r="B187" t="str">
        <f>_xlfn.SWITCH(tblPlayers[element_type],1,"GK",2,"DEF",3,"MID",4,"FWD")</f>
        <v>DEF</v>
      </c>
      <c r="C187">
        <f>tblPlayers[team]</f>
        <v>6</v>
      </c>
      <c r="D187" t="str">
        <f>INDEX(tblTeams[Column1.short_name],MATCH(C187,tblTeams[Column1.id],0))</f>
        <v>CHE</v>
      </c>
      <c r="E187" s="4">
        <f>INDEX(FPL_Raw_Data!$F:$F,MATCH(A187,FPL_Raw_Data!$AA:$AA,0))/10</f>
        <v>4.5</v>
      </c>
      <c r="F187" s="4" t="str">
        <f>tblPlayers[[#This Row],[status]]</f>
        <v>a</v>
      </c>
      <c r="G187" s="4" t="b">
        <f>tblPlayers[[#This Row],[can_select]]</f>
        <v>1</v>
      </c>
      <c r="H187">
        <f>IF(AND(Table8[[#This Row],[Availability Status]]="a",Table8[[#This Row],[Can Select]]=TRUE),1,0)</f>
        <v>1</v>
      </c>
      <c r="I187">
        <f>tblPlayers[minutes]</f>
        <v>0</v>
      </c>
      <c r="J187" s="2">
        <f>Table8[[#This Row],[Minutes]]/90</f>
        <v>0</v>
      </c>
      <c r="K187" s="5">
        <f>IFERROR(Z187/(FIXTURE_ANALYSIS!$B$1-1),0)</f>
        <v>0</v>
      </c>
      <c r="L187">
        <f>tblPlayers[total_points]</f>
        <v>0</v>
      </c>
      <c r="M187">
        <f>tblPlayers[points_per_game]</f>
        <v>0</v>
      </c>
      <c r="N187">
        <f>tblPlayers[form]</f>
        <v>0</v>
      </c>
      <c r="O187">
        <f>tblPlayers[expected_goals]</f>
        <v>0</v>
      </c>
      <c r="P187">
        <f>tblPlayers[expected_assists]</f>
        <v>0</v>
      </c>
      <c r="Q187">
        <f>tblPlayers[expected_goal_involvements]</f>
        <v>0</v>
      </c>
      <c r="R187" s="2">
        <f t="shared" si="50"/>
        <v>0</v>
      </c>
      <c r="S187" s="5">
        <f t="shared" si="51"/>
        <v>0</v>
      </c>
      <c r="T187" s="5">
        <f t="shared" si="52"/>
        <v>0</v>
      </c>
      <c r="U187" s="5">
        <f t="shared" si="53"/>
        <v>0</v>
      </c>
      <c r="V187" s="3">
        <f t="shared" si="54"/>
        <v>0</v>
      </c>
      <c r="W187" s="5">
        <f t="shared" si="55"/>
        <v>0</v>
      </c>
      <c r="X187" s="5">
        <f>IFERROR(IF(OR($B187="MID",$B187="FWD"),INDEX(FIXTURE_ANALYSIS!$Q:$Q,MATCH($D187,FIXTURE_ANALYSIS!$A:$A,0)),INDEX(FIXTURE_ANALYSIS!$R:$R,MATCH($D187,FIXTURE_ANALYSIS!$A:$A,0))),1)</f>
        <v>0.86574712643678164</v>
      </c>
      <c r="Y187" s="5">
        <f t="shared" si="56"/>
        <v>0.86574712643678164</v>
      </c>
      <c r="Z187" s="8">
        <f>INDEX(FPL_Raw_Data!$T:$T,MATCH(A187,FPL_Raw_Data!$AA:$AA,0))</f>
        <v>0</v>
      </c>
      <c r="AA187" s="8">
        <f>INDEX(FPL_Raw_Data!$S:$S,MATCH(A187,FPL_Raw_Data!$AA:$AA,0))</f>
        <v>0</v>
      </c>
      <c r="AB187" s="2">
        <f t="shared" si="57"/>
        <v>0</v>
      </c>
      <c r="AC187" s="2">
        <f>INDEX(FPL_Raw_Data!$Q:$Q,MATCH(A187,FPL_Raw_Data!$AA:$AA,0))</f>
        <v>0</v>
      </c>
      <c r="AD187" s="8">
        <f>INDEX(FPL_Raw_Data!$R:$R,MATCH(A187,FPL_Raw_Data!$AA:$AA,0))</f>
        <v>0</v>
      </c>
      <c r="AE187" s="8">
        <f>INDEX(FPL_Raw_Data!$N:$N,MATCH(A187,FPL_Raw_Data!$AA:$AA,0))</f>
        <v>0</v>
      </c>
      <c r="AF187" s="8">
        <f>INDEX(FPL_Raw_Data!$L:$L,MATCH(A187,FPL_Raw_Data!$AA:$AA,0))</f>
        <v>0</v>
      </c>
      <c r="AG187" s="2">
        <f>INDEX(FPL_Raw_Data!$M:$M,MATCH(A187,FPL_Raw_Data!$AA:$AA,0))</f>
        <v>0</v>
      </c>
      <c r="AH187" s="2">
        <f t="shared" si="58"/>
        <v>0</v>
      </c>
      <c r="AI187" s="2">
        <f t="shared" si="59"/>
        <v>0</v>
      </c>
      <c r="AJ187" s="2">
        <f t="shared" si="60"/>
        <v>0</v>
      </c>
      <c r="AK187" s="2">
        <f t="shared" si="61"/>
        <v>0</v>
      </c>
      <c r="AL187" s="2">
        <f t="shared" si="62"/>
        <v>0</v>
      </c>
      <c r="AM187" s="2">
        <f t="shared" si="63"/>
        <v>0</v>
      </c>
      <c r="AN187" s="2">
        <f t="shared" si="64"/>
        <v>0</v>
      </c>
      <c r="AO187" s="3">
        <f t="shared" si="65"/>
        <v>0.1</v>
      </c>
      <c r="AP187">
        <f t="shared" si="66"/>
        <v>0</v>
      </c>
      <c r="AQ187">
        <f t="shared" si="67"/>
        <v>0.1</v>
      </c>
      <c r="AR187">
        <f t="shared" si="68"/>
        <v>0</v>
      </c>
      <c r="AS187" s="2">
        <f t="shared" si="69"/>
        <v>0</v>
      </c>
      <c r="AT187" s="2">
        <f>IFERROR(INDEX(Player_Model!$BC$2:$BC$596,MATCH($A187,Player_Model!$A$2:$A$596,0)),0)</f>
        <v>-1.0100383141762452</v>
      </c>
      <c r="AU187" s="2">
        <f>Table8[[#This Row],[Model Expected Points]]*Table8[[#This Row],[Fixture Adjustment]]</f>
        <v>-0.87443776808913554</v>
      </c>
      <c r="AV187" s="2">
        <f>Table8[[#This Row],[Fixture Adjusted Points / 90]]/Table8[[#This Row],[Price]]</f>
        <v>-0.19431950401980791</v>
      </c>
      <c r="AW187">
        <f t="shared" si="70"/>
        <v>0</v>
      </c>
      <c r="AX187">
        <f t="shared" si="71"/>
        <v>0.43287356321839082</v>
      </c>
      <c r="AY187" s="2">
        <f t="shared" si="72"/>
        <v>0</v>
      </c>
      <c r="AZ187" s="5">
        <f t="shared" si="73"/>
        <v>0.86574712643678164</v>
      </c>
      <c r="BA187">
        <f>Table8[[#This Row],[Model Score2]]</f>
        <v>-1.0100383141762452</v>
      </c>
      <c r="BB187">
        <f>IFERROR(INDEX(Player_Model!$BG$2:$BG$596,MATCH($A187,Player_Model!$A$2:$A$596,0)),"")</f>
        <v>182</v>
      </c>
      <c r="BC187" t="str">
        <f t="shared" si="74"/>
        <v>AVOID</v>
      </c>
      <c r="BD187">
        <f>IF(H187=1,Table8[[#This Row],[Model Score]],-10000)</f>
        <v>-1.0100383141762452</v>
      </c>
      <c r="BE187">
        <f>IFERROR(INDEX(Player_Model!$BF$2:$BF$596,MATCH($A187,Player_Model!$A$2:$A$596,0)),"")</f>
        <v>581</v>
      </c>
      <c r="BF187">
        <f>IFERROR(INDEX(Player_Model!$BG$2:$BG$596,MATCH($A187,Player_Model!$A$2:$A$596,0)),"")</f>
        <v>182</v>
      </c>
      <c r="BG187">
        <f>IFERROR(INDEX(Player_Model!$BE$2:$BE$596,MATCH($A187,Player_Model!$A$2:$A$596,0)),0)</f>
        <v>-1.0100383141762452</v>
      </c>
    </row>
    <row r="188" spans="1:59" x14ac:dyDescent="0.25">
      <c r="A188" t="str">
        <f>tblPlayers[first_name]&amp;" "&amp;tblPlayers[second_name]</f>
        <v>Valentín Barco</v>
      </c>
      <c r="B188" t="str">
        <f>_xlfn.SWITCH(tblPlayers[element_type],1,"GK",2,"DEF",3,"MID",4,"FWD")</f>
        <v>MID</v>
      </c>
      <c r="C188">
        <f>tblPlayers[team]</f>
        <v>6</v>
      </c>
      <c r="D188" t="str">
        <f>INDEX(tblTeams[Column1.short_name],MATCH(C188,tblTeams[Column1.id],0))</f>
        <v>CHE</v>
      </c>
      <c r="E188" s="4">
        <f>INDEX(FPL_Raw_Data!$F:$F,MATCH(A188,FPL_Raw_Data!$AA:$AA,0))/10</f>
        <v>5.5</v>
      </c>
      <c r="F188" s="4" t="str">
        <f>tblPlayers[[#This Row],[status]]</f>
        <v>a</v>
      </c>
      <c r="G188" s="4" t="b">
        <f>tblPlayers[[#This Row],[can_select]]</f>
        <v>1</v>
      </c>
      <c r="H188">
        <f>IF(AND(Table8[[#This Row],[Availability Status]]="a",Table8[[#This Row],[Can Select]]=TRUE),1,0)</f>
        <v>1</v>
      </c>
      <c r="I188">
        <f>tblPlayers[minutes]</f>
        <v>8</v>
      </c>
      <c r="J188" s="2">
        <f>Table8[[#This Row],[Minutes]]/90</f>
        <v>8.8888888888888892E-2</v>
      </c>
      <c r="K188" s="5">
        <f>IFERROR(Z188/(FIXTURE_ANALYSIS!$B$1-1),0)</f>
        <v>0</v>
      </c>
      <c r="L188">
        <f>tblPlayers[total_points]</f>
        <v>1</v>
      </c>
      <c r="M188">
        <f>tblPlayers[points_per_game]</f>
        <v>1</v>
      </c>
      <c r="N188">
        <f>tblPlayers[form]</f>
        <v>0.3</v>
      </c>
      <c r="O188">
        <f>tblPlayers[expected_goals]</f>
        <v>0.04</v>
      </c>
      <c r="P188">
        <f>tblPlayers[expected_assists]</f>
        <v>0</v>
      </c>
      <c r="Q188">
        <f>tblPlayers[expected_goal_involvements]</f>
        <v>0.04</v>
      </c>
      <c r="R188" s="2">
        <f t="shared" si="50"/>
        <v>11.25</v>
      </c>
      <c r="S188" s="5">
        <f t="shared" si="51"/>
        <v>0.45</v>
      </c>
      <c r="T188" s="5">
        <f t="shared" si="52"/>
        <v>0</v>
      </c>
      <c r="U188" s="5">
        <f t="shared" si="53"/>
        <v>0.45</v>
      </c>
      <c r="V188" s="3">
        <f t="shared" si="54"/>
        <v>0.18181818181818182</v>
      </c>
      <c r="W188" s="5">
        <f t="shared" si="55"/>
        <v>7.2727272727272727E-3</v>
      </c>
      <c r="X188" s="5">
        <f>IFERROR(IF(OR($B188="MID",$B188="FWD"),INDEX(FIXTURE_ANALYSIS!$Q:$Q,MATCH($D188,FIXTURE_ANALYSIS!$A:$A,0)),INDEX(FIXTURE_ANALYSIS!$R:$R,MATCH($D188,FIXTURE_ANALYSIS!$A:$A,0))),1)</f>
        <v>1.0449221453287199</v>
      </c>
      <c r="Y188" s="5">
        <f t="shared" si="56"/>
        <v>1.0449221453287199</v>
      </c>
      <c r="Z188" s="8">
        <f>INDEX(FPL_Raw_Data!$T:$T,MATCH(A188,FPL_Raw_Data!$AA:$AA,0))</f>
        <v>0</v>
      </c>
      <c r="AA188" s="8">
        <f>INDEX(FPL_Raw_Data!$S:$S,MATCH(A188,FPL_Raw_Data!$AA:$AA,0))</f>
        <v>1</v>
      </c>
      <c r="AB188" s="2">
        <f t="shared" si="57"/>
        <v>8.3333333333333329E-2</v>
      </c>
      <c r="AC188" s="2">
        <f>INDEX(FPL_Raw_Data!$Q:$Q,MATCH(A188,FPL_Raw_Data!$AA:$AA,0))</f>
        <v>0</v>
      </c>
      <c r="AD188" s="8">
        <f>INDEX(FPL_Raw_Data!$R:$R,MATCH(A188,FPL_Raw_Data!$AA:$AA,0))</f>
        <v>1</v>
      </c>
      <c r="AE188" s="8">
        <f>INDEX(FPL_Raw_Data!$N:$N,MATCH(A188,FPL_Raw_Data!$AA:$AA,0))</f>
        <v>0</v>
      </c>
      <c r="AF188" s="8">
        <f>INDEX(FPL_Raw_Data!$L:$L,MATCH(A188,FPL_Raw_Data!$AA:$AA,0))</f>
        <v>0</v>
      </c>
      <c r="AG188" s="2">
        <f>INDEX(FPL_Raw_Data!$M:$M,MATCH(A188,FPL_Raw_Data!$AA:$AA,0))</f>
        <v>0</v>
      </c>
      <c r="AH188" s="2">
        <f t="shared" si="58"/>
        <v>2.25</v>
      </c>
      <c r="AI188" s="2">
        <f t="shared" si="59"/>
        <v>0</v>
      </c>
      <c r="AJ188" s="2">
        <f t="shared" si="60"/>
        <v>0</v>
      </c>
      <c r="AK188" s="2">
        <f t="shared" si="61"/>
        <v>0.16666666666666666</v>
      </c>
      <c r="AL188" s="2">
        <f t="shared" si="62"/>
        <v>0</v>
      </c>
      <c r="AM188" s="2">
        <f t="shared" si="63"/>
        <v>0</v>
      </c>
      <c r="AN188" s="2">
        <f t="shared" si="64"/>
        <v>0</v>
      </c>
      <c r="AO188" s="3">
        <f t="shared" si="65"/>
        <v>93.600000000000009</v>
      </c>
      <c r="AP188">
        <f t="shared" si="66"/>
        <v>90.7</v>
      </c>
      <c r="AQ188">
        <f t="shared" si="67"/>
        <v>42.699999999999996</v>
      </c>
      <c r="AR188">
        <f t="shared" si="68"/>
        <v>58.199999999999996</v>
      </c>
      <c r="AS188" s="2">
        <f t="shared" si="69"/>
        <v>0</v>
      </c>
      <c r="AT188" s="2">
        <f>IFERROR(INDEX(Player_Model!$BC$2:$BC$596,MATCH($A188,Player_Model!$A$2:$A$596,0)),0)</f>
        <v>0</v>
      </c>
      <c r="AU188" s="2">
        <f>Table8[[#This Row],[Model Expected Points]]*Table8[[#This Row],[Fixture Adjustment]]</f>
        <v>0</v>
      </c>
      <c r="AV188" s="2">
        <f>Table8[[#This Row],[Fixture Adjusted Points / 90]]/Table8[[#This Row],[Price]]</f>
        <v>0</v>
      </c>
      <c r="AW188">
        <f t="shared" si="70"/>
        <v>92.15</v>
      </c>
      <c r="AX188">
        <f t="shared" si="71"/>
        <v>8.3333333333333329E-2</v>
      </c>
      <c r="AY188" s="2">
        <f t="shared" si="72"/>
        <v>0</v>
      </c>
      <c r="AZ188" s="5">
        <f t="shared" si="73"/>
        <v>1.0449221453287199</v>
      </c>
      <c r="BA188">
        <f>Table8[[#This Row],[Model Score2]]</f>
        <v>0</v>
      </c>
      <c r="BB188">
        <f>IFERROR(INDEX(Player_Model!$BG$2:$BG$596,MATCH($A188,Player_Model!$A$2:$A$596,0)),"")</f>
        <v>160</v>
      </c>
      <c r="BC188" t="str">
        <f t="shared" si="74"/>
        <v>AVOID</v>
      </c>
      <c r="BD188">
        <f>IF(H188=1,Table8[[#This Row],[Model Score]],-10000)</f>
        <v>0</v>
      </c>
      <c r="BE188">
        <f>IFERROR(INDEX(Player_Model!$BF$2:$BF$596,MATCH($A188,Player_Model!$A$2:$A$596,0)),"")</f>
        <v>253</v>
      </c>
      <c r="BF188">
        <f>IFERROR(INDEX(Player_Model!$BG$2:$BG$596,MATCH($A188,Player_Model!$A$2:$A$596,0)),"")</f>
        <v>160</v>
      </c>
      <c r="BG188">
        <f>IFERROR(INDEX(Player_Model!$BE$2:$BE$596,MATCH($A188,Player_Model!$A$2:$A$596,0)),0)</f>
        <v>0</v>
      </c>
    </row>
    <row r="189" spans="1:59" x14ac:dyDescent="0.25">
      <c r="A189" t="str">
        <f>tblPlayers[first_name]&amp;" "&amp;tblPlayers[second_name]</f>
        <v>Pep Chavarría</v>
      </c>
      <c r="B189" t="str">
        <f>_xlfn.SWITCH(tblPlayers[element_type],1,"GK",2,"DEF",3,"MID",4,"FWD")</f>
        <v>DEF</v>
      </c>
      <c r="C189">
        <f>tblPlayers[team]</f>
        <v>6</v>
      </c>
      <c r="D189" t="str">
        <f>INDEX(tblTeams[Column1.short_name],MATCH(C189,tblTeams[Column1.id],0))</f>
        <v>CHE</v>
      </c>
      <c r="E189" s="4">
        <f>INDEX(FPL_Raw_Data!$F:$F,MATCH(A189,FPL_Raw_Data!$AA:$AA,0))/10</f>
        <v>4.9000000000000004</v>
      </c>
      <c r="F189" s="4" t="str">
        <f>tblPlayers[[#This Row],[status]]</f>
        <v>a</v>
      </c>
      <c r="G189" s="4" t="b">
        <f>tblPlayers[[#This Row],[can_select]]</f>
        <v>1</v>
      </c>
      <c r="H189">
        <f>IF(AND(Table8[[#This Row],[Availability Status]]="a",Table8[[#This Row],[Can Select]]=TRUE),1,0)</f>
        <v>1</v>
      </c>
      <c r="I189">
        <f>tblPlayers[minutes]</f>
        <v>73</v>
      </c>
      <c r="J189" s="2">
        <f>Table8[[#This Row],[Minutes]]/90</f>
        <v>0.81111111111111112</v>
      </c>
      <c r="K189" s="5">
        <f>IFERROR(Z189/(FIXTURE_ANALYSIS!$B$1-1),0)</f>
        <v>0</v>
      </c>
      <c r="L189">
        <f>tblPlayers[total_points]</f>
        <v>3</v>
      </c>
      <c r="M189">
        <f>tblPlayers[points_per_game]</f>
        <v>1</v>
      </c>
      <c r="N189">
        <f>tblPlayers[form]</f>
        <v>1</v>
      </c>
      <c r="O189">
        <f>tblPlayers[expected_goals]</f>
        <v>0</v>
      </c>
      <c r="P189">
        <f>tblPlayers[expected_assists]</f>
        <v>0.02</v>
      </c>
      <c r="Q189">
        <f>tblPlayers[expected_goal_involvements]</f>
        <v>0.02</v>
      </c>
      <c r="R189" s="2">
        <f t="shared" si="50"/>
        <v>3.6986301369863011</v>
      </c>
      <c r="S189" s="5">
        <f t="shared" si="51"/>
        <v>0</v>
      </c>
      <c r="T189" s="5">
        <f t="shared" si="52"/>
        <v>2.4657534246575342E-2</v>
      </c>
      <c r="U189" s="5">
        <f t="shared" si="53"/>
        <v>2.4657534246575342E-2</v>
      </c>
      <c r="V189" s="3">
        <f t="shared" si="54"/>
        <v>0.61224489795918358</v>
      </c>
      <c r="W189" s="5">
        <f t="shared" si="55"/>
        <v>4.081632653061224E-3</v>
      </c>
      <c r="X189" s="5">
        <f>IFERROR(IF(OR($B189="MID",$B189="FWD"),INDEX(FIXTURE_ANALYSIS!$Q:$Q,MATCH($D189,FIXTURE_ANALYSIS!$A:$A,0)),INDEX(FIXTURE_ANALYSIS!$R:$R,MATCH($D189,FIXTURE_ANALYSIS!$A:$A,0))),1)</f>
        <v>0.86574712643678164</v>
      </c>
      <c r="Y189" s="5">
        <f t="shared" si="56"/>
        <v>0.86574712643678164</v>
      </c>
      <c r="Z189" s="8">
        <f>INDEX(FPL_Raw_Data!$T:$T,MATCH(A189,FPL_Raw_Data!$AA:$AA,0))</f>
        <v>0</v>
      </c>
      <c r="AA189" s="8">
        <f>INDEX(FPL_Raw_Data!$S:$S,MATCH(A189,FPL_Raw_Data!$AA:$AA,0))</f>
        <v>6</v>
      </c>
      <c r="AB189" s="2">
        <f t="shared" si="57"/>
        <v>0.6</v>
      </c>
      <c r="AC189" s="2">
        <f>INDEX(FPL_Raw_Data!$Q:$Q,MATCH(A189,FPL_Raw_Data!$AA:$AA,0))</f>
        <v>0</v>
      </c>
      <c r="AD189" s="8">
        <f>INDEX(FPL_Raw_Data!$R:$R,MATCH(A189,FPL_Raw_Data!$AA:$AA,0))</f>
        <v>6</v>
      </c>
      <c r="AE189" s="8">
        <f>INDEX(FPL_Raw_Data!$N:$N,MATCH(A189,FPL_Raw_Data!$AA:$AA,0))</f>
        <v>0</v>
      </c>
      <c r="AF189" s="8">
        <f>INDEX(FPL_Raw_Data!$L:$L,MATCH(A189,FPL_Raw_Data!$AA:$AA,0))</f>
        <v>0</v>
      </c>
      <c r="AG189" s="2">
        <f>INDEX(FPL_Raw_Data!$M:$M,MATCH(A189,FPL_Raw_Data!$AA:$AA,0))</f>
        <v>0</v>
      </c>
      <c r="AH189" s="2">
        <f t="shared" si="58"/>
        <v>0</v>
      </c>
      <c r="AI189" s="2">
        <f t="shared" si="59"/>
        <v>7.3972602739726029E-2</v>
      </c>
      <c r="AJ189" s="2">
        <f t="shared" si="60"/>
        <v>0</v>
      </c>
      <c r="AK189" s="2">
        <f t="shared" si="61"/>
        <v>1.2</v>
      </c>
      <c r="AL189" s="2">
        <f t="shared" si="62"/>
        <v>0</v>
      </c>
      <c r="AM189" s="2">
        <f t="shared" si="63"/>
        <v>0</v>
      </c>
      <c r="AN189" s="2">
        <f t="shared" si="64"/>
        <v>0</v>
      </c>
      <c r="AO189" s="3">
        <f t="shared" si="65"/>
        <v>67.600000000000009</v>
      </c>
      <c r="AP189">
        <f t="shared" si="66"/>
        <v>56.3</v>
      </c>
      <c r="AQ189">
        <f t="shared" si="67"/>
        <v>61.4</v>
      </c>
      <c r="AR189">
        <f t="shared" si="68"/>
        <v>55.2</v>
      </c>
      <c r="AS189" s="2">
        <f t="shared" si="69"/>
        <v>0</v>
      </c>
      <c r="AT189" s="2">
        <f>IFERROR(INDEX(Player_Model!$BC$2:$BC$596,MATCH($A189,Player_Model!$A$2:$A$596,0)),0)</f>
        <v>-1.0100383141762452</v>
      </c>
      <c r="AU189" s="2">
        <f>Table8[[#This Row],[Model Expected Points]]*Table8[[#This Row],[Fixture Adjustment]]</f>
        <v>-0.87443776808913554</v>
      </c>
      <c r="AV189" s="2">
        <f>Table8[[#This Row],[Fixture Adjusted Points / 90]]/Table8[[#This Row],[Price]]</f>
        <v>-0.17845668736512968</v>
      </c>
      <c r="AW189">
        <f t="shared" si="70"/>
        <v>56.3</v>
      </c>
      <c r="AX189">
        <f t="shared" si="71"/>
        <v>0.73287356321839081</v>
      </c>
      <c r="AY189" s="2">
        <f t="shared" si="72"/>
        <v>0</v>
      </c>
      <c r="AZ189" s="5">
        <f t="shared" si="73"/>
        <v>0.86574712643678164</v>
      </c>
      <c r="BA189">
        <f>Table8[[#This Row],[Model Score2]]</f>
        <v>-1.0100383141762452</v>
      </c>
      <c r="BB189">
        <f>IFERROR(INDEX(Player_Model!$BG$2:$BG$596,MATCH($A189,Player_Model!$A$2:$A$596,0)),"")</f>
        <v>183</v>
      </c>
      <c r="BC189" t="str">
        <f t="shared" si="74"/>
        <v>AVOID</v>
      </c>
      <c r="BD189">
        <f>IF(H189=1,Table8[[#This Row],[Model Score]],-10000)</f>
        <v>-1.0100383141762452</v>
      </c>
      <c r="BE189">
        <f>IFERROR(INDEX(Player_Model!$BF$2:$BF$596,MATCH($A189,Player_Model!$A$2:$A$596,0)),"")</f>
        <v>581</v>
      </c>
      <c r="BF189">
        <f>IFERROR(INDEX(Player_Model!$BG$2:$BG$596,MATCH($A189,Player_Model!$A$2:$A$596,0)),"")</f>
        <v>183</v>
      </c>
      <c r="BG189">
        <f>IFERROR(INDEX(Player_Model!$BE$2:$BE$596,MATCH($A189,Player_Model!$A$2:$A$596,0)),0)</f>
        <v>-1.0100383141762452</v>
      </c>
    </row>
    <row r="190" spans="1:59" x14ac:dyDescent="0.25">
      <c r="A190" t="str">
        <f>tblPlayers[first_name]&amp;" "&amp;tblPlayers[second_name]</f>
        <v>Ethan Pinnock</v>
      </c>
      <c r="B190" t="str">
        <f>_xlfn.SWITCH(tblPlayers[element_type],1,"GK",2,"DEF",3,"MID",4,"FWD")</f>
        <v>DEF</v>
      </c>
      <c r="C190">
        <f>tblPlayers[team]</f>
        <v>7</v>
      </c>
      <c r="D190" t="str">
        <f>INDEX(tblTeams[Column1.short_name],MATCH(C190,tblTeams[Column1.id],0))</f>
        <v>COV</v>
      </c>
      <c r="E190" s="4">
        <f>INDEX(FPL_Raw_Data!$F:$F,MATCH(A190,FPL_Raw_Data!$AA:$AA,0))/10</f>
        <v>4.5</v>
      </c>
      <c r="F190" s="4" t="str">
        <f>tblPlayers[[#This Row],[status]]</f>
        <v>a</v>
      </c>
      <c r="G190" s="4" t="b">
        <f>tblPlayers[[#This Row],[can_select]]</f>
        <v>1</v>
      </c>
      <c r="H190">
        <f>IF(AND(Table8[[#This Row],[Availability Status]]="a",Table8[[#This Row],[Can Select]]=TRUE),1,0)</f>
        <v>1</v>
      </c>
      <c r="I190">
        <f>tblPlayers[minutes]</f>
        <v>102</v>
      </c>
      <c r="J190" s="2">
        <f>Table8[[#This Row],[Minutes]]/90</f>
        <v>1.1333333333333333</v>
      </c>
      <c r="K190" s="5">
        <f>IFERROR(Z190/(FIXTURE_ANALYSIS!$B$1-1),0)</f>
        <v>0.33333333333333331</v>
      </c>
      <c r="L190">
        <f>tblPlayers[total_points]</f>
        <v>4</v>
      </c>
      <c r="M190">
        <f>tblPlayers[points_per_game]</f>
        <v>2</v>
      </c>
      <c r="N190">
        <f>tblPlayers[form]</f>
        <v>1.3</v>
      </c>
      <c r="O190">
        <f>tblPlayers[expected_goals]</f>
        <v>0.11</v>
      </c>
      <c r="P190">
        <f>tblPlayers[expected_assists]</f>
        <v>0</v>
      </c>
      <c r="Q190">
        <f>tblPlayers[expected_goal_involvements]</f>
        <v>0.11</v>
      </c>
      <c r="R190" s="2">
        <f t="shared" si="50"/>
        <v>3.5294117647058822</v>
      </c>
      <c r="S190" s="5">
        <f t="shared" si="51"/>
        <v>9.7058823529411753E-2</v>
      </c>
      <c r="T190" s="5">
        <f t="shared" si="52"/>
        <v>0</v>
      </c>
      <c r="U190" s="5">
        <f t="shared" si="53"/>
        <v>9.7058823529411753E-2</v>
      </c>
      <c r="V190" s="3">
        <f t="shared" si="54"/>
        <v>0.88888888888888884</v>
      </c>
      <c r="W190" s="5">
        <f t="shared" si="55"/>
        <v>2.4444444444444446E-2</v>
      </c>
      <c r="X190" s="5">
        <f>IFERROR(IF(OR($B190="MID",$B190="FWD"),INDEX(FIXTURE_ANALYSIS!$Q:$Q,MATCH($D190,FIXTURE_ANALYSIS!$A:$A,0)),INDEX(FIXTURE_ANALYSIS!$R:$R,MATCH($D190,FIXTURE_ANALYSIS!$A:$A,0))),1)</f>
        <v>0.97467649467649475</v>
      </c>
      <c r="Y190" s="5">
        <f t="shared" si="56"/>
        <v>0.97467649467649475</v>
      </c>
      <c r="Z190" s="8">
        <f>INDEX(FPL_Raw_Data!$T:$T,MATCH(A190,FPL_Raw_Data!$AA:$AA,0))</f>
        <v>1</v>
      </c>
      <c r="AA190" s="8">
        <f>INDEX(FPL_Raw_Data!$S:$S,MATCH(A190,FPL_Raw_Data!$AA:$AA,0))</f>
        <v>15</v>
      </c>
      <c r="AB190" s="2">
        <f t="shared" si="57"/>
        <v>1</v>
      </c>
      <c r="AC190" s="2">
        <f>INDEX(FPL_Raw_Data!$Q:$Q,MATCH(A190,FPL_Raw_Data!$AA:$AA,0))</f>
        <v>0</v>
      </c>
      <c r="AD190" s="8">
        <f>INDEX(FPL_Raw_Data!$R:$R,MATCH(A190,FPL_Raw_Data!$AA:$AA,0))</f>
        <v>2</v>
      </c>
      <c r="AE190" s="8">
        <f>INDEX(FPL_Raw_Data!$N:$N,MATCH(A190,FPL_Raw_Data!$AA:$AA,0))</f>
        <v>0</v>
      </c>
      <c r="AF190" s="8">
        <f>INDEX(FPL_Raw_Data!$L:$L,MATCH(A190,FPL_Raw_Data!$AA:$AA,0))</f>
        <v>0</v>
      </c>
      <c r="AG190" s="2">
        <f>INDEX(FPL_Raw_Data!$M:$M,MATCH(A190,FPL_Raw_Data!$AA:$AA,0))</f>
        <v>0</v>
      </c>
      <c r="AH190" s="2">
        <f t="shared" si="58"/>
        <v>0.58235294117647052</v>
      </c>
      <c r="AI190" s="2">
        <f t="shared" si="59"/>
        <v>0</v>
      </c>
      <c r="AJ190" s="2">
        <f t="shared" si="60"/>
        <v>0.66666666666666663</v>
      </c>
      <c r="AK190" s="2">
        <f t="shared" si="61"/>
        <v>2</v>
      </c>
      <c r="AL190" s="2">
        <f t="shared" si="62"/>
        <v>0</v>
      </c>
      <c r="AM190" s="2">
        <f t="shared" si="63"/>
        <v>0</v>
      </c>
      <c r="AN190" s="2">
        <f t="shared" si="64"/>
        <v>0</v>
      </c>
      <c r="AO190" s="3">
        <f t="shared" si="65"/>
        <v>65.600000000000009</v>
      </c>
      <c r="AP190">
        <f t="shared" si="66"/>
        <v>67.600000000000009</v>
      </c>
      <c r="AQ190">
        <f t="shared" si="67"/>
        <v>66.600000000000009</v>
      </c>
      <c r="AR190">
        <f t="shared" si="68"/>
        <v>68.8</v>
      </c>
      <c r="AS190" s="2">
        <f t="shared" si="69"/>
        <v>33.333333333333329</v>
      </c>
      <c r="AT190" s="2">
        <f>IFERROR(INDEX(Player_Model!$BC$2:$BC$596,MATCH($A190,Player_Model!$A$2:$A$596,0)),0)</f>
        <v>3.5001353825290376</v>
      </c>
      <c r="AU190" s="2">
        <f>Table8[[#This Row],[Model Expected Points]]*Table8[[#This Row],[Fixture Adjustment]]</f>
        <v>3.4114996855365742</v>
      </c>
      <c r="AV190" s="2">
        <f>Table8[[#This Row],[Fixture Adjusted Points / 90]]/Table8[[#This Row],[Price]]</f>
        <v>0.75811104123034978</v>
      </c>
      <c r="AW190">
        <f t="shared" si="70"/>
        <v>67.600000000000009</v>
      </c>
      <c r="AX190">
        <f t="shared" si="71"/>
        <v>0.98733824733824738</v>
      </c>
      <c r="AY190" s="2">
        <f t="shared" si="72"/>
        <v>33.333333333333329</v>
      </c>
      <c r="AZ190" s="5">
        <f t="shared" si="73"/>
        <v>0.97467649467649475</v>
      </c>
      <c r="BA190">
        <f>Table8[[#This Row],[Model Score2]]</f>
        <v>3.5001353825290376</v>
      </c>
      <c r="BB190">
        <f>IFERROR(INDEX(Player_Model!$BG$2:$BG$596,MATCH($A190,Player_Model!$A$2:$A$596,0)),"")</f>
        <v>57</v>
      </c>
      <c r="BC190" t="str">
        <f t="shared" si="74"/>
        <v>AVOID</v>
      </c>
      <c r="BD190">
        <f>IF(H190=1,Table8[[#This Row],[Model Score]],-10000)</f>
        <v>3.5001353825290376</v>
      </c>
      <c r="BE190">
        <f>IFERROR(INDEX(Player_Model!$BF$2:$BF$596,MATCH($A190,Player_Model!$A$2:$A$596,0)),"")</f>
        <v>176</v>
      </c>
      <c r="BF190">
        <f>IFERROR(INDEX(Player_Model!$BG$2:$BG$596,MATCH($A190,Player_Model!$A$2:$A$596,0)),"")</f>
        <v>57</v>
      </c>
      <c r="BG190">
        <f>IFERROR(INDEX(Player_Model!$BE$2:$BE$596,MATCH($A190,Player_Model!$A$2:$A$596,0)),0)</f>
        <v>3.5001353825290376</v>
      </c>
    </row>
    <row r="191" spans="1:59" x14ac:dyDescent="0.25">
      <c r="A191" t="str">
        <f>tblPlayers[first_name]&amp;" "&amp;tblPlayers[second_name]</f>
        <v>Frank Onyeka</v>
      </c>
      <c r="B191" t="str">
        <f>_xlfn.SWITCH(tblPlayers[element_type],1,"GK",2,"DEF",3,"MID",4,"FWD")</f>
        <v>MID</v>
      </c>
      <c r="C191">
        <f>tblPlayers[team]</f>
        <v>7</v>
      </c>
      <c r="D191" t="str">
        <f>INDEX(tblTeams[Column1.short_name],MATCH(C191,tblTeams[Column1.id],0))</f>
        <v>COV</v>
      </c>
      <c r="E191" s="4">
        <f>INDEX(FPL_Raw_Data!$F:$F,MATCH(A191,FPL_Raw_Data!$AA:$AA,0))/10</f>
        <v>4.9000000000000004</v>
      </c>
      <c r="F191" s="4" t="str">
        <f>tblPlayers[[#This Row],[status]]</f>
        <v>a</v>
      </c>
      <c r="G191" s="4" t="b">
        <f>tblPlayers[[#This Row],[can_select]]</f>
        <v>1</v>
      </c>
      <c r="H191">
        <f>IF(AND(Table8[[#This Row],[Availability Status]]="a",Table8[[#This Row],[Can Select]]=TRUE),1,0)</f>
        <v>1</v>
      </c>
      <c r="I191">
        <f>tblPlayers[minutes]</f>
        <v>152</v>
      </c>
      <c r="J191" s="2">
        <f>Table8[[#This Row],[Minutes]]/90</f>
        <v>1.6888888888888889</v>
      </c>
      <c r="K191" s="5">
        <f>IFERROR(Z191/(FIXTURE_ANALYSIS!$B$1-1),0)</f>
        <v>0.66666666666666663</v>
      </c>
      <c r="L191">
        <f>tblPlayers[total_points]</f>
        <v>4</v>
      </c>
      <c r="M191">
        <f>tblPlayers[points_per_game]</f>
        <v>2</v>
      </c>
      <c r="N191">
        <f>tblPlayers[form]</f>
        <v>1.3</v>
      </c>
      <c r="O191">
        <f>tblPlayers[expected_goals]</f>
        <v>0</v>
      </c>
      <c r="P191">
        <f>tblPlayers[expected_assists]</f>
        <v>0.01</v>
      </c>
      <c r="Q191">
        <f>tblPlayers[expected_goal_involvements]</f>
        <v>0.01</v>
      </c>
      <c r="R191" s="2">
        <f t="shared" si="50"/>
        <v>2.3684210526315788</v>
      </c>
      <c r="S191" s="5">
        <f t="shared" si="51"/>
        <v>0</v>
      </c>
      <c r="T191" s="5">
        <f t="shared" si="52"/>
        <v>5.9210526315789476E-3</v>
      </c>
      <c r="U191" s="5">
        <f t="shared" si="53"/>
        <v>5.9210526315789476E-3</v>
      </c>
      <c r="V191" s="3">
        <f t="shared" si="54"/>
        <v>0.81632653061224481</v>
      </c>
      <c r="W191" s="5">
        <f t="shared" si="55"/>
        <v>2.040816326530612E-3</v>
      </c>
      <c r="X191" s="5">
        <f>IFERROR(IF(OR($B191="MID",$B191="FWD"),INDEX(FIXTURE_ANALYSIS!$Q:$Q,MATCH($D191,FIXTURE_ANALYSIS!$A:$A,0)),INDEX(FIXTURE_ANALYSIS!$R:$R,MATCH($D191,FIXTURE_ANALYSIS!$A:$A,0))),1)</f>
        <v>0.8</v>
      </c>
      <c r="Y191" s="5">
        <f t="shared" si="56"/>
        <v>0.8</v>
      </c>
      <c r="Z191" s="8">
        <f>INDEX(FPL_Raw_Data!$T:$T,MATCH(A191,FPL_Raw_Data!$AA:$AA,0))</f>
        <v>2</v>
      </c>
      <c r="AA191" s="8">
        <f>INDEX(FPL_Raw_Data!$S:$S,MATCH(A191,FPL_Raw_Data!$AA:$AA,0))</f>
        <v>12</v>
      </c>
      <c r="AB191" s="2">
        <f t="shared" si="57"/>
        <v>1</v>
      </c>
      <c r="AC191" s="2">
        <f>INDEX(FPL_Raw_Data!$Q:$Q,MATCH(A191,FPL_Raw_Data!$AA:$AA,0))</f>
        <v>0</v>
      </c>
      <c r="AD191" s="8">
        <f>INDEX(FPL_Raw_Data!$R:$R,MATCH(A191,FPL_Raw_Data!$AA:$AA,0))</f>
        <v>13</v>
      </c>
      <c r="AE191" s="8">
        <f>INDEX(FPL_Raw_Data!$N:$N,MATCH(A191,FPL_Raw_Data!$AA:$AA,0))</f>
        <v>0</v>
      </c>
      <c r="AF191" s="8">
        <f>INDEX(FPL_Raw_Data!$L:$L,MATCH(A191,FPL_Raw_Data!$AA:$AA,0))</f>
        <v>0</v>
      </c>
      <c r="AG191" s="2">
        <f>INDEX(FPL_Raw_Data!$M:$M,MATCH(A191,FPL_Raw_Data!$AA:$AA,0))</f>
        <v>0</v>
      </c>
      <c r="AH191" s="2">
        <f t="shared" si="58"/>
        <v>0</v>
      </c>
      <c r="AI191" s="2">
        <f t="shared" si="59"/>
        <v>1.7763157894736842E-2</v>
      </c>
      <c r="AJ191" s="2">
        <f t="shared" si="60"/>
        <v>1.3333333333333333</v>
      </c>
      <c r="AK191" s="2">
        <f t="shared" si="61"/>
        <v>2</v>
      </c>
      <c r="AL191" s="2">
        <f t="shared" si="62"/>
        <v>0</v>
      </c>
      <c r="AM191" s="2">
        <f t="shared" si="63"/>
        <v>0</v>
      </c>
      <c r="AN191" s="2">
        <f t="shared" si="64"/>
        <v>0</v>
      </c>
      <c r="AO191" s="3">
        <f t="shared" si="65"/>
        <v>51.300000000000004</v>
      </c>
      <c r="AP191">
        <f t="shared" si="66"/>
        <v>52.300000000000004</v>
      </c>
      <c r="AQ191">
        <f t="shared" si="67"/>
        <v>65.900000000000006</v>
      </c>
      <c r="AR191">
        <f t="shared" si="68"/>
        <v>52.5</v>
      </c>
      <c r="AS191" s="2">
        <f t="shared" si="69"/>
        <v>66.666666666666657</v>
      </c>
      <c r="AT191" s="2">
        <f>IFERROR(INDEX(Player_Model!$BC$2:$BC$596,MATCH($A191,Player_Model!$A$2:$A$596,0)),0)</f>
        <v>2.8918090279632525</v>
      </c>
      <c r="AU191" s="2">
        <f>Table8[[#This Row],[Model Expected Points]]*Table8[[#This Row],[Fixture Adjustment]]</f>
        <v>2.313447222370602</v>
      </c>
      <c r="AV191" s="2">
        <f>Table8[[#This Row],[Fixture Adjusted Points / 90]]/Table8[[#This Row],[Price]]</f>
        <v>0.472132086198082</v>
      </c>
      <c r="AW191">
        <f t="shared" si="70"/>
        <v>51.800000000000004</v>
      </c>
      <c r="AX191">
        <f t="shared" si="71"/>
        <v>1</v>
      </c>
      <c r="AY191" s="2">
        <f t="shared" si="72"/>
        <v>66.666666666666657</v>
      </c>
      <c r="AZ191" s="5">
        <f t="shared" si="73"/>
        <v>0.8</v>
      </c>
      <c r="BA191">
        <f>Table8[[#This Row],[Model Score2]]</f>
        <v>2.8918090279632525</v>
      </c>
      <c r="BB191">
        <f>IFERROR(INDEX(Player_Model!$BG$2:$BG$596,MATCH($A191,Player_Model!$A$2:$A$596,0)),"")</f>
        <v>107</v>
      </c>
      <c r="BC191" t="str">
        <f t="shared" si="74"/>
        <v>AVOID</v>
      </c>
      <c r="BD191">
        <f>IF(H191=1,Table8[[#This Row],[Model Score]],-10000)</f>
        <v>2.8918090279632525</v>
      </c>
      <c r="BE191">
        <f>IFERROR(INDEX(Player_Model!$BF$2:$BF$596,MATCH($A191,Player_Model!$A$2:$A$596,0)),"")</f>
        <v>206</v>
      </c>
      <c r="BF191">
        <f>IFERROR(INDEX(Player_Model!$BG$2:$BG$596,MATCH($A191,Player_Model!$A$2:$A$596,0)),"")</f>
        <v>107</v>
      </c>
      <c r="BG191">
        <f>IFERROR(INDEX(Player_Model!$BE$2:$BE$596,MATCH($A191,Player_Model!$A$2:$A$596,0)),0)</f>
        <v>2.8918090279632525</v>
      </c>
    </row>
    <row r="192" spans="1:59" x14ac:dyDescent="0.25">
      <c r="A192" t="str">
        <f>tblPlayers[first_name]&amp;" "&amp;tblPlayers[second_name]</f>
        <v>Carl Rushworth</v>
      </c>
      <c r="B192" t="str">
        <f>_xlfn.SWITCH(tblPlayers[element_type],1,"GK",2,"DEF",3,"MID",4,"FWD")</f>
        <v>GK</v>
      </c>
      <c r="C192">
        <f>tblPlayers[team]</f>
        <v>7</v>
      </c>
      <c r="D192" t="str">
        <f>INDEX(tblTeams[Column1.short_name],MATCH(C192,tblTeams[Column1.id],0))</f>
        <v>COV</v>
      </c>
      <c r="E192" s="4">
        <f>INDEX(FPL_Raw_Data!$F:$F,MATCH(A192,FPL_Raw_Data!$AA:$AA,0))/10</f>
        <v>4.5</v>
      </c>
      <c r="F192" s="4" t="str">
        <f>tblPlayers[[#This Row],[status]]</f>
        <v>a</v>
      </c>
      <c r="G192" s="4" t="b">
        <f>tblPlayers[[#This Row],[can_select]]</f>
        <v>1</v>
      </c>
      <c r="H192">
        <f>IF(AND(Table8[[#This Row],[Availability Status]]="a",Table8[[#This Row],[Can Select]]=TRUE),1,0)</f>
        <v>1</v>
      </c>
      <c r="I192">
        <f>tblPlayers[minutes]</f>
        <v>270</v>
      </c>
      <c r="J192" s="2">
        <f>Table8[[#This Row],[Minutes]]/90</f>
        <v>3</v>
      </c>
      <c r="K192" s="5">
        <f>IFERROR(Z192/(FIXTURE_ANALYSIS!$B$1-1),0)</f>
        <v>1</v>
      </c>
      <c r="L192">
        <f>tblPlayers[total_points]</f>
        <v>5</v>
      </c>
      <c r="M192">
        <f>tblPlayers[points_per_game]</f>
        <v>1.7</v>
      </c>
      <c r="N192">
        <f>tblPlayers[form]</f>
        <v>1.7</v>
      </c>
      <c r="O192">
        <f>tblPlayers[expected_goals]</f>
        <v>0</v>
      </c>
      <c r="P192">
        <f>tblPlayers[expected_assists]</f>
        <v>0.01</v>
      </c>
      <c r="Q192">
        <f>tblPlayers[expected_goal_involvements]</f>
        <v>0.01</v>
      </c>
      <c r="R192" s="2">
        <f t="shared" si="50"/>
        <v>1.6666666666666665</v>
      </c>
      <c r="S192" s="5">
        <f t="shared" si="51"/>
        <v>0</v>
      </c>
      <c r="T192" s="5">
        <f t="shared" si="52"/>
        <v>3.3333333333333331E-3</v>
      </c>
      <c r="U192" s="5">
        <f t="shared" si="53"/>
        <v>3.3333333333333331E-3</v>
      </c>
      <c r="V192" s="3">
        <f t="shared" si="54"/>
        <v>1.1111111111111112</v>
      </c>
      <c r="W192" s="5">
        <f t="shared" si="55"/>
        <v>2.2222222222222222E-3</v>
      </c>
      <c r="X192" s="5">
        <f>IFERROR(IF(OR($B192="MID",$B192="FWD"),INDEX(FIXTURE_ANALYSIS!$Q:$Q,MATCH($D192,FIXTURE_ANALYSIS!$A:$A,0)),INDEX(FIXTURE_ANALYSIS!$R:$R,MATCH($D192,FIXTURE_ANALYSIS!$A:$A,0))),1)</f>
        <v>0.97467649467649475</v>
      </c>
      <c r="Y192" s="5">
        <f t="shared" si="56"/>
        <v>0.97467649467649475</v>
      </c>
      <c r="Z192" s="8">
        <f>INDEX(FPL_Raw_Data!$T:$T,MATCH(A192,FPL_Raw_Data!$AA:$AA,0))</f>
        <v>3</v>
      </c>
      <c r="AA192" s="8">
        <f>INDEX(FPL_Raw_Data!$S:$S,MATCH(A192,FPL_Raw_Data!$AA:$AA,0))</f>
        <v>0</v>
      </c>
      <c r="AB192" s="2">
        <f t="shared" si="57"/>
        <v>0</v>
      </c>
      <c r="AC192" s="2">
        <f>INDEX(FPL_Raw_Data!$Q:$Q,MATCH(A192,FPL_Raw_Data!$AA:$AA,0))</f>
        <v>0</v>
      </c>
      <c r="AD192" s="8">
        <f>INDEX(FPL_Raw_Data!$R:$R,MATCH(A192,FPL_Raw_Data!$AA:$AA,0))</f>
        <v>23</v>
      </c>
      <c r="AE192" s="8">
        <f>INDEX(FPL_Raw_Data!$N:$N,MATCH(A192,FPL_Raw_Data!$AA:$AA,0))</f>
        <v>0</v>
      </c>
      <c r="AF192" s="8">
        <f>INDEX(FPL_Raw_Data!$L:$L,MATCH(A192,FPL_Raw_Data!$AA:$AA,0))</f>
        <v>0</v>
      </c>
      <c r="AG192" s="2">
        <f>INDEX(FPL_Raw_Data!$M:$M,MATCH(A192,FPL_Raw_Data!$AA:$AA,0))</f>
        <v>0</v>
      </c>
      <c r="AH192" s="2">
        <f t="shared" si="58"/>
        <v>0</v>
      </c>
      <c r="AI192" s="2">
        <f t="shared" si="59"/>
        <v>9.9999999999999985E-3</v>
      </c>
      <c r="AJ192" s="2">
        <f t="shared" si="60"/>
        <v>2</v>
      </c>
      <c r="AK192" s="2">
        <f t="shared" si="61"/>
        <v>0</v>
      </c>
      <c r="AL192" s="2">
        <f t="shared" si="62"/>
        <v>0</v>
      </c>
      <c r="AM192" s="2">
        <f t="shared" si="63"/>
        <v>0</v>
      </c>
      <c r="AN192" s="2">
        <f t="shared" si="64"/>
        <v>0</v>
      </c>
      <c r="AO192" s="3">
        <f t="shared" si="65"/>
        <v>44.4</v>
      </c>
      <c r="AP192">
        <f t="shared" si="66"/>
        <v>50.8</v>
      </c>
      <c r="AQ192">
        <f t="shared" si="67"/>
        <v>71</v>
      </c>
      <c r="AR192">
        <f t="shared" si="68"/>
        <v>52.800000000000004</v>
      </c>
      <c r="AS192" s="2">
        <f t="shared" si="69"/>
        <v>100</v>
      </c>
      <c r="AT192" s="2">
        <f>IFERROR(INDEX(Player_Model!$BC$2:$BC$596,MATCH($A192,Player_Model!$A$2:$A$596,0)),0)</f>
        <v>2.499612019292019</v>
      </c>
      <c r="AU192" s="2">
        <f>Table8[[#This Row],[Model Expected Points]]*Table8[[#This Row],[Fixture Adjustment]]</f>
        <v>2.4363130810147799</v>
      </c>
      <c r="AV192" s="2">
        <f>Table8[[#This Row],[Fixture Adjusted Points / 90]]/Table8[[#This Row],[Price]]</f>
        <v>0.5414029068921733</v>
      </c>
      <c r="AW192">
        <f t="shared" si="70"/>
        <v>0</v>
      </c>
      <c r="AX192">
        <f t="shared" si="71"/>
        <v>50.487338247338251</v>
      </c>
      <c r="AY192" s="2">
        <f t="shared" si="72"/>
        <v>100</v>
      </c>
      <c r="AZ192" s="5">
        <f t="shared" si="73"/>
        <v>0.97467649467649475</v>
      </c>
      <c r="BA192">
        <f>Table8[[#This Row],[Model Score2]]</f>
        <v>2.499612019292019</v>
      </c>
      <c r="BB192">
        <f>IFERROR(INDEX(Player_Model!$BG$2:$BG$596,MATCH($A192,Player_Model!$A$2:$A$596,0)),"")</f>
        <v>20</v>
      </c>
      <c r="BC192" t="str">
        <f t="shared" si="74"/>
        <v>AVOID</v>
      </c>
      <c r="BD192">
        <f>IF(H192=1,Table8[[#This Row],[Model Score]],-10000)</f>
        <v>2.499612019292019</v>
      </c>
      <c r="BE192">
        <f>IFERROR(INDEX(Player_Model!$BF$2:$BF$596,MATCH($A192,Player_Model!$A$2:$A$596,0)),"")</f>
        <v>227</v>
      </c>
      <c r="BF192">
        <f>IFERROR(INDEX(Player_Model!$BG$2:$BG$596,MATCH($A192,Player_Model!$A$2:$A$596,0)),"")</f>
        <v>20</v>
      </c>
      <c r="BG192">
        <f>IFERROR(INDEX(Player_Model!$BE$2:$BE$596,MATCH($A192,Player_Model!$A$2:$A$596,0)),0)</f>
        <v>2.499612019292019</v>
      </c>
    </row>
    <row r="193" spans="1:59" x14ac:dyDescent="0.25">
      <c r="A193" t="str">
        <f>tblPlayers[first_name]&amp;" "&amp;tblPlayers[second_name]</f>
        <v>Oliver Dovin</v>
      </c>
      <c r="B193" t="str">
        <f>_xlfn.SWITCH(tblPlayers[element_type],1,"GK",2,"DEF",3,"MID",4,"FWD")</f>
        <v>GK</v>
      </c>
      <c r="C193">
        <f>tblPlayers[team]</f>
        <v>7</v>
      </c>
      <c r="D193" t="str">
        <f>INDEX(tblTeams[Column1.short_name],MATCH(C193,tblTeams[Column1.id],0))</f>
        <v>COV</v>
      </c>
      <c r="E193" s="4">
        <f>INDEX(FPL_Raw_Data!$F:$F,MATCH(A193,FPL_Raw_Data!$AA:$AA,0))/10</f>
        <v>4</v>
      </c>
      <c r="F193" s="4" t="str">
        <f>tblPlayers[[#This Row],[status]]</f>
        <v>u</v>
      </c>
      <c r="G193" s="4" t="b">
        <f>tblPlayers[[#This Row],[can_select]]</f>
        <v>0</v>
      </c>
      <c r="H193">
        <f>IF(AND(Table8[[#This Row],[Availability Status]]="a",Table8[[#This Row],[Can Select]]=TRUE),1,0)</f>
        <v>0</v>
      </c>
      <c r="I193">
        <f>tblPlayers[minutes]</f>
        <v>0</v>
      </c>
      <c r="J193" s="2">
        <f>Table8[[#This Row],[Minutes]]/90</f>
        <v>0</v>
      </c>
      <c r="K193" s="5">
        <f>IFERROR(Z193/(FIXTURE_ANALYSIS!$B$1-1),0)</f>
        <v>0</v>
      </c>
      <c r="L193">
        <f>tblPlayers[total_points]</f>
        <v>0</v>
      </c>
      <c r="M193">
        <f>tblPlayers[points_per_game]</f>
        <v>0</v>
      </c>
      <c r="N193">
        <f>tblPlayers[form]</f>
        <v>0</v>
      </c>
      <c r="O193">
        <f>tblPlayers[expected_goals]</f>
        <v>0</v>
      </c>
      <c r="P193">
        <f>tblPlayers[expected_assists]</f>
        <v>0</v>
      </c>
      <c r="Q193">
        <f>tblPlayers[expected_goal_involvements]</f>
        <v>0</v>
      </c>
      <c r="R193" s="2">
        <f t="shared" si="50"/>
        <v>0</v>
      </c>
      <c r="S193" s="5">
        <f t="shared" si="51"/>
        <v>0</v>
      </c>
      <c r="T193" s="5">
        <f t="shared" si="52"/>
        <v>0</v>
      </c>
      <c r="U193" s="5">
        <f t="shared" si="53"/>
        <v>0</v>
      </c>
      <c r="V193" s="3">
        <f t="shared" si="54"/>
        <v>0</v>
      </c>
      <c r="W193" s="5">
        <f t="shared" si="55"/>
        <v>0</v>
      </c>
      <c r="X193" s="5">
        <f>IFERROR(IF(OR($B193="MID",$B193="FWD"),INDEX(FIXTURE_ANALYSIS!$Q:$Q,MATCH($D193,FIXTURE_ANALYSIS!$A:$A,0)),INDEX(FIXTURE_ANALYSIS!$R:$R,MATCH($D193,FIXTURE_ANALYSIS!$A:$A,0))),1)</f>
        <v>0.97467649467649475</v>
      </c>
      <c r="Y193" s="5">
        <f t="shared" si="56"/>
        <v>0.97467649467649475</v>
      </c>
      <c r="Z193" s="8">
        <f>INDEX(FPL_Raw_Data!$T:$T,MATCH(A193,FPL_Raw_Data!$AA:$AA,0))</f>
        <v>0</v>
      </c>
      <c r="AA193" s="8">
        <f>INDEX(FPL_Raw_Data!$S:$S,MATCH(A193,FPL_Raw_Data!$AA:$AA,0))</f>
        <v>0</v>
      </c>
      <c r="AB193" s="2">
        <f t="shared" si="57"/>
        <v>0</v>
      </c>
      <c r="AC193" s="2">
        <f>INDEX(FPL_Raw_Data!$Q:$Q,MATCH(A193,FPL_Raw_Data!$AA:$AA,0))</f>
        <v>0</v>
      </c>
      <c r="AD193" s="8">
        <f>INDEX(FPL_Raw_Data!$R:$R,MATCH(A193,FPL_Raw_Data!$AA:$AA,0))</f>
        <v>0</v>
      </c>
      <c r="AE193" s="8">
        <f>INDEX(FPL_Raw_Data!$N:$N,MATCH(A193,FPL_Raw_Data!$AA:$AA,0))</f>
        <v>0</v>
      </c>
      <c r="AF193" s="8">
        <f>INDEX(FPL_Raw_Data!$L:$L,MATCH(A193,FPL_Raw_Data!$AA:$AA,0))</f>
        <v>0</v>
      </c>
      <c r="AG193" s="2">
        <f>INDEX(FPL_Raw_Data!$M:$M,MATCH(A193,FPL_Raw_Data!$AA:$AA,0))</f>
        <v>0</v>
      </c>
      <c r="AH193" s="2">
        <f t="shared" si="58"/>
        <v>0</v>
      </c>
      <c r="AI193" s="2">
        <f t="shared" si="59"/>
        <v>0</v>
      </c>
      <c r="AJ193" s="2">
        <f t="shared" si="60"/>
        <v>0</v>
      </c>
      <c r="AK193" s="2">
        <f t="shared" si="61"/>
        <v>0</v>
      </c>
      <c r="AL193" s="2">
        <f t="shared" si="62"/>
        <v>0</v>
      </c>
      <c r="AM193" s="2">
        <f t="shared" si="63"/>
        <v>0</v>
      </c>
      <c r="AN193" s="2">
        <f t="shared" si="64"/>
        <v>0</v>
      </c>
      <c r="AO193" s="3">
        <f t="shared" si="65"/>
        <v>0.1</v>
      </c>
      <c r="AP193">
        <f t="shared" si="66"/>
        <v>0</v>
      </c>
      <c r="AQ193">
        <f t="shared" si="67"/>
        <v>0.1</v>
      </c>
      <c r="AR193">
        <f t="shared" si="68"/>
        <v>0</v>
      </c>
      <c r="AS193" s="2">
        <f t="shared" si="69"/>
        <v>0</v>
      </c>
      <c r="AT193" s="2">
        <f>IFERROR(INDEX(Player_Model!$BC$2:$BC$596,MATCH($A193,Player_Model!$A$2:$A$596,0)),0)</f>
        <v>0</v>
      </c>
      <c r="AU193" s="2">
        <f>Table8[[#This Row],[Model Expected Points]]*Table8[[#This Row],[Fixture Adjustment]]</f>
        <v>0</v>
      </c>
      <c r="AV193" s="2">
        <f>Table8[[#This Row],[Fixture Adjusted Points / 90]]/Table8[[#This Row],[Price]]</f>
        <v>0</v>
      </c>
      <c r="AW193">
        <f t="shared" si="70"/>
        <v>0</v>
      </c>
      <c r="AX193">
        <f t="shared" si="71"/>
        <v>0.48733824733824738</v>
      </c>
      <c r="AY193" s="2">
        <f t="shared" si="72"/>
        <v>0</v>
      </c>
      <c r="AZ193" s="5">
        <f t="shared" si="73"/>
        <v>0.97467649467649475</v>
      </c>
      <c r="BA193">
        <f>Table8[[#This Row],[Model Score2]]</f>
        <v>0</v>
      </c>
      <c r="BB193">
        <f>IFERROR(INDEX(Player_Model!$BG$2:$BG$596,MATCH($A193,Player_Model!$A$2:$A$596,0)),"")</f>
        <v>31</v>
      </c>
      <c r="BC193" t="str">
        <f t="shared" si="74"/>
        <v>AVOID</v>
      </c>
      <c r="BD193">
        <f>IF(H193=1,Table8[[#This Row],[Model Score]],-10000)</f>
        <v>-10000</v>
      </c>
      <c r="BE193">
        <f>IFERROR(INDEX(Player_Model!$BF$2:$BF$596,MATCH($A193,Player_Model!$A$2:$A$596,0)),"")</f>
        <v>253</v>
      </c>
      <c r="BF193">
        <f>IFERROR(INDEX(Player_Model!$BG$2:$BG$596,MATCH($A193,Player_Model!$A$2:$A$596,0)),"")</f>
        <v>31</v>
      </c>
      <c r="BG193">
        <f>IFERROR(INDEX(Player_Model!$BE$2:$BE$596,MATCH($A193,Player_Model!$A$2:$A$596,0)),0)</f>
        <v>0</v>
      </c>
    </row>
    <row r="194" spans="1:59" x14ac:dyDescent="0.25">
      <c r="A194" t="str">
        <f>tblPlayers[first_name]&amp;" "&amp;tblPlayers[second_name]</f>
        <v>Ben Wilson</v>
      </c>
      <c r="B194" t="str">
        <f>_xlfn.SWITCH(tblPlayers[element_type],1,"GK",2,"DEF",3,"MID",4,"FWD")</f>
        <v>GK</v>
      </c>
      <c r="C194">
        <f>tblPlayers[team]</f>
        <v>7</v>
      </c>
      <c r="D194" t="str">
        <f>INDEX(tblTeams[Column1.short_name],MATCH(C194,tblTeams[Column1.id],0))</f>
        <v>COV</v>
      </c>
      <c r="E194" s="4">
        <f>INDEX(FPL_Raw_Data!$F:$F,MATCH(A194,FPL_Raw_Data!$AA:$AA,0))/10</f>
        <v>4.5</v>
      </c>
      <c r="F194" s="4" t="str">
        <f>tblPlayers[[#This Row],[status]]</f>
        <v>a</v>
      </c>
      <c r="G194" s="4" t="b">
        <f>tblPlayers[[#This Row],[can_select]]</f>
        <v>1</v>
      </c>
      <c r="H194">
        <f>IF(AND(Table8[[#This Row],[Availability Status]]="a",Table8[[#This Row],[Can Select]]=TRUE),1,0)</f>
        <v>1</v>
      </c>
      <c r="I194">
        <f>tblPlayers[minutes]</f>
        <v>0</v>
      </c>
      <c r="J194" s="2">
        <f>Table8[[#This Row],[Minutes]]/90</f>
        <v>0</v>
      </c>
      <c r="K194" s="5">
        <f>IFERROR(Z194/(FIXTURE_ANALYSIS!$B$1-1),0)</f>
        <v>0</v>
      </c>
      <c r="L194">
        <f>tblPlayers[total_points]</f>
        <v>0</v>
      </c>
      <c r="M194">
        <f>tblPlayers[points_per_game]</f>
        <v>0</v>
      </c>
      <c r="N194">
        <f>tblPlayers[form]</f>
        <v>0</v>
      </c>
      <c r="O194">
        <f>tblPlayers[expected_goals]</f>
        <v>0</v>
      </c>
      <c r="P194">
        <f>tblPlayers[expected_assists]</f>
        <v>0</v>
      </c>
      <c r="Q194">
        <f>tblPlayers[expected_goal_involvements]</f>
        <v>0</v>
      </c>
      <c r="R194" s="2">
        <f t="shared" ref="R194:R257" si="75">IF(I194=0,0,L194/I194*90)</f>
        <v>0</v>
      </c>
      <c r="S194" s="5">
        <f t="shared" ref="S194:S257" si="76">IF(I194=0,0,O194/I194*90)</f>
        <v>0</v>
      </c>
      <c r="T194" s="5">
        <f t="shared" ref="T194:T257" si="77">IF(I194=0,0,P194/I194*90)</f>
        <v>0</v>
      </c>
      <c r="U194" s="5">
        <f t="shared" ref="U194:U257" si="78">IF(I194=0,0,Q194/I194*90)</f>
        <v>0</v>
      </c>
      <c r="V194" s="3">
        <f t="shared" ref="V194:V257" si="79">IF(E194=0,0,L194/E194)</f>
        <v>0</v>
      </c>
      <c r="W194" s="5">
        <f t="shared" ref="W194:W257" si="80">IF(E194=0,0,Q194/E194)</f>
        <v>0</v>
      </c>
      <c r="X194" s="5">
        <f>IFERROR(IF(OR($B194="MID",$B194="FWD"),INDEX(FIXTURE_ANALYSIS!$Q:$Q,MATCH($D194,FIXTURE_ANALYSIS!$A:$A,0)),INDEX(FIXTURE_ANALYSIS!$R:$R,MATCH($D194,FIXTURE_ANALYSIS!$A:$A,0))),1)</f>
        <v>0.97467649467649475</v>
      </c>
      <c r="Y194" s="5">
        <f t="shared" ref="Y194:Y257" si="81">X194</f>
        <v>0.97467649467649475</v>
      </c>
      <c r="Z194" s="8">
        <f>INDEX(FPL_Raw_Data!$T:$T,MATCH(A194,FPL_Raw_Data!$AA:$AA,0))</f>
        <v>0</v>
      </c>
      <c r="AA194" s="8">
        <f>INDEX(FPL_Raw_Data!$S:$S,MATCH(A194,FPL_Raw_Data!$AA:$AA,0))</f>
        <v>0</v>
      </c>
      <c r="AB194" s="2">
        <f t="shared" ref="AB194:AB257" si="82">IF(B194="DEF",MIN(AA194/10,1),IF(OR(B194="MID",B194="FWD"),MIN(AA194/12,1),0))</f>
        <v>0</v>
      </c>
      <c r="AC194" s="2">
        <f>INDEX(FPL_Raw_Data!$Q:$Q,MATCH(A194,FPL_Raw_Data!$AA:$AA,0))</f>
        <v>0</v>
      </c>
      <c r="AD194" s="8">
        <f>INDEX(FPL_Raw_Data!$R:$R,MATCH(A194,FPL_Raw_Data!$AA:$AA,0))</f>
        <v>0</v>
      </c>
      <c r="AE194" s="8">
        <f>INDEX(FPL_Raw_Data!$N:$N,MATCH(A194,FPL_Raw_Data!$AA:$AA,0))</f>
        <v>0</v>
      </c>
      <c r="AF194" s="8">
        <f>INDEX(FPL_Raw_Data!$L:$L,MATCH(A194,FPL_Raw_Data!$AA:$AA,0))</f>
        <v>0</v>
      </c>
      <c r="AG194" s="2">
        <f>INDEX(FPL_Raw_Data!$M:$M,MATCH(A194,FPL_Raw_Data!$AA:$AA,0))</f>
        <v>0</v>
      </c>
      <c r="AH194" s="2">
        <f t="shared" ref="AH194:AH257" si="83">IF(B194="GK",S194*10,IF(B194="DEF",S194*6,IF(B194="MID",S194*5,S194*4)))</f>
        <v>0</v>
      </c>
      <c r="AI194" s="2">
        <f t="shared" ref="AI194:AI257" si="84">T194*3</f>
        <v>0</v>
      </c>
      <c r="AJ194" s="2">
        <f t="shared" ref="AJ194:AJ257" si="85">K194*2</f>
        <v>0</v>
      </c>
      <c r="AK194" s="2">
        <f t="shared" ref="AK194:AK257" si="86">AB194*2</f>
        <v>0</v>
      </c>
      <c r="AL194" s="2">
        <f t="shared" ref="AL194:AL257" si="87">IFERROR(AE194/Z194,0)</f>
        <v>0</v>
      </c>
      <c r="AM194" s="2">
        <f t="shared" ref="AM194:AM257" si="88">IF(OR(B194="GK",B194="DEF"),AL194*4,IF(B194="MID",AL194*1,0))</f>
        <v>0</v>
      </c>
      <c r="AN194" s="2">
        <f t="shared" ref="AN194:AN257" si="89">IFERROR(AC194/Z194,0)</f>
        <v>0</v>
      </c>
      <c r="AO194" s="3">
        <f t="shared" ref="AO194:AO257" si="90">IFERROR(_xlfn.PERCENTRANK.INC($R$2:$R$700,R194)*100,0)</f>
        <v>0.1</v>
      </c>
      <c r="AP194">
        <f t="shared" ref="AP194:AP257" si="91">IFERROR(_xlfn.PERCENTRANK.INC($U$2:$U$700,U194)*100,0)</f>
        <v>0</v>
      </c>
      <c r="AQ194">
        <f t="shared" ref="AQ194:AQ257" si="92">IFERROR(_xlfn.PERCENTRANK.INC($V$2:$V$700,V194)*100,0)</f>
        <v>0.1</v>
      </c>
      <c r="AR194">
        <f t="shared" ref="AR194:AR257" si="93">IFERROR(_xlfn.PERCENTRANK.INC($W$2:$W$700,W194)*100,0)</f>
        <v>0</v>
      </c>
      <c r="AS194" s="2">
        <f t="shared" ref="AS194:AS257" si="94">K194*100</f>
        <v>0</v>
      </c>
      <c r="AT194" s="2">
        <f>IFERROR(INDEX(Player_Model!$BC$2:$BC$596,MATCH($A194,Player_Model!$A$2:$A$596,0)),0)</f>
        <v>0</v>
      </c>
      <c r="AU194" s="2">
        <f>Table8[[#This Row],[Model Expected Points]]*Table8[[#This Row],[Fixture Adjustment]]</f>
        <v>0</v>
      </c>
      <c r="AV194" s="2">
        <f>Table8[[#This Row],[Fixture Adjusted Points / 90]]/Table8[[#This Row],[Price]]</f>
        <v>0</v>
      </c>
      <c r="AW194">
        <f t="shared" ref="AW194:AW257" si="95">IF(OR(B194="MID",B194="FWD"),AVERAGE(AO194,AP194),IF(B194="DEF",AP194,0))</f>
        <v>0</v>
      </c>
      <c r="AX194">
        <f t="shared" ref="AX194:AX257" si="96">IF(B194="GK",AVERAGE(AS194,X194),IF(B194="DEF",AVERAGE(AB194,X194),IF(B194="MID",AB194,0)))</f>
        <v>0.48733824733824738</v>
      </c>
      <c r="AY194" s="2">
        <f t="shared" ref="AY194:AY257" si="97">AS194</f>
        <v>0</v>
      </c>
      <c r="AZ194" s="5">
        <f t="shared" ref="AZ194:AZ257" si="98">X194</f>
        <v>0.97467649467649475</v>
      </c>
      <c r="BA194">
        <f>Table8[[#This Row],[Model Score2]]</f>
        <v>0</v>
      </c>
      <c r="BB194">
        <f>IFERROR(INDEX(Player_Model!$BG$2:$BG$596,MATCH($A194,Player_Model!$A$2:$A$596,0)),"")</f>
        <v>32</v>
      </c>
      <c r="BC194" t="str">
        <f t="shared" ref="BC194:BC257" si="99">IF(BB194=1,"TOP PICK",IF(BB194&lt;=5,"STRONG PICK",IF(BB194&lt;=10,"CONSIDER","AVOID")))</f>
        <v>AVOID</v>
      </c>
      <c r="BD194">
        <f>IF(H194=1,Table8[[#This Row],[Model Score]],-10000)</f>
        <v>0</v>
      </c>
      <c r="BE194">
        <f>IFERROR(INDEX(Player_Model!$BF$2:$BF$596,MATCH($A194,Player_Model!$A$2:$A$596,0)),"")</f>
        <v>253</v>
      </c>
      <c r="BF194">
        <f>IFERROR(INDEX(Player_Model!$BG$2:$BG$596,MATCH($A194,Player_Model!$A$2:$A$596,0)),"")</f>
        <v>32</v>
      </c>
      <c r="BG194">
        <f>IFERROR(INDEX(Player_Model!$BE$2:$BE$596,MATCH($A194,Player_Model!$A$2:$A$596,0)),0)</f>
        <v>0</v>
      </c>
    </row>
    <row r="195" spans="1:59" x14ac:dyDescent="0.25">
      <c r="A195" t="str">
        <f>tblPlayers[first_name]&amp;" "&amp;tblPlayers[second_name]</f>
        <v>Bobby Thomas</v>
      </c>
      <c r="B195" t="str">
        <f>_xlfn.SWITCH(tblPlayers[element_type],1,"GK",2,"DEF",3,"MID",4,"FWD")</f>
        <v>DEF</v>
      </c>
      <c r="C195">
        <f>tblPlayers[team]</f>
        <v>7</v>
      </c>
      <c r="D195" t="str">
        <f>INDEX(tblTeams[Column1.short_name],MATCH(C195,tblTeams[Column1.id],0))</f>
        <v>COV</v>
      </c>
      <c r="E195" s="4">
        <f>INDEX(FPL_Raw_Data!$F:$F,MATCH(A195,FPL_Raw_Data!$AA:$AA,0))/10</f>
        <v>4</v>
      </c>
      <c r="F195" s="4" t="str">
        <f>tblPlayers[[#This Row],[status]]</f>
        <v>a</v>
      </c>
      <c r="G195" s="4" t="b">
        <f>tblPlayers[[#This Row],[can_select]]</f>
        <v>1</v>
      </c>
      <c r="H195">
        <f>IF(AND(Table8[[#This Row],[Availability Status]]="a",Table8[[#This Row],[Can Select]]=TRUE),1,0)</f>
        <v>1</v>
      </c>
      <c r="I195">
        <f>tblPlayers[minutes]</f>
        <v>257</v>
      </c>
      <c r="J195" s="2">
        <f>Table8[[#This Row],[Minutes]]/90</f>
        <v>2.8555555555555556</v>
      </c>
      <c r="K195" s="5">
        <f>IFERROR(Z195/(FIXTURE_ANALYSIS!$B$1-1),0)</f>
        <v>1</v>
      </c>
      <c r="L195">
        <f>tblPlayers[total_points]</f>
        <v>15</v>
      </c>
      <c r="M195">
        <f>tblPlayers[points_per_game]</f>
        <v>5</v>
      </c>
      <c r="N195">
        <f>tblPlayers[form]</f>
        <v>5</v>
      </c>
      <c r="O195">
        <f>tblPlayers[expected_goals]</f>
        <v>0.24</v>
      </c>
      <c r="P195">
        <f>tblPlayers[expected_assists]</f>
        <v>0.19</v>
      </c>
      <c r="Q195">
        <f>tblPlayers[expected_goal_involvements]</f>
        <v>0.43</v>
      </c>
      <c r="R195" s="2">
        <f t="shared" si="75"/>
        <v>5.2529182879377432</v>
      </c>
      <c r="S195" s="5">
        <f t="shared" si="76"/>
        <v>8.4046692607003884E-2</v>
      </c>
      <c r="T195" s="5">
        <f t="shared" si="77"/>
        <v>6.6536964980544747E-2</v>
      </c>
      <c r="U195" s="5">
        <f t="shared" si="78"/>
        <v>0.15058365758754863</v>
      </c>
      <c r="V195" s="3">
        <f t="shared" si="79"/>
        <v>3.75</v>
      </c>
      <c r="W195" s="5">
        <f t="shared" si="80"/>
        <v>0.1075</v>
      </c>
      <c r="X195" s="5">
        <f>IFERROR(IF(OR($B195="MID",$B195="FWD"),INDEX(FIXTURE_ANALYSIS!$Q:$Q,MATCH($D195,FIXTURE_ANALYSIS!$A:$A,0)),INDEX(FIXTURE_ANALYSIS!$R:$R,MATCH($D195,FIXTURE_ANALYSIS!$A:$A,0))),1)</f>
        <v>0.97467649467649475</v>
      </c>
      <c r="Y195" s="5">
        <f t="shared" si="81"/>
        <v>0.97467649467649475</v>
      </c>
      <c r="Z195" s="8">
        <f>INDEX(FPL_Raw_Data!$T:$T,MATCH(A195,FPL_Raw_Data!$AA:$AA,0))</f>
        <v>3</v>
      </c>
      <c r="AA195" s="8">
        <f>INDEX(FPL_Raw_Data!$S:$S,MATCH(A195,FPL_Raw_Data!$AA:$AA,0))</f>
        <v>31</v>
      </c>
      <c r="AB195" s="2">
        <f t="shared" si="82"/>
        <v>1</v>
      </c>
      <c r="AC195" s="2">
        <f>INDEX(FPL_Raw_Data!$Q:$Q,MATCH(A195,FPL_Raw_Data!$AA:$AA,0))</f>
        <v>2</v>
      </c>
      <c r="AD195" s="8">
        <f>INDEX(FPL_Raw_Data!$R:$R,MATCH(A195,FPL_Raw_Data!$AA:$AA,0))</f>
        <v>58</v>
      </c>
      <c r="AE195" s="8">
        <f>INDEX(FPL_Raw_Data!$N:$N,MATCH(A195,FPL_Raw_Data!$AA:$AA,0))</f>
        <v>1</v>
      </c>
      <c r="AF195" s="8">
        <f>INDEX(FPL_Raw_Data!$L:$L,MATCH(A195,FPL_Raw_Data!$AA:$AA,0))</f>
        <v>0</v>
      </c>
      <c r="AG195" s="2">
        <f>INDEX(FPL_Raw_Data!$M:$M,MATCH(A195,FPL_Raw_Data!$AA:$AA,0))</f>
        <v>0</v>
      </c>
      <c r="AH195" s="2">
        <f t="shared" si="83"/>
        <v>0.50428015564202333</v>
      </c>
      <c r="AI195" s="2">
        <f t="shared" si="84"/>
        <v>0.19961089494163425</v>
      </c>
      <c r="AJ195" s="2">
        <f t="shared" si="85"/>
        <v>2</v>
      </c>
      <c r="AK195" s="2">
        <f t="shared" si="86"/>
        <v>2</v>
      </c>
      <c r="AL195" s="2">
        <f t="shared" si="87"/>
        <v>0.33333333333333331</v>
      </c>
      <c r="AM195" s="2">
        <f t="shared" si="88"/>
        <v>1.3333333333333333</v>
      </c>
      <c r="AN195" s="2">
        <f t="shared" si="89"/>
        <v>0.66666666666666663</v>
      </c>
      <c r="AO195" s="3">
        <f t="shared" si="90"/>
        <v>77.600000000000009</v>
      </c>
      <c r="AP195">
        <f t="shared" si="91"/>
        <v>72.2</v>
      </c>
      <c r="AQ195">
        <f t="shared" si="92"/>
        <v>97.899999999999991</v>
      </c>
      <c r="AR195">
        <f t="shared" si="93"/>
        <v>85</v>
      </c>
      <c r="AS195" s="2">
        <f t="shared" si="94"/>
        <v>100</v>
      </c>
      <c r="AT195" s="2">
        <f>IFERROR(INDEX(Player_Model!$BC$2:$BC$596,MATCH($A195,Player_Model!$A$2:$A$596,0)),0)</f>
        <v>5.1406448362476382</v>
      </c>
      <c r="AU195" s="2">
        <f>Table8[[#This Row],[Model Expected Points]]*Table8[[#This Row],[Fixture Adjustment]]</f>
        <v>5.0104656893706716</v>
      </c>
      <c r="AV195" s="2">
        <f>Table8[[#This Row],[Fixture Adjusted Points / 90]]/Table8[[#This Row],[Price]]</f>
        <v>1.2526164223426679</v>
      </c>
      <c r="AW195">
        <f t="shared" si="95"/>
        <v>72.2</v>
      </c>
      <c r="AX195">
        <f t="shared" si="96"/>
        <v>0.98733824733824738</v>
      </c>
      <c r="AY195" s="2">
        <f t="shared" si="97"/>
        <v>100</v>
      </c>
      <c r="AZ195" s="5">
        <f t="shared" si="98"/>
        <v>0.97467649467649475</v>
      </c>
      <c r="BA195">
        <f>Table8[[#This Row],[Model Score2]]</f>
        <v>5.1406448362476382</v>
      </c>
      <c r="BB195">
        <f>IFERROR(INDEX(Player_Model!$BG$2:$BG$596,MATCH($A195,Player_Model!$A$2:$A$596,0)),"")</f>
        <v>34</v>
      </c>
      <c r="BC195" t="str">
        <f t="shared" si="99"/>
        <v>AVOID</v>
      </c>
      <c r="BD195">
        <f>IF(H195=1,Table8[[#This Row],[Model Score]],-10000)</f>
        <v>5.1406448362476382</v>
      </c>
      <c r="BE195">
        <f>IFERROR(INDEX(Player_Model!$BF$2:$BF$596,MATCH($A195,Player_Model!$A$2:$A$596,0)),"")</f>
        <v>85</v>
      </c>
      <c r="BF195">
        <f>IFERROR(INDEX(Player_Model!$BG$2:$BG$596,MATCH($A195,Player_Model!$A$2:$A$596,0)),"")</f>
        <v>34</v>
      </c>
      <c r="BG195">
        <f>IFERROR(INDEX(Player_Model!$BE$2:$BE$596,MATCH($A195,Player_Model!$A$2:$A$596,0)),0)</f>
        <v>5.1406448362476382</v>
      </c>
    </row>
    <row r="196" spans="1:59" x14ac:dyDescent="0.25">
      <c r="A196" t="str">
        <f>tblPlayers[first_name]&amp;" "&amp;tblPlayers[second_name]</f>
        <v>Liam Kitching</v>
      </c>
      <c r="B196" t="str">
        <f>_xlfn.SWITCH(tblPlayers[element_type],1,"GK",2,"DEF",3,"MID",4,"FWD")</f>
        <v>DEF</v>
      </c>
      <c r="C196">
        <f>tblPlayers[team]</f>
        <v>7</v>
      </c>
      <c r="D196" t="str">
        <f>INDEX(tblTeams[Column1.short_name],MATCH(C196,tblTeams[Column1.id],0))</f>
        <v>COV</v>
      </c>
      <c r="E196" s="4">
        <f>INDEX(FPL_Raw_Data!$F:$F,MATCH(A196,FPL_Raw_Data!$AA:$AA,0))/10</f>
        <v>4</v>
      </c>
      <c r="F196" s="4" t="str">
        <f>tblPlayers[[#This Row],[status]]</f>
        <v>u</v>
      </c>
      <c r="G196" s="4" t="b">
        <f>tblPlayers[[#This Row],[can_select]]</f>
        <v>0</v>
      </c>
      <c r="H196">
        <f>IF(AND(Table8[[#This Row],[Availability Status]]="a",Table8[[#This Row],[Can Select]]=TRUE),1,0)</f>
        <v>0</v>
      </c>
      <c r="I196">
        <f>tblPlayers[minutes]</f>
        <v>0</v>
      </c>
      <c r="J196" s="2">
        <f>Table8[[#This Row],[Minutes]]/90</f>
        <v>0</v>
      </c>
      <c r="K196" s="5">
        <f>IFERROR(Z196/(FIXTURE_ANALYSIS!$B$1-1),0)</f>
        <v>0</v>
      </c>
      <c r="L196">
        <f>tblPlayers[total_points]</f>
        <v>0</v>
      </c>
      <c r="M196">
        <f>tblPlayers[points_per_game]</f>
        <v>0</v>
      </c>
      <c r="N196">
        <f>tblPlayers[form]</f>
        <v>0</v>
      </c>
      <c r="O196">
        <f>tblPlayers[expected_goals]</f>
        <v>0</v>
      </c>
      <c r="P196">
        <f>tblPlayers[expected_assists]</f>
        <v>0</v>
      </c>
      <c r="Q196">
        <f>tblPlayers[expected_goal_involvements]</f>
        <v>0</v>
      </c>
      <c r="R196" s="2">
        <f t="shared" si="75"/>
        <v>0</v>
      </c>
      <c r="S196" s="5">
        <f t="shared" si="76"/>
        <v>0</v>
      </c>
      <c r="T196" s="5">
        <f t="shared" si="77"/>
        <v>0</v>
      </c>
      <c r="U196" s="5">
        <f t="shared" si="78"/>
        <v>0</v>
      </c>
      <c r="V196" s="3">
        <f t="shared" si="79"/>
        <v>0</v>
      </c>
      <c r="W196" s="5">
        <f t="shared" si="80"/>
        <v>0</v>
      </c>
      <c r="X196" s="5">
        <f>IFERROR(IF(OR($B196="MID",$B196="FWD"),INDEX(FIXTURE_ANALYSIS!$Q:$Q,MATCH($D196,FIXTURE_ANALYSIS!$A:$A,0)),INDEX(FIXTURE_ANALYSIS!$R:$R,MATCH($D196,FIXTURE_ANALYSIS!$A:$A,0))),1)</f>
        <v>0.97467649467649475</v>
      </c>
      <c r="Y196" s="5">
        <f t="shared" si="81"/>
        <v>0.97467649467649475</v>
      </c>
      <c r="Z196" s="8">
        <f>INDEX(FPL_Raw_Data!$T:$T,MATCH(A196,FPL_Raw_Data!$AA:$AA,0))</f>
        <v>0</v>
      </c>
      <c r="AA196" s="8">
        <f>INDEX(FPL_Raw_Data!$S:$S,MATCH(A196,FPL_Raw_Data!$AA:$AA,0))</f>
        <v>0</v>
      </c>
      <c r="AB196" s="2">
        <f t="shared" si="82"/>
        <v>0</v>
      </c>
      <c r="AC196" s="2">
        <f>INDEX(FPL_Raw_Data!$Q:$Q,MATCH(A196,FPL_Raw_Data!$AA:$AA,0))</f>
        <v>0</v>
      </c>
      <c r="AD196" s="8">
        <f>INDEX(FPL_Raw_Data!$R:$R,MATCH(A196,FPL_Raw_Data!$AA:$AA,0))</f>
        <v>0</v>
      </c>
      <c r="AE196" s="8">
        <f>INDEX(FPL_Raw_Data!$N:$N,MATCH(A196,FPL_Raw_Data!$AA:$AA,0))</f>
        <v>0</v>
      </c>
      <c r="AF196" s="8">
        <f>INDEX(FPL_Raw_Data!$L:$L,MATCH(A196,FPL_Raw_Data!$AA:$AA,0))</f>
        <v>0</v>
      </c>
      <c r="AG196" s="2">
        <f>INDEX(FPL_Raw_Data!$M:$M,MATCH(A196,FPL_Raw_Data!$AA:$AA,0))</f>
        <v>0</v>
      </c>
      <c r="AH196" s="2">
        <f t="shared" si="83"/>
        <v>0</v>
      </c>
      <c r="AI196" s="2">
        <f t="shared" si="84"/>
        <v>0</v>
      </c>
      <c r="AJ196" s="2">
        <f t="shared" si="85"/>
        <v>0</v>
      </c>
      <c r="AK196" s="2">
        <f t="shared" si="86"/>
        <v>0</v>
      </c>
      <c r="AL196" s="2">
        <f t="shared" si="87"/>
        <v>0</v>
      </c>
      <c r="AM196" s="2">
        <f t="shared" si="88"/>
        <v>0</v>
      </c>
      <c r="AN196" s="2">
        <f t="shared" si="89"/>
        <v>0</v>
      </c>
      <c r="AO196" s="3">
        <f t="shared" si="90"/>
        <v>0.1</v>
      </c>
      <c r="AP196">
        <f t="shared" si="91"/>
        <v>0</v>
      </c>
      <c r="AQ196">
        <f t="shared" si="92"/>
        <v>0.1</v>
      </c>
      <c r="AR196">
        <f t="shared" si="93"/>
        <v>0</v>
      </c>
      <c r="AS196" s="2">
        <f t="shared" si="94"/>
        <v>0</v>
      </c>
      <c r="AT196" s="2">
        <f>IFERROR(INDEX(Player_Model!$BC$2:$BC$596,MATCH($A196,Player_Model!$A$2:$A$596,0)),0)</f>
        <v>-0.81223041223041237</v>
      </c>
      <c r="AU196" s="2">
        <f>Table8[[#This Row],[Model Expected Points]]*Table8[[#This Row],[Fixture Adjustment]]</f>
        <v>-0.79166189106238261</v>
      </c>
      <c r="AV196" s="2">
        <f>Table8[[#This Row],[Fixture Adjusted Points / 90]]/Table8[[#This Row],[Price]]</f>
        <v>-0.19791547276559565</v>
      </c>
      <c r="AW196">
        <f t="shared" si="95"/>
        <v>0</v>
      </c>
      <c r="AX196">
        <f t="shared" si="96"/>
        <v>0.48733824733824738</v>
      </c>
      <c r="AY196" s="2">
        <f t="shared" si="97"/>
        <v>0</v>
      </c>
      <c r="AZ196" s="5">
        <f t="shared" si="98"/>
        <v>0.97467649467649475</v>
      </c>
      <c r="BA196">
        <f>Table8[[#This Row],[Model Score2]]</f>
        <v>-0.81223041223041237</v>
      </c>
      <c r="BB196">
        <f>IFERROR(INDEX(Player_Model!$BG$2:$BG$596,MATCH($A196,Player_Model!$A$2:$A$596,0)),"")</f>
        <v>151</v>
      </c>
      <c r="BC196" t="str">
        <f t="shared" si="99"/>
        <v>AVOID</v>
      </c>
      <c r="BD196">
        <f>IF(H196=1,Table8[[#This Row],[Model Score]],-10000)</f>
        <v>-10000</v>
      </c>
      <c r="BE196">
        <f>IFERROR(INDEX(Player_Model!$BF$2:$BF$596,MATCH($A196,Player_Model!$A$2:$A$596,0)),"")</f>
        <v>554</v>
      </c>
      <c r="BF196">
        <f>IFERROR(INDEX(Player_Model!$BG$2:$BG$596,MATCH($A196,Player_Model!$A$2:$A$596,0)),"")</f>
        <v>151</v>
      </c>
      <c r="BG196">
        <f>IFERROR(INDEX(Player_Model!$BE$2:$BE$596,MATCH($A196,Player_Model!$A$2:$A$596,0)),0)</f>
        <v>-0.81223041223041237</v>
      </c>
    </row>
    <row r="197" spans="1:59" x14ac:dyDescent="0.25">
      <c r="A197" t="str">
        <f>tblPlayers[first_name]&amp;" "&amp;tblPlayers[second_name]</f>
        <v>Milan van Ewijk</v>
      </c>
      <c r="B197" t="str">
        <f>_xlfn.SWITCH(tblPlayers[element_type],1,"GK",2,"DEF",3,"MID",4,"FWD")</f>
        <v>DEF</v>
      </c>
      <c r="C197">
        <f>tblPlayers[team]</f>
        <v>7</v>
      </c>
      <c r="D197" t="str">
        <f>INDEX(tblTeams[Column1.short_name],MATCH(C197,tblTeams[Column1.id],0))</f>
        <v>COV</v>
      </c>
      <c r="E197" s="4">
        <f>INDEX(FPL_Raw_Data!$F:$F,MATCH(A197,FPL_Raw_Data!$AA:$AA,0))/10</f>
        <v>4</v>
      </c>
      <c r="F197" s="4" t="str">
        <f>tblPlayers[[#This Row],[status]]</f>
        <v>a</v>
      </c>
      <c r="G197" s="4" t="b">
        <f>tblPlayers[[#This Row],[can_select]]</f>
        <v>1</v>
      </c>
      <c r="H197">
        <f>IF(AND(Table8[[#This Row],[Availability Status]]="a",Table8[[#This Row],[Can Select]]=TRUE),1,0)</f>
        <v>1</v>
      </c>
      <c r="I197">
        <f>tblPlayers[minutes]</f>
        <v>270</v>
      </c>
      <c r="J197" s="2">
        <f>Table8[[#This Row],[Minutes]]/90</f>
        <v>3</v>
      </c>
      <c r="K197" s="5">
        <f>IFERROR(Z197/(FIXTURE_ANALYSIS!$B$1-1),0)</f>
        <v>1</v>
      </c>
      <c r="L197">
        <f>tblPlayers[total_points]</f>
        <v>6</v>
      </c>
      <c r="M197">
        <f>tblPlayers[points_per_game]</f>
        <v>2</v>
      </c>
      <c r="N197">
        <f>tblPlayers[form]</f>
        <v>2</v>
      </c>
      <c r="O197">
        <f>tblPlayers[expected_goals]</f>
        <v>0</v>
      </c>
      <c r="P197">
        <f>tblPlayers[expected_assists]</f>
        <v>0.26</v>
      </c>
      <c r="Q197">
        <f>tblPlayers[expected_goal_involvements]</f>
        <v>0.26</v>
      </c>
      <c r="R197" s="2">
        <f t="shared" si="75"/>
        <v>2</v>
      </c>
      <c r="S197" s="5">
        <f t="shared" si="76"/>
        <v>0</v>
      </c>
      <c r="T197" s="5">
        <f t="shared" si="77"/>
        <v>8.666666666666667E-2</v>
      </c>
      <c r="U197" s="5">
        <f t="shared" si="78"/>
        <v>8.666666666666667E-2</v>
      </c>
      <c r="V197" s="3">
        <f t="shared" si="79"/>
        <v>1.5</v>
      </c>
      <c r="W197" s="5">
        <f t="shared" si="80"/>
        <v>6.5000000000000002E-2</v>
      </c>
      <c r="X197" s="5">
        <f>IFERROR(IF(OR($B197="MID",$B197="FWD"),INDEX(FIXTURE_ANALYSIS!$Q:$Q,MATCH($D197,FIXTURE_ANALYSIS!$A:$A,0)),INDEX(FIXTURE_ANALYSIS!$R:$R,MATCH($D197,FIXTURE_ANALYSIS!$A:$A,0))),1)</f>
        <v>0.97467649467649475</v>
      </c>
      <c r="Y197" s="5">
        <f t="shared" si="81"/>
        <v>0.97467649467649475</v>
      </c>
      <c r="Z197" s="8">
        <f>INDEX(FPL_Raw_Data!$T:$T,MATCH(A197,FPL_Raw_Data!$AA:$AA,0))</f>
        <v>3</v>
      </c>
      <c r="AA197" s="8">
        <f>INDEX(FPL_Raw_Data!$S:$S,MATCH(A197,FPL_Raw_Data!$AA:$AA,0))</f>
        <v>20</v>
      </c>
      <c r="AB197" s="2">
        <f t="shared" si="82"/>
        <v>1</v>
      </c>
      <c r="AC197" s="2">
        <f>INDEX(FPL_Raw_Data!$Q:$Q,MATCH(A197,FPL_Raw_Data!$AA:$AA,0))</f>
        <v>0</v>
      </c>
      <c r="AD197" s="8">
        <f>INDEX(FPL_Raw_Data!$R:$R,MATCH(A197,FPL_Raw_Data!$AA:$AA,0))</f>
        <v>12</v>
      </c>
      <c r="AE197" s="8">
        <f>INDEX(FPL_Raw_Data!$N:$N,MATCH(A197,FPL_Raw_Data!$AA:$AA,0))</f>
        <v>0</v>
      </c>
      <c r="AF197" s="8">
        <f>INDEX(FPL_Raw_Data!$L:$L,MATCH(A197,FPL_Raw_Data!$AA:$AA,0))</f>
        <v>0</v>
      </c>
      <c r="AG197" s="2">
        <f>INDEX(FPL_Raw_Data!$M:$M,MATCH(A197,FPL_Raw_Data!$AA:$AA,0))</f>
        <v>0</v>
      </c>
      <c r="AH197" s="2">
        <f t="shared" si="83"/>
        <v>0</v>
      </c>
      <c r="AI197" s="2">
        <f t="shared" si="84"/>
        <v>0.26</v>
      </c>
      <c r="AJ197" s="2">
        <f t="shared" si="85"/>
        <v>2</v>
      </c>
      <c r="AK197" s="2">
        <f t="shared" si="86"/>
        <v>2</v>
      </c>
      <c r="AL197" s="2">
        <f t="shared" si="87"/>
        <v>0</v>
      </c>
      <c r="AM197" s="2">
        <f t="shared" si="88"/>
        <v>0</v>
      </c>
      <c r="AN197" s="2">
        <f t="shared" si="89"/>
        <v>0</v>
      </c>
      <c r="AO197" s="3">
        <f t="shared" si="90"/>
        <v>45.9</v>
      </c>
      <c r="AP197">
        <f t="shared" si="91"/>
        <v>66.600000000000009</v>
      </c>
      <c r="AQ197">
        <f t="shared" si="92"/>
        <v>78.7</v>
      </c>
      <c r="AR197">
        <f t="shared" si="93"/>
        <v>78.900000000000006</v>
      </c>
      <c r="AS197" s="2">
        <f t="shared" si="94"/>
        <v>100</v>
      </c>
      <c r="AT197" s="2">
        <f>IFERROR(INDEX(Player_Model!$BC$2:$BC$596,MATCH($A197,Player_Model!$A$2:$A$596,0)),0)</f>
        <v>2.6901071253071254</v>
      </c>
      <c r="AU197" s="2">
        <f>Table8[[#This Row],[Model Expected Points]]*Table8[[#This Row],[Fixture Adjustment]]</f>
        <v>2.6219841831986108</v>
      </c>
      <c r="AV197" s="2">
        <f>Table8[[#This Row],[Fixture Adjusted Points / 90]]/Table8[[#This Row],[Price]]</f>
        <v>0.6554960457996527</v>
      </c>
      <c r="AW197">
        <f t="shared" si="95"/>
        <v>66.600000000000009</v>
      </c>
      <c r="AX197">
        <f t="shared" si="96"/>
        <v>0.98733824733824738</v>
      </c>
      <c r="AY197" s="2">
        <f t="shared" si="97"/>
        <v>100</v>
      </c>
      <c r="AZ197" s="5">
        <f t="shared" si="98"/>
        <v>0.97467649467649475</v>
      </c>
      <c r="BA197">
        <f>Table8[[#This Row],[Model Score2]]</f>
        <v>2.6901071253071254</v>
      </c>
      <c r="BB197">
        <f>IFERROR(INDEX(Player_Model!$BG$2:$BG$596,MATCH($A197,Player_Model!$A$2:$A$596,0)),"")</f>
        <v>68</v>
      </c>
      <c r="BC197" t="str">
        <f t="shared" si="99"/>
        <v>AVOID</v>
      </c>
      <c r="BD197">
        <f>IF(H197=1,Table8[[#This Row],[Model Score]],-10000)</f>
        <v>2.6901071253071254</v>
      </c>
      <c r="BE197">
        <f>IFERROR(INDEX(Player_Model!$BF$2:$BF$596,MATCH($A197,Player_Model!$A$2:$A$596,0)),"")</f>
        <v>217</v>
      </c>
      <c r="BF197">
        <f>IFERROR(INDEX(Player_Model!$BG$2:$BG$596,MATCH($A197,Player_Model!$A$2:$A$596,0)),"")</f>
        <v>68</v>
      </c>
      <c r="BG197">
        <f>IFERROR(INDEX(Player_Model!$BE$2:$BE$596,MATCH($A197,Player_Model!$A$2:$A$596,0)),0)</f>
        <v>2.6901071253071254</v>
      </c>
    </row>
    <row r="198" spans="1:59" x14ac:dyDescent="0.25">
      <c r="A198" t="str">
        <f>tblPlayers[first_name]&amp;" "&amp;tblPlayers[second_name]</f>
        <v>Jay Dasilva</v>
      </c>
      <c r="B198" t="str">
        <f>_xlfn.SWITCH(tblPlayers[element_type],1,"GK",2,"DEF",3,"MID",4,"FWD")</f>
        <v>DEF</v>
      </c>
      <c r="C198">
        <f>tblPlayers[team]</f>
        <v>7</v>
      </c>
      <c r="D198" t="str">
        <f>INDEX(tblTeams[Column1.short_name],MATCH(C198,tblTeams[Column1.id],0))</f>
        <v>COV</v>
      </c>
      <c r="E198" s="4">
        <f>INDEX(FPL_Raw_Data!$F:$F,MATCH(A198,FPL_Raw_Data!$AA:$AA,0))/10</f>
        <v>4</v>
      </c>
      <c r="F198" s="4" t="str">
        <f>tblPlayers[[#This Row],[status]]</f>
        <v>a</v>
      </c>
      <c r="G198" s="4" t="b">
        <f>tblPlayers[[#This Row],[can_select]]</f>
        <v>1</v>
      </c>
      <c r="H198">
        <f>IF(AND(Table8[[#This Row],[Availability Status]]="a",Table8[[#This Row],[Can Select]]=TRUE),1,0)</f>
        <v>1</v>
      </c>
      <c r="I198">
        <f>tblPlayers[minutes]</f>
        <v>264</v>
      </c>
      <c r="J198" s="2">
        <f>Table8[[#This Row],[Minutes]]/90</f>
        <v>2.9333333333333331</v>
      </c>
      <c r="K198" s="5">
        <f>IFERROR(Z198/(FIXTURE_ANALYSIS!$B$1-1),0)</f>
        <v>1</v>
      </c>
      <c r="L198">
        <f>tblPlayers[total_points]</f>
        <v>5</v>
      </c>
      <c r="M198">
        <f>tblPlayers[points_per_game]</f>
        <v>1.7</v>
      </c>
      <c r="N198">
        <f>tblPlayers[form]</f>
        <v>1.7</v>
      </c>
      <c r="O198">
        <f>tblPlayers[expected_goals]</f>
        <v>0.18</v>
      </c>
      <c r="P198">
        <f>tblPlayers[expected_assists]</f>
        <v>0.15</v>
      </c>
      <c r="Q198">
        <f>tblPlayers[expected_goal_involvements]</f>
        <v>0.33</v>
      </c>
      <c r="R198" s="2">
        <f t="shared" si="75"/>
        <v>1.7045454545454546</v>
      </c>
      <c r="S198" s="5">
        <f t="shared" si="76"/>
        <v>6.1363636363636356E-2</v>
      </c>
      <c r="T198" s="5">
        <f t="shared" si="77"/>
        <v>5.1136363636363633E-2</v>
      </c>
      <c r="U198" s="5">
        <f t="shared" si="78"/>
        <v>0.1125</v>
      </c>
      <c r="V198" s="3">
        <f t="shared" si="79"/>
        <v>1.25</v>
      </c>
      <c r="W198" s="5">
        <f t="shared" si="80"/>
        <v>8.2500000000000004E-2</v>
      </c>
      <c r="X198" s="5">
        <f>IFERROR(IF(OR($B198="MID",$B198="FWD"),INDEX(FIXTURE_ANALYSIS!$Q:$Q,MATCH($D198,FIXTURE_ANALYSIS!$A:$A,0)),INDEX(FIXTURE_ANALYSIS!$R:$R,MATCH($D198,FIXTURE_ANALYSIS!$A:$A,0))),1)</f>
        <v>0.97467649467649475</v>
      </c>
      <c r="Y198" s="5">
        <f t="shared" si="81"/>
        <v>0.97467649467649475</v>
      </c>
      <c r="Z198" s="8">
        <f>INDEX(FPL_Raw_Data!$T:$T,MATCH(A198,FPL_Raw_Data!$AA:$AA,0))</f>
        <v>3</v>
      </c>
      <c r="AA198" s="8">
        <f>INDEX(FPL_Raw_Data!$S:$S,MATCH(A198,FPL_Raw_Data!$AA:$AA,0))</f>
        <v>16</v>
      </c>
      <c r="AB198" s="2">
        <f t="shared" si="82"/>
        <v>1</v>
      </c>
      <c r="AC198" s="2">
        <f>INDEX(FPL_Raw_Data!$Q:$Q,MATCH(A198,FPL_Raw_Data!$AA:$AA,0))</f>
        <v>0</v>
      </c>
      <c r="AD198" s="8">
        <f>INDEX(FPL_Raw_Data!$R:$R,MATCH(A198,FPL_Raw_Data!$AA:$AA,0))</f>
        <v>21</v>
      </c>
      <c r="AE198" s="8">
        <f>INDEX(FPL_Raw_Data!$N:$N,MATCH(A198,FPL_Raw_Data!$AA:$AA,0))</f>
        <v>0</v>
      </c>
      <c r="AF198" s="8">
        <f>INDEX(FPL_Raw_Data!$L:$L,MATCH(A198,FPL_Raw_Data!$AA:$AA,0))</f>
        <v>0</v>
      </c>
      <c r="AG198" s="2">
        <f>INDEX(FPL_Raw_Data!$M:$M,MATCH(A198,FPL_Raw_Data!$AA:$AA,0))</f>
        <v>0</v>
      </c>
      <c r="AH198" s="2">
        <f t="shared" si="83"/>
        <v>0.36818181818181817</v>
      </c>
      <c r="AI198" s="2">
        <f t="shared" si="84"/>
        <v>0.15340909090909088</v>
      </c>
      <c r="AJ198" s="2">
        <f t="shared" si="85"/>
        <v>2</v>
      </c>
      <c r="AK198" s="2">
        <f t="shared" si="86"/>
        <v>2</v>
      </c>
      <c r="AL198" s="2">
        <f t="shared" si="87"/>
        <v>0</v>
      </c>
      <c r="AM198" s="2">
        <f t="shared" si="88"/>
        <v>0</v>
      </c>
      <c r="AN198" s="2">
        <f t="shared" si="89"/>
        <v>0</v>
      </c>
      <c r="AO198" s="3">
        <f t="shared" si="90"/>
        <v>45.1</v>
      </c>
      <c r="AP198">
        <f t="shared" si="91"/>
        <v>69.5</v>
      </c>
      <c r="AQ198">
        <f t="shared" si="92"/>
        <v>74</v>
      </c>
      <c r="AR198">
        <f t="shared" si="93"/>
        <v>82.3</v>
      </c>
      <c r="AS198" s="2">
        <f t="shared" si="94"/>
        <v>100</v>
      </c>
      <c r="AT198" s="2">
        <f>IFERROR(INDEX(Player_Model!$BC$2:$BC$596,MATCH($A198,Player_Model!$A$2:$A$596,0)),0)</f>
        <v>2.7087884247884246</v>
      </c>
      <c r="AU198" s="2">
        <f>Table8[[#This Row],[Model Expected Points]]*Table8[[#This Row],[Fixture Adjustment]]</f>
        <v>2.6401924066930458</v>
      </c>
      <c r="AV198" s="2">
        <f>Table8[[#This Row],[Fixture Adjusted Points / 90]]/Table8[[#This Row],[Price]]</f>
        <v>0.66004810167326144</v>
      </c>
      <c r="AW198">
        <f t="shared" si="95"/>
        <v>69.5</v>
      </c>
      <c r="AX198">
        <f t="shared" si="96"/>
        <v>0.98733824733824738</v>
      </c>
      <c r="AY198" s="2">
        <f t="shared" si="97"/>
        <v>100</v>
      </c>
      <c r="AZ198" s="5">
        <f t="shared" si="98"/>
        <v>0.97467649467649475</v>
      </c>
      <c r="BA198">
        <f>Table8[[#This Row],[Model Score2]]</f>
        <v>2.7087884247884246</v>
      </c>
      <c r="BB198">
        <f>IFERROR(INDEX(Player_Model!$BG$2:$BG$596,MATCH($A198,Player_Model!$A$2:$A$596,0)),"")</f>
        <v>67</v>
      </c>
      <c r="BC198" t="str">
        <f t="shared" si="99"/>
        <v>AVOID</v>
      </c>
      <c r="BD198">
        <f>IF(H198=1,Table8[[#This Row],[Model Score]],-10000)</f>
        <v>2.7087884247884246</v>
      </c>
      <c r="BE198">
        <f>IFERROR(INDEX(Player_Model!$BF$2:$BF$596,MATCH($A198,Player_Model!$A$2:$A$596,0)),"")</f>
        <v>216</v>
      </c>
      <c r="BF198">
        <f>IFERROR(INDEX(Player_Model!$BG$2:$BG$596,MATCH($A198,Player_Model!$A$2:$A$596,0)),"")</f>
        <v>67</v>
      </c>
      <c r="BG198">
        <f>IFERROR(INDEX(Player_Model!$BE$2:$BE$596,MATCH($A198,Player_Model!$A$2:$A$596,0)),0)</f>
        <v>2.7087884247884246</v>
      </c>
    </row>
    <row r="199" spans="1:59" x14ac:dyDescent="0.25">
      <c r="A199" t="str">
        <f>tblPlayers[first_name]&amp;" "&amp;tblPlayers[second_name]</f>
        <v>Kaine Kesler-Hayden</v>
      </c>
      <c r="B199" t="str">
        <f>_xlfn.SWITCH(tblPlayers[element_type],1,"GK",2,"DEF",3,"MID",4,"FWD")</f>
        <v>DEF</v>
      </c>
      <c r="C199">
        <f>tblPlayers[team]</f>
        <v>7</v>
      </c>
      <c r="D199" t="str">
        <f>INDEX(tblTeams[Column1.short_name],MATCH(C199,tblTeams[Column1.id],0))</f>
        <v>COV</v>
      </c>
      <c r="E199" s="4">
        <f>INDEX(FPL_Raw_Data!$F:$F,MATCH(A199,FPL_Raw_Data!$AA:$AA,0))/10</f>
        <v>4</v>
      </c>
      <c r="F199" s="4" t="str">
        <f>tblPlayers[[#This Row],[status]]</f>
        <v>i</v>
      </c>
      <c r="G199" s="4" t="b">
        <f>tblPlayers[[#This Row],[can_select]]</f>
        <v>1</v>
      </c>
      <c r="H199">
        <f>IF(AND(Table8[[#This Row],[Availability Status]]="a",Table8[[#This Row],[Can Select]]=TRUE),1,0)</f>
        <v>0</v>
      </c>
      <c r="I199">
        <f>tblPlayers[minutes]</f>
        <v>0</v>
      </c>
      <c r="J199" s="2">
        <f>Table8[[#This Row],[Minutes]]/90</f>
        <v>0</v>
      </c>
      <c r="K199" s="5">
        <f>IFERROR(Z199/(FIXTURE_ANALYSIS!$B$1-1),0)</f>
        <v>0</v>
      </c>
      <c r="L199">
        <f>tblPlayers[total_points]</f>
        <v>0</v>
      </c>
      <c r="M199">
        <f>tblPlayers[points_per_game]</f>
        <v>0</v>
      </c>
      <c r="N199">
        <f>tblPlayers[form]</f>
        <v>0</v>
      </c>
      <c r="O199">
        <f>tblPlayers[expected_goals]</f>
        <v>0</v>
      </c>
      <c r="P199">
        <f>tblPlayers[expected_assists]</f>
        <v>0</v>
      </c>
      <c r="Q199">
        <f>tblPlayers[expected_goal_involvements]</f>
        <v>0</v>
      </c>
      <c r="R199" s="2">
        <f t="shared" si="75"/>
        <v>0</v>
      </c>
      <c r="S199" s="5">
        <f t="shared" si="76"/>
        <v>0</v>
      </c>
      <c r="T199" s="5">
        <f t="shared" si="77"/>
        <v>0</v>
      </c>
      <c r="U199" s="5">
        <f t="shared" si="78"/>
        <v>0</v>
      </c>
      <c r="V199" s="3">
        <f t="shared" si="79"/>
        <v>0</v>
      </c>
      <c r="W199" s="5">
        <f t="shared" si="80"/>
        <v>0</v>
      </c>
      <c r="X199" s="5">
        <f>IFERROR(IF(OR($B199="MID",$B199="FWD"),INDEX(FIXTURE_ANALYSIS!$Q:$Q,MATCH($D199,FIXTURE_ANALYSIS!$A:$A,0)),INDEX(FIXTURE_ANALYSIS!$R:$R,MATCH($D199,FIXTURE_ANALYSIS!$A:$A,0))),1)</f>
        <v>0.97467649467649475</v>
      </c>
      <c r="Y199" s="5">
        <f t="shared" si="81"/>
        <v>0.97467649467649475</v>
      </c>
      <c r="Z199" s="8">
        <f>INDEX(FPL_Raw_Data!$T:$T,MATCH(A199,FPL_Raw_Data!$AA:$AA,0))</f>
        <v>0</v>
      </c>
      <c r="AA199" s="8">
        <f>INDEX(FPL_Raw_Data!$S:$S,MATCH(A199,FPL_Raw_Data!$AA:$AA,0))</f>
        <v>0</v>
      </c>
      <c r="AB199" s="2">
        <f t="shared" si="82"/>
        <v>0</v>
      </c>
      <c r="AC199" s="2">
        <f>INDEX(FPL_Raw_Data!$Q:$Q,MATCH(A199,FPL_Raw_Data!$AA:$AA,0))</f>
        <v>0</v>
      </c>
      <c r="AD199" s="8">
        <f>INDEX(FPL_Raw_Data!$R:$R,MATCH(A199,FPL_Raw_Data!$AA:$AA,0))</f>
        <v>0</v>
      </c>
      <c r="AE199" s="8">
        <f>INDEX(FPL_Raw_Data!$N:$N,MATCH(A199,FPL_Raw_Data!$AA:$AA,0))</f>
        <v>0</v>
      </c>
      <c r="AF199" s="8">
        <f>INDEX(FPL_Raw_Data!$L:$L,MATCH(A199,FPL_Raw_Data!$AA:$AA,0))</f>
        <v>0</v>
      </c>
      <c r="AG199" s="2">
        <f>INDEX(FPL_Raw_Data!$M:$M,MATCH(A199,FPL_Raw_Data!$AA:$AA,0))</f>
        <v>0</v>
      </c>
      <c r="AH199" s="2">
        <f t="shared" si="83"/>
        <v>0</v>
      </c>
      <c r="AI199" s="2">
        <f t="shared" si="84"/>
        <v>0</v>
      </c>
      <c r="AJ199" s="2">
        <f t="shared" si="85"/>
        <v>0</v>
      </c>
      <c r="AK199" s="2">
        <f t="shared" si="86"/>
        <v>0</v>
      </c>
      <c r="AL199" s="2">
        <f t="shared" si="87"/>
        <v>0</v>
      </c>
      <c r="AM199" s="2">
        <f t="shared" si="88"/>
        <v>0</v>
      </c>
      <c r="AN199" s="2">
        <f t="shared" si="89"/>
        <v>0</v>
      </c>
      <c r="AO199" s="3">
        <f t="shared" si="90"/>
        <v>0.1</v>
      </c>
      <c r="AP199">
        <f t="shared" si="91"/>
        <v>0</v>
      </c>
      <c r="AQ199">
        <f t="shared" si="92"/>
        <v>0.1</v>
      </c>
      <c r="AR199">
        <f t="shared" si="93"/>
        <v>0</v>
      </c>
      <c r="AS199" s="2">
        <f t="shared" si="94"/>
        <v>0</v>
      </c>
      <c r="AT199" s="2">
        <f>IFERROR(INDEX(Player_Model!$BC$2:$BC$596,MATCH($A199,Player_Model!$A$2:$A$596,0)),0)</f>
        <v>-0.81223041223041237</v>
      </c>
      <c r="AU199" s="2">
        <f>Table8[[#This Row],[Model Expected Points]]*Table8[[#This Row],[Fixture Adjustment]]</f>
        <v>-0.79166189106238261</v>
      </c>
      <c r="AV199" s="2">
        <f>Table8[[#This Row],[Fixture Adjusted Points / 90]]/Table8[[#This Row],[Price]]</f>
        <v>-0.19791547276559565</v>
      </c>
      <c r="AW199">
        <f t="shared" si="95"/>
        <v>0</v>
      </c>
      <c r="AX199">
        <f t="shared" si="96"/>
        <v>0.48733824733824738</v>
      </c>
      <c r="AY199" s="2">
        <f t="shared" si="97"/>
        <v>0</v>
      </c>
      <c r="AZ199" s="5">
        <f t="shared" si="98"/>
        <v>0.97467649467649475</v>
      </c>
      <c r="BA199">
        <f>Table8[[#This Row],[Model Score2]]</f>
        <v>-0.81223041223041237</v>
      </c>
      <c r="BB199">
        <f>IFERROR(INDEX(Player_Model!$BG$2:$BG$596,MATCH($A199,Player_Model!$A$2:$A$596,0)),"")</f>
        <v>152</v>
      </c>
      <c r="BC199" t="str">
        <f t="shared" si="99"/>
        <v>AVOID</v>
      </c>
      <c r="BD199">
        <f>IF(H199=1,Table8[[#This Row],[Model Score]],-10000)</f>
        <v>-10000</v>
      </c>
      <c r="BE199">
        <f>IFERROR(INDEX(Player_Model!$BF$2:$BF$596,MATCH($A199,Player_Model!$A$2:$A$596,0)),"")</f>
        <v>554</v>
      </c>
      <c r="BF199">
        <f>IFERROR(INDEX(Player_Model!$BG$2:$BG$596,MATCH($A199,Player_Model!$A$2:$A$596,0)),"")</f>
        <v>152</v>
      </c>
      <c r="BG199">
        <f>IFERROR(INDEX(Player_Model!$BE$2:$BE$596,MATCH($A199,Player_Model!$A$2:$A$596,0)),0)</f>
        <v>-0.81223041223041237</v>
      </c>
    </row>
    <row r="200" spans="1:59" x14ac:dyDescent="0.25">
      <c r="A200" t="str">
        <f>tblPlayers[first_name]&amp;" "&amp;tblPlayers[second_name]</f>
        <v>Jake Bidwell</v>
      </c>
      <c r="B200" t="str">
        <f>_xlfn.SWITCH(tblPlayers[element_type],1,"GK",2,"DEF",3,"MID",4,"FWD")</f>
        <v>DEF</v>
      </c>
      <c r="C200">
        <f>tblPlayers[team]</f>
        <v>7</v>
      </c>
      <c r="D200" t="str">
        <f>INDEX(tblTeams[Column1.short_name],MATCH(C200,tblTeams[Column1.id],0))</f>
        <v>COV</v>
      </c>
      <c r="E200" s="4">
        <f>INDEX(FPL_Raw_Data!$F:$F,MATCH(A200,FPL_Raw_Data!$AA:$AA,0))/10</f>
        <v>4</v>
      </c>
      <c r="F200" s="4" t="str">
        <f>tblPlayers[[#This Row],[status]]</f>
        <v>a</v>
      </c>
      <c r="G200" s="4" t="b">
        <f>tblPlayers[[#This Row],[can_select]]</f>
        <v>1</v>
      </c>
      <c r="H200">
        <f>IF(AND(Table8[[#This Row],[Availability Status]]="a",Table8[[#This Row],[Can Select]]=TRUE),1,0)</f>
        <v>1</v>
      </c>
      <c r="I200">
        <f>tblPlayers[minutes]</f>
        <v>0</v>
      </c>
      <c r="J200" s="2">
        <f>Table8[[#This Row],[Minutes]]/90</f>
        <v>0</v>
      </c>
      <c r="K200" s="5">
        <f>IFERROR(Z200/(FIXTURE_ANALYSIS!$B$1-1),0)</f>
        <v>0</v>
      </c>
      <c r="L200">
        <f>tblPlayers[total_points]</f>
        <v>0</v>
      </c>
      <c r="M200">
        <f>tblPlayers[points_per_game]</f>
        <v>0</v>
      </c>
      <c r="N200">
        <f>tblPlayers[form]</f>
        <v>0</v>
      </c>
      <c r="O200">
        <f>tblPlayers[expected_goals]</f>
        <v>0</v>
      </c>
      <c r="P200">
        <f>tblPlayers[expected_assists]</f>
        <v>0</v>
      </c>
      <c r="Q200">
        <f>tblPlayers[expected_goal_involvements]</f>
        <v>0</v>
      </c>
      <c r="R200" s="2">
        <f t="shared" si="75"/>
        <v>0</v>
      </c>
      <c r="S200" s="5">
        <f t="shared" si="76"/>
        <v>0</v>
      </c>
      <c r="T200" s="5">
        <f t="shared" si="77"/>
        <v>0</v>
      </c>
      <c r="U200" s="5">
        <f t="shared" si="78"/>
        <v>0</v>
      </c>
      <c r="V200" s="3">
        <f t="shared" si="79"/>
        <v>0</v>
      </c>
      <c r="W200" s="5">
        <f t="shared" si="80"/>
        <v>0</v>
      </c>
      <c r="X200" s="5">
        <f>IFERROR(IF(OR($B200="MID",$B200="FWD"),INDEX(FIXTURE_ANALYSIS!$Q:$Q,MATCH($D200,FIXTURE_ANALYSIS!$A:$A,0)),INDEX(FIXTURE_ANALYSIS!$R:$R,MATCH($D200,FIXTURE_ANALYSIS!$A:$A,0))),1)</f>
        <v>0.97467649467649475</v>
      </c>
      <c r="Y200" s="5">
        <f t="shared" si="81"/>
        <v>0.97467649467649475</v>
      </c>
      <c r="Z200" s="8">
        <f>INDEX(FPL_Raw_Data!$T:$T,MATCH(A200,FPL_Raw_Data!$AA:$AA,0))</f>
        <v>0</v>
      </c>
      <c r="AA200" s="8">
        <f>INDEX(FPL_Raw_Data!$S:$S,MATCH(A200,FPL_Raw_Data!$AA:$AA,0))</f>
        <v>0</v>
      </c>
      <c r="AB200" s="2">
        <f t="shared" si="82"/>
        <v>0</v>
      </c>
      <c r="AC200" s="2">
        <f>INDEX(FPL_Raw_Data!$Q:$Q,MATCH(A200,FPL_Raw_Data!$AA:$AA,0))</f>
        <v>0</v>
      </c>
      <c r="AD200" s="8">
        <f>INDEX(FPL_Raw_Data!$R:$R,MATCH(A200,FPL_Raw_Data!$AA:$AA,0))</f>
        <v>0</v>
      </c>
      <c r="AE200" s="8">
        <f>INDEX(FPL_Raw_Data!$N:$N,MATCH(A200,FPL_Raw_Data!$AA:$AA,0))</f>
        <v>0</v>
      </c>
      <c r="AF200" s="8">
        <f>INDEX(FPL_Raw_Data!$L:$L,MATCH(A200,FPL_Raw_Data!$AA:$AA,0))</f>
        <v>0</v>
      </c>
      <c r="AG200" s="2">
        <f>INDEX(FPL_Raw_Data!$M:$M,MATCH(A200,FPL_Raw_Data!$AA:$AA,0))</f>
        <v>0</v>
      </c>
      <c r="AH200" s="2">
        <f t="shared" si="83"/>
        <v>0</v>
      </c>
      <c r="AI200" s="2">
        <f t="shared" si="84"/>
        <v>0</v>
      </c>
      <c r="AJ200" s="2">
        <f t="shared" si="85"/>
        <v>0</v>
      </c>
      <c r="AK200" s="2">
        <f t="shared" si="86"/>
        <v>0</v>
      </c>
      <c r="AL200" s="2">
        <f t="shared" si="87"/>
        <v>0</v>
      </c>
      <c r="AM200" s="2">
        <f t="shared" si="88"/>
        <v>0</v>
      </c>
      <c r="AN200" s="2">
        <f t="shared" si="89"/>
        <v>0</v>
      </c>
      <c r="AO200" s="3">
        <f t="shared" si="90"/>
        <v>0.1</v>
      </c>
      <c r="AP200">
        <f t="shared" si="91"/>
        <v>0</v>
      </c>
      <c r="AQ200">
        <f t="shared" si="92"/>
        <v>0.1</v>
      </c>
      <c r="AR200">
        <f t="shared" si="93"/>
        <v>0</v>
      </c>
      <c r="AS200" s="2">
        <f t="shared" si="94"/>
        <v>0</v>
      </c>
      <c r="AT200" s="2">
        <f>IFERROR(INDEX(Player_Model!$BC$2:$BC$596,MATCH($A200,Player_Model!$A$2:$A$596,0)),0)</f>
        <v>-0.81223041223041237</v>
      </c>
      <c r="AU200" s="2">
        <f>Table8[[#This Row],[Model Expected Points]]*Table8[[#This Row],[Fixture Adjustment]]</f>
        <v>-0.79166189106238261</v>
      </c>
      <c r="AV200" s="2">
        <f>Table8[[#This Row],[Fixture Adjusted Points / 90]]/Table8[[#This Row],[Price]]</f>
        <v>-0.19791547276559565</v>
      </c>
      <c r="AW200">
        <f t="shared" si="95"/>
        <v>0</v>
      </c>
      <c r="AX200">
        <f t="shared" si="96"/>
        <v>0.48733824733824738</v>
      </c>
      <c r="AY200" s="2">
        <f t="shared" si="97"/>
        <v>0</v>
      </c>
      <c r="AZ200" s="5">
        <f t="shared" si="98"/>
        <v>0.97467649467649475</v>
      </c>
      <c r="BA200">
        <f>Table8[[#This Row],[Model Score2]]</f>
        <v>-0.81223041223041237</v>
      </c>
      <c r="BB200">
        <f>IFERROR(INDEX(Player_Model!$BG$2:$BG$596,MATCH($A200,Player_Model!$A$2:$A$596,0)),"")</f>
        <v>153</v>
      </c>
      <c r="BC200" t="str">
        <f t="shared" si="99"/>
        <v>AVOID</v>
      </c>
      <c r="BD200">
        <f>IF(H200=1,Table8[[#This Row],[Model Score]],-10000)</f>
        <v>-0.81223041223041237</v>
      </c>
      <c r="BE200">
        <f>IFERROR(INDEX(Player_Model!$BF$2:$BF$596,MATCH($A200,Player_Model!$A$2:$A$596,0)),"")</f>
        <v>554</v>
      </c>
      <c r="BF200">
        <f>IFERROR(INDEX(Player_Model!$BG$2:$BG$596,MATCH($A200,Player_Model!$A$2:$A$596,0)),"")</f>
        <v>153</v>
      </c>
      <c r="BG200">
        <f>IFERROR(INDEX(Player_Model!$BE$2:$BE$596,MATCH($A200,Player_Model!$A$2:$A$596,0)),0)</f>
        <v>-0.81223041223041237</v>
      </c>
    </row>
    <row r="201" spans="1:59" x14ac:dyDescent="0.25">
      <c r="A201" t="str">
        <f>tblPlayers[first_name]&amp;" "&amp;tblPlayers[second_name]</f>
        <v>Joel Latibeaudiere</v>
      </c>
      <c r="B201" t="str">
        <f>_xlfn.SWITCH(tblPlayers[element_type],1,"GK",2,"DEF",3,"MID",4,"FWD")</f>
        <v>DEF</v>
      </c>
      <c r="C201">
        <f>tblPlayers[team]</f>
        <v>7</v>
      </c>
      <c r="D201" t="str">
        <f>INDEX(tblTeams[Column1.short_name],MATCH(C201,tblTeams[Column1.id],0))</f>
        <v>COV</v>
      </c>
      <c r="E201" s="4">
        <f>INDEX(FPL_Raw_Data!$F:$F,MATCH(A201,FPL_Raw_Data!$AA:$AA,0))/10</f>
        <v>4</v>
      </c>
      <c r="F201" s="4" t="str">
        <f>tblPlayers[[#This Row],[status]]</f>
        <v>a</v>
      </c>
      <c r="G201" s="4" t="b">
        <f>tblPlayers[[#This Row],[can_select]]</f>
        <v>1</v>
      </c>
      <c r="H201">
        <f>IF(AND(Table8[[#This Row],[Availability Status]]="a",Table8[[#This Row],[Can Select]]=TRUE),1,0)</f>
        <v>1</v>
      </c>
      <c r="I201">
        <f>tblPlayers[minutes]</f>
        <v>0</v>
      </c>
      <c r="J201" s="2">
        <f>Table8[[#This Row],[Minutes]]/90</f>
        <v>0</v>
      </c>
      <c r="K201" s="5">
        <f>IFERROR(Z201/(FIXTURE_ANALYSIS!$B$1-1),0)</f>
        <v>0</v>
      </c>
      <c r="L201">
        <f>tblPlayers[total_points]</f>
        <v>0</v>
      </c>
      <c r="M201">
        <f>tblPlayers[points_per_game]</f>
        <v>0</v>
      </c>
      <c r="N201">
        <f>tblPlayers[form]</f>
        <v>0</v>
      </c>
      <c r="O201">
        <f>tblPlayers[expected_goals]</f>
        <v>0</v>
      </c>
      <c r="P201">
        <f>tblPlayers[expected_assists]</f>
        <v>0</v>
      </c>
      <c r="Q201">
        <f>tblPlayers[expected_goal_involvements]</f>
        <v>0</v>
      </c>
      <c r="R201" s="2">
        <f t="shared" si="75"/>
        <v>0</v>
      </c>
      <c r="S201" s="5">
        <f t="shared" si="76"/>
        <v>0</v>
      </c>
      <c r="T201" s="5">
        <f t="shared" si="77"/>
        <v>0</v>
      </c>
      <c r="U201" s="5">
        <f t="shared" si="78"/>
        <v>0</v>
      </c>
      <c r="V201" s="3">
        <f t="shared" si="79"/>
        <v>0</v>
      </c>
      <c r="W201" s="5">
        <f t="shared" si="80"/>
        <v>0</v>
      </c>
      <c r="X201" s="5">
        <f>IFERROR(IF(OR($B201="MID",$B201="FWD"),INDEX(FIXTURE_ANALYSIS!$Q:$Q,MATCH($D201,FIXTURE_ANALYSIS!$A:$A,0)),INDEX(FIXTURE_ANALYSIS!$R:$R,MATCH($D201,FIXTURE_ANALYSIS!$A:$A,0))),1)</f>
        <v>0.97467649467649475</v>
      </c>
      <c r="Y201" s="5">
        <f t="shared" si="81"/>
        <v>0.97467649467649475</v>
      </c>
      <c r="Z201" s="8">
        <f>INDEX(FPL_Raw_Data!$T:$T,MATCH(A201,FPL_Raw_Data!$AA:$AA,0))</f>
        <v>0</v>
      </c>
      <c r="AA201" s="8">
        <f>INDEX(FPL_Raw_Data!$S:$S,MATCH(A201,FPL_Raw_Data!$AA:$AA,0))</f>
        <v>0</v>
      </c>
      <c r="AB201" s="2">
        <f t="shared" si="82"/>
        <v>0</v>
      </c>
      <c r="AC201" s="2">
        <f>INDEX(FPL_Raw_Data!$Q:$Q,MATCH(A201,FPL_Raw_Data!$AA:$AA,0))</f>
        <v>0</v>
      </c>
      <c r="AD201" s="8">
        <f>INDEX(FPL_Raw_Data!$R:$R,MATCH(A201,FPL_Raw_Data!$AA:$AA,0))</f>
        <v>0</v>
      </c>
      <c r="AE201" s="8">
        <f>INDEX(FPL_Raw_Data!$N:$N,MATCH(A201,FPL_Raw_Data!$AA:$AA,0))</f>
        <v>0</v>
      </c>
      <c r="AF201" s="8">
        <f>INDEX(FPL_Raw_Data!$L:$L,MATCH(A201,FPL_Raw_Data!$AA:$AA,0))</f>
        <v>0</v>
      </c>
      <c r="AG201" s="2">
        <f>INDEX(FPL_Raw_Data!$M:$M,MATCH(A201,FPL_Raw_Data!$AA:$AA,0))</f>
        <v>0</v>
      </c>
      <c r="AH201" s="2">
        <f t="shared" si="83"/>
        <v>0</v>
      </c>
      <c r="AI201" s="2">
        <f t="shared" si="84"/>
        <v>0</v>
      </c>
      <c r="AJ201" s="2">
        <f t="shared" si="85"/>
        <v>0</v>
      </c>
      <c r="AK201" s="2">
        <f t="shared" si="86"/>
        <v>0</v>
      </c>
      <c r="AL201" s="2">
        <f t="shared" si="87"/>
        <v>0</v>
      </c>
      <c r="AM201" s="2">
        <f t="shared" si="88"/>
        <v>0</v>
      </c>
      <c r="AN201" s="2">
        <f t="shared" si="89"/>
        <v>0</v>
      </c>
      <c r="AO201" s="3">
        <f t="shared" si="90"/>
        <v>0.1</v>
      </c>
      <c r="AP201">
        <f t="shared" si="91"/>
        <v>0</v>
      </c>
      <c r="AQ201">
        <f t="shared" si="92"/>
        <v>0.1</v>
      </c>
      <c r="AR201">
        <f t="shared" si="93"/>
        <v>0</v>
      </c>
      <c r="AS201" s="2">
        <f t="shared" si="94"/>
        <v>0</v>
      </c>
      <c r="AT201" s="2">
        <f>IFERROR(INDEX(Player_Model!$BC$2:$BC$596,MATCH($A201,Player_Model!$A$2:$A$596,0)),0)</f>
        <v>-0.81223041223041237</v>
      </c>
      <c r="AU201" s="2">
        <f>Table8[[#This Row],[Model Expected Points]]*Table8[[#This Row],[Fixture Adjustment]]</f>
        <v>-0.79166189106238261</v>
      </c>
      <c r="AV201" s="2">
        <f>Table8[[#This Row],[Fixture Adjusted Points / 90]]/Table8[[#This Row],[Price]]</f>
        <v>-0.19791547276559565</v>
      </c>
      <c r="AW201">
        <f t="shared" si="95"/>
        <v>0</v>
      </c>
      <c r="AX201">
        <f t="shared" si="96"/>
        <v>0.48733824733824738</v>
      </c>
      <c r="AY201" s="2">
        <f t="shared" si="97"/>
        <v>0</v>
      </c>
      <c r="AZ201" s="5">
        <f t="shared" si="98"/>
        <v>0.97467649467649475</v>
      </c>
      <c r="BA201">
        <f>Table8[[#This Row],[Model Score2]]</f>
        <v>-0.81223041223041237</v>
      </c>
      <c r="BB201">
        <f>IFERROR(INDEX(Player_Model!$BG$2:$BG$596,MATCH($A201,Player_Model!$A$2:$A$596,0)),"")</f>
        <v>154</v>
      </c>
      <c r="BC201" t="str">
        <f t="shared" si="99"/>
        <v>AVOID</v>
      </c>
      <c r="BD201">
        <f>IF(H201=1,Table8[[#This Row],[Model Score]],-10000)</f>
        <v>-0.81223041223041237</v>
      </c>
      <c r="BE201">
        <f>IFERROR(INDEX(Player_Model!$BF$2:$BF$596,MATCH($A201,Player_Model!$A$2:$A$596,0)),"")</f>
        <v>554</v>
      </c>
      <c r="BF201">
        <f>IFERROR(INDEX(Player_Model!$BG$2:$BG$596,MATCH($A201,Player_Model!$A$2:$A$596,0)),"")</f>
        <v>154</v>
      </c>
      <c r="BG201">
        <f>IFERROR(INDEX(Player_Model!$BE$2:$BE$596,MATCH($A201,Player_Model!$A$2:$A$596,0)),0)</f>
        <v>-0.81223041223041237</v>
      </c>
    </row>
    <row r="202" spans="1:59" x14ac:dyDescent="0.25">
      <c r="A202" t="str">
        <f>tblPlayers[first_name]&amp;" "&amp;tblPlayers[second_name]</f>
        <v>Luke Woolfenden</v>
      </c>
      <c r="B202" t="str">
        <f>_xlfn.SWITCH(tblPlayers[element_type],1,"GK",2,"DEF",3,"MID",4,"FWD")</f>
        <v>DEF</v>
      </c>
      <c r="C202">
        <f>tblPlayers[team]</f>
        <v>7</v>
      </c>
      <c r="D202" t="str">
        <f>INDEX(tblTeams[Column1.short_name],MATCH(C202,tblTeams[Column1.id],0))</f>
        <v>COV</v>
      </c>
      <c r="E202" s="4">
        <f>INDEX(FPL_Raw_Data!$F:$F,MATCH(A202,FPL_Raw_Data!$AA:$AA,0))/10</f>
        <v>4</v>
      </c>
      <c r="F202" s="4" t="str">
        <f>tblPlayers[[#This Row],[status]]</f>
        <v>i</v>
      </c>
      <c r="G202" s="4" t="b">
        <f>tblPlayers[[#This Row],[can_select]]</f>
        <v>1</v>
      </c>
      <c r="H202">
        <f>IF(AND(Table8[[#This Row],[Availability Status]]="a",Table8[[#This Row],[Can Select]]=TRUE),1,0)</f>
        <v>0</v>
      </c>
      <c r="I202">
        <f>tblPlayers[minutes]</f>
        <v>0</v>
      </c>
      <c r="J202" s="2">
        <f>Table8[[#This Row],[Minutes]]/90</f>
        <v>0</v>
      </c>
      <c r="K202" s="5">
        <f>IFERROR(Z202/(FIXTURE_ANALYSIS!$B$1-1),0)</f>
        <v>0</v>
      </c>
      <c r="L202">
        <f>tblPlayers[total_points]</f>
        <v>0</v>
      </c>
      <c r="M202">
        <f>tblPlayers[points_per_game]</f>
        <v>0</v>
      </c>
      <c r="N202">
        <f>tblPlayers[form]</f>
        <v>0</v>
      </c>
      <c r="O202">
        <f>tblPlayers[expected_goals]</f>
        <v>0</v>
      </c>
      <c r="P202">
        <f>tblPlayers[expected_assists]</f>
        <v>0</v>
      </c>
      <c r="Q202">
        <f>tblPlayers[expected_goal_involvements]</f>
        <v>0</v>
      </c>
      <c r="R202" s="2">
        <f t="shared" si="75"/>
        <v>0</v>
      </c>
      <c r="S202" s="5">
        <f t="shared" si="76"/>
        <v>0</v>
      </c>
      <c r="T202" s="5">
        <f t="shared" si="77"/>
        <v>0</v>
      </c>
      <c r="U202" s="5">
        <f t="shared" si="78"/>
        <v>0</v>
      </c>
      <c r="V202" s="3">
        <f t="shared" si="79"/>
        <v>0</v>
      </c>
      <c r="W202" s="5">
        <f t="shared" si="80"/>
        <v>0</v>
      </c>
      <c r="X202" s="5">
        <f>IFERROR(IF(OR($B202="MID",$B202="FWD"),INDEX(FIXTURE_ANALYSIS!$Q:$Q,MATCH($D202,FIXTURE_ANALYSIS!$A:$A,0)),INDEX(FIXTURE_ANALYSIS!$R:$R,MATCH($D202,FIXTURE_ANALYSIS!$A:$A,0))),1)</f>
        <v>0.97467649467649475</v>
      </c>
      <c r="Y202" s="5">
        <f t="shared" si="81"/>
        <v>0.97467649467649475</v>
      </c>
      <c r="Z202" s="8">
        <f>INDEX(FPL_Raw_Data!$T:$T,MATCH(A202,FPL_Raw_Data!$AA:$AA,0))</f>
        <v>0</v>
      </c>
      <c r="AA202" s="8">
        <f>INDEX(FPL_Raw_Data!$S:$S,MATCH(A202,FPL_Raw_Data!$AA:$AA,0))</f>
        <v>0</v>
      </c>
      <c r="AB202" s="2">
        <f t="shared" si="82"/>
        <v>0</v>
      </c>
      <c r="AC202" s="2">
        <f>INDEX(FPL_Raw_Data!$Q:$Q,MATCH(A202,FPL_Raw_Data!$AA:$AA,0))</f>
        <v>0</v>
      </c>
      <c r="AD202" s="8">
        <f>INDEX(FPL_Raw_Data!$R:$R,MATCH(A202,FPL_Raw_Data!$AA:$AA,0))</f>
        <v>0</v>
      </c>
      <c r="AE202" s="8">
        <f>INDEX(FPL_Raw_Data!$N:$N,MATCH(A202,FPL_Raw_Data!$AA:$AA,0))</f>
        <v>0</v>
      </c>
      <c r="AF202" s="8">
        <f>INDEX(FPL_Raw_Data!$L:$L,MATCH(A202,FPL_Raw_Data!$AA:$AA,0))</f>
        <v>0</v>
      </c>
      <c r="AG202" s="2">
        <f>INDEX(FPL_Raw_Data!$M:$M,MATCH(A202,FPL_Raw_Data!$AA:$AA,0))</f>
        <v>0</v>
      </c>
      <c r="AH202" s="2">
        <f t="shared" si="83"/>
        <v>0</v>
      </c>
      <c r="AI202" s="2">
        <f t="shared" si="84"/>
        <v>0</v>
      </c>
      <c r="AJ202" s="2">
        <f t="shared" si="85"/>
        <v>0</v>
      </c>
      <c r="AK202" s="2">
        <f t="shared" si="86"/>
        <v>0</v>
      </c>
      <c r="AL202" s="2">
        <f t="shared" si="87"/>
        <v>0</v>
      </c>
      <c r="AM202" s="2">
        <f t="shared" si="88"/>
        <v>0</v>
      </c>
      <c r="AN202" s="2">
        <f t="shared" si="89"/>
        <v>0</v>
      </c>
      <c r="AO202" s="3">
        <f t="shared" si="90"/>
        <v>0.1</v>
      </c>
      <c r="AP202">
        <f t="shared" si="91"/>
        <v>0</v>
      </c>
      <c r="AQ202">
        <f t="shared" si="92"/>
        <v>0.1</v>
      </c>
      <c r="AR202">
        <f t="shared" si="93"/>
        <v>0</v>
      </c>
      <c r="AS202" s="2">
        <f t="shared" si="94"/>
        <v>0</v>
      </c>
      <c r="AT202" s="2">
        <f>IFERROR(INDEX(Player_Model!$BC$2:$BC$596,MATCH($A202,Player_Model!$A$2:$A$596,0)),0)</f>
        <v>-0.81223041223041237</v>
      </c>
      <c r="AU202" s="2">
        <f>Table8[[#This Row],[Model Expected Points]]*Table8[[#This Row],[Fixture Adjustment]]</f>
        <v>-0.79166189106238261</v>
      </c>
      <c r="AV202" s="2">
        <f>Table8[[#This Row],[Fixture Adjusted Points / 90]]/Table8[[#This Row],[Price]]</f>
        <v>-0.19791547276559565</v>
      </c>
      <c r="AW202">
        <f t="shared" si="95"/>
        <v>0</v>
      </c>
      <c r="AX202">
        <f t="shared" si="96"/>
        <v>0.48733824733824738</v>
      </c>
      <c r="AY202" s="2">
        <f t="shared" si="97"/>
        <v>0</v>
      </c>
      <c r="AZ202" s="5">
        <f t="shared" si="98"/>
        <v>0.97467649467649475</v>
      </c>
      <c r="BA202">
        <f>Table8[[#This Row],[Model Score2]]</f>
        <v>-0.81223041223041237</v>
      </c>
      <c r="BB202">
        <f>IFERROR(INDEX(Player_Model!$BG$2:$BG$596,MATCH($A202,Player_Model!$A$2:$A$596,0)),"")</f>
        <v>155</v>
      </c>
      <c r="BC202" t="str">
        <f t="shared" si="99"/>
        <v>AVOID</v>
      </c>
      <c r="BD202">
        <f>IF(H202=1,Table8[[#This Row],[Model Score]],-10000)</f>
        <v>-10000</v>
      </c>
      <c r="BE202">
        <f>IFERROR(INDEX(Player_Model!$BF$2:$BF$596,MATCH($A202,Player_Model!$A$2:$A$596,0)),"")</f>
        <v>554</v>
      </c>
      <c r="BF202">
        <f>IFERROR(INDEX(Player_Model!$BG$2:$BG$596,MATCH($A202,Player_Model!$A$2:$A$596,0)),"")</f>
        <v>155</v>
      </c>
      <c r="BG202">
        <f>IFERROR(INDEX(Player_Model!$BE$2:$BE$596,MATCH($A202,Player_Model!$A$2:$A$596,0)),0)</f>
        <v>-0.81223041223041237</v>
      </c>
    </row>
    <row r="203" spans="1:59" x14ac:dyDescent="0.25">
      <c r="A203" t="str">
        <f>tblPlayers[first_name]&amp;" "&amp;tblPlayers[second_name]</f>
        <v>Miguel Brau</v>
      </c>
      <c r="B203" t="str">
        <f>_xlfn.SWITCH(tblPlayers[element_type],1,"GK",2,"DEF",3,"MID",4,"FWD")</f>
        <v>DEF</v>
      </c>
      <c r="C203">
        <f>tblPlayers[team]</f>
        <v>7</v>
      </c>
      <c r="D203" t="str">
        <f>INDEX(tblTeams[Column1.short_name],MATCH(C203,tblTeams[Column1.id],0))</f>
        <v>COV</v>
      </c>
      <c r="E203" s="4">
        <f>INDEX(FPL_Raw_Data!$F:$F,MATCH(A203,FPL_Raw_Data!$AA:$AA,0))/10</f>
        <v>4</v>
      </c>
      <c r="F203" s="4" t="str">
        <f>tblPlayers[[#This Row],[status]]</f>
        <v>u</v>
      </c>
      <c r="G203" s="4" t="b">
        <f>tblPlayers[[#This Row],[can_select]]</f>
        <v>0</v>
      </c>
      <c r="H203">
        <f>IF(AND(Table8[[#This Row],[Availability Status]]="a",Table8[[#This Row],[Can Select]]=TRUE),1,0)</f>
        <v>0</v>
      </c>
      <c r="I203">
        <f>tblPlayers[minutes]</f>
        <v>0</v>
      </c>
      <c r="J203" s="2">
        <f>Table8[[#This Row],[Minutes]]/90</f>
        <v>0</v>
      </c>
      <c r="K203" s="5">
        <f>IFERROR(Z203/(FIXTURE_ANALYSIS!$B$1-1),0)</f>
        <v>0</v>
      </c>
      <c r="L203">
        <f>tblPlayers[total_points]</f>
        <v>0</v>
      </c>
      <c r="M203">
        <f>tblPlayers[points_per_game]</f>
        <v>0</v>
      </c>
      <c r="N203">
        <f>tblPlayers[form]</f>
        <v>0</v>
      </c>
      <c r="O203">
        <f>tblPlayers[expected_goals]</f>
        <v>0</v>
      </c>
      <c r="P203">
        <f>tblPlayers[expected_assists]</f>
        <v>0</v>
      </c>
      <c r="Q203">
        <f>tblPlayers[expected_goal_involvements]</f>
        <v>0</v>
      </c>
      <c r="R203" s="2">
        <f t="shared" si="75"/>
        <v>0</v>
      </c>
      <c r="S203" s="5">
        <f t="shared" si="76"/>
        <v>0</v>
      </c>
      <c r="T203" s="5">
        <f t="shared" si="77"/>
        <v>0</v>
      </c>
      <c r="U203" s="5">
        <f t="shared" si="78"/>
        <v>0</v>
      </c>
      <c r="V203" s="3">
        <f t="shared" si="79"/>
        <v>0</v>
      </c>
      <c r="W203" s="5">
        <f t="shared" si="80"/>
        <v>0</v>
      </c>
      <c r="X203" s="5">
        <f>IFERROR(IF(OR($B203="MID",$B203="FWD"),INDEX(FIXTURE_ANALYSIS!$Q:$Q,MATCH($D203,FIXTURE_ANALYSIS!$A:$A,0)),INDEX(FIXTURE_ANALYSIS!$R:$R,MATCH($D203,FIXTURE_ANALYSIS!$A:$A,0))),1)</f>
        <v>0.97467649467649475</v>
      </c>
      <c r="Y203" s="5">
        <f t="shared" si="81"/>
        <v>0.97467649467649475</v>
      </c>
      <c r="Z203" s="8">
        <f>INDEX(FPL_Raw_Data!$T:$T,MATCH(A203,FPL_Raw_Data!$AA:$AA,0))</f>
        <v>0</v>
      </c>
      <c r="AA203" s="8">
        <f>INDEX(FPL_Raw_Data!$S:$S,MATCH(A203,FPL_Raw_Data!$AA:$AA,0))</f>
        <v>0</v>
      </c>
      <c r="AB203" s="2">
        <f t="shared" si="82"/>
        <v>0</v>
      </c>
      <c r="AC203" s="2">
        <f>INDEX(FPL_Raw_Data!$Q:$Q,MATCH(A203,FPL_Raw_Data!$AA:$AA,0))</f>
        <v>0</v>
      </c>
      <c r="AD203" s="8">
        <f>INDEX(FPL_Raw_Data!$R:$R,MATCH(A203,FPL_Raw_Data!$AA:$AA,0))</f>
        <v>0</v>
      </c>
      <c r="AE203" s="8">
        <f>INDEX(FPL_Raw_Data!$N:$N,MATCH(A203,FPL_Raw_Data!$AA:$AA,0))</f>
        <v>0</v>
      </c>
      <c r="AF203" s="8">
        <f>INDEX(FPL_Raw_Data!$L:$L,MATCH(A203,FPL_Raw_Data!$AA:$AA,0))</f>
        <v>0</v>
      </c>
      <c r="AG203" s="2">
        <f>INDEX(FPL_Raw_Data!$M:$M,MATCH(A203,FPL_Raw_Data!$AA:$AA,0))</f>
        <v>0</v>
      </c>
      <c r="AH203" s="2">
        <f t="shared" si="83"/>
        <v>0</v>
      </c>
      <c r="AI203" s="2">
        <f t="shared" si="84"/>
        <v>0</v>
      </c>
      <c r="AJ203" s="2">
        <f t="shared" si="85"/>
        <v>0</v>
      </c>
      <c r="AK203" s="2">
        <f t="shared" si="86"/>
        <v>0</v>
      </c>
      <c r="AL203" s="2">
        <f t="shared" si="87"/>
        <v>0</v>
      </c>
      <c r="AM203" s="2">
        <f t="shared" si="88"/>
        <v>0</v>
      </c>
      <c r="AN203" s="2">
        <f t="shared" si="89"/>
        <v>0</v>
      </c>
      <c r="AO203" s="3">
        <f t="shared" si="90"/>
        <v>0.1</v>
      </c>
      <c r="AP203">
        <f t="shared" si="91"/>
        <v>0</v>
      </c>
      <c r="AQ203">
        <f t="shared" si="92"/>
        <v>0.1</v>
      </c>
      <c r="AR203">
        <f t="shared" si="93"/>
        <v>0</v>
      </c>
      <c r="AS203" s="2">
        <f t="shared" si="94"/>
        <v>0</v>
      </c>
      <c r="AT203" s="2">
        <f>IFERROR(INDEX(Player_Model!$BC$2:$BC$596,MATCH($A203,Player_Model!$A$2:$A$596,0)),0)</f>
        <v>-0.81223041223041237</v>
      </c>
      <c r="AU203" s="2">
        <f>Table8[[#This Row],[Model Expected Points]]*Table8[[#This Row],[Fixture Adjustment]]</f>
        <v>-0.79166189106238261</v>
      </c>
      <c r="AV203" s="2">
        <f>Table8[[#This Row],[Fixture Adjusted Points / 90]]/Table8[[#This Row],[Price]]</f>
        <v>-0.19791547276559565</v>
      </c>
      <c r="AW203">
        <f t="shared" si="95"/>
        <v>0</v>
      </c>
      <c r="AX203">
        <f t="shared" si="96"/>
        <v>0.48733824733824738</v>
      </c>
      <c r="AY203" s="2">
        <f t="shared" si="97"/>
        <v>0</v>
      </c>
      <c r="AZ203" s="5">
        <f t="shared" si="98"/>
        <v>0.97467649467649475</v>
      </c>
      <c r="BA203">
        <f>Table8[[#This Row],[Model Score2]]</f>
        <v>-0.81223041223041237</v>
      </c>
      <c r="BB203">
        <f>IFERROR(INDEX(Player_Model!$BG$2:$BG$596,MATCH($A203,Player_Model!$A$2:$A$596,0)),"")</f>
        <v>156</v>
      </c>
      <c r="BC203" t="str">
        <f t="shared" si="99"/>
        <v>AVOID</v>
      </c>
      <c r="BD203">
        <f>IF(H203=1,Table8[[#This Row],[Model Score]],-10000)</f>
        <v>-10000</v>
      </c>
      <c r="BE203">
        <f>IFERROR(INDEX(Player_Model!$BF$2:$BF$596,MATCH($A203,Player_Model!$A$2:$A$596,0)),"")</f>
        <v>554</v>
      </c>
      <c r="BF203">
        <f>IFERROR(INDEX(Player_Model!$BG$2:$BG$596,MATCH($A203,Player_Model!$A$2:$A$596,0)),"")</f>
        <v>156</v>
      </c>
      <c r="BG203">
        <f>IFERROR(INDEX(Player_Model!$BE$2:$BE$596,MATCH($A203,Player_Model!$A$2:$A$596,0)),0)</f>
        <v>-0.81223041223041237</v>
      </c>
    </row>
    <row r="204" spans="1:59" x14ac:dyDescent="0.25">
      <c r="A204" t="str">
        <f>tblPlayers[first_name]&amp;" "&amp;tblPlayers[second_name]</f>
        <v>Aurèle Amenda</v>
      </c>
      <c r="B204" t="str">
        <f>_xlfn.SWITCH(tblPlayers[element_type],1,"GK",2,"DEF",3,"MID",4,"FWD")</f>
        <v>DEF</v>
      </c>
      <c r="C204">
        <f>tblPlayers[team]</f>
        <v>7</v>
      </c>
      <c r="D204" t="str">
        <f>INDEX(tblTeams[Column1.short_name],MATCH(C204,tblTeams[Column1.id],0))</f>
        <v>COV</v>
      </c>
      <c r="E204" s="4">
        <f>INDEX(FPL_Raw_Data!$F:$F,MATCH(A204,FPL_Raw_Data!$AA:$AA,0))/10</f>
        <v>4</v>
      </c>
      <c r="F204" s="4" t="str">
        <f>tblPlayers[[#This Row],[status]]</f>
        <v>a</v>
      </c>
      <c r="G204" s="4" t="b">
        <f>tblPlayers[[#This Row],[can_select]]</f>
        <v>1</v>
      </c>
      <c r="H204">
        <f>IF(AND(Table8[[#This Row],[Availability Status]]="a",Table8[[#This Row],[Can Select]]=TRUE),1,0)</f>
        <v>1</v>
      </c>
      <c r="I204">
        <f>tblPlayers[minutes]</f>
        <v>270</v>
      </c>
      <c r="J204" s="2">
        <f>Table8[[#This Row],[Minutes]]/90</f>
        <v>3</v>
      </c>
      <c r="K204" s="5">
        <f>IFERROR(Z204/(FIXTURE_ANALYSIS!$B$1-1),0)</f>
        <v>1</v>
      </c>
      <c r="L204">
        <f>tblPlayers[total_points]</f>
        <v>4</v>
      </c>
      <c r="M204">
        <f>tblPlayers[points_per_game]</f>
        <v>1.3</v>
      </c>
      <c r="N204">
        <f>tblPlayers[form]</f>
        <v>1.3</v>
      </c>
      <c r="O204">
        <f>tblPlayers[expected_goals]</f>
        <v>0.02</v>
      </c>
      <c r="P204">
        <f>tblPlayers[expected_assists]</f>
        <v>0.39</v>
      </c>
      <c r="Q204">
        <f>tblPlayers[expected_goal_involvements]</f>
        <v>0.41</v>
      </c>
      <c r="R204" s="2">
        <f t="shared" si="75"/>
        <v>1.3333333333333335</v>
      </c>
      <c r="S204" s="5">
        <f t="shared" si="76"/>
        <v>6.6666666666666662E-3</v>
      </c>
      <c r="T204" s="5">
        <f t="shared" si="77"/>
        <v>0.13</v>
      </c>
      <c r="U204" s="5">
        <f t="shared" si="78"/>
        <v>0.13666666666666666</v>
      </c>
      <c r="V204" s="3">
        <f t="shared" si="79"/>
        <v>1</v>
      </c>
      <c r="W204" s="5">
        <f t="shared" si="80"/>
        <v>0.10249999999999999</v>
      </c>
      <c r="X204" s="5">
        <f>IFERROR(IF(OR($B204="MID",$B204="FWD"),INDEX(FIXTURE_ANALYSIS!$Q:$Q,MATCH($D204,FIXTURE_ANALYSIS!$A:$A,0)),INDEX(FIXTURE_ANALYSIS!$R:$R,MATCH($D204,FIXTURE_ANALYSIS!$A:$A,0))),1)</f>
        <v>0.97467649467649475</v>
      </c>
      <c r="Y204" s="5">
        <f t="shared" si="81"/>
        <v>0.97467649467649475</v>
      </c>
      <c r="Z204" s="8">
        <f>INDEX(FPL_Raw_Data!$T:$T,MATCH(A204,FPL_Raw_Data!$AA:$AA,0))</f>
        <v>3</v>
      </c>
      <c r="AA204" s="8">
        <f>INDEX(FPL_Raw_Data!$S:$S,MATCH(A204,FPL_Raw_Data!$AA:$AA,0))</f>
        <v>16</v>
      </c>
      <c r="AB204" s="2">
        <f t="shared" si="82"/>
        <v>1</v>
      </c>
      <c r="AC204" s="2">
        <f>INDEX(FPL_Raw_Data!$Q:$Q,MATCH(A204,FPL_Raw_Data!$AA:$AA,0))</f>
        <v>0</v>
      </c>
      <c r="AD204" s="8">
        <f>INDEX(FPL_Raw_Data!$R:$R,MATCH(A204,FPL_Raw_Data!$AA:$AA,0))</f>
        <v>9</v>
      </c>
      <c r="AE204" s="8">
        <f>INDEX(FPL_Raw_Data!$N:$N,MATCH(A204,FPL_Raw_Data!$AA:$AA,0))</f>
        <v>0</v>
      </c>
      <c r="AF204" s="8">
        <f>INDEX(FPL_Raw_Data!$L:$L,MATCH(A204,FPL_Raw_Data!$AA:$AA,0))</f>
        <v>0</v>
      </c>
      <c r="AG204" s="2">
        <f>INDEX(FPL_Raw_Data!$M:$M,MATCH(A204,FPL_Raw_Data!$AA:$AA,0))</f>
        <v>0</v>
      </c>
      <c r="AH204" s="2">
        <f t="shared" si="83"/>
        <v>3.9999999999999994E-2</v>
      </c>
      <c r="AI204" s="2">
        <f t="shared" si="84"/>
        <v>0.39</v>
      </c>
      <c r="AJ204" s="2">
        <f t="shared" si="85"/>
        <v>2</v>
      </c>
      <c r="AK204" s="2">
        <f t="shared" si="86"/>
        <v>2</v>
      </c>
      <c r="AL204" s="2">
        <f t="shared" si="87"/>
        <v>0</v>
      </c>
      <c r="AM204" s="2">
        <f t="shared" si="88"/>
        <v>0</v>
      </c>
      <c r="AN204" s="2">
        <f t="shared" si="89"/>
        <v>0</v>
      </c>
      <c r="AO204" s="3">
        <f t="shared" si="90"/>
        <v>43.4</v>
      </c>
      <c r="AP204">
        <f t="shared" si="91"/>
        <v>71.5</v>
      </c>
      <c r="AQ204">
        <f t="shared" si="92"/>
        <v>68.600000000000009</v>
      </c>
      <c r="AR204">
        <f t="shared" si="93"/>
        <v>84.5</v>
      </c>
      <c r="AS204" s="2">
        <f t="shared" si="94"/>
        <v>100</v>
      </c>
      <c r="AT204" s="2">
        <f>IFERROR(INDEX(Player_Model!$BC$2:$BC$596,MATCH($A204,Player_Model!$A$2:$A$596,0)),0)</f>
        <v>2.5958883974883977</v>
      </c>
      <c r="AU204" s="2">
        <f>Table8[[#This Row],[Model Expected Points]]*Table8[[#This Row],[Fixture Adjustment]]</f>
        <v>2.530151403835375</v>
      </c>
      <c r="AV204" s="2">
        <f>Table8[[#This Row],[Fixture Adjusted Points / 90]]/Table8[[#This Row],[Price]]</f>
        <v>0.63253785095884374</v>
      </c>
      <c r="AW204">
        <f t="shared" si="95"/>
        <v>71.5</v>
      </c>
      <c r="AX204">
        <f t="shared" si="96"/>
        <v>0.98733824733824738</v>
      </c>
      <c r="AY204" s="2">
        <f t="shared" si="97"/>
        <v>100</v>
      </c>
      <c r="AZ204" s="5">
        <f t="shared" si="98"/>
        <v>0.97467649467649475</v>
      </c>
      <c r="BA204">
        <f>Table8[[#This Row],[Model Score2]]</f>
        <v>2.5958883974883977</v>
      </c>
      <c r="BB204">
        <f>IFERROR(INDEX(Player_Model!$BG$2:$BG$596,MATCH($A204,Player_Model!$A$2:$A$596,0)),"")</f>
        <v>71</v>
      </c>
      <c r="BC204" t="str">
        <f t="shared" si="99"/>
        <v>AVOID</v>
      </c>
      <c r="BD204">
        <f>IF(H204=1,Table8[[#This Row],[Model Score]],-10000)</f>
        <v>2.5958883974883977</v>
      </c>
      <c r="BE204">
        <f>IFERROR(INDEX(Player_Model!$BF$2:$BF$596,MATCH($A204,Player_Model!$A$2:$A$596,0)),"")</f>
        <v>220</v>
      </c>
      <c r="BF204">
        <f>IFERROR(INDEX(Player_Model!$BG$2:$BG$596,MATCH($A204,Player_Model!$A$2:$A$596,0)),"")</f>
        <v>71</v>
      </c>
      <c r="BG204">
        <f>IFERROR(INDEX(Player_Model!$BE$2:$BE$596,MATCH($A204,Player_Model!$A$2:$A$596,0)),0)</f>
        <v>2.5958883974883977</v>
      </c>
    </row>
    <row r="205" spans="1:59" x14ac:dyDescent="0.25">
      <c r="A205" t="str">
        <f>tblPlayers[first_name]&amp;" "&amp;tblPlayers[second_name]</f>
        <v>Jack Rudoni</v>
      </c>
      <c r="B205" t="str">
        <f>_xlfn.SWITCH(tblPlayers[element_type],1,"GK",2,"DEF",3,"MID",4,"FWD")</f>
        <v>MID</v>
      </c>
      <c r="C205">
        <f>tblPlayers[team]</f>
        <v>7</v>
      </c>
      <c r="D205" t="str">
        <f>INDEX(tblTeams[Column1.short_name],MATCH(C205,tblTeams[Column1.id],0))</f>
        <v>COV</v>
      </c>
      <c r="E205" s="4">
        <f>INDEX(FPL_Raw_Data!$F:$F,MATCH(A205,FPL_Raw_Data!$AA:$AA,0))/10</f>
        <v>5</v>
      </c>
      <c r="F205" s="4" t="str">
        <f>tblPlayers[[#This Row],[status]]</f>
        <v>a</v>
      </c>
      <c r="G205" s="4" t="b">
        <f>tblPlayers[[#This Row],[can_select]]</f>
        <v>1</v>
      </c>
      <c r="H205">
        <f>IF(AND(Table8[[#This Row],[Availability Status]]="a",Table8[[#This Row],[Can Select]]=TRUE),1,0)</f>
        <v>1</v>
      </c>
      <c r="I205">
        <f>tblPlayers[minutes]</f>
        <v>152</v>
      </c>
      <c r="J205" s="2">
        <f>Table8[[#This Row],[Minutes]]/90</f>
        <v>1.6888888888888889</v>
      </c>
      <c r="K205" s="5">
        <f>IFERROR(Z205/(FIXTURE_ANALYSIS!$B$1-1),0)</f>
        <v>0.66666666666666663</v>
      </c>
      <c r="L205">
        <f>tblPlayers[total_points]</f>
        <v>6</v>
      </c>
      <c r="M205">
        <f>tblPlayers[points_per_game]</f>
        <v>2</v>
      </c>
      <c r="N205">
        <f>tblPlayers[form]</f>
        <v>2</v>
      </c>
      <c r="O205">
        <f>tblPlayers[expected_goals]</f>
        <v>0.5</v>
      </c>
      <c r="P205">
        <f>tblPlayers[expected_assists]</f>
        <v>0.18</v>
      </c>
      <c r="Q205">
        <f>tblPlayers[expected_goal_involvements]</f>
        <v>0.68</v>
      </c>
      <c r="R205" s="2">
        <f t="shared" si="75"/>
        <v>3.5526315789473681</v>
      </c>
      <c r="S205" s="5">
        <f t="shared" si="76"/>
        <v>0.29605263157894735</v>
      </c>
      <c r="T205" s="5">
        <f t="shared" si="77"/>
        <v>0.10657894736842104</v>
      </c>
      <c r="U205" s="5">
        <f t="shared" si="78"/>
        <v>0.40263157894736845</v>
      </c>
      <c r="V205" s="3">
        <f t="shared" si="79"/>
        <v>1.2</v>
      </c>
      <c r="W205" s="5">
        <f t="shared" si="80"/>
        <v>0.13600000000000001</v>
      </c>
      <c r="X205" s="5">
        <f>IFERROR(IF(OR($B205="MID",$B205="FWD"),INDEX(FIXTURE_ANALYSIS!$Q:$Q,MATCH($D205,FIXTURE_ANALYSIS!$A:$A,0)),INDEX(FIXTURE_ANALYSIS!$R:$R,MATCH($D205,FIXTURE_ANALYSIS!$A:$A,0))),1)</f>
        <v>0.8</v>
      </c>
      <c r="Y205" s="5">
        <f t="shared" si="81"/>
        <v>0.8</v>
      </c>
      <c r="Z205" s="8">
        <f>INDEX(FPL_Raw_Data!$T:$T,MATCH(A205,FPL_Raw_Data!$AA:$AA,0))</f>
        <v>2</v>
      </c>
      <c r="AA205" s="8">
        <f>INDEX(FPL_Raw_Data!$S:$S,MATCH(A205,FPL_Raw_Data!$AA:$AA,0))</f>
        <v>16</v>
      </c>
      <c r="AB205" s="2">
        <f t="shared" si="82"/>
        <v>1</v>
      </c>
      <c r="AC205" s="2">
        <f>INDEX(FPL_Raw_Data!$Q:$Q,MATCH(A205,FPL_Raw_Data!$AA:$AA,0))</f>
        <v>0</v>
      </c>
      <c r="AD205" s="8">
        <f>INDEX(FPL_Raw_Data!$R:$R,MATCH(A205,FPL_Raw_Data!$AA:$AA,0))</f>
        <v>24</v>
      </c>
      <c r="AE205" s="8">
        <f>INDEX(FPL_Raw_Data!$N:$N,MATCH(A205,FPL_Raw_Data!$AA:$AA,0))</f>
        <v>1</v>
      </c>
      <c r="AF205" s="8">
        <f>INDEX(FPL_Raw_Data!$L:$L,MATCH(A205,FPL_Raw_Data!$AA:$AA,0))</f>
        <v>0</v>
      </c>
      <c r="AG205" s="2">
        <f>INDEX(FPL_Raw_Data!$M:$M,MATCH(A205,FPL_Raw_Data!$AA:$AA,0))</f>
        <v>0</v>
      </c>
      <c r="AH205" s="2">
        <f t="shared" si="83"/>
        <v>1.4802631578947367</v>
      </c>
      <c r="AI205" s="2">
        <f t="shared" si="84"/>
        <v>0.3197368421052631</v>
      </c>
      <c r="AJ205" s="2">
        <f t="shared" si="85"/>
        <v>1.3333333333333333</v>
      </c>
      <c r="AK205" s="2">
        <f t="shared" si="86"/>
        <v>2</v>
      </c>
      <c r="AL205" s="2">
        <f t="shared" si="87"/>
        <v>0.5</v>
      </c>
      <c r="AM205" s="2">
        <f t="shared" si="88"/>
        <v>0.5</v>
      </c>
      <c r="AN205" s="2">
        <f t="shared" si="89"/>
        <v>0</v>
      </c>
      <c r="AO205" s="3">
        <f t="shared" si="90"/>
        <v>65.900000000000006</v>
      </c>
      <c r="AP205">
        <f t="shared" si="91"/>
        <v>88.5</v>
      </c>
      <c r="AQ205">
        <f t="shared" si="92"/>
        <v>72.2</v>
      </c>
      <c r="AR205">
        <f t="shared" si="93"/>
        <v>89.5</v>
      </c>
      <c r="AS205" s="2">
        <f t="shared" si="94"/>
        <v>66.666666666666657</v>
      </c>
      <c r="AT205" s="2">
        <f>IFERROR(INDEX(Player_Model!$BC$2:$BC$596,MATCH($A205,Player_Model!$A$2:$A$596,0)),0)</f>
        <v>4.703157894736842</v>
      </c>
      <c r="AU205" s="2">
        <f>Table8[[#This Row],[Model Expected Points]]*Table8[[#This Row],[Fixture Adjustment]]</f>
        <v>3.7625263157894739</v>
      </c>
      <c r="AV205" s="2">
        <f>Table8[[#This Row],[Fixture Adjusted Points / 90]]/Table8[[#This Row],[Price]]</f>
        <v>0.75250526315789479</v>
      </c>
      <c r="AW205">
        <f t="shared" si="95"/>
        <v>77.2</v>
      </c>
      <c r="AX205">
        <f t="shared" si="96"/>
        <v>1</v>
      </c>
      <c r="AY205" s="2">
        <f t="shared" si="97"/>
        <v>66.666666666666657</v>
      </c>
      <c r="AZ205" s="5">
        <f t="shared" si="98"/>
        <v>0.8</v>
      </c>
      <c r="BA205">
        <f>Table8[[#This Row],[Model Score2]]</f>
        <v>4.703157894736842</v>
      </c>
      <c r="BB205">
        <f>IFERROR(INDEX(Player_Model!$BG$2:$BG$596,MATCH($A205,Player_Model!$A$2:$A$596,0)),"")</f>
        <v>53</v>
      </c>
      <c r="BC205" t="str">
        <f t="shared" si="99"/>
        <v>AVOID</v>
      </c>
      <c r="BD205">
        <f>IF(H205=1,Table8[[#This Row],[Model Score]],-10000)</f>
        <v>4.703157894736842</v>
      </c>
      <c r="BE205">
        <f>IFERROR(INDEX(Player_Model!$BF$2:$BF$596,MATCH($A205,Player_Model!$A$2:$A$596,0)),"")</f>
        <v>113</v>
      </c>
      <c r="BF205">
        <f>IFERROR(INDEX(Player_Model!$BG$2:$BG$596,MATCH($A205,Player_Model!$A$2:$A$596,0)),"")</f>
        <v>53</v>
      </c>
      <c r="BG205">
        <f>IFERROR(INDEX(Player_Model!$BE$2:$BE$596,MATCH($A205,Player_Model!$A$2:$A$596,0)),0)</f>
        <v>4.703157894736842</v>
      </c>
    </row>
    <row r="206" spans="1:59" x14ac:dyDescent="0.25">
      <c r="A206" t="str">
        <f>tblPlayers[first_name]&amp;" "&amp;tblPlayers[second_name]</f>
        <v>Matt Grimes</v>
      </c>
      <c r="B206" t="str">
        <f>_xlfn.SWITCH(tblPlayers[element_type],1,"GK",2,"DEF",3,"MID",4,"FWD")</f>
        <v>MID</v>
      </c>
      <c r="C206">
        <f>tblPlayers[team]</f>
        <v>7</v>
      </c>
      <c r="D206" t="str">
        <f>INDEX(tblTeams[Column1.short_name],MATCH(C206,tblTeams[Column1.id],0))</f>
        <v>COV</v>
      </c>
      <c r="E206" s="4">
        <f>INDEX(FPL_Raw_Data!$F:$F,MATCH(A206,FPL_Raw_Data!$AA:$AA,0))/10</f>
        <v>5</v>
      </c>
      <c r="F206" s="4" t="str">
        <f>tblPlayers[[#This Row],[status]]</f>
        <v>a</v>
      </c>
      <c r="G206" s="4" t="b">
        <f>tblPlayers[[#This Row],[can_select]]</f>
        <v>1</v>
      </c>
      <c r="H206">
        <f>IF(AND(Table8[[#This Row],[Availability Status]]="a",Table8[[#This Row],[Can Select]]=TRUE),1,0)</f>
        <v>1</v>
      </c>
      <c r="I206">
        <f>tblPlayers[minutes]</f>
        <v>270</v>
      </c>
      <c r="J206" s="2">
        <f>Table8[[#This Row],[Minutes]]/90</f>
        <v>3</v>
      </c>
      <c r="K206" s="5">
        <f>IFERROR(Z206/(FIXTURE_ANALYSIS!$B$1-1),0)</f>
        <v>1</v>
      </c>
      <c r="L206">
        <f>tblPlayers[total_points]</f>
        <v>6</v>
      </c>
      <c r="M206">
        <f>tblPlayers[points_per_game]</f>
        <v>2</v>
      </c>
      <c r="N206">
        <f>tblPlayers[form]</f>
        <v>2</v>
      </c>
      <c r="O206">
        <f>tblPlayers[expected_goals]</f>
        <v>0.05</v>
      </c>
      <c r="P206">
        <f>tblPlayers[expected_assists]</f>
        <v>0.05</v>
      </c>
      <c r="Q206">
        <f>tblPlayers[expected_goal_involvements]</f>
        <v>0.1</v>
      </c>
      <c r="R206" s="2">
        <f t="shared" si="75"/>
        <v>2</v>
      </c>
      <c r="S206" s="5">
        <f t="shared" si="76"/>
        <v>1.666666666666667E-2</v>
      </c>
      <c r="T206" s="5">
        <f t="shared" si="77"/>
        <v>1.666666666666667E-2</v>
      </c>
      <c r="U206" s="5">
        <f t="shared" si="78"/>
        <v>3.333333333333334E-2</v>
      </c>
      <c r="V206" s="3">
        <f t="shared" si="79"/>
        <v>1.2</v>
      </c>
      <c r="W206" s="5">
        <f t="shared" si="80"/>
        <v>0.02</v>
      </c>
      <c r="X206" s="5">
        <f>IFERROR(IF(OR($B206="MID",$B206="FWD"),INDEX(FIXTURE_ANALYSIS!$Q:$Q,MATCH($D206,FIXTURE_ANALYSIS!$A:$A,0)),INDEX(FIXTURE_ANALYSIS!$R:$R,MATCH($D206,FIXTURE_ANALYSIS!$A:$A,0))),1)</f>
        <v>0.8</v>
      </c>
      <c r="Y206" s="5">
        <f t="shared" si="81"/>
        <v>0.8</v>
      </c>
      <c r="Z206" s="8">
        <f>INDEX(FPL_Raw_Data!$T:$T,MATCH(A206,FPL_Raw_Data!$AA:$AA,0))</f>
        <v>3</v>
      </c>
      <c r="AA206" s="8">
        <f>INDEX(FPL_Raw_Data!$S:$S,MATCH(A206,FPL_Raw_Data!$AA:$AA,0))</f>
        <v>25</v>
      </c>
      <c r="AB206" s="2">
        <f t="shared" si="82"/>
        <v>1</v>
      </c>
      <c r="AC206" s="2">
        <f>INDEX(FPL_Raw_Data!$Q:$Q,MATCH(A206,FPL_Raw_Data!$AA:$AA,0))</f>
        <v>0</v>
      </c>
      <c r="AD206" s="8">
        <f>INDEX(FPL_Raw_Data!$R:$R,MATCH(A206,FPL_Raw_Data!$AA:$AA,0))</f>
        <v>36</v>
      </c>
      <c r="AE206" s="8">
        <f>INDEX(FPL_Raw_Data!$N:$N,MATCH(A206,FPL_Raw_Data!$AA:$AA,0))</f>
        <v>0</v>
      </c>
      <c r="AF206" s="8">
        <f>INDEX(FPL_Raw_Data!$L:$L,MATCH(A206,FPL_Raw_Data!$AA:$AA,0))</f>
        <v>0</v>
      </c>
      <c r="AG206" s="2">
        <f>INDEX(FPL_Raw_Data!$M:$M,MATCH(A206,FPL_Raw_Data!$AA:$AA,0))</f>
        <v>0</v>
      </c>
      <c r="AH206" s="2">
        <f t="shared" si="83"/>
        <v>8.3333333333333343E-2</v>
      </c>
      <c r="AI206" s="2">
        <f t="shared" si="84"/>
        <v>5.000000000000001E-2</v>
      </c>
      <c r="AJ206" s="2">
        <f t="shared" si="85"/>
        <v>2</v>
      </c>
      <c r="AK206" s="2">
        <f t="shared" si="86"/>
        <v>2</v>
      </c>
      <c r="AL206" s="2">
        <f t="shared" si="87"/>
        <v>0</v>
      </c>
      <c r="AM206" s="2">
        <f t="shared" si="88"/>
        <v>0</v>
      </c>
      <c r="AN206" s="2">
        <f t="shared" si="89"/>
        <v>0</v>
      </c>
      <c r="AO206" s="3">
        <f t="shared" si="90"/>
        <v>45.9</v>
      </c>
      <c r="AP206">
        <f t="shared" si="91"/>
        <v>57.999999999999993</v>
      </c>
      <c r="AQ206">
        <f t="shared" si="92"/>
        <v>72.2</v>
      </c>
      <c r="AR206">
        <f t="shared" si="93"/>
        <v>65.100000000000009</v>
      </c>
      <c r="AS206" s="2">
        <f t="shared" si="94"/>
        <v>100</v>
      </c>
      <c r="AT206" s="2">
        <f>IFERROR(INDEX(Player_Model!$BC$2:$BC$596,MATCH($A206,Player_Model!$A$2:$A$596,0)),0)</f>
        <v>2.8177777777777777</v>
      </c>
      <c r="AU206" s="2">
        <f>Table8[[#This Row],[Model Expected Points]]*Table8[[#This Row],[Fixture Adjustment]]</f>
        <v>2.2542222222222223</v>
      </c>
      <c r="AV206" s="2">
        <f>Table8[[#This Row],[Fixture Adjusted Points / 90]]/Table8[[#This Row],[Price]]</f>
        <v>0.45084444444444449</v>
      </c>
      <c r="AW206">
        <f t="shared" si="95"/>
        <v>51.949999999999996</v>
      </c>
      <c r="AX206">
        <f t="shared" si="96"/>
        <v>1</v>
      </c>
      <c r="AY206" s="2">
        <f t="shared" si="97"/>
        <v>100</v>
      </c>
      <c r="AZ206" s="5">
        <f t="shared" si="98"/>
        <v>0.8</v>
      </c>
      <c r="BA206">
        <f>Table8[[#This Row],[Model Score2]]</f>
        <v>2.8177777777777777</v>
      </c>
      <c r="BB206">
        <f>IFERROR(INDEX(Player_Model!$BG$2:$BG$596,MATCH($A206,Player_Model!$A$2:$A$596,0)),"")</f>
        <v>109</v>
      </c>
      <c r="BC206" t="str">
        <f t="shared" si="99"/>
        <v>AVOID</v>
      </c>
      <c r="BD206">
        <f>IF(H206=1,Table8[[#This Row],[Model Score]],-10000)</f>
        <v>2.8177777777777777</v>
      </c>
      <c r="BE206">
        <f>IFERROR(INDEX(Player_Model!$BF$2:$BF$596,MATCH($A206,Player_Model!$A$2:$A$596,0)),"")</f>
        <v>209</v>
      </c>
      <c r="BF206">
        <f>IFERROR(INDEX(Player_Model!$BG$2:$BG$596,MATCH($A206,Player_Model!$A$2:$A$596,0)),"")</f>
        <v>109</v>
      </c>
      <c r="BG206">
        <f>IFERROR(INDEX(Player_Model!$BE$2:$BE$596,MATCH($A206,Player_Model!$A$2:$A$596,0)),0)</f>
        <v>2.8177777777777777</v>
      </c>
    </row>
    <row r="207" spans="1:59" x14ac:dyDescent="0.25">
      <c r="A207" t="str">
        <f>tblPlayers[first_name]&amp;" "&amp;tblPlayers[second_name]</f>
        <v>Tatsuhiro Sakamoto</v>
      </c>
      <c r="B207" t="str">
        <f>_xlfn.SWITCH(tblPlayers[element_type],1,"GK",2,"DEF",3,"MID",4,"FWD")</f>
        <v>MID</v>
      </c>
      <c r="C207">
        <f>tblPlayers[team]</f>
        <v>7</v>
      </c>
      <c r="D207" t="str">
        <f>INDEX(tblTeams[Column1.short_name],MATCH(C207,tblTeams[Column1.id],0))</f>
        <v>COV</v>
      </c>
      <c r="E207" s="4">
        <f>INDEX(FPL_Raw_Data!$F:$F,MATCH(A207,FPL_Raw_Data!$AA:$AA,0))/10</f>
        <v>4.9000000000000004</v>
      </c>
      <c r="F207" s="4" t="str">
        <f>tblPlayers[[#This Row],[status]]</f>
        <v>a</v>
      </c>
      <c r="G207" s="4" t="b">
        <f>tblPlayers[[#This Row],[can_select]]</f>
        <v>1</v>
      </c>
      <c r="H207">
        <f>IF(AND(Table8[[#This Row],[Availability Status]]="a",Table8[[#This Row],[Can Select]]=TRUE),1,0)</f>
        <v>1</v>
      </c>
      <c r="I207">
        <f>tblPlayers[minutes]</f>
        <v>31</v>
      </c>
      <c r="J207" s="2">
        <f>Table8[[#This Row],[Minutes]]/90</f>
        <v>0.34444444444444444</v>
      </c>
      <c r="K207" s="5">
        <f>IFERROR(Z207/(FIXTURE_ANALYSIS!$B$1-1),0)</f>
        <v>0</v>
      </c>
      <c r="L207">
        <f>tblPlayers[total_points]</f>
        <v>1</v>
      </c>
      <c r="M207">
        <f>tblPlayers[points_per_game]</f>
        <v>1</v>
      </c>
      <c r="N207">
        <f>tblPlayers[form]</f>
        <v>0.3</v>
      </c>
      <c r="O207">
        <f>tblPlayers[expected_goals]</f>
        <v>0.02</v>
      </c>
      <c r="P207">
        <f>tblPlayers[expected_assists]</f>
        <v>0.02</v>
      </c>
      <c r="Q207">
        <f>tblPlayers[expected_goal_involvements]</f>
        <v>0.04</v>
      </c>
      <c r="R207" s="2">
        <f t="shared" si="75"/>
        <v>2.903225806451613</v>
      </c>
      <c r="S207" s="5">
        <f t="shared" si="76"/>
        <v>5.8064516129032261E-2</v>
      </c>
      <c r="T207" s="5">
        <f t="shared" si="77"/>
        <v>5.8064516129032261E-2</v>
      </c>
      <c r="U207" s="5">
        <f t="shared" si="78"/>
        <v>0.11612903225806452</v>
      </c>
      <c r="V207" s="3">
        <f t="shared" si="79"/>
        <v>0.2040816326530612</v>
      </c>
      <c r="W207" s="5">
        <f t="shared" si="80"/>
        <v>8.163265306122448E-3</v>
      </c>
      <c r="X207" s="5">
        <f>IFERROR(IF(OR($B207="MID",$B207="FWD"),INDEX(FIXTURE_ANALYSIS!$Q:$Q,MATCH($D207,FIXTURE_ANALYSIS!$A:$A,0)),INDEX(FIXTURE_ANALYSIS!$R:$R,MATCH($D207,FIXTURE_ANALYSIS!$A:$A,0))),1)</f>
        <v>0.8</v>
      </c>
      <c r="Y207" s="5">
        <f t="shared" si="81"/>
        <v>0.8</v>
      </c>
      <c r="Z207" s="8">
        <f>INDEX(FPL_Raw_Data!$T:$T,MATCH(A207,FPL_Raw_Data!$AA:$AA,0))</f>
        <v>0</v>
      </c>
      <c r="AA207" s="8">
        <f>INDEX(FPL_Raw_Data!$S:$S,MATCH(A207,FPL_Raw_Data!$AA:$AA,0))</f>
        <v>4</v>
      </c>
      <c r="AB207" s="2">
        <f t="shared" si="82"/>
        <v>0.33333333333333331</v>
      </c>
      <c r="AC207" s="2">
        <f>INDEX(FPL_Raw_Data!$Q:$Q,MATCH(A207,FPL_Raw_Data!$AA:$AA,0))</f>
        <v>0</v>
      </c>
      <c r="AD207" s="8">
        <f>INDEX(FPL_Raw_Data!$R:$R,MATCH(A207,FPL_Raw_Data!$AA:$AA,0))</f>
        <v>8</v>
      </c>
      <c r="AE207" s="8">
        <f>INDEX(FPL_Raw_Data!$N:$N,MATCH(A207,FPL_Raw_Data!$AA:$AA,0))</f>
        <v>0</v>
      </c>
      <c r="AF207" s="8">
        <f>INDEX(FPL_Raw_Data!$L:$L,MATCH(A207,FPL_Raw_Data!$AA:$AA,0))</f>
        <v>0</v>
      </c>
      <c r="AG207" s="2">
        <f>INDEX(FPL_Raw_Data!$M:$M,MATCH(A207,FPL_Raw_Data!$AA:$AA,0))</f>
        <v>0</v>
      </c>
      <c r="AH207" s="2">
        <f t="shared" si="83"/>
        <v>0.29032258064516131</v>
      </c>
      <c r="AI207" s="2">
        <f t="shared" si="84"/>
        <v>0.17419354838709677</v>
      </c>
      <c r="AJ207" s="2">
        <f t="shared" si="85"/>
        <v>0</v>
      </c>
      <c r="AK207" s="2">
        <f t="shared" si="86"/>
        <v>0.66666666666666663</v>
      </c>
      <c r="AL207" s="2">
        <f t="shared" si="87"/>
        <v>0</v>
      </c>
      <c r="AM207" s="2">
        <f t="shared" si="88"/>
        <v>0</v>
      </c>
      <c r="AN207" s="2">
        <f t="shared" si="89"/>
        <v>0</v>
      </c>
      <c r="AO207" s="3">
        <f t="shared" si="90"/>
        <v>57.199999999999996</v>
      </c>
      <c r="AP207">
        <f t="shared" si="91"/>
        <v>69.8</v>
      </c>
      <c r="AQ207">
        <f t="shared" si="92"/>
        <v>46.2</v>
      </c>
      <c r="AR207">
        <f t="shared" si="93"/>
        <v>58.699999999999996</v>
      </c>
      <c r="AS207" s="2">
        <f t="shared" si="94"/>
        <v>0</v>
      </c>
      <c r="AT207" s="2">
        <f>IFERROR(INDEX(Player_Model!$BC$2:$BC$596,MATCH($A207,Player_Model!$A$2:$A$596,0)),0)</f>
        <v>0</v>
      </c>
      <c r="AU207" s="2">
        <f>Table8[[#This Row],[Model Expected Points]]*Table8[[#This Row],[Fixture Adjustment]]</f>
        <v>0</v>
      </c>
      <c r="AV207" s="2">
        <f>Table8[[#This Row],[Fixture Adjusted Points / 90]]/Table8[[#This Row],[Price]]</f>
        <v>0</v>
      </c>
      <c r="AW207">
        <f t="shared" si="95"/>
        <v>63.5</v>
      </c>
      <c r="AX207">
        <f t="shared" si="96"/>
        <v>0.33333333333333331</v>
      </c>
      <c r="AY207" s="2">
        <f t="shared" si="97"/>
        <v>0</v>
      </c>
      <c r="AZ207" s="5">
        <f t="shared" si="98"/>
        <v>0.8</v>
      </c>
      <c r="BA207">
        <f>Table8[[#This Row],[Model Score2]]</f>
        <v>0</v>
      </c>
      <c r="BB207">
        <f>IFERROR(INDEX(Player_Model!$BG$2:$BG$596,MATCH($A207,Player_Model!$A$2:$A$596,0)),"")</f>
        <v>161</v>
      </c>
      <c r="BC207" t="str">
        <f t="shared" si="99"/>
        <v>AVOID</v>
      </c>
      <c r="BD207">
        <f>IF(H207=1,Table8[[#This Row],[Model Score]],-10000)</f>
        <v>0</v>
      </c>
      <c r="BE207">
        <f>IFERROR(INDEX(Player_Model!$BF$2:$BF$596,MATCH($A207,Player_Model!$A$2:$A$596,0)),"")</f>
        <v>253</v>
      </c>
      <c r="BF207">
        <f>IFERROR(INDEX(Player_Model!$BG$2:$BG$596,MATCH($A207,Player_Model!$A$2:$A$596,0)),"")</f>
        <v>161</v>
      </c>
      <c r="BG207">
        <f>IFERROR(INDEX(Player_Model!$BE$2:$BE$596,MATCH($A207,Player_Model!$A$2:$A$596,0)),0)</f>
        <v>0</v>
      </c>
    </row>
    <row r="208" spans="1:59" x14ac:dyDescent="0.25">
      <c r="A208" t="str">
        <f>tblPlayers[first_name]&amp;" "&amp;tblPlayers[second_name]</f>
        <v>Ephron Mason-Clark</v>
      </c>
      <c r="B208" t="str">
        <f>_xlfn.SWITCH(tblPlayers[element_type],1,"GK",2,"DEF",3,"MID",4,"FWD")</f>
        <v>MID</v>
      </c>
      <c r="C208">
        <f>tblPlayers[team]</f>
        <v>7</v>
      </c>
      <c r="D208" t="str">
        <f>INDEX(tblTeams[Column1.short_name],MATCH(C208,tblTeams[Column1.id],0))</f>
        <v>COV</v>
      </c>
      <c r="E208" s="4">
        <f>INDEX(FPL_Raw_Data!$F:$F,MATCH(A208,FPL_Raw_Data!$AA:$AA,0))/10</f>
        <v>5.4</v>
      </c>
      <c r="F208" s="4" t="str">
        <f>tblPlayers[[#This Row],[status]]</f>
        <v>a</v>
      </c>
      <c r="G208" s="4" t="b">
        <f>tblPlayers[[#This Row],[can_select]]</f>
        <v>1</v>
      </c>
      <c r="H208">
        <f>IF(AND(Table8[[#This Row],[Availability Status]]="a",Table8[[#This Row],[Can Select]]=TRUE),1,0)</f>
        <v>1</v>
      </c>
      <c r="I208">
        <f>tblPlayers[minutes]</f>
        <v>127</v>
      </c>
      <c r="J208" s="2">
        <f>Table8[[#This Row],[Minutes]]/90</f>
        <v>1.4111111111111112</v>
      </c>
      <c r="K208" s="5">
        <f>IFERROR(Z208/(FIXTURE_ANALYSIS!$B$1-1),0)</f>
        <v>0.66666666666666663</v>
      </c>
      <c r="L208">
        <f>tblPlayers[total_points]</f>
        <v>3</v>
      </c>
      <c r="M208">
        <f>tblPlayers[points_per_game]</f>
        <v>1.5</v>
      </c>
      <c r="N208">
        <f>tblPlayers[form]</f>
        <v>1</v>
      </c>
      <c r="O208">
        <f>tblPlayers[expected_goals]</f>
        <v>0</v>
      </c>
      <c r="P208">
        <f>tblPlayers[expected_assists]</f>
        <v>0.06</v>
      </c>
      <c r="Q208">
        <f>tblPlayers[expected_goal_involvements]</f>
        <v>0.06</v>
      </c>
      <c r="R208" s="2">
        <f t="shared" si="75"/>
        <v>2.1259842519685037</v>
      </c>
      <c r="S208" s="5">
        <f t="shared" si="76"/>
        <v>0</v>
      </c>
      <c r="T208" s="5">
        <f t="shared" si="77"/>
        <v>4.2519685039370078E-2</v>
      </c>
      <c r="U208" s="5">
        <f t="shared" si="78"/>
        <v>4.2519685039370078E-2</v>
      </c>
      <c r="V208" s="3">
        <f t="shared" si="79"/>
        <v>0.55555555555555547</v>
      </c>
      <c r="W208" s="5">
        <f t="shared" si="80"/>
        <v>1.111111111111111E-2</v>
      </c>
      <c r="X208" s="5">
        <f>IFERROR(IF(OR($B208="MID",$B208="FWD"),INDEX(FIXTURE_ANALYSIS!$Q:$Q,MATCH($D208,FIXTURE_ANALYSIS!$A:$A,0)),INDEX(FIXTURE_ANALYSIS!$R:$R,MATCH($D208,FIXTURE_ANALYSIS!$A:$A,0))),1)</f>
        <v>0.8</v>
      </c>
      <c r="Y208" s="5">
        <f t="shared" si="81"/>
        <v>0.8</v>
      </c>
      <c r="Z208" s="8">
        <f>INDEX(FPL_Raw_Data!$T:$T,MATCH(A208,FPL_Raw_Data!$AA:$AA,0))</f>
        <v>2</v>
      </c>
      <c r="AA208" s="8">
        <f>INDEX(FPL_Raw_Data!$S:$S,MATCH(A208,FPL_Raw_Data!$AA:$AA,0))</f>
        <v>9</v>
      </c>
      <c r="AB208" s="2">
        <f t="shared" si="82"/>
        <v>0.75</v>
      </c>
      <c r="AC208" s="2">
        <f>INDEX(FPL_Raw_Data!$Q:$Q,MATCH(A208,FPL_Raw_Data!$AA:$AA,0))</f>
        <v>0</v>
      </c>
      <c r="AD208" s="8">
        <f>INDEX(FPL_Raw_Data!$R:$R,MATCH(A208,FPL_Raw_Data!$AA:$AA,0))</f>
        <v>8</v>
      </c>
      <c r="AE208" s="8">
        <f>INDEX(FPL_Raw_Data!$N:$N,MATCH(A208,FPL_Raw_Data!$AA:$AA,0))</f>
        <v>0</v>
      </c>
      <c r="AF208" s="8">
        <f>INDEX(FPL_Raw_Data!$L:$L,MATCH(A208,FPL_Raw_Data!$AA:$AA,0))</f>
        <v>0</v>
      </c>
      <c r="AG208" s="2">
        <f>INDEX(FPL_Raw_Data!$M:$M,MATCH(A208,FPL_Raw_Data!$AA:$AA,0))</f>
        <v>0</v>
      </c>
      <c r="AH208" s="2">
        <f t="shared" si="83"/>
        <v>0</v>
      </c>
      <c r="AI208" s="2">
        <f t="shared" si="84"/>
        <v>0.12755905511811022</v>
      </c>
      <c r="AJ208" s="2">
        <f t="shared" si="85"/>
        <v>1.3333333333333333</v>
      </c>
      <c r="AK208" s="2">
        <f t="shared" si="86"/>
        <v>1.5</v>
      </c>
      <c r="AL208" s="2">
        <f t="shared" si="87"/>
        <v>0</v>
      </c>
      <c r="AM208" s="2">
        <f t="shared" si="88"/>
        <v>0</v>
      </c>
      <c r="AN208" s="2">
        <f t="shared" si="89"/>
        <v>0</v>
      </c>
      <c r="AO208" s="3">
        <f t="shared" si="90"/>
        <v>48.8</v>
      </c>
      <c r="AP208">
        <f t="shared" si="91"/>
        <v>59.699999999999996</v>
      </c>
      <c r="AQ208">
        <f t="shared" si="92"/>
        <v>59.699999999999996</v>
      </c>
      <c r="AR208">
        <f t="shared" si="93"/>
        <v>61.1</v>
      </c>
      <c r="AS208" s="2">
        <f t="shared" si="94"/>
        <v>66.666666666666657</v>
      </c>
      <c r="AT208" s="2">
        <f>IFERROR(INDEX(Player_Model!$BC$2:$BC$596,MATCH($A208,Player_Model!$A$2:$A$596,0)),0)</f>
        <v>2.5524409448818903</v>
      </c>
      <c r="AU208" s="2">
        <f>Table8[[#This Row],[Model Expected Points]]*Table8[[#This Row],[Fixture Adjustment]]</f>
        <v>2.0419527559055122</v>
      </c>
      <c r="AV208" s="2">
        <f>Table8[[#This Row],[Fixture Adjusted Points / 90]]/Table8[[#This Row],[Price]]</f>
        <v>0.37813939924176149</v>
      </c>
      <c r="AW208">
        <f t="shared" si="95"/>
        <v>54.25</v>
      </c>
      <c r="AX208">
        <f t="shared" si="96"/>
        <v>0.75</v>
      </c>
      <c r="AY208" s="2">
        <f t="shared" si="97"/>
        <v>66.666666666666657</v>
      </c>
      <c r="AZ208" s="5">
        <f t="shared" si="98"/>
        <v>0.8</v>
      </c>
      <c r="BA208">
        <f>Table8[[#This Row],[Model Score2]]</f>
        <v>2.5524409448818903</v>
      </c>
      <c r="BB208">
        <f>IFERROR(INDEX(Player_Model!$BG$2:$BG$596,MATCH($A208,Player_Model!$A$2:$A$596,0)),"")</f>
        <v>110</v>
      </c>
      <c r="BC208" t="str">
        <f t="shared" si="99"/>
        <v>AVOID</v>
      </c>
      <c r="BD208">
        <f>IF(H208=1,Table8[[#This Row],[Model Score]],-10000)</f>
        <v>2.5524409448818903</v>
      </c>
      <c r="BE208">
        <f>IFERROR(INDEX(Player_Model!$BF$2:$BF$596,MATCH($A208,Player_Model!$A$2:$A$596,0)),"")</f>
        <v>225</v>
      </c>
      <c r="BF208">
        <f>IFERROR(INDEX(Player_Model!$BG$2:$BG$596,MATCH($A208,Player_Model!$A$2:$A$596,0)),"")</f>
        <v>110</v>
      </c>
      <c r="BG208">
        <f>IFERROR(INDEX(Player_Model!$BE$2:$BE$596,MATCH($A208,Player_Model!$A$2:$A$596,0)),0)</f>
        <v>2.5524409448818903</v>
      </c>
    </row>
    <row r="209" spans="1:59" x14ac:dyDescent="0.25">
      <c r="A209" t="str">
        <f>tblPlayers[first_name]&amp;" "&amp;tblPlayers[second_name]</f>
        <v>Josh Eccles</v>
      </c>
      <c r="B209" t="str">
        <f>_xlfn.SWITCH(tblPlayers[element_type],1,"GK",2,"DEF",3,"MID",4,"FWD")</f>
        <v>MID</v>
      </c>
      <c r="C209">
        <f>tblPlayers[team]</f>
        <v>7</v>
      </c>
      <c r="D209" t="str">
        <f>INDEX(tblTeams[Column1.short_name],MATCH(C209,tblTeams[Column1.id],0))</f>
        <v>COV</v>
      </c>
      <c r="E209" s="4">
        <f>INDEX(FPL_Raw_Data!$F:$F,MATCH(A209,FPL_Raw_Data!$AA:$AA,0))/10</f>
        <v>4.9000000000000004</v>
      </c>
      <c r="F209" s="4" t="str">
        <f>tblPlayers[[#This Row],[status]]</f>
        <v>a</v>
      </c>
      <c r="G209" s="4" t="b">
        <f>tblPlayers[[#This Row],[can_select]]</f>
        <v>1</v>
      </c>
      <c r="H209">
        <f>IF(AND(Table8[[#This Row],[Availability Status]]="a",Table8[[#This Row],[Can Select]]=TRUE),1,0)</f>
        <v>1</v>
      </c>
      <c r="I209">
        <f>tblPlayers[minutes]</f>
        <v>0</v>
      </c>
      <c r="J209" s="2">
        <f>Table8[[#This Row],[Minutes]]/90</f>
        <v>0</v>
      </c>
      <c r="K209" s="5">
        <f>IFERROR(Z209/(FIXTURE_ANALYSIS!$B$1-1),0)</f>
        <v>0</v>
      </c>
      <c r="L209">
        <f>tblPlayers[total_points]</f>
        <v>0</v>
      </c>
      <c r="M209">
        <f>tblPlayers[points_per_game]</f>
        <v>0</v>
      </c>
      <c r="N209">
        <f>tblPlayers[form]</f>
        <v>0</v>
      </c>
      <c r="O209">
        <f>tblPlayers[expected_goals]</f>
        <v>0</v>
      </c>
      <c r="P209">
        <f>tblPlayers[expected_assists]</f>
        <v>0</v>
      </c>
      <c r="Q209">
        <f>tblPlayers[expected_goal_involvements]</f>
        <v>0</v>
      </c>
      <c r="R209" s="2">
        <f t="shared" si="75"/>
        <v>0</v>
      </c>
      <c r="S209" s="5">
        <f t="shared" si="76"/>
        <v>0</v>
      </c>
      <c r="T209" s="5">
        <f t="shared" si="77"/>
        <v>0</v>
      </c>
      <c r="U209" s="5">
        <f t="shared" si="78"/>
        <v>0</v>
      </c>
      <c r="V209" s="3">
        <f t="shared" si="79"/>
        <v>0</v>
      </c>
      <c r="W209" s="5">
        <f t="shared" si="80"/>
        <v>0</v>
      </c>
      <c r="X209" s="5">
        <f>IFERROR(IF(OR($B209="MID",$B209="FWD"),INDEX(FIXTURE_ANALYSIS!$Q:$Q,MATCH($D209,FIXTURE_ANALYSIS!$A:$A,0)),INDEX(FIXTURE_ANALYSIS!$R:$R,MATCH($D209,FIXTURE_ANALYSIS!$A:$A,0))),1)</f>
        <v>0.8</v>
      </c>
      <c r="Y209" s="5">
        <f t="shared" si="81"/>
        <v>0.8</v>
      </c>
      <c r="Z209" s="8">
        <f>INDEX(FPL_Raw_Data!$T:$T,MATCH(A209,FPL_Raw_Data!$AA:$AA,0))</f>
        <v>0</v>
      </c>
      <c r="AA209" s="8">
        <f>INDEX(FPL_Raw_Data!$S:$S,MATCH(A209,FPL_Raw_Data!$AA:$AA,0))</f>
        <v>0</v>
      </c>
      <c r="AB209" s="2">
        <f t="shared" si="82"/>
        <v>0</v>
      </c>
      <c r="AC209" s="2">
        <f>INDEX(FPL_Raw_Data!$Q:$Q,MATCH(A209,FPL_Raw_Data!$AA:$AA,0))</f>
        <v>0</v>
      </c>
      <c r="AD209" s="8">
        <f>INDEX(FPL_Raw_Data!$R:$R,MATCH(A209,FPL_Raw_Data!$AA:$AA,0))</f>
        <v>0</v>
      </c>
      <c r="AE209" s="8">
        <f>INDEX(FPL_Raw_Data!$N:$N,MATCH(A209,FPL_Raw_Data!$AA:$AA,0))</f>
        <v>0</v>
      </c>
      <c r="AF209" s="8">
        <f>INDEX(FPL_Raw_Data!$L:$L,MATCH(A209,FPL_Raw_Data!$AA:$AA,0))</f>
        <v>0</v>
      </c>
      <c r="AG209" s="2">
        <f>INDEX(FPL_Raw_Data!$M:$M,MATCH(A209,FPL_Raw_Data!$AA:$AA,0))</f>
        <v>0</v>
      </c>
      <c r="AH209" s="2">
        <f t="shared" si="83"/>
        <v>0</v>
      </c>
      <c r="AI209" s="2">
        <f t="shared" si="84"/>
        <v>0</v>
      </c>
      <c r="AJ209" s="2">
        <f t="shared" si="85"/>
        <v>0</v>
      </c>
      <c r="AK209" s="2">
        <f t="shared" si="86"/>
        <v>0</v>
      </c>
      <c r="AL209" s="2">
        <f t="shared" si="87"/>
        <v>0</v>
      </c>
      <c r="AM209" s="2">
        <f t="shared" si="88"/>
        <v>0</v>
      </c>
      <c r="AN209" s="2">
        <f t="shared" si="89"/>
        <v>0</v>
      </c>
      <c r="AO209" s="3">
        <f t="shared" si="90"/>
        <v>0.1</v>
      </c>
      <c r="AP209">
        <f t="shared" si="91"/>
        <v>0</v>
      </c>
      <c r="AQ209">
        <f t="shared" si="92"/>
        <v>0.1</v>
      </c>
      <c r="AR209">
        <f t="shared" si="93"/>
        <v>0</v>
      </c>
      <c r="AS209" s="2">
        <f t="shared" si="94"/>
        <v>0</v>
      </c>
      <c r="AT209" s="2">
        <f>IFERROR(INDEX(Player_Model!$BC$2:$BC$596,MATCH($A209,Player_Model!$A$2:$A$596,0)),0)</f>
        <v>0</v>
      </c>
      <c r="AU209" s="2">
        <f>Table8[[#This Row],[Model Expected Points]]*Table8[[#This Row],[Fixture Adjustment]]</f>
        <v>0</v>
      </c>
      <c r="AV209" s="2">
        <f>Table8[[#This Row],[Fixture Adjusted Points / 90]]/Table8[[#This Row],[Price]]</f>
        <v>0</v>
      </c>
      <c r="AW209">
        <f t="shared" si="95"/>
        <v>0.05</v>
      </c>
      <c r="AX209">
        <f t="shared" si="96"/>
        <v>0</v>
      </c>
      <c r="AY209" s="2">
        <f t="shared" si="97"/>
        <v>0</v>
      </c>
      <c r="AZ209" s="5">
        <f t="shared" si="98"/>
        <v>0.8</v>
      </c>
      <c r="BA209">
        <f>Table8[[#This Row],[Model Score2]]</f>
        <v>0</v>
      </c>
      <c r="BB209">
        <f>IFERROR(INDEX(Player_Model!$BG$2:$BG$596,MATCH($A209,Player_Model!$A$2:$A$596,0)),"")</f>
        <v>162</v>
      </c>
      <c r="BC209" t="str">
        <f t="shared" si="99"/>
        <v>AVOID</v>
      </c>
      <c r="BD209">
        <f>IF(H209=1,Table8[[#This Row],[Model Score]],-10000)</f>
        <v>0</v>
      </c>
      <c r="BE209">
        <f>IFERROR(INDEX(Player_Model!$BF$2:$BF$596,MATCH($A209,Player_Model!$A$2:$A$596,0)),"")</f>
        <v>253</v>
      </c>
      <c r="BF209">
        <f>IFERROR(INDEX(Player_Model!$BG$2:$BG$596,MATCH($A209,Player_Model!$A$2:$A$596,0)),"")</f>
        <v>162</v>
      </c>
      <c r="BG209">
        <f>IFERROR(INDEX(Player_Model!$BE$2:$BE$596,MATCH($A209,Player_Model!$A$2:$A$596,0)),0)</f>
        <v>0</v>
      </c>
    </row>
    <row r="210" spans="1:59" x14ac:dyDescent="0.25">
      <c r="A210" t="str">
        <f>tblPlayers[first_name]&amp;" "&amp;tblPlayers[second_name]</f>
        <v>Victor Torp</v>
      </c>
      <c r="B210" t="str">
        <f>_xlfn.SWITCH(tblPlayers[element_type],1,"GK",2,"DEF",3,"MID",4,"FWD")</f>
        <v>MID</v>
      </c>
      <c r="C210">
        <f>tblPlayers[team]</f>
        <v>7</v>
      </c>
      <c r="D210" t="str">
        <f>INDEX(tblTeams[Column1.short_name],MATCH(C210,tblTeams[Column1.id],0))</f>
        <v>COV</v>
      </c>
      <c r="E210" s="4">
        <f>INDEX(FPL_Raw_Data!$F:$F,MATCH(A210,FPL_Raw_Data!$AA:$AA,0))/10</f>
        <v>5.4</v>
      </c>
      <c r="F210" s="4" t="str">
        <f>tblPlayers[[#This Row],[status]]</f>
        <v>a</v>
      </c>
      <c r="G210" s="4" t="b">
        <f>tblPlayers[[#This Row],[can_select]]</f>
        <v>1</v>
      </c>
      <c r="H210">
        <f>IF(AND(Table8[[#This Row],[Availability Status]]="a",Table8[[#This Row],[Can Select]]=TRUE),1,0)</f>
        <v>1</v>
      </c>
      <c r="I210">
        <f>tblPlayers[minutes]</f>
        <v>47</v>
      </c>
      <c r="J210" s="2">
        <f>Table8[[#This Row],[Minutes]]/90</f>
        <v>0.52222222222222225</v>
      </c>
      <c r="K210" s="5">
        <f>IFERROR(Z210/(FIXTURE_ANALYSIS!$B$1-1),0)</f>
        <v>0</v>
      </c>
      <c r="L210">
        <f>tblPlayers[total_points]</f>
        <v>2</v>
      </c>
      <c r="M210">
        <f>tblPlayers[points_per_game]</f>
        <v>1</v>
      </c>
      <c r="N210">
        <f>tblPlayers[form]</f>
        <v>0.7</v>
      </c>
      <c r="O210">
        <f>tblPlayers[expected_goals]</f>
        <v>0</v>
      </c>
      <c r="P210">
        <f>tblPlayers[expected_assists]</f>
        <v>0.12</v>
      </c>
      <c r="Q210">
        <f>tblPlayers[expected_goal_involvements]</f>
        <v>0.12</v>
      </c>
      <c r="R210" s="2">
        <f t="shared" si="75"/>
        <v>3.8297872340425529</v>
      </c>
      <c r="S210" s="5">
        <f t="shared" si="76"/>
        <v>0</v>
      </c>
      <c r="T210" s="5">
        <f t="shared" si="77"/>
        <v>0.22978723404255319</v>
      </c>
      <c r="U210" s="5">
        <f t="shared" si="78"/>
        <v>0.22978723404255319</v>
      </c>
      <c r="V210" s="3">
        <f t="shared" si="79"/>
        <v>0.37037037037037035</v>
      </c>
      <c r="W210" s="5">
        <f t="shared" si="80"/>
        <v>2.222222222222222E-2</v>
      </c>
      <c r="X210" s="5">
        <f>IFERROR(IF(OR($B210="MID",$B210="FWD"),INDEX(FIXTURE_ANALYSIS!$Q:$Q,MATCH($D210,FIXTURE_ANALYSIS!$A:$A,0)),INDEX(FIXTURE_ANALYSIS!$R:$R,MATCH($D210,FIXTURE_ANALYSIS!$A:$A,0))),1)</f>
        <v>0.8</v>
      </c>
      <c r="Y210" s="5">
        <f t="shared" si="81"/>
        <v>0.8</v>
      </c>
      <c r="Z210" s="8">
        <f>INDEX(FPL_Raw_Data!$T:$T,MATCH(A210,FPL_Raw_Data!$AA:$AA,0))</f>
        <v>0</v>
      </c>
      <c r="AA210" s="8">
        <f>INDEX(FPL_Raw_Data!$S:$S,MATCH(A210,FPL_Raw_Data!$AA:$AA,0))</f>
        <v>3</v>
      </c>
      <c r="AB210" s="2">
        <f t="shared" si="82"/>
        <v>0.25</v>
      </c>
      <c r="AC210" s="2">
        <f>INDEX(FPL_Raw_Data!$Q:$Q,MATCH(A210,FPL_Raw_Data!$AA:$AA,0))</f>
        <v>0</v>
      </c>
      <c r="AD210" s="8">
        <f>INDEX(FPL_Raw_Data!$R:$R,MATCH(A210,FPL_Raw_Data!$AA:$AA,0))</f>
        <v>10</v>
      </c>
      <c r="AE210" s="8">
        <f>INDEX(FPL_Raw_Data!$N:$N,MATCH(A210,FPL_Raw_Data!$AA:$AA,0))</f>
        <v>0</v>
      </c>
      <c r="AF210" s="8">
        <f>INDEX(FPL_Raw_Data!$L:$L,MATCH(A210,FPL_Raw_Data!$AA:$AA,0))</f>
        <v>0</v>
      </c>
      <c r="AG210" s="2">
        <f>INDEX(FPL_Raw_Data!$M:$M,MATCH(A210,FPL_Raw_Data!$AA:$AA,0))</f>
        <v>0</v>
      </c>
      <c r="AH210" s="2">
        <f t="shared" si="83"/>
        <v>0</v>
      </c>
      <c r="AI210" s="2">
        <f t="shared" si="84"/>
        <v>0.68936170212765957</v>
      </c>
      <c r="AJ210" s="2">
        <f t="shared" si="85"/>
        <v>0</v>
      </c>
      <c r="AK210" s="2">
        <f t="shared" si="86"/>
        <v>0.5</v>
      </c>
      <c r="AL210" s="2">
        <f t="shared" si="87"/>
        <v>0</v>
      </c>
      <c r="AM210" s="2">
        <f t="shared" si="88"/>
        <v>0</v>
      </c>
      <c r="AN210" s="2">
        <f t="shared" si="89"/>
        <v>0</v>
      </c>
      <c r="AO210" s="3">
        <f t="shared" si="90"/>
        <v>68.5</v>
      </c>
      <c r="AP210">
        <f t="shared" si="91"/>
        <v>78.600000000000009</v>
      </c>
      <c r="AQ210">
        <f t="shared" si="92"/>
        <v>52</v>
      </c>
      <c r="AR210">
        <f t="shared" si="93"/>
        <v>67.800000000000011</v>
      </c>
      <c r="AS210" s="2">
        <f t="shared" si="94"/>
        <v>0</v>
      </c>
      <c r="AT210" s="2">
        <f>IFERROR(INDEX(Player_Model!$BC$2:$BC$596,MATCH($A210,Player_Model!$A$2:$A$596,0)),0)</f>
        <v>0</v>
      </c>
      <c r="AU210" s="2">
        <f>Table8[[#This Row],[Model Expected Points]]*Table8[[#This Row],[Fixture Adjustment]]</f>
        <v>0</v>
      </c>
      <c r="AV210" s="2">
        <f>Table8[[#This Row],[Fixture Adjusted Points / 90]]/Table8[[#This Row],[Price]]</f>
        <v>0</v>
      </c>
      <c r="AW210">
        <f t="shared" si="95"/>
        <v>73.550000000000011</v>
      </c>
      <c r="AX210">
        <f t="shared" si="96"/>
        <v>0.25</v>
      </c>
      <c r="AY210" s="2">
        <f t="shared" si="97"/>
        <v>0</v>
      </c>
      <c r="AZ210" s="5">
        <f t="shared" si="98"/>
        <v>0.8</v>
      </c>
      <c r="BA210">
        <f>Table8[[#This Row],[Model Score2]]</f>
        <v>0</v>
      </c>
      <c r="BB210">
        <f>IFERROR(INDEX(Player_Model!$BG$2:$BG$596,MATCH($A210,Player_Model!$A$2:$A$596,0)),"")</f>
        <v>163</v>
      </c>
      <c r="BC210" t="str">
        <f t="shared" si="99"/>
        <v>AVOID</v>
      </c>
      <c r="BD210">
        <f>IF(H210=1,Table8[[#This Row],[Model Score]],-10000)</f>
        <v>0</v>
      </c>
      <c r="BE210">
        <f>IFERROR(INDEX(Player_Model!$BF$2:$BF$596,MATCH($A210,Player_Model!$A$2:$A$596,0)),"")</f>
        <v>253</v>
      </c>
      <c r="BF210">
        <f>IFERROR(INDEX(Player_Model!$BG$2:$BG$596,MATCH($A210,Player_Model!$A$2:$A$596,0)),"")</f>
        <v>163</v>
      </c>
      <c r="BG210">
        <f>IFERROR(INDEX(Player_Model!$BE$2:$BE$596,MATCH($A210,Player_Model!$A$2:$A$596,0)),0)</f>
        <v>0</v>
      </c>
    </row>
    <row r="211" spans="1:59" x14ac:dyDescent="0.25">
      <c r="A211" t="str">
        <f>tblPlayers[first_name]&amp;" "&amp;tblPlayers[second_name]</f>
        <v>George Shepherd</v>
      </c>
      <c r="B211" t="str">
        <f>_xlfn.SWITCH(tblPlayers[element_type],1,"GK",2,"DEF",3,"MID",4,"FWD")</f>
        <v>MID</v>
      </c>
      <c r="C211">
        <f>tblPlayers[team]</f>
        <v>7</v>
      </c>
      <c r="D211" t="str">
        <f>INDEX(tblTeams[Column1.short_name],MATCH(C211,tblTeams[Column1.id],0))</f>
        <v>COV</v>
      </c>
      <c r="E211" s="4">
        <f>INDEX(FPL_Raw_Data!$F:$F,MATCH(A211,FPL_Raw_Data!$AA:$AA,0))/10</f>
        <v>4.5</v>
      </c>
      <c r="F211" s="4" t="str">
        <f>tblPlayers[[#This Row],[status]]</f>
        <v>a</v>
      </c>
      <c r="G211" s="4" t="b">
        <f>tblPlayers[[#This Row],[can_select]]</f>
        <v>1</v>
      </c>
      <c r="H211">
        <f>IF(AND(Table8[[#This Row],[Availability Status]]="a",Table8[[#This Row],[Can Select]]=TRUE),1,0)</f>
        <v>1</v>
      </c>
      <c r="I211">
        <f>tblPlayers[minutes]</f>
        <v>0</v>
      </c>
      <c r="J211" s="2">
        <f>Table8[[#This Row],[Minutes]]/90</f>
        <v>0</v>
      </c>
      <c r="K211" s="5">
        <f>IFERROR(Z211/(FIXTURE_ANALYSIS!$B$1-1),0)</f>
        <v>0</v>
      </c>
      <c r="L211">
        <f>tblPlayers[total_points]</f>
        <v>0</v>
      </c>
      <c r="M211">
        <f>tblPlayers[points_per_game]</f>
        <v>0</v>
      </c>
      <c r="N211">
        <f>tblPlayers[form]</f>
        <v>0</v>
      </c>
      <c r="O211">
        <f>tblPlayers[expected_goals]</f>
        <v>0</v>
      </c>
      <c r="P211">
        <f>tblPlayers[expected_assists]</f>
        <v>0</v>
      </c>
      <c r="Q211">
        <f>tblPlayers[expected_goal_involvements]</f>
        <v>0</v>
      </c>
      <c r="R211" s="2">
        <f t="shared" si="75"/>
        <v>0</v>
      </c>
      <c r="S211" s="5">
        <f t="shared" si="76"/>
        <v>0</v>
      </c>
      <c r="T211" s="5">
        <f t="shared" si="77"/>
        <v>0</v>
      </c>
      <c r="U211" s="5">
        <f t="shared" si="78"/>
        <v>0</v>
      </c>
      <c r="V211" s="3">
        <f t="shared" si="79"/>
        <v>0</v>
      </c>
      <c r="W211" s="5">
        <f t="shared" si="80"/>
        <v>0</v>
      </c>
      <c r="X211" s="5">
        <f>IFERROR(IF(OR($B211="MID",$B211="FWD"),INDEX(FIXTURE_ANALYSIS!$Q:$Q,MATCH($D211,FIXTURE_ANALYSIS!$A:$A,0)),INDEX(FIXTURE_ANALYSIS!$R:$R,MATCH($D211,FIXTURE_ANALYSIS!$A:$A,0))),1)</f>
        <v>0.8</v>
      </c>
      <c r="Y211" s="5">
        <f t="shared" si="81"/>
        <v>0.8</v>
      </c>
      <c r="Z211" s="8">
        <f>INDEX(FPL_Raw_Data!$T:$T,MATCH(A211,FPL_Raw_Data!$AA:$AA,0))</f>
        <v>0</v>
      </c>
      <c r="AA211" s="8">
        <f>INDEX(FPL_Raw_Data!$S:$S,MATCH(A211,FPL_Raw_Data!$AA:$AA,0))</f>
        <v>0</v>
      </c>
      <c r="AB211" s="2">
        <f t="shared" si="82"/>
        <v>0</v>
      </c>
      <c r="AC211" s="2">
        <f>INDEX(FPL_Raw_Data!$Q:$Q,MATCH(A211,FPL_Raw_Data!$AA:$AA,0))</f>
        <v>0</v>
      </c>
      <c r="AD211" s="8">
        <f>INDEX(FPL_Raw_Data!$R:$R,MATCH(A211,FPL_Raw_Data!$AA:$AA,0))</f>
        <v>0</v>
      </c>
      <c r="AE211" s="8">
        <f>INDEX(FPL_Raw_Data!$N:$N,MATCH(A211,FPL_Raw_Data!$AA:$AA,0))</f>
        <v>0</v>
      </c>
      <c r="AF211" s="8">
        <f>INDEX(FPL_Raw_Data!$L:$L,MATCH(A211,FPL_Raw_Data!$AA:$AA,0))</f>
        <v>0</v>
      </c>
      <c r="AG211" s="2">
        <f>INDEX(FPL_Raw_Data!$M:$M,MATCH(A211,FPL_Raw_Data!$AA:$AA,0))</f>
        <v>0</v>
      </c>
      <c r="AH211" s="2">
        <f t="shared" si="83"/>
        <v>0</v>
      </c>
      <c r="AI211" s="2">
        <f t="shared" si="84"/>
        <v>0</v>
      </c>
      <c r="AJ211" s="2">
        <f t="shared" si="85"/>
        <v>0</v>
      </c>
      <c r="AK211" s="2">
        <f t="shared" si="86"/>
        <v>0</v>
      </c>
      <c r="AL211" s="2">
        <f t="shared" si="87"/>
        <v>0</v>
      </c>
      <c r="AM211" s="2">
        <f t="shared" si="88"/>
        <v>0</v>
      </c>
      <c r="AN211" s="2">
        <f t="shared" si="89"/>
        <v>0</v>
      </c>
      <c r="AO211" s="3">
        <f t="shared" si="90"/>
        <v>0.1</v>
      </c>
      <c r="AP211">
        <f t="shared" si="91"/>
        <v>0</v>
      </c>
      <c r="AQ211">
        <f t="shared" si="92"/>
        <v>0.1</v>
      </c>
      <c r="AR211">
        <f t="shared" si="93"/>
        <v>0</v>
      </c>
      <c r="AS211" s="2">
        <f t="shared" si="94"/>
        <v>0</v>
      </c>
      <c r="AT211" s="2">
        <f>IFERROR(INDEX(Player_Model!$BC$2:$BC$596,MATCH($A211,Player_Model!$A$2:$A$596,0)),0)</f>
        <v>0</v>
      </c>
      <c r="AU211" s="2">
        <f>Table8[[#This Row],[Model Expected Points]]*Table8[[#This Row],[Fixture Adjustment]]</f>
        <v>0</v>
      </c>
      <c r="AV211" s="2">
        <f>Table8[[#This Row],[Fixture Adjusted Points / 90]]/Table8[[#This Row],[Price]]</f>
        <v>0</v>
      </c>
      <c r="AW211">
        <f t="shared" si="95"/>
        <v>0.05</v>
      </c>
      <c r="AX211">
        <f t="shared" si="96"/>
        <v>0</v>
      </c>
      <c r="AY211" s="2">
        <f t="shared" si="97"/>
        <v>0</v>
      </c>
      <c r="AZ211" s="5">
        <f t="shared" si="98"/>
        <v>0.8</v>
      </c>
      <c r="BA211">
        <f>Table8[[#This Row],[Model Score2]]</f>
        <v>0</v>
      </c>
      <c r="BB211">
        <f>IFERROR(INDEX(Player_Model!$BG$2:$BG$596,MATCH($A211,Player_Model!$A$2:$A$596,0)),"")</f>
        <v>164</v>
      </c>
      <c r="BC211" t="str">
        <f t="shared" si="99"/>
        <v>AVOID</v>
      </c>
      <c r="BD211">
        <f>IF(H211=1,Table8[[#This Row],[Model Score]],-10000)</f>
        <v>0</v>
      </c>
      <c r="BE211">
        <f>IFERROR(INDEX(Player_Model!$BF$2:$BF$596,MATCH($A211,Player_Model!$A$2:$A$596,0)),"")</f>
        <v>253</v>
      </c>
      <c r="BF211">
        <f>IFERROR(INDEX(Player_Model!$BG$2:$BG$596,MATCH($A211,Player_Model!$A$2:$A$596,0)),"")</f>
        <v>164</v>
      </c>
      <c r="BG211">
        <f>IFERROR(INDEX(Player_Model!$BE$2:$BE$596,MATCH($A211,Player_Model!$A$2:$A$596,0)),0)</f>
        <v>0</v>
      </c>
    </row>
    <row r="212" spans="1:59" x14ac:dyDescent="0.25">
      <c r="A212" t="str">
        <f>tblPlayers[first_name]&amp;" "&amp;tblPlayers[second_name]</f>
        <v>Loum Tchaouna</v>
      </c>
      <c r="B212" t="str">
        <f>_xlfn.SWITCH(tblPlayers[element_type],1,"GK",2,"DEF",3,"MID",4,"FWD")</f>
        <v>MID</v>
      </c>
      <c r="C212">
        <f>tblPlayers[team]</f>
        <v>7</v>
      </c>
      <c r="D212" t="str">
        <f>INDEX(tblTeams[Column1.short_name],MATCH(C212,tblTeams[Column1.id],0))</f>
        <v>COV</v>
      </c>
      <c r="E212" s="4">
        <f>INDEX(FPL_Raw_Data!$F:$F,MATCH(A212,FPL_Raw_Data!$AA:$AA,0))/10</f>
        <v>5.5</v>
      </c>
      <c r="F212" s="4" t="str">
        <f>tblPlayers[[#This Row],[status]]</f>
        <v>a</v>
      </c>
      <c r="G212" s="4" t="b">
        <f>tblPlayers[[#This Row],[can_select]]</f>
        <v>1</v>
      </c>
      <c r="H212">
        <f>IF(AND(Table8[[#This Row],[Availability Status]]="a",Table8[[#This Row],[Can Select]]=TRUE),1,0)</f>
        <v>1</v>
      </c>
      <c r="I212">
        <f>tblPlayers[minutes]</f>
        <v>166</v>
      </c>
      <c r="J212" s="2">
        <f>Table8[[#This Row],[Minutes]]/90</f>
        <v>1.8444444444444446</v>
      </c>
      <c r="K212" s="5">
        <f>IFERROR(Z212/(FIXTURE_ANALYSIS!$B$1-1),0)</f>
        <v>0.66666666666666663</v>
      </c>
      <c r="L212">
        <f>tblPlayers[total_points]</f>
        <v>4</v>
      </c>
      <c r="M212">
        <f>tblPlayers[points_per_game]</f>
        <v>1.3</v>
      </c>
      <c r="N212">
        <f>tblPlayers[form]</f>
        <v>1.3</v>
      </c>
      <c r="O212">
        <f>tblPlayers[expected_goals]</f>
        <v>0.19</v>
      </c>
      <c r="P212">
        <f>tblPlayers[expected_assists]</f>
        <v>0.18</v>
      </c>
      <c r="Q212">
        <f>tblPlayers[expected_goal_involvements]</f>
        <v>0.37</v>
      </c>
      <c r="R212" s="2">
        <f t="shared" si="75"/>
        <v>2.168674698795181</v>
      </c>
      <c r="S212" s="5">
        <f t="shared" si="76"/>
        <v>0.10301204819277109</v>
      </c>
      <c r="T212" s="5">
        <f t="shared" si="77"/>
        <v>9.7590361445783133E-2</v>
      </c>
      <c r="U212" s="5">
        <f t="shared" si="78"/>
        <v>0.20060240963855422</v>
      </c>
      <c r="V212" s="3">
        <f t="shared" si="79"/>
        <v>0.72727272727272729</v>
      </c>
      <c r="W212" s="5">
        <f t="shared" si="80"/>
        <v>6.7272727272727276E-2</v>
      </c>
      <c r="X212" s="5">
        <f>IFERROR(IF(OR($B212="MID",$B212="FWD"),INDEX(FIXTURE_ANALYSIS!$Q:$Q,MATCH($D212,FIXTURE_ANALYSIS!$A:$A,0)),INDEX(FIXTURE_ANALYSIS!$R:$R,MATCH($D212,FIXTURE_ANALYSIS!$A:$A,0))),1)</f>
        <v>0.8</v>
      </c>
      <c r="Y212" s="5">
        <f t="shared" si="81"/>
        <v>0.8</v>
      </c>
      <c r="Z212" s="8">
        <f>INDEX(FPL_Raw_Data!$T:$T,MATCH(A212,FPL_Raw_Data!$AA:$AA,0))</f>
        <v>2</v>
      </c>
      <c r="AA212" s="8">
        <f>INDEX(FPL_Raw_Data!$S:$S,MATCH(A212,FPL_Raw_Data!$AA:$AA,0))</f>
        <v>15</v>
      </c>
      <c r="AB212" s="2">
        <f t="shared" si="82"/>
        <v>1</v>
      </c>
      <c r="AC212" s="2">
        <f>INDEX(FPL_Raw_Data!$Q:$Q,MATCH(A212,FPL_Raw_Data!$AA:$AA,0))</f>
        <v>0</v>
      </c>
      <c r="AD212" s="8">
        <f>INDEX(FPL_Raw_Data!$R:$R,MATCH(A212,FPL_Raw_Data!$AA:$AA,0))</f>
        <v>27</v>
      </c>
      <c r="AE212" s="8">
        <f>INDEX(FPL_Raw_Data!$N:$N,MATCH(A212,FPL_Raw_Data!$AA:$AA,0))</f>
        <v>0</v>
      </c>
      <c r="AF212" s="8">
        <f>INDEX(FPL_Raw_Data!$L:$L,MATCH(A212,FPL_Raw_Data!$AA:$AA,0))</f>
        <v>0</v>
      </c>
      <c r="AG212" s="2">
        <f>INDEX(FPL_Raw_Data!$M:$M,MATCH(A212,FPL_Raw_Data!$AA:$AA,0))</f>
        <v>0</v>
      </c>
      <c r="AH212" s="2">
        <f t="shared" si="83"/>
        <v>0.51506024096385539</v>
      </c>
      <c r="AI212" s="2">
        <f t="shared" si="84"/>
        <v>0.29277108433734939</v>
      </c>
      <c r="AJ212" s="2">
        <f t="shared" si="85"/>
        <v>1.3333333333333333</v>
      </c>
      <c r="AK212" s="2">
        <f t="shared" si="86"/>
        <v>2</v>
      </c>
      <c r="AL212" s="2">
        <f t="shared" si="87"/>
        <v>0</v>
      </c>
      <c r="AM212" s="2">
        <f t="shared" si="88"/>
        <v>0</v>
      </c>
      <c r="AN212" s="2">
        <f t="shared" si="89"/>
        <v>0</v>
      </c>
      <c r="AO212" s="3">
        <f t="shared" si="90"/>
        <v>49.3</v>
      </c>
      <c r="AP212">
        <f t="shared" si="91"/>
        <v>76.2</v>
      </c>
      <c r="AQ212">
        <f t="shared" si="92"/>
        <v>64.3</v>
      </c>
      <c r="AR212">
        <f t="shared" si="93"/>
        <v>79.2</v>
      </c>
      <c r="AS212" s="2">
        <f t="shared" si="94"/>
        <v>66.666666666666657</v>
      </c>
      <c r="AT212" s="2">
        <f>IFERROR(INDEX(Player_Model!$BC$2:$BC$596,MATCH($A212,Player_Model!$A$2:$A$596,0)),0)</f>
        <v>3.2738776194531902</v>
      </c>
      <c r="AU212" s="2">
        <f>Table8[[#This Row],[Model Expected Points]]*Table8[[#This Row],[Fixture Adjustment]]</f>
        <v>2.6191020955625524</v>
      </c>
      <c r="AV212" s="2">
        <f>Table8[[#This Row],[Fixture Adjusted Points / 90]]/Table8[[#This Row],[Price]]</f>
        <v>0.47620038101137313</v>
      </c>
      <c r="AW212">
        <f t="shared" si="95"/>
        <v>62.75</v>
      </c>
      <c r="AX212">
        <f t="shared" si="96"/>
        <v>1</v>
      </c>
      <c r="AY212" s="2">
        <f t="shared" si="97"/>
        <v>66.666666666666657</v>
      </c>
      <c r="AZ212" s="5">
        <f t="shared" si="98"/>
        <v>0.8</v>
      </c>
      <c r="BA212">
        <f>Table8[[#This Row],[Model Score2]]</f>
        <v>3.2738776194531902</v>
      </c>
      <c r="BB212">
        <f>IFERROR(INDEX(Player_Model!$BG$2:$BG$596,MATCH($A212,Player_Model!$A$2:$A$596,0)),"")</f>
        <v>98</v>
      </c>
      <c r="BC212" t="str">
        <f t="shared" si="99"/>
        <v>AVOID</v>
      </c>
      <c r="BD212">
        <f>IF(H212=1,Table8[[#This Row],[Model Score]],-10000)</f>
        <v>3.2738776194531902</v>
      </c>
      <c r="BE212">
        <f>IFERROR(INDEX(Player_Model!$BF$2:$BF$596,MATCH($A212,Player_Model!$A$2:$A$596,0)),"")</f>
        <v>188</v>
      </c>
      <c r="BF212">
        <f>IFERROR(INDEX(Player_Model!$BG$2:$BG$596,MATCH($A212,Player_Model!$A$2:$A$596,0)),"")</f>
        <v>98</v>
      </c>
      <c r="BG212">
        <f>IFERROR(INDEX(Player_Model!$BE$2:$BE$596,MATCH($A212,Player_Model!$A$2:$A$596,0)),0)</f>
        <v>3.2738776194531902</v>
      </c>
    </row>
    <row r="213" spans="1:59" x14ac:dyDescent="0.25">
      <c r="A213" t="str">
        <f>tblPlayers[first_name]&amp;" "&amp;tblPlayers[second_name]</f>
        <v>Raphael Borges Rodrigues</v>
      </c>
      <c r="B213" t="str">
        <f>_xlfn.SWITCH(tblPlayers[element_type],1,"GK",2,"DEF",3,"MID",4,"FWD")</f>
        <v>MID</v>
      </c>
      <c r="C213">
        <f>tblPlayers[team]</f>
        <v>7</v>
      </c>
      <c r="D213" t="str">
        <f>INDEX(tblTeams[Column1.short_name],MATCH(C213,tblTeams[Column1.id],0))</f>
        <v>COV</v>
      </c>
      <c r="E213" s="4">
        <f>INDEX(FPL_Raw_Data!$F:$F,MATCH(A213,FPL_Raw_Data!$AA:$AA,0))/10</f>
        <v>4.5</v>
      </c>
      <c r="F213" s="4" t="str">
        <f>tblPlayers[[#This Row],[status]]</f>
        <v>u</v>
      </c>
      <c r="G213" s="4" t="b">
        <f>tblPlayers[[#This Row],[can_select]]</f>
        <v>0</v>
      </c>
      <c r="H213">
        <f>IF(AND(Table8[[#This Row],[Availability Status]]="a",Table8[[#This Row],[Can Select]]=TRUE),1,0)</f>
        <v>0</v>
      </c>
      <c r="I213">
        <f>tblPlayers[minutes]</f>
        <v>0</v>
      </c>
      <c r="J213" s="2">
        <f>Table8[[#This Row],[Minutes]]/90</f>
        <v>0</v>
      </c>
      <c r="K213" s="5">
        <f>IFERROR(Z213/(FIXTURE_ANALYSIS!$B$1-1),0)</f>
        <v>0</v>
      </c>
      <c r="L213">
        <f>tblPlayers[total_points]</f>
        <v>0</v>
      </c>
      <c r="M213">
        <f>tblPlayers[points_per_game]</f>
        <v>0</v>
      </c>
      <c r="N213">
        <f>tblPlayers[form]</f>
        <v>0</v>
      </c>
      <c r="O213">
        <f>tblPlayers[expected_goals]</f>
        <v>0</v>
      </c>
      <c r="P213">
        <f>tblPlayers[expected_assists]</f>
        <v>0</v>
      </c>
      <c r="Q213">
        <f>tblPlayers[expected_goal_involvements]</f>
        <v>0</v>
      </c>
      <c r="R213" s="2">
        <f t="shared" si="75"/>
        <v>0</v>
      </c>
      <c r="S213" s="5">
        <f t="shared" si="76"/>
        <v>0</v>
      </c>
      <c r="T213" s="5">
        <f t="shared" si="77"/>
        <v>0</v>
      </c>
      <c r="U213" s="5">
        <f t="shared" si="78"/>
        <v>0</v>
      </c>
      <c r="V213" s="3">
        <f t="shared" si="79"/>
        <v>0</v>
      </c>
      <c r="W213" s="5">
        <f t="shared" si="80"/>
        <v>0</v>
      </c>
      <c r="X213" s="5">
        <f>IFERROR(IF(OR($B213="MID",$B213="FWD"),INDEX(FIXTURE_ANALYSIS!$Q:$Q,MATCH($D213,FIXTURE_ANALYSIS!$A:$A,0)),INDEX(FIXTURE_ANALYSIS!$R:$R,MATCH($D213,FIXTURE_ANALYSIS!$A:$A,0))),1)</f>
        <v>0.8</v>
      </c>
      <c r="Y213" s="5">
        <f t="shared" si="81"/>
        <v>0.8</v>
      </c>
      <c r="Z213" s="8">
        <f>INDEX(FPL_Raw_Data!$T:$T,MATCH(A213,FPL_Raw_Data!$AA:$AA,0))</f>
        <v>0</v>
      </c>
      <c r="AA213" s="8">
        <f>INDEX(FPL_Raw_Data!$S:$S,MATCH(A213,FPL_Raw_Data!$AA:$AA,0))</f>
        <v>0</v>
      </c>
      <c r="AB213" s="2">
        <f t="shared" si="82"/>
        <v>0</v>
      </c>
      <c r="AC213" s="2">
        <f>INDEX(FPL_Raw_Data!$Q:$Q,MATCH(A213,FPL_Raw_Data!$AA:$AA,0))</f>
        <v>0</v>
      </c>
      <c r="AD213" s="8">
        <f>INDEX(FPL_Raw_Data!$R:$R,MATCH(A213,FPL_Raw_Data!$AA:$AA,0))</f>
        <v>0</v>
      </c>
      <c r="AE213" s="8">
        <f>INDEX(FPL_Raw_Data!$N:$N,MATCH(A213,FPL_Raw_Data!$AA:$AA,0))</f>
        <v>0</v>
      </c>
      <c r="AF213" s="8">
        <f>INDEX(FPL_Raw_Data!$L:$L,MATCH(A213,FPL_Raw_Data!$AA:$AA,0))</f>
        <v>0</v>
      </c>
      <c r="AG213" s="2">
        <f>INDEX(FPL_Raw_Data!$M:$M,MATCH(A213,FPL_Raw_Data!$AA:$AA,0))</f>
        <v>0</v>
      </c>
      <c r="AH213" s="2">
        <f t="shared" si="83"/>
        <v>0</v>
      </c>
      <c r="AI213" s="2">
        <f t="shared" si="84"/>
        <v>0</v>
      </c>
      <c r="AJ213" s="2">
        <f t="shared" si="85"/>
        <v>0</v>
      </c>
      <c r="AK213" s="2">
        <f t="shared" si="86"/>
        <v>0</v>
      </c>
      <c r="AL213" s="2">
        <f t="shared" si="87"/>
        <v>0</v>
      </c>
      <c r="AM213" s="2">
        <f t="shared" si="88"/>
        <v>0</v>
      </c>
      <c r="AN213" s="2">
        <f t="shared" si="89"/>
        <v>0</v>
      </c>
      <c r="AO213" s="3">
        <f t="shared" si="90"/>
        <v>0.1</v>
      </c>
      <c r="AP213">
        <f t="shared" si="91"/>
        <v>0</v>
      </c>
      <c r="AQ213">
        <f t="shared" si="92"/>
        <v>0.1</v>
      </c>
      <c r="AR213">
        <f t="shared" si="93"/>
        <v>0</v>
      </c>
      <c r="AS213" s="2">
        <f t="shared" si="94"/>
        <v>0</v>
      </c>
      <c r="AT213" s="2">
        <f>IFERROR(INDEX(Player_Model!$BC$2:$BC$596,MATCH($A213,Player_Model!$A$2:$A$596,0)),0)</f>
        <v>0</v>
      </c>
      <c r="AU213" s="2">
        <f>Table8[[#This Row],[Model Expected Points]]*Table8[[#This Row],[Fixture Adjustment]]</f>
        <v>0</v>
      </c>
      <c r="AV213" s="2">
        <f>Table8[[#This Row],[Fixture Adjusted Points / 90]]/Table8[[#This Row],[Price]]</f>
        <v>0</v>
      </c>
      <c r="AW213">
        <f t="shared" si="95"/>
        <v>0.05</v>
      </c>
      <c r="AX213">
        <f t="shared" si="96"/>
        <v>0</v>
      </c>
      <c r="AY213" s="2">
        <f t="shared" si="97"/>
        <v>0</v>
      </c>
      <c r="AZ213" s="5">
        <f t="shared" si="98"/>
        <v>0.8</v>
      </c>
      <c r="BA213">
        <f>Table8[[#This Row],[Model Score2]]</f>
        <v>0</v>
      </c>
      <c r="BB213">
        <f>IFERROR(INDEX(Player_Model!$BG$2:$BG$596,MATCH($A213,Player_Model!$A$2:$A$596,0)),"")</f>
        <v>165</v>
      </c>
      <c r="BC213" t="str">
        <f t="shared" si="99"/>
        <v>AVOID</v>
      </c>
      <c r="BD213">
        <f>IF(H213=1,Table8[[#This Row],[Model Score]],-10000)</f>
        <v>-10000</v>
      </c>
      <c r="BE213">
        <f>IFERROR(INDEX(Player_Model!$BF$2:$BF$596,MATCH($A213,Player_Model!$A$2:$A$596,0)),"")</f>
        <v>253</v>
      </c>
      <c r="BF213">
        <f>IFERROR(INDEX(Player_Model!$BG$2:$BG$596,MATCH($A213,Player_Model!$A$2:$A$596,0)),"")</f>
        <v>165</v>
      </c>
      <c r="BG213">
        <f>IFERROR(INDEX(Player_Model!$BE$2:$BE$596,MATCH($A213,Player_Model!$A$2:$A$596,0)),0)</f>
        <v>0</v>
      </c>
    </row>
    <row r="214" spans="1:59" x14ac:dyDescent="0.25">
      <c r="A214" t="str">
        <f>tblPlayers[first_name]&amp;" "&amp;tblPlayers[second_name]</f>
        <v>Kai Andrews</v>
      </c>
      <c r="B214" t="str">
        <f>_xlfn.SWITCH(tblPlayers[element_type],1,"GK",2,"DEF",3,"MID",4,"FWD")</f>
        <v>MID</v>
      </c>
      <c r="C214">
        <f>tblPlayers[team]</f>
        <v>7</v>
      </c>
      <c r="D214" t="str">
        <f>INDEX(tblTeams[Column1.short_name],MATCH(C214,tblTeams[Column1.id],0))</f>
        <v>COV</v>
      </c>
      <c r="E214" s="4">
        <f>INDEX(FPL_Raw_Data!$F:$F,MATCH(A214,FPL_Raw_Data!$AA:$AA,0))/10</f>
        <v>4.5</v>
      </c>
      <c r="F214" s="4" t="str">
        <f>tblPlayers[[#This Row],[status]]</f>
        <v>u</v>
      </c>
      <c r="G214" s="4" t="b">
        <f>tblPlayers[[#This Row],[can_select]]</f>
        <v>0</v>
      </c>
      <c r="H214">
        <f>IF(AND(Table8[[#This Row],[Availability Status]]="a",Table8[[#This Row],[Can Select]]=TRUE),1,0)</f>
        <v>0</v>
      </c>
      <c r="I214">
        <f>tblPlayers[minutes]</f>
        <v>0</v>
      </c>
      <c r="J214" s="2">
        <f>Table8[[#This Row],[Minutes]]/90</f>
        <v>0</v>
      </c>
      <c r="K214" s="5">
        <f>IFERROR(Z214/(FIXTURE_ANALYSIS!$B$1-1),0)</f>
        <v>0</v>
      </c>
      <c r="L214">
        <f>tblPlayers[total_points]</f>
        <v>0</v>
      </c>
      <c r="M214">
        <f>tblPlayers[points_per_game]</f>
        <v>0</v>
      </c>
      <c r="N214">
        <f>tblPlayers[form]</f>
        <v>0</v>
      </c>
      <c r="O214">
        <f>tblPlayers[expected_goals]</f>
        <v>0</v>
      </c>
      <c r="P214">
        <f>tblPlayers[expected_assists]</f>
        <v>0</v>
      </c>
      <c r="Q214">
        <f>tblPlayers[expected_goal_involvements]</f>
        <v>0</v>
      </c>
      <c r="R214" s="2">
        <f t="shared" si="75"/>
        <v>0</v>
      </c>
      <c r="S214" s="5">
        <f t="shared" si="76"/>
        <v>0</v>
      </c>
      <c r="T214" s="5">
        <f t="shared" si="77"/>
        <v>0</v>
      </c>
      <c r="U214" s="5">
        <f t="shared" si="78"/>
        <v>0</v>
      </c>
      <c r="V214" s="3">
        <f t="shared" si="79"/>
        <v>0</v>
      </c>
      <c r="W214" s="5">
        <f t="shared" si="80"/>
        <v>0</v>
      </c>
      <c r="X214" s="5">
        <f>IFERROR(IF(OR($B214="MID",$B214="FWD"),INDEX(FIXTURE_ANALYSIS!$Q:$Q,MATCH($D214,FIXTURE_ANALYSIS!$A:$A,0)),INDEX(FIXTURE_ANALYSIS!$R:$R,MATCH($D214,FIXTURE_ANALYSIS!$A:$A,0))),1)</f>
        <v>0.8</v>
      </c>
      <c r="Y214" s="5">
        <f t="shared" si="81"/>
        <v>0.8</v>
      </c>
      <c r="Z214" s="8">
        <f>INDEX(FPL_Raw_Data!$T:$T,MATCH(A214,FPL_Raw_Data!$AA:$AA,0))</f>
        <v>0</v>
      </c>
      <c r="AA214" s="8">
        <f>INDEX(FPL_Raw_Data!$S:$S,MATCH(A214,FPL_Raw_Data!$AA:$AA,0))</f>
        <v>0</v>
      </c>
      <c r="AB214" s="2">
        <f t="shared" si="82"/>
        <v>0</v>
      </c>
      <c r="AC214" s="2">
        <f>INDEX(FPL_Raw_Data!$Q:$Q,MATCH(A214,FPL_Raw_Data!$AA:$AA,0))</f>
        <v>0</v>
      </c>
      <c r="AD214" s="8">
        <f>INDEX(FPL_Raw_Data!$R:$R,MATCH(A214,FPL_Raw_Data!$AA:$AA,0))</f>
        <v>0</v>
      </c>
      <c r="AE214" s="8">
        <f>INDEX(FPL_Raw_Data!$N:$N,MATCH(A214,FPL_Raw_Data!$AA:$AA,0))</f>
        <v>0</v>
      </c>
      <c r="AF214" s="8">
        <f>INDEX(FPL_Raw_Data!$L:$L,MATCH(A214,FPL_Raw_Data!$AA:$AA,0))</f>
        <v>0</v>
      </c>
      <c r="AG214" s="2">
        <f>INDEX(FPL_Raw_Data!$M:$M,MATCH(A214,FPL_Raw_Data!$AA:$AA,0))</f>
        <v>0</v>
      </c>
      <c r="AH214" s="2">
        <f t="shared" si="83"/>
        <v>0</v>
      </c>
      <c r="AI214" s="2">
        <f t="shared" si="84"/>
        <v>0</v>
      </c>
      <c r="AJ214" s="2">
        <f t="shared" si="85"/>
        <v>0</v>
      </c>
      <c r="AK214" s="2">
        <f t="shared" si="86"/>
        <v>0</v>
      </c>
      <c r="AL214" s="2">
        <f t="shared" si="87"/>
        <v>0</v>
      </c>
      <c r="AM214" s="2">
        <f t="shared" si="88"/>
        <v>0</v>
      </c>
      <c r="AN214" s="2">
        <f t="shared" si="89"/>
        <v>0</v>
      </c>
      <c r="AO214" s="3">
        <f t="shared" si="90"/>
        <v>0.1</v>
      </c>
      <c r="AP214">
        <f t="shared" si="91"/>
        <v>0</v>
      </c>
      <c r="AQ214">
        <f t="shared" si="92"/>
        <v>0.1</v>
      </c>
      <c r="AR214">
        <f t="shared" si="93"/>
        <v>0</v>
      </c>
      <c r="AS214" s="2">
        <f t="shared" si="94"/>
        <v>0</v>
      </c>
      <c r="AT214" s="2">
        <f>IFERROR(INDEX(Player_Model!$BC$2:$BC$596,MATCH($A214,Player_Model!$A$2:$A$596,0)),0)</f>
        <v>0</v>
      </c>
      <c r="AU214" s="2">
        <f>Table8[[#This Row],[Model Expected Points]]*Table8[[#This Row],[Fixture Adjustment]]</f>
        <v>0</v>
      </c>
      <c r="AV214" s="2">
        <f>Table8[[#This Row],[Fixture Adjusted Points / 90]]/Table8[[#This Row],[Price]]</f>
        <v>0</v>
      </c>
      <c r="AW214">
        <f t="shared" si="95"/>
        <v>0.05</v>
      </c>
      <c r="AX214">
        <f t="shared" si="96"/>
        <v>0</v>
      </c>
      <c r="AY214" s="2">
        <f t="shared" si="97"/>
        <v>0</v>
      </c>
      <c r="AZ214" s="5">
        <f t="shared" si="98"/>
        <v>0.8</v>
      </c>
      <c r="BA214">
        <f>Table8[[#This Row],[Model Score2]]</f>
        <v>0</v>
      </c>
      <c r="BB214">
        <f>IFERROR(INDEX(Player_Model!$BG$2:$BG$596,MATCH($A214,Player_Model!$A$2:$A$596,0)),"")</f>
        <v>166</v>
      </c>
      <c r="BC214" t="str">
        <f t="shared" si="99"/>
        <v>AVOID</v>
      </c>
      <c r="BD214">
        <f>IF(H214=1,Table8[[#This Row],[Model Score]],-10000)</f>
        <v>-10000</v>
      </c>
      <c r="BE214">
        <f>IFERROR(INDEX(Player_Model!$BF$2:$BF$596,MATCH($A214,Player_Model!$A$2:$A$596,0)),"")</f>
        <v>253</v>
      </c>
      <c r="BF214">
        <f>IFERROR(INDEX(Player_Model!$BG$2:$BG$596,MATCH($A214,Player_Model!$A$2:$A$596,0)),"")</f>
        <v>166</v>
      </c>
      <c r="BG214">
        <f>IFERROR(INDEX(Player_Model!$BE$2:$BE$596,MATCH($A214,Player_Model!$A$2:$A$596,0)),0)</f>
        <v>0</v>
      </c>
    </row>
    <row r="215" spans="1:59" x14ac:dyDescent="0.25">
      <c r="A215" t="str">
        <f>tblPlayers[first_name]&amp;" "&amp;tblPlayers[second_name]</f>
        <v>Haji Wright</v>
      </c>
      <c r="B215" t="str">
        <f>_xlfn.SWITCH(tblPlayers[element_type],1,"GK",2,"DEF",3,"MID",4,"FWD")</f>
        <v>FWD</v>
      </c>
      <c r="C215">
        <f>tblPlayers[team]</f>
        <v>7</v>
      </c>
      <c r="D215" t="str">
        <f>INDEX(tblTeams[Column1.short_name],MATCH(C215,tblTeams[Column1.id],0))</f>
        <v>COV</v>
      </c>
      <c r="E215" s="4">
        <f>INDEX(FPL_Raw_Data!$F:$F,MATCH(A215,FPL_Raw_Data!$AA:$AA,0))/10</f>
        <v>5.4</v>
      </c>
      <c r="F215" s="4" t="str">
        <f>tblPlayers[[#This Row],[status]]</f>
        <v>i</v>
      </c>
      <c r="G215" s="4" t="b">
        <f>tblPlayers[[#This Row],[can_select]]</f>
        <v>1</v>
      </c>
      <c r="H215">
        <f>IF(AND(Table8[[#This Row],[Availability Status]]="a",Table8[[#This Row],[Can Select]]=TRUE),1,0)</f>
        <v>0</v>
      </c>
      <c r="I215">
        <f>tblPlayers[minutes]</f>
        <v>0</v>
      </c>
      <c r="J215" s="2">
        <f>Table8[[#This Row],[Minutes]]/90</f>
        <v>0</v>
      </c>
      <c r="K215" s="5">
        <f>IFERROR(Z215/(FIXTURE_ANALYSIS!$B$1-1),0)</f>
        <v>0</v>
      </c>
      <c r="L215">
        <f>tblPlayers[total_points]</f>
        <v>0</v>
      </c>
      <c r="M215">
        <f>tblPlayers[points_per_game]</f>
        <v>0</v>
      </c>
      <c r="N215">
        <f>tblPlayers[form]</f>
        <v>0</v>
      </c>
      <c r="O215">
        <f>tblPlayers[expected_goals]</f>
        <v>0</v>
      </c>
      <c r="P215">
        <f>tblPlayers[expected_assists]</f>
        <v>0</v>
      </c>
      <c r="Q215">
        <f>tblPlayers[expected_goal_involvements]</f>
        <v>0</v>
      </c>
      <c r="R215" s="2">
        <f t="shared" si="75"/>
        <v>0</v>
      </c>
      <c r="S215" s="5">
        <f t="shared" si="76"/>
        <v>0</v>
      </c>
      <c r="T215" s="5">
        <f t="shared" si="77"/>
        <v>0</v>
      </c>
      <c r="U215" s="5">
        <f t="shared" si="78"/>
        <v>0</v>
      </c>
      <c r="V215" s="3">
        <f t="shared" si="79"/>
        <v>0</v>
      </c>
      <c r="W215" s="5">
        <f t="shared" si="80"/>
        <v>0</v>
      </c>
      <c r="X215" s="5">
        <f>IFERROR(IF(OR($B215="MID",$B215="FWD"),INDEX(FIXTURE_ANALYSIS!$Q:$Q,MATCH($D215,FIXTURE_ANALYSIS!$A:$A,0)),INDEX(FIXTURE_ANALYSIS!$R:$R,MATCH($D215,FIXTURE_ANALYSIS!$A:$A,0))),1)</f>
        <v>0.8</v>
      </c>
      <c r="Y215" s="5">
        <f t="shared" si="81"/>
        <v>0.8</v>
      </c>
      <c r="Z215" s="8">
        <f>INDEX(FPL_Raw_Data!$T:$T,MATCH(A215,FPL_Raw_Data!$AA:$AA,0))</f>
        <v>0</v>
      </c>
      <c r="AA215" s="8">
        <f>INDEX(FPL_Raw_Data!$S:$S,MATCH(A215,FPL_Raw_Data!$AA:$AA,0))</f>
        <v>0</v>
      </c>
      <c r="AB215" s="2">
        <f t="shared" si="82"/>
        <v>0</v>
      </c>
      <c r="AC215" s="2">
        <f>INDEX(FPL_Raw_Data!$Q:$Q,MATCH(A215,FPL_Raw_Data!$AA:$AA,0))</f>
        <v>0</v>
      </c>
      <c r="AD215" s="8">
        <f>INDEX(FPL_Raw_Data!$R:$R,MATCH(A215,FPL_Raw_Data!$AA:$AA,0))</f>
        <v>0</v>
      </c>
      <c r="AE215" s="8">
        <f>INDEX(FPL_Raw_Data!$N:$N,MATCH(A215,FPL_Raw_Data!$AA:$AA,0))</f>
        <v>0</v>
      </c>
      <c r="AF215" s="8">
        <f>INDEX(FPL_Raw_Data!$L:$L,MATCH(A215,FPL_Raw_Data!$AA:$AA,0))</f>
        <v>0</v>
      </c>
      <c r="AG215" s="2">
        <f>INDEX(FPL_Raw_Data!$M:$M,MATCH(A215,FPL_Raw_Data!$AA:$AA,0))</f>
        <v>0</v>
      </c>
      <c r="AH215" s="2">
        <f t="shared" si="83"/>
        <v>0</v>
      </c>
      <c r="AI215" s="2">
        <f t="shared" si="84"/>
        <v>0</v>
      </c>
      <c r="AJ215" s="2">
        <f t="shared" si="85"/>
        <v>0</v>
      </c>
      <c r="AK215" s="2">
        <f t="shared" si="86"/>
        <v>0</v>
      </c>
      <c r="AL215" s="2">
        <f t="shared" si="87"/>
        <v>0</v>
      </c>
      <c r="AM215" s="2">
        <f t="shared" si="88"/>
        <v>0</v>
      </c>
      <c r="AN215" s="2">
        <f t="shared" si="89"/>
        <v>0</v>
      </c>
      <c r="AO215" s="3">
        <f t="shared" si="90"/>
        <v>0.1</v>
      </c>
      <c r="AP215">
        <f t="shared" si="91"/>
        <v>0</v>
      </c>
      <c r="AQ215">
        <f t="shared" si="92"/>
        <v>0.1</v>
      </c>
      <c r="AR215">
        <f t="shared" si="93"/>
        <v>0</v>
      </c>
      <c r="AS215" s="2">
        <f t="shared" si="94"/>
        <v>0</v>
      </c>
      <c r="AT215" s="2">
        <f>IFERROR(INDEX(Player_Model!$BC$2:$BC$596,MATCH($A215,Player_Model!$A$2:$A$596,0)),0)</f>
        <v>0</v>
      </c>
      <c r="AU215" s="2">
        <f>Table8[[#This Row],[Model Expected Points]]*Table8[[#This Row],[Fixture Adjustment]]</f>
        <v>0</v>
      </c>
      <c r="AV215" s="2">
        <f>Table8[[#This Row],[Fixture Adjusted Points / 90]]/Table8[[#This Row],[Price]]</f>
        <v>0</v>
      </c>
      <c r="AW215">
        <f t="shared" si="95"/>
        <v>0.05</v>
      </c>
      <c r="AX215">
        <f t="shared" si="96"/>
        <v>0</v>
      </c>
      <c r="AY215" s="2">
        <f t="shared" si="97"/>
        <v>0</v>
      </c>
      <c r="AZ215" s="5">
        <f t="shared" si="98"/>
        <v>0.8</v>
      </c>
      <c r="BA215">
        <f>Table8[[#This Row],[Model Score2]]</f>
        <v>0</v>
      </c>
      <c r="BB215">
        <f>IFERROR(INDEX(Player_Model!$BG$2:$BG$596,MATCH($A215,Player_Model!$A$2:$A$596,0)),"")</f>
        <v>43</v>
      </c>
      <c r="BC215" t="str">
        <f t="shared" si="99"/>
        <v>AVOID</v>
      </c>
      <c r="BD215">
        <f>IF(H215=1,Table8[[#This Row],[Model Score]],-10000)</f>
        <v>-10000</v>
      </c>
      <c r="BE215">
        <f>IFERROR(INDEX(Player_Model!$BF$2:$BF$596,MATCH($A215,Player_Model!$A$2:$A$596,0)),"")</f>
        <v>253</v>
      </c>
      <c r="BF215">
        <f>IFERROR(INDEX(Player_Model!$BG$2:$BG$596,MATCH($A215,Player_Model!$A$2:$A$596,0)),"")</f>
        <v>43</v>
      </c>
      <c r="BG215">
        <f>IFERROR(INDEX(Player_Model!$BE$2:$BE$596,MATCH($A215,Player_Model!$A$2:$A$596,0)),0)</f>
        <v>0</v>
      </c>
    </row>
    <row r="216" spans="1:59" x14ac:dyDescent="0.25">
      <c r="A216" t="str">
        <f>tblPlayers[first_name]&amp;" "&amp;tblPlayers[second_name]</f>
        <v>Brandon Thomas-Asante</v>
      </c>
      <c r="B216" t="str">
        <f>_xlfn.SWITCH(tblPlayers[element_type],1,"GK",2,"DEF",3,"MID",4,"FWD")</f>
        <v>FWD</v>
      </c>
      <c r="C216">
        <f>tblPlayers[team]</f>
        <v>7</v>
      </c>
      <c r="D216" t="str">
        <f>INDEX(tblTeams[Column1.short_name],MATCH(C216,tblTeams[Column1.id],0))</f>
        <v>COV</v>
      </c>
      <c r="E216" s="4">
        <f>INDEX(FPL_Raw_Data!$F:$F,MATCH(A216,FPL_Raw_Data!$AA:$AA,0))/10</f>
        <v>5</v>
      </c>
      <c r="F216" s="4" t="str">
        <f>tblPlayers[[#This Row],[status]]</f>
        <v>a</v>
      </c>
      <c r="G216" s="4" t="b">
        <f>tblPlayers[[#This Row],[can_select]]</f>
        <v>1</v>
      </c>
      <c r="H216">
        <f>IF(AND(Table8[[#This Row],[Availability Status]]="a",Table8[[#This Row],[Can Select]]=TRUE),1,0)</f>
        <v>1</v>
      </c>
      <c r="I216">
        <f>tblPlayers[minutes]</f>
        <v>120</v>
      </c>
      <c r="J216" s="2">
        <f>Table8[[#This Row],[Minutes]]/90</f>
        <v>1.3333333333333333</v>
      </c>
      <c r="K216" s="5">
        <f>IFERROR(Z216/(FIXTURE_ANALYSIS!$B$1-1),0)</f>
        <v>0.33333333333333331</v>
      </c>
      <c r="L216">
        <f>tblPlayers[total_points]</f>
        <v>4</v>
      </c>
      <c r="M216">
        <f>tblPlayers[points_per_game]</f>
        <v>1.3</v>
      </c>
      <c r="N216">
        <f>tblPlayers[form]</f>
        <v>1.3</v>
      </c>
      <c r="O216">
        <f>tblPlayers[expected_goals]</f>
        <v>0</v>
      </c>
      <c r="P216">
        <f>tblPlayers[expected_assists]</f>
        <v>0.02</v>
      </c>
      <c r="Q216">
        <f>tblPlayers[expected_goal_involvements]</f>
        <v>0.02</v>
      </c>
      <c r="R216" s="2">
        <f t="shared" si="75"/>
        <v>3</v>
      </c>
      <c r="S216" s="5">
        <f t="shared" si="76"/>
        <v>0</v>
      </c>
      <c r="T216" s="5">
        <f t="shared" si="77"/>
        <v>1.4999999999999999E-2</v>
      </c>
      <c r="U216" s="5">
        <f t="shared" si="78"/>
        <v>1.4999999999999999E-2</v>
      </c>
      <c r="V216" s="3">
        <f t="shared" si="79"/>
        <v>0.8</v>
      </c>
      <c r="W216" s="5">
        <f t="shared" si="80"/>
        <v>4.0000000000000001E-3</v>
      </c>
      <c r="X216" s="5">
        <f>IFERROR(IF(OR($B216="MID",$B216="FWD"),INDEX(FIXTURE_ANALYSIS!$Q:$Q,MATCH($D216,FIXTURE_ANALYSIS!$A:$A,0)),INDEX(FIXTURE_ANALYSIS!$R:$R,MATCH($D216,FIXTURE_ANALYSIS!$A:$A,0))),1)</f>
        <v>0.8</v>
      </c>
      <c r="Y216" s="5">
        <f t="shared" si="81"/>
        <v>0.8</v>
      </c>
      <c r="Z216" s="8">
        <f>INDEX(FPL_Raw_Data!$T:$T,MATCH(A216,FPL_Raw_Data!$AA:$AA,0))</f>
        <v>1</v>
      </c>
      <c r="AA216" s="8">
        <f>INDEX(FPL_Raw_Data!$S:$S,MATCH(A216,FPL_Raw_Data!$AA:$AA,0))</f>
        <v>11</v>
      </c>
      <c r="AB216" s="2">
        <f t="shared" si="82"/>
        <v>0.91666666666666663</v>
      </c>
      <c r="AC216" s="2">
        <f>INDEX(FPL_Raw_Data!$Q:$Q,MATCH(A216,FPL_Raw_Data!$AA:$AA,0))</f>
        <v>0</v>
      </c>
      <c r="AD216" s="8">
        <f>INDEX(FPL_Raw_Data!$R:$R,MATCH(A216,FPL_Raw_Data!$AA:$AA,0))</f>
        <v>20</v>
      </c>
      <c r="AE216" s="8">
        <f>INDEX(FPL_Raw_Data!$N:$N,MATCH(A216,FPL_Raw_Data!$AA:$AA,0))</f>
        <v>0</v>
      </c>
      <c r="AF216" s="8">
        <f>INDEX(FPL_Raw_Data!$L:$L,MATCH(A216,FPL_Raw_Data!$AA:$AA,0))</f>
        <v>0</v>
      </c>
      <c r="AG216" s="2">
        <f>INDEX(FPL_Raw_Data!$M:$M,MATCH(A216,FPL_Raw_Data!$AA:$AA,0))</f>
        <v>0</v>
      </c>
      <c r="AH216" s="2">
        <f t="shared" si="83"/>
        <v>0</v>
      </c>
      <c r="AI216" s="2">
        <f t="shared" si="84"/>
        <v>4.4999999999999998E-2</v>
      </c>
      <c r="AJ216" s="2">
        <f t="shared" si="85"/>
        <v>0.66666666666666663</v>
      </c>
      <c r="AK216" s="2">
        <f t="shared" si="86"/>
        <v>1.8333333333333333</v>
      </c>
      <c r="AL216" s="2">
        <f t="shared" si="87"/>
        <v>0</v>
      </c>
      <c r="AM216" s="2">
        <f t="shared" si="88"/>
        <v>0</v>
      </c>
      <c r="AN216" s="2">
        <f t="shared" si="89"/>
        <v>0</v>
      </c>
      <c r="AO216" s="3">
        <f t="shared" si="90"/>
        <v>58.4</v>
      </c>
      <c r="AP216">
        <f t="shared" si="91"/>
        <v>54.300000000000004</v>
      </c>
      <c r="AQ216">
        <f t="shared" si="92"/>
        <v>65.3</v>
      </c>
      <c r="AR216">
        <f t="shared" si="93"/>
        <v>54.7</v>
      </c>
      <c r="AS216" s="2">
        <f t="shared" si="94"/>
        <v>33.333333333333329</v>
      </c>
      <c r="AT216" s="2">
        <f>IFERROR(INDEX(Player_Model!$BC$2:$BC$596,MATCH($A216,Player_Model!$A$2:$A$596,0)),0)</f>
        <v>2.052</v>
      </c>
      <c r="AU216" s="2">
        <f>Table8[[#This Row],[Model Expected Points]]*Table8[[#This Row],[Fixture Adjustment]]</f>
        <v>1.6416000000000002</v>
      </c>
      <c r="AV216" s="2">
        <f>Table8[[#This Row],[Fixture Adjusted Points / 90]]/Table8[[#This Row],[Price]]</f>
        <v>0.32832000000000006</v>
      </c>
      <c r="AW216">
        <f t="shared" si="95"/>
        <v>56.35</v>
      </c>
      <c r="AX216">
        <f t="shared" si="96"/>
        <v>0</v>
      </c>
      <c r="AY216" s="2">
        <f t="shared" si="97"/>
        <v>33.333333333333329</v>
      </c>
      <c r="AZ216" s="5">
        <f t="shared" si="98"/>
        <v>0.8</v>
      </c>
      <c r="BA216">
        <f>Table8[[#This Row],[Model Score2]]</f>
        <v>2.052</v>
      </c>
      <c r="BB216">
        <f>IFERROR(INDEX(Player_Model!$BG$2:$BG$596,MATCH($A216,Player_Model!$A$2:$A$596,0)),"")</f>
        <v>25</v>
      </c>
      <c r="BC216" t="str">
        <f t="shared" si="99"/>
        <v>AVOID</v>
      </c>
      <c r="BD216">
        <f>IF(H216=1,Table8[[#This Row],[Model Score]],-10000)</f>
        <v>2.052</v>
      </c>
      <c r="BE216">
        <f>IFERROR(INDEX(Player_Model!$BF$2:$BF$596,MATCH($A216,Player_Model!$A$2:$A$596,0)),"")</f>
        <v>243</v>
      </c>
      <c r="BF216">
        <f>IFERROR(INDEX(Player_Model!$BG$2:$BG$596,MATCH($A216,Player_Model!$A$2:$A$596,0)),"")</f>
        <v>25</v>
      </c>
      <c r="BG216">
        <f>IFERROR(INDEX(Player_Model!$BE$2:$BE$596,MATCH($A216,Player_Model!$A$2:$A$596,0)),0)</f>
        <v>2.052</v>
      </c>
    </row>
    <row r="217" spans="1:59" x14ac:dyDescent="0.25">
      <c r="A217" t="str">
        <f>tblPlayers[first_name]&amp;" "&amp;tblPlayers[second_name]</f>
        <v>Ellis Simms</v>
      </c>
      <c r="B217" t="str">
        <f>_xlfn.SWITCH(tblPlayers[element_type],1,"GK",2,"DEF",3,"MID",4,"FWD")</f>
        <v>FWD</v>
      </c>
      <c r="C217">
        <f>tblPlayers[team]</f>
        <v>7</v>
      </c>
      <c r="D217" t="str">
        <f>INDEX(tblTeams[Column1.short_name],MATCH(C217,tblTeams[Column1.id],0))</f>
        <v>COV</v>
      </c>
      <c r="E217" s="4">
        <f>INDEX(FPL_Raw_Data!$F:$F,MATCH(A217,FPL_Raw_Data!$AA:$AA,0))/10</f>
        <v>5</v>
      </c>
      <c r="F217" s="4" t="str">
        <f>tblPlayers[[#This Row],[status]]</f>
        <v>a</v>
      </c>
      <c r="G217" s="4" t="b">
        <f>tblPlayers[[#This Row],[can_select]]</f>
        <v>1</v>
      </c>
      <c r="H217">
        <f>IF(AND(Table8[[#This Row],[Availability Status]]="a",Table8[[#This Row],[Can Select]]=TRUE),1,0)</f>
        <v>1</v>
      </c>
      <c r="I217">
        <f>tblPlayers[minutes]</f>
        <v>88</v>
      </c>
      <c r="J217" s="2">
        <f>Table8[[#This Row],[Minutes]]/90</f>
        <v>0.97777777777777775</v>
      </c>
      <c r="K217" s="5">
        <f>IFERROR(Z217/(FIXTURE_ANALYSIS!$B$1-1),0)</f>
        <v>0.33333333333333331</v>
      </c>
      <c r="L217">
        <f>tblPlayers[total_points]</f>
        <v>3</v>
      </c>
      <c r="M217">
        <f>tblPlayers[points_per_game]</f>
        <v>1.5</v>
      </c>
      <c r="N217">
        <f>tblPlayers[form]</f>
        <v>1</v>
      </c>
      <c r="O217">
        <f>tblPlayers[expected_goals]</f>
        <v>0.3</v>
      </c>
      <c r="P217">
        <f>tblPlayers[expected_assists]</f>
        <v>0.01</v>
      </c>
      <c r="Q217">
        <f>tblPlayers[expected_goal_involvements]</f>
        <v>0.31</v>
      </c>
      <c r="R217" s="2">
        <f t="shared" si="75"/>
        <v>3.0681818181818179</v>
      </c>
      <c r="S217" s="5">
        <f t="shared" si="76"/>
        <v>0.30681818181818182</v>
      </c>
      <c r="T217" s="5">
        <f t="shared" si="77"/>
        <v>1.0227272727272727E-2</v>
      </c>
      <c r="U217" s="5">
        <f t="shared" si="78"/>
        <v>0.31704545454545457</v>
      </c>
      <c r="V217" s="3">
        <f t="shared" si="79"/>
        <v>0.6</v>
      </c>
      <c r="W217" s="5">
        <f t="shared" si="80"/>
        <v>6.2E-2</v>
      </c>
      <c r="X217" s="5">
        <f>IFERROR(IF(OR($B217="MID",$B217="FWD"),INDEX(FIXTURE_ANALYSIS!$Q:$Q,MATCH($D217,FIXTURE_ANALYSIS!$A:$A,0)),INDEX(FIXTURE_ANALYSIS!$R:$R,MATCH($D217,FIXTURE_ANALYSIS!$A:$A,0))),1)</f>
        <v>0.8</v>
      </c>
      <c r="Y217" s="5">
        <f t="shared" si="81"/>
        <v>0.8</v>
      </c>
      <c r="Z217" s="8">
        <f>INDEX(FPL_Raw_Data!$T:$T,MATCH(A217,FPL_Raw_Data!$AA:$AA,0))</f>
        <v>1</v>
      </c>
      <c r="AA217" s="8">
        <f>INDEX(FPL_Raw_Data!$S:$S,MATCH(A217,FPL_Raw_Data!$AA:$AA,0))</f>
        <v>3</v>
      </c>
      <c r="AB217" s="2">
        <f t="shared" si="82"/>
        <v>0.25</v>
      </c>
      <c r="AC217" s="2">
        <f>INDEX(FPL_Raw_Data!$Q:$Q,MATCH(A217,FPL_Raw_Data!$AA:$AA,0))</f>
        <v>0</v>
      </c>
      <c r="AD217" s="8">
        <f>INDEX(FPL_Raw_Data!$R:$R,MATCH(A217,FPL_Raw_Data!$AA:$AA,0))</f>
        <v>10</v>
      </c>
      <c r="AE217" s="8">
        <f>INDEX(FPL_Raw_Data!$N:$N,MATCH(A217,FPL_Raw_Data!$AA:$AA,0))</f>
        <v>0</v>
      </c>
      <c r="AF217" s="8">
        <f>INDEX(FPL_Raw_Data!$L:$L,MATCH(A217,FPL_Raw_Data!$AA:$AA,0))</f>
        <v>0</v>
      </c>
      <c r="AG217" s="2">
        <f>INDEX(FPL_Raw_Data!$M:$M,MATCH(A217,FPL_Raw_Data!$AA:$AA,0))</f>
        <v>0</v>
      </c>
      <c r="AH217" s="2">
        <f t="shared" si="83"/>
        <v>1.2272727272727273</v>
      </c>
      <c r="AI217" s="2">
        <f t="shared" si="84"/>
        <v>3.0681818181818182E-2</v>
      </c>
      <c r="AJ217" s="2">
        <f t="shared" si="85"/>
        <v>0.66666666666666663</v>
      </c>
      <c r="AK217" s="2">
        <f t="shared" si="86"/>
        <v>0.5</v>
      </c>
      <c r="AL217" s="2">
        <f t="shared" si="87"/>
        <v>0</v>
      </c>
      <c r="AM217" s="2">
        <f t="shared" si="88"/>
        <v>0</v>
      </c>
      <c r="AN217" s="2">
        <f t="shared" si="89"/>
        <v>0</v>
      </c>
      <c r="AO217" s="3">
        <f t="shared" si="90"/>
        <v>60.6</v>
      </c>
      <c r="AP217">
        <f t="shared" si="91"/>
        <v>84.8</v>
      </c>
      <c r="AQ217">
        <f t="shared" si="92"/>
        <v>60.699999999999996</v>
      </c>
      <c r="AR217">
        <f t="shared" si="93"/>
        <v>77.900000000000006</v>
      </c>
      <c r="AS217" s="2">
        <f t="shared" si="94"/>
        <v>33.333333333333329</v>
      </c>
      <c r="AT217" s="2">
        <f>IFERROR(INDEX(Player_Model!$BC$2:$BC$596,MATCH($A217,Player_Model!$A$2:$A$596,0)),0)</f>
        <v>2.3042909090909087</v>
      </c>
      <c r="AU217" s="2">
        <f>Table8[[#This Row],[Model Expected Points]]*Table8[[#This Row],[Fixture Adjustment]]</f>
        <v>1.8434327272727271</v>
      </c>
      <c r="AV217" s="2">
        <f>Table8[[#This Row],[Fixture Adjusted Points / 90]]/Table8[[#This Row],[Price]]</f>
        <v>0.36868654545454543</v>
      </c>
      <c r="AW217">
        <f t="shared" si="95"/>
        <v>72.7</v>
      </c>
      <c r="AX217">
        <f t="shared" si="96"/>
        <v>0</v>
      </c>
      <c r="AY217" s="2">
        <f t="shared" si="97"/>
        <v>33.333333333333329</v>
      </c>
      <c r="AZ217" s="5">
        <f t="shared" si="98"/>
        <v>0.8</v>
      </c>
      <c r="BA217">
        <f>Table8[[#This Row],[Model Score2]]</f>
        <v>2.3042909090909087</v>
      </c>
      <c r="BB217">
        <f>IFERROR(INDEX(Player_Model!$BG$2:$BG$596,MATCH($A217,Player_Model!$A$2:$A$596,0)),"")</f>
        <v>24</v>
      </c>
      <c r="BC217" t="str">
        <f t="shared" si="99"/>
        <v>AVOID</v>
      </c>
      <c r="BD217">
        <f>IF(H217=1,Table8[[#This Row],[Model Score]],-10000)</f>
        <v>2.3042909090909087</v>
      </c>
      <c r="BE217">
        <f>IFERROR(INDEX(Player_Model!$BF$2:$BF$596,MATCH($A217,Player_Model!$A$2:$A$596,0)),"")</f>
        <v>233</v>
      </c>
      <c r="BF217">
        <f>IFERROR(INDEX(Player_Model!$BG$2:$BG$596,MATCH($A217,Player_Model!$A$2:$A$596,0)),"")</f>
        <v>24</v>
      </c>
      <c r="BG217">
        <f>IFERROR(INDEX(Player_Model!$BE$2:$BE$596,MATCH($A217,Player_Model!$A$2:$A$596,0)),0)</f>
        <v>2.3042909090909087</v>
      </c>
    </row>
    <row r="218" spans="1:59" x14ac:dyDescent="0.25">
      <c r="A218" t="str">
        <f>tblPlayers[first_name]&amp;" "&amp;tblPlayers[second_name]</f>
        <v>Jahnoah Markelo</v>
      </c>
      <c r="B218" t="str">
        <f>_xlfn.SWITCH(tblPlayers[element_type],1,"GK",2,"DEF",3,"MID",4,"FWD")</f>
        <v>FWD</v>
      </c>
      <c r="C218">
        <f>tblPlayers[team]</f>
        <v>7</v>
      </c>
      <c r="D218" t="str">
        <f>INDEX(tblTeams[Column1.short_name],MATCH(C218,tblTeams[Column1.id],0))</f>
        <v>COV</v>
      </c>
      <c r="E218" s="4">
        <f>INDEX(FPL_Raw_Data!$F:$F,MATCH(A218,FPL_Raw_Data!$AA:$AA,0))/10</f>
        <v>5</v>
      </c>
      <c r="F218" s="4" t="str">
        <f>tblPlayers[[#This Row],[status]]</f>
        <v>u</v>
      </c>
      <c r="G218" s="4" t="b">
        <f>tblPlayers[[#This Row],[can_select]]</f>
        <v>0</v>
      </c>
      <c r="H218">
        <f>IF(AND(Table8[[#This Row],[Availability Status]]="a",Table8[[#This Row],[Can Select]]=TRUE),1,0)</f>
        <v>0</v>
      </c>
      <c r="I218">
        <f>tblPlayers[minutes]</f>
        <v>0</v>
      </c>
      <c r="J218" s="2">
        <f>Table8[[#This Row],[Minutes]]/90</f>
        <v>0</v>
      </c>
      <c r="K218" s="5">
        <f>IFERROR(Z218/(FIXTURE_ANALYSIS!$B$1-1),0)</f>
        <v>0</v>
      </c>
      <c r="L218">
        <f>tblPlayers[total_points]</f>
        <v>0</v>
      </c>
      <c r="M218">
        <f>tblPlayers[points_per_game]</f>
        <v>0</v>
      </c>
      <c r="N218">
        <f>tblPlayers[form]</f>
        <v>0</v>
      </c>
      <c r="O218">
        <f>tblPlayers[expected_goals]</f>
        <v>0</v>
      </c>
      <c r="P218">
        <f>tblPlayers[expected_assists]</f>
        <v>0</v>
      </c>
      <c r="Q218">
        <f>tblPlayers[expected_goal_involvements]</f>
        <v>0</v>
      </c>
      <c r="R218" s="2">
        <f t="shared" si="75"/>
        <v>0</v>
      </c>
      <c r="S218" s="5">
        <f t="shared" si="76"/>
        <v>0</v>
      </c>
      <c r="T218" s="5">
        <f t="shared" si="77"/>
        <v>0</v>
      </c>
      <c r="U218" s="5">
        <f t="shared" si="78"/>
        <v>0</v>
      </c>
      <c r="V218" s="3">
        <f t="shared" si="79"/>
        <v>0</v>
      </c>
      <c r="W218" s="5">
        <f t="shared" si="80"/>
        <v>0</v>
      </c>
      <c r="X218" s="5">
        <f>IFERROR(IF(OR($B218="MID",$B218="FWD"),INDEX(FIXTURE_ANALYSIS!$Q:$Q,MATCH($D218,FIXTURE_ANALYSIS!$A:$A,0)),INDEX(FIXTURE_ANALYSIS!$R:$R,MATCH($D218,FIXTURE_ANALYSIS!$A:$A,0))),1)</f>
        <v>0.8</v>
      </c>
      <c r="Y218" s="5">
        <f t="shared" si="81"/>
        <v>0.8</v>
      </c>
      <c r="Z218" s="8">
        <f>INDEX(FPL_Raw_Data!$T:$T,MATCH(A218,FPL_Raw_Data!$AA:$AA,0))</f>
        <v>0</v>
      </c>
      <c r="AA218" s="8">
        <f>INDEX(FPL_Raw_Data!$S:$S,MATCH(A218,FPL_Raw_Data!$AA:$AA,0))</f>
        <v>0</v>
      </c>
      <c r="AB218" s="2">
        <f t="shared" si="82"/>
        <v>0</v>
      </c>
      <c r="AC218" s="2">
        <f>INDEX(FPL_Raw_Data!$Q:$Q,MATCH(A218,FPL_Raw_Data!$AA:$AA,0))</f>
        <v>0</v>
      </c>
      <c r="AD218" s="8">
        <f>INDEX(FPL_Raw_Data!$R:$R,MATCH(A218,FPL_Raw_Data!$AA:$AA,0))</f>
        <v>0</v>
      </c>
      <c r="AE218" s="8">
        <f>INDEX(FPL_Raw_Data!$N:$N,MATCH(A218,FPL_Raw_Data!$AA:$AA,0))</f>
        <v>0</v>
      </c>
      <c r="AF218" s="8">
        <f>INDEX(FPL_Raw_Data!$L:$L,MATCH(A218,FPL_Raw_Data!$AA:$AA,0))</f>
        <v>0</v>
      </c>
      <c r="AG218" s="2">
        <f>INDEX(FPL_Raw_Data!$M:$M,MATCH(A218,FPL_Raw_Data!$AA:$AA,0))</f>
        <v>0</v>
      </c>
      <c r="AH218" s="2">
        <f t="shared" si="83"/>
        <v>0</v>
      </c>
      <c r="AI218" s="2">
        <f t="shared" si="84"/>
        <v>0</v>
      </c>
      <c r="AJ218" s="2">
        <f t="shared" si="85"/>
        <v>0</v>
      </c>
      <c r="AK218" s="2">
        <f t="shared" si="86"/>
        <v>0</v>
      </c>
      <c r="AL218" s="2">
        <f t="shared" si="87"/>
        <v>0</v>
      </c>
      <c r="AM218" s="2">
        <f t="shared" si="88"/>
        <v>0</v>
      </c>
      <c r="AN218" s="2">
        <f t="shared" si="89"/>
        <v>0</v>
      </c>
      <c r="AO218" s="3">
        <f t="shared" si="90"/>
        <v>0.1</v>
      </c>
      <c r="AP218">
        <f t="shared" si="91"/>
        <v>0</v>
      </c>
      <c r="AQ218">
        <f t="shared" si="92"/>
        <v>0.1</v>
      </c>
      <c r="AR218">
        <f t="shared" si="93"/>
        <v>0</v>
      </c>
      <c r="AS218" s="2">
        <f t="shared" si="94"/>
        <v>0</v>
      </c>
      <c r="AT218" s="2">
        <f>IFERROR(INDEX(Player_Model!$BC$2:$BC$596,MATCH($A218,Player_Model!$A$2:$A$596,0)),0)</f>
        <v>0</v>
      </c>
      <c r="AU218" s="2">
        <f>Table8[[#This Row],[Model Expected Points]]*Table8[[#This Row],[Fixture Adjustment]]</f>
        <v>0</v>
      </c>
      <c r="AV218" s="2">
        <f>Table8[[#This Row],[Fixture Adjusted Points / 90]]/Table8[[#This Row],[Price]]</f>
        <v>0</v>
      </c>
      <c r="AW218">
        <f t="shared" si="95"/>
        <v>0.05</v>
      </c>
      <c r="AX218">
        <f t="shared" si="96"/>
        <v>0</v>
      </c>
      <c r="AY218" s="2">
        <f t="shared" si="97"/>
        <v>0</v>
      </c>
      <c r="AZ218" s="5">
        <f t="shared" si="98"/>
        <v>0.8</v>
      </c>
      <c r="BA218">
        <f>Table8[[#This Row],[Model Score2]]</f>
        <v>0</v>
      </c>
      <c r="BB218">
        <f>IFERROR(INDEX(Player_Model!$BG$2:$BG$596,MATCH($A218,Player_Model!$A$2:$A$596,0)),"")</f>
        <v>44</v>
      </c>
      <c r="BC218" t="str">
        <f t="shared" si="99"/>
        <v>AVOID</v>
      </c>
      <c r="BD218">
        <f>IF(H218=1,Table8[[#This Row],[Model Score]],-10000)</f>
        <v>-10000</v>
      </c>
      <c r="BE218">
        <f>IFERROR(INDEX(Player_Model!$BF$2:$BF$596,MATCH($A218,Player_Model!$A$2:$A$596,0)),"")</f>
        <v>253</v>
      </c>
      <c r="BF218">
        <f>IFERROR(INDEX(Player_Model!$BG$2:$BG$596,MATCH($A218,Player_Model!$A$2:$A$596,0)),"")</f>
        <v>44</v>
      </c>
      <c r="BG218">
        <f>IFERROR(INDEX(Player_Model!$BE$2:$BE$596,MATCH($A218,Player_Model!$A$2:$A$596,0)),0)</f>
        <v>0</v>
      </c>
    </row>
    <row r="219" spans="1:59" x14ac:dyDescent="0.25">
      <c r="A219" t="str">
        <f>tblPlayers[first_name]&amp;" "&amp;tblPlayers[second_name]</f>
        <v>Norman Bassette</v>
      </c>
      <c r="B219" t="str">
        <f>_xlfn.SWITCH(tblPlayers[element_type],1,"GK",2,"DEF",3,"MID",4,"FWD")</f>
        <v>FWD</v>
      </c>
      <c r="C219">
        <f>tblPlayers[team]</f>
        <v>7</v>
      </c>
      <c r="D219" t="str">
        <f>INDEX(tblTeams[Column1.short_name],MATCH(C219,tblTeams[Column1.id],0))</f>
        <v>COV</v>
      </c>
      <c r="E219" s="4">
        <f>INDEX(FPL_Raw_Data!$F:$F,MATCH(A219,FPL_Raw_Data!$AA:$AA,0))/10</f>
        <v>4.5</v>
      </c>
      <c r="F219" s="4" t="str">
        <f>tblPlayers[[#This Row],[status]]</f>
        <v>u</v>
      </c>
      <c r="G219" s="4" t="b">
        <f>tblPlayers[[#This Row],[can_select]]</f>
        <v>0</v>
      </c>
      <c r="H219">
        <f>IF(AND(Table8[[#This Row],[Availability Status]]="a",Table8[[#This Row],[Can Select]]=TRUE),1,0)</f>
        <v>0</v>
      </c>
      <c r="I219">
        <f>tblPlayers[minutes]</f>
        <v>0</v>
      </c>
      <c r="J219" s="2">
        <f>Table8[[#This Row],[Minutes]]/90</f>
        <v>0</v>
      </c>
      <c r="K219" s="5">
        <f>IFERROR(Z219/(FIXTURE_ANALYSIS!$B$1-1),0)</f>
        <v>0</v>
      </c>
      <c r="L219">
        <f>tblPlayers[total_points]</f>
        <v>0</v>
      </c>
      <c r="M219">
        <f>tblPlayers[points_per_game]</f>
        <v>0</v>
      </c>
      <c r="N219">
        <f>tblPlayers[form]</f>
        <v>0</v>
      </c>
      <c r="O219">
        <f>tblPlayers[expected_goals]</f>
        <v>0</v>
      </c>
      <c r="P219">
        <f>tblPlayers[expected_assists]</f>
        <v>0</v>
      </c>
      <c r="Q219">
        <f>tblPlayers[expected_goal_involvements]</f>
        <v>0</v>
      </c>
      <c r="R219" s="2">
        <f t="shared" si="75"/>
        <v>0</v>
      </c>
      <c r="S219" s="5">
        <f t="shared" si="76"/>
        <v>0</v>
      </c>
      <c r="T219" s="5">
        <f t="shared" si="77"/>
        <v>0</v>
      </c>
      <c r="U219" s="5">
        <f t="shared" si="78"/>
        <v>0</v>
      </c>
      <c r="V219" s="3">
        <f t="shared" si="79"/>
        <v>0</v>
      </c>
      <c r="W219" s="5">
        <f t="shared" si="80"/>
        <v>0</v>
      </c>
      <c r="X219" s="5">
        <f>IFERROR(IF(OR($B219="MID",$B219="FWD"),INDEX(FIXTURE_ANALYSIS!$Q:$Q,MATCH($D219,FIXTURE_ANALYSIS!$A:$A,0)),INDEX(FIXTURE_ANALYSIS!$R:$R,MATCH($D219,FIXTURE_ANALYSIS!$A:$A,0))),1)</f>
        <v>0.8</v>
      </c>
      <c r="Y219" s="5">
        <f t="shared" si="81"/>
        <v>0.8</v>
      </c>
      <c r="Z219" s="8">
        <f>INDEX(FPL_Raw_Data!$T:$T,MATCH(A219,FPL_Raw_Data!$AA:$AA,0))</f>
        <v>0</v>
      </c>
      <c r="AA219" s="8">
        <f>INDEX(FPL_Raw_Data!$S:$S,MATCH(A219,FPL_Raw_Data!$AA:$AA,0))</f>
        <v>0</v>
      </c>
      <c r="AB219" s="2">
        <f t="shared" si="82"/>
        <v>0</v>
      </c>
      <c r="AC219" s="2">
        <f>INDEX(FPL_Raw_Data!$Q:$Q,MATCH(A219,FPL_Raw_Data!$AA:$AA,0))</f>
        <v>0</v>
      </c>
      <c r="AD219" s="8">
        <f>INDEX(FPL_Raw_Data!$R:$R,MATCH(A219,FPL_Raw_Data!$AA:$AA,0))</f>
        <v>0</v>
      </c>
      <c r="AE219" s="8">
        <f>INDEX(FPL_Raw_Data!$N:$N,MATCH(A219,FPL_Raw_Data!$AA:$AA,0))</f>
        <v>0</v>
      </c>
      <c r="AF219" s="8">
        <f>INDEX(FPL_Raw_Data!$L:$L,MATCH(A219,FPL_Raw_Data!$AA:$AA,0))</f>
        <v>0</v>
      </c>
      <c r="AG219" s="2">
        <f>INDEX(FPL_Raw_Data!$M:$M,MATCH(A219,FPL_Raw_Data!$AA:$AA,0))</f>
        <v>0</v>
      </c>
      <c r="AH219" s="2">
        <f t="shared" si="83"/>
        <v>0</v>
      </c>
      <c r="AI219" s="2">
        <f t="shared" si="84"/>
        <v>0</v>
      </c>
      <c r="AJ219" s="2">
        <f t="shared" si="85"/>
        <v>0</v>
      </c>
      <c r="AK219" s="2">
        <f t="shared" si="86"/>
        <v>0</v>
      </c>
      <c r="AL219" s="2">
        <f t="shared" si="87"/>
        <v>0</v>
      </c>
      <c r="AM219" s="2">
        <f t="shared" si="88"/>
        <v>0</v>
      </c>
      <c r="AN219" s="2">
        <f t="shared" si="89"/>
        <v>0</v>
      </c>
      <c r="AO219" s="3">
        <f t="shared" si="90"/>
        <v>0.1</v>
      </c>
      <c r="AP219">
        <f t="shared" si="91"/>
        <v>0</v>
      </c>
      <c r="AQ219">
        <f t="shared" si="92"/>
        <v>0.1</v>
      </c>
      <c r="AR219">
        <f t="shared" si="93"/>
        <v>0</v>
      </c>
      <c r="AS219" s="2">
        <f t="shared" si="94"/>
        <v>0</v>
      </c>
      <c r="AT219" s="2">
        <f>IFERROR(INDEX(Player_Model!$BC$2:$BC$596,MATCH($A219,Player_Model!$A$2:$A$596,0)),0)</f>
        <v>0</v>
      </c>
      <c r="AU219" s="2">
        <f>Table8[[#This Row],[Model Expected Points]]*Table8[[#This Row],[Fixture Adjustment]]</f>
        <v>0</v>
      </c>
      <c r="AV219" s="2">
        <f>Table8[[#This Row],[Fixture Adjusted Points / 90]]/Table8[[#This Row],[Price]]</f>
        <v>0</v>
      </c>
      <c r="AW219">
        <f t="shared" si="95"/>
        <v>0.05</v>
      </c>
      <c r="AX219">
        <f t="shared" si="96"/>
        <v>0</v>
      </c>
      <c r="AY219" s="2">
        <f t="shared" si="97"/>
        <v>0</v>
      </c>
      <c r="AZ219" s="5">
        <f t="shared" si="98"/>
        <v>0.8</v>
      </c>
      <c r="BA219">
        <f>Table8[[#This Row],[Model Score2]]</f>
        <v>0</v>
      </c>
      <c r="BB219">
        <f>IFERROR(INDEX(Player_Model!$BG$2:$BG$596,MATCH($A219,Player_Model!$A$2:$A$596,0)),"")</f>
        <v>45</v>
      </c>
      <c r="BC219" t="str">
        <f t="shared" si="99"/>
        <v>AVOID</v>
      </c>
      <c r="BD219">
        <f>IF(H219=1,Table8[[#This Row],[Model Score]],-10000)</f>
        <v>-10000</v>
      </c>
      <c r="BE219">
        <f>IFERROR(INDEX(Player_Model!$BF$2:$BF$596,MATCH($A219,Player_Model!$A$2:$A$596,0)),"")</f>
        <v>253</v>
      </c>
      <c r="BF219">
        <f>IFERROR(INDEX(Player_Model!$BG$2:$BG$596,MATCH($A219,Player_Model!$A$2:$A$596,0)),"")</f>
        <v>45</v>
      </c>
      <c r="BG219">
        <f>IFERROR(INDEX(Player_Model!$BE$2:$BE$596,MATCH($A219,Player_Model!$A$2:$A$596,0)),0)</f>
        <v>0</v>
      </c>
    </row>
    <row r="220" spans="1:59" x14ac:dyDescent="0.25">
      <c r="A220" t="str">
        <f>tblPlayers[first_name]&amp;" "&amp;tblPlayers[second_name]</f>
        <v>Taiwo Awoniyi</v>
      </c>
      <c r="B220" t="str">
        <f>_xlfn.SWITCH(tblPlayers[element_type],1,"GK",2,"DEF",3,"MID",4,"FWD")</f>
        <v>FWD</v>
      </c>
      <c r="C220">
        <f>tblPlayers[team]</f>
        <v>7</v>
      </c>
      <c r="D220" t="str">
        <f>INDEX(tblTeams[Column1.short_name],MATCH(C220,tblTeams[Column1.id],0))</f>
        <v>COV</v>
      </c>
      <c r="E220" s="4">
        <f>INDEX(FPL_Raw_Data!$F:$F,MATCH(A220,FPL_Raw_Data!$AA:$AA,0))/10</f>
        <v>5.5</v>
      </c>
      <c r="F220" s="4" t="str">
        <f>tblPlayers[[#This Row],[status]]</f>
        <v>a</v>
      </c>
      <c r="G220" s="4" t="b">
        <f>tblPlayers[[#This Row],[can_select]]</f>
        <v>1</v>
      </c>
      <c r="H220">
        <f>IF(AND(Table8[[#This Row],[Availability Status]]="a",Table8[[#This Row],[Can Select]]=TRUE),1,0)</f>
        <v>1</v>
      </c>
      <c r="I220">
        <f>tblPlayers[minutes]</f>
        <v>180</v>
      </c>
      <c r="J220" s="2">
        <f>Table8[[#This Row],[Minutes]]/90</f>
        <v>2</v>
      </c>
      <c r="K220" s="5">
        <f>IFERROR(Z220/(FIXTURE_ANALYSIS!$B$1-1),0)</f>
        <v>0.66666666666666663</v>
      </c>
      <c r="L220">
        <f>tblPlayers[total_points]</f>
        <v>5</v>
      </c>
      <c r="M220">
        <f>tblPlayers[points_per_game]</f>
        <v>1.7</v>
      </c>
      <c r="N220">
        <f>tblPlayers[form]</f>
        <v>1.7</v>
      </c>
      <c r="O220">
        <f>tblPlayers[expected_goals]</f>
        <v>1.24</v>
      </c>
      <c r="P220">
        <f>tblPlayers[expected_assists]</f>
        <v>0.03</v>
      </c>
      <c r="Q220">
        <f>tblPlayers[expected_goal_involvements]</f>
        <v>1.27</v>
      </c>
      <c r="R220" s="2">
        <f t="shared" si="75"/>
        <v>2.5</v>
      </c>
      <c r="S220" s="5">
        <f t="shared" si="76"/>
        <v>0.62</v>
      </c>
      <c r="T220" s="5">
        <f t="shared" si="77"/>
        <v>1.4999999999999999E-2</v>
      </c>
      <c r="U220" s="5">
        <f t="shared" si="78"/>
        <v>0.63500000000000001</v>
      </c>
      <c r="V220" s="3">
        <f t="shared" si="79"/>
        <v>0.90909090909090906</v>
      </c>
      <c r="W220" s="5">
        <f t="shared" si="80"/>
        <v>0.23090909090909092</v>
      </c>
      <c r="X220" s="5">
        <f>IFERROR(IF(OR($B220="MID",$B220="FWD"),INDEX(FIXTURE_ANALYSIS!$Q:$Q,MATCH($D220,FIXTURE_ANALYSIS!$A:$A,0)),INDEX(FIXTURE_ANALYSIS!$R:$R,MATCH($D220,FIXTURE_ANALYSIS!$A:$A,0))),1)</f>
        <v>0.8</v>
      </c>
      <c r="Y220" s="5">
        <f t="shared" si="81"/>
        <v>0.8</v>
      </c>
      <c r="Z220" s="8">
        <f>INDEX(FPL_Raw_Data!$T:$T,MATCH(A220,FPL_Raw_Data!$AA:$AA,0))</f>
        <v>2</v>
      </c>
      <c r="AA220" s="8">
        <f>INDEX(FPL_Raw_Data!$S:$S,MATCH(A220,FPL_Raw_Data!$AA:$AA,0))</f>
        <v>9</v>
      </c>
      <c r="AB220" s="2">
        <f t="shared" si="82"/>
        <v>0.75</v>
      </c>
      <c r="AC220" s="2">
        <f>INDEX(FPL_Raw_Data!$Q:$Q,MATCH(A220,FPL_Raw_Data!$AA:$AA,0))</f>
        <v>0</v>
      </c>
      <c r="AD220" s="8">
        <f>INDEX(FPL_Raw_Data!$R:$R,MATCH(A220,FPL_Raw_Data!$AA:$AA,0))</f>
        <v>16</v>
      </c>
      <c r="AE220" s="8">
        <f>INDEX(FPL_Raw_Data!$N:$N,MATCH(A220,FPL_Raw_Data!$AA:$AA,0))</f>
        <v>0</v>
      </c>
      <c r="AF220" s="8">
        <f>INDEX(FPL_Raw_Data!$L:$L,MATCH(A220,FPL_Raw_Data!$AA:$AA,0))</f>
        <v>0</v>
      </c>
      <c r="AG220" s="2">
        <f>INDEX(FPL_Raw_Data!$M:$M,MATCH(A220,FPL_Raw_Data!$AA:$AA,0))</f>
        <v>0</v>
      </c>
      <c r="AH220" s="2">
        <f t="shared" si="83"/>
        <v>2.48</v>
      </c>
      <c r="AI220" s="2">
        <f t="shared" si="84"/>
        <v>4.4999999999999998E-2</v>
      </c>
      <c r="AJ220" s="2">
        <f t="shared" si="85"/>
        <v>1.3333333333333333</v>
      </c>
      <c r="AK220" s="2">
        <f t="shared" si="86"/>
        <v>1.5</v>
      </c>
      <c r="AL220" s="2">
        <f t="shared" si="87"/>
        <v>0</v>
      </c>
      <c r="AM220" s="2">
        <f t="shared" si="88"/>
        <v>0</v>
      </c>
      <c r="AN220" s="2">
        <f t="shared" si="89"/>
        <v>0</v>
      </c>
      <c r="AO220" s="3">
        <f t="shared" si="90"/>
        <v>52.800000000000004</v>
      </c>
      <c r="AP220">
        <f t="shared" si="91"/>
        <v>94.899999999999991</v>
      </c>
      <c r="AQ220">
        <f t="shared" si="92"/>
        <v>67.300000000000011</v>
      </c>
      <c r="AR220">
        <f t="shared" si="93"/>
        <v>96.2</v>
      </c>
      <c r="AS220" s="2">
        <f t="shared" si="94"/>
        <v>66.666666666666657</v>
      </c>
      <c r="AT220" s="2">
        <f>IFERROR(INDEX(Player_Model!$BC$2:$BC$596,MATCH($A220,Player_Model!$A$2:$A$596,0)),0)</f>
        <v>4.2402811295861547</v>
      </c>
      <c r="AU220" s="2">
        <f>Table8[[#This Row],[Model Expected Points]]*Table8[[#This Row],[Fixture Adjustment]]</f>
        <v>3.3922249036689238</v>
      </c>
      <c r="AV220" s="2">
        <f>Table8[[#This Row],[Fixture Adjusted Points / 90]]/Table8[[#This Row],[Price]]</f>
        <v>0.61676816430344072</v>
      </c>
      <c r="AW220">
        <f t="shared" si="95"/>
        <v>73.849999999999994</v>
      </c>
      <c r="AX220">
        <f t="shared" si="96"/>
        <v>0</v>
      </c>
      <c r="AY220" s="2">
        <f t="shared" si="97"/>
        <v>66.666666666666657</v>
      </c>
      <c r="AZ220" s="5">
        <f t="shared" si="98"/>
        <v>0.8</v>
      </c>
      <c r="BA220">
        <f>Table8[[#This Row],[Model Score2]]</f>
        <v>4.2402811295861547</v>
      </c>
      <c r="BB220">
        <f>IFERROR(INDEX(Player_Model!$BG$2:$BG$596,MATCH($A220,Player_Model!$A$2:$A$596,0)),"")</f>
        <v>16</v>
      </c>
      <c r="BC220" t="str">
        <f t="shared" si="99"/>
        <v>AVOID</v>
      </c>
      <c r="BD220">
        <f>IF(H220=1,Table8[[#This Row],[Model Score]],-10000)</f>
        <v>4.2402811295861547</v>
      </c>
      <c r="BE220">
        <f>IFERROR(INDEX(Player_Model!$BF$2:$BF$596,MATCH($A220,Player_Model!$A$2:$A$596,0)),"")</f>
        <v>141</v>
      </c>
      <c r="BF220">
        <f>IFERROR(INDEX(Player_Model!$BG$2:$BG$596,MATCH($A220,Player_Model!$A$2:$A$596,0)),"")</f>
        <v>16</v>
      </c>
      <c r="BG220">
        <f>IFERROR(INDEX(Player_Model!$BE$2:$BE$596,MATCH($A220,Player_Model!$A$2:$A$596,0)),0)</f>
        <v>4.2402811295861547</v>
      </c>
    </row>
    <row r="221" spans="1:59" x14ac:dyDescent="0.25">
      <c r="A221" t="str">
        <f>tblPlayers[first_name]&amp;" "&amp;tblPlayers[second_name]</f>
        <v>Caleb Yirenkyi</v>
      </c>
      <c r="B221" t="str">
        <f>_xlfn.SWITCH(tblPlayers[element_type],1,"GK",2,"DEF",3,"MID",4,"FWD")</f>
        <v>MID</v>
      </c>
      <c r="C221">
        <f>tblPlayers[team]</f>
        <v>7</v>
      </c>
      <c r="D221" t="str">
        <f>INDEX(tblTeams[Column1.short_name],MATCH(C221,tblTeams[Column1.id],0))</f>
        <v>COV</v>
      </c>
      <c r="E221" s="4">
        <f>INDEX(FPL_Raw_Data!$F:$F,MATCH(A221,FPL_Raw_Data!$AA:$AA,0))/10</f>
        <v>4.9000000000000004</v>
      </c>
      <c r="F221" s="4" t="str">
        <f>tblPlayers[[#This Row],[status]]</f>
        <v>a</v>
      </c>
      <c r="G221" s="4" t="b">
        <f>tblPlayers[[#This Row],[can_select]]</f>
        <v>1</v>
      </c>
      <c r="H221">
        <f>IF(AND(Table8[[#This Row],[Availability Status]]="a",Table8[[#This Row],[Can Select]]=TRUE),1,0)</f>
        <v>1</v>
      </c>
      <c r="I221">
        <f>tblPlayers[minutes]</f>
        <v>158</v>
      </c>
      <c r="J221" s="2">
        <f>Table8[[#This Row],[Minutes]]/90</f>
        <v>1.7555555555555555</v>
      </c>
      <c r="K221" s="5">
        <f>IFERROR(Z221/(FIXTURE_ANALYSIS!$B$1-1),0)</f>
        <v>0.66666666666666663</v>
      </c>
      <c r="L221">
        <f>tblPlayers[total_points]</f>
        <v>5</v>
      </c>
      <c r="M221">
        <f>tblPlayers[points_per_game]</f>
        <v>1.7</v>
      </c>
      <c r="N221">
        <f>tblPlayers[form]</f>
        <v>1.7</v>
      </c>
      <c r="O221">
        <f>tblPlayers[expected_goals]</f>
        <v>0.03</v>
      </c>
      <c r="P221">
        <f>tblPlayers[expected_assists]</f>
        <v>0.13</v>
      </c>
      <c r="Q221">
        <f>tblPlayers[expected_goal_involvements]</f>
        <v>0.16</v>
      </c>
      <c r="R221" s="2">
        <f t="shared" si="75"/>
        <v>2.8481012658227849</v>
      </c>
      <c r="S221" s="5">
        <f t="shared" si="76"/>
        <v>1.708860759493671E-2</v>
      </c>
      <c r="T221" s="5">
        <f t="shared" si="77"/>
        <v>7.4050632911392397E-2</v>
      </c>
      <c r="U221" s="5">
        <f t="shared" si="78"/>
        <v>9.1139240506329114E-2</v>
      </c>
      <c r="V221" s="3">
        <f t="shared" si="79"/>
        <v>1.0204081632653061</v>
      </c>
      <c r="W221" s="5">
        <f t="shared" si="80"/>
        <v>3.2653061224489792E-2</v>
      </c>
      <c r="X221" s="5">
        <f>IFERROR(IF(OR($B221="MID",$B221="FWD"),INDEX(FIXTURE_ANALYSIS!$Q:$Q,MATCH($D221,FIXTURE_ANALYSIS!$A:$A,0)),INDEX(FIXTURE_ANALYSIS!$R:$R,MATCH($D221,FIXTURE_ANALYSIS!$A:$A,0))),1)</f>
        <v>0.8</v>
      </c>
      <c r="Y221" s="5">
        <f t="shared" si="81"/>
        <v>0.8</v>
      </c>
      <c r="Z221" s="8">
        <f>INDEX(FPL_Raw_Data!$T:$T,MATCH(A221,FPL_Raw_Data!$AA:$AA,0))</f>
        <v>2</v>
      </c>
      <c r="AA221" s="8">
        <f>INDEX(FPL_Raw_Data!$S:$S,MATCH(A221,FPL_Raw_Data!$AA:$AA,0))</f>
        <v>16</v>
      </c>
      <c r="AB221" s="2">
        <f t="shared" si="82"/>
        <v>1</v>
      </c>
      <c r="AC221" s="2">
        <f>INDEX(FPL_Raw_Data!$Q:$Q,MATCH(A221,FPL_Raw_Data!$AA:$AA,0))</f>
        <v>0</v>
      </c>
      <c r="AD221" s="8">
        <f>INDEX(FPL_Raw_Data!$R:$R,MATCH(A221,FPL_Raw_Data!$AA:$AA,0))</f>
        <v>23</v>
      </c>
      <c r="AE221" s="8">
        <f>INDEX(FPL_Raw_Data!$N:$N,MATCH(A221,FPL_Raw_Data!$AA:$AA,0))</f>
        <v>1</v>
      </c>
      <c r="AF221" s="8">
        <f>INDEX(FPL_Raw_Data!$L:$L,MATCH(A221,FPL_Raw_Data!$AA:$AA,0))</f>
        <v>0</v>
      </c>
      <c r="AG221" s="2">
        <f>INDEX(FPL_Raw_Data!$M:$M,MATCH(A221,FPL_Raw_Data!$AA:$AA,0))</f>
        <v>0</v>
      </c>
      <c r="AH221" s="2">
        <f t="shared" si="83"/>
        <v>8.5443037974683556E-2</v>
      </c>
      <c r="AI221" s="2">
        <f t="shared" si="84"/>
        <v>0.22215189873417718</v>
      </c>
      <c r="AJ221" s="2">
        <f t="shared" si="85"/>
        <v>1.3333333333333333</v>
      </c>
      <c r="AK221" s="2">
        <f t="shared" si="86"/>
        <v>2</v>
      </c>
      <c r="AL221" s="2">
        <f t="shared" si="87"/>
        <v>0.5</v>
      </c>
      <c r="AM221" s="2">
        <f t="shared" si="88"/>
        <v>0.5</v>
      </c>
      <c r="AN221" s="2">
        <f t="shared" si="89"/>
        <v>0</v>
      </c>
      <c r="AO221" s="3">
        <f t="shared" si="90"/>
        <v>56.899999999999991</v>
      </c>
      <c r="AP221">
        <f t="shared" si="91"/>
        <v>67.100000000000009</v>
      </c>
      <c r="AQ221">
        <f t="shared" si="92"/>
        <v>70</v>
      </c>
      <c r="AR221">
        <f t="shared" si="93"/>
        <v>71</v>
      </c>
      <c r="AS221" s="2">
        <f t="shared" si="94"/>
        <v>66.666666666666657</v>
      </c>
      <c r="AT221" s="2">
        <f>IFERROR(INDEX(Player_Model!$BC$2:$BC$596,MATCH($A221,Player_Model!$A$2:$A$596,0)),0)</f>
        <v>3.4612658227848101</v>
      </c>
      <c r="AU221" s="2">
        <f>Table8[[#This Row],[Model Expected Points]]*Table8[[#This Row],[Fixture Adjustment]]</f>
        <v>2.7690126582278483</v>
      </c>
      <c r="AV221" s="2">
        <f>Table8[[#This Row],[Fixture Adjusted Points / 90]]/Table8[[#This Row],[Price]]</f>
        <v>0.56510462412813223</v>
      </c>
      <c r="AW221">
        <f t="shared" si="95"/>
        <v>62</v>
      </c>
      <c r="AX221">
        <f t="shared" si="96"/>
        <v>1</v>
      </c>
      <c r="AY221" s="2">
        <f t="shared" si="97"/>
        <v>66.666666666666657</v>
      </c>
      <c r="AZ221" s="5">
        <f t="shared" si="98"/>
        <v>0.8</v>
      </c>
      <c r="BA221">
        <f>Table8[[#This Row],[Model Score2]]</f>
        <v>3.4612658227848101</v>
      </c>
      <c r="BB221">
        <f>IFERROR(INDEX(Player_Model!$BG$2:$BG$596,MATCH($A221,Player_Model!$A$2:$A$596,0)),"")</f>
        <v>92</v>
      </c>
      <c r="BC221" t="str">
        <f t="shared" si="99"/>
        <v>AVOID</v>
      </c>
      <c r="BD221">
        <f>IF(H221=1,Table8[[#This Row],[Model Score]],-10000)</f>
        <v>3.4612658227848101</v>
      </c>
      <c r="BE221">
        <f>IFERROR(INDEX(Player_Model!$BF$2:$BF$596,MATCH($A221,Player_Model!$A$2:$A$596,0)),"")</f>
        <v>179</v>
      </c>
      <c r="BF221">
        <f>IFERROR(INDEX(Player_Model!$BG$2:$BG$596,MATCH($A221,Player_Model!$A$2:$A$596,0)),"")</f>
        <v>92</v>
      </c>
      <c r="BG221">
        <f>IFERROR(INDEX(Player_Model!$BE$2:$BE$596,MATCH($A221,Player_Model!$A$2:$A$596,0)),0)</f>
        <v>3.4612658227848101</v>
      </c>
    </row>
    <row r="222" spans="1:59" x14ac:dyDescent="0.25">
      <c r="A222" t="str">
        <f>tblPlayers[first_name]&amp;" "&amp;tblPlayers[second_name]</f>
        <v>Gustavo Hamer</v>
      </c>
      <c r="B222" t="str">
        <f>_xlfn.SWITCH(tblPlayers[element_type],1,"GK",2,"DEF",3,"MID",4,"FWD")</f>
        <v>MID</v>
      </c>
      <c r="C222">
        <f>tblPlayers[team]</f>
        <v>7</v>
      </c>
      <c r="D222" t="str">
        <f>INDEX(tblTeams[Column1.short_name],MATCH(C222,tblTeams[Column1.id],0))</f>
        <v>COV</v>
      </c>
      <c r="E222" s="4">
        <f>INDEX(FPL_Raw_Data!$F:$F,MATCH(A222,FPL_Raw_Data!$AA:$AA,0))/10</f>
        <v>5.4</v>
      </c>
      <c r="F222" s="4" t="str">
        <f>tblPlayers[[#This Row],[status]]</f>
        <v>a</v>
      </c>
      <c r="G222" s="4" t="b">
        <f>tblPlayers[[#This Row],[can_select]]</f>
        <v>1</v>
      </c>
      <c r="H222">
        <f>IF(AND(Table8[[#This Row],[Availability Status]]="a",Table8[[#This Row],[Can Select]]=TRUE),1,0)</f>
        <v>1</v>
      </c>
      <c r="I222">
        <f>tblPlayers[minutes]</f>
        <v>32</v>
      </c>
      <c r="J222" s="2">
        <f>Table8[[#This Row],[Minutes]]/90</f>
        <v>0.35555555555555557</v>
      </c>
      <c r="K222" s="5">
        <f>IFERROR(Z222/(FIXTURE_ANALYSIS!$B$1-1),0)</f>
        <v>0</v>
      </c>
      <c r="L222">
        <f>tblPlayers[total_points]</f>
        <v>3</v>
      </c>
      <c r="M222">
        <f>tblPlayers[points_per_game]</f>
        <v>1</v>
      </c>
      <c r="N222">
        <f>tblPlayers[form]</f>
        <v>1</v>
      </c>
      <c r="O222">
        <f>tblPlayers[expected_goals]</f>
        <v>0</v>
      </c>
      <c r="P222">
        <f>tblPlayers[expected_assists]</f>
        <v>0.02</v>
      </c>
      <c r="Q222">
        <f>tblPlayers[expected_goal_involvements]</f>
        <v>0.02</v>
      </c>
      <c r="R222" s="2">
        <f t="shared" si="75"/>
        <v>8.4375</v>
      </c>
      <c r="S222" s="5">
        <f t="shared" si="76"/>
        <v>0</v>
      </c>
      <c r="T222" s="5">
        <f t="shared" si="77"/>
        <v>5.6250000000000001E-2</v>
      </c>
      <c r="U222" s="5">
        <f t="shared" si="78"/>
        <v>5.6250000000000001E-2</v>
      </c>
      <c r="V222" s="3">
        <f t="shared" si="79"/>
        <v>0.55555555555555547</v>
      </c>
      <c r="W222" s="5">
        <f t="shared" si="80"/>
        <v>3.7037037037037034E-3</v>
      </c>
      <c r="X222" s="5">
        <f>IFERROR(IF(OR($B222="MID",$B222="FWD"),INDEX(FIXTURE_ANALYSIS!$Q:$Q,MATCH($D222,FIXTURE_ANALYSIS!$A:$A,0)),INDEX(FIXTURE_ANALYSIS!$R:$R,MATCH($D222,FIXTURE_ANALYSIS!$A:$A,0))),1)</f>
        <v>0.8</v>
      </c>
      <c r="Y222" s="5">
        <f t="shared" si="81"/>
        <v>0.8</v>
      </c>
      <c r="Z222" s="8">
        <f>INDEX(FPL_Raw_Data!$T:$T,MATCH(A222,FPL_Raw_Data!$AA:$AA,0))</f>
        <v>0</v>
      </c>
      <c r="AA222" s="8">
        <f>INDEX(FPL_Raw_Data!$S:$S,MATCH(A222,FPL_Raw_Data!$AA:$AA,0))</f>
        <v>3</v>
      </c>
      <c r="AB222" s="2">
        <f t="shared" si="82"/>
        <v>0.25</v>
      </c>
      <c r="AC222" s="2">
        <f>INDEX(FPL_Raw_Data!$Q:$Q,MATCH(A222,FPL_Raw_Data!$AA:$AA,0))</f>
        <v>0</v>
      </c>
      <c r="AD222" s="8">
        <f>INDEX(FPL_Raw_Data!$R:$R,MATCH(A222,FPL_Raw_Data!$AA:$AA,0))</f>
        <v>6</v>
      </c>
      <c r="AE222" s="8">
        <f>INDEX(FPL_Raw_Data!$N:$N,MATCH(A222,FPL_Raw_Data!$AA:$AA,0))</f>
        <v>0</v>
      </c>
      <c r="AF222" s="8">
        <f>INDEX(FPL_Raw_Data!$L:$L,MATCH(A222,FPL_Raw_Data!$AA:$AA,0))</f>
        <v>0</v>
      </c>
      <c r="AG222" s="2">
        <f>INDEX(FPL_Raw_Data!$M:$M,MATCH(A222,FPL_Raw_Data!$AA:$AA,0))</f>
        <v>0</v>
      </c>
      <c r="AH222" s="2">
        <f t="shared" si="83"/>
        <v>0</v>
      </c>
      <c r="AI222" s="2">
        <f t="shared" si="84"/>
        <v>0.16875000000000001</v>
      </c>
      <c r="AJ222" s="2">
        <f t="shared" si="85"/>
        <v>0</v>
      </c>
      <c r="AK222" s="2">
        <f t="shared" si="86"/>
        <v>0.5</v>
      </c>
      <c r="AL222" s="2">
        <f t="shared" si="87"/>
        <v>0</v>
      </c>
      <c r="AM222" s="2">
        <f t="shared" si="88"/>
        <v>0</v>
      </c>
      <c r="AN222" s="2">
        <f t="shared" si="89"/>
        <v>0</v>
      </c>
      <c r="AO222" s="3">
        <f t="shared" si="90"/>
        <v>90.7</v>
      </c>
      <c r="AP222">
        <f t="shared" si="91"/>
        <v>62.6</v>
      </c>
      <c r="AQ222">
        <f t="shared" si="92"/>
        <v>59.699999999999996</v>
      </c>
      <c r="AR222">
        <f t="shared" si="93"/>
        <v>54.300000000000004</v>
      </c>
      <c r="AS222" s="2">
        <f t="shared" si="94"/>
        <v>0</v>
      </c>
      <c r="AT222" s="2">
        <f>IFERROR(INDEX(Player_Model!$BC$2:$BC$596,MATCH($A222,Player_Model!$A$2:$A$596,0)),0)</f>
        <v>0</v>
      </c>
      <c r="AU222" s="2">
        <f>Table8[[#This Row],[Model Expected Points]]*Table8[[#This Row],[Fixture Adjustment]]</f>
        <v>0</v>
      </c>
      <c r="AV222" s="2">
        <f>Table8[[#This Row],[Fixture Adjusted Points / 90]]/Table8[[#This Row],[Price]]</f>
        <v>0</v>
      </c>
      <c r="AW222">
        <f t="shared" si="95"/>
        <v>76.650000000000006</v>
      </c>
      <c r="AX222">
        <f t="shared" si="96"/>
        <v>0.25</v>
      </c>
      <c r="AY222" s="2">
        <f t="shared" si="97"/>
        <v>0</v>
      </c>
      <c r="AZ222" s="5">
        <f t="shared" si="98"/>
        <v>0.8</v>
      </c>
      <c r="BA222">
        <f>Table8[[#This Row],[Model Score2]]</f>
        <v>0</v>
      </c>
      <c r="BB222">
        <f>IFERROR(INDEX(Player_Model!$BG$2:$BG$596,MATCH($A222,Player_Model!$A$2:$A$596,0)),"")</f>
        <v>167</v>
      </c>
      <c r="BC222" t="str">
        <f t="shared" si="99"/>
        <v>AVOID</v>
      </c>
      <c r="BD222">
        <f>IF(H222=1,Table8[[#This Row],[Model Score]],-10000)</f>
        <v>0</v>
      </c>
      <c r="BE222">
        <f>IFERROR(INDEX(Player_Model!$BF$2:$BF$596,MATCH($A222,Player_Model!$A$2:$A$596,0)),"")</f>
        <v>253</v>
      </c>
      <c r="BF222">
        <f>IFERROR(INDEX(Player_Model!$BG$2:$BG$596,MATCH($A222,Player_Model!$A$2:$A$596,0)),"")</f>
        <v>167</v>
      </c>
      <c r="BG222">
        <f>IFERROR(INDEX(Player_Model!$BE$2:$BE$596,MATCH($A222,Player_Model!$A$2:$A$596,0)),0)</f>
        <v>0</v>
      </c>
    </row>
    <row r="223" spans="1:59" x14ac:dyDescent="0.25">
      <c r="A223" t="str">
        <f>tblPlayers[first_name]&amp;" "&amp;tblPlayers[second_name]</f>
        <v>Sidiki Cherif</v>
      </c>
      <c r="B223" t="str">
        <f>_xlfn.SWITCH(tblPlayers[element_type],1,"GK",2,"DEF",3,"MID",4,"FWD")</f>
        <v>FWD</v>
      </c>
      <c r="C223">
        <f>tblPlayers[team]</f>
        <v>7</v>
      </c>
      <c r="D223" t="str">
        <f>INDEX(tblTeams[Column1.short_name],MATCH(C223,tblTeams[Column1.id],0))</f>
        <v>COV</v>
      </c>
      <c r="E223" s="4">
        <f>INDEX(FPL_Raw_Data!$F:$F,MATCH(A223,FPL_Raw_Data!$AA:$AA,0))/10</f>
        <v>5</v>
      </c>
      <c r="F223" s="4" t="str">
        <f>tblPlayers[[#This Row],[status]]</f>
        <v>a</v>
      </c>
      <c r="G223" s="4" t="b">
        <f>tblPlayers[[#This Row],[can_select]]</f>
        <v>1</v>
      </c>
      <c r="H223">
        <f>IF(AND(Table8[[#This Row],[Availability Status]]="a",Table8[[#This Row],[Can Select]]=TRUE),1,0)</f>
        <v>1</v>
      </c>
      <c r="I223">
        <f>tblPlayers[minutes]</f>
        <v>0</v>
      </c>
      <c r="J223" s="2">
        <f>Table8[[#This Row],[Minutes]]/90</f>
        <v>0</v>
      </c>
      <c r="K223" s="5">
        <f>IFERROR(Z223/(FIXTURE_ANALYSIS!$B$1-1),0)</f>
        <v>0</v>
      </c>
      <c r="L223">
        <f>tblPlayers[total_points]</f>
        <v>0</v>
      </c>
      <c r="M223">
        <f>tblPlayers[points_per_game]</f>
        <v>0</v>
      </c>
      <c r="N223">
        <f>tblPlayers[form]</f>
        <v>0</v>
      </c>
      <c r="O223">
        <f>tblPlayers[expected_goals]</f>
        <v>0</v>
      </c>
      <c r="P223">
        <f>tblPlayers[expected_assists]</f>
        <v>0</v>
      </c>
      <c r="Q223">
        <f>tblPlayers[expected_goal_involvements]</f>
        <v>0</v>
      </c>
      <c r="R223" s="2">
        <f t="shared" si="75"/>
        <v>0</v>
      </c>
      <c r="S223" s="5">
        <f t="shared" si="76"/>
        <v>0</v>
      </c>
      <c r="T223" s="5">
        <f t="shared" si="77"/>
        <v>0</v>
      </c>
      <c r="U223" s="5">
        <f t="shared" si="78"/>
        <v>0</v>
      </c>
      <c r="V223" s="3">
        <f t="shared" si="79"/>
        <v>0</v>
      </c>
      <c r="W223" s="5">
        <f t="shared" si="80"/>
        <v>0</v>
      </c>
      <c r="X223" s="5">
        <f>IFERROR(IF(OR($B223="MID",$B223="FWD"),INDEX(FIXTURE_ANALYSIS!$Q:$Q,MATCH($D223,FIXTURE_ANALYSIS!$A:$A,0)),INDEX(FIXTURE_ANALYSIS!$R:$R,MATCH($D223,FIXTURE_ANALYSIS!$A:$A,0))),1)</f>
        <v>0.8</v>
      </c>
      <c r="Y223" s="5">
        <f t="shared" si="81"/>
        <v>0.8</v>
      </c>
      <c r="Z223" s="8">
        <f>INDEX(FPL_Raw_Data!$T:$T,MATCH(A223,FPL_Raw_Data!$AA:$AA,0))</f>
        <v>0</v>
      </c>
      <c r="AA223" s="8">
        <f>INDEX(FPL_Raw_Data!$S:$S,MATCH(A223,FPL_Raw_Data!$AA:$AA,0))</f>
        <v>0</v>
      </c>
      <c r="AB223" s="2">
        <f t="shared" si="82"/>
        <v>0</v>
      </c>
      <c r="AC223" s="2">
        <f>INDEX(FPL_Raw_Data!$Q:$Q,MATCH(A223,FPL_Raw_Data!$AA:$AA,0))</f>
        <v>0</v>
      </c>
      <c r="AD223" s="8">
        <f>INDEX(FPL_Raw_Data!$R:$R,MATCH(A223,FPL_Raw_Data!$AA:$AA,0))</f>
        <v>0</v>
      </c>
      <c r="AE223" s="8">
        <f>INDEX(FPL_Raw_Data!$N:$N,MATCH(A223,FPL_Raw_Data!$AA:$AA,0))</f>
        <v>0</v>
      </c>
      <c r="AF223" s="8">
        <f>INDEX(FPL_Raw_Data!$L:$L,MATCH(A223,FPL_Raw_Data!$AA:$AA,0))</f>
        <v>0</v>
      </c>
      <c r="AG223" s="2">
        <f>INDEX(FPL_Raw_Data!$M:$M,MATCH(A223,FPL_Raw_Data!$AA:$AA,0))</f>
        <v>0</v>
      </c>
      <c r="AH223" s="2">
        <f t="shared" si="83"/>
        <v>0</v>
      </c>
      <c r="AI223" s="2">
        <f t="shared" si="84"/>
        <v>0</v>
      </c>
      <c r="AJ223" s="2">
        <f t="shared" si="85"/>
        <v>0</v>
      </c>
      <c r="AK223" s="2">
        <f t="shared" si="86"/>
        <v>0</v>
      </c>
      <c r="AL223" s="2">
        <f t="shared" si="87"/>
        <v>0</v>
      </c>
      <c r="AM223" s="2">
        <f t="shared" si="88"/>
        <v>0</v>
      </c>
      <c r="AN223" s="2">
        <f t="shared" si="89"/>
        <v>0</v>
      </c>
      <c r="AO223" s="3">
        <f t="shared" si="90"/>
        <v>0.1</v>
      </c>
      <c r="AP223">
        <f t="shared" si="91"/>
        <v>0</v>
      </c>
      <c r="AQ223">
        <f t="shared" si="92"/>
        <v>0.1</v>
      </c>
      <c r="AR223">
        <f t="shared" si="93"/>
        <v>0</v>
      </c>
      <c r="AS223" s="2">
        <f t="shared" si="94"/>
        <v>0</v>
      </c>
      <c r="AT223" s="2">
        <f>IFERROR(INDEX(Player_Model!$BC$2:$BC$596,MATCH($A223,Player_Model!$A$2:$A$596,0)),0)</f>
        <v>0</v>
      </c>
      <c r="AU223" s="2">
        <f>Table8[[#This Row],[Model Expected Points]]*Table8[[#This Row],[Fixture Adjustment]]</f>
        <v>0</v>
      </c>
      <c r="AV223" s="2">
        <f>Table8[[#This Row],[Fixture Adjusted Points / 90]]/Table8[[#This Row],[Price]]</f>
        <v>0</v>
      </c>
      <c r="AW223">
        <f t="shared" si="95"/>
        <v>0.05</v>
      </c>
      <c r="AX223">
        <f t="shared" si="96"/>
        <v>0</v>
      </c>
      <c r="AY223" s="2">
        <f t="shared" si="97"/>
        <v>0</v>
      </c>
      <c r="AZ223" s="5">
        <f t="shared" si="98"/>
        <v>0.8</v>
      </c>
      <c r="BA223">
        <f>Table8[[#This Row],[Model Score2]]</f>
        <v>0</v>
      </c>
      <c r="BB223">
        <f>IFERROR(INDEX(Player_Model!$BG$2:$BG$596,MATCH($A223,Player_Model!$A$2:$A$596,0)),"")</f>
        <v>46</v>
      </c>
      <c r="BC223" t="str">
        <f t="shared" si="99"/>
        <v>AVOID</v>
      </c>
      <c r="BD223">
        <f>IF(H223=1,Table8[[#This Row],[Model Score]],-10000)</f>
        <v>0</v>
      </c>
      <c r="BE223">
        <f>IFERROR(INDEX(Player_Model!$BF$2:$BF$596,MATCH($A223,Player_Model!$A$2:$A$596,0)),"")</f>
        <v>253</v>
      </c>
      <c r="BF223">
        <f>IFERROR(INDEX(Player_Model!$BG$2:$BG$596,MATCH($A223,Player_Model!$A$2:$A$596,0)),"")</f>
        <v>46</v>
      </c>
      <c r="BG223">
        <f>IFERROR(INDEX(Player_Model!$BE$2:$BE$596,MATCH($A223,Player_Model!$A$2:$A$596,0)),0)</f>
        <v>0</v>
      </c>
    </row>
    <row r="224" spans="1:59" x14ac:dyDescent="0.25">
      <c r="A224" t="str">
        <f>tblPlayers[first_name]&amp;" "&amp;tblPlayers[second_name]</f>
        <v>Dan Bentley</v>
      </c>
      <c r="B224" t="str">
        <f>_xlfn.SWITCH(tblPlayers[element_type],1,"GK",2,"DEF",3,"MID",4,"FWD")</f>
        <v>GK</v>
      </c>
      <c r="C224">
        <f>tblPlayers[team]</f>
        <v>7</v>
      </c>
      <c r="D224" t="str">
        <f>INDEX(tblTeams[Column1.short_name],MATCH(C224,tblTeams[Column1.id],0))</f>
        <v>COV</v>
      </c>
      <c r="E224" s="4">
        <f>INDEX(FPL_Raw_Data!$F:$F,MATCH(A224,FPL_Raw_Data!$AA:$AA,0))/10</f>
        <v>4</v>
      </c>
      <c r="F224" s="4" t="str">
        <f>tblPlayers[[#This Row],[status]]</f>
        <v>a</v>
      </c>
      <c r="G224" s="4" t="b">
        <f>tblPlayers[[#This Row],[can_select]]</f>
        <v>1</v>
      </c>
      <c r="H224">
        <f>IF(AND(Table8[[#This Row],[Availability Status]]="a",Table8[[#This Row],[Can Select]]=TRUE),1,0)</f>
        <v>1</v>
      </c>
      <c r="I224">
        <f>tblPlayers[minutes]</f>
        <v>0</v>
      </c>
      <c r="J224" s="2">
        <f>Table8[[#This Row],[Minutes]]/90</f>
        <v>0</v>
      </c>
      <c r="K224" s="5">
        <f>IFERROR(Z224/(FIXTURE_ANALYSIS!$B$1-1),0)</f>
        <v>0</v>
      </c>
      <c r="L224">
        <f>tblPlayers[total_points]</f>
        <v>0</v>
      </c>
      <c r="M224">
        <f>tblPlayers[points_per_game]</f>
        <v>0</v>
      </c>
      <c r="N224">
        <f>tblPlayers[form]</f>
        <v>0</v>
      </c>
      <c r="O224">
        <f>tblPlayers[expected_goals]</f>
        <v>0</v>
      </c>
      <c r="P224">
        <f>tblPlayers[expected_assists]</f>
        <v>0</v>
      </c>
      <c r="Q224">
        <f>tblPlayers[expected_goal_involvements]</f>
        <v>0</v>
      </c>
      <c r="R224" s="2">
        <f t="shared" si="75"/>
        <v>0</v>
      </c>
      <c r="S224" s="5">
        <f t="shared" si="76"/>
        <v>0</v>
      </c>
      <c r="T224" s="5">
        <f t="shared" si="77"/>
        <v>0</v>
      </c>
      <c r="U224" s="5">
        <f t="shared" si="78"/>
        <v>0</v>
      </c>
      <c r="V224" s="3">
        <f t="shared" si="79"/>
        <v>0</v>
      </c>
      <c r="W224" s="5">
        <f t="shared" si="80"/>
        <v>0</v>
      </c>
      <c r="X224" s="5">
        <f>IFERROR(IF(OR($B224="MID",$B224="FWD"),INDEX(FIXTURE_ANALYSIS!$Q:$Q,MATCH($D224,FIXTURE_ANALYSIS!$A:$A,0)),INDEX(FIXTURE_ANALYSIS!$R:$R,MATCH($D224,FIXTURE_ANALYSIS!$A:$A,0))),1)</f>
        <v>0.97467649467649475</v>
      </c>
      <c r="Y224" s="5">
        <f t="shared" si="81"/>
        <v>0.97467649467649475</v>
      </c>
      <c r="Z224" s="8">
        <f>INDEX(FPL_Raw_Data!$T:$T,MATCH(A224,FPL_Raw_Data!$AA:$AA,0))</f>
        <v>0</v>
      </c>
      <c r="AA224" s="8">
        <f>INDEX(FPL_Raw_Data!$S:$S,MATCH(A224,FPL_Raw_Data!$AA:$AA,0))</f>
        <v>0</v>
      </c>
      <c r="AB224" s="2">
        <f t="shared" si="82"/>
        <v>0</v>
      </c>
      <c r="AC224" s="2">
        <f>INDEX(FPL_Raw_Data!$Q:$Q,MATCH(A224,FPL_Raw_Data!$AA:$AA,0))</f>
        <v>0</v>
      </c>
      <c r="AD224" s="8">
        <f>INDEX(FPL_Raw_Data!$R:$R,MATCH(A224,FPL_Raw_Data!$AA:$AA,0))</f>
        <v>0</v>
      </c>
      <c r="AE224" s="8">
        <f>INDEX(FPL_Raw_Data!$N:$N,MATCH(A224,FPL_Raw_Data!$AA:$AA,0))</f>
        <v>0</v>
      </c>
      <c r="AF224" s="8">
        <f>INDEX(FPL_Raw_Data!$L:$L,MATCH(A224,FPL_Raw_Data!$AA:$AA,0))</f>
        <v>0</v>
      </c>
      <c r="AG224" s="2">
        <f>INDEX(FPL_Raw_Data!$M:$M,MATCH(A224,FPL_Raw_Data!$AA:$AA,0))</f>
        <v>0</v>
      </c>
      <c r="AH224" s="2">
        <f t="shared" si="83"/>
        <v>0</v>
      </c>
      <c r="AI224" s="2">
        <f t="shared" si="84"/>
        <v>0</v>
      </c>
      <c r="AJ224" s="2">
        <f t="shared" si="85"/>
        <v>0</v>
      </c>
      <c r="AK224" s="2">
        <f t="shared" si="86"/>
        <v>0</v>
      </c>
      <c r="AL224" s="2">
        <f t="shared" si="87"/>
        <v>0</v>
      </c>
      <c r="AM224" s="2">
        <f t="shared" si="88"/>
        <v>0</v>
      </c>
      <c r="AN224" s="2">
        <f t="shared" si="89"/>
        <v>0</v>
      </c>
      <c r="AO224" s="3">
        <f t="shared" si="90"/>
        <v>0.1</v>
      </c>
      <c r="AP224">
        <f t="shared" si="91"/>
        <v>0</v>
      </c>
      <c r="AQ224">
        <f t="shared" si="92"/>
        <v>0.1</v>
      </c>
      <c r="AR224">
        <f t="shared" si="93"/>
        <v>0</v>
      </c>
      <c r="AS224" s="2">
        <f t="shared" si="94"/>
        <v>0</v>
      </c>
      <c r="AT224" s="2">
        <f>IFERROR(INDEX(Player_Model!$BC$2:$BC$596,MATCH($A224,Player_Model!$A$2:$A$596,0)),0)</f>
        <v>0</v>
      </c>
      <c r="AU224" s="2">
        <f>Table8[[#This Row],[Model Expected Points]]*Table8[[#This Row],[Fixture Adjustment]]</f>
        <v>0</v>
      </c>
      <c r="AV224" s="2">
        <f>Table8[[#This Row],[Fixture Adjusted Points / 90]]/Table8[[#This Row],[Price]]</f>
        <v>0</v>
      </c>
      <c r="AW224">
        <f t="shared" si="95"/>
        <v>0</v>
      </c>
      <c r="AX224">
        <f t="shared" si="96"/>
        <v>0.48733824733824738</v>
      </c>
      <c r="AY224" s="2">
        <f t="shared" si="97"/>
        <v>0</v>
      </c>
      <c r="AZ224" s="5">
        <f t="shared" si="98"/>
        <v>0.97467649467649475</v>
      </c>
      <c r="BA224">
        <f>Table8[[#This Row],[Model Score2]]</f>
        <v>0</v>
      </c>
      <c r="BB224">
        <f>IFERROR(INDEX(Player_Model!$BG$2:$BG$596,MATCH($A224,Player_Model!$A$2:$A$596,0)),"")</f>
        <v>33</v>
      </c>
      <c r="BC224" t="str">
        <f t="shared" si="99"/>
        <v>AVOID</v>
      </c>
      <c r="BD224">
        <f>IF(H224=1,Table8[[#This Row],[Model Score]],-10000)</f>
        <v>0</v>
      </c>
      <c r="BE224">
        <f>IFERROR(INDEX(Player_Model!$BF$2:$BF$596,MATCH($A224,Player_Model!$A$2:$A$596,0)),"")</f>
        <v>253</v>
      </c>
      <c r="BF224">
        <f>IFERROR(INDEX(Player_Model!$BG$2:$BG$596,MATCH($A224,Player_Model!$A$2:$A$596,0)),"")</f>
        <v>33</v>
      </c>
      <c r="BG224">
        <f>IFERROR(INDEX(Player_Model!$BE$2:$BE$596,MATCH($A224,Player_Model!$A$2:$A$596,0)),0)</f>
        <v>0</v>
      </c>
    </row>
    <row r="225" spans="1:59" x14ac:dyDescent="0.25">
      <c r="A225" t="str">
        <f>tblPlayers[first_name]&amp;" "&amp;tblPlayers[second_name]</f>
        <v>Evann Guessand</v>
      </c>
      <c r="B225" t="str">
        <f>_xlfn.SWITCH(tblPlayers[element_type],1,"GK",2,"DEF",3,"MID",4,"FWD")</f>
        <v>MID</v>
      </c>
      <c r="C225">
        <f>tblPlayers[team]</f>
        <v>8</v>
      </c>
      <c r="D225" t="str">
        <f>INDEX(tblTeams[Column1.short_name],MATCH(C225,tblTeams[Column1.id],0))</f>
        <v>CRY</v>
      </c>
      <c r="E225" s="4">
        <f>INDEX(FPL_Raw_Data!$F:$F,MATCH(A225,FPL_Raw_Data!$AA:$AA,0))/10</f>
        <v>5.5</v>
      </c>
      <c r="F225" s="4" t="str">
        <f>tblPlayers[[#This Row],[status]]</f>
        <v>a</v>
      </c>
      <c r="G225" s="4" t="b">
        <f>tblPlayers[[#This Row],[can_select]]</f>
        <v>1</v>
      </c>
      <c r="H225">
        <f>IF(AND(Table8[[#This Row],[Availability Status]]="a",Table8[[#This Row],[Can Select]]=TRUE),1,0)</f>
        <v>1</v>
      </c>
      <c r="I225">
        <f>tblPlayers[minutes]</f>
        <v>54</v>
      </c>
      <c r="J225" s="2">
        <f>Table8[[#This Row],[Minutes]]/90</f>
        <v>0.6</v>
      </c>
      <c r="K225" s="5">
        <f>IFERROR(Z225/(FIXTURE_ANALYSIS!$B$1-1),0)</f>
        <v>0</v>
      </c>
      <c r="L225">
        <f>tblPlayers[total_points]</f>
        <v>2</v>
      </c>
      <c r="M225">
        <f>tblPlayers[points_per_game]</f>
        <v>1</v>
      </c>
      <c r="N225">
        <f>tblPlayers[form]</f>
        <v>0.7</v>
      </c>
      <c r="O225">
        <f>tblPlayers[expected_goals]</f>
        <v>0.03</v>
      </c>
      <c r="P225">
        <f>tblPlayers[expected_assists]</f>
        <v>0.03</v>
      </c>
      <c r="Q225">
        <f>tblPlayers[expected_goal_involvements]</f>
        <v>0.06</v>
      </c>
      <c r="R225" s="2">
        <f t="shared" si="75"/>
        <v>3.333333333333333</v>
      </c>
      <c r="S225" s="5">
        <f t="shared" si="76"/>
        <v>0.05</v>
      </c>
      <c r="T225" s="5">
        <f t="shared" si="77"/>
        <v>0.05</v>
      </c>
      <c r="U225" s="5">
        <f t="shared" si="78"/>
        <v>0.1</v>
      </c>
      <c r="V225" s="3">
        <f t="shared" si="79"/>
        <v>0.36363636363636365</v>
      </c>
      <c r="W225" s="5">
        <f t="shared" si="80"/>
        <v>1.0909090909090908E-2</v>
      </c>
      <c r="X225" s="5">
        <f>IFERROR(IF(OR($B225="MID",$B225="FWD"),INDEX(FIXTURE_ANALYSIS!$Q:$Q,MATCH($D225,FIXTURE_ANALYSIS!$A:$A,0)),INDEX(FIXTURE_ANALYSIS!$R:$R,MATCH($D225,FIXTURE_ANALYSIS!$A:$A,0))),1)</f>
        <v>0.9782093425605537</v>
      </c>
      <c r="Y225" s="5">
        <f t="shared" si="81"/>
        <v>0.9782093425605537</v>
      </c>
      <c r="Z225" s="8">
        <f>INDEX(FPL_Raw_Data!$T:$T,MATCH(A225,FPL_Raw_Data!$AA:$AA,0))</f>
        <v>0</v>
      </c>
      <c r="AA225" s="8">
        <f>INDEX(FPL_Raw_Data!$S:$S,MATCH(A225,FPL_Raw_Data!$AA:$AA,0))</f>
        <v>2</v>
      </c>
      <c r="AB225" s="2">
        <f t="shared" si="82"/>
        <v>0.16666666666666666</v>
      </c>
      <c r="AC225" s="2">
        <f>INDEX(FPL_Raw_Data!$Q:$Q,MATCH(A225,FPL_Raw_Data!$AA:$AA,0))</f>
        <v>0</v>
      </c>
      <c r="AD225" s="8">
        <f>INDEX(FPL_Raw_Data!$R:$R,MATCH(A225,FPL_Raw_Data!$AA:$AA,0))</f>
        <v>6</v>
      </c>
      <c r="AE225" s="8">
        <f>INDEX(FPL_Raw_Data!$N:$N,MATCH(A225,FPL_Raw_Data!$AA:$AA,0))</f>
        <v>0</v>
      </c>
      <c r="AF225" s="8">
        <f>INDEX(FPL_Raw_Data!$L:$L,MATCH(A225,FPL_Raw_Data!$AA:$AA,0))</f>
        <v>0</v>
      </c>
      <c r="AG225" s="2">
        <f>INDEX(FPL_Raw_Data!$M:$M,MATCH(A225,FPL_Raw_Data!$AA:$AA,0))</f>
        <v>0</v>
      </c>
      <c r="AH225" s="2">
        <f t="shared" si="83"/>
        <v>0.25</v>
      </c>
      <c r="AI225" s="2">
        <f t="shared" si="84"/>
        <v>0.15000000000000002</v>
      </c>
      <c r="AJ225" s="2">
        <f t="shared" si="85"/>
        <v>0</v>
      </c>
      <c r="AK225" s="2">
        <f t="shared" si="86"/>
        <v>0.33333333333333331</v>
      </c>
      <c r="AL225" s="2">
        <f t="shared" si="87"/>
        <v>0</v>
      </c>
      <c r="AM225" s="2">
        <f t="shared" si="88"/>
        <v>0</v>
      </c>
      <c r="AN225" s="2">
        <f t="shared" si="89"/>
        <v>0</v>
      </c>
      <c r="AO225" s="3">
        <f t="shared" si="90"/>
        <v>62.2</v>
      </c>
      <c r="AP225">
        <f t="shared" si="91"/>
        <v>67.800000000000011</v>
      </c>
      <c r="AQ225">
        <f t="shared" si="92"/>
        <v>51.5</v>
      </c>
      <c r="AR225">
        <f t="shared" si="93"/>
        <v>60.6</v>
      </c>
      <c r="AS225" s="2">
        <f t="shared" si="94"/>
        <v>0</v>
      </c>
      <c r="AT225" s="2">
        <f>IFERROR(INDEX(Player_Model!$BC$2:$BC$596,MATCH($A225,Player_Model!$A$2:$A$596,0)),0)</f>
        <v>0</v>
      </c>
      <c r="AU225" s="2">
        <f>Table8[[#This Row],[Model Expected Points]]*Table8[[#This Row],[Fixture Adjustment]]</f>
        <v>0</v>
      </c>
      <c r="AV225" s="2">
        <f>Table8[[#This Row],[Fixture Adjusted Points / 90]]/Table8[[#This Row],[Price]]</f>
        <v>0</v>
      </c>
      <c r="AW225">
        <f t="shared" si="95"/>
        <v>65</v>
      </c>
      <c r="AX225">
        <f t="shared" si="96"/>
        <v>0.16666666666666666</v>
      </c>
      <c r="AY225" s="2">
        <f t="shared" si="97"/>
        <v>0</v>
      </c>
      <c r="AZ225" s="5">
        <f t="shared" si="98"/>
        <v>0.9782093425605537</v>
      </c>
      <c r="BA225">
        <f>Table8[[#This Row],[Model Score2]]</f>
        <v>0</v>
      </c>
      <c r="BB225">
        <f>IFERROR(INDEX(Player_Model!$BG$2:$BG$596,MATCH($A225,Player_Model!$A$2:$A$596,0)),"")</f>
        <v>168</v>
      </c>
      <c r="BC225" t="str">
        <f t="shared" si="99"/>
        <v>AVOID</v>
      </c>
      <c r="BD225">
        <f>IF(H225=1,Table8[[#This Row],[Model Score]],-10000)</f>
        <v>0</v>
      </c>
      <c r="BE225">
        <f>IFERROR(INDEX(Player_Model!$BF$2:$BF$596,MATCH($A225,Player_Model!$A$2:$A$596,0)),"")</f>
        <v>253</v>
      </c>
      <c r="BF225">
        <f>IFERROR(INDEX(Player_Model!$BG$2:$BG$596,MATCH($A225,Player_Model!$A$2:$A$596,0)),"")</f>
        <v>168</v>
      </c>
      <c r="BG225">
        <f>IFERROR(INDEX(Player_Model!$BE$2:$BE$596,MATCH($A225,Player_Model!$A$2:$A$596,0)),0)</f>
        <v>0</v>
      </c>
    </row>
    <row r="226" spans="1:59" x14ac:dyDescent="0.25">
      <c r="A226" t="str">
        <f>tblPlayers[first_name]&amp;" "&amp;tblPlayers[second_name]</f>
        <v>Axel Disasi</v>
      </c>
      <c r="B226" t="str">
        <f>_xlfn.SWITCH(tblPlayers[element_type],1,"GK",2,"DEF",3,"MID",4,"FWD")</f>
        <v>DEF</v>
      </c>
      <c r="C226">
        <f>tblPlayers[team]</f>
        <v>8</v>
      </c>
      <c r="D226" t="str">
        <f>INDEX(tblTeams[Column1.short_name],MATCH(C226,tblTeams[Column1.id],0))</f>
        <v>CRY</v>
      </c>
      <c r="E226" s="4">
        <f>INDEX(FPL_Raw_Data!$F:$F,MATCH(A226,FPL_Raw_Data!$AA:$AA,0))/10</f>
        <v>4.5</v>
      </c>
      <c r="F226" s="4" t="str">
        <f>tblPlayers[[#This Row],[status]]</f>
        <v>a</v>
      </c>
      <c r="G226" s="4" t="b">
        <f>tblPlayers[[#This Row],[can_select]]</f>
        <v>1</v>
      </c>
      <c r="H226">
        <f>IF(AND(Table8[[#This Row],[Availability Status]]="a",Table8[[#This Row],[Can Select]]=TRUE),1,0)</f>
        <v>1</v>
      </c>
      <c r="I226">
        <f>tblPlayers[minutes]</f>
        <v>106</v>
      </c>
      <c r="J226" s="2">
        <f>Table8[[#This Row],[Minutes]]/90</f>
        <v>1.1777777777777778</v>
      </c>
      <c r="K226" s="5">
        <f>IFERROR(Z226/(FIXTURE_ANALYSIS!$B$1-1),0)</f>
        <v>0.33333333333333331</v>
      </c>
      <c r="L226">
        <f>tblPlayers[total_points]</f>
        <v>4</v>
      </c>
      <c r="M226">
        <f>tblPlayers[points_per_game]</f>
        <v>2</v>
      </c>
      <c r="N226">
        <f>tblPlayers[form]</f>
        <v>1.3</v>
      </c>
      <c r="O226">
        <f>tblPlayers[expected_goals]</f>
        <v>0</v>
      </c>
      <c r="P226">
        <f>tblPlayers[expected_assists]</f>
        <v>0.04</v>
      </c>
      <c r="Q226">
        <f>tblPlayers[expected_goal_involvements]</f>
        <v>0.04</v>
      </c>
      <c r="R226" s="2">
        <f t="shared" si="75"/>
        <v>3.3962264150943393</v>
      </c>
      <c r="S226" s="5">
        <f t="shared" si="76"/>
        <v>0</v>
      </c>
      <c r="T226" s="5">
        <f t="shared" si="77"/>
        <v>3.3962264150943396E-2</v>
      </c>
      <c r="U226" s="5">
        <f t="shared" si="78"/>
        <v>3.3962264150943396E-2</v>
      </c>
      <c r="V226" s="3">
        <f t="shared" si="79"/>
        <v>0.88888888888888884</v>
      </c>
      <c r="W226" s="5">
        <f t="shared" si="80"/>
        <v>8.8888888888888889E-3</v>
      </c>
      <c r="X226" s="5">
        <f>IFERROR(IF(OR($B226="MID",$B226="FWD"),INDEX(FIXTURE_ANALYSIS!$Q:$Q,MATCH($D226,FIXTURE_ANALYSIS!$A:$A,0)),INDEX(FIXTURE_ANALYSIS!$R:$R,MATCH($D226,FIXTURE_ANALYSIS!$A:$A,0))),1)</f>
        <v>0.8321125967628431</v>
      </c>
      <c r="Y226" s="5">
        <f t="shared" si="81"/>
        <v>0.8321125967628431</v>
      </c>
      <c r="Z226" s="8">
        <f>INDEX(FPL_Raw_Data!$T:$T,MATCH(A226,FPL_Raw_Data!$AA:$AA,0))</f>
        <v>1</v>
      </c>
      <c r="AA226" s="8">
        <f>INDEX(FPL_Raw_Data!$S:$S,MATCH(A226,FPL_Raw_Data!$AA:$AA,0))</f>
        <v>14</v>
      </c>
      <c r="AB226" s="2">
        <f t="shared" si="82"/>
        <v>1</v>
      </c>
      <c r="AC226" s="2">
        <f>INDEX(FPL_Raw_Data!$Q:$Q,MATCH(A226,FPL_Raw_Data!$AA:$AA,0))</f>
        <v>0</v>
      </c>
      <c r="AD226" s="8">
        <f>INDEX(FPL_Raw_Data!$R:$R,MATCH(A226,FPL_Raw_Data!$AA:$AA,0))</f>
        <v>12</v>
      </c>
      <c r="AE226" s="8">
        <f>INDEX(FPL_Raw_Data!$N:$N,MATCH(A226,FPL_Raw_Data!$AA:$AA,0))</f>
        <v>0</v>
      </c>
      <c r="AF226" s="8">
        <f>INDEX(FPL_Raw_Data!$L:$L,MATCH(A226,FPL_Raw_Data!$AA:$AA,0))</f>
        <v>0</v>
      </c>
      <c r="AG226" s="2">
        <f>INDEX(FPL_Raw_Data!$M:$M,MATCH(A226,FPL_Raw_Data!$AA:$AA,0))</f>
        <v>0</v>
      </c>
      <c r="AH226" s="2">
        <f t="shared" si="83"/>
        <v>0</v>
      </c>
      <c r="AI226" s="2">
        <f t="shared" si="84"/>
        <v>0.10188679245283019</v>
      </c>
      <c r="AJ226" s="2">
        <f t="shared" si="85"/>
        <v>0.66666666666666663</v>
      </c>
      <c r="AK226" s="2">
        <f t="shared" si="86"/>
        <v>2</v>
      </c>
      <c r="AL226" s="2">
        <f t="shared" si="87"/>
        <v>0</v>
      </c>
      <c r="AM226" s="2">
        <f t="shared" si="88"/>
        <v>0</v>
      </c>
      <c r="AN226" s="2">
        <f t="shared" si="89"/>
        <v>0</v>
      </c>
      <c r="AO226" s="3">
        <f t="shared" si="90"/>
        <v>64.8</v>
      </c>
      <c r="AP226">
        <f t="shared" si="91"/>
        <v>58.4</v>
      </c>
      <c r="AQ226">
        <f t="shared" si="92"/>
        <v>66.600000000000009</v>
      </c>
      <c r="AR226">
        <f t="shared" si="93"/>
        <v>59.4</v>
      </c>
      <c r="AS226" s="2">
        <f t="shared" si="94"/>
        <v>33.333333333333329</v>
      </c>
      <c r="AT226" s="2">
        <f>IFERROR(INDEX(Player_Model!$BC$2:$BC$596,MATCH($A226,Player_Model!$A$2:$A$596,0)),0)</f>
        <v>2.2254828906820161</v>
      </c>
      <c r="AU226" s="2">
        <f>Table8[[#This Row],[Model Expected Points]]*Table8[[#This Row],[Fixture Adjustment]]</f>
        <v>1.851852347216691</v>
      </c>
      <c r="AV226" s="2">
        <f>Table8[[#This Row],[Fixture Adjusted Points / 90]]/Table8[[#This Row],[Price]]</f>
        <v>0.41152274382593135</v>
      </c>
      <c r="AW226">
        <f t="shared" si="95"/>
        <v>58.4</v>
      </c>
      <c r="AX226">
        <f t="shared" si="96"/>
        <v>0.91605629838142155</v>
      </c>
      <c r="AY226" s="2">
        <f t="shared" si="97"/>
        <v>33.333333333333329</v>
      </c>
      <c r="AZ226" s="5">
        <f t="shared" si="98"/>
        <v>0.8321125967628431</v>
      </c>
      <c r="BA226">
        <f>Table8[[#This Row],[Model Score2]]</f>
        <v>2.2254828906820161</v>
      </c>
      <c r="BB226">
        <f>IFERROR(INDEX(Player_Model!$BG$2:$BG$596,MATCH($A226,Player_Model!$A$2:$A$596,0)),"")</f>
        <v>80</v>
      </c>
      <c r="BC226" t="str">
        <f t="shared" si="99"/>
        <v>AVOID</v>
      </c>
      <c r="BD226">
        <f>IF(H226=1,Table8[[#This Row],[Model Score]],-10000)</f>
        <v>2.2254828906820161</v>
      </c>
      <c r="BE226">
        <f>IFERROR(INDEX(Player_Model!$BF$2:$BF$596,MATCH($A226,Player_Model!$A$2:$A$596,0)),"")</f>
        <v>235</v>
      </c>
      <c r="BF226">
        <f>IFERROR(INDEX(Player_Model!$BG$2:$BG$596,MATCH($A226,Player_Model!$A$2:$A$596,0)),"")</f>
        <v>80</v>
      </c>
      <c r="BG226">
        <f>IFERROR(INDEX(Player_Model!$BE$2:$BE$596,MATCH($A226,Player_Model!$A$2:$A$596,0)),0)</f>
        <v>2.2254828906820161</v>
      </c>
    </row>
    <row r="227" spans="1:59" x14ac:dyDescent="0.25">
      <c r="A227" t="str">
        <f>tblPlayers[first_name]&amp;" "&amp;tblPlayers[second_name]</f>
        <v>Dean Henderson</v>
      </c>
      <c r="B227" t="str">
        <f>_xlfn.SWITCH(tblPlayers[element_type],1,"GK",2,"DEF",3,"MID",4,"FWD")</f>
        <v>GK</v>
      </c>
      <c r="C227">
        <f>tblPlayers[team]</f>
        <v>8</v>
      </c>
      <c r="D227" t="str">
        <f>INDEX(tblTeams[Column1.short_name],MATCH(C227,tblTeams[Column1.id],0))</f>
        <v>CRY</v>
      </c>
      <c r="E227" s="4">
        <f>INDEX(FPL_Raw_Data!$F:$F,MATCH(A227,FPL_Raw_Data!$AA:$AA,0))/10</f>
        <v>5</v>
      </c>
      <c r="F227" s="4" t="str">
        <f>tblPlayers[[#This Row],[status]]</f>
        <v>a</v>
      </c>
      <c r="G227" s="4" t="b">
        <f>tblPlayers[[#This Row],[can_select]]</f>
        <v>1</v>
      </c>
      <c r="H227">
        <f>IF(AND(Table8[[#This Row],[Availability Status]]="a",Table8[[#This Row],[Can Select]]=TRUE),1,0)</f>
        <v>1</v>
      </c>
      <c r="I227">
        <f>tblPlayers[minutes]</f>
        <v>270</v>
      </c>
      <c r="J227" s="2">
        <f>Table8[[#This Row],[Minutes]]/90</f>
        <v>3</v>
      </c>
      <c r="K227" s="5">
        <f>IFERROR(Z227/(FIXTURE_ANALYSIS!$B$1-1),0)</f>
        <v>1</v>
      </c>
      <c r="L227">
        <f>tblPlayers[total_points]</f>
        <v>5</v>
      </c>
      <c r="M227">
        <f>tblPlayers[points_per_game]</f>
        <v>1.7</v>
      </c>
      <c r="N227">
        <f>tblPlayers[form]</f>
        <v>1.7</v>
      </c>
      <c r="O227">
        <f>tblPlayers[expected_goals]</f>
        <v>0</v>
      </c>
      <c r="P227">
        <f>tblPlayers[expected_assists]</f>
        <v>0</v>
      </c>
      <c r="Q227">
        <f>tblPlayers[expected_goal_involvements]</f>
        <v>0</v>
      </c>
      <c r="R227" s="2">
        <f t="shared" si="75"/>
        <v>1.6666666666666665</v>
      </c>
      <c r="S227" s="5">
        <f t="shared" si="76"/>
        <v>0</v>
      </c>
      <c r="T227" s="5">
        <f t="shared" si="77"/>
        <v>0</v>
      </c>
      <c r="U227" s="5">
        <f t="shared" si="78"/>
        <v>0</v>
      </c>
      <c r="V227" s="3">
        <f t="shared" si="79"/>
        <v>1</v>
      </c>
      <c r="W227" s="5">
        <f t="shared" si="80"/>
        <v>0</v>
      </c>
      <c r="X227" s="5">
        <f>IFERROR(IF(OR($B227="MID",$B227="FWD"),INDEX(FIXTURE_ANALYSIS!$Q:$Q,MATCH($D227,FIXTURE_ANALYSIS!$A:$A,0)),INDEX(FIXTURE_ANALYSIS!$R:$R,MATCH($D227,FIXTURE_ANALYSIS!$A:$A,0))),1)</f>
        <v>0.8321125967628431</v>
      </c>
      <c r="Y227" s="5">
        <f t="shared" si="81"/>
        <v>0.8321125967628431</v>
      </c>
      <c r="Z227" s="8">
        <f>INDEX(FPL_Raw_Data!$T:$T,MATCH(A227,FPL_Raw_Data!$AA:$AA,0))</f>
        <v>3</v>
      </c>
      <c r="AA227" s="8">
        <f>INDEX(FPL_Raw_Data!$S:$S,MATCH(A227,FPL_Raw_Data!$AA:$AA,0))</f>
        <v>0</v>
      </c>
      <c r="AB227" s="2">
        <f t="shared" si="82"/>
        <v>0</v>
      </c>
      <c r="AC227" s="2">
        <f>INDEX(FPL_Raw_Data!$Q:$Q,MATCH(A227,FPL_Raw_Data!$AA:$AA,0))</f>
        <v>0</v>
      </c>
      <c r="AD227" s="8">
        <f>INDEX(FPL_Raw_Data!$R:$R,MATCH(A227,FPL_Raw_Data!$AA:$AA,0))</f>
        <v>37</v>
      </c>
      <c r="AE227" s="8">
        <f>INDEX(FPL_Raw_Data!$N:$N,MATCH(A227,FPL_Raw_Data!$AA:$AA,0))</f>
        <v>0</v>
      </c>
      <c r="AF227" s="8">
        <f>INDEX(FPL_Raw_Data!$L:$L,MATCH(A227,FPL_Raw_Data!$AA:$AA,0))</f>
        <v>0</v>
      </c>
      <c r="AG227" s="2">
        <f>INDEX(FPL_Raw_Data!$M:$M,MATCH(A227,FPL_Raw_Data!$AA:$AA,0))</f>
        <v>0</v>
      </c>
      <c r="AH227" s="2">
        <f t="shared" si="83"/>
        <v>0</v>
      </c>
      <c r="AI227" s="2">
        <f t="shared" si="84"/>
        <v>0</v>
      </c>
      <c r="AJ227" s="2">
        <f t="shared" si="85"/>
        <v>2</v>
      </c>
      <c r="AK227" s="2">
        <f t="shared" si="86"/>
        <v>0</v>
      </c>
      <c r="AL227" s="2">
        <f t="shared" si="87"/>
        <v>0</v>
      </c>
      <c r="AM227" s="2">
        <f t="shared" si="88"/>
        <v>0</v>
      </c>
      <c r="AN227" s="2">
        <f t="shared" si="89"/>
        <v>0</v>
      </c>
      <c r="AO227" s="3">
        <f t="shared" si="90"/>
        <v>44.4</v>
      </c>
      <c r="AP227">
        <f t="shared" si="91"/>
        <v>0</v>
      </c>
      <c r="AQ227">
        <f t="shared" si="92"/>
        <v>68.600000000000009</v>
      </c>
      <c r="AR227">
        <f t="shared" si="93"/>
        <v>0</v>
      </c>
      <c r="AS227" s="2">
        <f t="shared" si="94"/>
        <v>100</v>
      </c>
      <c r="AT227" s="2">
        <f>IFERROR(INDEX(Player_Model!$BC$2:$BC$596,MATCH($A227,Player_Model!$A$2:$A$596,0)),0)</f>
        <v>2.7741731633015436</v>
      </c>
      <c r="AU227" s="2">
        <f>Table8[[#This Row],[Model Expected Points]]*Table8[[#This Row],[Fixture Adjustment]]</f>
        <v>2.3084244347846381</v>
      </c>
      <c r="AV227" s="2">
        <f>Table8[[#This Row],[Fixture Adjusted Points / 90]]/Table8[[#This Row],[Price]]</f>
        <v>0.46168488695692761</v>
      </c>
      <c r="AW227">
        <f t="shared" si="95"/>
        <v>0</v>
      </c>
      <c r="AX227">
        <f t="shared" si="96"/>
        <v>50.41605629838142</v>
      </c>
      <c r="AY227" s="2">
        <f t="shared" si="97"/>
        <v>100</v>
      </c>
      <c r="AZ227" s="5">
        <f t="shared" si="98"/>
        <v>0.8321125967628431</v>
      </c>
      <c r="BA227">
        <f>Table8[[#This Row],[Model Score2]]</f>
        <v>2.7741731633015436</v>
      </c>
      <c r="BB227">
        <f>IFERROR(INDEX(Player_Model!$BG$2:$BG$596,MATCH($A227,Player_Model!$A$2:$A$596,0)),"")</f>
        <v>18</v>
      </c>
      <c r="BC227" t="str">
        <f t="shared" si="99"/>
        <v>AVOID</v>
      </c>
      <c r="BD227">
        <f>IF(H227=1,Table8[[#This Row],[Model Score]],-10000)</f>
        <v>2.7741731633015436</v>
      </c>
      <c r="BE227">
        <f>IFERROR(INDEX(Player_Model!$BF$2:$BF$596,MATCH($A227,Player_Model!$A$2:$A$596,0)),"")</f>
        <v>213</v>
      </c>
      <c r="BF227">
        <f>IFERROR(INDEX(Player_Model!$BG$2:$BG$596,MATCH($A227,Player_Model!$A$2:$A$596,0)),"")</f>
        <v>18</v>
      </c>
      <c r="BG227">
        <f>IFERROR(INDEX(Player_Model!$BE$2:$BE$596,MATCH($A227,Player_Model!$A$2:$A$596,0)),0)</f>
        <v>2.7741731633015436</v>
      </c>
    </row>
    <row r="228" spans="1:59" x14ac:dyDescent="0.25">
      <c r="A228" t="str">
        <f>tblPlayers[first_name]&amp;" "&amp;tblPlayers[second_name]</f>
        <v>Walter Benítez</v>
      </c>
      <c r="B228" t="str">
        <f>_xlfn.SWITCH(tblPlayers[element_type],1,"GK",2,"DEF",3,"MID",4,"FWD")</f>
        <v>GK</v>
      </c>
      <c r="C228">
        <f>tblPlayers[team]</f>
        <v>8</v>
      </c>
      <c r="D228" t="str">
        <f>INDEX(tblTeams[Column1.short_name],MATCH(C228,tblTeams[Column1.id],0))</f>
        <v>CRY</v>
      </c>
      <c r="E228" s="4">
        <f>INDEX(FPL_Raw_Data!$F:$F,MATCH(A228,FPL_Raw_Data!$AA:$AA,0))/10</f>
        <v>4.5</v>
      </c>
      <c r="F228" s="4" t="str">
        <f>tblPlayers[[#This Row],[status]]</f>
        <v>a</v>
      </c>
      <c r="G228" s="4" t="b">
        <f>tblPlayers[[#This Row],[can_select]]</f>
        <v>1</v>
      </c>
      <c r="H228">
        <f>IF(AND(Table8[[#This Row],[Availability Status]]="a",Table8[[#This Row],[Can Select]]=TRUE),1,0)</f>
        <v>1</v>
      </c>
      <c r="I228">
        <f>tblPlayers[minutes]</f>
        <v>0</v>
      </c>
      <c r="J228" s="2">
        <f>Table8[[#This Row],[Minutes]]/90</f>
        <v>0</v>
      </c>
      <c r="K228" s="5">
        <f>IFERROR(Z228/(FIXTURE_ANALYSIS!$B$1-1),0)</f>
        <v>0</v>
      </c>
      <c r="L228">
        <f>tblPlayers[total_points]</f>
        <v>0</v>
      </c>
      <c r="M228">
        <f>tblPlayers[points_per_game]</f>
        <v>0</v>
      </c>
      <c r="N228">
        <f>tblPlayers[form]</f>
        <v>0</v>
      </c>
      <c r="O228">
        <f>tblPlayers[expected_goals]</f>
        <v>0</v>
      </c>
      <c r="P228">
        <f>tblPlayers[expected_assists]</f>
        <v>0</v>
      </c>
      <c r="Q228">
        <f>tblPlayers[expected_goal_involvements]</f>
        <v>0</v>
      </c>
      <c r="R228" s="2">
        <f t="shared" si="75"/>
        <v>0</v>
      </c>
      <c r="S228" s="5">
        <f t="shared" si="76"/>
        <v>0</v>
      </c>
      <c r="T228" s="5">
        <f t="shared" si="77"/>
        <v>0</v>
      </c>
      <c r="U228" s="5">
        <f t="shared" si="78"/>
        <v>0</v>
      </c>
      <c r="V228" s="3">
        <f t="shared" si="79"/>
        <v>0</v>
      </c>
      <c r="W228" s="5">
        <f t="shared" si="80"/>
        <v>0</v>
      </c>
      <c r="X228" s="5">
        <f>IFERROR(IF(OR($B228="MID",$B228="FWD"),INDEX(FIXTURE_ANALYSIS!$Q:$Q,MATCH($D228,FIXTURE_ANALYSIS!$A:$A,0)),INDEX(FIXTURE_ANALYSIS!$R:$R,MATCH($D228,FIXTURE_ANALYSIS!$A:$A,0))),1)</f>
        <v>0.8321125967628431</v>
      </c>
      <c r="Y228" s="5">
        <f t="shared" si="81"/>
        <v>0.8321125967628431</v>
      </c>
      <c r="Z228" s="8">
        <f>INDEX(FPL_Raw_Data!$T:$T,MATCH(A228,FPL_Raw_Data!$AA:$AA,0))</f>
        <v>0</v>
      </c>
      <c r="AA228" s="8">
        <f>INDEX(FPL_Raw_Data!$S:$S,MATCH(A228,FPL_Raw_Data!$AA:$AA,0))</f>
        <v>0</v>
      </c>
      <c r="AB228" s="2">
        <f t="shared" si="82"/>
        <v>0</v>
      </c>
      <c r="AC228" s="2">
        <f>INDEX(FPL_Raw_Data!$Q:$Q,MATCH(A228,FPL_Raw_Data!$AA:$AA,0))</f>
        <v>0</v>
      </c>
      <c r="AD228" s="8">
        <f>INDEX(FPL_Raw_Data!$R:$R,MATCH(A228,FPL_Raw_Data!$AA:$AA,0))</f>
        <v>0</v>
      </c>
      <c r="AE228" s="8">
        <f>INDEX(FPL_Raw_Data!$N:$N,MATCH(A228,FPL_Raw_Data!$AA:$AA,0))</f>
        <v>0</v>
      </c>
      <c r="AF228" s="8">
        <f>INDEX(FPL_Raw_Data!$L:$L,MATCH(A228,FPL_Raw_Data!$AA:$AA,0))</f>
        <v>0</v>
      </c>
      <c r="AG228" s="2">
        <f>INDEX(FPL_Raw_Data!$M:$M,MATCH(A228,FPL_Raw_Data!$AA:$AA,0))</f>
        <v>0</v>
      </c>
      <c r="AH228" s="2">
        <f t="shared" si="83"/>
        <v>0</v>
      </c>
      <c r="AI228" s="2">
        <f t="shared" si="84"/>
        <v>0</v>
      </c>
      <c r="AJ228" s="2">
        <f t="shared" si="85"/>
        <v>0</v>
      </c>
      <c r="AK228" s="2">
        <f t="shared" si="86"/>
        <v>0</v>
      </c>
      <c r="AL228" s="2">
        <f t="shared" si="87"/>
        <v>0</v>
      </c>
      <c r="AM228" s="2">
        <f t="shared" si="88"/>
        <v>0</v>
      </c>
      <c r="AN228" s="2">
        <f t="shared" si="89"/>
        <v>0</v>
      </c>
      <c r="AO228" s="3">
        <f t="shared" si="90"/>
        <v>0.1</v>
      </c>
      <c r="AP228">
        <f t="shared" si="91"/>
        <v>0</v>
      </c>
      <c r="AQ228">
        <f t="shared" si="92"/>
        <v>0.1</v>
      </c>
      <c r="AR228">
        <f t="shared" si="93"/>
        <v>0</v>
      </c>
      <c r="AS228" s="2">
        <f t="shared" si="94"/>
        <v>0</v>
      </c>
      <c r="AT228" s="2">
        <f>IFERROR(INDEX(Player_Model!$BC$2:$BC$596,MATCH($A228,Player_Model!$A$2:$A$596,0)),0)</f>
        <v>0</v>
      </c>
      <c r="AU228" s="2">
        <f>Table8[[#This Row],[Model Expected Points]]*Table8[[#This Row],[Fixture Adjustment]]</f>
        <v>0</v>
      </c>
      <c r="AV228" s="2">
        <f>Table8[[#This Row],[Fixture Adjusted Points / 90]]/Table8[[#This Row],[Price]]</f>
        <v>0</v>
      </c>
      <c r="AW228">
        <f t="shared" si="95"/>
        <v>0</v>
      </c>
      <c r="AX228">
        <f t="shared" si="96"/>
        <v>0.41605629838142155</v>
      </c>
      <c r="AY228" s="2">
        <f t="shared" si="97"/>
        <v>0</v>
      </c>
      <c r="AZ228" s="5">
        <f t="shared" si="98"/>
        <v>0.8321125967628431</v>
      </c>
      <c r="BA228">
        <f>Table8[[#This Row],[Model Score2]]</f>
        <v>0</v>
      </c>
      <c r="BB228">
        <f>IFERROR(INDEX(Player_Model!$BG$2:$BG$596,MATCH($A228,Player_Model!$A$2:$A$596,0)),"")</f>
        <v>34</v>
      </c>
      <c r="BC228" t="str">
        <f t="shared" si="99"/>
        <v>AVOID</v>
      </c>
      <c r="BD228">
        <f>IF(H228=1,Table8[[#This Row],[Model Score]],-10000)</f>
        <v>0</v>
      </c>
      <c r="BE228">
        <f>IFERROR(INDEX(Player_Model!$BF$2:$BF$596,MATCH($A228,Player_Model!$A$2:$A$596,0)),"")</f>
        <v>253</v>
      </c>
      <c r="BF228">
        <f>IFERROR(INDEX(Player_Model!$BG$2:$BG$596,MATCH($A228,Player_Model!$A$2:$A$596,0)),"")</f>
        <v>34</v>
      </c>
      <c r="BG228">
        <f>IFERROR(INDEX(Player_Model!$BE$2:$BE$596,MATCH($A228,Player_Model!$A$2:$A$596,0)),0)</f>
        <v>0</v>
      </c>
    </row>
    <row r="229" spans="1:59" x14ac:dyDescent="0.25">
      <c r="A229" t="str">
        <f>tblPlayers[first_name]&amp;" "&amp;tblPlayers[second_name]</f>
        <v>Chris Richards</v>
      </c>
      <c r="B229" t="str">
        <f>_xlfn.SWITCH(tblPlayers[element_type],1,"GK",2,"DEF",3,"MID",4,"FWD")</f>
        <v>DEF</v>
      </c>
      <c r="C229">
        <f>tblPlayers[team]</f>
        <v>8</v>
      </c>
      <c r="D229" t="str">
        <f>INDEX(tblTeams[Column1.short_name],MATCH(C229,tblTeams[Column1.id],0))</f>
        <v>CRY</v>
      </c>
      <c r="E229" s="4">
        <f>INDEX(FPL_Raw_Data!$F:$F,MATCH(A229,FPL_Raw_Data!$AA:$AA,0))/10</f>
        <v>5</v>
      </c>
      <c r="F229" s="4" t="str">
        <f>tblPlayers[[#This Row],[status]]</f>
        <v>a</v>
      </c>
      <c r="G229" s="4" t="b">
        <f>tblPlayers[[#This Row],[can_select]]</f>
        <v>1</v>
      </c>
      <c r="H229">
        <f>IF(AND(Table8[[#This Row],[Availability Status]]="a",Table8[[#This Row],[Can Select]]=TRUE),1,0)</f>
        <v>1</v>
      </c>
      <c r="I229">
        <f>tblPlayers[minutes]</f>
        <v>270</v>
      </c>
      <c r="J229" s="2">
        <f>Table8[[#This Row],[Minutes]]/90</f>
        <v>3</v>
      </c>
      <c r="K229" s="5">
        <f>IFERROR(Z229/(FIXTURE_ANALYSIS!$B$1-1),0)</f>
        <v>1</v>
      </c>
      <c r="L229">
        <f>tblPlayers[total_points]</f>
        <v>4</v>
      </c>
      <c r="M229">
        <f>tblPlayers[points_per_game]</f>
        <v>1.3</v>
      </c>
      <c r="N229">
        <f>tblPlayers[form]</f>
        <v>1.3</v>
      </c>
      <c r="O229">
        <f>tblPlayers[expected_goals]</f>
        <v>0.08</v>
      </c>
      <c r="P229">
        <f>tblPlayers[expected_assists]</f>
        <v>0</v>
      </c>
      <c r="Q229">
        <f>tblPlayers[expected_goal_involvements]</f>
        <v>0.08</v>
      </c>
      <c r="R229" s="2">
        <f t="shared" si="75"/>
        <v>1.3333333333333335</v>
      </c>
      <c r="S229" s="5">
        <f t="shared" si="76"/>
        <v>2.6666666666666665E-2</v>
      </c>
      <c r="T229" s="5">
        <f t="shared" si="77"/>
        <v>0</v>
      </c>
      <c r="U229" s="5">
        <f t="shared" si="78"/>
        <v>2.6666666666666665E-2</v>
      </c>
      <c r="V229" s="3">
        <f t="shared" si="79"/>
        <v>0.8</v>
      </c>
      <c r="W229" s="5">
        <f t="shared" si="80"/>
        <v>1.6E-2</v>
      </c>
      <c r="X229" s="5">
        <f>IFERROR(IF(OR($B229="MID",$B229="FWD"),INDEX(FIXTURE_ANALYSIS!$Q:$Q,MATCH($D229,FIXTURE_ANALYSIS!$A:$A,0)),INDEX(FIXTURE_ANALYSIS!$R:$R,MATCH($D229,FIXTURE_ANALYSIS!$A:$A,0))),1)</f>
        <v>0.8321125967628431</v>
      </c>
      <c r="Y229" s="5">
        <f t="shared" si="81"/>
        <v>0.8321125967628431</v>
      </c>
      <c r="Z229" s="8">
        <f>INDEX(FPL_Raw_Data!$T:$T,MATCH(A229,FPL_Raw_Data!$AA:$AA,0))</f>
        <v>3</v>
      </c>
      <c r="AA229" s="8">
        <f>INDEX(FPL_Raw_Data!$S:$S,MATCH(A229,FPL_Raw_Data!$AA:$AA,0))</f>
        <v>31</v>
      </c>
      <c r="AB229" s="2">
        <f t="shared" si="82"/>
        <v>1</v>
      </c>
      <c r="AC229" s="2">
        <f>INDEX(FPL_Raw_Data!$Q:$Q,MATCH(A229,FPL_Raw_Data!$AA:$AA,0))</f>
        <v>0</v>
      </c>
      <c r="AD229" s="8">
        <f>INDEX(FPL_Raw_Data!$R:$R,MATCH(A229,FPL_Raw_Data!$AA:$AA,0))</f>
        <v>17</v>
      </c>
      <c r="AE229" s="8">
        <f>INDEX(FPL_Raw_Data!$N:$N,MATCH(A229,FPL_Raw_Data!$AA:$AA,0))</f>
        <v>0</v>
      </c>
      <c r="AF229" s="8">
        <f>INDEX(FPL_Raw_Data!$L:$L,MATCH(A229,FPL_Raw_Data!$AA:$AA,0))</f>
        <v>0</v>
      </c>
      <c r="AG229" s="2">
        <f>INDEX(FPL_Raw_Data!$M:$M,MATCH(A229,FPL_Raw_Data!$AA:$AA,0))</f>
        <v>0</v>
      </c>
      <c r="AH229" s="2">
        <f t="shared" si="83"/>
        <v>0.15999999999999998</v>
      </c>
      <c r="AI229" s="2">
        <f t="shared" si="84"/>
        <v>0</v>
      </c>
      <c r="AJ229" s="2">
        <f t="shared" si="85"/>
        <v>2</v>
      </c>
      <c r="AK229" s="2">
        <f t="shared" si="86"/>
        <v>2</v>
      </c>
      <c r="AL229" s="2">
        <f t="shared" si="87"/>
        <v>0</v>
      </c>
      <c r="AM229" s="2">
        <f t="shared" si="88"/>
        <v>0</v>
      </c>
      <c r="AN229" s="2">
        <f t="shared" si="89"/>
        <v>0</v>
      </c>
      <c r="AO229" s="3">
        <f t="shared" si="90"/>
        <v>43.4</v>
      </c>
      <c r="AP229">
        <f t="shared" si="91"/>
        <v>56.899999999999991</v>
      </c>
      <c r="AQ229">
        <f t="shared" si="92"/>
        <v>65.3</v>
      </c>
      <c r="AR229">
        <f t="shared" si="93"/>
        <v>63.800000000000004</v>
      </c>
      <c r="AS229" s="2">
        <f t="shared" si="94"/>
        <v>100</v>
      </c>
      <c r="AT229" s="2">
        <f>IFERROR(INDEX(Player_Model!$BC$2:$BC$596,MATCH($A229,Player_Model!$A$2:$A$596,0)),0)</f>
        <v>2.4340969245696602</v>
      </c>
      <c r="AU229" s="2">
        <f>Table8[[#This Row],[Model Expected Points]]*Table8[[#This Row],[Fixture Adjustment]]</f>
        <v>2.0254427126761101</v>
      </c>
      <c r="AV229" s="2">
        <f>Table8[[#This Row],[Fixture Adjusted Points / 90]]/Table8[[#This Row],[Price]]</f>
        <v>0.40508854253522203</v>
      </c>
      <c r="AW229">
        <f t="shared" si="95"/>
        <v>56.899999999999991</v>
      </c>
      <c r="AX229">
        <f t="shared" si="96"/>
        <v>0.91605629838142155</v>
      </c>
      <c r="AY229" s="2">
        <f t="shared" si="97"/>
        <v>100</v>
      </c>
      <c r="AZ229" s="5">
        <f t="shared" si="98"/>
        <v>0.8321125967628431</v>
      </c>
      <c r="BA229">
        <f>Table8[[#This Row],[Model Score2]]</f>
        <v>2.4340969245696602</v>
      </c>
      <c r="BB229">
        <f>IFERROR(INDEX(Player_Model!$BG$2:$BG$596,MATCH($A229,Player_Model!$A$2:$A$596,0)),"")</f>
        <v>75</v>
      </c>
      <c r="BC229" t="str">
        <f t="shared" si="99"/>
        <v>AVOID</v>
      </c>
      <c r="BD229">
        <f>IF(H229=1,Table8[[#This Row],[Model Score]],-10000)</f>
        <v>2.4340969245696602</v>
      </c>
      <c r="BE229">
        <f>IFERROR(INDEX(Player_Model!$BF$2:$BF$596,MATCH($A229,Player_Model!$A$2:$A$596,0)),"")</f>
        <v>229</v>
      </c>
      <c r="BF229">
        <f>IFERROR(INDEX(Player_Model!$BG$2:$BG$596,MATCH($A229,Player_Model!$A$2:$A$596,0)),"")</f>
        <v>75</v>
      </c>
      <c r="BG229">
        <f>IFERROR(INDEX(Player_Model!$BE$2:$BE$596,MATCH($A229,Player_Model!$A$2:$A$596,0)),0)</f>
        <v>2.4340969245696602</v>
      </c>
    </row>
    <row r="230" spans="1:59" x14ac:dyDescent="0.25">
      <c r="A230" t="str">
        <f>tblPlayers[first_name]&amp;" "&amp;tblPlayers[second_name]</f>
        <v>Jaydee Canvot</v>
      </c>
      <c r="B230" t="str">
        <f>_xlfn.SWITCH(tblPlayers[element_type],1,"GK",2,"DEF",3,"MID",4,"FWD")</f>
        <v>DEF</v>
      </c>
      <c r="C230">
        <f>tblPlayers[team]</f>
        <v>8</v>
      </c>
      <c r="D230" t="str">
        <f>INDEX(tblTeams[Column1.short_name],MATCH(C230,tblTeams[Column1.id],0))</f>
        <v>CRY</v>
      </c>
      <c r="E230" s="4">
        <f>INDEX(FPL_Raw_Data!$F:$F,MATCH(A230,FPL_Raw_Data!$AA:$AA,0))/10</f>
        <v>4.9000000000000004</v>
      </c>
      <c r="F230" s="4" t="str">
        <f>tblPlayers[[#This Row],[status]]</f>
        <v>a</v>
      </c>
      <c r="G230" s="4" t="b">
        <f>tblPlayers[[#This Row],[can_select]]</f>
        <v>1</v>
      </c>
      <c r="H230">
        <f>IF(AND(Table8[[#This Row],[Availability Status]]="a",Table8[[#This Row],[Can Select]]=TRUE),1,0)</f>
        <v>1</v>
      </c>
      <c r="I230">
        <f>tblPlayers[minutes]</f>
        <v>270</v>
      </c>
      <c r="J230" s="2">
        <f>Table8[[#This Row],[Minutes]]/90</f>
        <v>3</v>
      </c>
      <c r="K230" s="5">
        <f>IFERROR(Z230/(FIXTURE_ANALYSIS!$B$1-1),0)</f>
        <v>1</v>
      </c>
      <c r="L230">
        <f>tblPlayers[total_points]</f>
        <v>2</v>
      </c>
      <c r="M230">
        <f>tblPlayers[points_per_game]</f>
        <v>0.7</v>
      </c>
      <c r="N230">
        <f>tblPlayers[form]</f>
        <v>0.7</v>
      </c>
      <c r="O230">
        <f>tblPlayers[expected_goals]</f>
        <v>0.05</v>
      </c>
      <c r="P230">
        <f>tblPlayers[expected_assists]</f>
        <v>0.01</v>
      </c>
      <c r="Q230">
        <f>tblPlayers[expected_goal_involvements]</f>
        <v>0.06</v>
      </c>
      <c r="R230" s="2">
        <f t="shared" si="75"/>
        <v>0.66666666666666674</v>
      </c>
      <c r="S230" s="5">
        <f t="shared" si="76"/>
        <v>1.666666666666667E-2</v>
      </c>
      <c r="T230" s="5">
        <f t="shared" si="77"/>
        <v>3.3333333333333331E-3</v>
      </c>
      <c r="U230" s="5">
        <f t="shared" si="78"/>
        <v>1.9999999999999997E-2</v>
      </c>
      <c r="V230" s="3">
        <f t="shared" si="79"/>
        <v>0.4081632653061224</v>
      </c>
      <c r="W230" s="5">
        <f t="shared" si="80"/>
        <v>1.2244897959183673E-2</v>
      </c>
      <c r="X230" s="5">
        <f>IFERROR(IF(OR($B230="MID",$B230="FWD"),INDEX(FIXTURE_ANALYSIS!$Q:$Q,MATCH($D230,FIXTURE_ANALYSIS!$A:$A,0)),INDEX(FIXTURE_ANALYSIS!$R:$R,MATCH($D230,FIXTURE_ANALYSIS!$A:$A,0))),1)</f>
        <v>0.8321125967628431</v>
      </c>
      <c r="Y230" s="5">
        <f t="shared" si="81"/>
        <v>0.8321125967628431</v>
      </c>
      <c r="Z230" s="8">
        <f>INDEX(FPL_Raw_Data!$T:$T,MATCH(A230,FPL_Raw_Data!$AA:$AA,0))</f>
        <v>3</v>
      </c>
      <c r="AA230" s="8">
        <f>INDEX(FPL_Raw_Data!$S:$S,MATCH(A230,FPL_Raw_Data!$AA:$AA,0))</f>
        <v>24</v>
      </c>
      <c r="AB230" s="2">
        <f t="shared" si="82"/>
        <v>1</v>
      </c>
      <c r="AC230" s="2">
        <f>INDEX(FPL_Raw_Data!$Q:$Q,MATCH(A230,FPL_Raw_Data!$AA:$AA,0))</f>
        <v>0</v>
      </c>
      <c r="AD230" s="8">
        <f>INDEX(FPL_Raw_Data!$R:$R,MATCH(A230,FPL_Raw_Data!$AA:$AA,0))</f>
        <v>12</v>
      </c>
      <c r="AE230" s="8">
        <f>INDEX(FPL_Raw_Data!$N:$N,MATCH(A230,FPL_Raw_Data!$AA:$AA,0))</f>
        <v>0</v>
      </c>
      <c r="AF230" s="8">
        <f>INDEX(FPL_Raw_Data!$L:$L,MATCH(A230,FPL_Raw_Data!$AA:$AA,0))</f>
        <v>0</v>
      </c>
      <c r="AG230" s="2">
        <f>INDEX(FPL_Raw_Data!$M:$M,MATCH(A230,FPL_Raw_Data!$AA:$AA,0))</f>
        <v>0</v>
      </c>
      <c r="AH230" s="2">
        <f t="shared" si="83"/>
        <v>0.10000000000000002</v>
      </c>
      <c r="AI230" s="2">
        <f t="shared" si="84"/>
        <v>9.9999999999999985E-3</v>
      </c>
      <c r="AJ230" s="2">
        <f t="shared" si="85"/>
        <v>2</v>
      </c>
      <c r="AK230" s="2">
        <f t="shared" si="86"/>
        <v>2</v>
      </c>
      <c r="AL230" s="2">
        <f t="shared" si="87"/>
        <v>0</v>
      </c>
      <c r="AM230" s="2">
        <f t="shared" si="88"/>
        <v>0</v>
      </c>
      <c r="AN230" s="2">
        <f t="shared" si="89"/>
        <v>0</v>
      </c>
      <c r="AO230" s="3">
        <f t="shared" si="90"/>
        <v>41.4</v>
      </c>
      <c r="AP230">
        <f t="shared" si="91"/>
        <v>54.800000000000004</v>
      </c>
      <c r="AQ230">
        <f t="shared" si="92"/>
        <v>54.800000000000004</v>
      </c>
      <c r="AR230">
        <f t="shared" si="93"/>
        <v>61.6</v>
      </c>
      <c r="AS230" s="2">
        <f t="shared" si="94"/>
        <v>100</v>
      </c>
      <c r="AT230" s="2">
        <f>IFERROR(INDEX(Player_Model!$BC$2:$BC$596,MATCH($A230,Player_Model!$A$2:$A$596,0)),0)</f>
        <v>2.0240356401154518</v>
      </c>
      <c r="AU230" s="2">
        <f>Table8[[#This Row],[Model Expected Points]]*Table8[[#This Row],[Fixture Adjustment]]</f>
        <v>1.684225552437012</v>
      </c>
      <c r="AV230" s="2">
        <f>Table8[[#This Row],[Fixture Adjusted Points / 90]]/Table8[[#This Row],[Price]]</f>
        <v>0.34371950049734934</v>
      </c>
      <c r="AW230">
        <f t="shared" si="95"/>
        <v>54.800000000000004</v>
      </c>
      <c r="AX230">
        <f t="shared" si="96"/>
        <v>0.91605629838142155</v>
      </c>
      <c r="AY230" s="2">
        <f t="shared" si="97"/>
        <v>100</v>
      </c>
      <c r="AZ230" s="5">
        <f t="shared" si="98"/>
        <v>0.8321125967628431</v>
      </c>
      <c r="BA230">
        <f>Table8[[#This Row],[Model Score2]]</f>
        <v>2.0240356401154518</v>
      </c>
      <c r="BB230">
        <f>IFERROR(INDEX(Player_Model!$BG$2:$BG$596,MATCH($A230,Player_Model!$A$2:$A$596,0)),"")</f>
        <v>88</v>
      </c>
      <c r="BC230" t="str">
        <f t="shared" si="99"/>
        <v>AVOID</v>
      </c>
      <c r="BD230">
        <f>IF(H230=1,Table8[[#This Row],[Model Score]],-10000)</f>
        <v>2.0240356401154518</v>
      </c>
      <c r="BE230">
        <f>IFERROR(INDEX(Player_Model!$BF$2:$BF$596,MATCH($A230,Player_Model!$A$2:$A$596,0)),"")</f>
        <v>244</v>
      </c>
      <c r="BF230">
        <f>IFERROR(INDEX(Player_Model!$BG$2:$BG$596,MATCH($A230,Player_Model!$A$2:$A$596,0)),"")</f>
        <v>88</v>
      </c>
      <c r="BG230">
        <f>IFERROR(INDEX(Player_Model!$BE$2:$BE$596,MATCH($A230,Player_Model!$A$2:$A$596,0)),0)</f>
        <v>2.0240356401154518</v>
      </c>
    </row>
    <row r="231" spans="1:59" x14ac:dyDescent="0.25">
      <c r="A231" t="str">
        <f>tblPlayers[first_name]&amp;" "&amp;tblPlayers[second_name]</f>
        <v>Tyrick Mitchell</v>
      </c>
      <c r="B231" t="str">
        <f>_xlfn.SWITCH(tblPlayers[element_type],1,"GK",2,"DEF",3,"MID",4,"FWD")</f>
        <v>DEF</v>
      </c>
      <c r="C231">
        <f>tblPlayers[team]</f>
        <v>8</v>
      </c>
      <c r="D231" t="str">
        <f>INDEX(tblTeams[Column1.short_name],MATCH(C231,tblTeams[Column1.id],0))</f>
        <v>CRY</v>
      </c>
      <c r="E231" s="4">
        <f>INDEX(FPL_Raw_Data!$F:$F,MATCH(A231,FPL_Raw_Data!$AA:$AA,0))/10</f>
        <v>4.5</v>
      </c>
      <c r="F231" s="4" t="str">
        <f>tblPlayers[[#This Row],[status]]</f>
        <v>a</v>
      </c>
      <c r="G231" s="4" t="b">
        <f>tblPlayers[[#This Row],[can_select]]</f>
        <v>1</v>
      </c>
      <c r="H231">
        <f>IF(AND(Table8[[#This Row],[Availability Status]]="a",Table8[[#This Row],[Can Select]]=TRUE),1,0)</f>
        <v>1</v>
      </c>
      <c r="I231">
        <f>tblPlayers[minutes]</f>
        <v>253</v>
      </c>
      <c r="J231" s="2">
        <f>Table8[[#This Row],[Minutes]]/90</f>
        <v>2.8111111111111109</v>
      </c>
      <c r="K231" s="5">
        <f>IFERROR(Z231/(FIXTURE_ANALYSIS!$B$1-1),0)</f>
        <v>1</v>
      </c>
      <c r="L231">
        <f>tblPlayers[total_points]</f>
        <v>16</v>
      </c>
      <c r="M231">
        <f>tblPlayers[points_per_game]</f>
        <v>5.3</v>
      </c>
      <c r="N231">
        <f>tblPlayers[form]</f>
        <v>5.3</v>
      </c>
      <c r="O231">
        <f>tblPlayers[expected_goals]</f>
        <v>0.77</v>
      </c>
      <c r="P231">
        <f>tblPlayers[expected_assists]</f>
        <v>0.18</v>
      </c>
      <c r="Q231">
        <f>tblPlayers[expected_goal_involvements]</f>
        <v>0.95</v>
      </c>
      <c r="R231" s="2">
        <f t="shared" si="75"/>
        <v>5.691699604743083</v>
      </c>
      <c r="S231" s="5">
        <f t="shared" si="76"/>
        <v>0.27391304347826084</v>
      </c>
      <c r="T231" s="5">
        <f t="shared" si="77"/>
        <v>6.4031620553359675E-2</v>
      </c>
      <c r="U231" s="5">
        <f t="shared" si="78"/>
        <v>0.33794466403162055</v>
      </c>
      <c r="V231" s="3">
        <f t="shared" si="79"/>
        <v>3.5555555555555554</v>
      </c>
      <c r="W231" s="5">
        <f t="shared" si="80"/>
        <v>0.21111111111111111</v>
      </c>
      <c r="X231" s="5">
        <f>IFERROR(IF(OR($B231="MID",$B231="FWD"),INDEX(FIXTURE_ANALYSIS!$Q:$Q,MATCH($D231,FIXTURE_ANALYSIS!$A:$A,0)),INDEX(FIXTURE_ANALYSIS!$R:$R,MATCH($D231,FIXTURE_ANALYSIS!$A:$A,0))),1)</f>
        <v>0.8321125967628431</v>
      </c>
      <c r="Y231" s="5">
        <f t="shared" si="81"/>
        <v>0.8321125967628431</v>
      </c>
      <c r="Z231" s="8">
        <f>INDEX(FPL_Raw_Data!$T:$T,MATCH(A231,FPL_Raw_Data!$AA:$AA,0))</f>
        <v>3</v>
      </c>
      <c r="AA231" s="8">
        <f>INDEX(FPL_Raw_Data!$S:$S,MATCH(A231,FPL_Raw_Data!$AA:$AA,0))</f>
        <v>16</v>
      </c>
      <c r="AB231" s="2">
        <f t="shared" si="82"/>
        <v>1</v>
      </c>
      <c r="AC231" s="2">
        <f>INDEX(FPL_Raw_Data!$Q:$Q,MATCH(A231,FPL_Raw_Data!$AA:$AA,0))</f>
        <v>2</v>
      </c>
      <c r="AD231" s="8">
        <f>INDEX(FPL_Raw_Data!$R:$R,MATCH(A231,FPL_Raw_Data!$AA:$AA,0))</f>
        <v>32</v>
      </c>
      <c r="AE231" s="8">
        <f>INDEX(FPL_Raw_Data!$N:$N,MATCH(A231,FPL_Raw_Data!$AA:$AA,0))</f>
        <v>0</v>
      </c>
      <c r="AF231" s="8">
        <f>INDEX(FPL_Raw_Data!$L:$L,MATCH(A231,FPL_Raw_Data!$AA:$AA,0))</f>
        <v>2</v>
      </c>
      <c r="AG231" s="2">
        <f>INDEX(FPL_Raw_Data!$M:$M,MATCH(A231,FPL_Raw_Data!$AA:$AA,0))</f>
        <v>0</v>
      </c>
      <c r="AH231" s="2">
        <f t="shared" si="83"/>
        <v>1.6434782608695651</v>
      </c>
      <c r="AI231" s="2">
        <f t="shared" si="84"/>
        <v>0.19209486166007902</v>
      </c>
      <c r="AJ231" s="2">
        <f t="shared" si="85"/>
        <v>2</v>
      </c>
      <c r="AK231" s="2">
        <f t="shared" si="86"/>
        <v>2</v>
      </c>
      <c r="AL231" s="2">
        <f t="shared" si="87"/>
        <v>0</v>
      </c>
      <c r="AM231" s="2">
        <f t="shared" si="88"/>
        <v>0</v>
      </c>
      <c r="AN231" s="2">
        <f t="shared" si="89"/>
        <v>0.66666666666666663</v>
      </c>
      <c r="AO231" s="3">
        <f t="shared" si="90"/>
        <v>80.100000000000009</v>
      </c>
      <c r="AP231">
        <f t="shared" si="91"/>
        <v>86.1</v>
      </c>
      <c r="AQ231">
        <f t="shared" si="92"/>
        <v>97.1</v>
      </c>
      <c r="AR231">
        <f t="shared" si="93"/>
        <v>94.899999999999991</v>
      </c>
      <c r="AS231" s="2">
        <f t="shared" si="94"/>
        <v>100</v>
      </c>
      <c r="AT231" s="2">
        <f>IFERROR(INDEX(Player_Model!$BC$2:$BC$596,MATCH($A231,Player_Model!$A$2:$A$596,0)),0)</f>
        <v>2.8532977891232054</v>
      </c>
      <c r="AU231" s="2">
        <f>Table8[[#This Row],[Model Expected Points]]*Table8[[#This Row],[Fixture Adjustment]]</f>
        <v>2.3742650326449897</v>
      </c>
      <c r="AV231" s="2">
        <f>Table8[[#This Row],[Fixture Adjusted Points / 90]]/Table8[[#This Row],[Price]]</f>
        <v>0.52761445169888654</v>
      </c>
      <c r="AW231">
        <f t="shared" si="95"/>
        <v>86.1</v>
      </c>
      <c r="AX231">
        <f t="shared" si="96"/>
        <v>0.91605629838142155</v>
      </c>
      <c r="AY231" s="2">
        <f t="shared" si="97"/>
        <v>100</v>
      </c>
      <c r="AZ231" s="5">
        <f t="shared" si="98"/>
        <v>0.8321125967628431</v>
      </c>
      <c r="BA231">
        <f>Table8[[#This Row],[Model Score2]]</f>
        <v>2.8532977891232054</v>
      </c>
      <c r="BB231">
        <f>IFERROR(INDEX(Player_Model!$BG$2:$BG$596,MATCH($A231,Player_Model!$A$2:$A$596,0)),"")</f>
        <v>63</v>
      </c>
      <c r="BC231" t="str">
        <f t="shared" si="99"/>
        <v>AVOID</v>
      </c>
      <c r="BD231">
        <f>IF(H231=1,Table8[[#This Row],[Model Score]],-10000)</f>
        <v>2.8532977891232054</v>
      </c>
      <c r="BE231">
        <f>IFERROR(INDEX(Player_Model!$BF$2:$BF$596,MATCH($A231,Player_Model!$A$2:$A$596,0)),"")</f>
        <v>208</v>
      </c>
      <c r="BF231">
        <f>IFERROR(INDEX(Player_Model!$BG$2:$BG$596,MATCH($A231,Player_Model!$A$2:$A$596,0)),"")</f>
        <v>63</v>
      </c>
      <c r="BG231">
        <f>IFERROR(INDEX(Player_Model!$BE$2:$BE$596,MATCH($A231,Player_Model!$A$2:$A$596,0)),0)</f>
        <v>2.8532977891232054</v>
      </c>
    </row>
    <row r="232" spans="1:59" x14ac:dyDescent="0.25">
      <c r="A232" t="str">
        <f>tblPlayers[first_name]&amp;" "&amp;tblPlayers[second_name]</f>
        <v>Borna Sosa</v>
      </c>
      <c r="B232" t="str">
        <f>_xlfn.SWITCH(tblPlayers[element_type],1,"GK",2,"DEF",3,"MID",4,"FWD")</f>
        <v>DEF</v>
      </c>
      <c r="C232">
        <f>tblPlayers[team]</f>
        <v>8</v>
      </c>
      <c r="D232" t="str">
        <f>INDEX(tblTeams[Column1.short_name],MATCH(C232,tblTeams[Column1.id],0))</f>
        <v>CRY</v>
      </c>
      <c r="E232" s="4">
        <f>INDEX(FPL_Raw_Data!$F:$F,MATCH(A232,FPL_Raw_Data!$AA:$AA,0))/10</f>
        <v>4.5</v>
      </c>
      <c r="F232" s="4" t="str">
        <f>tblPlayers[[#This Row],[status]]</f>
        <v>u</v>
      </c>
      <c r="G232" s="4" t="b">
        <f>tblPlayers[[#This Row],[can_select]]</f>
        <v>0</v>
      </c>
      <c r="H232">
        <f>IF(AND(Table8[[#This Row],[Availability Status]]="a",Table8[[#This Row],[Can Select]]=TRUE),1,0)</f>
        <v>0</v>
      </c>
      <c r="I232">
        <f>tblPlayers[minutes]</f>
        <v>0</v>
      </c>
      <c r="J232" s="2">
        <f>Table8[[#This Row],[Minutes]]/90</f>
        <v>0</v>
      </c>
      <c r="K232" s="5">
        <f>IFERROR(Z232/(FIXTURE_ANALYSIS!$B$1-1),0)</f>
        <v>0</v>
      </c>
      <c r="L232">
        <f>tblPlayers[total_points]</f>
        <v>0</v>
      </c>
      <c r="M232">
        <f>tblPlayers[points_per_game]</f>
        <v>0</v>
      </c>
      <c r="N232">
        <f>tblPlayers[form]</f>
        <v>0</v>
      </c>
      <c r="O232">
        <f>tblPlayers[expected_goals]</f>
        <v>0</v>
      </c>
      <c r="P232">
        <f>tblPlayers[expected_assists]</f>
        <v>0</v>
      </c>
      <c r="Q232">
        <f>tblPlayers[expected_goal_involvements]</f>
        <v>0</v>
      </c>
      <c r="R232" s="2">
        <f t="shared" si="75"/>
        <v>0</v>
      </c>
      <c r="S232" s="5">
        <f t="shared" si="76"/>
        <v>0</v>
      </c>
      <c r="T232" s="5">
        <f t="shared" si="77"/>
        <v>0</v>
      </c>
      <c r="U232" s="5">
        <f t="shared" si="78"/>
        <v>0</v>
      </c>
      <c r="V232" s="3">
        <f t="shared" si="79"/>
        <v>0</v>
      </c>
      <c r="W232" s="5">
        <f t="shared" si="80"/>
        <v>0</v>
      </c>
      <c r="X232" s="5">
        <f>IFERROR(IF(OR($B232="MID",$B232="FWD"),INDEX(FIXTURE_ANALYSIS!$Q:$Q,MATCH($D232,FIXTURE_ANALYSIS!$A:$A,0)),INDEX(FIXTURE_ANALYSIS!$R:$R,MATCH($D232,FIXTURE_ANALYSIS!$A:$A,0))),1)</f>
        <v>0.8321125967628431</v>
      </c>
      <c r="Y232" s="5">
        <f t="shared" si="81"/>
        <v>0.8321125967628431</v>
      </c>
      <c r="Z232" s="8">
        <f>INDEX(FPL_Raw_Data!$T:$T,MATCH(A232,FPL_Raw_Data!$AA:$AA,0))</f>
        <v>0</v>
      </c>
      <c r="AA232" s="8">
        <f>INDEX(FPL_Raw_Data!$S:$S,MATCH(A232,FPL_Raw_Data!$AA:$AA,0))</f>
        <v>0</v>
      </c>
      <c r="AB232" s="2">
        <f t="shared" si="82"/>
        <v>0</v>
      </c>
      <c r="AC232" s="2">
        <f>INDEX(FPL_Raw_Data!$Q:$Q,MATCH(A232,FPL_Raw_Data!$AA:$AA,0))</f>
        <v>0</v>
      </c>
      <c r="AD232" s="8">
        <f>INDEX(FPL_Raw_Data!$R:$R,MATCH(A232,FPL_Raw_Data!$AA:$AA,0))</f>
        <v>0</v>
      </c>
      <c r="AE232" s="8">
        <f>INDEX(FPL_Raw_Data!$N:$N,MATCH(A232,FPL_Raw_Data!$AA:$AA,0))</f>
        <v>0</v>
      </c>
      <c r="AF232" s="8">
        <f>INDEX(FPL_Raw_Data!$L:$L,MATCH(A232,FPL_Raw_Data!$AA:$AA,0))</f>
        <v>0</v>
      </c>
      <c r="AG232" s="2">
        <f>INDEX(FPL_Raw_Data!$M:$M,MATCH(A232,FPL_Raw_Data!$AA:$AA,0))</f>
        <v>0</v>
      </c>
      <c r="AH232" s="2">
        <f t="shared" si="83"/>
        <v>0</v>
      </c>
      <c r="AI232" s="2">
        <f t="shared" si="84"/>
        <v>0</v>
      </c>
      <c r="AJ232" s="2">
        <f t="shared" si="85"/>
        <v>0</v>
      </c>
      <c r="AK232" s="2">
        <f t="shared" si="86"/>
        <v>0</v>
      </c>
      <c r="AL232" s="2">
        <f t="shared" si="87"/>
        <v>0</v>
      </c>
      <c r="AM232" s="2">
        <f t="shared" si="88"/>
        <v>0</v>
      </c>
      <c r="AN232" s="2">
        <f t="shared" si="89"/>
        <v>0</v>
      </c>
      <c r="AO232" s="3">
        <f t="shared" si="90"/>
        <v>0.1</v>
      </c>
      <c r="AP232">
        <f t="shared" si="91"/>
        <v>0</v>
      </c>
      <c r="AQ232">
        <f t="shared" si="92"/>
        <v>0.1</v>
      </c>
      <c r="AR232">
        <f t="shared" si="93"/>
        <v>0</v>
      </c>
      <c r="AS232" s="2">
        <f t="shared" si="94"/>
        <v>0</v>
      </c>
      <c r="AT232" s="2">
        <f>IFERROR(INDEX(Player_Model!$BC$2:$BC$596,MATCH($A232,Player_Model!$A$2:$A$596,0)),0)</f>
        <v>-1.1094834623504575</v>
      </c>
      <c r="AU232" s="2">
        <f>Table8[[#This Row],[Model Expected Points]]*Table8[[#This Row],[Fixture Adjustment]]</f>
        <v>-0.92321516492186928</v>
      </c>
      <c r="AV232" s="2">
        <f>Table8[[#This Row],[Fixture Adjusted Points / 90]]/Table8[[#This Row],[Price]]</f>
        <v>-0.20515892553819318</v>
      </c>
      <c r="AW232">
        <f t="shared" si="95"/>
        <v>0</v>
      </c>
      <c r="AX232">
        <f t="shared" si="96"/>
        <v>0.41605629838142155</v>
      </c>
      <c r="AY232" s="2">
        <f t="shared" si="97"/>
        <v>0</v>
      </c>
      <c r="AZ232" s="5">
        <f t="shared" si="98"/>
        <v>0.8321125967628431</v>
      </c>
      <c r="BA232">
        <f>Table8[[#This Row],[Model Score2]]</f>
        <v>-1.1094834623504575</v>
      </c>
      <c r="BB232">
        <f>IFERROR(INDEX(Player_Model!$BG$2:$BG$596,MATCH($A232,Player_Model!$A$2:$A$596,0)),"")</f>
        <v>188</v>
      </c>
      <c r="BC232" t="str">
        <f t="shared" si="99"/>
        <v>AVOID</v>
      </c>
      <c r="BD232">
        <f>IF(H232=1,Table8[[#This Row],[Model Score]],-10000)</f>
        <v>-10000</v>
      </c>
      <c r="BE232">
        <f>IFERROR(INDEX(Player_Model!$BF$2:$BF$596,MATCH($A232,Player_Model!$A$2:$A$596,0)),"")</f>
        <v>591</v>
      </c>
      <c r="BF232">
        <f>IFERROR(INDEX(Player_Model!$BG$2:$BG$596,MATCH($A232,Player_Model!$A$2:$A$596,0)),"")</f>
        <v>188</v>
      </c>
      <c r="BG232">
        <f>IFERROR(INDEX(Player_Model!$BE$2:$BE$596,MATCH($A232,Player_Model!$A$2:$A$596,0)),0)</f>
        <v>-1.1094834623504575</v>
      </c>
    </row>
    <row r="233" spans="1:59" x14ac:dyDescent="0.25">
      <c r="A233" t="str">
        <f>tblPlayers[first_name]&amp;" "&amp;tblPlayers[second_name]</f>
        <v>Chadi Riad Dnanou</v>
      </c>
      <c r="B233" t="str">
        <f>_xlfn.SWITCH(tblPlayers[element_type],1,"GK",2,"DEF",3,"MID",4,"FWD")</f>
        <v>DEF</v>
      </c>
      <c r="C233">
        <f>tblPlayers[team]</f>
        <v>8</v>
      </c>
      <c r="D233" t="str">
        <f>INDEX(tblTeams[Column1.short_name],MATCH(C233,tblTeams[Column1.id],0))</f>
        <v>CRY</v>
      </c>
      <c r="E233" s="4">
        <f>INDEX(FPL_Raw_Data!$F:$F,MATCH(A233,FPL_Raw_Data!$AA:$AA,0))/10</f>
        <v>4.4000000000000004</v>
      </c>
      <c r="F233" s="4" t="str">
        <f>tblPlayers[[#This Row],[status]]</f>
        <v>i</v>
      </c>
      <c r="G233" s="4" t="b">
        <f>tblPlayers[[#This Row],[can_select]]</f>
        <v>1</v>
      </c>
      <c r="H233">
        <f>IF(AND(Table8[[#This Row],[Availability Status]]="a",Table8[[#This Row],[Can Select]]=TRUE),1,0)</f>
        <v>0</v>
      </c>
      <c r="I233">
        <f>tblPlayers[minutes]</f>
        <v>72</v>
      </c>
      <c r="J233" s="2">
        <f>Table8[[#This Row],[Minutes]]/90</f>
        <v>0.8</v>
      </c>
      <c r="K233" s="5">
        <f>IFERROR(Z233/(FIXTURE_ANALYSIS!$B$1-1),0)</f>
        <v>0.33333333333333331</v>
      </c>
      <c r="L233">
        <f>tblPlayers[total_points]</f>
        <v>1</v>
      </c>
      <c r="M233">
        <f>tblPlayers[points_per_game]</f>
        <v>1</v>
      </c>
      <c r="N233">
        <f>tblPlayers[form]</f>
        <v>0.3</v>
      </c>
      <c r="O233">
        <f>tblPlayers[expected_goals]</f>
        <v>0</v>
      </c>
      <c r="P233">
        <f>tblPlayers[expected_assists]</f>
        <v>0.01</v>
      </c>
      <c r="Q233">
        <f>tblPlayers[expected_goal_involvements]</f>
        <v>0.01</v>
      </c>
      <c r="R233" s="2">
        <f t="shared" si="75"/>
        <v>1.25</v>
      </c>
      <c r="S233" s="5">
        <f t="shared" si="76"/>
        <v>0</v>
      </c>
      <c r="T233" s="5">
        <f t="shared" si="77"/>
        <v>1.2500000000000001E-2</v>
      </c>
      <c r="U233" s="5">
        <f t="shared" si="78"/>
        <v>1.2500000000000001E-2</v>
      </c>
      <c r="V233" s="3">
        <f t="shared" si="79"/>
        <v>0.22727272727272727</v>
      </c>
      <c r="W233" s="5">
        <f t="shared" si="80"/>
        <v>2.2727272727272726E-3</v>
      </c>
      <c r="X233" s="5">
        <f>IFERROR(IF(OR($B233="MID",$B233="FWD"),INDEX(FIXTURE_ANALYSIS!$Q:$Q,MATCH($D233,FIXTURE_ANALYSIS!$A:$A,0)),INDEX(FIXTURE_ANALYSIS!$R:$R,MATCH($D233,FIXTURE_ANALYSIS!$A:$A,0))),1)</f>
        <v>0.8321125967628431</v>
      </c>
      <c r="Y233" s="5">
        <f t="shared" si="81"/>
        <v>0.8321125967628431</v>
      </c>
      <c r="Z233" s="8">
        <f>INDEX(FPL_Raw_Data!$T:$T,MATCH(A233,FPL_Raw_Data!$AA:$AA,0))</f>
        <v>1</v>
      </c>
      <c r="AA233" s="8">
        <f>INDEX(FPL_Raw_Data!$S:$S,MATCH(A233,FPL_Raw_Data!$AA:$AA,0))</f>
        <v>7</v>
      </c>
      <c r="AB233" s="2">
        <f t="shared" si="82"/>
        <v>0.7</v>
      </c>
      <c r="AC233" s="2">
        <f>INDEX(FPL_Raw_Data!$Q:$Q,MATCH(A233,FPL_Raw_Data!$AA:$AA,0))</f>
        <v>0</v>
      </c>
      <c r="AD233" s="8">
        <f>INDEX(FPL_Raw_Data!$R:$R,MATCH(A233,FPL_Raw_Data!$AA:$AA,0))</f>
        <v>7</v>
      </c>
      <c r="AE233" s="8">
        <f>INDEX(FPL_Raw_Data!$N:$N,MATCH(A233,FPL_Raw_Data!$AA:$AA,0))</f>
        <v>0</v>
      </c>
      <c r="AF233" s="8">
        <f>INDEX(FPL_Raw_Data!$L:$L,MATCH(A233,FPL_Raw_Data!$AA:$AA,0))</f>
        <v>0</v>
      </c>
      <c r="AG233" s="2">
        <f>INDEX(FPL_Raw_Data!$M:$M,MATCH(A233,FPL_Raw_Data!$AA:$AA,0))</f>
        <v>0</v>
      </c>
      <c r="AH233" s="2">
        <f t="shared" si="83"/>
        <v>0</v>
      </c>
      <c r="AI233" s="2">
        <f t="shared" si="84"/>
        <v>3.7500000000000006E-2</v>
      </c>
      <c r="AJ233" s="2">
        <f t="shared" si="85"/>
        <v>0.66666666666666663</v>
      </c>
      <c r="AK233" s="2">
        <f t="shared" si="86"/>
        <v>1.4</v>
      </c>
      <c r="AL233" s="2">
        <f t="shared" si="87"/>
        <v>0</v>
      </c>
      <c r="AM233" s="2">
        <f t="shared" si="88"/>
        <v>0</v>
      </c>
      <c r="AN233" s="2">
        <f t="shared" si="89"/>
        <v>0</v>
      </c>
      <c r="AO233" s="3">
        <f t="shared" si="90"/>
        <v>43.2</v>
      </c>
      <c r="AP233">
        <f t="shared" si="91"/>
        <v>53.800000000000004</v>
      </c>
      <c r="AQ233">
        <f t="shared" si="92"/>
        <v>48.8</v>
      </c>
      <c r="AR233">
        <f t="shared" si="93"/>
        <v>53.7</v>
      </c>
      <c r="AS233" s="2">
        <f t="shared" si="94"/>
        <v>33.333333333333329</v>
      </c>
      <c r="AT233" s="2">
        <f>IFERROR(INDEX(Player_Model!$BC$2:$BC$596,MATCH($A233,Player_Model!$A$2:$A$596,0)),0)</f>
        <v>2.1859434015993857</v>
      </c>
      <c r="AU233" s="2">
        <f>Table8[[#This Row],[Model Expected Points]]*Table8[[#This Row],[Fixture Adjustment]]</f>
        <v>1.8189510402814673</v>
      </c>
      <c r="AV233" s="2">
        <f>Table8[[#This Row],[Fixture Adjusted Points / 90]]/Table8[[#This Row],[Price]]</f>
        <v>0.41339796370033344</v>
      </c>
      <c r="AW233">
        <f t="shared" si="95"/>
        <v>53.800000000000004</v>
      </c>
      <c r="AX233">
        <f t="shared" si="96"/>
        <v>0.76605629838142153</v>
      </c>
      <c r="AY233" s="2">
        <f t="shared" si="97"/>
        <v>33.333333333333329</v>
      </c>
      <c r="AZ233" s="5">
        <f t="shared" si="98"/>
        <v>0.8321125967628431</v>
      </c>
      <c r="BA233">
        <f>Table8[[#This Row],[Model Score2]]</f>
        <v>2.1859434015993857</v>
      </c>
      <c r="BB233">
        <f>IFERROR(INDEX(Player_Model!$BG$2:$BG$596,MATCH($A233,Player_Model!$A$2:$A$596,0)),"")</f>
        <v>82</v>
      </c>
      <c r="BC233" t="str">
        <f t="shared" si="99"/>
        <v>AVOID</v>
      </c>
      <c r="BD233">
        <f>IF(H233=1,Table8[[#This Row],[Model Score]],-10000)</f>
        <v>-10000</v>
      </c>
      <c r="BE233">
        <f>IFERROR(INDEX(Player_Model!$BF$2:$BF$596,MATCH($A233,Player_Model!$A$2:$A$596,0)),"")</f>
        <v>237</v>
      </c>
      <c r="BF233">
        <f>IFERROR(INDEX(Player_Model!$BG$2:$BG$596,MATCH($A233,Player_Model!$A$2:$A$596,0)),"")</f>
        <v>82</v>
      </c>
      <c r="BG233">
        <f>IFERROR(INDEX(Player_Model!$BE$2:$BE$596,MATCH($A233,Player_Model!$A$2:$A$596,0)),0)</f>
        <v>2.1859434015993857</v>
      </c>
    </row>
    <row r="234" spans="1:59" x14ac:dyDescent="0.25">
      <c r="A234" t="str">
        <f>tblPlayers[first_name]&amp;" "&amp;tblPlayers[second_name]</f>
        <v>Oscar Mingueza</v>
      </c>
      <c r="B234" t="str">
        <f>_xlfn.SWITCH(tblPlayers[element_type],1,"GK",2,"DEF",3,"MID",4,"FWD")</f>
        <v>DEF</v>
      </c>
      <c r="C234">
        <f>tblPlayers[team]</f>
        <v>8</v>
      </c>
      <c r="D234" t="str">
        <f>INDEX(tblTeams[Column1.short_name],MATCH(C234,tblTeams[Column1.id],0))</f>
        <v>CRY</v>
      </c>
      <c r="E234" s="4">
        <f>INDEX(FPL_Raw_Data!$F:$F,MATCH(A234,FPL_Raw_Data!$AA:$AA,0))/10</f>
        <v>4.4000000000000004</v>
      </c>
      <c r="F234" s="4" t="str">
        <f>tblPlayers[[#This Row],[status]]</f>
        <v>a</v>
      </c>
      <c r="G234" s="4" t="b">
        <f>tblPlayers[[#This Row],[can_select]]</f>
        <v>1</v>
      </c>
      <c r="H234">
        <f>IF(AND(Table8[[#This Row],[Availability Status]]="a",Table8[[#This Row],[Can Select]]=TRUE),1,0)</f>
        <v>1</v>
      </c>
      <c r="I234">
        <f>tblPlayers[minutes]</f>
        <v>16</v>
      </c>
      <c r="J234" s="2">
        <f>Table8[[#This Row],[Minutes]]/90</f>
        <v>0.17777777777777778</v>
      </c>
      <c r="K234" s="5">
        <f>IFERROR(Z234/(FIXTURE_ANALYSIS!$B$1-1),0)</f>
        <v>0</v>
      </c>
      <c r="L234">
        <f>tblPlayers[total_points]</f>
        <v>2</v>
      </c>
      <c r="M234">
        <f>tblPlayers[points_per_game]</f>
        <v>1</v>
      </c>
      <c r="N234">
        <f>tblPlayers[form]</f>
        <v>0.7</v>
      </c>
      <c r="O234">
        <f>tblPlayers[expected_goals]</f>
        <v>0</v>
      </c>
      <c r="P234">
        <f>tblPlayers[expected_assists]</f>
        <v>0</v>
      </c>
      <c r="Q234">
        <f>tblPlayers[expected_goal_involvements]</f>
        <v>0</v>
      </c>
      <c r="R234" s="2">
        <f t="shared" si="75"/>
        <v>11.25</v>
      </c>
      <c r="S234" s="5">
        <f t="shared" si="76"/>
        <v>0</v>
      </c>
      <c r="T234" s="5">
        <f t="shared" si="77"/>
        <v>0</v>
      </c>
      <c r="U234" s="5">
        <f t="shared" si="78"/>
        <v>0</v>
      </c>
      <c r="V234" s="3">
        <f t="shared" si="79"/>
        <v>0.45454545454545453</v>
      </c>
      <c r="W234" s="5">
        <f t="shared" si="80"/>
        <v>0</v>
      </c>
      <c r="X234" s="5">
        <f>IFERROR(IF(OR($B234="MID",$B234="FWD"),INDEX(FIXTURE_ANALYSIS!$Q:$Q,MATCH($D234,FIXTURE_ANALYSIS!$A:$A,0)),INDEX(FIXTURE_ANALYSIS!$R:$R,MATCH($D234,FIXTURE_ANALYSIS!$A:$A,0))),1)</f>
        <v>0.8321125967628431</v>
      </c>
      <c r="Y234" s="5">
        <f t="shared" si="81"/>
        <v>0.8321125967628431</v>
      </c>
      <c r="Z234" s="8">
        <f>INDEX(FPL_Raw_Data!$T:$T,MATCH(A234,FPL_Raw_Data!$AA:$AA,0))</f>
        <v>0</v>
      </c>
      <c r="AA234" s="8">
        <f>INDEX(FPL_Raw_Data!$S:$S,MATCH(A234,FPL_Raw_Data!$AA:$AA,0))</f>
        <v>2</v>
      </c>
      <c r="AB234" s="2">
        <f t="shared" si="82"/>
        <v>0.2</v>
      </c>
      <c r="AC234" s="2">
        <f>INDEX(FPL_Raw_Data!$Q:$Q,MATCH(A234,FPL_Raw_Data!$AA:$AA,0))</f>
        <v>0</v>
      </c>
      <c r="AD234" s="8">
        <f>INDEX(FPL_Raw_Data!$R:$R,MATCH(A234,FPL_Raw_Data!$AA:$AA,0))</f>
        <v>5</v>
      </c>
      <c r="AE234" s="8">
        <f>INDEX(FPL_Raw_Data!$N:$N,MATCH(A234,FPL_Raw_Data!$AA:$AA,0))</f>
        <v>0</v>
      </c>
      <c r="AF234" s="8">
        <f>INDEX(FPL_Raw_Data!$L:$L,MATCH(A234,FPL_Raw_Data!$AA:$AA,0))</f>
        <v>0</v>
      </c>
      <c r="AG234" s="2">
        <f>INDEX(FPL_Raw_Data!$M:$M,MATCH(A234,FPL_Raw_Data!$AA:$AA,0))</f>
        <v>0</v>
      </c>
      <c r="AH234" s="2">
        <f t="shared" si="83"/>
        <v>0</v>
      </c>
      <c r="AI234" s="2">
        <f t="shared" si="84"/>
        <v>0</v>
      </c>
      <c r="AJ234" s="2">
        <f t="shared" si="85"/>
        <v>0</v>
      </c>
      <c r="AK234" s="2">
        <f t="shared" si="86"/>
        <v>0.4</v>
      </c>
      <c r="AL234" s="2">
        <f t="shared" si="87"/>
        <v>0</v>
      </c>
      <c r="AM234" s="2">
        <f t="shared" si="88"/>
        <v>0</v>
      </c>
      <c r="AN234" s="2">
        <f t="shared" si="89"/>
        <v>0</v>
      </c>
      <c r="AO234" s="3">
        <f t="shared" si="90"/>
        <v>93.600000000000009</v>
      </c>
      <c r="AP234">
        <f t="shared" si="91"/>
        <v>0</v>
      </c>
      <c r="AQ234">
        <f t="shared" si="92"/>
        <v>57.699999999999996</v>
      </c>
      <c r="AR234">
        <f t="shared" si="93"/>
        <v>0</v>
      </c>
      <c r="AS234" s="2">
        <f t="shared" si="94"/>
        <v>0</v>
      </c>
      <c r="AT234" s="2">
        <f>IFERROR(INDEX(Player_Model!$BC$2:$BC$596,MATCH($A234,Player_Model!$A$2:$A$596,0)),0)</f>
        <v>-1.1094834623504575</v>
      </c>
      <c r="AU234" s="2">
        <f>Table8[[#This Row],[Model Expected Points]]*Table8[[#This Row],[Fixture Adjustment]]</f>
        <v>-0.92321516492186928</v>
      </c>
      <c r="AV234" s="2">
        <f>Table8[[#This Row],[Fixture Adjusted Points / 90]]/Table8[[#This Row],[Price]]</f>
        <v>-0.20982162839133392</v>
      </c>
      <c r="AW234">
        <f t="shared" si="95"/>
        <v>0</v>
      </c>
      <c r="AX234">
        <f t="shared" si="96"/>
        <v>0.51605629838142153</v>
      </c>
      <c r="AY234" s="2">
        <f t="shared" si="97"/>
        <v>0</v>
      </c>
      <c r="AZ234" s="5">
        <f t="shared" si="98"/>
        <v>0.8321125967628431</v>
      </c>
      <c r="BA234">
        <f>Table8[[#This Row],[Model Score2]]</f>
        <v>-1.1094834623504575</v>
      </c>
      <c r="BB234">
        <f>IFERROR(INDEX(Player_Model!$BG$2:$BG$596,MATCH($A234,Player_Model!$A$2:$A$596,0)),"")</f>
        <v>189</v>
      </c>
      <c r="BC234" t="str">
        <f t="shared" si="99"/>
        <v>AVOID</v>
      </c>
      <c r="BD234">
        <f>IF(H234=1,Table8[[#This Row],[Model Score]],-10000)</f>
        <v>-1.1094834623504575</v>
      </c>
      <c r="BE234">
        <f>IFERROR(INDEX(Player_Model!$BF$2:$BF$596,MATCH($A234,Player_Model!$A$2:$A$596,0)),"")</f>
        <v>591</v>
      </c>
      <c r="BF234">
        <f>IFERROR(INDEX(Player_Model!$BG$2:$BG$596,MATCH($A234,Player_Model!$A$2:$A$596,0)),"")</f>
        <v>189</v>
      </c>
      <c r="BG234">
        <f>IFERROR(INDEX(Player_Model!$BE$2:$BE$596,MATCH($A234,Player_Model!$A$2:$A$596,0)),0)</f>
        <v>-1.1094834623504575</v>
      </c>
    </row>
    <row r="235" spans="1:59" x14ac:dyDescent="0.25">
      <c r="A235" t="str">
        <f>tblPlayers[first_name]&amp;" "&amp;tblPlayers[second_name]</f>
        <v>Ismaïla Sarr</v>
      </c>
      <c r="B235" t="str">
        <f>_xlfn.SWITCH(tblPlayers[element_type],1,"GK",2,"DEF",3,"MID",4,"FWD")</f>
        <v>MID</v>
      </c>
      <c r="C235">
        <f>tblPlayers[team]</f>
        <v>8</v>
      </c>
      <c r="D235" t="str">
        <f>INDEX(tblTeams[Column1.short_name],MATCH(C235,tblTeams[Column1.id],0))</f>
        <v>CRY</v>
      </c>
      <c r="E235" s="4">
        <f>INDEX(FPL_Raw_Data!$F:$F,MATCH(A235,FPL_Raw_Data!$AA:$AA,0))/10</f>
        <v>6.3</v>
      </c>
      <c r="F235" s="4" t="str">
        <f>tblPlayers[[#This Row],[status]]</f>
        <v>i</v>
      </c>
      <c r="G235" s="4" t="b">
        <f>tblPlayers[[#This Row],[can_select]]</f>
        <v>1</v>
      </c>
      <c r="H235">
        <f>IF(AND(Table8[[#This Row],[Availability Status]]="a",Table8[[#This Row],[Can Select]]=TRUE),1,0)</f>
        <v>0</v>
      </c>
      <c r="I235">
        <f>tblPlayers[minutes]</f>
        <v>0</v>
      </c>
      <c r="J235" s="2">
        <f>Table8[[#This Row],[Minutes]]/90</f>
        <v>0</v>
      </c>
      <c r="K235" s="5">
        <f>IFERROR(Z235/(FIXTURE_ANALYSIS!$B$1-1),0)</f>
        <v>0</v>
      </c>
      <c r="L235">
        <f>tblPlayers[total_points]</f>
        <v>0</v>
      </c>
      <c r="M235">
        <f>tblPlayers[points_per_game]</f>
        <v>0</v>
      </c>
      <c r="N235">
        <f>tblPlayers[form]</f>
        <v>0</v>
      </c>
      <c r="O235">
        <f>tblPlayers[expected_goals]</f>
        <v>0</v>
      </c>
      <c r="P235">
        <f>tblPlayers[expected_assists]</f>
        <v>0</v>
      </c>
      <c r="Q235">
        <f>tblPlayers[expected_goal_involvements]</f>
        <v>0</v>
      </c>
      <c r="R235" s="2">
        <f t="shared" si="75"/>
        <v>0</v>
      </c>
      <c r="S235" s="5">
        <f t="shared" si="76"/>
        <v>0</v>
      </c>
      <c r="T235" s="5">
        <f t="shared" si="77"/>
        <v>0</v>
      </c>
      <c r="U235" s="5">
        <f t="shared" si="78"/>
        <v>0</v>
      </c>
      <c r="V235" s="3">
        <f t="shared" si="79"/>
        <v>0</v>
      </c>
      <c r="W235" s="5">
        <f t="shared" si="80"/>
        <v>0</v>
      </c>
      <c r="X235" s="5">
        <f>IFERROR(IF(OR($B235="MID",$B235="FWD"),INDEX(FIXTURE_ANALYSIS!$Q:$Q,MATCH($D235,FIXTURE_ANALYSIS!$A:$A,0)),INDEX(FIXTURE_ANALYSIS!$R:$R,MATCH($D235,FIXTURE_ANALYSIS!$A:$A,0))),1)</f>
        <v>0.9782093425605537</v>
      </c>
      <c r="Y235" s="5">
        <f t="shared" si="81"/>
        <v>0.9782093425605537</v>
      </c>
      <c r="Z235" s="8">
        <f>INDEX(FPL_Raw_Data!$T:$T,MATCH(A235,FPL_Raw_Data!$AA:$AA,0))</f>
        <v>0</v>
      </c>
      <c r="AA235" s="8">
        <f>INDEX(FPL_Raw_Data!$S:$S,MATCH(A235,FPL_Raw_Data!$AA:$AA,0))</f>
        <v>0</v>
      </c>
      <c r="AB235" s="2">
        <f t="shared" si="82"/>
        <v>0</v>
      </c>
      <c r="AC235" s="2">
        <f>INDEX(FPL_Raw_Data!$Q:$Q,MATCH(A235,FPL_Raw_Data!$AA:$AA,0))</f>
        <v>0</v>
      </c>
      <c r="AD235" s="8">
        <f>INDEX(FPL_Raw_Data!$R:$R,MATCH(A235,FPL_Raw_Data!$AA:$AA,0))</f>
        <v>0</v>
      </c>
      <c r="AE235" s="8">
        <f>INDEX(FPL_Raw_Data!$N:$N,MATCH(A235,FPL_Raw_Data!$AA:$AA,0))</f>
        <v>0</v>
      </c>
      <c r="AF235" s="8">
        <f>INDEX(FPL_Raw_Data!$L:$L,MATCH(A235,FPL_Raw_Data!$AA:$AA,0))</f>
        <v>0</v>
      </c>
      <c r="AG235" s="2">
        <f>INDEX(FPL_Raw_Data!$M:$M,MATCH(A235,FPL_Raw_Data!$AA:$AA,0))</f>
        <v>0</v>
      </c>
      <c r="AH235" s="2">
        <f t="shared" si="83"/>
        <v>0</v>
      </c>
      <c r="AI235" s="2">
        <f t="shared" si="84"/>
        <v>0</v>
      </c>
      <c r="AJ235" s="2">
        <f t="shared" si="85"/>
        <v>0</v>
      </c>
      <c r="AK235" s="2">
        <f t="shared" si="86"/>
        <v>0</v>
      </c>
      <c r="AL235" s="2">
        <f t="shared" si="87"/>
        <v>0</v>
      </c>
      <c r="AM235" s="2">
        <f t="shared" si="88"/>
        <v>0</v>
      </c>
      <c r="AN235" s="2">
        <f t="shared" si="89"/>
        <v>0</v>
      </c>
      <c r="AO235" s="3">
        <f t="shared" si="90"/>
        <v>0.1</v>
      </c>
      <c r="AP235">
        <f t="shared" si="91"/>
        <v>0</v>
      </c>
      <c r="AQ235">
        <f t="shared" si="92"/>
        <v>0.1</v>
      </c>
      <c r="AR235">
        <f t="shared" si="93"/>
        <v>0</v>
      </c>
      <c r="AS235" s="2">
        <f t="shared" si="94"/>
        <v>0</v>
      </c>
      <c r="AT235" s="2">
        <f>IFERROR(INDEX(Player_Model!$BC$2:$BC$596,MATCH($A235,Player_Model!$A$2:$A$596,0)),0)</f>
        <v>0</v>
      </c>
      <c r="AU235" s="2">
        <f>Table8[[#This Row],[Model Expected Points]]*Table8[[#This Row],[Fixture Adjustment]]</f>
        <v>0</v>
      </c>
      <c r="AV235" s="2">
        <f>Table8[[#This Row],[Fixture Adjusted Points / 90]]/Table8[[#This Row],[Price]]</f>
        <v>0</v>
      </c>
      <c r="AW235">
        <f t="shared" si="95"/>
        <v>0.05</v>
      </c>
      <c r="AX235">
        <f t="shared" si="96"/>
        <v>0</v>
      </c>
      <c r="AY235" s="2">
        <f t="shared" si="97"/>
        <v>0</v>
      </c>
      <c r="AZ235" s="5">
        <f t="shared" si="98"/>
        <v>0.9782093425605537</v>
      </c>
      <c r="BA235">
        <f>Table8[[#This Row],[Model Score2]]</f>
        <v>0</v>
      </c>
      <c r="BB235">
        <f>IFERROR(INDEX(Player_Model!$BG$2:$BG$596,MATCH($A235,Player_Model!$A$2:$A$596,0)),"")</f>
        <v>169</v>
      </c>
      <c r="BC235" t="str">
        <f t="shared" si="99"/>
        <v>AVOID</v>
      </c>
      <c r="BD235">
        <f>IF(H235=1,Table8[[#This Row],[Model Score]],-10000)</f>
        <v>-10000</v>
      </c>
      <c r="BE235">
        <f>IFERROR(INDEX(Player_Model!$BF$2:$BF$596,MATCH($A235,Player_Model!$A$2:$A$596,0)),"")</f>
        <v>253</v>
      </c>
      <c r="BF235">
        <f>IFERROR(INDEX(Player_Model!$BG$2:$BG$596,MATCH($A235,Player_Model!$A$2:$A$596,0)),"")</f>
        <v>169</v>
      </c>
      <c r="BG235">
        <f>IFERROR(INDEX(Player_Model!$BE$2:$BE$596,MATCH($A235,Player_Model!$A$2:$A$596,0)),0)</f>
        <v>0</v>
      </c>
    </row>
    <row r="236" spans="1:59" x14ac:dyDescent="0.25">
      <c r="A236" t="str">
        <f>tblPlayers[first_name]&amp;" "&amp;tblPlayers[second_name]</f>
        <v>Adam Wharton</v>
      </c>
      <c r="B236" t="str">
        <f>_xlfn.SWITCH(tblPlayers[element_type],1,"GK",2,"DEF",3,"MID",4,"FWD")</f>
        <v>MID</v>
      </c>
      <c r="C236">
        <f>tblPlayers[team]</f>
        <v>8</v>
      </c>
      <c r="D236" t="str">
        <f>INDEX(tblTeams[Column1.short_name],MATCH(C236,tblTeams[Column1.id],0))</f>
        <v>CRY</v>
      </c>
      <c r="E236" s="4">
        <f>INDEX(FPL_Raw_Data!$F:$F,MATCH(A236,FPL_Raw_Data!$AA:$AA,0))/10</f>
        <v>5.5</v>
      </c>
      <c r="F236" s="4" t="str">
        <f>tblPlayers[[#This Row],[status]]</f>
        <v>a</v>
      </c>
      <c r="G236" s="4" t="b">
        <f>tblPlayers[[#This Row],[can_select]]</f>
        <v>1</v>
      </c>
      <c r="H236">
        <f>IF(AND(Table8[[#This Row],[Availability Status]]="a",Table8[[#This Row],[Can Select]]=TRUE),1,0)</f>
        <v>1</v>
      </c>
      <c r="I236">
        <f>tblPlayers[minutes]</f>
        <v>270</v>
      </c>
      <c r="J236" s="2">
        <f>Table8[[#This Row],[Minutes]]/90</f>
        <v>3</v>
      </c>
      <c r="K236" s="5">
        <f>IFERROR(Z236/(FIXTURE_ANALYSIS!$B$1-1),0)</f>
        <v>1</v>
      </c>
      <c r="L236">
        <f>tblPlayers[total_points]</f>
        <v>8</v>
      </c>
      <c r="M236">
        <f>tblPlayers[points_per_game]</f>
        <v>2.7</v>
      </c>
      <c r="N236">
        <f>tblPlayers[form]</f>
        <v>2.7</v>
      </c>
      <c r="O236">
        <f>tblPlayers[expected_goals]</f>
        <v>0</v>
      </c>
      <c r="P236">
        <f>tblPlayers[expected_assists]</f>
        <v>0.32</v>
      </c>
      <c r="Q236">
        <f>tblPlayers[expected_goal_involvements]</f>
        <v>0.32</v>
      </c>
      <c r="R236" s="2">
        <f t="shared" si="75"/>
        <v>2.666666666666667</v>
      </c>
      <c r="S236" s="5">
        <f t="shared" si="76"/>
        <v>0</v>
      </c>
      <c r="T236" s="5">
        <f t="shared" si="77"/>
        <v>0.10666666666666666</v>
      </c>
      <c r="U236" s="5">
        <f t="shared" si="78"/>
        <v>0.10666666666666666</v>
      </c>
      <c r="V236" s="3">
        <f t="shared" si="79"/>
        <v>1.4545454545454546</v>
      </c>
      <c r="W236" s="5">
        <f t="shared" si="80"/>
        <v>5.8181818181818182E-2</v>
      </c>
      <c r="X236" s="5">
        <f>IFERROR(IF(OR($B236="MID",$B236="FWD"),INDEX(FIXTURE_ANALYSIS!$Q:$Q,MATCH($D236,FIXTURE_ANALYSIS!$A:$A,0)),INDEX(FIXTURE_ANALYSIS!$R:$R,MATCH($D236,FIXTURE_ANALYSIS!$A:$A,0))),1)</f>
        <v>0.9782093425605537</v>
      </c>
      <c r="Y236" s="5">
        <f t="shared" si="81"/>
        <v>0.9782093425605537</v>
      </c>
      <c r="Z236" s="8">
        <f>INDEX(FPL_Raw_Data!$T:$T,MATCH(A236,FPL_Raw_Data!$AA:$AA,0))</f>
        <v>3</v>
      </c>
      <c r="AA236" s="8">
        <f>INDEX(FPL_Raw_Data!$S:$S,MATCH(A236,FPL_Raw_Data!$AA:$AA,0))</f>
        <v>29</v>
      </c>
      <c r="AB236" s="2">
        <f t="shared" si="82"/>
        <v>1</v>
      </c>
      <c r="AC236" s="2">
        <f>INDEX(FPL_Raw_Data!$Q:$Q,MATCH(A236,FPL_Raw_Data!$AA:$AA,0))</f>
        <v>0</v>
      </c>
      <c r="AD236" s="8">
        <f>INDEX(FPL_Raw_Data!$R:$R,MATCH(A236,FPL_Raw_Data!$AA:$AA,0))</f>
        <v>51</v>
      </c>
      <c r="AE236" s="8">
        <f>INDEX(FPL_Raw_Data!$N:$N,MATCH(A236,FPL_Raw_Data!$AA:$AA,0))</f>
        <v>0</v>
      </c>
      <c r="AF236" s="8">
        <f>INDEX(FPL_Raw_Data!$L:$L,MATCH(A236,FPL_Raw_Data!$AA:$AA,0))</f>
        <v>0</v>
      </c>
      <c r="AG236" s="2">
        <f>INDEX(FPL_Raw_Data!$M:$M,MATCH(A236,FPL_Raw_Data!$AA:$AA,0))</f>
        <v>0</v>
      </c>
      <c r="AH236" s="2">
        <f t="shared" si="83"/>
        <v>0</v>
      </c>
      <c r="AI236" s="2">
        <f t="shared" si="84"/>
        <v>0.31999999999999995</v>
      </c>
      <c r="AJ236" s="2">
        <f t="shared" si="85"/>
        <v>2</v>
      </c>
      <c r="AK236" s="2">
        <f t="shared" si="86"/>
        <v>2</v>
      </c>
      <c r="AL236" s="2">
        <f t="shared" si="87"/>
        <v>0</v>
      </c>
      <c r="AM236" s="2">
        <f t="shared" si="88"/>
        <v>0</v>
      </c>
      <c r="AN236" s="2">
        <f t="shared" si="89"/>
        <v>0</v>
      </c>
      <c r="AO236" s="3">
        <f t="shared" si="90"/>
        <v>54.2</v>
      </c>
      <c r="AP236">
        <f t="shared" si="91"/>
        <v>68.600000000000009</v>
      </c>
      <c r="AQ236">
        <f t="shared" si="92"/>
        <v>77.2</v>
      </c>
      <c r="AR236">
        <f t="shared" si="93"/>
        <v>77.400000000000006</v>
      </c>
      <c r="AS236" s="2">
        <f t="shared" si="94"/>
        <v>100</v>
      </c>
      <c r="AT236" s="2">
        <f>IFERROR(INDEX(Player_Model!$BC$2:$BC$596,MATCH($A236,Player_Model!$A$2:$A$596,0)),0)</f>
        <v>3.8915105887357169</v>
      </c>
      <c r="AU236" s="2">
        <f>Table8[[#This Row],[Model Expected Points]]*Table8[[#This Row],[Fixture Adjustment]]</f>
        <v>3.806712014574599</v>
      </c>
      <c r="AV236" s="2">
        <f>Table8[[#This Row],[Fixture Adjusted Points / 90]]/Table8[[#This Row],[Price]]</f>
        <v>0.69212945719538166</v>
      </c>
      <c r="AW236">
        <f t="shared" si="95"/>
        <v>61.400000000000006</v>
      </c>
      <c r="AX236">
        <f t="shared" si="96"/>
        <v>1</v>
      </c>
      <c r="AY236" s="2">
        <f t="shared" si="97"/>
        <v>100</v>
      </c>
      <c r="AZ236" s="5">
        <f t="shared" si="98"/>
        <v>0.9782093425605537</v>
      </c>
      <c r="BA236">
        <f>Table8[[#This Row],[Model Score2]]</f>
        <v>3.8915105887357169</v>
      </c>
      <c r="BB236">
        <f>IFERROR(INDEX(Player_Model!$BG$2:$BG$596,MATCH($A236,Player_Model!$A$2:$A$596,0)),"")</f>
        <v>80</v>
      </c>
      <c r="BC236" t="str">
        <f t="shared" si="99"/>
        <v>AVOID</v>
      </c>
      <c r="BD236">
        <f>IF(H236=1,Table8[[#This Row],[Model Score]],-10000)</f>
        <v>3.8915105887357169</v>
      </c>
      <c r="BE236">
        <f>IFERROR(INDEX(Player_Model!$BF$2:$BF$596,MATCH($A236,Player_Model!$A$2:$A$596,0)),"")</f>
        <v>161</v>
      </c>
      <c r="BF236">
        <f>IFERROR(INDEX(Player_Model!$BG$2:$BG$596,MATCH($A236,Player_Model!$A$2:$A$596,0)),"")</f>
        <v>80</v>
      </c>
      <c r="BG236">
        <f>IFERROR(INDEX(Player_Model!$BE$2:$BE$596,MATCH($A236,Player_Model!$A$2:$A$596,0)),0)</f>
        <v>3.8915105887357169</v>
      </c>
    </row>
    <row r="237" spans="1:59" x14ac:dyDescent="0.25">
      <c r="A237" t="str">
        <f>tblPlayers[first_name]&amp;" "&amp;tblPlayers[second_name]</f>
        <v>Yéremy Pino Santos</v>
      </c>
      <c r="B237" t="str">
        <f>_xlfn.SWITCH(tblPlayers[element_type],1,"GK",2,"DEF",3,"MID",4,"FWD")</f>
        <v>MID</v>
      </c>
      <c r="C237">
        <f>tblPlayers[team]</f>
        <v>8</v>
      </c>
      <c r="D237" t="str">
        <f>INDEX(tblTeams[Column1.short_name],MATCH(C237,tblTeams[Column1.id],0))</f>
        <v>CRY</v>
      </c>
      <c r="E237" s="4">
        <f>INDEX(FPL_Raw_Data!$F:$F,MATCH(A237,FPL_Raw_Data!$AA:$AA,0))/10</f>
        <v>5.5</v>
      </c>
      <c r="F237" s="4" t="str">
        <f>tblPlayers[[#This Row],[status]]</f>
        <v>a</v>
      </c>
      <c r="G237" s="4" t="b">
        <f>tblPlayers[[#This Row],[can_select]]</f>
        <v>1</v>
      </c>
      <c r="H237">
        <f>IF(AND(Table8[[#This Row],[Availability Status]]="a",Table8[[#This Row],[Can Select]]=TRUE),1,0)</f>
        <v>1</v>
      </c>
      <c r="I237">
        <f>tblPlayers[minutes]</f>
        <v>190</v>
      </c>
      <c r="J237" s="2">
        <f>Table8[[#This Row],[Minutes]]/90</f>
        <v>2.1111111111111112</v>
      </c>
      <c r="K237" s="5">
        <f>IFERROR(Z237/(FIXTURE_ANALYSIS!$B$1-1),0)</f>
        <v>0.66666666666666663</v>
      </c>
      <c r="L237">
        <f>tblPlayers[total_points]</f>
        <v>11</v>
      </c>
      <c r="M237">
        <f>tblPlayers[points_per_game]</f>
        <v>3.7</v>
      </c>
      <c r="N237">
        <f>tblPlayers[form]</f>
        <v>3.7</v>
      </c>
      <c r="O237">
        <f>tblPlayers[expected_goals]</f>
        <v>0.36</v>
      </c>
      <c r="P237">
        <f>tblPlayers[expected_assists]</f>
        <v>0.39</v>
      </c>
      <c r="Q237">
        <f>tblPlayers[expected_goal_involvements]</f>
        <v>0.75</v>
      </c>
      <c r="R237" s="2">
        <f t="shared" si="75"/>
        <v>5.2105263157894735</v>
      </c>
      <c r="S237" s="5">
        <f t="shared" si="76"/>
        <v>0.17052631578947366</v>
      </c>
      <c r="T237" s="5">
        <f t="shared" si="77"/>
        <v>0.18473684210526314</v>
      </c>
      <c r="U237" s="5">
        <f t="shared" si="78"/>
        <v>0.35526315789473684</v>
      </c>
      <c r="V237" s="3">
        <f t="shared" si="79"/>
        <v>2</v>
      </c>
      <c r="W237" s="5">
        <f t="shared" si="80"/>
        <v>0.13636363636363635</v>
      </c>
      <c r="X237" s="5">
        <f>IFERROR(IF(OR($B237="MID",$B237="FWD"),INDEX(FIXTURE_ANALYSIS!$Q:$Q,MATCH($D237,FIXTURE_ANALYSIS!$A:$A,0)),INDEX(FIXTURE_ANALYSIS!$R:$R,MATCH($D237,FIXTURE_ANALYSIS!$A:$A,0))),1)</f>
        <v>0.9782093425605537</v>
      </c>
      <c r="Y237" s="5">
        <f t="shared" si="81"/>
        <v>0.9782093425605537</v>
      </c>
      <c r="Z237" s="8">
        <f>INDEX(FPL_Raw_Data!$T:$T,MATCH(A237,FPL_Raw_Data!$AA:$AA,0))</f>
        <v>2</v>
      </c>
      <c r="AA237" s="8">
        <f>INDEX(FPL_Raw_Data!$S:$S,MATCH(A237,FPL_Raw_Data!$AA:$AA,0))</f>
        <v>20</v>
      </c>
      <c r="AB237" s="2">
        <f t="shared" si="82"/>
        <v>1</v>
      </c>
      <c r="AC237" s="2">
        <f>INDEX(FPL_Raw_Data!$Q:$Q,MATCH(A237,FPL_Raw_Data!$AA:$AA,0))</f>
        <v>0</v>
      </c>
      <c r="AD237" s="8">
        <f>INDEX(FPL_Raw_Data!$R:$R,MATCH(A237,FPL_Raw_Data!$AA:$AA,0))</f>
        <v>56</v>
      </c>
      <c r="AE237" s="8">
        <f>INDEX(FPL_Raw_Data!$N:$N,MATCH(A237,FPL_Raw_Data!$AA:$AA,0))</f>
        <v>0</v>
      </c>
      <c r="AF237" s="8">
        <f>INDEX(FPL_Raw_Data!$L:$L,MATCH(A237,FPL_Raw_Data!$AA:$AA,0))</f>
        <v>0</v>
      </c>
      <c r="AG237" s="2">
        <f>INDEX(FPL_Raw_Data!$M:$M,MATCH(A237,FPL_Raw_Data!$AA:$AA,0))</f>
        <v>2</v>
      </c>
      <c r="AH237" s="2">
        <f t="shared" si="83"/>
        <v>0.8526315789473683</v>
      </c>
      <c r="AI237" s="2">
        <f t="shared" si="84"/>
        <v>0.55421052631578949</v>
      </c>
      <c r="AJ237" s="2">
        <f t="shared" si="85"/>
        <v>1.3333333333333333</v>
      </c>
      <c r="AK237" s="2">
        <f t="shared" si="86"/>
        <v>2</v>
      </c>
      <c r="AL237" s="2">
        <f t="shared" si="87"/>
        <v>0</v>
      </c>
      <c r="AM237" s="2">
        <f t="shared" si="88"/>
        <v>0</v>
      </c>
      <c r="AN237" s="2">
        <f t="shared" si="89"/>
        <v>0</v>
      </c>
      <c r="AO237" s="3">
        <f t="shared" si="90"/>
        <v>77.400000000000006</v>
      </c>
      <c r="AP237">
        <f t="shared" si="91"/>
        <v>86.8</v>
      </c>
      <c r="AQ237">
        <f t="shared" si="92"/>
        <v>85.5</v>
      </c>
      <c r="AR237">
        <f t="shared" si="93"/>
        <v>89.7</v>
      </c>
      <c r="AS237" s="2">
        <f t="shared" si="94"/>
        <v>66.666666666666657</v>
      </c>
      <c r="AT237" s="2">
        <f>IFERROR(INDEX(Player_Model!$BC$2:$BC$596,MATCH($A237,Player_Model!$A$2:$A$596,0)),0)</f>
        <v>4.7471183023939005</v>
      </c>
      <c r="AU237" s="2">
        <f>Table8[[#This Row],[Model Expected Points]]*Table8[[#This Row],[Fixture Adjustment]]</f>
        <v>4.6436754736419088</v>
      </c>
      <c r="AV237" s="2">
        <f>Table8[[#This Row],[Fixture Adjusted Points / 90]]/Table8[[#This Row],[Price]]</f>
        <v>0.84430463157125613</v>
      </c>
      <c r="AW237">
        <f t="shared" si="95"/>
        <v>82.1</v>
      </c>
      <c r="AX237">
        <f t="shared" si="96"/>
        <v>1</v>
      </c>
      <c r="AY237" s="2">
        <f t="shared" si="97"/>
        <v>66.666666666666657</v>
      </c>
      <c r="AZ237" s="5">
        <f t="shared" si="98"/>
        <v>0.9782093425605537</v>
      </c>
      <c r="BA237">
        <f>Table8[[#This Row],[Model Score2]]</f>
        <v>4.7471183023939005</v>
      </c>
      <c r="BB237">
        <f>IFERROR(INDEX(Player_Model!$BG$2:$BG$596,MATCH($A237,Player_Model!$A$2:$A$596,0)),"")</f>
        <v>52</v>
      </c>
      <c r="BC237" t="str">
        <f t="shared" si="99"/>
        <v>AVOID</v>
      </c>
      <c r="BD237">
        <f>IF(H237=1,Table8[[#This Row],[Model Score]],-10000)</f>
        <v>4.7471183023939005</v>
      </c>
      <c r="BE237">
        <f>IFERROR(INDEX(Player_Model!$BF$2:$BF$596,MATCH($A237,Player_Model!$A$2:$A$596,0)),"")</f>
        <v>110</v>
      </c>
      <c r="BF237">
        <f>IFERROR(INDEX(Player_Model!$BG$2:$BG$596,MATCH($A237,Player_Model!$A$2:$A$596,0)),"")</f>
        <v>52</v>
      </c>
      <c r="BG237">
        <f>IFERROR(INDEX(Player_Model!$BE$2:$BE$596,MATCH($A237,Player_Model!$A$2:$A$596,0)),0)</f>
        <v>4.7471183023939005</v>
      </c>
    </row>
    <row r="238" spans="1:59" x14ac:dyDescent="0.25">
      <c r="A238" t="str">
        <f>tblPlayers[first_name]&amp;" "&amp;tblPlayers[second_name]</f>
        <v>Will Hughes</v>
      </c>
      <c r="B238" t="str">
        <f>_xlfn.SWITCH(tblPlayers[element_type],1,"GK",2,"DEF",3,"MID",4,"FWD")</f>
        <v>MID</v>
      </c>
      <c r="C238">
        <f>tblPlayers[team]</f>
        <v>8</v>
      </c>
      <c r="D238" t="str">
        <f>INDEX(tblTeams[Column1.short_name],MATCH(C238,tblTeams[Column1.id],0))</f>
        <v>CRY</v>
      </c>
      <c r="E238" s="4">
        <f>INDEX(FPL_Raw_Data!$F:$F,MATCH(A238,FPL_Raw_Data!$AA:$AA,0))/10</f>
        <v>4.5</v>
      </c>
      <c r="F238" s="4" t="str">
        <f>tblPlayers[[#This Row],[status]]</f>
        <v>a</v>
      </c>
      <c r="G238" s="4" t="b">
        <f>tblPlayers[[#This Row],[can_select]]</f>
        <v>1</v>
      </c>
      <c r="H238">
        <f>IF(AND(Table8[[#This Row],[Availability Status]]="a",Table8[[#This Row],[Can Select]]=TRUE),1,0)</f>
        <v>1</v>
      </c>
      <c r="I238">
        <f>tblPlayers[minutes]</f>
        <v>16</v>
      </c>
      <c r="J238" s="2">
        <f>Table8[[#This Row],[Minutes]]/90</f>
        <v>0.17777777777777778</v>
      </c>
      <c r="K238" s="5">
        <f>IFERROR(Z238/(FIXTURE_ANALYSIS!$B$1-1),0)</f>
        <v>0</v>
      </c>
      <c r="L238">
        <f>tblPlayers[total_points]</f>
        <v>1</v>
      </c>
      <c r="M238">
        <f>tblPlayers[points_per_game]</f>
        <v>1</v>
      </c>
      <c r="N238">
        <f>tblPlayers[form]</f>
        <v>0.3</v>
      </c>
      <c r="O238">
        <f>tblPlayers[expected_goals]</f>
        <v>0</v>
      </c>
      <c r="P238">
        <f>tblPlayers[expected_assists]</f>
        <v>0</v>
      </c>
      <c r="Q238">
        <f>tblPlayers[expected_goal_involvements]</f>
        <v>0</v>
      </c>
      <c r="R238" s="2">
        <f t="shared" si="75"/>
        <v>5.625</v>
      </c>
      <c r="S238" s="5">
        <f t="shared" si="76"/>
        <v>0</v>
      </c>
      <c r="T238" s="5">
        <f t="shared" si="77"/>
        <v>0</v>
      </c>
      <c r="U238" s="5">
        <f t="shared" si="78"/>
        <v>0</v>
      </c>
      <c r="V238" s="3">
        <f t="shared" si="79"/>
        <v>0.22222222222222221</v>
      </c>
      <c r="W238" s="5">
        <f t="shared" si="80"/>
        <v>0</v>
      </c>
      <c r="X238" s="5">
        <f>IFERROR(IF(OR($B238="MID",$B238="FWD"),INDEX(FIXTURE_ANALYSIS!$Q:$Q,MATCH($D238,FIXTURE_ANALYSIS!$A:$A,0)),INDEX(FIXTURE_ANALYSIS!$R:$R,MATCH($D238,FIXTURE_ANALYSIS!$A:$A,0))),1)</f>
        <v>0.9782093425605537</v>
      </c>
      <c r="Y238" s="5">
        <f t="shared" si="81"/>
        <v>0.9782093425605537</v>
      </c>
      <c r="Z238" s="8">
        <f>INDEX(FPL_Raw_Data!$T:$T,MATCH(A238,FPL_Raw_Data!$AA:$AA,0))</f>
        <v>0</v>
      </c>
      <c r="AA238" s="8">
        <f>INDEX(FPL_Raw_Data!$S:$S,MATCH(A238,FPL_Raw_Data!$AA:$AA,0))</f>
        <v>3</v>
      </c>
      <c r="AB238" s="2">
        <f t="shared" si="82"/>
        <v>0.25</v>
      </c>
      <c r="AC238" s="2">
        <f>INDEX(FPL_Raw_Data!$Q:$Q,MATCH(A238,FPL_Raw_Data!$AA:$AA,0))</f>
        <v>0</v>
      </c>
      <c r="AD238" s="8">
        <f>INDEX(FPL_Raw_Data!$R:$R,MATCH(A238,FPL_Raw_Data!$AA:$AA,0))</f>
        <v>3</v>
      </c>
      <c r="AE238" s="8">
        <f>INDEX(FPL_Raw_Data!$N:$N,MATCH(A238,FPL_Raw_Data!$AA:$AA,0))</f>
        <v>0</v>
      </c>
      <c r="AF238" s="8">
        <f>INDEX(FPL_Raw_Data!$L:$L,MATCH(A238,FPL_Raw_Data!$AA:$AA,0))</f>
        <v>0</v>
      </c>
      <c r="AG238" s="2">
        <f>INDEX(FPL_Raw_Data!$M:$M,MATCH(A238,FPL_Raw_Data!$AA:$AA,0))</f>
        <v>0</v>
      </c>
      <c r="AH238" s="2">
        <f t="shared" si="83"/>
        <v>0</v>
      </c>
      <c r="AI238" s="2">
        <f t="shared" si="84"/>
        <v>0</v>
      </c>
      <c r="AJ238" s="2">
        <f t="shared" si="85"/>
        <v>0</v>
      </c>
      <c r="AK238" s="2">
        <f t="shared" si="86"/>
        <v>0.5</v>
      </c>
      <c r="AL238" s="2">
        <f t="shared" si="87"/>
        <v>0</v>
      </c>
      <c r="AM238" s="2">
        <f t="shared" si="88"/>
        <v>0</v>
      </c>
      <c r="AN238" s="2">
        <f t="shared" si="89"/>
        <v>0</v>
      </c>
      <c r="AO238" s="3">
        <f t="shared" si="90"/>
        <v>79.2</v>
      </c>
      <c r="AP238">
        <f t="shared" si="91"/>
        <v>0</v>
      </c>
      <c r="AQ238">
        <f t="shared" si="92"/>
        <v>47.8</v>
      </c>
      <c r="AR238">
        <f t="shared" si="93"/>
        <v>0</v>
      </c>
      <c r="AS238" s="2">
        <f t="shared" si="94"/>
        <v>0</v>
      </c>
      <c r="AT238" s="2">
        <f>IFERROR(INDEX(Player_Model!$BC$2:$BC$596,MATCH($A238,Player_Model!$A$2:$A$596,0)),0)</f>
        <v>0</v>
      </c>
      <c r="AU238" s="2">
        <f>Table8[[#This Row],[Model Expected Points]]*Table8[[#This Row],[Fixture Adjustment]]</f>
        <v>0</v>
      </c>
      <c r="AV238" s="2">
        <f>Table8[[#This Row],[Fixture Adjusted Points / 90]]/Table8[[#This Row],[Price]]</f>
        <v>0</v>
      </c>
      <c r="AW238">
        <f t="shared" si="95"/>
        <v>39.6</v>
      </c>
      <c r="AX238">
        <f t="shared" si="96"/>
        <v>0.25</v>
      </c>
      <c r="AY238" s="2">
        <f t="shared" si="97"/>
        <v>0</v>
      </c>
      <c r="AZ238" s="5">
        <f t="shared" si="98"/>
        <v>0.9782093425605537</v>
      </c>
      <c r="BA238">
        <f>Table8[[#This Row],[Model Score2]]</f>
        <v>0</v>
      </c>
      <c r="BB238">
        <f>IFERROR(INDEX(Player_Model!$BG$2:$BG$596,MATCH($A238,Player_Model!$A$2:$A$596,0)),"")</f>
        <v>170</v>
      </c>
      <c r="BC238" t="str">
        <f t="shared" si="99"/>
        <v>AVOID</v>
      </c>
      <c r="BD238">
        <f>IF(H238=1,Table8[[#This Row],[Model Score]],-10000)</f>
        <v>0</v>
      </c>
      <c r="BE238">
        <f>IFERROR(INDEX(Player_Model!$BF$2:$BF$596,MATCH($A238,Player_Model!$A$2:$A$596,0)),"")</f>
        <v>253</v>
      </c>
      <c r="BF238">
        <f>IFERROR(INDEX(Player_Model!$BG$2:$BG$596,MATCH($A238,Player_Model!$A$2:$A$596,0)),"")</f>
        <v>170</v>
      </c>
      <c r="BG238">
        <f>IFERROR(INDEX(Player_Model!$BE$2:$BE$596,MATCH($A238,Player_Model!$A$2:$A$596,0)),0)</f>
        <v>0</v>
      </c>
    </row>
    <row r="239" spans="1:59" x14ac:dyDescent="0.25">
      <c r="A239" t="str">
        <f>tblPlayers[first_name]&amp;" "&amp;tblPlayers[second_name]</f>
        <v>Jefferson Lerma Solís</v>
      </c>
      <c r="B239" t="str">
        <f>_xlfn.SWITCH(tblPlayers[element_type],1,"GK",2,"DEF",3,"MID",4,"FWD")</f>
        <v>MID</v>
      </c>
      <c r="C239">
        <f>tblPlayers[team]</f>
        <v>8</v>
      </c>
      <c r="D239" t="str">
        <f>INDEX(tblTeams[Column1.short_name],MATCH(C239,tblTeams[Column1.id],0))</f>
        <v>CRY</v>
      </c>
      <c r="E239" s="4">
        <f>INDEX(FPL_Raw_Data!$F:$F,MATCH(A239,FPL_Raw_Data!$AA:$AA,0))/10</f>
        <v>4.9000000000000004</v>
      </c>
      <c r="F239" s="4" t="str">
        <f>tblPlayers[[#This Row],[status]]</f>
        <v>a</v>
      </c>
      <c r="G239" s="4" t="b">
        <f>tblPlayers[[#This Row],[can_select]]</f>
        <v>1</v>
      </c>
      <c r="H239">
        <f>IF(AND(Table8[[#This Row],[Availability Status]]="a",Table8[[#This Row],[Can Select]]=TRUE),1,0)</f>
        <v>1</v>
      </c>
      <c r="I239">
        <f>tblPlayers[minutes]</f>
        <v>0</v>
      </c>
      <c r="J239" s="2">
        <f>Table8[[#This Row],[Minutes]]/90</f>
        <v>0</v>
      </c>
      <c r="K239" s="5">
        <f>IFERROR(Z239/(FIXTURE_ANALYSIS!$B$1-1),0)</f>
        <v>0</v>
      </c>
      <c r="L239">
        <f>tblPlayers[total_points]</f>
        <v>0</v>
      </c>
      <c r="M239">
        <f>tblPlayers[points_per_game]</f>
        <v>0</v>
      </c>
      <c r="N239">
        <f>tblPlayers[form]</f>
        <v>0</v>
      </c>
      <c r="O239">
        <f>tblPlayers[expected_goals]</f>
        <v>0</v>
      </c>
      <c r="P239">
        <f>tblPlayers[expected_assists]</f>
        <v>0</v>
      </c>
      <c r="Q239">
        <f>tblPlayers[expected_goal_involvements]</f>
        <v>0</v>
      </c>
      <c r="R239" s="2">
        <f t="shared" si="75"/>
        <v>0</v>
      </c>
      <c r="S239" s="5">
        <f t="shared" si="76"/>
        <v>0</v>
      </c>
      <c r="T239" s="5">
        <f t="shared" si="77"/>
        <v>0</v>
      </c>
      <c r="U239" s="5">
        <f t="shared" si="78"/>
        <v>0</v>
      </c>
      <c r="V239" s="3">
        <f t="shared" si="79"/>
        <v>0</v>
      </c>
      <c r="W239" s="5">
        <f t="shared" si="80"/>
        <v>0</v>
      </c>
      <c r="X239" s="5">
        <f>IFERROR(IF(OR($B239="MID",$B239="FWD"),INDEX(FIXTURE_ANALYSIS!$Q:$Q,MATCH($D239,FIXTURE_ANALYSIS!$A:$A,0)),INDEX(FIXTURE_ANALYSIS!$R:$R,MATCH($D239,FIXTURE_ANALYSIS!$A:$A,0))),1)</f>
        <v>0.9782093425605537</v>
      </c>
      <c r="Y239" s="5">
        <f t="shared" si="81"/>
        <v>0.9782093425605537</v>
      </c>
      <c r="Z239" s="8">
        <f>INDEX(FPL_Raw_Data!$T:$T,MATCH(A239,FPL_Raw_Data!$AA:$AA,0))</f>
        <v>0</v>
      </c>
      <c r="AA239" s="8">
        <f>INDEX(FPL_Raw_Data!$S:$S,MATCH(A239,FPL_Raw_Data!$AA:$AA,0))</f>
        <v>0</v>
      </c>
      <c r="AB239" s="2">
        <f t="shared" si="82"/>
        <v>0</v>
      </c>
      <c r="AC239" s="2">
        <f>INDEX(FPL_Raw_Data!$Q:$Q,MATCH(A239,FPL_Raw_Data!$AA:$AA,0))</f>
        <v>0</v>
      </c>
      <c r="AD239" s="8">
        <f>INDEX(FPL_Raw_Data!$R:$R,MATCH(A239,FPL_Raw_Data!$AA:$AA,0))</f>
        <v>0</v>
      </c>
      <c r="AE239" s="8">
        <f>INDEX(FPL_Raw_Data!$N:$N,MATCH(A239,FPL_Raw_Data!$AA:$AA,0))</f>
        <v>0</v>
      </c>
      <c r="AF239" s="8">
        <f>INDEX(FPL_Raw_Data!$L:$L,MATCH(A239,FPL_Raw_Data!$AA:$AA,0))</f>
        <v>0</v>
      </c>
      <c r="AG239" s="2">
        <f>INDEX(FPL_Raw_Data!$M:$M,MATCH(A239,FPL_Raw_Data!$AA:$AA,0))</f>
        <v>0</v>
      </c>
      <c r="AH239" s="2">
        <f t="shared" si="83"/>
        <v>0</v>
      </c>
      <c r="AI239" s="2">
        <f t="shared" si="84"/>
        <v>0</v>
      </c>
      <c r="AJ239" s="2">
        <f t="shared" si="85"/>
        <v>0</v>
      </c>
      <c r="AK239" s="2">
        <f t="shared" si="86"/>
        <v>0</v>
      </c>
      <c r="AL239" s="2">
        <f t="shared" si="87"/>
        <v>0</v>
      </c>
      <c r="AM239" s="2">
        <f t="shared" si="88"/>
        <v>0</v>
      </c>
      <c r="AN239" s="2">
        <f t="shared" si="89"/>
        <v>0</v>
      </c>
      <c r="AO239" s="3">
        <f t="shared" si="90"/>
        <v>0.1</v>
      </c>
      <c r="AP239">
        <f t="shared" si="91"/>
        <v>0</v>
      </c>
      <c r="AQ239">
        <f t="shared" si="92"/>
        <v>0.1</v>
      </c>
      <c r="AR239">
        <f t="shared" si="93"/>
        <v>0</v>
      </c>
      <c r="AS239" s="2">
        <f t="shared" si="94"/>
        <v>0</v>
      </c>
      <c r="AT239" s="2">
        <f>IFERROR(INDEX(Player_Model!$BC$2:$BC$596,MATCH($A239,Player_Model!$A$2:$A$596,0)),0)</f>
        <v>0</v>
      </c>
      <c r="AU239" s="2">
        <f>Table8[[#This Row],[Model Expected Points]]*Table8[[#This Row],[Fixture Adjustment]]</f>
        <v>0</v>
      </c>
      <c r="AV239" s="2">
        <f>Table8[[#This Row],[Fixture Adjusted Points / 90]]/Table8[[#This Row],[Price]]</f>
        <v>0</v>
      </c>
      <c r="AW239">
        <f t="shared" si="95"/>
        <v>0.05</v>
      </c>
      <c r="AX239">
        <f t="shared" si="96"/>
        <v>0</v>
      </c>
      <c r="AY239" s="2">
        <f t="shared" si="97"/>
        <v>0</v>
      </c>
      <c r="AZ239" s="5">
        <f t="shared" si="98"/>
        <v>0.9782093425605537</v>
      </c>
      <c r="BA239">
        <f>Table8[[#This Row],[Model Score2]]</f>
        <v>0</v>
      </c>
      <c r="BB239">
        <f>IFERROR(INDEX(Player_Model!$BG$2:$BG$596,MATCH($A239,Player_Model!$A$2:$A$596,0)),"")</f>
        <v>171</v>
      </c>
      <c r="BC239" t="str">
        <f t="shared" si="99"/>
        <v>AVOID</v>
      </c>
      <c r="BD239">
        <f>IF(H239=1,Table8[[#This Row],[Model Score]],-10000)</f>
        <v>0</v>
      </c>
      <c r="BE239">
        <f>IFERROR(INDEX(Player_Model!$BF$2:$BF$596,MATCH($A239,Player_Model!$A$2:$A$596,0)),"")</f>
        <v>253</v>
      </c>
      <c r="BF239">
        <f>IFERROR(INDEX(Player_Model!$BG$2:$BG$596,MATCH($A239,Player_Model!$A$2:$A$596,0)),"")</f>
        <v>171</v>
      </c>
      <c r="BG239">
        <f>IFERROR(INDEX(Player_Model!$BE$2:$BE$596,MATCH($A239,Player_Model!$A$2:$A$596,0)),0)</f>
        <v>0</v>
      </c>
    </row>
    <row r="240" spans="1:59" x14ac:dyDescent="0.25">
      <c r="A240" t="str">
        <f>tblPlayers[first_name]&amp;" "&amp;tblPlayers[second_name]</f>
        <v>Daichi Kamada</v>
      </c>
      <c r="B240" t="str">
        <f>_xlfn.SWITCH(tblPlayers[element_type],1,"GK",2,"DEF",3,"MID",4,"FWD")</f>
        <v>MID</v>
      </c>
      <c r="C240">
        <f>tblPlayers[team]</f>
        <v>8</v>
      </c>
      <c r="D240" t="str">
        <f>INDEX(tblTeams[Column1.short_name],MATCH(C240,tblTeams[Column1.id],0))</f>
        <v>CRY</v>
      </c>
      <c r="E240" s="4">
        <f>INDEX(FPL_Raw_Data!$F:$F,MATCH(A240,FPL_Raw_Data!$AA:$AA,0))/10</f>
        <v>5</v>
      </c>
      <c r="F240" s="4" t="str">
        <f>tblPlayers[[#This Row],[status]]</f>
        <v>a</v>
      </c>
      <c r="G240" s="4" t="b">
        <f>tblPlayers[[#This Row],[can_select]]</f>
        <v>1</v>
      </c>
      <c r="H240">
        <f>IF(AND(Table8[[#This Row],[Availability Status]]="a",Table8[[#This Row],[Can Select]]=TRUE),1,0)</f>
        <v>1</v>
      </c>
      <c r="I240">
        <f>tblPlayers[minutes]</f>
        <v>268</v>
      </c>
      <c r="J240" s="2">
        <f>Table8[[#This Row],[Minutes]]/90</f>
        <v>2.9777777777777779</v>
      </c>
      <c r="K240" s="5">
        <f>IFERROR(Z240/(FIXTURE_ANALYSIS!$B$1-1),0)</f>
        <v>1</v>
      </c>
      <c r="L240">
        <f>tblPlayers[total_points]</f>
        <v>10</v>
      </c>
      <c r="M240">
        <f>tblPlayers[points_per_game]</f>
        <v>3.3</v>
      </c>
      <c r="N240">
        <f>tblPlayers[form]</f>
        <v>3.3</v>
      </c>
      <c r="O240">
        <f>tblPlayers[expected_goals]</f>
        <v>0.05</v>
      </c>
      <c r="P240">
        <f>tblPlayers[expected_assists]</f>
        <v>0.3</v>
      </c>
      <c r="Q240">
        <f>tblPlayers[expected_goal_involvements]</f>
        <v>0.35</v>
      </c>
      <c r="R240" s="2">
        <f t="shared" si="75"/>
        <v>3.3582089552238803</v>
      </c>
      <c r="S240" s="5">
        <f t="shared" si="76"/>
        <v>1.6791044776119403E-2</v>
      </c>
      <c r="T240" s="5">
        <f t="shared" si="77"/>
        <v>0.10074626865671642</v>
      </c>
      <c r="U240" s="5">
        <f t="shared" si="78"/>
        <v>0.1175373134328358</v>
      </c>
      <c r="V240" s="3">
        <f t="shared" si="79"/>
        <v>2</v>
      </c>
      <c r="W240" s="5">
        <f t="shared" si="80"/>
        <v>6.9999999999999993E-2</v>
      </c>
      <c r="X240" s="5">
        <f>IFERROR(IF(OR($B240="MID",$B240="FWD"),INDEX(FIXTURE_ANALYSIS!$Q:$Q,MATCH($D240,FIXTURE_ANALYSIS!$A:$A,0)),INDEX(FIXTURE_ANALYSIS!$R:$R,MATCH($D240,FIXTURE_ANALYSIS!$A:$A,0))),1)</f>
        <v>0.9782093425605537</v>
      </c>
      <c r="Y240" s="5">
        <f t="shared" si="81"/>
        <v>0.9782093425605537</v>
      </c>
      <c r="Z240" s="8">
        <f>INDEX(FPL_Raw_Data!$T:$T,MATCH(A240,FPL_Raw_Data!$AA:$AA,0))</f>
        <v>3</v>
      </c>
      <c r="AA240" s="8">
        <f>INDEX(FPL_Raw_Data!$S:$S,MATCH(A240,FPL_Raw_Data!$AA:$AA,0))</f>
        <v>27</v>
      </c>
      <c r="AB240" s="2">
        <f t="shared" si="82"/>
        <v>1</v>
      </c>
      <c r="AC240" s="2">
        <f>INDEX(FPL_Raw_Data!$Q:$Q,MATCH(A240,FPL_Raw_Data!$AA:$AA,0))</f>
        <v>0</v>
      </c>
      <c r="AD240" s="8">
        <f>INDEX(FPL_Raw_Data!$R:$R,MATCH(A240,FPL_Raw_Data!$AA:$AA,0))</f>
        <v>67</v>
      </c>
      <c r="AE240" s="8">
        <f>INDEX(FPL_Raw_Data!$N:$N,MATCH(A240,FPL_Raw_Data!$AA:$AA,0))</f>
        <v>0</v>
      </c>
      <c r="AF240" s="8">
        <f>INDEX(FPL_Raw_Data!$L:$L,MATCH(A240,FPL_Raw_Data!$AA:$AA,0))</f>
        <v>0</v>
      </c>
      <c r="AG240" s="2">
        <f>INDEX(FPL_Raw_Data!$M:$M,MATCH(A240,FPL_Raw_Data!$AA:$AA,0))</f>
        <v>1</v>
      </c>
      <c r="AH240" s="2">
        <f t="shared" si="83"/>
        <v>8.3955223880597007E-2</v>
      </c>
      <c r="AI240" s="2">
        <f t="shared" si="84"/>
        <v>0.30223880597014924</v>
      </c>
      <c r="AJ240" s="2">
        <f t="shared" si="85"/>
        <v>2</v>
      </c>
      <c r="AK240" s="2">
        <f t="shared" si="86"/>
        <v>2</v>
      </c>
      <c r="AL240" s="2">
        <f t="shared" si="87"/>
        <v>0</v>
      </c>
      <c r="AM240" s="2">
        <f t="shared" si="88"/>
        <v>0</v>
      </c>
      <c r="AN240" s="2">
        <f t="shared" si="89"/>
        <v>0</v>
      </c>
      <c r="AO240" s="3">
        <f t="shared" si="90"/>
        <v>64.400000000000006</v>
      </c>
      <c r="AP240">
        <f t="shared" si="91"/>
        <v>70</v>
      </c>
      <c r="AQ240">
        <f t="shared" si="92"/>
        <v>85.5</v>
      </c>
      <c r="AR240">
        <f t="shared" si="93"/>
        <v>79.7</v>
      </c>
      <c r="AS240" s="2">
        <f t="shared" si="94"/>
        <v>100</v>
      </c>
      <c r="AT240" s="2">
        <f>IFERROR(INDEX(Player_Model!$BC$2:$BC$596,MATCH($A240,Player_Model!$A$2:$A$596,0)),0)</f>
        <v>3.8509135869234359</v>
      </c>
      <c r="AU240" s="2">
        <f>Table8[[#This Row],[Model Expected Points]]*Table8[[#This Row],[Fixture Adjustment]]</f>
        <v>3.7669996481218777</v>
      </c>
      <c r="AV240" s="2">
        <f>Table8[[#This Row],[Fixture Adjusted Points / 90]]/Table8[[#This Row],[Price]]</f>
        <v>0.75339992962437552</v>
      </c>
      <c r="AW240">
        <f t="shared" si="95"/>
        <v>67.2</v>
      </c>
      <c r="AX240">
        <f t="shared" si="96"/>
        <v>1</v>
      </c>
      <c r="AY240" s="2">
        <f t="shared" si="97"/>
        <v>100</v>
      </c>
      <c r="AZ240" s="5">
        <f t="shared" si="98"/>
        <v>0.9782093425605537</v>
      </c>
      <c r="BA240">
        <f>Table8[[#This Row],[Model Score2]]</f>
        <v>3.8509135869234359</v>
      </c>
      <c r="BB240">
        <f>IFERROR(INDEX(Player_Model!$BG$2:$BG$596,MATCH($A240,Player_Model!$A$2:$A$596,0)),"")</f>
        <v>83</v>
      </c>
      <c r="BC240" t="str">
        <f t="shared" si="99"/>
        <v>AVOID</v>
      </c>
      <c r="BD240">
        <f>IF(H240=1,Table8[[#This Row],[Model Score]],-10000)</f>
        <v>3.8509135869234359</v>
      </c>
      <c r="BE240">
        <f>IFERROR(INDEX(Player_Model!$BF$2:$BF$596,MATCH($A240,Player_Model!$A$2:$A$596,0)),"")</f>
        <v>164</v>
      </c>
      <c r="BF240">
        <f>IFERROR(INDEX(Player_Model!$BG$2:$BG$596,MATCH($A240,Player_Model!$A$2:$A$596,0)),"")</f>
        <v>83</v>
      </c>
      <c r="BG240">
        <f>IFERROR(INDEX(Player_Model!$BE$2:$BE$596,MATCH($A240,Player_Model!$A$2:$A$596,0)),0)</f>
        <v>3.8509135869234359</v>
      </c>
    </row>
    <row r="241" spans="1:59" x14ac:dyDescent="0.25">
      <c r="A241" t="str">
        <f>tblPlayers[first_name]&amp;" "&amp;tblPlayers[second_name]</f>
        <v>Justin Devenny</v>
      </c>
      <c r="B241" t="str">
        <f>_xlfn.SWITCH(tblPlayers[element_type],1,"GK",2,"DEF",3,"MID",4,"FWD")</f>
        <v>MID</v>
      </c>
      <c r="C241">
        <f>tblPlayers[team]</f>
        <v>8</v>
      </c>
      <c r="D241" t="str">
        <f>INDEX(tblTeams[Column1.short_name],MATCH(C241,tblTeams[Column1.id],0))</f>
        <v>CRY</v>
      </c>
      <c r="E241" s="4">
        <f>INDEX(FPL_Raw_Data!$F:$F,MATCH(A241,FPL_Raw_Data!$AA:$AA,0))/10</f>
        <v>5</v>
      </c>
      <c r="F241" s="4" t="str">
        <f>tblPlayers[[#This Row],[status]]</f>
        <v>u</v>
      </c>
      <c r="G241" s="4" t="b">
        <f>tblPlayers[[#This Row],[can_select]]</f>
        <v>0</v>
      </c>
      <c r="H241">
        <f>IF(AND(Table8[[#This Row],[Availability Status]]="a",Table8[[#This Row],[Can Select]]=TRUE),1,0)</f>
        <v>0</v>
      </c>
      <c r="I241">
        <f>tblPlayers[minutes]</f>
        <v>0</v>
      </c>
      <c r="J241" s="2">
        <f>Table8[[#This Row],[Minutes]]/90</f>
        <v>0</v>
      </c>
      <c r="K241" s="5">
        <f>IFERROR(Z241/(FIXTURE_ANALYSIS!$B$1-1),0)</f>
        <v>0</v>
      </c>
      <c r="L241">
        <f>tblPlayers[total_points]</f>
        <v>0</v>
      </c>
      <c r="M241">
        <f>tblPlayers[points_per_game]</f>
        <v>0</v>
      </c>
      <c r="N241">
        <f>tblPlayers[form]</f>
        <v>0</v>
      </c>
      <c r="O241">
        <f>tblPlayers[expected_goals]</f>
        <v>0</v>
      </c>
      <c r="P241">
        <f>tblPlayers[expected_assists]</f>
        <v>0</v>
      </c>
      <c r="Q241">
        <f>tblPlayers[expected_goal_involvements]</f>
        <v>0</v>
      </c>
      <c r="R241" s="2">
        <f t="shared" si="75"/>
        <v>0</v>
      </c>
      <c r="S241" s="5">
        <f t="shared" si="76"/>
        <v>0</v>
      </c>
      <c r="T241" s="5">
        <f t="shared" si="77"/>
        <v>0</v>
      </c>
      <c r="U241" s="5">
        <f t="shared" si="78"/>
        <v>0</v>
      </c>
      <c r="V241" s="3">
        <f t="shared" si="79"/>
        <v>0</v>
      </c>
      <c r="W241" s="5">
        <f t="shared" si="80"/>
        <v>0</v>
      </c>
      <c r="X241" s="5">
        <f>IFERROR(IF(OR($B241="MID",$B241="FWD"),INDEX(FIXTURE_ANALYSIS!$Q:$Q,MATCH($D241,FIXTURE_ANALYSIS!$A:$A,0)),INDEX(FIXTURE_ANALYSIS!$R:$R,MATCH($D241,FIXTURE_ANALYSIS!$A:$A,0))),1)</f>
        <v>0.9782093425605537</v>
      </c>
      <c r="Y241" s="5">
        <f t="shared" si="81"/>
        <v>0.9782093425605537</v>
      </c>
      <c r="Z241" s="8">
        <f>INDEX(FPL_Raw_Data!$T:$T,MATCH(A241,FPL_Raw_Data!$AA:$AA,0))</f>
        <v>0</v>
      </c>
      <c r="AA241" s="8">
        <f>INDEX(FPL_Raw_Data!$S:$S,MATCH(A241,FPL_Raw_Data!$AA:$AA,0))</f>
        <v>0</v>
      </c>
      <c r="AB241" s="2">
        <f t="shared" si="82"/>
        <v>0</v>
      </c>
      <c r="AC241" s="2">
        <f>INDEX(FPL_Raw_Data!$Q:$Q,MATCH(A241,FPL_Raw_Data!$AA:$AA,0))</f>
        <v>0</v>
      </c>
      <c r="AD241" s="8">
        <f>INDEX(FPL_Raw_Data!$R:$R,MATCH(A241,FPL_Raw_Data!$AA:$AA,0))</f>
        <v>0</v>
      </c>
      <c r="AE241" s="8">
        <f>INDEX(FPL_Raw_Data!$N:$N,MATCH(A241,FPL_Raw_Data!$AA:$AA,0))</f>
        <v>0</v>
      </c>
      <c r="AF241" s="8">
        <f>INDEX(FPL_Raw_Data!$L:$L,MATCH(A241,FPL_Raw_Data!$AA:$AA,0))</f>
        <v>0</v>
      </c>
      <c r="AG241" s="2">
        <f>INDEX(FPL_Raw_Data!$M:$M,MATCH(A241,FPL_Raw_Data!$AA:$AA,0))</f>
        <v>0</v>
      </c>
      <c r="AH241" s="2">
        <f t="shared" si="83"/>
        <v>0</v>
      </c>
      <c r="AI241" s="2">
        <f t="shared" si="84"/>
        <v>0</v>
      </c>
      <c r="AJ241" s="2">
        <f t="shared" si="85"/>
        <v>0</v>
      </c>
      <c r="AK241" s="2">
        <f t="shared" si="86"/>
        <v>0</v>
      </c>
      <c r="AL241" s="2">
        <f t="shared" si="87"/>
        <v>0</v>
      </c>
      <c r="AM241" s="2">
        <f t="shared" si="88"/>
        <v>0</v>
      </c>
      <c r="AN241" s="2">
        <f t="shared" si="89"/>
        <v>0</v>
      </c>
      <c r="AO241" s="3">
        <f t="shared" si="90"/>
        <v>0.1</v>
      </c>
      <c r="AP241">
        <f t="shared" si="91"/>
        <v>0</v>
      </c>
      <c r="AQ241">
        <f t="shared" si="92"/>
        <v>0.1</v>
      </c>
      <c r="AR241">
        <f t="shared" si="93"/>
        <v>0</v>
      </c>
      <c r="AS241" s="2">
        <f t="shared" si="94"/>
        <v>0</v>
      </c>
      <c r="AT241" s="2">
        <f>IFERROR(INDEX(Player_Model!$BC$2:$BC$596,MATCH($A241,Player_Model!$A$2:$A$596,0)),0)</f>
        <v>0</v>
      </c>
      <c r="AU241" s="2">
        <f>Table8[[#This Row],[Model Expected Points]]*Table8[[#This Row],[Fixture Adjustment]]</f>
        <v>0</v>
      </c>
      <c r="AV241" s="2">
        <f>Table8[[#This Row],[Fixture Adjusted Points / 90]]/Table8[[#This Row],[Price]]</f>
        <v>0</v>
      </c>
      <c r="AW241">
        <f t="shared" si="95"/>
        <v>0.05</v>
      </c>
      <c r="AX241">
        <f t="shared" si="96"/>
        <v>0</v>
      </c>
      <c r="AY241" s="2">
        <f t="shared" si="97"/>
        <v>0</v>
      </c>
      <c r="AZ241" s="5">
        <f t="shared" si="98"/>
        <v>0.9782093425605537</v>
      </c>
      <c r="BA241">
        <f>Table8[[#This Row],[Model Score2]]</f>
        <v>0</v>
      </c>
      <c r="BB241">
        <f>IFERROR(INDEX(Player_Model!$BG$2:$BG$596,MATCH($A241,Player_Model!$A$2:$A$596,0)),"")</f>
        <v>172</v>
      </c>
      <c r="BC241" t="str">
        <f t="shared" si="99"/>
        <v>AVOID</v>
      </c>
      <c r="BD241">
        <f>IF(H241=1,Table8[[#This Row],[Model Score]],-10000)</f>
        <v>-10000</v>
      </c>
      <c r="BE241">
        <f>IFERROR(INDEX(Player_Model!$BF$2:$BF$596,MATCH($A241,Player_Model!$A$2:$A$596,0)),"")</f>
        <v>253</v>
      </c>
      <c r="BF241">
        <f>IFERROR(INDEX(Player_Model!$BG$2:$BG$596,MATCH($A241,Player_Model!$A$2:$A$596,0)),"")</f>
        <v>172</v>
      </c>
      <c r="BG241">
        <f>IFERROR(INDEX(Player_Model!$BE$2:$BE$596,MATCH($A241,Player_Model!$A$2:$A$596,0)),0)</f>
        <v>0</v>
      </c>
    </row>
    <row r="242" spans="1:59" x14ac:dyDescent="0.25">
      <c r="A242" t="str">
        <f>tblPlayers[first_name]&amp;" "&amp;tblPlayers[second_name]</f>
        <v>Romain Esse</v>
      </c>
      <c r="B242" t="str">
        <f>_xlfn.SWITCH(tblPlayers[element_type],1,"GK",2,"DEF",3,"MID",4,"FWD")</f>
        <v>MID</v>
      </c>
      <c r="C242">
        <f>tblPlayers[team]</f>
        <v>8</v>
      </c>
      <c r="D242" t="str">
        <f>INDEX(tblTeams[Column1.short_name],MATCH(C242,tblTeams[Column1.id],0))</f>
        <v>CRY</v>
      </c>
      <c r="E242" s="4">
        <f>INDEX(FPL_Raw_Data!$F:$F,MATCH(A242,FPL_Raw_Data!$AA:$AA,0))/10</f>
        <v>5</v>
      </c>
      <c r="F242" s="4" t="str">
        <f>tblPlayers[[#This Row],[status]]</f>
        <v>u</v>
      </c>
      <c r="G242" s="4" t="b">
        <f>tblPlayers[[#This Row],[can_select]]</f>
        <v>0</v>
      </c>
      <c r="H242">
        <f>IF(AND(Table8[[#This Row],[Availability Status]]="a",Table8[[#This Row],[Can Select]]=TRUE),1,0)</f>
        <v>0</v>
      </c>
      <c r="I242">
        <f>tblPlayers[minutes]</f>
        <v>0</v>
      </c>
      <c r="J242" s="2">
        <f>Table8[[#This Row],[Minutes]]/90</f>
        <v>0</v>
      </c>
      <c r="K242" s="5">
        <f>IFERROR(Z242/(FIXTURE_ANALYSIS!$B$1-1),0)</f>
        <v>0</v>
      </c>
      <c r="L242">
        <f>tblPlayers[total_points]</f>
        <v>0</v>
      </c>
      <c r="M242">
        <f>tblPlayers[points_per_game]</f>
        <v>0</v>
      </c>
      <c r="N242">
        <f>tblPlayers[form]</f>
        <v>0</v>
      </c>
      <c r="O242">
        <f>tblPlayers[expected_goals]</f>
        <v>0</v>
      </c>
      <c r="P242">
        <f>tblPlayers[expected_assists]</f>
        <v>0</v>
      </c>
      <c r="Q242">
        <f>tblPlayers[expected_goal_involvements]</f>
        <v>0</v>
      </c>
      <c r="R242" s="2">
        <f t="shared" si="75"/>
        <v>0</v>
      </c>
      <c r="S242" s="5">
        <f t="shared" si="76"/>
        <v>0</v>
      </c>
      <c r="T242" s="5">
        <f t="shared" si="77"/>
        <v>0</v>
      </c>
      <c r="U242" s="5">
        <f t="shared" si="78"/>
        <v>0</v>
      </c>
      <c r="V242" s="3">
        <f t="shared" si="79"/>
        <v>0</v>
      </c>
      <c r="W242" s="5">
        <f t="shared" si="80"/>
        <v>0</v>
      </c>
      <c r="X242" s="5">
        <f>IFERROR(IF(OR($B242="MID",$B242="FWD"),INDEX(FIXTURE_ANALYSIS!$Q:$Q,MATCH($D242,FIXTURE_ANALYSIS!$A:$A,0)),INDEX(FIXTURE_ANALYSIS!$R:$R,MATCH($D242,FIXTURE_ANALYSIS!$A:$A,0))),1)</f>
        <v>0.9782093425605537</v>
      </c>
      <c r="Y242" s="5">
        <f t="shared" si="81"/>
        <v>0.9782093425605537</v>
      </c>
      <c r="Z242" s="8">
        <f>INDEX(FPL_Raw_Data!$T:$T,MATCH(A242,FPL_Raw_Data!$AA:$AA,0))</f>
        <v>0</v>
      </c>
      <c r="AA242" s="8">
        <f>INDEX(FPL_Raw_Data!$S:$S,MATCH(A242,FPL_Raw_Data!$AA:$AA,0))</f>
        <v>0</v>
      </c>
      <c r="AB242" s="2">
        <f t="shared" si="82"/>
        <v>0</v>
      </c>
      <c r="AC242" s="2">
        <f>INDEX(FPL_Raw_Data!$Q:$Q,MATCH(A242,FPL_Raw_Data!$AA:$AA,0))</f>
        <v>0</v>
      </c>
      <c r="AD242" s="8">
        <f>INDEX(FPL_Raw_Data!$R:$R,MATCH(A242,FPL_Raw_Data!$AA:$AA,0))</f>
        <v>0</v>
      </c>
      <c r="AE242" s="8">
        <f>INDEX(FPL_Raw_Data!$N:$N,MATCH(A242,FPL_Raw_Data!$AA:$AA,0))</f>
        <v>0</v>
      </c>
      <c r="AF242" s="8">
        <f>INDEX(FPL_Raw_Data!$L:$L,MATCH(A242,FPL_Raw_Data!$AA:$AA,0))</f>
        <v>0</v>
      </c>
      <c r="AG242" s="2">
        <f>INDEX(FPL_Raw_Data!$M:$M,MATCH(A242,FPL_Raw_Data!$AA:$AA,0))</f>
        <v>0</v>
      </c>
      <c r="AH242" s="2">
        <f t="shared" si="83"/>
        <v>0</v>
      </c>
      <c r="AI242" s="2">
        <f t="shared" si="84"/>
        <v>0</v>
      </c>
      <c r="AJ242" s="2">
        <f t="shared" si="85"/>
        <v>0</v>
      </c>
      <c r="AK242" s="2">
        <f t="shared" si="86"/>
        <v>0</v>
      </c>
      <c r="AL242" s="2">
        <f t="shared" si="87"/>
        <v>0</v>
      </c>
      <c r="AM242" s="2">
        <f t="shared" si="88"/>
        <v>0</v>
      </c>
      <c r="AN242" s="2">
        <f t="shared" si="89"/>
        <v>0</v>
      </c>
      <c r="AO242" s="3">
        <f t="shared" si="90"/>
        <v>0.1</v>
      </c>
      <c r="AP242">
        <f t="shared" si="91"/>
        <v>0</v>
      </c>
      <c r="AQ242">
        <f t="shared" si="92"/>
        <v>0.1</v>
      </c>
      <c r="AR242">
        <f t="shared" si="93"/>
        <v>0</v>
      </c>
      <c r="AS242" s="2">
        <f t="shared" si="94"/>
        <v>0</v>
      </c>
      <c r="AT242" s="2">
        <f>IFERROR(INDEX(Player_Model!$BC$2:$BC$596,MATCH($A242,Player_Model!$A$2:$A$596,0)),0)</f>
        <v>0</v>
      </c>
      <c r="AU242" s="2">
        <f>Table8[[#This Row],[Model Expected Points]]*Table8[[#This Row],[Fixture Adjustment]]</f>
        <v>0</v>
      </c>
      <c r="AV242" s="2">
        <f>Table8[[#This Row],[Fixture Adjusted Points / 90]]/Table8[[#This Row],[Price]]</f>
        <v>0</v>
      </c>
      <c r="AW242">
        <f t="shared" si="95"/>
        <v>0.05</v>
      </c>
      <c r="AX242">
        <f t="shared" si="96"/>
        <v>0</v>
      </c>
      <c r="AY242" s="2">
        <f t="shared" si="97"/>
        <v>0</v>
      </c>
      <c r="AZ242" s="5">
        <f t="shared" si="98"/>
        <v>0.9782093425605537</v>
      </c>
      <c r="BA242">
        <f>Table8[[#This Row],[Model Score2]]</f>
        <v>0</v>
      </c>
      <c r="BB242">
        <f>IFERROR(INDEX(Player_Model!$BG$2:$BG$596,MATCH($A242,Player_Model!$A$2:$A$596,0)),"")</f>
        <v>173</v>
      </c>
      <c r="BC242" t="str">
        <f t="shared" si="99"/>
        <v>AVOID</v>
      </c>
      <c r="BD242">
        <f>IF(H242=1,Table8[[#This Row],[Model Score]],-10000)</f>
        <v>-10000</v>
      </c>
      <c r="BE242">
        <f>IFERROR(INDEX(Player_Model!$BF$2:$BF$596,MATCH($A242,Player_Model!$A$2:$A$596,0)),"")</f>
        <v>253</v>
      </c>
      <c r="BF242">
        <f>IFERROR(INDEX(Player_Model!$BG$2:$BG$596,MATCH($A242,Player_Model!$A$2:$A$596,0)),"")</f>
        <v>173</v>
      </c>
      <c r="BG242">
        <f>IFERROR(INDEX(Player_Model!$BE$2:$BE$596,MATCH($A242,Player_Model!$A$2:$A$596,0)),0)</f>
        <v>0</v>
      </c>
    </row>
    <row r="243" spans="1:59" x14ac:dyDescent="0.25">
      <c r="A243" t="str">
        <f>tblPlayers[first_name]&amp;" "&amp;tblPlayers[second_name]</f>
        <v>Matheus França de Oliveira</v>
      </c>
      <c r="B243" t="str">
        <f>_xlfn.SWITCH(tblPlayers[element_type],1,"GK",2,"DEF",3,"MID",4,"FWD")</f>
        <v>MID</v>
      </c>
      <c r="C243">
        <f>tblPlayers[team]</f>
        <v>8</v>
      </c>
      <c r="D243" t="str">
        <f>INDEX(tblTeams[Column1.short_name],MATCH(C243,tblTeams[Column1.id],0))</f>
        <v>CRY</v>
      </c>
      <c r="E243" s="4">
        <f>INDEX(FPL_Raw_Data!$F:$F,MATCH(A243,FPL_Raw_Data!$AA:$AA,0))/10</f>
        <v>4.9000000000000004</v>
      </c>
      <c r="F243" s="4" t="str">
        <f>tblPlayers[[#This Row],[status]]</f>
        <v>a</v>
      </c>
      <c r="G243" s="4" t="b">
        <f>tblPlayers[[#This Row],[can_select]]</f>
        <v>1</v>
      </c>
      <c r="H243">
        <f>IF(AND(Table8[[#This Row],[Availability Status]]="a",Table8[[#This Row],[Can Select]]=TRUE),1,0)</f>
        <v>1</v>
      </c>
      <c r="I243">
        <f>tblPlayers[minutes]</f>
        <v>0</v>
      </c>
      <c r="J243" s="2">
        <f>Table8[[#This Row],[Minutes]]/90</f>
        <v>0</v>
      </c>
      <c r="K243" s="5">
        <f>IFERROR(Z243/(FIXTURE_ANALYSIS!$B$1-1),0)</f>
        <v>0</v>
      </c>
      <c r="L243">
        <f>tblPlayers[total_points]</f>
        <v>0</v>
      </c>
      <c r="M243">
        <f>tblPlayers[points_per_game]</f>
        <v>0</v>
      </c>
      <c r="N243">
        <f>tblPlayers[form]</f>
        <v>0</v>
      </c>
      <c r="O243">
        <f>tblPlayers[expected_goals]</f>
        <v>0</v>
      </c>
      <c r="P243">
        <f>tblPlayers[expected_assists]</f>
        <v>0</v>
      </c>
      <c r="Q243">
        <f>tblPlayers[expected_goal_involvements]</f>
        <v>0</v>
      </c>
      <c r="R243" s="2">
        <f t="shared" si="75"/>
        <v>0</v>
      </c>
      <c r="S243" s="5">
        <f t="shared" si="76"/>
        <v>0</v>
      </c>
      <c r="T243" s="5">
        <f t="shared" si="77"/>
        <v>0</v>
      </c>
      <c r="U243" s="5">
        <f t="shared" si="78"/>
        <v>0</v>
      </c>
      <c r="V243" s="3">
        <f t="shared" si="79"/>
        <v>0</v>
      </c>
      <c r="W243" s="5">
        <f t="shared" si="80"/>
        <v>0</v>
      </c>
      <c r="X243" s="5">
        <f>IFERROR(IF(OR($B243="MID",$B243="FWD"),INDEX(FIXTURE_ANALYSIS!$Q:$Q,MATCH($D243,FIXTURE_ANALYSIS!$A:$A,0)),INDEX(FIXTURE_ANALYSIS!$R:$R,MATCH($D243,FIXTURE_ANALYSIS!$A:$A,0))),1)</f>
        <v>0.9782093425605537</v>
      </c>
      <c r="Y243" s="5">
        <f t="shared" si="81"/>
        <v>0.9782093425605537</v>
      </c>
      <c r="Z243" s="8">
        <f>INDEX(FPL_Raw_Data!$T:$T,MATCH(A243,FPL_Raw_Data!$AA:$AA,0))</f>
        <v>0</v>
      </c>
      <c r="AA243" s="8">
        <f>INDEX(FPL_Raw_Data!$S:$S,MATCH(A243,FPL_Raw_Data!$AA:$AA,0))</f>
        <v>0</v>
      </c>
      <c r="AB243" s="2">
        <f t="shared" si="82"/>
        <v>0</v>
      </c>
      <c r="AC243" s="2">
        <f>INDEX(FPL_Raw_Data!$Q:$Q,MATCH(A243,FPL_Raw_Data!$AA:$AA,0))</f>
        <v>0</v>
      </c>
      <c r="AD243" s="8">
        <f>INDEX(FPL_Raw_Data!$R:$R,MATCH(A243,FPL_Raw_Data!$AA:$AA,0))</f>
        <v>0</v>
      </c>
      <c r="AE243" s="8">
        <f>INDEX(FPL_Raw_Data!$N:$N,MATCH(A243,FPL_Raw_Data!$AA:$AA,0))</f>
        <v>0</v>
      </c>
      <c r="AF243" s="8">
        <f>INDEX(FPL_Raw_Data!$L:$L,MATCH(A243,FPL_Raw_Data!$AA:$AA,0))</f>
        <v>0</v>
      </c>
      <c r="AG243" s="2">
        <f>INDEX(FPL_Raw_Data!$M:$M,MATCH(A243,FPL_Raw_Data!$AA:$AA,0))</f>
        <v>0</v>
      </c>
      <c r="AH243" s="2">
        <f t="shared" si="83"/>
        <v>0</v>
      </c>
      <c r="AI243" s="2">
        <f t="shared" si="84"/>
        <v>0</v>
      </c>
      <c r="AJ243" s="2">
        <f t="shared" si="85"/>
        <v>0</v>
      </c>
      <c r="AK243" s="2">
        <f t="shared" si="86"/>
        <v>0</v>
      </c>
      <c r="AL243" s="2">
        <f t="shared" si="87"/>
        <v>0</v>
      </c>
      <c r="AM243" s="2">
        <f t="shared" si="88"/>
        <v>0</v>
      </c>
      <c r="AN243" s="2">
        <f t="shared" si="89"/>
        <v>0</v>
      </c>
      <c r="AO243" s="3">
        <f t="shared" si="90"/>
        <v>0.1</v>
      </c>
      <c r="AP243">
        <f t="shared" si="91"/>
        <v>0</v>
      </c>
      <c r="AQ243">
        <f t="shared" si="92"/>
        <v>0.1</v>
      </c>
      <c r="AR243">
        <f t="shared" si="93"/>
        <v>0</v>
      </c>
      <c r="AS243" s="2">
        <f t="shared" si="94"/>
        <v>0</v>
      </c>
      <c r="AT243" s="2">
        <f>IFERROR(INDEX(Player_Model!$BC$2:$BC$596,MATCH($A243,Player_Model!$A$2:$A$596,0)),0)</f>
        <v>0</v>
      </c>
      <c r="AU243" s="2">
        <f>Table8[[#This Row],[Model Expected Points]]*Table8[[#This Row],[Fixture Adjustment]]</f>
        <v>0</v>
      </c>
      <c r="AV243" s="2">
        <f>Table8[[#This Row],[Fixture Adjusted Points / 90]]/Table8[[#This Row],[Price]]</f>
        <v>0</v>
      </c>
      <c r="AW243">
        <f t="shared" si="95"/>
        <v>0.05</v>
      </c>
      <c r="AX243">
        <f t="shared" si="96"/>
        <v>0</v>
      </c>
      <c r="AY243" s="2">
        <f t="shared" si="97"/>
        <v>0</v>
      </c>
      <c r="AZ243" s="5">
        <f t="shared" si="98"/>
        <v>0.9782093425605537</v>
      </c>
      <c r="BA243">
        <f>Table8[[#This Row],[Model Score2]]</f>
        <v>0</v>
      </c>
      <c r="BB243">
        <f>IFERROR(INDEX(Player_Model!$BG$2:$BG$596,MATCH($A243,Player_Model!$A$2:$A$596,0)),"")</f>
        <v>174</v>
      </c>
      <c r="BC243" t="str">
        <f t="shared" si="99"/>
        <v>AVOID</v>
      </c>
      <c r="BD243">
        <f>IF(H243=1,Table8[[#This Row],[Model Score]],-10000)</f>
        <v>0</v>
      </c>
      <c r="BE243">
        <f>IFERROR(INDEX(Player_Model!$BF$2:$BF$596,MATCH($A243,Player_Model!$A$2:$A$596,0)),"")</f>
        <v>253</v>
      </c>
      <c r="BF243">
        <f>IFERROR(INDEX(Player_Model!$BG$2:$BG$596,MATCH($A243,Player_Model!$A$2:$A$596,0)),"")</f>
        <v>174</v>
      </c>
      <c r="BG243">
        <f>IFERROR(INDEX(Player_Model!$BE$2:$BE$596,MATCH($A243,Player_Model!$A$2:$A$596,0)),0)</f>
        <v>0</v>
      </c>
    </row>
    <row r="244" spans="1:59" x14ac:dyDescent="0.25">
      <c r="A244" t="str">
        <f>tblPlayers[first_name]&amp;" "&amp;tblPlayers[second_name]</f>
        <v>Cheick Doucouré</v>
      </c>
      <c r="B244" t="str">
        <f>_xlfn.SWITCH(tblPlayers[element_type],1,"GK",2,"DEF",3,"MID",4,"FWD")</f>
        <v>MID</v>
      </c>
      <c r="C244">
        <f>tblPlayers[team]</f>
        <v>8</v>
      </c>
      <c r="D244" t="str">
        <f>INDEX(tblTeams[Column1.short_name],MATCH(C244,tblTeams[Column1.id],0))</f>
        <v>CRY</v>
      </c>
      <c r="E244" s="4">
        <f>INDEX(FPL_Raw_Data!$F:$F,MATCH(A244,FPL_Raw_Data!$AA:$AA,0))/10</f>
        <v>4.9000000000000004</v>
      </c>
      <c r="F244" s="4" t="str">
        <f>tblPlayers[[#This Row],[status]]</f>
        <v>a</v>
      </c>
      <c r="G244" s="4" t="b">
        <f>tblPlayers[[#This Row],[can_select]]</f>
        <v>1</v>
      </c>
      <c r="H244">
        <f>IF(AND(Table8[[#This Row],[Availability Status]]="a",Table8[[#This Row],[Can Select]]=TRUE),1,0)</f>
        <v>1</v>
      </c>
      <c r="I244">
        <f>tblPlayers[minutes]</f>
        <v>0</v>
      </c>
      <c r="J244" s="2">
        <f>Table8[[#This Row],[Minutes]]/90</f>
        <v>0</v>
      </c>
      <c r="K244" s="5">
        <f>IFERROR(Z244/(FIXTURE_ANALYSIS!$B$1-1),0)</f>
        <v>0</v>
      </c>
      <c r="L244">
        <f>tblPlayers[total_points]</f>
        <v>0</v>
      </c>
      <c r="M244">
        <f>tblPlayers[points_per_game]</f>
        <v>0</v>
      </c>
      <c r="N244">
        <f>tblPlayers[form]</f>
        <v>0</v>
      </c>
      <c r="O244">
        <f>tblPlayers[expected_goals]</f>
        <v>0</v>
      </c>
      <c r="P244">
        <f>tblPlayers[expected_assists]</f>
        <v>0</v>
      </c>
      <c r="Q244">
        <f>tblPlayers[expected_goal_involvements]</f>
        <v>0</v>
      </c>
      <c r="R244" s="2">
        <f t="shared" si="75"/>
        <v>0</v>
      </c>
      <c r="S244" s="5">
        <f t="shared" si="76"/>
        <v>0</v>
      </c>
      <c r="T244" s="5">
        <f t="shared" si="77"/>
        <v>0</v>
      </c>
      <c r="U244" s="5">
        <f t="shared" si="78"/>
        <v>0</v>
      </c>
      <c r="V244" s="3">
        <f t="shared" si="79"/>
        <v>0</v>
      </c>
      <c r="W244" s="5">
        <f t="shared" si="80"/>
        <v>0</v>
      </c>
      <c r="X244" s="5">
        <f>IFERROR(IF(OR($B244="MID",$B244="FWD"),INDEX(FIXTURE_ANALYSIS!$Q:$Q,MATCH($D244,FIXTURE_ANALYSIS!$A:$A,0)),INDEX(FIXTURE_ANALYSIS!$R:$R,MATCH($D244,FIXTURE_ANALYSIS!$A:$A,0))),1)</f>
        <v>0.9782093425605537</v>
      </c>
      <c r="Y244" s="5">
        <f t="shared" si="81"/>
        <v>0.9782093425605537</v>
      </c>
      <c r="Z244" s="8">
        <f>INDEX(FPL_Raw_Data!$T:$T,MATCH(A244,FPL_Raw_Data!$AA:$AA,0))</f>
        <v>0</v>
      </c>
      <c r="AA244" s="8">
        <f>INDEX(FPL_Raw_Data!$S:$S,MATCH(A244,FPL_Raw_Data!$AA:$AA,0))</f>
        <v>0</v>
      </c>
      <c r="AB244" s="2">
        <f t="shared" si="82"/>
        <v>0</v>
      </c>
      <c r="AC244" s="2">
        <f>INDEX(FPL_Raw_Data!$Q:$Q,MATCH(A244,FPL_Raw_Data!$AA:$AA,0))</f>
        <v>0</v>
      </c>
      <c r="AD244" s="8">
        <f>INDEX(FPL_Raw_Data!$R:$R,MATCH(A244,FPL_Raw_Data!$AA:$AA,0))</f>
        <v>0</v>
      </c>
      <c r="AE244" s="8">
        <f>INDEX(FPL_Raw_Data!$N:$N,MATCH(A244,FPL_Raw_Data!$AA:$AA,0))</f>
        <v>0</v>
      </c>
      <c r="AF244" s="8">
        <f>INDEX(FPL_Raw_Data!$L:$L,MATCH(A244,FPL_Raw_Data!$AA:$AA,0))</f>
        <v>0</v>
      </c>
      <c r="AG244" s="2">
        <f>INDEX(FPL_Raw_Data!$M:$M,MATCH(A244,FPL_Raw_Data!$AA:$AA,0))</f>
        <v>0</v>
      </c>
      <c r="AH244" s="2">
        <f t="shared" si="83"/>
        <v>0</v>
      </c>
      <c r="AI244" s="2">
        <f t="shared" si="84"/>
        <v>0</v>
      </c>
      <c r="AJ244" s="2">
        <f t="shared" si="85"/>
        <v>0</v>
      </c>
      <c r="AK244" s="2">
        <f t="shared" si="86"/>
        <v>0</v>
      </c>
      <c r="AL244" s="2">
        <f t="shared" si="87"/>
        <v>0</v>
      </c>
      <c r="AM244" s="2">
        <f t="shared" si="88"/>
        <v>0</v>
      </c>
      <c r="AN244" s="2">
        <f t="shared" si="89"/>
        <v>0</v>
      </c>
      <c r="AO244" s="3">
        <f t="shared" si="90"/>
        <v>0.1</v>
      </c>
      <c r="AP244">
        <f t="shared" si="91"/>
        <v>0</v>
      </c>
      <c r="AQ244">
        <f t="shared" si="92"/>
        <v>0.1</v>
      </c>
      <c r="AR244">
        <f t="shared" si="93"/>
        <v>0</v>
      </c>
      <c r="AS244" s="2">
        <f t="shared" si="94"/>
        <v>0</v>
      </c>
      <c r="AT244" s="2">
        <f>IFERROR(INDEX(Player_Model!$BC$2:$BC$596,MATCH($A244,Player_Model!$A$2:$A$596,0)),0)</f>
        <v>0</v>
      </c>
      <c r="AU244" s="2">
        <f>Table8[[#This Row],[Model Expected Points]]*Table8[[#This Row],[Fixture Adjustment]]</f>
        <v>0</v>
      </c>
      <c r="AV244" s="2">
        <f>Table8[[#This Row],[Fixture Adjusted Points / 90]]/Table8[[#This Row],[Price]]</f>
        <v>0</v>
      </c>
      <c r="AW244">
        <f t="shared" si="95"/>
        <v>0.05</v>
      </c>
      <c r="AX244">
        <f t="shared" si="96"/>
        <v>0</v>
      </c>
      <c r="AY244" s="2">
        <f t="shared" si="97"/>
        <v>0</v>
      </c>
      <c r="AZ244" s="5">
        <f t="shared" si="98"/>
        <v>0.9782093425605537</v>
      </c>
      <c r="BA244">
        <f>Table8[[#This Row],[Model Score2]]</f>
        <v>0</v>
      </c>
      <c r="BB244">
        <f>IFERROR(INDEX(Player_Model!$BG$2:$BG$596,MATCH($A244,Player_Model!$A$2:$A$596,0)),"")</f>
        <v>175</v>
      </c>
      <c r="BC244" t="str">
        <f t="shared" si="99"/>
        <v>AVOID</v>
      </c>
      <c r="BD244">
        <f>IF(H244=1,Table8[[#This Row],[Model Score]],-10000)</f>
        <v>0</v>
      </c>
      <c r="BE244">
        <f>IFERROR(INDEX(Player_Model!$BF$2:$BF$596,MATCH($A244,Player_Model!$A$2:$A$596,0)),"")</f>
        <v>253</v>
      </c>
      <c r="BF244">
        <f>IFERROR(INDEX(Player_Model!$BG$2:$BG$596,MATCH($A244,Player_Model!$A$2:$A$596,0)),"")</f>
        <v>175</v>
      </c>
      <c r="BG244">
        <f>IFERROR(INDEX(Player_Model!$BE$2:$BE$596,MATCH($A244,Player_Model!$A$2:$A$596,0)),0)</f>
        <v>0</v>
      </c>
    </row>
    <row r="245" spans="1:59" x14ac:dyDescent="0.25">
      <c r="A245" t="str">
        <f>tblPlayers[first_name]&amp;" "&amp;tblPlayers[second_name]</f>
        <v>Jesurun Rak-Sakyi</v>
      </c>
      <c r="B245" t="str">
        <f>_xlfn.SWITCH(tblPlayers[element_type],1,"GK",2,"DEF",3,"MID",4,"FWD")</f>
        <v>MID</v>
      </c>
      <c r="C245">
        <f>tblPlayers[team]</f>
        <v>8</v>
      </c>
      <c r="D245" t="str">
        <f>INDEX(tblTeams[Column1.short_name],MATCH(C245,tblTeams[Column1.id],0))</f>
        <v>CRY</v>
      </c>
      <c r="E245" s="4">
        <f>INDEX(FPL_Raw_Data!$F:$F,MATCH(A245,FPL_Raw_Data!$AA:$AA,0))/10</f>
        <v>5</v>
      </c>
      <c r="F245" s="4" t="str">
        <f>tblPlayers[[#This Row],[status]]</f>
        <v>a</v>
      </c>
      <c r="G245" s="4" t="b">
        <f>tblPlayers[[#This Row],[can_select]]</f>
        <v>1</v>
      </c>
      <c r="H245">
        <f>IF(AND(Table8[[#This Row],[Availability Status]]="a",Table8[[#This Row],[Can Select]]=TRUE),1,0)</f>
        <v>1</v>
      </c>
      <c r="I245">
        <f>tblPlayers[minutes]</f>
        <v>0</v>
      </c>
      <c r="J245" s="2">
        <f>Table8[[#This Row],[Minutes]]/90</f>
        <v>0</v>
      </c>
      <c r="K245" s="5">
        <f>IFERROR(Z245/(FIXTURE_ANALYSIS!$B$1-1),0)</f>
        <v>0</v>
      </c>
      <c r="L245">
        <f>tblPlayers[total_points]</f>
        <v>0</v>
      </c>
      <c r="M245">
        <f>tblPlayers[points_per_game]</f>
        <v>0</v>
      </c>
      <c r="N245">
        <f>tblPlayers[form]</f>
        <v>0</v>
      </c>
      <c r="O245">
        <f>tblPlayers[expected_goals]</f>
        <v>0</v>
      </c>
      <c r="P245">
        <f>tblPlayers[expected_assists]</f>
        <v>0</v>
      </c>
      <c r="Q245">
        <f>tblPlayers[expected_goal_involvements]</f>
        <v>0</v>
      </c>
      <c r="R245" s="2">
        <f t="shared" si="75"/>
        <v>0</v>
      </c>
      <c r="S245" s="5">
        <f t="shared" si="76"/>
        <v>0</v>
      </c>
      <c r="T245" s="5">
        <f t="shared" si="77"/>
        <v>0</v>
      </c>
      <c r="U245" s="5">
        <f t="shared" si="78"/>
        <v>0</v>
      </c>
      <c r="V245" s="3">
        <f t="shared" si="79"/>
        <v>0</v>
      </c>
      <c r="W245" s="5">
        <f t="shared" si="80"/>
        <v>0</v>
      </c>
      <c r="X245" s="5">
        <f>IFERROR(IF(OR($B245="MID",$B245="FWD"),INDEX(FIXTURE_ANALYSIS!$Q:$Q,MATCH($D245,FIXTURE_ANALYSIS!$A:$A,0)),INDEX(FIXTURE_ANALYSIS!$R:$R,MATCH($D245,FIXTURE_ANALYSIS!$A:$A,0))),1)</f>
        <v>0.9782093425605537</v>
      </c>
      <c r="Y245" s="5">
        <f t="shared" si="81"/>
        <v>0.9782093425605537</v>
      </c>
      <c r="Z245" s="8">
        <f>INDEX(FPL_Raw_Data!$T:$T,MATCH(A245,FPL_Raw_Data!$AA:$AA,0))</f>
        <v>0</v>
      </c>
      <c r="AA245" s="8">
        <f>INDEX(FPL_Raw_Data!$S:$S,MATCH(A245,FPL_Raw_Data!$AA:$AA,0))</f>
        <v>0</v>
      </c>
      <c r="AB245" s="2">
        <f t="shared" si="82"/>
        <v>0</v>
      </c>
      <c r="AC245" s="2">
        <f>INDEX(FPL_Raw_Data!$Q:$Q,MATCH(A245,FPL_Raw_Data!$AA:$AA,0))</f>
        <v>0</v>
      </c>
      <c r="AD245" s="8">
        <f>INDEX(FPL_Raw_Data!$R:$R,MATCH(A245,FPL_Raw_Data!$AA:$AA,0))</f>
        <v>0</v>
      </c>
      <c r="AE245" s="8">
        <f>INDEX(FPL_Raw_Data!$N:$N,MATCH(A245,FPL_Raw_Data!$AA:$AA,0))</f>
        <v>0</v>
      </c>
      <c r="AF245" s="8">
        <f>INDEX(FPL_Raw_Data!$L:$L,MATCH(A245,FPL_Raw_Data!$AA:$AA,0))</f>
        <v>0</v>
      </c>
      <c r="AG245" s="2">
        <f>INDEX(FPL_Raw_Data!$M:$M,MATCH(A245,FPL_Raw_Data!$AA:$AA,0))</f>
        <v>0</v>
      </c>
      <c r="AH245" s="2">
        <f t="shared" si="83"/>
        <v>0</v>
      </c>
      <c r="AI245" s="2">
        <f t="shared" si="84"/>
        <v>0</v>
      </c>
      <c r="AJ245" s="2">
        <f t="shared" si="85"/>
        <v>0</v>
      </c>
      <c r="AK245" s="2">
        <f t="shared" si="86"/>
        <v>0</v>
      </c>
      <c r="AL245" s="2">
        <f t="shared" si="87"/>
        <v>0</v>
      </c>
      <c r="AM245" s="2">
        <f t="shared" si="88"/>
        <v>0</v>
      </c>
      <c r="AN245" s="2">
        <f t="shared" si="89"/>
        <v>0</v>
      </c>
      <c r="AO245" s="3">
        <f t="shared" si="90"/>
        <v>0.1</v>
      </c>
      <c r="AP245">
        <f t="shared" si="91"/>
        <v>0</v>
      </c>
      <c r="AQ245">
        <f t="shared" si="92"/>
        <v>0.1</v>
      </c>
      <c r="AR245">
        <f t="shared" si="93"/>
        <v>0</v>
      </c>
      <c r="AS245" s="2">
        <f t="shared" si="94"/>
        <v>0</v>
      </c>
      <c r="AT245" s="2">
        <f>IFERROR(INDEX(Player_Model!$BC$2:$BC$596,MATCH($A245,Player_Model!$A$2:$A$596,0)),0)</f>
        <v>0</v>
      </c>
      <c r="AU245" s="2">
        <f>Table8[[#This Row],[Model Expected Points]]*Table8[[#This Row],[Fixture Adjustment]]</f>
        <v>0</v>
      </c>
      <c r="AV245" s="2">
        <f>Table8[[#This Row],[Fixture Adjusted Points / 90]]/Table8[[#This Row],[Price]]</f>
        <v>0</v>
      </c>
      <c r="AW245">
        <f t="shared" si="95"/>
        <v>0.05</v>
      </c>
      <c r="AX245">
        <f t="shared" si="96"/>
        <v>0</v>
      </c>
      <c r="AY245" s="2">
        <f t="shared" si="97"/>
        <v>0</v>
      </c>
      <c r="AZ245" s="5">
        <f t="shared" si="98"/>
        <v>0.9782093425605537</v>
      </c>
      <c r="BA245">
        <f>Table8[[#This Row],[Model Score2]]</f>
        <v>0</v>
      </c>
      <c r="BB245">
        <f>IFERROR(INDEX(Player_Model!$BG$2:$BG$596,MATCH($A245,Player_Model!$A$2:$A$596,0)),"")</f>
        <v>176</v>
      </c>
      <c r="BC245" t="str">
        <f t="shared" si="99"/>
        <v>AVOID</v>
      </c>
      <c r="BD245">
        <f>IF(H245=1,Table8[[#This Row],[Model Score]],-10000)</f>
        <v>0</v>
      </c>
      <c r="BE245">
        <f>IFERROR(INDEX(Player_Model!$BF$2:$BF$596,MATCH($A245,Player_Model!$A$2:$A$596,0)),"")</f>
        <v>253</v>
      </c>
      <c r="BF245">
        <f>IFERROR(INDEX(Player_Model!$BG$2:$BG$596,MATCH($A245,Player_Model!$A$2:$A$596,0)),"")</f>
        <v>176</v>
      </c>
      <c r="BG245">
        <f>IFERROR(INDEX(Player_Model!$BE$2:$BE$596,MATCH($A245,Player_Model!$A$2:$A$596,0)),0)</f>
        <v>0</v>
      </c>
    </row>
    <row r="246" spans="1:59" x14ac:dyDescent="0.25">
      <c r="A246" t="str">
        <f>tblPlayers[first_name]&amp;" "&amp;tblPlayers[second_name]</f>
        <v>Rio Cardines</v>
      </c>
      <c r="B246" t="str">
        <f>_xlfn.SWITCH(tblPlayers[element_type],1,"GK",2,"DEF",3,"MID",4,"FWD")</f>
        <v>DEF</v>
      </c>
      <c r="C246">
        <f>tblPlayers[team]</f>
        <v>8</v>
      </c>
      <c r="D246" t="str">
        <f>INDEX(tblTeams[Column1.short_name],MATCH(C246,tblTeams[Column1.id],0))</f>
        <v>CRY</v>
      </c>
      <c r="E246" s="4">
        <f>INDEX(FPL_Raw_Data!$F:$F,MATCH(A246,FPL_Raw_Data!$AA:$AA,0))/10</f>
        <v>4.5</v>
      </c>
      <c r="F246" s="4" t="str">
        <f>tblPlayers[[#This Row],[status]]</f>
        <v>u</v>
      </c>
      <c r="G246" s="4" t="b">
        <f>tblPlayers[[#This Row],[can_select]]</f>
        <v>0</v>
      </c>
      <c r="H246">
        <f>IF(AND(Table8[[#This Row],[Availability Status]]="a",Table8[[#This Row],[Can Select]]=TRUE),1,0)</f>
        <v>0</v>
      </c>
      <c r="I246">
        <f>tblPlayers[minutes]</f>
        <v>0</v>
      </c>
      <c r="J246" s="2">
        <f>Table8[[#This Row],[Minutes]]/90</f>
        <v>0</v>
      </c>
      <c r="K246" s="5">
        <f>IFERROR(Z246/(FIXTURE_ANALYSIS!$B$1-1),0)</f>
        <v>0</v>
      </c>
      <c r="L246">
        <f>tblPlayers[total_points]</f>
        <v>0</v>
      </c>
      <c r="M246">
        <f>tblPlayers[points_per_game]</f>
        <v>0</v>
      </c>
      <c r="N246">
        <f>tblPlayers[form]</f>
        <v>0</v>
      </c>
      <c r="O246">
        <f>tblPlayers[expected_goals]</f>
        <v>0</v>
      </c>
      <c r="P246">
        <f>tblPlayers[expected_assists]</f>
        <v>0</v>
      </c>
      <c r="Q246">
        <f>tblPlayers[expected_goal_involvements]</f>
        <v>0</v>
      </c>
      <c r="R246" s="2">
        <f t="shared" si="75"/>
        <v>0</v>
      </c>
      <c r="S246" s="5">
        <f t="shared" si="76"/>
        <v>0</v>
      </c>
      <c r="T246" s="5">
        <f t="shared" si="77"/>
        <v>0</v>
      </c>
      <c r="U246" s="5">
        <f t="shared" si="78"/>
        <v>0</v>
      </c>
      <c r="V246" s="3">
        <f t="shared" si="79"/>
        <v>0</v>
      </c>
      <c r="W246" s="5">
        <f t="shared" si="80"/>
        <v>0</v>
      </c>
      <c r="X246" s="5">
        <f>IFERROR(IF(OR($B246="MID",$B246="FWD"),INDEX(FIXTURE_ANALYSIS!$Q:$Q,MATCH($D246,FIXTURE_ANALYSIS!$A:$A,0)),INDEX(FIXTURE_ANALYSIS!$R:$R,MATCH($D246,FIXTURE_ANALYSIS!$A:$A,0))),1)</f>
        <v>0.8321125967628431</v>
      </c>
      <c r="Y246" s="5">
        <f t="shared" si="81"/>
        <v>0.8321125967628431</v>
      </c>
      <c r="Z246" s="8">
        <f>INDEX(FPL_Raw_Data!$T:$T,MATCH(A246,FPL_Raw_Data!$AA:$AA,0))</f>
        <v>0</v>
      </c>
      <c r="AA246" s="8">
        <f>INDEX(FPL_Raw_Data!$S:$S,MATCH(A246,FPL_Raw_Data!$AA:$AA,0))</f>
        <v>0</v>
      </c>
      <c r="AB246" s="2">
        <f t="shared" si="82"/>
        <v>0</v>
      </c>
      <c r="AC246" s="2">
        <f>INDEX(FPL_Raw_Data!$Q:$Q,MATCH(A246,FPL_Raw_Data!$AA:$AA,0))</f>
        <v>0</v>
      </c>
      <c r="AD246" s="8">
        <f>INDEX(FPL_Raw_Data!$R:$R,MATCH(A246,FPL_Raw_Data!$AA:$AA,0))</f>
        <v>0</v>
      </c>
      <c r="AE246" s="8">
        <f>INDEX(FPL_Raw_Data!$N:$N,MATCH(A246,FPL_Raw_Data!$AA:$AA,0))</f>
        <v>0</v>
      </c>
      <c r="AF246" s="8">
        <f>INDEX(FPL_Raw_Data!$L:$L,MATCH(A246,FPL_Raw_Data!$AA:$AA,0))</f>
        <v>0</v>
      </c>
      <c r="AG246" s="2">
        <f>INDEX(FPL_Raw_Data!$M:$M,MATCH(A246,FPL_Raw_Data!$AA:$AA,0))</f>
        <v>0</v>
      </c>
      <c r="AH246" s="2">
        <f t="shared" si="83"/>
        <v>0</v>
      </c>
      <c r="AI246" s="2">
        <f t="shared" si="84"/>
        <v>0</v>
      </c>
      <c r="AJ246" s="2">
        <f t="shared" si="85"/>
        <v>0</v>
      </c>
      <c r="AK246" s="2">
        <f t="shared" si="86"/>
        <v>0</v>
      </c>
      <c r="AL246" s="2">
        <f t="shared" si="87"/>
        <v>0</v>
      </c>
      <c r="AM246" s="2">
        <f t="shared" si="88"/>
        <v>0</v>
      </c>
      <c r="AN246" s="2">
        <f t="shared" si="89"/>
        <v>0</v>
      </c>
      <c r="AO246" s="3">
        <f t="shared" si="90"/>
        <v>0.1</v>
      </c>
      <c r="AP246">
        <f t="shared" si="91"/>
        <v>0</v>
      </c>
      <c r="AQ246">
        <f t="shared" si="92"/>
        <v>0.1</v>
      </c>
      <c r="AR246">
        <f t="shared" si="93"/>
        <v>0</v>
      </c>
      <c r="AS246" s="2">
        <f t="shared" si="94"/>
        <v>0</v>
      </c>
      <c r="AT246" s="2">
        <f>IFERROR(INDEX(Player_Model!$BC$2:$BC$596,MATCH($A246,Player_Model!$A$2:$A$596,0)),0)</f>
        <v>-1.1094834623504575</v>
      </c>
      <c r="AU246" s="2">
        <f>Table8[[#This Row],[Model Expected Points]]*Table8[[#This Row],[Fixture Adjustment]]</f>
        <v>-0.92321516492186928</v>
      </c>
      <c r="AV246" s="2">
        <f>Table8[[#This Row],[Fixture Adjusted Points / 90]]/Table8[[#This Row],[Price]]</f>
        <v>-0.20515892553819318</v>
      </c>
      <c r="AW246">
        <f t="shared" si="95"/>
        <v>0</v>
      </c>
      <c r="AX246">
        <f t="shared" si="96"/>
        <v>0.41605629838142155</v>
      </c>
      <c r="AY246" s="2">
        <f t="shared" si="97"/>
        <v>0</v>
      </c>
      <c r="AZ246" s="5">
        <f t="shared" si="98"/>
        <v>0.8321125967628431</v>
      </c>
      <c r="BA246">
        <f>Table8[[#This Row],[Model Score2]]</f>
        <v>-1.1094834623504575</v>
      </c>
      <c r="BB246">
        <f>IFERROR(INDEX(Player_Model!$BG$2:$BG$596,MATCH($A246,Player_Model!$A$2:$A$596,0)),"")</f>
        <v>190</v>
      </c>
      <c r="BC246" t="str">
        <f t="shared" si="99"/>
        <v>AVOID</v>
      </c>
      <c r="BD246">
        <f>IF(H246=1,Table8[[#This Row],[Model Score]],-10000)</f>
        <v>-10000</v>
      </c>
      <c r="BE246">
        <f>IFERROR(INDEX(Player_Model!$BF$2:$BF$596,MATCH($A246,Player_Model!$A$2:$A$596,0)),"")</f>
        <v>591</v>
      </c>
      <c r="BF246">
        <f>IFERROR(INDEX(Player_Model!$BG$2:$BG$596,MATCH($A246,Player_Model!$A$2:$A$596,0)),"")</f>
        <v>190</v>
      </c>
      <c r="BG246">
        <f>IFERROR(INDEX(Player_Model!$BE$2:$BE$596,MATCH($A246,Player_Model!$A$2:$A$596,0)),0)</f>
        <v>-1.1094834623504575</v>
      </c>
    </row>
    <row r="247" spans="1:59" x14ac:dyDescent="0.25">
      <c r="A247" t="str">
        <f>tblPlayers[first_name]&amp;" "&amp;tblPlayers[second_name]</f>
        <v>Joél Drakes-Thomas</v>
      </c>
      <c r="B247" t="str">
        <f>_xlfn.SWITCH(tblPlayers[element_type],1,"GK",2,"DEF",3,"MID",4,"FWD")</f>
        <v>MID</v>
      </c>
      <c r="C247">
        <f>tblPlayers[team]</f>
        <v>8</v>
      </c>
      <c r="D247" t="str">
        <f>INDEX(tblTeams[Column1.short_name],MATCH(C247,tblTeams[Column1.id],0))</f>
        <v>CRY</v>
      </c>
      <c r="E247" s="4">
        <f>INDEX(FPL_Raw_Data!$F:$F,MATCH(A247,FPL_Raw_Data!$AA:$AA,0))/10</f>
        <v>4.5</v>
      </c>
      <c r="F247" s="4" t="str">
        <f>tblPlayers[[#This Row],[status]]</f>
        <v>a</v>
      </c>
      <c r="G247" s="4" t="b">
        <f>tblPlayers[[#This Row],[can_select]]</f>
        <v>1</v>
      </c>
      <c r="H247">
        <f>IF(AND(Table8[[#This Row],[Availability Status]]="a",Table8[[#This Row],[Can Select]]=TRUE),1,0)</f>
        <v>1</v>
      </c>
      <c r="I247">
        <f>tblPlayers[minutes]</f>
        <v>0</v>
      </c>
      <c r="J247" s="2">
        <f>Table8[[#This Row],[Minutes]]/90</f>
        <v>0</v>
      </c>
      <c r="K247" s="5">
        <f>IFERROR(Z247/(FIXTURE_ANALYSIS!$B$1-1),0)</f>
        <v>0</v>
      </c>
      <c r="L247">
        <f>tblPlayers[total_points]</f>
        <v>0</v>
      </c>
      <c r="M247">
        <f>tblPlayers[points_per_game]</f>
        <v>0</v>
      </c>
      <c r="N247">
        <f>tblPlayers[form]</f>
        <v>0</v>
      </c>
      <c r="O247">
        <f>tblPlayers[expected_goals]</f>
        <v>0</v>
      </c>
      <c r="P247">
        <f>tblPlayers[expected_assists]</f>
        <v>0</v>
      </c>
      <c r="Q247">
        <f>tblPlayers[expected_goal_involvements]</f>
        <v>0</v>
      </c>
      <c r="R247" s="2">
        <f t="shared" si="75"/>
        <v>0</v>
      </c>
      <c r="S247" s="5">
        <f t="shared" si="76"/>
        <v>0</v>
      </c>
      <c r="T247" s="5">
        <f t="shared" si="77"/>
        <v>0</v>
      </c>
      <c r="U247" s="5">
        <f t="shared" si="78"/>
        <v>0</v>
      </c>
      <c r="V247" s="3">
        <f t="shared" si="79"/>
        <v>0</v>
      </c>
      <c r="W247" s="5">
        <f t="shared" si="80"/>
        <v>0</v>
      </c>
      <c r="X247" s="5">
        <f>IFERROR(IF(OR($B247="MID",$B247="FWD"),INDEX(FIXTURE_ANALYSIS!$Q:$Q,MATCH($D247,FIXTURE_ANALYSIS!$A:$A,0)),INDEX(FIXTURE_ANALYSIS!$R:$R,MATCH($D247,FIXTURE_ANALYSIS!$A:$A,0))),1)</f>
        <v>0.9782093425605537</v>
      </c>
      <c r="Y247" s="5">
        <f t="shared" si="81"/>
        <v>0.9782093425605537</v>
      </c>
      <c r="Z247" s="8">
        <f>INDEX(FPL_Raw_Data!$T:$T,MATCH(A247,FPL_Raw_Data!$AA:$AA,0))</f>
        <v>0</v>
      </c>
      <c r="AA247" s="8">
        <f>INDEX(FPL_Raw_Data!$S:$S,MATCH(A247,FPL_Raw_Data!$AA:$AA,0))</f>
        <v>0</v>
      </c>
      <c r="AB247" s="2">
        <f t="shared" si="82"/>
        <v>0</v>
      </c>
      <c r="AC247" s="2">
        <f>INDEX(FPL_Raw_Data!$Q:$Q,MATCH(A247,FPL_Raw_Data!$AA:$AA,0))</f>
        <v>0</v>
      </c>
      <c r="AD247" s="8">
        <f>INDEX(FPL_Raw_Data!$R:$R,MATCH(A247,FPL_Raw_Data!$AA:$AA,0))</f>
        <v>0</v>
      </c>
      <c r="AE247" s="8">
        <f>INDEX(FPL_Raw_Data!$N:$N,MATCH(A247,FPL_Raw_Data!$AA:$AA,0))</f>
        <v>0</v>
      </c>
      <c r="AF247" s="8">
        <f>INDEX(FPL_Raw_Data!$L:$L,MATCH(A247,FPL_Raw_Data!$AA:$AA,0))</f>
        <v>0</v>
      </c>
      <c r="AG247" s="2">
        <f>INDEX(FPL_Raw_Data!$M:$M,MATCH(A247,FPL_Raw_Data!$AA:$AA,0))</f>
        <v>0</v>
      </c>
      <c r="AH247" s="2">
        <f t="shared" si="83"/>
        <v>0</v>
      </c>
      <c r="AI247" s="2">
        <f t="shared" si="84"/>
        <v>0</v>
      </c>
      <c r="AJ247" s="2">
        <f t="shared" si="85"/>
        <v>0</v>
      </c>
      <c r="AK247" s="2">
        <f t="shared" si="86"/>
        <v>0</v>
      </c>
      <c r="AL247" s="2">
        <f t="shared" si="87"/>
        <v>0</v>
      </c>
      <c r="AM247" s="2">
        <f t="shared" si="88"/>
        <v>0</v>
      </c>
      <c r="AN247" s="2">
        <f t="shared" si="89"/>
        <v>0</v>
      </c>
      <c r="AO247" s="3">
        <f t="shared" si="90"/>
        <v>0.1</v>
      </c>
      <c r="AP247">
        <f t="shared" si="91"/>
        <v>0</v>
      </c>
      <c r="AQ247">
        <f t="shared" si="92"/>
        <v>0.1</v>
      </c>
      <c r="AR247">
        <f t="shared" si="93"/>
        <v>0</v>
      </c>
      <c r="AS247" s="2">
        <f t="shared" si="94"/>
        <v>0</v>
      </c>
      <c r="AT247" s="2">
        <f>IFERROR(INDEX(Player_Model!$BC$2:$BC$596,MATCH($A247,Player_Model!$A$2:$A$596,0)),0)</f>
        <v>0</v>
      </c>
      <c r="AU247" s="2">
        <f>Table8[[#This Row],[Model Expected Points]]*Table8[[#This Row],[Fixture Adjustment]]</f>
        <v>0</v>
      </c>
      <c r="AV247" s="2">
        <f>Table8[[#This Row],[Fixture Adjusted Points / 90]]/Table8[[#This Row],[Price]]</f>
        <v>0</v>
      </c>
      <c r="AW247">
        <f t="shared" si="95"/>
        <v>0.05</v>
      </c>
      <c r="AX247">
        <f t="shared" si="96"/>
        <v>0</v>
      </c>
      <c r="AY247" s="2">
        <f t="shared" si="97"/>
        <v>0</v>
      </c>
      <c r="AZ247" s="5">
        <f t="shared" si="98"/>
        <v>0.9782093425605537</v>
      </c>
      <c r="BA247">
        <f>Table8[[#This Row],[Model Score2]]</f>
        <v>0</v>
      </c>
      <c r="BB247">
        <f>IFERROR(INDEX(Player_Model!$BG$2:$BG$596,MATCH($A247,Player_Model!$A$2:$A$596,0)),"")</f>
        <v>177</v>
      </c>
      <c r="BC247" t="str">
        <f t="shared" si="99"/>
        <v>AVOID</v>
      </c>
      <c r="BD247">
        <f>IF(H247=1,Table8[[#This Row],[Model Score]],-10000)</f>
        <v>0</v>
      </c>
      <c r="BE247">
        <f>IFERROR(INDEX(Player_Model!$BF$2:$BF$596,MATCH($A247,Player_Model!$A$2:$A$596,0)),"")</f>
        <v>253</v>
      </c>
      <c r="BF247">
        <f>IFERROR(INDEX(Player_Model!$BG$2:$BG$596,MATCH($A247,Player_Model!$A$2:$A$596,0)),"")</f>
        <v>177</v>
      </c>
      <c r="BG247">
        <f>IFERROR(INDEX(Player_Model!$BE$2:$BE$596,MATCH($A247,Player_Model!$A$2:$A$596,0)),0)</f>
        <v>0</v>
      </c>
    </row>
    <row r="248" spans="1:59" x14ac:dyDescent="0.25">
      <c r="A248" t="str">
        <f>tblPlayers[first_name]&amp;" "&amp;tblPlayers[second_name]</f>
        <v>Jørgen Strand Larsen</v>
      </c>
      <c r="B248" t="str">
        <f>_xlfn.SWITCH(tblPlayers[element_type],1,"GK",2,"DEF",3,"MID",4,"FWD")</f>
        <v>FWD</v>
      </c>
      <c r="C248">
        <f>tblPlayers[team]</f>
        <v>8</v>
      </c>
      <c r="D248" t="str">
        <f>INDEX(tblTeams[Column1.short_name],MATCH(C248,tblTeams[Column1.id],0))</f>
        <v>CRY</v>
      </c>
      <c r="E248" s="4">
        <f>INDEX(FPL_Raw_Data!$F:$F,MATCH(A248,FPL_Raw_Data!$AA:$AA,0))/10</f>
        <v>6</v>
      </c>
      <c r="F248" s="4" t="str">
        <f>tblPlayers[[#This Row],[status]]</f>
        <v>a</v>
      </c>
      <c r="G248" s="4" t="b">
        <f>tblPlayers[[#This Row],[can_select]]</f>
        <v>1</v>
      </c>
      <c r="H248">
        <f>IF(AND(Table8[[#This Row],[Availability Status]]="a",Table8[[#This Row],[Can Select]]=TRUE),1,0)</f>
        <v>1</v>
      </c>
      <c r="I248">
        <f>tblPlayers[minutes]</f>
        <v>134</v>
      </c>
      <c r="J248" s="2">
        <f>Table8[[#This Row],[Minutes]]/90</f>
        <v>1.4888888888888889</v>
      </c>
      <c r="K248" s="5">
        <f>IFERROR(Z248/(FIXTURE_ANALYSIS!$B$1-1),0)</f>
        <v>0.33333333333333331</v>
      </c>
      <c r="L248">
        <f>tblPlayers[total_points]</f>
        <v>4</v>
      </c>
      <c r="M248">
        <f>tblPlayers[points_per_game]</f>
        <v>1.3</v>
      </c>
      <c r="N248">
        <f>tblPlayers[form]</f>
        <v>1.3</v>
      </c>
      <c r="O248">
        <f>tblPlayers[expected_goals]</f>
        <v>0.3</v>
      </c>
      <c r="P248">
        <f>tblPlayers[expected_assists]</f>
        <v>0.01</v>
      </c>
      <c r="Q248">
        <f>tblPlayers[expected_goal_involvements]</f>
        <v>0.31</v>
      </c>
      <c r="R248" s="2">
        <f t="shared" si="75"/>
        <v>2.6865671641791042</v>
      </c>
      <c r="S248" s="5">
        <f t="shared" si="76"/>
        <v>0.20149253731343283</v>
      </c>
      <c r="T248" s="5">
        <f t="shared" si="77"/>
        <v>6.7164179104477612E-3</v>
      </c>
      <c r="U248" s="5">
        <f t="shared" si="78"/>
        <v>0.20820895522388058</v>
      </c>
      <c r="V248" s="3">
        <f t="shared" si="79"/>
        <v>0.66666666666666663</v>
      </c>
      <c r="W248" s="5">
        <f t="shared" si="80"/>
        <v>5.1666666666666666E-2</v>
      </c>
      <c r="X248" s="5">
        <f>IFERROR(IF(OR($B248="MID",$B248="FWD"),INDEX(FIXTURE_ANALYSIS!$Q:$Q,MATCH($D248,FIXTURE_ANALYSIS!$A:$A,0)),INDEX(FIXTURE_ANALYSIS!$R:$R,MATCH($D248,FIXTURE_ANALYSIS!$A:$A,0))),1)</f>
        <v>0.9782093425605537</v>
      </c>
      <c r="Y248" s="5">
        <f t="shared" si="81"/>
        <v>0.9782093425605537</v>
      </c>
      <c r="Z248" s="8">
        <f>INDEX(FPL_Raw_Data!$T:$T,MATCH(A248,FPL_Raw_Data!$AA:$AA,0))</f>
        <v>1</v>
      </c>
      <c r="AA248" s="8">
        <f>INDEX(FPL_Raw_Data!$S:$S,MATCH(A248,FPL_Raw_Data!$AA:$AA,0))</f>
        <v>8</v>
      </c>
      <c r="AB248" s="2">
        <f t="shared" si="82"/>
        <v>0.66666666666666663</v>
      </c>
      <c r="AC248" s="2">
        <f>INDEX(FPL_Raw_Data!$Q:$Q,MATCH(A248,FPL_Raw_Data!$AA:$AA,0))</f>
        <v>0</v>
      </c>
      <c r="AD248" s="8">
        <f>INDEX(FPL_Raw_Data!$R:$R,MATCH(A248,FPL_Raw_Data!$AA:$AA,0))</f>
        <v>20</v>
      </c>
      <c r="AE248" s="8">
        <f>INDEX(FPL_Raw_Data!$N:$N,MATCH(A248,FPL_Raw_Data!$AA:$AA,0))</f>
        <v>0</v>
      </c>
      <c r="AF248" s="8">
        <f>INDEX(FPL_Raw_Data!$L:$L,MATCH(A248,FPL_Raw_Data!$AA:$AA,0))</f>
        <v>0</v>
      </c>
      <c r="AG248" s="2">
        <f>INDEX(FPL_Raw_Data!$M:$M,MATCH(A248,FPL_Raw_Data!$AA:$AA,0))</f>
        <v>0</v>
      </c>
      <c r="AH248" s="2">
        <f t="shared" si="83"/>
        <v>0.80597014925373134</v>
      </c>
      <c r="AI248" s="2">
        <f t="shared" si="84"/>
        <v>2.0149253731343283E-2</v>
      </c>
      <c r="AJ248" s="2">
        <f t="shared" si="85"/>
        <v>0.66666666666666663</v>
      </c>
      <c r="AK248" s="2">
        <f t="shared" si="86"/>
        <v>1.3333333333333333</v>
      </c>
      <c r="AL248" s="2">
        <f t="shared" si="87"/>
        <v>0</v>
      </c>
      <c r="AM248" s="2">
        <f t="shared" si="88"/>
        <v>0</v>
      </c>
      <c r="AN248" s="2">
        <f t="shared" si="89"/>
        <v>0</v>
      </c>
      <c r="AO248" s="3">
        <f t="shared" si="90"/>
        <v>54.7</v>
      </c>
      <c r="AP248">
        <f t="shared" si="91"/>
        <v>77.100000000000009</v>
      </c>
      <c r="AQ248">
        <f t="shared" si="92"/>
        <v>62.2</v>
      </c>
      <c r="AR248">
        <f t="shared" si="93"/>
        <v>76.5</v>
      </c>
      <c r="AS248" s="2">
        <f t="shared" si="94"/>
        <v>33.333333333333329</v>
      </c>
      <c r="AT248" s="2">
        <f>IFERROR(INDEX(Player_Model!$BC$2:$BC$596,MATCH($A248,Player_Model!$A$2:$A$596,0)),0)</f>
        <v>2.5696758099238575</v>
      </c>
      <c r="AU248" s="2">
        <f>Table8[[#This Row],[Model Expected Points]]*Table8[[#This Row],[Fixture Adjustment]]</f>
        <v>2.513680884619375</v>
      </c>
      <c r="AV248" s="2">
        <f>Table8[[#This Row],[Fixture Adjusted Points / 90]]/Table8[[#This Row],[Price]]</f>
        <v>0.41894681410322915</v>
      </c>
      <c r="AW248">
        <f t="shared" si="95"/>
        <v>65.900000000000006</v>
      </c>
      <c r="AX248">
        <f t="shared" si="96"/>
        <v>0</v>
      </c>
      <c r="AY248" s="2">
        <f t="shared" si="97"/>
        <v>33.333333333333329</v>
      </c>
      <c r="AZ248" s="5">
        <f t="shared" si="98"/>
        <v>0.9782093425605537</v>
      </c>
      <c r="BA248">
        <f>Table8[[#This Row],[Model Score2]]</f>
        <v>2.5696758099238575</v>
      </c>
      <c r="BB248">
        <f>IFERROR(INDEX(Player_Model!$BG$2:$BG$596,MATCH($A248,Player_Model!$A$2:$A$596,0)),"")</f>
        <v>23</v>
      </c>
      <c r="BC248" t="str">
        <f t="shared" si="99"/>
        <v>AVOID</v>
      </c>
      <c r="BD248">
        <f>IF(H248=1,Table8[[#This Row],[Model Score]],-10000)</f>
        <v>2.5696758099238575</v>
      </c>
      <c r="BE248">
        <f>IFERROR(INDEX(Player_Model!$BF$2:$BF$596,MATCH($A248,Player_Model!$A$2:$A$596,0)),"")</f>
        <v>223</v>
      </c>
      <c r="BF248">
        <f>IFERROR(INDEX(Player_Model!$BG$2:$BG$596,MATCH($A248,Player_Model!$A$2:$A$596,0)),"")</f>
        <v>23</v>
      </c>
      <c r="BG248">
        <f>IFERROR(INDEX(Player_Model!$BE$2:$BE$596,MATCH($A248,Player_Model!$A$2:$A$596,0)),0)</f>
        <v>2.5696758099238575</v>
      </c>
    </row>
    <row r="249" spans="1:59" x14ac:dyDescent="0.25">
      <c r="A249" t="str">
        <f>tblPlayers[first_name]&amp;" "&amp;tblPlayers[second_name]</f>
        <v>Jean-Philippe Mateta</v>
      </c>
      <c r="B249" t="str">
        <f>_xlfn.SWITCH(tblPlayers[element_type],1,"GK",2,"DEF",3,"MID",4,"FWD")</f>
        <v>FWD</v>
      </c>
      <c r="C249">
        <f>tblPlayers[team]</f>
        <v>8</v>
      </c>
      <c r="D249" t="str">
        <f>INDEX(tblTeams[Column1.short_name],MATCH(C249,tblTeams[Column1.id],0))</f>
        <v>CRY</v>
      </c>
      <c r="E249" s="4">
        <f>INDEX(FPL_Raw_Data!$F:$F,MATCH(A249,FPL_Raw_Data!$AA:$AA,0))/10</f>
        <v>6.4</v>
      </c>
      <c r="F249" s="4" t="str">
        <f>tblPlayers[[#This Row],[status]]</f>
        <v>i</v>
      </c>
      <c r="G249" s="4" t="b">
        <f>tblPlayers[[#This Row],[can_select]]</f>
        <v>1</v>
      </c>
      <c r="H249">
        <f>IF(AND(Table8[[#This Row],[Availability Status]]="a",Table8[[#This Row],[Can Select]]=TRUE),1,0)</f>
        <v>0</v>
      </c>
      <c r="I249">
        <f>tblPlayers[minutes]</f>
        <v>62</v>
      </c>
      <c r="J249" s="2">
        <f>Table8[[#This Row],[Minutes]]/90</f>
        <v>0.68888888888888888</v>
      </c>
      <c r="K249" s="5">
        <f>IFERROR(Z249/(FIXTURE_ANALYSIS!$B$1-1),0)</f>
        <v>0.33333333333333331</v>
      </c>
      <c r="L249">
        <f>tblPlayers[total_points]</f>
        <v>2</v>
      </c>
      <c r="M249">
        <f>tblPlayers[points_per_game]</f>
        <v>2</v>
      </c>
      <c r="N249">
        <f>tblPlayers[form]</f>
        <v>0.7</v>
      </c>
      <c r="O249">
        <f>tblPlayers[expected_goals]</f>
        <v>0.7</v>
      </c>
      <c r="P249">
        <f>tblPlayers[expected_assists]</f>
        <v>0.02</v>
      </c>
      <c r="Q249">
        <f>tblPlayers[expected_goal_involvements]</f>
        <v>0.72</v>
      </c>
      <c r="R249" s="2">
        <f t="shared" si="75"/>
        <v>2.903225806451613</v>
      </c>
      <c r="S249" s="5">
        <f t="shared" si="76"/>
        <v>1.0161290322580645</v>
      </c>
      <c r="T249" s="5">
        <f t="shared" si="77"/>
        <v>2.903225806451613E-2</v>
      </c>
      <c r="U249" s="5">
        <f t="shared" si="78"/>
        <v>1.0451612903225806</v>
      </c>
      <c r="V249" s="3">
        <f t="shared" si="79"/>
        <v>0.3125</v>
      </c>
      <c r="W249" s="5">
        <f t="shared" si="80"/>
        <v>0.11249999999999999</v>
      </c>
      <c r="X249" s="5">
        <f>IFERROR(IF(OR($B249="MID",$B249="FWD"),INDEX(FIXTURE_ANALYSIS!$Q:$Q,MATCH($D249,FIXTURE_ANALYSIS!$A:$A,0)),INDEX(FIXTURE_ANALYSIS!$R:$R,MATCH($D249,FIXTURE_ANALYSIS!$A:$A,0))),1)</f>
        <v>0.9782093425605537</v>
      </c>
      <c r="Y249" s="5">
        <f t="shared" si="81"/>
        <v>0.9782093425605537</v>
      </c>
      <c r="Z249" s="8">
        <f>INDEX(FPL_Raw_Data!$T:$T,MATCH(A249,FPL_Raw_Data!$AA:$AA,0))</f>
        <v>1</v>
      </c>
      <c r="AA249" s="8">
        <f>INDEX(FPL_Raw_Data!$S:$S,MATCH(A249,FPL_Raw_Data!$AA:$AA,0))</f>
        <v>5</v>
      </c>
      <c r="AB249" s="2">
        <f t="shared" si="82"/>
        <v>0.41666666666666669</v>
      </c>
      <c r="AC249" s="2">
        <f>INDEX(FPL_Raw_Data!$Q:$Q,MATCH(A249,FPL_Raw_Data!$AA:$AA,0))</f>
        <v>0</v>
      </c>
      <c r="AD249" s="8">
        <f>INDEX(FPL_Raw_Data!$R:$R,MATCH(A249,FPL_Raw_Data!$AA:$AA,0))</f>
        <v>-3</v>
      </c>
      <c r="AE249" s="8">
        <f>INDEX(FPL_Raw_Data!$N:$N,MATCH(A249,FPL_Raw_Data!$AA:$AA,0))</f>
        <v>0</v>
      </c>
      <c r="AF249" s="8">
        <f>INDEX(FPL_Raw_Data!$L:$L,MATCH(A249,FPL_Raw_Data!$AA:$AA,0))</f>
        <v>0</v>
      </c>
      <c r="AG249" s="2">
        <f>INDEX(FPL_Raw_Data!$M:$M,MATCH(A249,FPL_Raw_Data!$AA:$AA,0))</f>
        <v>0</v>
      </c>
      <c r="AH249" s="2">
        <f t="shared" si="83"/>
        <v>4.064516129032258</v>
      </c>
      <c r="AI249" s="2">
        <f t="shared" si="84"/>
        <v>8.7096774193548387E-2</v>
      </c>
      <c r="AJ249" s="2">
        <f t="shared" si="85"/>
        <v>0.66666666666666663</v>
      </c>
      <c r="AK249" s="2">
        <f t="shared" si="86"/>
        <v>0.83333333333333337</v>
      </c>
      <c r="AL249" s="2">
        <f t="shared" si="87"/>
        <v>0</v>
      </c>
      <c r="AM249" s="2">
        <f t="shared" si="88"/>
        <v>0</v>
      </c>
      <c r="AN249" s="2">
        <f t="shared" si="89"/>
        <v>0</v>
      </c>
      <c r="AO249" s="3">
        <f t="shared" si="90"/>
        <v>57.199999999999996</v>
      </c>
      <c r="AP249">
        <f t="shared" si="91"/>
        <v>98.8</v>
      </c>
      <c r="AQ249">
        <f t="shared" si="92"/>
        <v>50.1</v>
      </c>
      <c r="AR249">
        <f t="shared" si="93"/>
        <v>86</v>
      </c>
      <c r="AS249" s="2">
        <f t="shared" si="94"/>
        <v>33.333333333333329</v>
      </c>
      <c r="AT249" s="2">
        <f>IFERROR(INDEX(Player_Model!$BC$2:$BC$596,MATCH($A249,Player_Model!$A$2:$A$596,0)),0)</f>
        <v>5.7344533115348524</v>
      </c>
      <c r="AU249" s="2">
        <f>Table8[[#This Row],[Model Expected Points]]*Table8[[#This Row],[Fixture Adjustment]]</f>
        <v>5.6094958038206979</v>
      </c>
      <c r="AV249" s="2">
        <f>Table8[[#This Row],[Fixture Adjusted Points / 90]]/Table8[[#This Row],[Price]]</f>
        <v>0.87648371934698399</v>
      </c>
      <c r="AW249">
        <f t="shared" si="95"/>
        <v>78</v>
      </c>
      <c r="AX249">
        <f t="shared" si="96"/>
        <v>0</v>
      </c>
      <c r="AY249" s="2">
        <f t="shared" si="97"/>
        <v>33.333333333333329</v>
      </c>
      <c r="AZ249" s="5">
        <f t="shared" si="98"/>
        <v>0.9782093425605537</v>
      </c>
      <c r="BA249">
        <f>Table8[[#This Row],[Model Score2]]</f>
        <v>5.7344533115348524</v>
      </c>
      <c r="BB249">
        <f>IFERROR(INDEX(Player_Model!$BG$2:$BG$596,MATCH($A249,Player_Model!$A$2:$A$596,0)),"")</f>
        <v>5</v>
      </c>
      <c r="BC249" t="str">
        <f t="shared" si="99"/>
        <v>STRONG PICK</v>
      </c>
      <c r="BD249">
        <f>IF(H249=1,Table8[[#This Row],[Model Score]],-10000)</f>
        <v>-10000</v>
      </c>
      <c r="BE249">
        <f>IFERROR(INDEX(Player_Model!$BF$2:$BF$596,MATCH($A249,Player_Model!$A$2:$A$596,0)),"")</f>
        <v>55</v>
      </c>
      <c r="BF249">
        <f>IFERROR(INDEX(Player_Model!$BG$2:$BG$596,MATCH($A249,Player_Model!$A$2:$A$596,0)),"")</f>
        <v>5</v>
      </c>
      <c r="BG249">
        <f>IFERROR(INDEX(Player_Model!$BE$2:$BE$596,MATCH($A249,Player_Model!$A$2:$A$596,0)),0)</f>
        <v>5.7344533115348524</v>
      </c>
    </row>
    <row r="250" spans="1:59" x14ac:dyDescent="0.25">
      <c r="A250" t="str">
        <f>tblPlayers[first_name]&amp;" "&amp;tblPlayers[second_name]</f>
        <v>Eddie Nketiah</v>
      </c>
      <c r="B250" t="str">
        <f>_xlfn.SWITCH(tblPlayers[element_type],1,"GK",2,"DEF",3,"MID",4,"FWD")</f>
        <v>FWD</v>
      </c>
      <c r="C250">
        <f>tblPlayers[team]</f>
        <v>8</v>
      </c>
      <c r="D250" t="str">
        <f>INDEX(tblTeams[Column1.short_name],MATCH(C250,tblTeams[Column1.id],0))</f>
        <v>CRY</v>
      </c>
      <c r="E250" s="4">
        <f>INDEX(FPL_Raw_Data!$F:$F,MATCH(A250,FPL_Raw_Data!$AA:$AA,0))/10</f>
        <v>5.5</v>
      </c>
      <c r="F250" s="4" t="str">
        <f>tblPlayers[[#This Row],[status]]</f>
        <v>a</v>
      </c>
      <c r="G250" s="4" t="b">
        <f>tblPlayers[[#This Row],[can_select]]</f>
        <v>1</v>
      </c>
      <c r="H250">
        <f>IF(AND(Table8[[#This Row],[Availability Status]]="a",Table8[[#This Row],[Can Select]]=TRUE),1,0)</f>
        <v>1</v>
      </c>
      <c r="I250">
        <f>tblPlayers[minutes]</f>
        <v>167</v>
      </c>
      <c r="J250" s="2">
        <f>Table8[[#This Row],[Minutes]]/90</f>
        <v>1.8555555555555556</v>
      </c>
      <c r="K250" s="5">
        <f>IFERROR(Z250/(FIXTURE_ANALYSIS!$B$1-1),0)</f>
        <v>1</v>
      </c>
      <c r="L250">
        <f>tblPlayers[total_points]</f>
        <v>7</v>
      </c>
      <c r="M250">
        <f>tblPlayers[points_per_game]</f>
        <v>2.2999999999999998</v>
      </c>
      <c r="N250">
        <f>tblPlayers[form]</f>
        <v>2.2999999999999998</v>
      </c>
      <c r="O250">
        <f>tblPlayers[expected_goals]</f>
        <v>1.1000000000000001</v>
      </c>
      <c r="P250">
        <f>tblPlayers[expected_assists]</f>
        <v>0.57999999999999996</v>
      </c>
      <c r="Q250">
        <f>tblPlayers[expected_goal_involvements]</f>
        <v>1.68</v>
      </c>
      <c r="R250" s="2">
        <f t="shared" si="75"/>
        <v>3.772455089820359</v>
      </c>
      <c r="S250" s="5">
        <f t="shared" si="76"/>
        <v>0.59281437125748504</v>
      </c>
      <c r="T250" s="5">
        <f t="shared" si="77"/>
        <v>0.31257485029940119</v>
      </c>
      <c r="U250" s="5">
        <f t="shared" si="78"/>
        <v>0.90538922155688617</v>
      </c>
      <c r="V250" s="3">
        <f t="shared" si="79"/>
        <v>1.2727272727272727</v>
      </c>
      <c r="W250" s="5">
        <f t="shared" si="80"/>
        <v>0.30545454545454542</v>
      </c>
      <c r="X250" s="5">
        <f>IFERROR(IF(OR($B250="MID",$B250="FWD"),INDEX(FIXTURE_ANALYSIS!$Q:$Q,MATCH($D250,FIXTURE_ANALYSIS!$A:$A,0)),INDEX(FIXTURE_ANALYSIS!$R:$R,MATCH($D250,FIXTURE_ANALYSIS!$A:$A,0))),1)</f>
        <v>0.9782093425605537</v>
      </c>
      <c r="Y250" s="5">
        <f t="shared" si="81"/>
        <v>0.9782093425605537</v>
      </c>
      <c r="Z250" s="8">
        <f>INDEX(FPL_Raw_Data!$T:$T,MATCH(A250,FPL_Raw_Data!$AA:$AA,0))</f>
        <v>3</v>
      </c>
      <c r="AA250" s="8">
        <f>INDEX(FPL_Raw_Data!$S:$S,MATCH(A250,FPL_Raw_Data!$AA:$AA,0))</f>
        <v>11</v>
      </c>
      <c r="AB250" s="2">
        <f t="shared" si="82"/>
        <v>0.91666666666666663</v>
      </c>
      <c r="AC250" s="2">
        <f>INDEX(FPL_Raw_Data!$Q:$Q,MATCH(A250,FPL_Raw_Data!$AA:$AA,0))</f>
        <v>0</v>
      </c>
      <c r="AD250" s="8">
        <f>INDEX(FPL_Raw_Data!$R:$R,MATCH(A250,FPL_Raw_Data!$AA:$AA,0))</f>
        <v>36</v>
      </c>
      <c r="AE250" s="8">
        <f>INDEX(FPL_Raw_Data!$N:$N,MATCH(A250,FPL_Raw_Data!$AA:$AA,0))</f>
        <v>0</v>
      </c>
      <c r="AF250" s="8">
        <f>INDEX(FPL_Raw_Data!$L:$L,MATCH(A250,FPL_Raw_Data!$AA:$AA,0))</f>
        <v>0</v>
      </c>
      <c r="AG250" s="2">
        <f>INDEX(FPL_Raw_Data!$M:$M,MATCH(A250,FPL_Raw_Data!$AA:$AA,0))</f>
        <v>1</v>
      </c>
      <c r="AH250" s="2">
        <f t="shared" si="83"/>
        <v>2.3712574850299402</v>
      </c>
      <c r="AI250" s="2">
        <f t="shared" si="84"/>
        <v>0.9377245508982035</v>
      </c>
      <c r="AJ250" s="2">
        <f t="shared" si="85"/>
        <v>2</v>
      </c>
      <c r="AK250" s="2">
        <f t="shared" si="86"/>
        <v>1.8333333333333333</v>
      </c>
      <c r="AL250" s="2">
        <f t="shared" si="87"/>
        <v>0</v>
      </c>
      <c r="AM250" s="2">
        <f t="shared" si="88"/>
        <v>0</v>
      </c>
      <c r="AN250" s="2">
        <f t="shared" si="89"/>
        <v>0</v>
      </c>
      <c r="AO250" s="3">
        <f t="shared" si="90"/>
        <v>68.300000000000011</v>
      </c>
      <c r="AP250">
        <f t="shared" si="91"/>
        <v>97.1</v>
      </c>
      <c r="AQ250">
        <f t="shared" si="92"/>
        <v>74.400000000000006</v>
      </c>
      <c r="AR250">
        <f t="shared" si="93"/>
        <v>98.8</v>
      </c>
      <c r="AS250" s="2">
        <f t="shared" si="94"/>
        <v>100</v>
      </c>
      <c r="AT250" s="2">
        <f>IFERROR(INDEX(Player_Model!$BC$2:$BC$596,MATCH($A250,Player_Model!$A$2:$A$596,0)),0)</f>
        <v>5.5734820978396566</v>
      </c>
      <c r="AU250" s="2">
        <f>Table8[[#This Row],[Model Expected Points]]*Table8[[#This Row],[Fixture Adjustment]]</f>
        <v>5.4520322587007461</v>
      </c>
      <c r="AV250" s="2">
        <f>Table8[[#This Row],[Fixture Adjusted Points / 90]]/Table8[[#This Row],[Price]]</f>
        <v>0.99127859249104477</v>
      </c>
      <c r="AW250">
        <f t="shared" si="95"/>
        <v>82.7</v>
      </c>
      <c r="AX250">
        <f t="shared" si="96"/>
        <v>0</v>
      </c>
      <c r="AY250" s="2">
        <f t="shared" si="97"/>
        <v>100</v>
      </c>
      <c r="AZ250" s="5">
        <f t="shared" si="98"/>
        <v>0.9782093425605537</v>
      </c>
      <c r="BA250">
        <f>Table8[[#This Row],[Model Score2]]</f>
        <v>5.5734820978396566</v>
      </c>
      <c r="BB250">
        <f>IFERROR(INDEX(Player_Model!$BG$2:$BG$596,MATCH($A250,Player_Model!$A$2:$A$596,0)),"")</f>
        <v>6</v>
      </c>
      <c r="BC250" t="str">
        <f t="shared" si="99"/>
        <v>CONSIDER</v>
      </c>
      <c r="BD250">
        <f>IF(H250=1,Table8[[#This Row],[Model Score]],-10000)</f>
        <v>5.5734820978396566</v>
      </c>
      <c r="BE250">
        <f>IFERROR(INDEX(Player_Model!$BF$2:$BF$596,MATCH($A250,Player_Model!$A$2:$A$596,0)),"")</f>
        <v>64</v>
      </c>
      <c r="BF250">
        <f>IFERROR(INDEX(Player_Model!$BG$2:$BG$596,MATCH($A250,Player_Model!$A$2:$A$596,0)),"")</f>
        <v>6</v>
      </c>
      <c r="BG250">
        <f>IFERROR(INDEX(Player_Model!$BE$2:$BE$596,MATCH($A250,Player_Model!$A$2:$A$596,0)),0)</f>
        <v>5.5734820978396566</v>
      </c>
    </row>
    <row r="251" spans="1:59" x14ac:dyDescent="0.25">
      <c r="A251" t="str">
        <f>tblPlayers[first_name]&amp;" "&amp;tblPlayers[second_name]</f>
        <v>Christantus Uche</v>
      </c>
      <c r="B251" t="str">
        <f>_xlfn.SWITCH(tblPlayers[element_type],1,"GK",2,"DEF",3,"MID",4,"FWD")</f>
        <v>FWD</v>
      </c>
      <c r="C251">
        <f>tblPlayers[team]</f>
        <v>8</v>
      </c>
      <c r="D251" t="str">
        <f>INDEX(tblTeams[Column1.short_name],MATCH(C251,tblTeams[Column1.id],0))</f>
        <v>CRY</v>
      </c>
      <c r="E251" s="4">
        <f>INDEX(FPL_Raw_Data!$F:$F,MATCH(A251,FPL_Raw_Data!$AA:$AA,0))/10</f>
        <v>5</v>
      </c>
      <c r="F251" s="4" t="str">
        <f>tblPlayers[[#This Row],[status]]</f>
        <v>u</v>
      </c>
      <c r="G251" s="4" t="b">
        <f>tblPlayers[[#This Row],[can_select]]</f>
        <v>0</v>
      </c>
      <c r="H251">
        <f>IF(AND(Table8[[#This Row],[Availability Status]]="a",Table8[[#This Row],[Can Select]]=TRUE),1,0)</f>
        <v>0</v>
      </c>
      <c r="I251">
        <f>tblPlayers[minutes]</f>
        <v>0</v>
      </c>
      <c r="J251" s="2">
        <f>Table8[[#This Row],[Minutes]]/90</f>
        <v>0</v>
      </c>
      <c r="K251" s="5">
        <f>IFERROR(Z251/(FIXTURE_ANALYSIS!$B$1-1),0)</f>
        <v>0</v>
      </c>
      <c r="L251">
        <f>tblPlayers[total_points]</f>
        <v>0</v>
      </c>
      <c r="M251">
        <f>tblPlayers[points_per_game]</f>
        <v>0</v>
      </c>
      <c r="N251">
        <f>tblPlayers[form]</f>
        <v>0</v>
      </c>
      <c r="O251">
        <f>tblPlayers[expected_goals]</f>
        <v>0</v>
      </c>
      <c r="P251">
        <f>tblPlayers[expected_assists]</f>
        <v>0</v>
      </c>
      <c r="Q251">
        <f>tblPlayers[expected_goal_involvements]</f>
        <v>0</v>
      </c>
      <c r="R251" s="2">
        <f t="shared" si="75"/>
        <v>0</v>
      </c>
      <c r="S251" s="5">
        <f t="shared" si="76"/>
        <v>0</v>
      </c>
      <c r="T251" s="5">
        <f t="shared" si="77"/>
        <v>0</v>
      </c>
      <c r="U251" s="5">
        <f t="shared" si="78"/>
        <v>0</v>
      </c>
      <c r="V251" s="3">
        <f t="shared" si="79"/>
        <v>0</v>
      </c>
      <c r="W251" s="5">
        <f t="shared" si="80"/>
        <v>0</v>
      </c>
      <c r="X251" s="5">
        <f>IFERROR(IF(OR($B251="MID",$B251="FWD"),INDEX(FIXTURE_ANALYSIS!$Q:$Q,MATCH($D251,FIXTURE_ANALYSIS!$A:$A,0)),INDEX(FIXTURE_ANALYSIS!$R:$R,MATCH($D251,FIXTURE_ANALYSIS!$A:$A,0))),1)</f>
        <v>0.9782093425605537</v>
      </c>
      <c r="Y251" s="5">
        <f t="shared" si="81"/>
        <v>0.9782093425605537</v>
      </c>
      <c r="Z251" s="8">
        <f>INDEX(FPL_Raw_Data!$T:$T,MATCH(A251,FPL_Raw_Data!$AA:$AA,0))</f>
        <v>0</v>
      </c>
      <c r="AA251" s="8">
        <f>INDEX(FPL_Raw_Data!$S:$S,MATCH(A251,FPL_Raw_Data!$AA:$AA,0))</f>
        <v>0</v>
      </c>
      <c r="AB251" s="2">
        <f t="shared" si="82"/>
        <v>0</v>
      </c>
      <c r="AC251" s="2">
        <f>INDEX(FPL_Raw_Data!$Q:$Q,MATCH(A251,FPL_Raw_Data!$AA:$AA,0))</f>
        <v>0</v>
      </c>
      <c r="AD251" s="8">
        <f>INDEX(FPL_Raw_Data!$R:$R,MATCH(A251,FPL_Raw_Data!$AA:$AA,0))</f>
        <v>0</v>
      </c>
      <c r="AE251" s="8">
        <f>INDEX(FPL_Raw_Data!$N:$N,MATCH(A251,FPL_Raw_Data!$AA:$AA,0))</f>
        <v>0</v>
      </c>
      <c r="AF251" s="8">
        <f>INDEX(FPL_Raw_Data!$L:$L,MATCH(A251,FPL_Raw_Data!$AA:$AA,0))</f>
        <v>0</v>
      </c>
      <c r="AG251" s="2">
        <f>INDEX(FPL_Raw_Data!$M:$M,MATCH(A251,FPL_Raw_Data!$AA:$AA,0))</f>
        <v>0</v>
      </c>
      <c r="AH251" s="2">
        <f t="shared" si="83"/>
        <v>0</v>
      </c>
      <c r="AI251" s="2">
        <f t="shared" si="84"/>
        <v>0</v>
      </c>
      <c r="AJ251" s="2">
        <f t="shared" si="85"/>
        <v>0</v>
      </c>
      <c r="AK251" s="2">
        <f t="shared" si="86"/>
        <v>0</v>
      </c>
      <c r="AL251" s="2">
        <f t="shared" si="87"/>
        <v>0</v>
      </c>
      <c r="AM251" s="2">
        <f t="shared" si="88"/>
        <v>0</v>
      </c>
      <c r="AN251" s="2">
        <f t="shared" si="89"/>
        <v>0</v>
      </c>
      <c r="AO251" s="3">
        <f t="shared" si="90"/>
        <v>0.1</v>
      </c>
      <c r="AP251">
        <f t="shared" si="91"/>
        <v>0</v>
      </c>
      <c r="AQ251">
        <f t="shared" si="92"/>
        <v>0.1</v>
      </c>
      <c r="AR251">
        <f t="shared" si="93"/>
        <v>0</v>
      </c>
      <c r="AS251" s="2">
        <f t="shared" si="94"/>
        <v>0</v>
      </c>
      <c r="AT251" s="2">
        <f>IFERROR(INDEX(Player_Model!$BC$2:$BC$596,MATCH($A251,Player_Model!$A$2:$A$596,0)),0)</f>
        <v>0</v>
      </c>
      <c r="AU251" s="2">
        <f>Table8[[#This Row],[Model Expected Points]]*Table8[[#This Row],[Fixture Adjustment]]</f>
        <v>0</v>
      </c>
      <c r="AV251" s="2">
        <f>Table8[[#This Row],[Fixture Adjusted Points / 90]]/Table8[[#This Row],[Price]]</f>
        <v>0</v>
      </c>
      <c r="AW251">
        <f t="shared" si="95"/>
        <v>0.05</v>
      </c>
      <c r="AX251">
        <f t="shared" si="96"/>
        <v>0</v>
      </c>
      <c r="AY251" s="2">
        <f t="shared" si="97"/>
        <v>0</v>
      </c>
      <c r="AZ251" s="5">
        <f t="shared" si="98"/>
        <v>0.9782093425605537</v>
      </c>
      <c r="BA251">
        <f>Table8[[#This Row],[Model Score2]]</f>
        <v>0</v>
      </c>
      <c r="BB251">
        <f>IFERROR(INDEX(Player_Model!$BG$2:$BG$596,MATCH($A251,Player_Model!$A$2:$A$596,0)),"")</f>
        <v>47</v>
      </c>
      <c r="BC251" t="str">
        <f t="shared" si="99"/>
        <v>AVOID</v>
      </c>
      <c r="BD251">
        <f>IF(H251=1,Table8[[#This Row],[Model Score]],-10000)</f>
        <v>-10000</v>
      </c>
      <c r="BE251">
        <f>IFERROR(INDEX(Player_Model!$BF$2:$BF$596,MATCH($A251,Player_Model!$A$2:$A$596,0)),"")</f>
        <v>253</v>
      </c>
      <c r="BF251">
        <f>IFERROR(INDEX(Player_Model!$BG$2:$BG$596,MATCH($A251,Player_Model!$A$2:$A$596,0)),"")</f>
        <v>47</v>
      </c>
      <c r="BG251">
        <f>IFERROR(INDEX(Player_Model!$BE$2:$BE$596,MATCH($A251,Player_Model!$A$2:$A$596,0)),0)</f>
        <v>0</v>
      </c>
    </row>
    <row r="252" spans="1:59" x14ac:dyDescent="0.25">
      <c r="A252" t="str">
        <f>tblPlayers[first_name]&amp;" "&amp;tblPlayers[second_name]</f>
        <v>Dwight McNeil</v>
      </c>
      <c r="B252" t="str">
        <f>_xlfn.SWITCH(tblPlayers[element_type],1,"GK",2,"DEF",3,"MID",4,"FWD")</f>
        <v>MID</v>
      </c>
      <c r="C252">
        <f>tblPlayers[team]</f>
        <v>8</v>
      </c>
      <c r="D252" t="str">
        <f>INDEX(tblTeams[Column1.short_name],MATCH(C252,tblTeams[Column1.id],0))</f>
        <v>CRY</v>
      </c>
      <c r="E252" s="4">
        <f>INDEX(FPL_Raw_Data!$F:$F,MATCH(A252,FPL_Raw_Data!$AA:$AA,0))/10</f>
        <v>5.4</v>
      </c>
      <c r="F252" s="4" t="str">
        <f>tblPlayers[[#This Row],[status]]</f>
        <v>a</v>
      </c>
      <c r="G252" s="4" t="b">
        <f>tblPlayers[[#This Row],[can_select]]</f>
        <v>1</v>
      </c>
      <c r="H252">
        <f>IF(AND(Table8[[#This Row],[Availability Status]]="a",Table8[[#This Row],[Can Select]]=TRUE),1,0)</f>
        <v>1</v>
      </c>
      <c r="I252">
        <f>tblPlayers[minutes]</f>
        <v>84</v>
      </c>
      <c r="J252" s="2">
        <f>Table8[[#This Row],[Minutes]]/90</f>
        <v>0.93333333333333335</v>
      </c>
      <c r="K252" s="5">
        <f>IFERROR(Z252/(FIXTURE_ANALYSIS!$B$1-1),0)</f>
        <v>0.33333333333333331</v>
      </c>
      <c r="L252">
        <f>tblPlayers[total_points]</f>
        <v>3</v>
      </c>
      <c r="M252">
        <f>tblPlayers[points_per_game]</f>
        <v>1.5</v>
      </c>
      <c r="N252">
        <f>tblPlayers[form]</f>
        <v>1</v>
      </c>
      <c r="O252">
        <f>tblPlayers[expected_goals]</f>
        <v>0.05</v>
      </c>
      <c r="P252">
        <f>tblPlayers[expected_assists]</f>
        <v>0.02</v>
      </c>
      <c r="Q252">
        <f>tblPlayers[expected_goal_involvements]</f>
        <v>7.0000000000000007E-2</v>
      </c>
      <c r="R252" s="2">
        <f t="shared" si="75"/>
        <v>3.214285714285714</v>
      </c>
      <c r="S252" s="5">
        <f t="shared" si="76"/>
        <v>5.3571428571428575E-2</v>
      </c>
      <c r="T252" s="5">
        <f t="shared" si="77"/>
        <v>2.1428571428571429E-2</v>
      </c>
      <c r="U252" s="5">
        <f t="shared" si="78"/>
        <v>7.5000000000000011E-2</v>
      </c>
      <c r="V252" s="3">
        <f t="shared" si="79"/>
        <v>0.55555555555555547</v>
      </c>
      <c r="W252" s="5">
        <f t="shared" si="80"/>
        <v>1.2962962962962963E-2</v>
      </c>
      <c r="X252" s="5">
        <f>IFERROR(IF(OR($B252="MID",$B252="FWD"),INDEX(FIXTURE_ANALYSIS!$Q:$Q,MATCH($D252,FIXTURE_ANALYSIS!$A:$A,0)),INDEX(FIXTURE_ANALYSIS!$R:$R,MATCH($D252,FIXTURE_ANALYSIS!$A:$A,0))),1)</f>
        <v>0.9782093425605537</v>
      </c>
      <c r="Y252" s="5">
        <f t="shared" si="81"/>
        <v>0.9782093425605537</v>
      </c>
      <c r="Z252" s="8">
        <f>INDEX(FPL_Raw_Data!$T:$T,MATCH(A252,FPL_Raw_Data!$AA:$AA,0))</f>
        <v>1</v>
      </c>
      <c r="AA252" s="8">
        <f>INDEX(FPL_Raw_Data!$S:$S,MATCH(A252,FPL_Raw_Data!$AA:$AA,0))</f>
        <v>7</v>
      </c>
      <c r="AB252" s="2">
        <f t="shared" si="82"/>
        <v>0.58333333333333337</v>
      </c>
      <c r="AC252" s="2">
        <f>INDEX(FPL_Raw_Data!$Q:$Q,MATCH(A252,FPL_Raw_Data!$AA:$AA,0))</f>
        <v>0</v>
      </c>
      <c r="AD252" s="8">
        <f>INDEX(FPL_Raw_Data!$R:$R,MATCH(A252,FPL_Raw_Data!$AA:$AA,0))</f>
        <v>13</v>
      </c>
      <c r="AE252" s="8">
        <f>INDEX(FPL_Raw_Data!$N:$N,MATCH(A252,FPL_Raw_Data!$AA:$AA,0))</f>
        <v>0</v>
      </c>
      <c r="AF252" s="8">
        <f>INDEX(FPL_Raw_Data!$L:$L,MATCH(A252,FPL_Raw_Data!$AA:$AA,0))</f>
        <v>0</v>
      </c>
      <c r="AG252" s="2">
        <f>INDEX(FPL_Raw_Data!$M:$M,MATCH(A252,FPL_Raw_Data!$AA:$AA,0))</f>
        <v>0</v>
      </c>
      <c r="AH252" s="2">
        <f t="shared" si="83"/>
        <v>0.2678571428571429</v>
      </c>
      <c r="AI252" s="2">
        <f t="shared" si="84"/>
        <v>6.4285714285714279E-2</v>
      </c>
      <c r="AJ252" s="2">
        <f t="shared" si="85"/>
        <v>0.66666666666666663</v>
      </c>
      <c r="AK252" s="2">
        <f t="shared" si="86"/>
        <v>1.1666666666666667</v>
      </c>
      <c r="AL252" s="2">
        <f t="shared" si="87"/>
        <v>0</v>
      </c>
      <c r="AM252" s="2">
        <f t="shared" si="88"/>
        <v>0</v>
      </c>
      <c r="AN252" s="2">
        <f t="shared" si="89"/>
        <v>0</v>
      </c>
      <c r="AO252" s="3">
        <f t="shared" si="90"/>
        <v>61.9</v>
      </c>
      <c r="AP252">
        <f t="shared" si="91"/>
        <v>65.600000000000009</v>
      </c>
      <c r="AQ252">
        <f t="shared" si="92"/>
        <v>59.699999999999996</v>
      </c>
      <c r="AR252">
        <f t="shared" si="93"/>
        <v>62.1</v>
      </c>
      <c r="AS252" s="2">
        <f t="shared" si="94"/>
        <v>33.333333333333329</v>
      </c>
      <c r="AT252" s="2">
        <f>IFERROR(INDEX(Player_Model!$BC$2:$BC$596,MATCH($A252,Player_Model!$A$2:$A$596,0)),0)</f>
        <v>4.0495865610698196</v>
      </c>
      <c r="AU252" s="2">
        <f>Table8[[#This Row],[Model Expected Points]]*Table8[[#This Row],[Fixture Adjustment]]</f>
        <v>3.961343407546162</v>
      </c>
      <c r="AV252" s="2">
        <f>Table8[[#This Row],[Fixture Adjusted Points / 90]]/Table8[[#This Row],[Price]]</f>
        <v>0.73358211250854843</v>
      </c>
      <c r="AW252">
        <f t="shared" si="95"/>
        <v>63.75</v>
      </c>
      <c r="AX252">
        <f t="shared" si="96"/>
        <v>0.58333333333333337</v>
      </c>
      <c r="AY252" s="2">
        <f t="shared" si="97"/>
        <v>33.333333333333329</v>
      </c>
      <c r="AZ252" s="5">
        <f t="shared" si="98"/>
        <v>0.9782093425605537</v>
      </c>
      <c r="BA252">
        <f>Table8[[#This Row],[Model Score2]]</f>
        <v>4.0495865610698196</v>
      </c>
      <c r="BB252">
        <f>IFERROR(INDEX(Player_Model!$BG$2:$BG$596,MATCH($A252,Player_Model!$A$2:$A$596,0)),"")</f>
        <v>75</v>
      </c>
      <c r="BC252" t="str">
        <f t="shared" si="99"/>
        <v>AVOID</v>
      </c>
      <c r="BD252">
        <f>IF(H252=1,Table8[[#This Row],[Model Score]],-10000)</f>
        <v>4.0495865610698196</v>
      </c>
      <c r="BE252">
        <f>IFERROR(INDEX(Player_Model!$BF$2:$BF$596,MATCH($A252,Player_Model!$A$2:$A$596,0)),"")</f>
        <v>151</v>
      </c>
      <c r="BF252">
        <f>IFERROR(INDEX(Player_Model!$BG$2:$BG$596,MATCH($A252,Player_Model!$A$2:$A$596,0)),"")</f>
        <v>75</v>
      </c>
      <c r="BG252">
        <f>IFERROR(INDEX(Player_Model!$BE$2:$BE$596,MATCH($A252,Player_Model!$A$2:$A$596,0)),0)</f>
        <v>4.0495865610698196</v>
      </c>
    </row>
    <row r="253" spans="1:59" x14ac:dyDescent="0.25">
      <c r="A253" t="str">
        <f>tblPlayers[first_name]&amp;" "&amp;tblPlayers[second_name]</f>
        <v>Remi Matthews</v>
      </c>
      <c r="B253" t="str">
        <f>_xlfn.SWITCH(tblPlayers[element_type],1,"GK",2,"DEF",3,"MID",4,"FWD")</f>
        <v>GK</v>
      </c>
      <c r="C253">
        <f>tblPlayers[team]</f>
        <v>8</v>
      </c>
      <c r="D253" t="str">
        <f>INDEX(tblTeams[Column1.short_name],MATCH(C253,tblTeams[Column1.id],0))</f>
        <v>CRY</v>
      </c>
      <c r="E253" s="4">
        <f>INDEX(FPL_Raw_Data!$F:$F,MATCH(A253,FPL_Raw_Data!$AA:$AA,0))/10</f>
        <v>4</v>
      </c>
      <c r="F253" s="4" t="str">
        <f>tblPlayers[[#This Row],[status]]</f>
        <v>a</v>
      </c>
      <c r="G253" s="4" t="b">
        <f>tblPlayers[[#This Row],[can_select]]</f>
        <v>1</v>
      </c>
      <c r="H253">
        <f>IF(AND(Table8[[#This Row],[Availability Status]]="a",Table8[[#This Row],[Can Select]]=TRUE),1,0)</f>
        <v>1</v>
      </c>
      <c r="I253">
        <f>tblPlayers[minutes]</f>
        <v>0</v>
      </c>
      <c r="J253" s="2">
        <f>Table8[[#This Row],[Minutes]]/90</f>
        <v>0</v>
      </c>
      <c r="K253" s="5">
        <f>IFERROR(Z253/(FIXTURE_ANALYSIS!$B$1-1),0)</f>
        <v>0</v>
      </c>
      <c r="L253">
        <f>tblPlayers[total_points]</f>
        <v>0</v>
      </c>
      <c r="M253">
        <f>tblPlayers[points_per_game]</f>
        <v>0</v>
      </c>
      <c r="N253">
        <f>tblPlayers[form]</f>
        <v>0</v>
      </c>
      <c r="O253">
        <f>tblPlayers[expected_goals]</f>
        <v>0</v>
      </c>
      <c r="P253">
        <f>tblPlayers[expected_assists]</f>
        <v>0</v>
      </c>
      <c r="Q253">
        <f>tblPlayers[expected_goal_involvements]</f>
        <v>0</v>
      </c>
      <c r="R253" s="2">
        <f t="shared" si="75"/>
        <v>0</v>
      </c>
      <c r="S253" s="5">
        <f t="shared" si="76"/>
        <v>0</v>
      </c>
      <c r="T253" s="5">
        <f t="shared" si="77"/>
        <v>0</v>
      </c>
      <c r="U253" s="5">
        <f t="shared" si="78"/>
        <v>0</v>
      </c>
      <c r="V253" s="3">
        <f t="shared" si="79"/>
        <v>0</v>
      </c>
      <c r="W253" s="5">
        <f t="shared" si="80"/>
        <v>0</v>
      </c>
      <c r="X253" s="5">
        <f>IFERROR(IF(OR($B253="MID",$B253="FWD"),INDEX(FIXTURE_ANALYSIS!$Q:$Q,MATCH($D253,FIXTURE_ANALYSIS!$A:$A,0)),INDEX(FIXTURE_ANALYSIS!$R:$R,MATCH($D253,FIXTURE_ANALYSIS!$A:$A,0))),1)</f>
        <v>0.8321125967628431</v>
      </c>
      <c r="Y253" s="5">
        <f t="shared" si="81"/>
        <v>0.8321125967628431</v>
      </c>
      <c r="Z253" s="8">
        <f>INDEX(FPL_Raw_Data!$T:$T,MATCH(A253,FPL_Raw_Data!$AA:$AA,0))</f>
        <v>0</v>
      </c>
      <c r="AA253" s="8">
        <f>INDEX(FPL_Raw_Data!$S:$S,MATCH(A253,FPL_Raw_Data!$AA:$AA,0))</f>
        <v>0</v>
      </c>
      <c r="AB253" s="2">
        <f t="shared" si="82"/>
        <v>0</v>
      </c>
      <c r="AC253" s="2">
        <f>INDEX(FPL_Raw_Data!$Q:$Q,MATCH(A253,FPL_Raw_Data!$AA:$AA,0))</f>
        <v>0</v>
      </c>
      <c r="AD253" s="8">
        <f>INDEX(FPL_Raw_Data!$R:$R,MATCH(A253,FPL_Raw_Data!$AA:$AA,0))</f>
        <v>0</v>
      </c>
      <c r="AE253" s="8">
        <f>INDEX(FPL_Raw_Data!$N:$N,MATCH(A253,FPL_Raw_Data!$AA:$AA,0))</f>
        <v>0</v>
      </c>
      <c r="AF253" s="8">
        <f>INDEX(FPL_Raw_Data!$L:$L,MATCH(A253,FPL_Raw_Data!$AA:$AA,0))</f>
        <v>0</v>
      </c>
      <c r="AG253" s="2">
        <f>INDEX(FPL_Raw_Data!$M:$M,MATCH(A253,FPL_Raw_Data!$AA:$AA,0))</f>
        <v>0</v>
      </c>
      <c r="AH253" s="2">
        <f t="shared" si="83"/>
        <v>0</v>
      </c>
      <c r="AI253" s="2">
        <f t="shared" si="84"/>
        <v>0</v>
      </c>
      <c r="AJ253" s="2">
        <f t="shared" si="85"/>
        <v>0</v>
      </c>
      <c r="AK253" s="2">
        <f t="shared" si="86"/>
        <v>0</v>
      </c>
      <c r="AL253" s="2">
        <f t="shared" si="87"/>
        <v>0</v>
      </c>
      <c r="AM253" s="2">
        <f t="shared" si="88"/>
        <v>0</v>
      </c>
      <c r="AN253" s="2">
        <f t="shared" si="89"/>
        <v>0</v>
      </c>
      <c r="AO253" s="3">
        <f t="shared" si="90"/>
        <v>0.1</v>
      </c>
      <c r="AP253">
        <f t="shared" si="91"/>
        <v>0</v>
      </c>
      <c r="AQ253">
        <f t="shared" si="92"/>
        <v>0.1</v>
      </c>
      <c r="AR253">
        <f t="shared" si="93"/>
        <v>0</v>
      </c>
      <c r="AS253" s="2">
        <f t="shared" si="94"/>
        <v>0</v>
      </c>
      <c r="AT253" s="2">
        <f>IFERROR(INDEX(Player_Model!$BC$2:$BC$596,MATCH($A253,Player_Model!$A$2:$A$596,0)),0)</f>
        <v>0</v>
      </c>
      <c r="AU253" s="2">
        <f>Table8[[#This Row],[Model Expected Points]]*Table8[[#This Row],[Fixture Adjustment]]</f>
        <v>0</v>
      </c>
      <c r="AV253" s="2">
        <f>Table8[[#This Row],[Fixture Adjusted Points / 90]]/Table8[[#This Row],[Price]]</f>
        <v>0</v>
      </c>
      <c r="AW253">
        <f t="shared" si="95"/>
        <v>0</v>
      </c>
      <c r="AX253">
        <f t="shared" si="96"/>
        <v>0.41605629838142155</v>
      </c>
      <c r="AY253" s="2">
        <f t="shared" si="97"/>
        <v>0</v>
      </c>
      <c r="AZ253" s="5">
        <f t="shared" si="98"/>
        <v>0.8321125967628431</v>
      </c>
      <c r="BA253">
        <f>Table8[[#This Row],[Model Score2]]</f>
        <v>0</v>
      </c>
      <c r="BB253">
        <f>IFERROR(INDEX(Player_Model!$BG$2:$BG$596,MATCH($A253,Player_Model!$A$2:$A$596,0)),"")</f>
        <v>35</v>
      </c>
      <c r="BC253" t="str">
        <f t="shared" si="99"/>
        <v>AVOID</v>
      </c>
      <c r="BD253">
        <f>IF(H253=1,Table8[[#This Row],[Model Score]],-10000)</f>
        <v>0</v>
      </c>
      <c r="BE253">
        <f>IFERROR(INDEX(Player_Model!$BF$2:$BF$596,MATCH($A253,Player_Model!$A$2:$A$596,0)),"")</f>
        <v>253</v>
      </c>
      <c r="BF253">
        <f>IFERROR(INDEX(Player_Model!$BG$2:$BG$596,MATCH($A253,Player_Model!$A$2:$A$596,0)),"")</f>
        <v>35</v>
      </c>
      <c r="BG253">
        <f>IFERROR(INDEX(Player_Model!$BE$2:$BE$596,MATCH($A253,Player_Model!$A$2:$A$596,0)),0)</f>
        <v>0</v>
      </c>
    </row>
    <row r="254" spans="1:59" x14ac:dyDescent="0.25">
      <c r="A254" t="str">
        <f>tblPlayers[first_name]&amp;" "&amp;tblPlayers[second_name]</f>
        <v>Takehiro Tomiyasu</v>
      </c>
      <c r="B254" t="str">
        <f>_xlfn.SWITCH(tblPlayers[element_type],1,"GK",2,"DEF",3,"MID",4,"FWD")</f>
        <v>DEF</v>
      </c>
      <c r="C254">
        <f>tblPlayers[team]</f>
        <v>8</v>
      </c>
      <c r="D254" t="str">
        <f>INDEX(tblTeams[Column1.short_name],MATCH(C254,tblTeams[Column1.id],0))</f>
        <v>CRY</v>
      </c>
      <c r="E254" s="4">
        <f>INDEX(FPL_Raw_Data!$F:$F,MATCH(A254,FPL_Raw_Data!$AA:$AA,0))/10</f>
        <v>4.5</v>
      </c>
      <c r="F254" s="4" t="str">
        <f>tblPlayers[[#This Row],[status]]</f>
        <v>a</v>
      </c>
      <c r="G254" s="4" t="b">
        <f>tblPlayers[[#This Row],[can_select]]</f>
        <v>1</v>
      </c>
      <c r="H254">
        <f>IF(AND(Table8[[#This Row],[Availability Status]]="a",Table8[[#This Row],[Can Select]]=TRUE),1,0)</f>
        <v>1</v>
      </c>
      <c r="I254">
        <f>tblPlayers[minutes]</f>
        <v>91</v>
      </c>
      <c r="J254" s="2">
        <f>Table8[[#This Row],[Minutes]]/90</f>
        <v>1.0111111111111111</v>
      </c>
      <c r="K254" s="5">
        <f>IFERROR(Z254/(FIXTURE_ANALYSIS!$B$1-1),0)</f>
        <v>0.33333333333333331</v>
      </c>
      <c r="L254">
        <f>tblPlayers[total_points]</f>
        <v>2</v>
      </c>
      <c r="M254">
        <f>tblPlayers[points_per_game]</f>
        <v>1</v>
      </c>
      <c r="N254">
        <f>tblPlayers[form]</f>
        <v>0.7</v>
      </c>
      <c r="O254">
        <f>tblPlayers[expected_goals]</f>
        <v>0</v>
      </c>
      <c r="P254">
        <f>tblPlayers[expected_assists]</f>
        <v>0.01</v>
      </c>
      <c r="Q254">
        <f>tblPlayers[expected_goal_involvements]</f>
        <v>0.01</v>
      </c>
      <c r="R254" s="2">
        <f t="shared" si="75"/>
        <v>1.9780219780219781</v>
      </c>
      <c r="S254" s="5">
        <f t="shared" si="76"/>
        <v>0</v>
      </c>
      <c r="T254" s="5">
        <f t="shared" si="77"/>
        <v>9.8901098901098897E-3</v>
      </c>
      <c r="U254" s="5">
        <f t="shared" si="78"/>
        <v>9.8901098901098897E-3</v>
      </c>
      <c r="V254" s="3">
        <f t="shared" si="79"/>
        <v>0.44444444444444442</v>
      </c>
      <c r="W254" s="5">
        <f t="shared" si="80"/>
        <v>2.2222222222222222E-3</v>
      </c>
      <c r="X254" s="5">
        <f>IFERROR(IF(OR($B254="MID",$B254="FWD"),INDEX(FIXTURE_ANALYSIS!$Q:$Q,MATCH($D254,FIXTURE_ANALYSIS!$A:$A,0)),INDEX(FIXTURE_ANALYSIS!$R:$R,MATCH($D254,FIXTURE_ANALYSIS!$A:$A,0))),1)</f>
        <v>0.8321125967628431</v>
      </c>
      <c r="Y254" s="5">
        <f t="shared" si="81"/>
        <v>0.8321125967628431</v>
      </c>
      <c r="Z254" s="8">
        <f>INDEX(FPL_Raw_Data!$T:$T,MATCH(A254,FPL_Raw_Data!$AA:$AA,0))</f>
        <v>1</v>
      </c>
      <c r="AA254" s="8">
        <f>INDEX(FPL_Raw_Data!$S:$S,MATCH(A254,FPL_Raw_Data!$AA:$AA,0))</f>
        <v>9</v>
      </c>
      <c r="AB254" s="2">
        <f t="shared" si="82"/>
        <v>0.9</v>
      </c>
      <c r="AC254" s="2">
        <f>INDEX(FPL_Raw_Data!$Q:$Q,MATCH(A254,FPL_Raw_Data!$AA:$AA,0))</f>
        <v>0</v>
      </c>
      <c r="AD254" s="8">
        <f>INDEX(FPL_Raw_Data!$R:$R,MATCH(A254,FPL_Raw_Data!$AA:$AA,0))</f>
        <v>0</v>
      </c>
      <c r="AE254" s="8">
        <f>INDEX(FPL_Raw_Data!$N:$N,MATCH(A254,FPL_Raw_Data!$AA:$AA,0))</f>
        <v>0</v>
      </c>
      <c r="AF254" s="8">
        <f>INDEX(FPL_Raw_Data!$L:$L,MATCH(A254,FPL_Raw_Data!$AA:$AA,0))</f>
        <v>0</v>
      </c>
      <c r="AG254" s="2">
        <f>INDEX(FPL_Raw_Data!$M:$M,MATCH(A254,FPL_Raw_Data!$AA:$AA,0))</f>
        <v>0</v>
      </c>
      <c r="AH254" s="2">
        <f t="shared" si="83"/>
        <v>0</v>
      </c>
      <c r="AI254" s="2">
        <f t="shared" si="84"/>
        <v>2.9670329670329669E-2</v>
      </c>
      <c r="AJ254" s="2">
        <f t="shared" si="85"/>
        <v>0.66666666666666663</v>
      </c>
      <c r="AK254" s="2">
        <f t="shared" si="86"/>
        <v>1.8</v>
      </c>
      <c r="AL254" s="2">
        <f t="shared" si="87"/>
        <v>0</v>
      </c>
      <c r="AM254" s="2">
        <f t="shared" si="88"/>
        <v>0</v>
      </c>
      <c r="AN254" s="2">
        <f t="shared" si="89"/>
        <v>0</v>
      </c>
      <c r="AO254" s="3">
        <f t="shared" si="90"/>
        <v>45.7</v>
      </c>
      <c r="AP254">
        <f t="shared" si="91"/>
        <v>53.300000000000004</v>
      </c>
      <c r="AQ254">
        <f t="shared" si="92"/>
        <v>56.000000000000007</v>
      </c>
      <c r="AR254">
        <f t="shared" si="93"/>
        <v>52.800000000000004</v>
      </c>
      <c r="AS254" s="2">
        <f t="shared" si="94"/>
        <v>33.333333333333329</v>
      </c>
      <c r="AT254" s="2">
        <f>IFERROR(INDEX(Player_Model!$BC$2:$BC$596,MATCH($A254,Player_Model!$A$2:$A$596,0)),0)</f>
        <v>2.5738106450095914</v>
      </c>
      <c r="AU254" s="2">
        <f>Table8[[#This Row],[Model Expected Points]]*Table8[[#This Row],[Fixture Adjustment]]</f>
        <v>2.1417002593947791</v>
      </c>
      <c r="AV254" s="2">
        <f>Table8[[#This Row],[Fixture Adjusted Points / 90]]/Table8[[#This Row],[Price]]</f>
        <v>0.47593339097661758</v>
      </c>
      <c r="AW254">
        <f t="shared" si="95"/>
        <v>53.300000000000004</v>
      </c>
      <c r="AX254">
        <f t="shared" si="96"/>
        <v>0.86605629838142151</v>
      </c>
      <c r="AY254" s="2">
        <f t="shared" si="97"/>
        <v>33.333333333333329</v>
      </c>
      <c r="AZ254" s="5">
        <f t="shared" si="98"/>
        <v>0.8321125967628431</v>
      </c>
      <c r="BA254">
        <f>Table8[[#This Row],[Model Score2]]</f>
        <v>2.5738106450095914</v>
      </c>
      <c r="BB254">
        <f>IFERROR(INDEX(Player_Model!$BG$2:$BG$596,MATCH($A254,Player_Model!$A$2:$A$596,0)),"")</f>
        <v>72</v>
      </c>
      <c r="BC254" t="str">
        <f t="shared" si="99"/>
        <v>AVOID</v>
      </c>
      <c r="BD254">
        <f>IF(H254=1,Table8[[#This Row],[Model Score]],-10000)</f>
        <v>2.5738106450095914</v>
      </c>
      <c r="BE254">
        <f>IFERROR(INDEX(Player_Model!$BF$2:$BF$596,MATCH($A254,Player_Model!$A$2:$A$596,0)),"")</f>
        <v>221</v>
      </c>
      <c r="BF254">
        <f>IFERROR(INDEX(Player_Model!$BG$2:$BG$596,MATCH($A254,Player_Model!$A$2:$A$596,0)),"")</f>
        <v>72</v>
      </c>
      <c r="BG254">
        <f>IFERROR(INDEX(Player_Model!$BE$2:$BE$596,MATCH($A254,Player_Model!$A$2:$A$596,0)),0)</f>
        <v>2.5738106450095914</v>
      </c>
    </row>
    <row r="255" spans="1:59" x14ac:dyDescent="0.25">
      <c r="A255" t="str">
        <f>tblPlayers[first_name]&amp;" "&amp;tblPlayers[second_name]</f>
        <v>Anan Khalaili</v>
      </c>
      <c r="B255" t="str">
        <f>_xlfn.SWITCH(tblPlayers[element_type],1,"GK",2,"DEF",3,"MID",4,"FWD")</f>
        <v>DEF</v>
      </c>
      <c r="C255">
        <f>tblPlayers[team]</f>
        <v>8</v>
      </c>
      <c r="D255" t="str">
        <f>INDEX(tblTeams[Column1.short_name],MATCH(C255,tblTeams[Column1.id],0))</f>
        <v>CRY</v>
      </c>
      <c r="E255" s="4">
        <f>INDEX(FPL_Raw_Data!$F:$F,MATCH(A255,FPL_Raw_Data!$AA:$AA,0))/10</f>
        <v>5</v>
      </c>
      <c r="F255" s="4" t="str">
        <f>tblPlayers[[#This Row],[status]]</f>
        <v>a</v>
      </c>
      <c r="G255" s="4" t="b">
        <f>tblPlayers[[#This Row],[can_select]]</f>
        <v>1</v>
      </c>
      <c r="H255">
        <f>IF(AND(Table8[[#This Row],[Availability Status]]="a",Table8[[#This Row],[Can Select]]=TRUE),1,0)</f>
        <v>1</v>
      </c>
      <c r="I255">
        <f>tblPlayers[minutes]</f>
        <v>199</v>
      </c>
      <c r="J255" s="2">
        <f>Table8[[#This Row],[Minutes]]/90</f>
        <v>2.2111111111111112</v>
      </c>
      <c r="K255" s="5">
        <f>IFERROR(Z255/(FIXTURE_ANALYSIS!$B$1-1),0)</f>
        <v>0.66666666666666663</v>
      </c>
      <c r="L255">
        <f>tblPlayers[total_points]</f>
        <v>6</v>
      </c>
      <c r="M255">
        <f>tblPlayers[points_per_game]</f>
        <v>2</v>
      </c>
      <c r="N255">
        <f>tblPlayers[form]</f>
        <v>2</v>
      </c>
      <c r="O255">
        <f>tblPlayers[expected_goals]</f>
        <v>0.74</v>
      </c>
      <c r="P255">
        <f>tblPlayers[expected_assists]</f>
        <v>0.17</v>
      </c>
      <c r="Q255">
        <f>tblPlayers[expected_goal_involvements]</f>
        <v>0.91</v>
      </c>
      <c r="R255" s="2">
        <f t="shared" si="75"/>
        <v>2.7135678391959797</v>
      </c>
      <c r="S255" s="5">
        <f t="shared" si="76"/>
        <v>0.33467336683417087</v>
      </c>
      <c r="T255" s="5">
        <f t="shared" si="77"/>
        <v>7.6884422110552769E-2</v>
      </c>
      <c r="U255" s="5">
        <f t="shared" si="78"/>
        <v>0.41155778894472361</v>
      </c>
      <c r="V255" s="3">
        <f t="shared" si="79"/>
        <v>1.2</v>
      </c>
      <c r="W255" s="5">
        <f t="shared" si="80"/>
        <v>0.182</v>
      </c>
      <c r="X255" s="5">
        <f>IFERROR(IF(OR($B255="MID",$B255="FWD"),INDEX(FIXTURE_ANALYSIS!$Q:$Q,MATCH($D255,FIXTURE_ANALYSIS!$A:$A,0)),INDEX(FIXTURE_ANALYSIS!$R:$R,MATCH($D255,FIXTURE_ANALYSIS!$A:$A,0))),1)</f>
        <v>0.8321125967628431</v>
      </c>
      <c r="Y255" s="5">
        <f t="shared" si="81"/>
        <v>0.8321125967628431</v>
      </c>
      <c r="Z255" s="8">
        <f>INDEX(FPL_Raw_Data!$T:$T,MATCH(A255,FPL_Raw_Data!$AA:$AA,0))</f>
        <v>2</v>
      </c>
      <c r="AA255" s="8">
        <f>INDEX(FPL_Raw_Data!$S:$S,MATCH(A255,FPL_Raw_Data!$AA:$AA,0))</f>
        <v>33</v>
      </c>
      <c r="AB255" s="2">
        <f t="shared" si="82"/>
        <v>1</v>
      </c>
      <c r="AC255" s="2">
        <f>INDEX(FPL_Raw_Data!$Q:$Q,MATCH(A255,FPL_Raw_Data!$AA:$AA,0))</f>
        <v>0</v>
      </c>
      <c r="AD255" s="8">
        <f>INDEX(FPL_Raw_Data!$R:$R,MATCH(A255,FPL_Raw_Data!$AA:$AA,0))</f>
        <v>27</v>
      </c>
      <c r="AE255" s="8">
        <f>INDEX(FPL_Raw_Data!$N:$N,MATCH(A255,FPL_Raw_Data!$AA:$AA,0))</f>
        <v>0</v>
      </c>
      <c r="AF255" s="8">
        <f>INDEX(FPL_Raw_Data!$L:$L,MATCH(A255,FPL_Raw_Data!$AA:$AA,0))</f>
        <v>0</v>
      </c>
      <c r="AG255" s="2">
        <f>INDEX(FPL_Raw_Data!$M:$M,MATCH(A255,FPL_Raw_Data!$AA:$AA,0))</f>
        <v>0</v>
      </c>
      <c r="AH255" s="2">
        <f t="shared" si="83"/>
        <v>2.0080402010050253</v>
      </c>
      <c r="AI255" s="2">
        <f t="shared" si="84"/>
        <v>0.23065326633165831</v>
      </c>
      <c r="AJ255" s="2">
        <f t="shared" si="85"/>
        <v>1.3333333333333333</v>
      </c>
      <c r="AK255" s="2">
        <f t="shared" si="86"/>
        <v>2</v>
      </c>
      <c r="AL255" s="2">
        <f t="shared" si="87"/>
        <v>0</v>
      </c>
      <c r="AM255" s="2">
        <f t="shared" si="88"/>
        <v>0</v>
      </c>
      <c r="AN255" s="2">
        <f t="shared" si="89"/>
        <v>0</v>
      </c>
      <c r="AO255" s="3">
        <f t="shared" si="90"/>
        <v>55.000000000000007</v>
      </c>
      <c r="AP255">
        <f t="shared" si="91"/>
        <v>88.7</v>
      </c>
      <c r="AQ255">
        <f t="shared" si="92"/>
        <v>72.2</v>
      </c>
      <c r="AR255">
        <f t="shared" si="93"/>
        <v>93.4</v>
      </c>
      <c r="AS255" s="2">
        <f t="shared" si="94"/>
        <v>66.666666666666657</v>
      </c>
      <c r="AT255" s="2">
        <f>IFERROR(INDEX(Player_Model!$BC$2:$BC$596,MATCH($A255,Player_Model!$A$2:$A$596,0)),0)</f>
        <v>4.3274785944760277</v>
      </c>
      <c r="AU255" s="2">
        <f>Table8[[#This Row],[Model Expected Points]]*Table8[[#This Row],[Fixture Adjustment]]</f>
        <v>3.6009494506850657</v>
      </c>
      <c r="AV255" s="2">
        <f>Table8[[#This Row],[Fixture Adjusted Points / 90]]/Table8[[#This Row],[Price]]</f>
        <v>0.72018989013701318</v>
      </c>
      <c r="AW255">
        <f t="shared" si="95"/>
        <v>88.7</v>
      </c>
      <c r="AX255">
        <f t="shared" si="96"/>
        <v>0.91605629838142155</v>
      </c>
      <c r="AY255" s="2">
        <f t="shared" si="97"/>
        <v>66.666666666666657</v>
      </c>
      <c r="AZ255" s="5">
        <f t="shared" si="98"/>
        <v>0.8321125967628431</v>
      </c>
      <c r="BA255">
        <f>Table8[[#This Row],[Model Score2]]</f>
        <v>4.3274785944760277</v>
      </c>
      <c r="BB255">
        <f>IFERROR(INDEX(Player_Model!$BG$2:$BG$596,MATCH($A255,Player_Model!$A$2:$A$596,0)),"")</f>
        <v>46</v>
      </c>
      <c r="BC255" t="str">
        <f t="shared" si="99"/>
        <v>AVOID</v>
      </c>
      <c r="BD255">
        <f>IF(H255=1,Table8[[#This Row],[Model Score]],-10000)</f>
        <v>4.3274785944760277</v>
      </c>
      <c r="BE255">
        <f>IFERROR(INDEX(Player_Model!$BF$2:$BF$596,MATCH($A255,Player_Model!$A$2:$A$596,0)),"")</f>
        <v>135</v>
      </c>
      <c r="BF255">
        <f>IFERROR(INDEX(Player_Model!$BG$2:$BG$596,MATCH($A255,Player_Model!$A$2:$A$596,0)),"")</f>
        <v>46</v>
      </c>
      <c r="BG255">
        <f>IFERROR(INDEX(Player_Model!$BE$2:$BE$596,MATCH($A255,Player_Model!$A$2:$A$596,0)),0)</f>
        <v>4.3274785944760277</v>
      </c>
    </row>
    <row r="256" spans="1:59" x14ac:dyDescent="0.25">
      <c r="A256" t="str">
        <f>tblPlayers[first_name]&amp;" "&amp;tblPlayers[second_name]</f>
        <v>Zavier Gozo</v>
      </c>
      <c r="B256" t="str">
        <f>_xlfn.SWITCH(tblPlayers[element_type],1,"GK",2,"DEF",3,"MID",4,"FWD")</f>
        <v>MID</v>
      </c>
      <c r="C256">
        <f>tblPlayers[team]</f>
        <v>8</v>
      </c>
      <c r="D256" t="str">
        <f>INDEX(tblTeams[Column1.short_name],MATCH(C256,tblTeams[Column1.id],0))</f>
        <v>CRY</v>
      </c>
      <c r="E256" s="4">
        <f>INDEX(FPL_Raw_Data!$F:$F,MATCH(A256,FPL_Raw_Data!$AA:$AA,0))/10</f>
        <v>5</v>
      </c>
      <c r="F256" s="4" t="str">
        <f>tblPlayers[[#This Row],[status]]</f>
        <v>a</v>
      </c>
      <c r="G256" s="4" t="b">
        <f>tblPlayers[[#This Row],[can_select]]</f>
        <v>1</v>
      </c>
      <c r="H256">
        <f>IF(AND(Table8[[#This Row],[Availability Status]]="a",Table8[[#This Row],[Can Select]]=TRUE),1,0)</f>
        <v>1</v>
      </c>
      <c r="I256">
        <f>tblPlayers[minutes]</f>
        <v>22</v>
      </c>
      <c r="J256" s="2">
        <f>Table8[[#This Row],[Minutes]]/90</f>
        <v>0.24444444444444444</v>
      </c>
      <c r="K256" s="5">
        <f>IFERROR(Z256/(FIXTURE_ANALYSIS!$B$1-1),0)</f>
        <v>0</v>
      </c>
      <c r="L256">
        <f>tblPlayers[total_points]</f>
        <v>1</v>
      </c>
      <c r="M256">
        <f>tblPlayers[points_per_game]</f>
        <v>1</v>
      </c>
      <c r="N256">
        <f>tblPlayers[form]</f>
        <v>0.3</v>
      </c>
      <c r="O256">
        <f>tblPlayers[expected_goals]</f>
        <v>0</v>
      </c>
      <c r="P256">
        <f>tblPlayers[expected_assists]</f>
        <v>0</v>
      </c>
      <c r="Q256">
        <f>tblPlayers[expected_goal_involvements]</f>
        <v>0</v>
      </c>
      <c r="R256" s="2">
        <f t="shared" si="75"/>
        <v>4.0909090909090908</v>
      </c>
      <c r="S256" s="5">
        <f t="shared" si="76"/>
        <v>0</v>
      </c>
      <c r="T256" s="5">
        <f t="shared" si="77"/>
        <v>0</v>
      </c>
      <c r="U256" s="5">
        <f t="shared" si="78"/>
        <v>0</v>
      </c>
      <c r="V256" s="3">
        <f t="shared" si="79"/>
        <v>0.2</v>
      </c>
      <c r="W256" s="5">
        <f t="shared" si="80"/>
        <v>0</v>
      </c>
      <c r="X256" s="5">
        <f>IFERROR(IF(OR($B256="MID",$B256="FWD"),INDEX(FIXTURE_ANALYSIS!$Q:$Q,MATCH($D256,FIXTURE_ANALYSIS!$A:$A,0)),INDEX(FIXTURE_ANALYSIS!$R:$R,MATCH($D256,FIXTURE_ANALYSIS!$A:$A,0))),1)</f>
        <v>0.9782093425605537</v>
      </c>
      <c r="Y256" s="5">
        <f t="shared" si="81"/>
        <v>0.9782093425605537</v>
      </c>
      <c r="Z256" s="8">
        <f>INDEX(FPL_Raw_Data!$T:$T,MATCH(A256,FPL_Raw_Data!$AA:$AA,0))</f>
        <v>0</v>
      </c>
      <c r="AA256" s="8">
        <f>INDEX(FPL_Raw_Data!$S:$S,MATCH(A256,FPL_Raw_Data!$AA:$AA,0))</f>
        <v>1</v>
      </c>
      <c r="AB256" s="2">
        <f t="shared" si="82"/>
        <v>8.3333333333333329E-2</v>
      </c>
      <c r="AC256" s="2">
        <f>INDEX(FPL_Raw_Data!$Q:$Q,MATCH(A256,FPL_Raw_Data!$AA:$AA,0))</f>
        <v>0</v>
      </c>
      <c r="AD256" s="8">
        <f>INDEX(FPL_Raw_Data!$R:$R,MATCH(A256,FPL_Raw_Data!$AA:$AA,0))</f>
        <v>3</v>
      </c>
      <c r="AE256" s="8">
        <f>INDEX(FPL_Raw_Data!$N:$N,MATCH(A256,FPL_Raw_Data!$AA:$AA,0))</f>
        <v>0</v>
      </c>
      <c r="AF256" s="8">
        <f>INDEX(FPL_Raw_Data!$L:$L,MATCH(A256,FPL_Raw_Data!$AA:$AA,0))</f>
        <v>0</v>
      </c>
      <c r="AG256" s="2">
        <f>INDEX(FPL_Raw_Data!$M:$M,MATCH(A256,FPL_Raw_Data!$AA:$AA,0))</f>
        <v>0</v>
      </c>
      <c r="AH256" s="2">
        <f t="shared" si="83"/>
        <v>0</v>
      </c>
      <c r="AI256" s="2">
        <f t="shared" si="84"/>
        <v>0</v>
      </c>
      <c r="AJ256" s="2">
        <f t="shared" si="85"/>
        <v>0</v>
      </c>
      <c r="AK256" s="2">
        <f t="shared" si="86"/>
        <v>0.16666666666666666</v>
      </c>
      <c r="AL256" s="2">
        <f t="shared" si="87"/>
        <v>0</v>
      </c>
      <c r="AM256" s="2">
        <f t="shared" si="88"/>
        <v>0</v>
      </c>
      <c r="AN256" s="2">
        <f t="shared" si="89"/>
        <v>0</v>
      </c>
      <c r="AO256" s="3">
        <f t="shared" si="90"/>
        <v>70.199999999999989</v>
      </c>
      <c r="AP256">
        <f t="shared" si="91"/>
        <v>0</v>
      </c>
      <c r="AQ256">
        <f t="shared" si="92"/>
        <v>44.4</v>
      </c>
      <c r="AR256">
        <f t="shared" si="93"/>
        <v>0</v>
      </c>
      <c r="AS256" s="2">
        <f t="shared" si="94"/>
        <v>0</v>
      </c>
      <c r="AT256" s="2">
        <f>IFERROR(INDEX(Player_Model!$BC$2:$BC$596,MATCH($A256,Player_Model!$A$2:$A$596,0)),0)</f>
        <v>0</v>
      </c>
      <c r="AU256" s="2">
        <f>Table8[[#This Row],[Model Expected Points]]*Table8[[#This Row],[Fixture Adjustment]]</f>
        <v>0</v>
      </c>
      <c r="AV256" s="2">
        <f>Table8[[#This Row],[Fixture Adjusted Points / 90]]/Table8[[#This Row],[Price]]</f>
        <v>0</v>
      </c>
      <c r="AW256">
        <f t="shared" si="95"/>
        <v>35.099999999999994</v>
      </c>
      <c r="AX256">
        <f t="shared" si="96"/>
        <v>8.3333333333333329E-2</v>
      </c>
      <c r="AY256" s="2">
        <f t="shared" si="97"/>
        <v>0</v>
      </c>
      <c r="AZ256" s="5">
        <f t="shared" si="98"/>
        <v>0.9782093425605537</v>
      </c>
      <c r="BA256">
        <f>Table8[[#This Row],[Model Score2]]</f>
        <v>0</v>
      </c>
      <c r="BB256">
        <f>IFERROR(INDEX(Player_Model!$BG$2:$BG$596,MATCH($A256,Player_Model!$A$2:$A$596,0)),"")</f>
        <v>178</v>
      </c>
      <c r="BC256" t="str">
        <f t="shared" si="99"/>
        <v>AVOID</v>
      </c>
      <c r="BD256">
        <f>IF(H256=1,Table8[[#This Row],[Model Score]],-10000)</f>
        <v>0</v>
      </c>
      <c r="BE256">
        <f>IFERROR(INDEX(Player_Model!$BF$2:$BF$596,MATCH($A256,Player_Model!$A$2:$A$596,0)),"")</f>
        <v>253</v>
      </c>
      <c r="BF256">
        <f>IFERROR(INDEX(Player_Model!$BG$2:$BG$596,MATCH($A256,Player_Model!$A$2:$A$596,0)),"")</f>
        <v>178</v>
      </c>
      <c r="BG256">
        <f>IFERROR(INDEX(Player_Model!$BE$2:$BE$596,MATCH($A256,Player_Model!$A$2:$A$596,0)),0)</f>
        <v>0</v>
      </c>
    </row>
    <row r="257" spans="1:59" x14ac:dyDescent="0.25">
      <c r="A257" t="str">
        <f>tblPlayers[first_name]&amp;" "&amp;tblPlayers[second_name]</f>
        <v>Honest Ahanor</v>
      </c>
      <c r="B257" t="str">
        <f>_xlfn.SWITCH(tblPlayers[element_type],1,"GK",2,"DEF",3,"MID",4,"FWD")</f>
        <v>DEF</v>
      </c>
      <c r="C257">
        <f>tblPlayers[team]</f>
        <v>8</v>
      </c>
      <c r="D257" t="str">
        <f>INDEX(tblTeams[Column1.short_name],MATCH(C257,tblTeams[Column1.id],0))</f>
        <v>CRY</v>
      </c>
      <c r="E257" s="4">
        <f>INDEX(FPL_Raw_Data!$F:$F,MATCH(A257,FPL_Raw_Data!$AA:$AA,0))/10</f>
        <v>4.5</v>
      </c>
      <c r="F257" s="4" t="str">
        <f>tblPlayers[[#This Row],[status]]</f>
        <v>a</v>
      </c>
      <c r="G257" s="4" t="b">
        <f>tblPlayers[[#This Row],[can_select]]</f>
        <v>1</v>
      </c>
      <c r="H257">
        <f>IF(AND(Table8[[#This Row],[Availability Status]]="a",Table8[[#This Row],[Can Select]]=TRUE),1,0)</f>
        <v>1</v>
      </c>
      <c r="I257">
        <f>tblPlayers[minutes]</f>
        <v>0</v>
      </c>
      <c r="J257" s="2">
        <f>Table8[[#This Row],[Minutes]]/90</f>
        <v>0</v>
      </c>
      <c r="K257" s="5">
        <f>IFERROR(Z257/(FIXTURE_ANALYSIS!$B$1-1),0)</f>
        <v>0</v>
      </c>
      <c r="L257">
        <f>tblPlayers[total_points]</f>
        <v>0</v>
      </c>
      <c r="M257">
        <f>tblPlayers[points_per_game]</f>
        <v>0</v>
      </c>
      <c r="N257">
        <f>tblPlayers[form]</f>
        <v>0</v>
      </c>
      <c r="O257">
        <f>tblPlayers[expected_goals]</f>
        <v>0</v>
      </c>
      <c r="P257">
        <f>tblPlayers[expected_assists]</f>
        <v>0</v>
      </c>
      <c r="Q257">
        <f>tblPlayers[expected_goal_involvements]</f>
        <v>0</v>
      </c>
      <c r="R257" s="2">
        <f t="shared" si="75"/>
        <v>0</v>
      </c>
      <c r="S257" s="5">
        <f t="shared" si="76"/>
        <v>0</v>
      </c>
      <c r="T257" s="5">
        <f t="shared" si="77"/>
        <v>0</v>
      </c>
      <c r="U257" s="5">
        <f t="shared" si="78"/>
        <v>0</v>
      </c>
      <c r="V257" s="3">
        <f t="shared" si="79"/>
        <v>0</v>
      </c>
      <c r="W257" s="5">
        <f t="shared" si="80"/>
        <v>0</v>
      </c>
      <c r="X257" s="5">
        <f>IFERROR(IF(OR($B257="MID",$B257="FWD"),INDEX(FIXTURE_ANALYSIS!$Q:$Q,MATCH($D257,FIXTURE_ANALYSIS!$A:$A,0)),INDEX(FIXTURE_ANALYSIS!$R:$R,MATCH($D257,FIXTURE_ANALYSIS!$A:$A,0))),1)</f>
        <v>0.8321125967628431</v>
      </c>
      <c r="Y257" s="5">
        <f t="shared" si="81"/>
        <v>0.8321125967628431</v>
      </c>
      <c r="Z257" s="8">
        <f>INDEX(FPL_Raw_Data!$T:$T,MATCH(A257,FPL_Raw_Data!$AA:$AA,0))</f>
        <v>0</v>
      </c>
      <c r="AA257" s="8">
        <f>INDEX(FPL_Raw_Data!$S:$S,MATCH(A257,FPL_Raw_Data!$AA:$AA,0))</f>
        <v>0</v>
      </c>
      <c r="AB257" s="2">
        <f t="shared" si="82"/>
        <v>0</v>
      </c>
      <c r="AC257" s="2">
        <f>INDEX(FPL_Raw_Data!$Q:$Q,MATCH(A257,FPL_Raw_Data!$AA:$AA,0))</f>
        <v>0</v>
      </c>
      <c r="AD257" s="8">
        <f>INDEX(FPL_Raw_Data!$R:$R,MATCH(A257,FPL_Raw_Data!$AA:$AA,0))</f>
        <v>0</v>
      </c>
      <c r="AE257" s="8">
        <f>INDEX(FPL_Raw_Data!$N:$N,MATCH(A257,FPL_Raw_Data!$AA:$AA,0))</f>
        <v>0</v>
      </c>
      <c r="AF257" s="8">
        <f>INDEX(FPL_Raw_Data!$L:$L,MATCH(A257,FPL_Raw_Data!$AA:$AA,0))</f>
        <v>0</v>
      </c>
      <c r="AG257" s="2">
        <f>INDEX(FPL_Raw_Data!$M:$M,MATCH(A257,FPL_Raw_Data!$AA:$AA,0))</f>
        <v>0</v>
      </c>
      <c r="AH257" s="2">
        <f t="shared" si="83"/>
        <v>0</v>
      </c>
      <c r="AI257" s="2">
        <f t="shared" si="84"/>
        <v>0</v>
      </c>
      <c r="AJ257" s="2">
        <f t="shared" si="85"/>
        <v>0</v>
      </c>
      <c r="AK257" s="2">
        <f t="shared" si="86"/>
        <v>0</v>
      </c>
      <c r="AL257" s="2">
        <f t="shared" si="87"/>
        <v>0</v>
      </c>
      <c r="AM257" s="2">
        <f t="shared" si="88"/>
        <v>0</v>
      </c>
      <c r="AN257" s="2">
        <f t="shared" si="89"/>
        <v>0</v>
      </c>
      <c r="AO257" s="3">
        <f t="shared" si="90"/>
        <v>0.1</v>
      </c>
      <c r="AP257">
        <f t="shared" si="91"/>
        <v>0</v>
      </c>
      <c r="AQ257">
        <f t="shared" si="92"/>
        <v>0.1</v>
      </c>
      <c r="AR257">
        <f t="shared" si="93"/>
        <v>0</v>
      </c>
      <c r="AS257" s="2">
        <f t="shared" si="94"/>
        <v>0</v>
      </c>
      <c r="AT257" s="2">
        <f>IFERROR(INDEX(Player_Model!$BC$2:$BC$596,MATCH($A257,Player_Model!$A$2:$A$596,0)),0)</f>
        <v>-1.1094834623504575</v>
      </c>
      <c r="AU257" s="2">
        <f>Table8[[#This Row],[Model Expected Points]]*Table8[[#This Row],[Fixture Adjustment]]</f>
        <v>-0.92321516492186928</v>
      </c>
      <c r="AV257" s="2">
        <f>Table8[[#This Row],[Fixture Adjusted Points / 90]]/Table8[[#This Row],[Price]]</f>
        <v>-0.20515892553819318</v>
      </c>
      <c r="AW257">
        <f t="shared" si="95"/>
        <v>0</v>
      </c>
      <c r="AX257">
        <f t="shared" si="96"/>
        <v>0.41605629838142155</v>
      </c>
      <c r="AY257" s="2">
        <f t="shared" si="97"/>
        <v>0</v>
      </c>
      <c r="AZ257" s="5">
        <f t="shared" si="98"/>
        <v>0.8321125967628431</v>
      </c>
      <c r="BA257">
        <f>Table8[[#This Row],[Model Score2]]</f>
        <v>-1.1094834623504575</v>
      </c>
      <c r="BB257">
        <f>IFERROR(INDEX(Player_Model!$BG$2:$BG$596,MATCH($A257,Player_Model!$A$2:$A$596,0)),"")</f>
        <v>191</v>
      </c>
      <c r="BC257" t="str">
        <f t="shared" si="99"/>
        <v>AVOID</v>
      </c>
      <c r="BD257">
        <f>IF(H257=1,Table8[[#This Row],[Model Score]],-10000)</f>
        <v>-1.1094834623504575</v>
      </c>
      <c r="BE257">
        <f>IFERROR(INDEX(Player_Model!$BF$2:$BF$596,MATCH($A257,Player_Model!$A$2:$A$596,0)),"")</f>
        <v>591</v>
      </c>
      <c r="BF257">
        <f>IFERROR(INDEX(Player_Model!$BG$2:$BG$596,MATCH($A257,Player_Model!$A$2:$A$596,0)),"")</f>
        <v>191</v>
      </c>
      <c r="BG257">
        <f>IFERROR(INDEX(Player_Model!$BE$2:$BE$596,MATCH($A257,Player_Model!$A$2:$A$596,0)),0)</f>
        <v>-1.1094834623504575</v>
      </c>
    </row>
    <row r="258" spans="1:59" x14ac:dyDescent="0.25">
      <c r="A258" t="str">
        <f>tblPlayers[first_name]&amp;" "&amp;tblPlayers[second_name]</f>
        <v>Ben Chilwell</v>
      </c>
      <c r="B258" t="str">
        <f>_xlfn.SWITCH(tblPlayers[element_type],1,"GK",2,"DEF",3,"MID",4,"FWD")</f>
        <v>DEF</v>
      </c>
      <c r="C258">
        <f>tblPlayers[team]</f>
        <v>8</v>
      </c>
      <c r="D258" t="str">
        <f>INDEX(tblTeams[Column1.short_name],MATCH(C258,tblTeams[Column1.id],0))</f>
        <v>CRY</v>
      </c>
      <c r="E258" s="4">
        <f>INDEX(FPL_Raw_Data!$F:$F,MATCH(A258,FPL_Raw_Data!$AA:$AA,0))/10</f>
        <v>4.5</v>
      </c>
      <c r="F258" s="4" t="str">
        <f>tblPlayers[[#This Row],[status]]</f>
        <v>a</v>
      </c>
      <c r="G258" s="4" t="b">
        <f>tblPlayers[[#This Row],[can_select]]</f>
        <v>1</v>
      </c>
      <c r="H258">
        <f>IF(AND(Table8[[#This Row],[Availability Status]]="a",Table8[[#This Row],[Can Select]]=TRUE),1,0)</f>
        <v>1</v>
      </c>
      <c r="I258">
        <f>tblPlayers[minutes]</f>
        <v>16</v>
      </c>
      <c r="J258" s="2">
        <f>Table8[[#This Row],[Minutes]]/90</f>
        <v>0.17777777777777778</v>
      </c>
      <c r="K258" s="5">
        <f>IFERROR(Z258/(FIXTURE_ANALYSIS!$B$1-1),0)</f>
        <v>0</v>
      </c>
      <c r="L258">
        <f>tblPlayers[total_points]</f>
        <v>7</v>
      </c>
      <c r="M258">
        <f>tblPlayers[points_per_game]</f>
        <v>7</v>
      </c>
      <c r="N258">
        <f>tblPlayers[form]</f>
        <v>7</v>
      </c>
      <c r="O258">
        <f>tblPlayers[expected_goals]</f>
        <v>0.15</v>
      </c>
      <c r="P258">
        <f>tblPlayers[expected_assists]</f>
        <v>0</v>
      </c>
      <c r="Q258">
        <f>tblPlayers[expected_goal_involvements]</f>
        <v>0.15</v>
      </c>
      <c r="R258" s="2">
        <f t="shared" ref="R258:R321" si="100">IF(I258=0,0,L258/I258*90)</f>
        <v>39.375</v>
      </c>
      <c r="S258" s="5">
        <f t="shared" ref="S258:S321" si="101">IF(I258=0,0,O258/I258*90)</f>
        <v>0.84375</v>
      </c>
      <c r="T258" s="5">
        <f t="shared" ref="T258:T321" si="102">IF(I258=0,0,P258/I258*90)</f>
        <v>0</v>
      </c>
      <c r="U258" s="5">
        <f t="shared" ref="U258:U321" si="103">IF(I258=0,0,Q258/I258*90)</f>
        <v>0.84375</v>
      </c>
      <c r="V258" s="3">
        <f t="shared" ref="V258:V321" si="104">IF(E258=0,0,L258/E258)</f>
        <v>1.5555555555555556</v>
      </c>
      <c r="W258" s="5">
        <f t="shared" ref="W258:W321" si="105">IF(E258=0,0,Q258/E258)</f>
        <v>3.3333333333333333E-2</v>
      </c>
      <c r="X258" s="5">
        <f>IFERROR(IF(OR($B258="MID",$B258="FWD"),INDEX(FIXTURE_ANALYSIS!$Q:$Q,MATCH($D258,FIXTURE_ANALYSIS!$A:$A,0)),INDEX(FIXTURE_ANALYSIS!$R:$R,MATCH($D258,FIXTURE_ANALYSIS!$A:$A,0))),1)</f>
        <v>0.8321125967628431</v>
      </c>
      <c r="Y258" s="5">
        <f t="shared" ref="Y258:Y321" si="106">X258</f>
        <v>0.8321125967628431</v>
      </c>
      <c r="Z258" s="8">
        <f>INDEX(FPL_Raw_Data!$T:$T,MATCH(A258,FPL_Raw_Data!$AA:$AA,0))</f>
        <v>0</v>
      </c>
      <c r="AA258" s="8">
        <f>INDEX(FPL_Raw_Data!$S:$S,MATCH(A258,FPL_Raw_Data!$AA:$AA,0))</f>
        <v>0</v>
      </c>
      <c r="AB258" s="2">
        <f t="shared" ref="AB258:AB321" si="107">IF(B258="DEF",MIN(AA258/10,1),IF(OR(B258="MID",B258="FWD"),MIN(AA258/12,1),0))</f>
        <v>0</v>
      </c>
      <c r="AC258" s="2">
        <f>INDEX(FPL_Raw_Data!$Q:$Q,MATCH(A258,FPL_Raw_Data!$AA:$AA,0))</f>
        <v>0</v>
      </c>
      <c r="AD258" s="8">
        <f>INDEX(FPL_Raw_Data!$R:$R,MATCH(A258,FPL_Raw_Data!$AA:$AA,0))</f>
        <v>20</v>
      </c>
      <c r="AE258" s="8">
        <f>INDEX(FPL_Raw_Data!$N:$N,MATCH(A258,FPL_Raw_Data!$AA:$AA,0))</f>
        <v>0</v>
      </c>
      <c r="AF258" s="8">
        <f>INDEX(FPL_Raw_Data!$L:$L,MATCH(A258,FPL_Raw_Data!$AA:$AA,0))</f>
        <v>1</v>
      </c>
      <c r="AG258" s="2">
        <f>INDEX(FPL_Raw_Data!$M:$M,MATCH(A258,FPL_Raw_Data!$AA:$AA,0))</f>
        <v>0</v>
      </c>
      <c r="AH258" s="2">
        <f t="shared" ref="AH258:AH321" si="108">IF(B258="GK",S258*10,IF(B258="DEF",S258*6,IF(B258="MID",S258*5,S258*4)))</f>
        <v>5.0625</v>
      </c>
      <c r="AI258" s="2">
        <f t="shared" ref="AI258:AI321" si="109">T258*3</f>
        <v>0</v>
      </c>
      <c r="AJ258" s="2">
        <f t="shared" ref="AJ258:AJ321" si="110">K258*2</f>
        <v>0</v>
      </c>
      <c r="AK258" s="2">
        <f t="shared" ref="AK258:AK321" si="111">AB258*2</f>
        <v>0</v>
      </c>
      <c r="AL258" s="2">
        <f t="shared" ref="AL258:AL321" si="112">IFERROR(AE258/Z258,0)</f>
        <v>0</v>
      </c>
      <c r="AM258" s="2">
        <f t="shared" ref="AM258:AM321" si="113">IF(OR(B258="GK",B258="DEF"),AL258*4,IF(B258="MID",AL258*1,0))</f>
        <v>0</v>
      </c>
      <c r="AN258" s="2">
        <f t="shared" ref="AN258:AN321" si="114">IFERROR(AC258/Z258,0)</f>
        <v>0</v>
      </c>
      <c r="AO258" s="3">
        <f t="shared" ref="AO258:AO321" si="115">IFERROR(_xlfn.PERCENTRANK.INC($R$2:$R$700,R258)*100,0)</f>
        <v>97.399999999999991</v>
      </c>
      <c r="AP258">
        <f t="shared" ref="AP258:AP321" si="116">IFERROR(_xlfn.PERCENTRANK.INC($U$2:$U$700,U258)*100,0)</f>
        <v>96.6</v>
      </c>
      <c r="AQ258">
        <f t="shared" ref="AQ258:AQ321" si="117">IFERROR(_xlfn.PERCENTRANK.INC($V$2:$V$700,V258)*100,0)</f>
        <v>79.600000000000009</v>
      </c>
      <c r="AR258">
        <f t="shared" ref="AR258:AR321" si="118">IFERROR(_xlfn.PERCENTRANK.INC($W$2:$W$700,W258)*100,0)</f>
        <v>71.2</v>
      </c>
      <c r="AS258" s="2">
        <f t="shared" ref="AS258:AS321" si="119">K258*100</f>
        <v>0</v>
      </c>
      <c r="AT258" s="2">
        <f>IFERROR(INDEX(Player_Model!$BC$2:$BC$596,MATCH($A258,Player_Model!$A$2:$A$596,0)),0)</f>
        <v>-1.1094834623504575</v>
      </c>
      <c r="AU258" s="2">
        <f>Table8[[#This Row],[Model Expected Points]]*Table8[[#This Row],[Fixture Adjustment]]</f>
        <v>-0.92321516492186928</v>
      </c>
      <c r="AV258" s="2">
        <f>Table8[[#This Row],[Fixture Adjusted Points / 90]]/Table8[[#This Row],[Price]]</f>
        <v>-0.20515892553819318</v>
      </c>
      <c r="AW258">
        <f t="shared" ref="AW258:AW321" si="120">IF(OR(B258="MID",B258="FWD"),AVERAGE(AO258,AP258),IF(B258="DEF",AP258,0))</f>
        <v>96.6</v>
      </c>
      <c r="AX258">
        <f t="shared" ref="AX258:AX321" si="121">IF(B258="GK",AVERAGE(AS258,X258),IF(B258="DEF",AVERAGE(AB258,X258),IF(B258="MID",AB258,0)))</f>
        <v>0.41605629838142155</v>
      </c>
      <c r="AY258" s="2">
        <f t="shared" ref="AY258:AY321" si="122">AS258</f>
        <v>0</v>
      </c>
      <c r="AZ258" s="5">
        <f t="shared" ref="AZ258:AZ321" si="123">X258</f>
        <v>0.8321125967628431</v>
      </c>
      <c r="BA258">
        <f>Table8[[#This Row],[Model Score2]]</f>
        <v>-1.1094834623504575</v>
      </c>
      <c r="BB258">
        <f>IFERROR(INDEX(Player_Model!$BG$2:$BG$596,MATCH($A258,Player_Model!$A$2:$A$596,0)),"")</f>
        <v>192</v>
      </c>
      <c r="BC258" t="str">
        <f t="shared" ref="BC258:BC321" si="124">IF(BB258=1,"TOP PICK",IF(BB258&lt;=5,"STRONG PICK",IF(BB258&lt;=10,"CONSIDER","AVOID")))</f>
        <v>AVOID</v>
      </c>
      <c r="BD258">
        <f>IF(H258=1,Table8[[#This Row],[Model Score]],-10000)</f>
        <v>-1.1094834623504575</v>
      </c>
      <c r="BE258">
        <f>IFERROR(INDEX(Player_Model!$BF$2:$BF$596,MATCH($A258,Player_Model!$A$2:$A$596,0)),"")</f>
        <v>591</v>
      </c>
      <c r="BF258">
        <f>IFERROR(INDEX(Player_Model!$BG$2:$BG$596,MATCH($A258,Player_Model!$A$2:$A$596,0)),"")</f>
        <v>192</v>
      </c>
      <c r="BG258">
        <f>IFERROR(INDEX(Player_Model!$BE$2:$BE$596,MATCH($A258,Player_Model!$A$2:$A$596,0)),0)</f>
        <v>-1.1094834623504575</v>
      </c>
    </row>
    <row r="259" spans="1:59" x14ac:dyDescent="0.25">
      <c r="A259" t="str">
        <f>tblPlayers[first_name]&amp;" "&amp;tblPlayers[second_name]</f>
        <v>Quinten Timber</v>
      </c>
      <c r="B259" t="str">
        <f>_xlfn.SWITCH(tblPlayers[element_type],1,"GK",2,"DEF",3,"MID",4,"FWD")</f>
        <v>MID</v>
      </c>
      <c r="C259">
        <f>tblPlayers[team]</f>
        <v>8</v>
      </c>
      <c r="D259" t="str">
        <f>INDEX(tblTeams[Column1.short_name],MATCH(C259,tblTeams[Column1.id],0))</f>
        <v>CRY</v>
      </c>
      <c r="E259" s="4">
        <f>INDEX(FPL_Raw_Data!$F:$F,MATCH(A259,FPL_Raw_Data!$AA:$AA,0))/10</f>
        <v>5</v>
      </c>
      <c r="F259" s="4" t="str">
        <f>tblPlayers[[#This Row],[status]]</f>
        <v>a</v>
      </c>
      <c r="G259" s="4" t="b">
        <f>tblPlayers[[#This Row],[can_select]]</f>
        <v>1</v>
      </c>
      <c r="H259">
        <f>IF(AND(Table8[[#This Row],[Availability Status]]="a",Table8[[#This Row],[Can Select]]=TRUE),1,0)</f>
        <v>1</v>
      </c>
      <c r="I259">
        <f>tblPlayers[minutes]</f>
        <v>73</v>
      </c>
      <c r="J259" s="2">
        <f>Table8[[#This Row],[Minutes]]/90</f>
        <v>0.81111111111111112</v>
      </c>
      <c r="K259" s="5">
        <f>IFERROR(Z259/(FIXTURE_ANALYSIS!$B$1-1),0)</f>
        <v>0.33333333333333331</v>
      </c>
      <c r="L259">
        <f>tblPlayers[total_points]</f>
        <v>2</v>
      </c>
      <c r="M259">
        <f>tblPlayers[points_per_game]</f>
        <v>2</v>
      </c>
      <c r="N259">
        <f>tblPlayers[form]</f>
        <v>2</v>
      </c>
      <c r="O259">
        <f>tblPlayers[expected_goals]</f>
        <v>0.02</v>
      </c>
      <c r="P259">
        <f>tblPlayers[expected_assists]</f>
        <v>0</v>
      </c>
      <c r="Q259">
        <f>tblPlayers[expected_goal_involvements]</f>
        <v>0.02</v>
      </c>
      <c r="R259" s="2">
        <f t="shared" si="100"/>
        <v>2.4657534246575343</v>
      </c>
      <c r="S259" s="5">
        <f t="shared" si="101"/>
        <v>2.4657534246575342E-2</v>
      </c>
      <c r="T259" s="5">
        <f t="shared" si="102"/>
        <v>0</v>
      </c>
      <c r="U259" s="5">
        <f t="shared" si="103"/>
        <v>2.4657534246575342E-2</v>
      </c>
      <c r="V259" s="3">
        <f t="shared" si="104"/>
        <v>0.4</v>
      </c>
      <c r="W259" s="5">
        <f t="shared" si="105"/>
        <v>4.0000000000000001E-3</v>
      </c>
      <c r="X259" s="5">
        <f>IFERROR(IF(OR($B259="MID",$B259="FWD"),INDEX(FIXTURE_ANALYSIS!$Q:$Q,MATCH($D259,FIXTURE_ANALYSIS!$A:$A,0)),INDEX(FIXTURE_ANALYSIS!$R:$R,MATCH($D259,FIXTURE_ANALYSIS!$A:$A,0))),1)</f>
        <v>0.9782093425605537</v>
      </c>
      <c r="Y259" s="5">
        <f t="shared" si="106"/>
        <v>0.9782093425605537</v>
      </c>
      <c r="Z259" s="8">
        <f>INDEX(FPL_Raw_Data!$T:$T,MATCH(A259,FPL_Raw_Data!$AA:$AA,0))</f>
        <v>1</v>
      </c>
      <c r="AA259" s="8">
        <f>INDEX(FPL_Raw_Data!$S:$S,MATCH(A259,FPL_Raw_Data!$AA:$AA,0))</f>
        <v>6</v>
      </c>
      <c r="AB259" s="2">
        <f t="shared" si="107"/>
        <v>0.5</v>
      </c>
      <c r="AC259" s="2">
        <f>INDEX(FPL_Raw_Data!$Q:$Q,MATCH(A259,FPL_Raw_Data!$AA:$AA,0))</f>
        <v>0</v>
      </c>
      <c r="AD259" s="8">
        <f>INDEX(FPL_Raw_Data!$R:$R,MATCH(A259,FPL_Raw_Data!$AA:$AA,0))</f>
        <v>8</v>
      </c>
      <c r="AE259" s="8">
        <f>INDEX(FPL_Raw_Data!$N:$N,MATCH(A259,FPL_Raw_Data!$AA:$AA,0))</f>
        <v>0</v>
      </c>
      <c r="AF259" s="8">
        <f>INDEX(FPL_Raw_Data!$L:$L,MATCH(A259,FPL_Raw_Data!$AA:$AA,0))</f>
        <v>0</v>
      </c>
      <c r="AG259" s="2">
        <f>INDEX(FPL_Raw_Data!$M:$M,MATCH(A259,FPL_Raw_Data!$AA:$AA,0))</f>
        <v>0</v>
      </c>
      <c r="AH259" s="2">
        <f t="shared" si="108"/>
        <v>0.12328767123287671</v>
      </c>
      <c r="AI259" s="2">
        <f t="shared" si="109"/>
        <v>0</v>
      </c>
      <c r="AJ259" s="2">
        <f t="shared" si="110"/>
        <v>0.66666666666666663</v>
      </c>
      <c r="AK259" s="2">
        <f t="shared" si="111"/>
        <v>1</v>
      </c>
      <c r="AL259" s="2">
        <f t="shared" si="112"/>
        <v>0</v>
      </c>
      <c r="AM259" s="2">
        <f t="shared" si="113"/>
        <v>0</v>
      </c>
      <c r="AN259" s="2">
        <f t="shared" si="114"/>
        <v>0</v>
      </c>
      <c r="AO259" s="3">
        <f t="shared" si="115"/>
        <v>52.300000000000004</v>
      </c>
      <c r="AP259">
        <f t="shared" si="116"/>
        <v>56.3</v>
      </c>
      <c r="AQ259">
        <f t="shared" si="117"/>
        <v>53.300000000000004</v>
      </c>
      <c r="AR259">
        <f t="shared" si="118"/>
        <v>54.7</v>
      </c>
      <c r="AS259" s="2">
        <f t="shared" si="119"/>
        <v>33.333333333333329</v>
      </c>
      <c r="AT259" s="2">
        <f>IFERROR(INDEX(Player_Model!$BC$2:$BC$596,MATCH($A259,Player_Model!$A$2:$A$596,0)),0)</f>
        <v>3.2830313551689811</v>
      </c>
      <c r="AU259" s="2">
        <f>Table8[[#This Row],[Model Expected Points]]*Table8[[#This Row],[Fixture Adjustment]]</f>
        <v>3.2114919435455329</v>
      </c>
      <c r="AV259" s="2">
        <f>Table8[[#This Row],[Fixture Adjusted Points / 90]]/Table8[[#This Row],[Price]]</f>
        <v>0.6422983887091066</v>
      </c>
      <c r="AW259">
        <f t="shared" si="120"/>
        <v>54.3</v>
      </c>
      <c r="AX259">
        <f t="shared" si="121"/>
        <v>0.5</v>
      </c>
      <c r="AY259" s="2">
        <f t="shared" si="122"/>
        <v>33.333333333333329</v>
      </c>
      <c r="AZ259" s="5">
        <f t="shared" si="123"/>
        <v>0.9782093425605537</v>
      </c>
      <c r="BA259">
        <f>Table8[[#This Row],[Model Score2]]</f>
        <v>3.2830313551689811</v>
      </c>
      <c r="BB259">
        <f>IFERROR(INDEX(Player_Model!$BG$2:$BG$596,MATCH($A259,Player_Model!$A$2:$A$596,0)),"")</f>
        <v>97</v>
      </c>
      <c r="BC259" t="str">
        <f t="shared" si="124"/>
        <v>AVOID</v>
      </c>
      <c r="BD259">
        <f>IF(H259=1,Table8[[#This Row],[Model Score]],-10000)</f>
        <v>3.2830313551689811</v>
      </c>
      <c r="BE259">
        <f>IFERROR(INDEX(Player_Model!$BF$2:$BF$596,MATCH($A259,Player_Model!$A$2:$A$596,0)),"")</f>
        <v>187</v>
      </c>
      <c r="BF259">
        <f>IFERROR(INDEX(Player_Model!$BG$2:$BG$596,MATCH($A259,Player_Model!$A$2:$A$596,0)),"")</f>
        <v>97</v>
      </c>
      <c r="BG259">
        <f>IFERROR(INDEX(Player_Model!$BE$2:$BE$596,MATCH($A259,Player_Model!$A$2:$A$596,0)),0)</f>
        <v>3.2830313551689811</v>
      </c>
    </row>
    <row r="260" spans="1:59" x14ac:dyDescent="0.25">
      <c r="A260" t="str">
        <f>tblPlayers[first_name]&amp;" "&amp;tblPlayers[second_name]</f>
        <v>Darío Osorio</v>
      </c>
      <c r="B260" t="str">
        <f>_xlfn.SWITCH(tblPlayers[element_type],1,"GK",2,"DEF",3,"MID",4,"FWD")</f>
        <v>MID</v>
      </c>
      <c r="C260">
        <f>tblPlayers[team]</f>
        <v>8</v>
      </c>
      <c r="D260" t="str">
        <f>INDEX(tblTeams[Column1.short_name],MATCH(C260,tblTeams[Column1.id],0))</f>
        <v>CRY</v>
      </c>
      <c r="E260" s="4">
        <f>INDEX(FPL_Raw_Data!$F:$F,MATCH(A260,FPL_Raw_Data!$AA:$AA,0))/10</f>
        <v>5.5</v>
      </c>
      <c r="F260" s="4" t="str">
        <f>tblPlayers[[#This Row],[status]]</f>
        <v>a</v>
      </c>
      <c r="G260" s="4" t="b">
        <f>tblPlayers[[#This Row],[can_select]]</f>
        <v>1</v>
      </c>
      <c r="H260">
        <f>IF(AND(Table8[[#This Row],[Availability Status]]="a",Table8[[#This Row],[Can Select]]=TRUE),1,0)</f>
        <v>1</v>
      </c>
      <c r="I260">
        <f>tblPlayers[minutes]</f>
        <v>1</v>
      </c>
      <c r="J260" s="2">
        <f>Table8[[#This Row],[Minutes]]/90</f>
        <v>1.1111111111111112E-2</v>
      </c>
      <c r="K260" s="5">
        <f>IFERROR(Z260/(FIXTURE_ANALYSIS!$B$1-1),0)</f>
        <v>0</v>
      </c>
      <c r="L260">
        <f>tblPlayers[total_points]</f>
        <v>1</v>
      </c>
      <c r="M260">
        <f>tblPlayers[points_per_game]</f>
        <v>1</v>
      </c>
      <c r="N260">
        <f>tblPlayers[form]</f>
        <v>1</v>
      </c>
      <c r="O260">
        <f>tblPlayers[expected_goals]</f>
        <v>0</v>
      </c>
      <c r="P260">
        <f>tblPlayers[expected_assists]</f>
        <v>0</v>
      </c>
      <c r="Q260">
        <f>tblPlayers[expected_goal_involvements]</f>
        <v>0</v>
      </c>
      <c r="R260" s="2">
        <f t="shared" si="100"/>
        <v>90</v>
      </c>
      <c r="S260" s="5">
        <f t="shared" si="101"/>
        <v>0</v>
      </c>
      <c r="T260" s="5">
        <f t="shared" si="102"/>
        <v>0</v>
      </c>
      <c r="U260" s="5">
        <f t="shared" si="103"/>
        <v>0</v>
      </c>
      <c r="V260" s="3">
        <f t="shared" si="104"/>
        <v>0.18181818181818182</v>
      </c>
      <c r="W260" s="5">
        <f t="shared" si="105"/>
        <v>0</v>
      </c>
      <c r="X260" s="5">
        <f>IFERROR(IF(OR($B260="MID",$B260="FWD"),INDEX(FIXTURE_ANALYSIS!$Q:$Q,MATCH($D260,FIXTURE_ANALYSIS!$A:$A,0)),INDEX(FIXTURE_ANALYSIS!$R:$R,MATCH($D260,FIXTURE_ANALYSIS!$A:$A,0))),1)</f>
        <v>0.9782093425605537</v>
      </c>
      <c r="Y260" s="5">
        <f t="shared" si="106"/>
        <v>0.9782093425605537</v>
      </c>
      <c r="Z260" s="8">
        <f>INDEX(FPL_Raw_Data!$T:$T,MATCH(A260,FPL_Raw_Data!$AA:$AA,0))</f>
        <v>0</v>
      </c>
      <c r="AA260" s="8">
        <f>INDEX(FPL_Raw_Data!$S:$S,MATCH(A260,FPL_Raw_Data!$AA:$AA,0))</f>
        <v>1</v>
      </c>
      <c r="AB260" s="2">
        <f t="shared" si="107"/>
        <v>8.3333333333333329E-2</v>
      </c>
      <c r="AC260" s="2">
        <f>INDEX(FPL_Raw_Data!$Q:$Q,MATCH(A260,FPL_Raw_Data!$AA:$AA,0))</f>
        <v>0</v>
      </c>
      <c r="AD260" s="8">
        <f>INDEX(FPL_Raw_Data!$R:$R,MATCH(A260,FPL_Raw_Data!$AA:$AA,0))</f>
        <v>2</v>
      </c>
      <c r="AE260" s="8">
        <f>INDEX(FPL_Raw_Data!$N:$N,MATCH(A260,FPL_Raw_Data!$AA:$AA,0))</f>
        <v>0</v>
      </c>
      <c r="AF260" s="8">
        <f>INDEX(FPL_Raw_Data!$L:$L,MATCH(A260,FPL_Raw_Data!$AA:$AA,0))</f>
        <v>0</v>
      </c>
      <c r="AG260" s="2">
        <f>INDEX(FPL_Raw_Data!$M:$M,MATCH(A260,FPL_Raw_Data!$AA:$AA,0))</f>
        <v>0</v>
      </c>
      <c r="AH260" s="2">
        <f t="shared" si="108"/>
        <v>0</v>
      </c>
      <c r="AI260" s="2">
        <f t="shared" si="109"/>
        <v>0</v>
      </c>
      <c r="AJ260" s="2">
        <f t="shared" si="110"/>
        <v>0</v>
      </c>
      <c r="AK260" s="2">
        <f t="shared" si="111"/>
        <v>0.16666666666666666</v>
      </c>
      <c r="AL260" s="2">
        <f t="shared" si="112"/>
        <v>0</v>
      </c>
      <c r="AM260" s="2">
        <f t="shared" si="113"/>
        <v>0</v>
      </c>
      <c r="AN260" s="2">
        <f t="shared" si="114"/>
        <v>0</v>
      </c>
      <c r="AO260" s="3">
        <f t="shared" si="115"/>
        <v>98.1</v>
      </c>
      <c r="AP260">
        <f t="shared" si="116"/>
        <v>0</v>
      </c>
      <c r="AQ260">
        <f t="shared" si="117"/>
        <v>42.699999999999996</v>
      </c>
      <c r="AR260">
        <f t="shared" si="118"/>
        <v>0</v>
      </c>
      <c r="AS260" s="2">
        <f t="shared" si="119"/>
        <v>0</v>
      </c>
      <c r="AT260" s="2">
        <f>IFERROR(INDEX(Player_Model!$BC$2:$BC$596,MATCH($A260,Player_Model!$A$2:$A$596,0)),0)</f>
        <v>0</v>
      </c>
      <c r="AU260" s="2">
        <f>Table8[[#This Row],[Model Expected Points]]*Table8[[#This Row],[Fixture Adjustment]]</f>
        <v>0</v>
      </c>
      <c r="AV260" s="2">
        <f>Table8[[#This Row],[Fixture Adjusted Points / 90]]/Table8[[#This Row],[Price]]</f>
        <v>0</v>
      </c>
      <c r="AW260">
        <f t="shared" si="120"/>
        <v>49.05</v>
      </c>
      <c r="AX260">
        <f t="shared" si="121"/>
        <v>8.3333333333333329E-2</v>
      </c>
      <c r="AY260" s="2">
        <f t="shared" si="122"/>
        <v>0</v>
      </c>
      <c r="AZ260" s="5">
        <f t="shared" si="123"/>
        <v>0.9782093425605537</v>
      </c>
      <c r="BA260">
        <f>Table8[[#This Row],[Model Score2]]</f>
        <v>0</v>
      </c>
      <c r="BB260">
        <f>IFERROR(INDEX(Player_Model!$BG$2:$BG$596,MATCH($A260,Player_Model!$A$2:$A$596,0)),"")</f>
        <v>179</v>
      </c>
      <c r="BC260" t="str">
        <f t="shared" si="124"/>
        <v>AVOID</v>
      </c>
      <c r="BD260">
        <f>IF(H260=1,Table8[[#This Row],[Model Score]],-10000)</f>
        <v>0</v>
      </c>
      <c r="BE260">
        <f>IFERROR(INDEX(Player_Model!$BF$2:$BF$596,MATCH($A260,Player_Model!$A$2:$A$596,0)),"")</f>
        <v>253</v>
      </c>
      <c r="BF260">
        <f>IFERROR(INDEX(Player_Model!$BG$2:$BG$596,MATCH($A260,Player_Model!$A$2:$A$596,0)),"")</f>
        <v>179</v>
      </c>
      <c r="BG260">
        <f>IFERROR(INDEX(Player_Model!$BE$2:$BE$596,MATCH($A260,Player_Model!$A$2:$A$596,0)),0)</f>
        <v>0</v>
      </c>
    </row>
    <row r="261" spans="1:59" x14ac:dyDescent="0.25">
      <c r="A261" t="str">
        <f>tblPlayers[first_name]&amp;" "&amp;tblPlayers[second_name]</f>
        <v>Christian Nørgaard</v>
      </c>
      <c r="B261" t="str">
        <f>_xlfn.SWITCH(tblPlayers[element_type],1,"GK",2,"DEF",3,"MID",4,"FWD")</f>
        <v>MID</v>
      </c>
      <c r="C261">
        <f>tblPlayers[team]</f>
        <v>9</v>
      </c>
      <c r="D261" t="str">
        <f>INDEX(tblTeams[Column1.short_name],MATCH(C261,tblTeams[Column1.id],0))</f>
        <v>EVE</v>
      </c>
      <c r="E261" s="4">
        <f>INDEX(FPL_Raw_Data!$F:$F,MATCH(A261,FPL_Raw_Data!$AA:$AA,0))/10</f>
        <v>4.9000000000000004</v>
      </c>
      <c r="F261" s="4" t="str">
        <f>tblPlayers[[#This Row],[status]]</f>
        <v>i</v>
      </c>
      <c r="G261" s="4" t="b">
        <f>tblPlayers[[#This Row],[can_select]]</f>
        <v>1</v>
      </c>
      <c r="H261">
        <f>IF(AND(Table8[[#This Row],[Availability Status]]="a",Table8[[#This Row],[Can Select]]=TRUE),1,0)</f>
        <v>0</v>
      </c>
      <c r="I261">
        <f>tblPlayers[minutes]</f>
        <v>0</v>
      </c>
      <c r="J261" s="2">
        <f>Table8[[#This Row],[Minutes]]/90</f>
        <v>0</v>
      </c>
      <c r="K261" s="5">
        <f>IFERROR(Z261/(FIXTURE_ANALYSIS!$B$1-1),0)</f>
        <v>0</v>
      </c>
      <c r="L261">
        <f>tblPlayers[total_points]</f>
        <v>0</v>
      </c>
      <c r="M261">
        <f>tblPlayers[points_per_game]</f>
        <v>0</v>
      </c>
      <c r="N261">
        <f>tblPlayers[form]</f>
        <v>0</v>
      </c>
      <c r="O261">
        <f>tblPlayers[expected_goals]</f>
        <v>0</v>
      </c>
      <c r="P261">
        <f>tblPlayers[expected_assists]</f>
        <v>0</v>
      </c>
      <c r="Q261">
        <f>tblPlayers[expected_goal_involvements]</f>
        <v>0</v>
      </c>
      <c r="R261" s="2">
        <f t="shared" si="100"/>
        <v>0</v>
      </c>
      <c r="S261" s="5">
        <f t="shared" si="101"/>
        <v>0</v>
      </c>
      <c r="T261" s="5">
        <f t="shared" si="102"/>
        <v>0</v>
      </c>
      <c r="U261" s="5">
        <f t="shared" si="103"/>
        <v>0</v>
      </c>
      <c r="V261" s="3">
        <f t="shared" si="104"/>
        <v>0</v>
      </c>
      <c r="W261" s="5">
        <f t="shared" si="105"/>
        <v>0</v>
      </c>
      <c r="X261" s="5">
        <f>IFERROR(IF(OR($B261="MID",$B261="FWD"),INDEX(FIXTURE_ANALYSIS!$Q:$Q,MATCH($D261,FIXTURE_ANALYSIS!$A:$A,0)),INDEX(FIXTURE_ANALYSIS!$R:$R,MATCH($D261,FIXTURE_ANALYSIS!$A:$A,0))),1)</f>
        <v>1.0752768166089965</v>
      </c>
      <c r="Y261" s="5">
        <f t="shared" si="106"/>
        <v>1.0752768166089965</v>
      </c>
      <c r="Z261" s="8">
        <f>INDEX(FPL_Raw_Data!$T:$T,MATCH(A261,FPL_Raw_Data!$AA:$AA,0))</f>
        <v>0</v>
      </c>
      <c r="AA261" s="8">
        <f>INDEX(FPL_Raw_Data!$S:$S,MATCH(A261,FPL_Raw_Data!$AA:$AA,0))</f>
        <v>0</v>
      </c>
      <c r="AB261" s="2">
        <f t="shared" si="107"/>
        <v>0</v>
      </c>
      <c r="AC261" s="2">
        <f>INDEX(FPL_Raw_Data!$Q:$Q,MATCH(A261,FPL_Raw_Data!$AA:$AA,0))</f>
        <v>0</v>
      </c>
      <c r="AD261" s="8">
        <f>INDEX(FPL_Raw_Data!$R:$R,MATCH(A261,FPL_Raw_Data!$AA:$AA,0))</f>
        <v>0</v>
      </c>
      <c r="AE261" s="8">
        <f>INDEX(FPL_Raw_Data!$N:$N,MATCH(A261,FPL_Raw_Data!$AA:$AA,0))</f>
        <v>0</v>
      </c>
      <c r="AF261" s="8">
        <f>INDEX(FPL_Raw_Data!$L:$L,MATCH(A261,FPL_Raw_Data!$AA:$AA,0))</f>
        <v>0</v>
      </c>
      <c r="AG261" s="2">
        <f>INDEX(FPL_Raw_Data!$M:$M,MATCH(A261,FPL_Raw_Data!$AA:$AA,0))</f>
        <v>0</v>
      </c>
      <c r="AH261" s="2">
        <f t="shared" si="108"/>
        <v>0</v>
      </c>
      <c r="AI261" s="2">
        <f t="shared" si="109"/>
        <v>0</v>
      </c>
      <c r="AJ261" s="2">
        <f t="shared" si="110"/>
        <v>0</v>
      </c>
      <c r="AK261" s="2">
        <f t="shared" si="111"/>
        <v>0</v>
      </c>
      <c r="AL261" s="2">
        <f t="shared" si="112"/>
        <v>0</v>
      </c>
      <c r="AM261" s="2">
        <f t="shared" si="113"/>
        <v>0</v>
      </c>
      <c r="AN261" s="2">
        <f t="shared" si="114"/>
        <v>0</v>
      </c>
      <c r="AO261" s="3">
        <f t="shared" si="115"/>
        <v>0.1</v>
      </c>
      <c r="AP261">
        <f t="shared" si="116"/>
        <v>0</v>
      </c>
      <c r="AQ261">
        <f t="shared" si="117"/>
        <v>0.1</v>
      </c>
      <c r="AR261">
        <f t="shared" si="118"/>
        <v>0</v>
      </c>
      <c r="AS261" s="2">
        <f t="shared" si="119"/>
        <v>0</v>
      </c>
      <c r="AT261" s="2">
        <f>IFERROR(INDEX(Player_Model!$BC$2:$BC$596,MATCH($A261,Player_Model!$A$2:$A$596,0)),0)</f>
        <v>0</v>
      </c>
      <c r="AU261" s="2">
        <f>Table8[[#This Row],[Model Expected Points]]*Table8[[#This Row],[Fixture Adjustment]]</f>
        <v>0</v>
      </c>
      <c r="AV261" s="2">
        <f>Table8[[#This Row],[Fixture Adjusted Points / 90]]/Table8[[#This Row],[Price]]</f>
        <v>0</v>
      </c>
      <c r="AW261">
        <f t="shared" si="120"/>
        <v>0.05</v>
      </c>
      <c r="AX261">
        <f t="shared" si="121"/>
        <v>0</v>
      </c>
      <c r="AY261" s="2">
        <f t="shared" si="122"/>
        <v>0</v>
      </c>
      <c r="AZ261" s="5">
        <f t="shared" si="123"/>
        <v>1.0752768166089965</v>
      </c>
      <c r="BA261">
        <f>Table8[[#This Row],[Model Score2]]</f>
        <v>0</v>
      </c>
      <c r="BB261">
        <f>IFERROR(INDEX(Player_Model!$BG$2:$BG$596,MATCH($A261,Player_Model!$A$2:$A$596,0)),"")</f>
        <v>180</v>
      </c>
      <c r="BC261" t="str">
        <f t="shared" si="124"/>
        <v>AVOID</v>
      </c>
      <c r="BD261">
        <f>IF(H261=1,Table8[[#This Row],[Model Score]],-10000)</f>
        <v>-10000</v>
      </c>
      <c r="BE261">
        <f>IFERROR(INDEX(Player_Model!$BF$2:$BF$596,MATCH($A261,Player_Model!$A$2:$A$596,0)),"")</f>
        <v>253</v>
      </c>
      <c r="BF261">
        <f>IFERROR(INDEX(Player_Model!$BG$2:$BG$596,MATCH($A261,Player_Model!$A$2:$A$596,0)),"")</f>
        <v>180</v>
      </c>
      <c r="BG261">
        <f>IFERROR(INDEX(Player_Model!$BE$2:$BE$596,MATCH($A261,Player_Model!$A$2:$A$596,0)),0)</f>
        <v>0</v>
      </c>
    </row>
    <row r="262" spans="1:59" x14ac:dyDescent="0.25">
      <c r="A262" t="str">
        <f>tblPlayers[first_name]&amp;" "&amp;tblPlayers[second_name]</f>
        <v>Brennan Johnson</v>
      </c>
      <c r="B262" t="str">
        <f>_xlfn.SWITCH(tblPlayers[element_type],1,"GK",2,"DEF",3,"MID",4,"FWD")</f>
        <v>MID</v>
      </c>
      <c r="C262">
        <f>tblPlayers[team]</f>
        <v>9</v>
      </c>
      <c r="D262" t="str">
        <f>INDEX(tblTeams[Column1.short_name],MATCH(C262,tblTeams[Column1.id],0))</f>
        <v>EVE</v>
      </c>
      <c r="E262" s="4">
        <f>INDEX(FPL_Raw_Data!$F:$F,MATCH(A262,FPL_Raw_Data!$AA:$AA,0))/10</f>
        <v>5.9</v>
      </c>
      <c r="F262" s="4" t="str">
        <f>tblPlayers[[#This Row],[status]]</f>
        <v>a</v>
      </c>
      <c r="G262" s="4" t="b">
        <f>tblPlayers[[#This Row],[can_select]]</f>
        <v>1</v>
      </c>
      <c r="H262">
        <f>IF(AND(Table8[[#This Row],[Availability Status]]="a",Table8[[#This Row],[Can Select]]=TRUE),1,0)</f>
        <v>1</v>
      </c>
      <c r="I262">
        <f>tblPlayers[minutes]</f>
        <v>99</v>
      </c>
      <c r="J262" s="2">
        <f>Table8[[#This Row],[Minutes]]/90</f>
        <v>1.1000000000000001</v>
      </c>
      <c r="K262" s="5">
        <f>IFERROR(Z262/(FIXTURE_ANALYSIS!$B$1-1),0)</f>
        <v>0.33333333333333331</v>
      </c>
      <c r="L262">
        <f>tblPlayers[total_points]</f>
        <v>3</v>
      </c>
      <c r="M262">
        <f>tblPlayers[points_per_game]</f>
        <v>1</v>
      </c>
      <c r="N262">
        <f>tblPlayers[form]</f>
        <v>1</v>
      </c>
      <c r="O262">
        <f>tblPlayers[expected_goals]</f>
        <v>0.05</v>
      </c>
      <c r="P262">
        <f>tblPlayers[expected_assists]</f>
        <v>0.04</v>
      </c>
      <c r="Q262">
        <f>tblPlayers[expected_goal_involvements]</f>
        <v>0.09</v>
      </c>
      <c r="R262" s="2">
        <f t="shared" si="100"/>
        <v>2.7272727272727275</v>
      </c>
      <c r="S262" s="5">
        <f t="shared" si="101"/>
        <v>4.5454545454545456E-2</v>
      </c>
      <c r="T262" s="5">
        <f t="shared" si="102"/>
        <v>3.6363636363636362E-2</v>
      </c>
      <c r="U262" s="5">
        <f t="shared" si="103"/>
        <v>8.1818181818181818E-2</v>
      </c>
      <c r="V262" s="3">
        <f t="shared" si="104"/>
        <v>0.50847457627118642</v>
      </c>
      <c r="W262" s="5">
        <f t="shared" si="105"/>
        <v>1.5254237288135592E-2</v>
      </c>
      <c r="X262" s="5">
        <f>IFERROR(IF(OR($B262="MID",$B262="FWD"),INDEX(FIXTURE_ANALYSIS!$Q:$Q,MATCH($D262,FIXTURE_ANALYSIS!$A:$A,0)),INDEX(FIXTURE_ANALYSIS!$R:$R,MATCH($D262,FIXTURE_ANALYSIS!$A:$A,0))),1)</f>
        <v>1.0752768166089965</v>
      </c>
      <c r="Y262" s="5">
        <f t="shared" si="106"/>
        <v>1.0752768166089965</v>
      </c>
      <c r="Z262" s="8">
        <f>INDEX(FPL_Raw_Data!$T:$T,MATCH(A262,FPL_Raw_Data!$AA:$AA,0))</f>
        <v>1</v>
      </c>
      <c r="AA262" s="8">
        <f>INDEX(FPL_Raw_Data!$S:$S,MATCH(A262,FPL_Raw_Data!$AA:$AA,0))</f>
        <v>12</v>
      </c>
      <c r="AB262" s="2">
        <f t="shared" si="107"/>
        <v>1</v>
      </c>
      <c r="AC262" s="2">
        <f>INDEX(FPL_Raw_Data!$Q:$Q,MATCH(A262,FPL_Raw_Data!$AA:$AA,0))</f>
        <v>0</v>
      </c>
      <c r="AD262" s="8">
        <f>INDEX(FPL_Raw_Data!$R:$R,MATCH(A262,FPL_Raw_Data!$AA:$AA,0))</f>
        <v>7</v>
      </c>
      <c r="AE262" s="8">
        <f>INDEX(FPL_Raw_Data!$N:$N,MATCH(A262,FPL_Raw_Data!$AA:$AA,0))</f>
        <v>0</v>
      </c>
      <c r="AF262" s="8">
        <f>INDEX(FPL_Raw_Data!$L:$L,MATCH(A262,FPL_Raw_Data!$AA:$AA,0))</f>
        <v>0</v>
      </c>
      <c r="AG262" s="2">
        <f>INDEX(FPL_Raw_Data!$M:$M,MATCH(A262,FPL_Raw_Data!$AA:$AA,0))</f>
        <v>0</v>
      </c>
      <c r="AH262" s="2">
        <f t="shared" si="108"/>
        <v>0.22727272727272729</v>
      </c>
      <c r="AI262" s="2">
        <f t="shared" si="109"/>
        <v>0.10909090909090909</v>
      </c>
      <c r="AJ262" s="2">
        <f t="shared" si="110"/>
        <v>0.66666666666666663</v>
      </c>
      <c r="AK262" s="2">
        <f t="shared" si="111"/>
        <v>2</v>
      </c>
      <c r="AL262" s="2">
        <f t="shared" si="112"/>
        <v>0</v>
      </c>
      <c r="AM262" s="2">
        <f t="shared" si="113"/>
        <v>0</v>
      </c>
      <c r="AN262" s="2">
        <f t="shared" si="114"/>
        <v>0</v>
      </c>
      <c r="AO262" s="3">
        <f t="shared" si="115"/>
        <v>55.2</v>
      </c>
      <c r="AP262">
        <f t="shared" si="116"/>
        <v>65.900000000000006</v>
      </c>
      <c r="AQ262">
        <f t="shared" si="117"/>
        <v>58.699999999999996</v>
      </c>
      <c r="AR262">
        <f t="shared" si="118"/>
        <v>63.1</v>
      </c>
      <c r="AS262" s="2">
        <f t="shared" si="119"/>
        <v>33.333333333333329</v>
      </c>
      <c r="AT262" s="2">
        <f>IFERROR(INDEX(Player_Model!$BC$2:$BC$596,MATCH($A262,Player_Model!$A$2:$A$596,0)),0)</f>
        <v>4.9353695649314195</v>
      </c>
      <c r="AU262" s="2">
        <f>Table8[[#This Row],[Model Expected Points]]*Table8[[#This Row],[Fixture Adjustment]]</f>
        <v>5.3068884745683853</v>
      </c>
      <c r="AV262" s="2">
        <f>Table8[[#This Row],[Fixture Adjusted Points / 90]]/Table8[[#This Row],[Price]]</f>
        <v>0.89947262280820084</v>
      </c>
      <c r="AW262">
        <f t="shared" si="120"/>
        <v>60.550000000000004</v>
      </c>
      <c r="AX262">
        <f t="shared" si="121"/>
        <v>1</v>
      </c>
      <c r="AY262" s="2">
        <f t="shared" si="122"/>
        <v>33.333333333333329</v>
      </c>
      <c r="AZ262" s="5">
        <f t="shared" si="123"/>
        <v>1.0752768166089965</v>
      </c>
      <c r="BA262">
        <f>Table8[[#This Row],[Model Score2]]</f>
        <v>4.9353695649314195</v>
      </c>
      <c r="BB262">
        <f>IFERROR(INDEX(Player_Model!$BG$2:$BG$596,MATCH($A262,Player_Model!$A$2:$A$596,0)),"")</f>
        <v>46</v>
      </c>
      <c r="BC262" t="str">
        <f t="shared" si="124"/>
        <v>AVOID</v>
      </c>
      <c r="BD262">
        <f>IF(H262=1,Table8[[#This Row],[Model Score]],-10000)</f>
        <v>4.9353695649314195</v>
      </c>
      <c r="BE262">
        <f>IFERROR(INDEX(Player_Model!$BF$2:$BF$596,MATCH($A262,Player_Model!$A$2:$A$596,0)),"")</f>
        <v>98</v>
      </c>
      <c r="BF262">
        <f>IFERROR(INDEX(Player_Model!$BG$2:$BG$596,MATCH($A262,Player_Model!$A$2:$A$596,0)),"")</f>
        <v>46</v>
      </c>
      <c r="BG262">
        <f>IFERROR(INDEX(Player_Model!$BE$2:$BE$596,MATCH($A262,Player_Model!$A$2:$A$596,0)),0)</f>
        <v>4.9353695649314195</v>
      </c>
    </row>
    <row r="263" spans="1:59" x14ac:dyDescent="0.25">
      <c r="A263" t="str">
        <f>tblPlayers[first_name]&amp;" "&amp;tblPlayers[second_name]</f>
        <v>Jordan Pickford</v>
      </c>
      <c r="B263" t="str">
        <f>_xlfn.SWITCH(tblPlayers[element_type],1,"GK",2,"DEF",3,"MID",4,"FWD")</f>
        <v>GK</v>
      </c>
      <c r="C263">
        <f>tblPlayers[team]</f>
        <v>9</v>
      </c>
      <c r="D263" t="str">
        <f>INDEX(tblTeams[Column1.short_name],MATCH(C263,tblTeams[Column1.id],0))</f>
        <v>EVE</v>
      </c>
      <c r="E263" s="4">
        <f>INDEX(FPL_Raw_Data!$F:$F,MATCH(A263,FPL_Raw_Data!$AA:$AA,0))/10</f>
        <v>5.5</v>
      </c>
      <c r="F263" s="4" t="str">
        <f>tblPlayers[[#This Row],[status]]</f>
        <v>a</v>
      </c>
      <c r="G263" s="4" t="b">
        <f>tblPlayers[[#This Row],[can_select]]</f>
        <v>1</v>
      </c>
      <c r="H263">
        <f>IF(AND(Table8[[#This Row],[Availability Status]]="a",Table8[[#This Row],[Can Select]]=TRUE),1,0)</f>
        <v>1</v>
      </c>
      <c r="I263">
        <f>tblPlayers[minutes]</f>
        <v>270</v>
      </c>
      <c r="J263" s="2">
        <f>Table8[[#This Row],[Minutes]]/90</f>
        <v>3</v>
      </c>
      <c r="K263" s="5">
        <f>IFERROR(Z263/(FIXTURE_ANALYSIS!$B$1-1),0)</f>
        <v>1</v>
      </c>
      <c r="L263">
        <f>tblPlayers[total_points]</f>
        <v>11</v>
      </c>
      <c r="M263">
        <f>tblPlayers[points_per_game]</f>
        <v>3.7</v>
      </c>
      <c r="N263">
        <f>tblPlayers[form]</f>
        <v>3.7</v>
      </c>
      <c r="O263">
        <f>tblPlayers[expected_goals]</f>
        <v>0</v>
      </c>
      <c r="P263">
        <f>tblPlayers[expected_assists]</f>
        <v>0.02</v>
      </c>
      <c r="Q263">
        <f>tblPlayers[expected_goal_involvements]</f>
        <v>0.02</v>
      </c>
      <c r="R263" s="2">
        <f t="shared" si="100"/>
        <v>3.666666666666667</v>
      </c>
      <c r="S263" s="5">
        <f t="shared" si="101"/>
        <v>0</v>
      </c>
      <c r="T263" s="5">
        <f t="shared" si="102"/>
        <v>6.6666666666666662E-3</v>
      </c>
      <c r="U263" s="5">
        <f t="shared" si="103"/>
        <v>6.6666666666666662E-3</v>
      </c>
      <c r="V263" s="3">
        <f t="shared" si="104"/>
        <v>2</v>
      </c>
      <c r="W263" s="5">
        <f t="shared" si="105"/>
        <v>3.6363636363636364E-3</v>
      </c>
      <c r="X263" s="5">
        <f>IFERROR(IF(OR($B263="MID",$B263="FWD"),INDEX(FIXTURE_ANALYSIS!$Q:$Q,MATCH($D263,FIXTURE_ANALYSIS!$A:$A,0)),INDEX(FIXTURE_ANALYSIS!$R:$R,MATCH($D263,FIXTURE_ANALYSIS!$A:$A,0))),1)</f>
        <v>1.1192513001836562</v>
      </c>
      <c r="Y263" s="5">
        <f t="shared" si="106"/>
        <v>1.1192513001836562</v>
      </c>
      <c r="Z263" s="8">
        <f>INDEX(FPL_Raw_Data!$T:$T,MATCH(A263,FPL_Raw_Data!$AA:$AA,0))</f>
        <v>3</v>
      </c>
      <c r="AA263" s="8">
        <f>INDEX(FPL_Raw_Data!$S:$S,MATCH(A263,FPL_Raw_Data!$AA:$AA,0))</f>
        <v>0</v>
      </c>
      <c r="AB263" s="2">
        <f t="shared" si="107"/>
        <v>0</v>
      </c>
      <c r="AC263" s="2">
        <f>INDEX(FPL_Raw_Data!$Q:$Q,MATCH(A263,FPL_Raw_Data!$AA:$AA,0))</f>
        <v>0</v>
      </c>
      <c r="AD263" s="8">
        <f>INDEX(FPL_Raw_Data!$R:$R,MATCH(A263,FPL_Raw_Data!$AA:$AA,0))</f>
        <v>62</v>
      </c>
      <c r="AE263" s="8">
        <f>INDEX(FPL_Raw_Data!$N:$N,MATCH(A263,FPL_Raw_Data!$AA:$AA,0))</f>
        <v>1</v>
      </c>
      <c r="AF263" s="8">
        <f>INDEX(FPL_Raw_Data!$L:$L,MATCH(A263,FPL_Raw_Data!$AA:$AA,0))</f>
        <v>0</v>
      </c>
      <c r="AG263" s="2">
        <f>INDEX(FPL_Raw_Data!$M:$M,MATCH(A263,FPL_Raw_Data!$AA:$AA,0))</f>
        <v>0</v>
      </c>
      <c r="AH263" s="2">
        <f t="shared" si="108"/>
        <v>0</v>
      </c>
      <c r="AI263" s="2">
        <f t="shared" si="109"/>
        <v>1.9999999999999997E-2</v>
      </c>
      <c r="AJ263" s="2">
        <f t="shared" si="110"/>
        <v>2</v>
      </c>
      <c r="AK263" s="2">
        <f t="shared" si="111"/>
        <v>0</v>
      </c>
      <c r="AL263" s="2">
        <f t="shared" si="112"/>
        <v>0.33333333333333331</v>
      </c>
      <c r="AM263" s="2">
        <f t="shared" si="113"/>
        <v>1.3333333333333333</v>
      </c>
      <c r="AN263" s="2">
        <f t="shared" si="114"/>
        <v>0</v>
      </c>
      <c r="AO263" s="3">
        <f t="shared" si="115"/>
        <v>66.600000000000009</v>
      </c>
      <c r="AP263">
        <f t="shared" si="116"/>
        <v>52.5</v>
      </c>
      <c r="AQ263">
        <f t="shared" si="117"/>
        <v>85.5</v>
      </c>
      <c r="AR263">
        <f t="shared" si="118"/>
        <v>54.2</v>
      </c>
      <c r="AS263" s="2">
        <f t="shared" si="119"/>
        <v>100</v>
      </c>
      <c r="AT263" s="2">
        <f>IFERROR(INDEX(Player_Model!$BC$2:$BC$596,MATCH($A263,Player_Model!$A$2:$A$596,0)),0)</f>
        <v>4.8725152290403999</v>
      </c>
      <c r="AU263" s="2">
        <f>Table8[[#This Row],[Model Expected Points]]*Table8[[#This Row],[Fixture Adjustment]]</f>
        <v>5.4535690052681325</v>
      </c>
      <c r="AV263" s="2">
        <f>Table8[[#This Row],[Fixture Adjusted Points / 90]]/Table8[[#This Row],[Price]]</f>
        <v>0.9915580009578423</v>
      </c>
      <c r="AW263">
        <f t="shared" si="120"/>
        <v>0</v>
      </c>
      <c r="AX263">
        <f t="shared" si="121"/>
        <v>50.559625650091832</v>
      </c>
      <c r="AY263" s="2">
        <f t="shared" si="122"/>
        <v>100</v>
      </c>
      <c r="AZ263" s="5">
        <f t="shared" si="123"/>
        <v>1.1192513001836562</v>
      </c>
      <c r="BA263">
        <f>Table8[[#This Row],[Model Score2]]</f>
        <v>4.8725152290403999</v>
      </c>
      <c r="BB263">
        <f>IFERROR(INDEX(Player_Model!$BG$2:$BG$596,MATCH($A263,Player_Model!$A$2:$A$596,0)),"")</f>
        <v>6</v>
      </c>
      <c r="BC263" t="str">
        <f t="shared" si="124"/>
        <v>CONSIDER</v>
      </c>
      <c r="BD263">
        <f>IF(H263=1,Table8[[#This Row],[Model Score]],-10000)</f>
        <v>4.8725152290403999</v>
      </c>
      <c r="BE263">
        <f>IFERROR(INDEX(Player_Model!$BF$2:$BF$596,MATCH($A263,Player_Model!$A$2:$A$596,0)),"")</f>
        <v>104</v>
      </c>
      <c r="BF263">
        <f>IFERROR(INDEX(Player_Model!$BG$2:$BG$596,MATCH($A263,Player_Model!$A$2:$A$596,0)),"")</f>
        <v>6</v>
      </c>
      <c r="BG263">
        <f>IFERROR(INDEX(Player_Model!$BE$2:$BE$596,MATCH($A263,Player_Model!$A$2:$A$596,0)),0)</f>
        <v>4.8725152290403999</v>
      </c>
    </row>
    <row r="264" spans="1:59" x14ac:dyDescent="0.25">
      <c r="A264" t="str">
        <f>tblPlayers[first_name]&amp;" "&amp;tblPlayers[second_name]</f>
        <v>Mark Travers</v>
      </c>
      <c r="B264" t="str">
        <f>_xlfn.SWITCH(tblPlayers[element_type],1,"GK",2,"DEF",3,"MID",4,"FWD")</f>
        <v>GK</v>
      </c>
      <c r="C264">
        <f>tblPlayers[team]</f>
        <v>9</v>
      </c>
      <c r="D264" t="str">
        <f>INDEX(tblTeams[Column1.short_name],MATCH(C264,tblTeams[Column1.id],0))</f>
        <v>EVE</v>
      </c>
      <c r="E264" s="4">
        <f>INDEX(FPL_Raw_Data!$F:$F,MATCH(A264,FPL_Raw_Data!$AA:$AA,0))/10</f>
        <v>5</v>
      </c>
      <c r="F264" s="4" t="str">
        <f>tblPlayers[[#This Row],[status]]</f>
        <v>a</v>
      </c>
      <c r="G264" s="4" t="b">
        <f>tblPlayers[[#This Row],[can_select]]</f>
        <v>1</v>
      </c>
      <c r="H264">
        <f>IF(AND(Table8[[#This Row],[Availability Status]]="a",Table8[[#This Row],[Can Select]]=TRUE),1,0)</f>
        <v>1</v>
      </c>
      <c r="I264">
        <f>tblPlayers[minutes]</f>
        <v>0</v>
      </c>
      <c r="J264" s="2">
        <f>Table8[[#This Row],[Minutes]]/90</f>
        <v>0</v>
      </c>
      <c r="K264" s="5">
        <f>IFERROR(Z264/(FIXTURE_ANALYSIS!$B$1-1),0)</f>
        <v>0</v>
      </c>
      <c r="L264">
        <f>tblPlayers[total_points]</f>
        <v>0</v>
      </c>
      <c r="M264">
        <f>tblPlayers[points_per_game]</f>
        <v>0</v>
      </c>
      <c r="N264">
        <f>tblPlayers[form]</f>
        <v>0</v>
      </c>
      <c r="O264">
        <f>tblPlayers[expected_goals]</f>
        <v>0</v>
      </c>
      <c r="P264">
        <f>tblPlayers[expected_assists]</f>
        <v>0</v>
      </c>
      <c r="Q264">
        <f>tblPlayers[expected_goal_involvements]</f>
        <v>0</v>
      </c>
      <c r="R264" s="2">
        <f t="shared" si="100"/>
        <v>0</v>
      </c>
      <c r="S264" s="5">
        <f t="shared" si="101"/>
        <v>0</v>
      </c>
      <c r="T264" s="5">
        <f t="shared" si="102"/>
        <v>0</v>
      </c>
      <c r="U264" s="5">
        <f t="shared" si="103"/>
        <v>0</v>
      </c>
      <c r="V264" s="3">
        <f t="shared" si="104"/>
        <v>0</v>
      </c>
      <c r="W264" s="5">
        <f t="shared" si="105"/>
        <v>0</v>
      </c>
      <c r="X264" s="5">
        <f>IFERROR(IF(OR($B264="MID",$B264="FWD"),INDEX(FIXTURE_ANALYSIS!$Q:$Q,MATCH($D264,FIXTURE_ANALYSIS!$A:$A,0)),INDEX(FIXTURE_ANALYSIS!$R:$R,MATCH($D264,FIXTURE_ANALYSIS!$A:$A,0))),1)</f>
        <v>1.1192513001836562</v>
      </c>
      <c r="Y264" s="5">
        <f t="shared" si="106"/>
        <v>1.1192513001836562</v>
      </c>
      <c r="Z264" s="8">
        <f>INDEX(FPL_Raw_Data!$T:$T,MATCH(A264,FPL_Raw_Data!$AA:$AA,0))</f>
        <v>0</v>
      </c>
      <c r="AA264" s="8">
        <f>INDEX(FPL_Raw_Data!$S:$S,MATCH(A264,FPL_Raw_Data!$AA:$AA,0))</f>
        <v>0</v>
      </c>
      <c r="AB264" s="2">
        <f t="shared" si="107"/>
        <v>0</v>
      </c>
      <c r="AC264" s="2">
        <f>INDEX(FPL_Raw_Data!$Q:$Q,MATCH(A264,FPL_Raw_Data!$AA:$AA,0))</f>
        <v>0</v>
      </c>
      <c r="AD264" s="8">
        <f>INDEX(FPL_Raw_Data!$R:$R,MATCH(A264,FPL_Raw_Data!$AA:$AA,0))</f>
        <v>0</v>
      </c>
      <c r="AE264" s="8">
        <f>INDEX(FPL_Raw_Data!$N:$N,MATCH(A264,FPL_Raw_Data!$AA:$AA,0))</f>
        <v>0</v>
      </c>
      <c r="AF264" s="8">
        <f>INDEX(FPL_Raw_Data!$L:$L,MATCH(A264,FPL_Raw_Data!$AA:$AA,0))</f>
        <v>0</v>
      </c>
      <c r="AG264" s="2">
        <f>INDEX(FPL_Raw_Data!$M:$M,MATCH(A264,FPL_Raw_Data!$AA:$AA,0))</f>
        <v>0</v>
      </c>
      <c r="AH264" s="2">
        <f t="shared" si="108"/>
        <v>0</v>
      </c>
      <c r="AI264" s="2">
        <f t="shared" si="109"/>
        <v>0</v>
      </c>
      <c r="AJ264" s="2">
        <f t="shared" si="110"/>
        <v>0</v>
      </c>
      <c r="AK264" s="2">
        <f t="shared" si="111"/>
        <v>0</v>
      </c>
      <c r="AL264" s="2">
        <f t="shared" si="112"/>
        <v>0</v>
      </c>
      <c r="AM264" s="2">
        <f t="shared" si="113"/>
        <v>0</v>
      </c>
      <c r="AN264" s="2">
        <f t="shared" si="114"/>
        <v>0</v>
      </c>
      <c r="AO264" s="3">
        <f t="shared" si="115"/>
        <v>0.1</v>
      </c>
      <c r="AP264">
        <f t="shared" si="116"/>
        <v>0</v>
      </c>
      <c r="AQ264">
        <f t="shared" si="117"/>
        <v>0.1</v>
      </c>
      <c r="AR264">
        <f t="shared" si="118"/>
        <v>0</v>
      </c>
      <c r="AS264" s="2">
        <f t="shared" si="119"/>
        <v>0</v>
      </c>
      <c r="AT264" s="2">
        <f>IFERROR(INDEX(Player_Model!$BC$2:$BC$596,MATCH($A264,Player_Model!$A$2:$A$596,0)),0)</f>
        <v>0</v>
      </c>
      <c r="AU264" s="2">
        <f>Table8[[#This Row],[Model Expected Points]]*Table8[[#This Row],[Fixture Adjustment]]</f>
        <v>0</v>
      </c>
      <c r="AV264" s="2">
        <f>Table8[[#This Row],[Fixture Adjusted Points / 90]]/Table8[[#This Row],[Price]]</f>
        <v>0</v>
      </c>
      <c r="AW264">
        <f t="shared" si="120"/>
        <v>0</v>
      </c>
      <c r="AX264">
        <f t="shared" si="121"/>
        <v>0.55962565009182808</v>
      </c>
      <c r="AY264" s="2">
        <f t="shared" si="122"/>
        <v>0</v>
      </c>
      <c r="AZ264" s="5">
        <f t="shared" si="123"/>
        <v>1.1192513001836562</v>
      </c>
      <c r="BA264">
        <f>Table8[[#This Row],[Model Score2]]</f>
        <v>0</v>
      </c>
      <c r="BB264">
        <f>IFERROR(INDEX(Player_Model!$BG$2:$BG$596,MATCH($A264,Player_Model!$A$2:$A$596,0)),"")</f>
        <v>36</v>
      </c>
      <c r="BC264" t="str">
        <f t="shared" si="124"/>
        <v>AVOID</v>
      </c>
      <c r="BD264">
        <f>IF(H264=1,Table8[[#This Row],[Model Score]],-10000)</f>
        <v>0</v>
      </c>
      <c r="BE264">
        <f>IFERROR(INDEX(Player_Model!$BF$2:$BF$596,MATCH($A264,Player_Model!$A$2:$A$596,0)),"")</f>
        <v>253</v>
      </c>
      <c r="BF264">
        <f>IFERROR(INDEX(Player_Model!$BG$2:$BG$596,MATCH($A264,Player_Model!$A$2:$A$596,0)),"")</f>
        <v>36</v>
      </c>
      <c r="BG264">
        <f>IFERROR(INDEX(Player_Model!$BE$2:$BE$596,MATCH($A264,Player_Model!$A$2:$A$596,0)),0)</f>
        <v>0</v>
      </c>
    </row>
    <row r="265" spans="1:59" x14ac:dyDescent="0.25">
      <c r="A265" t="str">
        <f>tblPlayers[first_name]&amp;" "&amp;tblPlayers[second_name]</f>
        <v>Tom King</v>
      </c>
      <c r="B265" t="str">
        <f>_xlfn.SWITCH(tblPlayers[element_type],1,"GK",2,"DEF",3,"MID",4,"FWD")</f>
        <v>GK</v>
      </c>
      <c r="C265">
        <f>tblPlayers[team]</f>
        <v>9</v>
      </c>
      <c r="D265" t="str">
        <f>INDEX(tblTeams[Column1.short_name],MATCH(C265,tblTeams[Column1.id],0))</f>
        <v>EVE</v>
      </c>
      <c r="E265" s="4">
        <f>INDEX(FPL_Raw_Data!$F:$F,MATCH(A265,FPL_Raw_Data!$AA:$AA,0))/10</f>
        <v>4.5</v>
      </c>
      <c r="F265" s="4" t="str">
        <f>tblPlayers[[#This Row],[status]]</f>
        <v>a</v>
      </c>
      <c r="G265" s="4" t="b">
        <f>tblPlayers[[#This Row],[can_select]]</f>
        <v>1</v>
      </c>
      <c r="H265">
        <f>IF(AND(Table8[[#This Row],[Availability Status]]="a",Table8[[#This Row],[Can Select]]=TRUE),1,0)</f>
        <v>1</v>
      </c>
      <c r="I265">
        <f>tblPlayers[minutes]</f>
        <v>0</v>
      </c>
      <c r="J265" s="2">
        <f>Table8[[#This Row],[Minutes]]/90</f>
        <v>0</v>
      </c>
      <c r="K265" s="5">
        <f>IFERROR(Z265/(FIXTURE_ANALYSIS!$B$1-1),0)</f>
        <v>0</v>
      </c>
      <c r="L265">
        <f>tblPlayers[total_points]</f>
        <v>0</v>
      </c>
      <c r="M265">
        <f>tblPlayers[points_per_game]</f>
        <v>0</v>
      </c>
      <c r="N265">
        <f>tblPlayers[form]</f>
        <v>0</v>
      </c>
      <c r="O265">
        <f>tblPlayers[expected_goals]</f>
        <v>0</v>
      </c>
      <c r="P265">
        <f>tblPlayers[expected_assists]</f>
        <v>0</v>
      </c>
      <c r="Q265">
        <f>tblPlayers[expected_goal_involvements]</f>
        <v>0</v>
      </c>
      <c r="R265" s="2">
        <f t="shared" si="100"/>
        <v>0</v>
      </c>
      <c r="S265" s="5">
        <f t="shared" si="101"/>
        <v>0</v>
      </c>
      <c r="T265" s="5">
        <f t="shared" si="102"/>
        <v>0</v>
      </c>
      <c r="U265" s="5">
        <f t="shared" si="103"/>
        <v>0</v>
      </c>
      <c r="V265" s="3">
        <f t="shared" si="104"/>
        <v>0</v>
      </c>
      <c r="W265" s="5">
        <f t="shared" si="105"/>
        <v>0</v>
      </c>
      <c r="X265" s="5">
        <f>IFERROR(IF(OR($B265="MID",$B265="FWD"),INDEX(FIXTURE_ANALYSIS!$Q:$Q,MATCH($D265,FIXTURE_ANALYSIS!$A:$A,0)),INDEX(FIXTURE_ANALYSIS!$R:$R,MATCH($D265,FIXTURE_ANALYSIS!$A:$A,0))),1)</f>
        <v>1.1192513001836562</v>
      </c>
      <c r="Y265" s="5">
        <f t="shared" si="106"/>
        <v>1.1192513001836562</v>
      </c>
      <c r="Z265" s="8">
        <f>INDEX(FPL_Raw_Data!$T:$T,MATCH(A265,FPL_Raw_Data!$AA:$AA,0))</f>
        <v>0</v>
      </c>
      <c r="AA265" s="8">
        <f>INDEX(FPL_Raw_Data!$S:$S,MATCH(A265,FPL_Raw_Data!$AA:$AA,0))</f>
        <v>0</v>
      </c>
      <c r="AB265" s="2">
        <f t="shared" si="107"/>
        <v>0</v>
      </c>
      <c r="AC265" s="2">
        <f>INDEX(FPL_Raw_Data!$Q:$Q,MATCH(A265,FPL_Raw_Data!$AA:$AA,0))</f>
        <v>0</v>
      </c>
      <c r="AD265" s="8">
        <f>INDEX(FPL_Raw_Data!$R:$R,MATCH(A265,FPL_Raw_Data!$AA:$AA,0))</f>
        <v>0</v>
      </c>
      <c r="AE265" s="8">
        <f>INDEX(FPL_Raw_Data!$N:$N,MATCH(A265,FPL_Raw_Data!$AA:$AA,0))</f>
        <v>0</v>
      </c>
      <c r="AF265" s="8">
        <f>INDEX(FPL_Raw_Data!$L:$L,MATCH(A265,FPL_Raw_Data!$AA:$AA,0))</f>
        <v>0</v>
      </c>
      <c r="AG265" s="2">
        <f>INDEX(FPL_Raw_Data!$M:$M,MATCH(A265,FPL_Raw_Data!$AA:$AA,0))</f>
        <v>0</v>
      </c>
      <c r="AH265" s="2">
        <f t="shared" si="108"/>
        <v>0</v>
      </c>
      <c r="AI265" s="2">
        <f t="shared" si="109"/>
        <v>0</v>
      </c>
      <c r="AJ265" s="2">
        <f t="shared" si="110"/>
        <v>0</v>
      </c>
      <c r="AK265" s="2">
        <f t="shared" si="111"/>
        <v>0</v>
      </c>
      <c r="AL265" s="2">
        <f t="shared" si="112"/>
        <v>0</v>
      </c>
      <c r="AM265" s="2">
        <f t="shared" si="113"/>
        <v>0</v>
      </c>
      <c r="AN265" s="2">
        <f t="shared" si="114"/>
        <v>0</v>
      </c>
      <c r="AO265" s="3">
        <f t="shared" si="115"/>
        <v>0.1</v>
      </c>
      <c r="AP265">
        <f t="shared" si="116"/>
        <v>0</v>
      </c>
      <c r="AQ265">
        <f t="shared" si="117"/>
        <v>0.1</v>
      </c>
      <c r="AR265">
        <f t="shared" si="118"/>
        <v>0</v>
      </c>
      <c r="AS265" s="2">
        <f t="shared" si="119"/>
        <v>0</v>
      </c>
      <c r="AT265" s="2">
        <f>IFERROR(INDEX(Player_Model!$BC$2:$BC$596,MATCH($A265,Player_Model!$A$2:$A$596,0)),0)</f>
        <v>0</v>
      </c>
      <c r="AU265" s="2">
        <f>Table8[[#This Row],[Model Expected Points]]*Table8[[#This Row],[Fixture Adjustment]]</f>
        <v>0</v>
      </c>
      <c r="AV265" s="2">
        <f>Table8[[#This Row],[Fixture Adjusted Points / 90]]/Table8[[#This Row],[Price]]</f>
        <v>0</v>
      </c>
      <c r="AW265">
        <f t="shared" si="120"/>
        <v>0</v>
      </c>
      <c r="AX265">
        <f t="shared" si="121"/>
        <v>0.55962565009182808</v>
      </c>
      <c r="AY265" s="2">
        <f t="shared" si="122"/>
        <v>0</v>
      </c>
      <c r="AZ265" s="5">
        <f t="shared" si="123"/>
        <v>1.1192513001836562</v>
      </c>
      <c r="BA265">
        <f>Table8[[#This Row],[Model Score2]]</f>
        <v>0</v>
      </c>
      <c r="BB265">
        <f>IFERROR(INDEX(Player_Model!$BG$2:$BG$596,MATCH($A265,Player_Model!$A$2:$A$596,0)),"")</f>
        <v>37</v>
      </c>
      <c r="BC265" t="str">
        <f t="shared" si="124"/>
        <v>AVOID</v>
      </c>
      <c r="BD265">
        <f>IF(H265=1,Table8[[#This Row],[Model Score]],-10000)</f>
        <v>0</v>
      </c>
      <c r="BE265">
        <f>IFERROR(INDEX(Player_Model!$BF$2:$BF$596,MATCH($A265,Player_Model!$A$2:$A$596,0)),"")</f>
        <v>253</v>
      </c>
      <c r="BF265">
        <f>IFERROR(INDEX(Player_Model!$BG$2:$BG$596,MATCH($A265,Player_Model!$A$2:$A$596,0)),"")</f>
        <v>37</v>
      </c>
      <c r="BG265">
        <f>IFERROR(INDEX(Player_Model!$BE$2:$BE$596,MATCH($A265,Player_Model!$A$2:$A$596,0)),0)</f>
        <v>0</v>
      </c>
    </row>
    <row r="266" spans="1:59" x14ac:dyDescent="0.25">
      <c r="A266" t="str">
        <f>tblPlayers[first_name]&amp;" "&amp;tblPlayers[second_name]</f>
        <v>James Tarkowski</v>
      </c>
      <c r="B266" t="str">
        <f>_xlfn.SWITCH(tblPlayers[element_type],1,"GK",2,"DEF",3,"MID",4,"FWD")</f>
        <v>DEF</v>
      </c>
      <c r="C266">
        <f>tblPlayers[team]</f>
        <v>9</v>
      </c>
      <c r="D266" t="str">
        <f>INDEX(tblTeams[Column1.short_name],MATCH(C266,tblTeams[Column1.id],0))</f>
        <v>EVE</v>
      </c>
      <c r="E266" s="4">
        <f>INDEX(FPL_Raw_Data!$F:$F,MATCH(A266,FPL_Raw_Data!$AA:$AA,0))/10</f>
        <v>6</v>
      </c>
      <c r="F266" s="4" t="str">
        <f>tblPlayers[[#This Row],[status]]</f>
        <v>a</v>
      </c>
      <c r="G266" s="4" t="b">
        <f>tblPlayers[[#This Row],[can_select]]</f>
        <v>1</v>
      </c>
      <c r="H266">
        <f>IF(AND(Table8[[#This Row],[Availability Status]]="a",Table8[[#This Row],[Can Select]]=TRUE),1,0)</f>
        <v>1</v>
      </c>
      <c r="I266">
        <f>tblPlayers[minutes]</f>
        <v>270</v>
      </c>
      <c r="J266" s="2">
        <f>Table8[[#This Row],[Minutes]]/90</f>
        <v>3</v>
      </c>
      <c r="K266" s="5">
        <f>IFERROR(Z266/(FIXTURE_ANALYSIS!$B$1-1),0)</f>
        <v>1</v>
      </c>
      <c r="L266">
        <f>tblPlayers[total_points]</f>
        <v>21</v>
      </c>
      <c r="M266">
        <f>tblPlayers[points_per_game]</f>
        <v>7</v>
      </c>
      <c r="N266">
        <f>tblPlayers[form]</f>
        <v>7</v>
      </c>
      <c r="O266">
        <f>tblPlayers[expected_goals]</f>
        <v>0.17</v>
      </c>
      <c r="P266">
        <f>tblPlayers[expected_assists]</f>
        <v>0.02</v>
      </c>
      <c r="Q266">
        <f>tblPlayers[expected_goal_involvements]</f>
        <v>0.19</v>
      </c>
      <c r="R266" s="2">
        <f t="shared" si="100"/>
        <v>7</v>
      </c>
      <c r="S266" s="5">
        <f t="shared" si="101"/>
        <v>5.6666666666666678E-2</v>
      </c>
      <c r="T266" s="5">
        <f t="shared" si="102"/>
        <v>6.6666666666666662E-3</v>
      </c>
      <c r="U266" s="5">
        <f t="shared" si="103"/>
        <v>6.3333333333333325E-2</v>
      </c>
      <c r="V266" s="3">
        <f t="shared" si="104"/>
        <v>3.5</v>
      </c>
      <c r="W266" s="5">
        <f t="shared" si="105"/>
        <v>3.1666666666666669E-2</v>
      </c>
      <c r="X266" s="5">
        <f>IFERROR(IF(OR($B266="MID",$B266="FWD"),INDEX(FIXTURE_ANALYSIS!$Q:$Q,MATCH($D266,FIXTURE_ANALYSIS!$A:$A,0)),INDEX(FIXTURE_ANALYSIS!$R:$R,MATCH($D266,FIXTURE_ANALYSIS!$A:$A,0))),1)</f>
        <v>1.1192513001836562</v>
      </c>
      <c r="Y266" s="5">
        <f t="shared" si="106"/>
        <v>1.1192513001836562</v>
      </c>
      <c r="Z266" s="8">
        <f>INDEX(FPL_Raw_Data!$T:$T,MATCH(A266,FPL_Raw_Data!$AA:$AA,0))</f>
        <v>3</v>
      </c>
      <c r="AA266" s="8">
        <f>INDEX(FPL_Raw_Data!$S:$S,MATCH(A266,FPL_Raw_Data!$AA:$AA,0))</f>
        <v>31</v>
      </c>
      <c r="AB266" s="2">
        <f t="shared" si="107"/>
        <v>1</v>
      </c>
      <c r="AC266" s="2">
        <f>INDEX(FPL_Raw_Data!$Q:$Q,MATCH(A266,FPL_Raw_Data!$AA:$AA,0))</f>
        <v>2</v>
      </c>
      <c r="AD266" s="8">
        <f>INDEX(FPL_Raw_Data!$R:$R,MATCH(A266,FPL_Raw_Data!$AA:$AA,0))</f>
        <v>63</v>
      </c>
      <c r="AE266" s="8">
        <f>INDEX(FPL_Raw_Data!$N:$N,MATCH(A266,FPL_Raw_Data!$AA:$AA,0))</f>
        <v>1</v>
      </c>
      <c r="AF266" s="8">
        <f>INDEX(FPL_Raw_Data!$L:$L,MATCH(A266,FPL_Raw_Data!$AA:$AA,0))</f>
        <v>1</v>
      </c>
      <c r="AG266" s="2">
        <f>INDEX(FPL_Raw_Data!$M:$M,MATCH(A266,FPL_Raw_Data!$AA:$AA,0))</f>
        <v>0</v>
      </c>
      <c r="AH266" s="2">
        <f t="shared" si="108"/>
        <v>0.34000000000000008</v>
      </c>
      <c r="AI266" s="2">
        <f t="shared" si="109"/>
        <v>1.9999999999999997E-2</v>
      </c>
      <c r="AJ266" s="2">
        <f t="shared" si="110"/>
        <v>2</v>
      </c>
      <c r="AK266" s="2">
        <f t="shared" si="111"/>
        <v>2</v>
      </c>
      <c r="AL266" s="2">
        <f t="shared" si="112"/>
        <v>0.33333333333333331</v>
      </c>
      <c r="AM266" s="2">
        <f t="shared" si="113"/>
        <v>1.3333333333333333</v>
      </c>
      <c r="AN266" s="2">
        <f t="shared" si="114"/>
        <v>0.66666666666666663</v>
      </c>
      <c r="AO266" s="3">
        <f t="shared" si="115"/>
        <v>86.1</v>
      </c>
      <c r="AP266">
        <f t="shared" si="116"/>
        <v>63.1</v>
      </c>
      <c r="AQ266">
        <f t="shared" si="117"/>
        <v>96.6</v>
      </c>
      <c r="AR266">
        <f t="shared" si="118"/>
        <v>70.8</v>
      </c>
      <c r="AS266" s="2">
        <f t="shared" si="119"/>
        <v>100</v>
      </c>
      <c r="AT266" s="2">
        <f>IFERROR(INDEX(Player_Model!$BC$2:$BC$596,MATCH($A266,Player_Model!$A$2:$A$596,0)),0)</f>
        <v>5.9085912610119102</v>
      </c>
      <c r="AU266" s="2">
        <f>Table8[[#This Row],[Model Expected Points]]*Table8[[#This Row],[Fixture Adjustment]]</f>
        <v>6.6131984511413693</v>
      </c>
      <c r="AV266" s="2">
        <f>Table8[[#This Row],[Fixture Adjusted Points / 90]]/Table8[[#This Row],[Price]]</f>
        <v>1.102199741856895</v>
      </c>
      <c r="AW266">
        <f t="shared" si="120"/>
        <v>63.1</v>
      </c>
      <c r="AX266">
        <f t="shared" si="121"/>
        <v>1.059625650091828</v>
      </c>
      <c r="AY266" s="2">
        <f t="shared" si="122"/>
        <v>100</v>
      </c>
      <c r="AZ266" s="5">
        <f t="shared" si="123"/>
        <v>1.1192513001836562</v>
      </c>
      <c r="BA266">
        <f>Table8[[#This Row],[Model Score2]]</f>
        <v>5.9085912610119102</v>
      </c>
      <c r="BB266">
        <f>IFERROR(INDEX(Player_Model!$BG$2:$BG$596,MATCH($A266,Player_Model!$A$2:$A$596,0)),"")</f>
        <v>23</v>
      </c>
      <c r="BC266" t="str">
        <f t="shared" si="124"/>
        <v>AVOID</v>
      </c>
      <c r="BD266">
        <f>IF(H266=1,Table8[[#This Row],[Model Score]],-10000)</f>
        <v>5.9085912610119102</v>
      </c>
      <c r="BE266">
        <f>IFERROR(INDEX(Player_Model!$BF$2:$BF$596,MATCH($A266,Player_Model!$A$2:$A$596,0)),"")</f>
        <v>48</v>
      </c>
      <c r="BF266">
        <f>IFERROR(INDEX(Player_Model!$BG$2:$BG$596,MATCH($A266,Player_Model!$A$2:$A$596,0)),"")</f>
        <v>23</v>
      </c>
      <c r="BG266">
        <f>IFERROR(INDEX(Player_Model!$BE$2:$BE$596,MATCH($A266,Player_Model!$A$2:$A$596,0)),0)</f>
        <v>5.9085912610119102</v>
      </c>
    </row>
    <row r="267" spans="1:59" x14ac:dyDescent="0.25">
      <c r="A267" t="str">
        <f>tblPlayers[first_name]&amp;" "&amp;tblPlayers[second_name]</f>
        <v>Jarrad Branthwaite</v>
      </c>
      <c r="B267" t="str">
        <f>_xlfn.SWITCH(tblPlayers[element_type],1,"GK",2,"DEF",3,"MID",4,"FWD")</f>
        <v>DEF</v>
      </c>
      <c r="C267">
        <f>tblPlayers[team]</f>
        <v>9</v>
      </c>
      <c r="D267" t="str">
        <f>INDEX(tblTeams[Column1.short_name],MATCH(C267,tblTeams[Column1.id],0))</f>
        <v>EVE</v>
      </c>
      <c r="E267" s="4">
        <f>INDEX(FPL_Raw_Data!$F:$F,MATCH(A267,FPL_Raw_Data!$AA:$AA,0))/10</f>
        <v>5.5</v>
      </c>
      <c r="F267" s="4" t="str">
        <f>tblPlayers[[#This Row],[status]]</f>
        <v>a</v>
      </c>
      <c r="G267" s="4" t="b">
        <f>tblPlayers[[#This Row],[can_select]]</f>
        <v>1</v>
      </c>
      <c r="H267">
        <f>IF(AND(Table8[[#This Row],[Availability Status]]="a",Table8[[#This Row],[Can Select]]=TRUE),1,0)</f>
        <v>1</v>
      </c>
      <c r="I267">
        <f>tblPlayers[minutes]</f>
        <v>270</v>
      </c>
      <c r="J267" s="2">
        <f>Table8[[#This Row],[Minutes]]/90</f>
        <v>3</v>
      </c>
      <c r="K267" s="5">
        <f>IFERROR(Z267/(FIXTURE_ANALYSIS!$B$1-1),0)</f>
        <v>1</v>
      </c>
      <c r="L267">
        <f>tblPlayers[total_points]</f>
        <v>13</v>
      </c>
      <c r="M267">
        <f>tblPlayers[points_per_game]</f>
        <v>4.3</v>
      </c>
      <c r="N267">
        <f>tblPlayers[form]</f>
        <v>4.3</v>
      </c>
      <c r="O267">
        <f>tblPlayers[expected_goals]</f>
        <v>0.17</v>
      </c>
      <c r="P267">
        <f>tblPlayers[expected_assists]</f>
        <v>0.02</v>
      </c>
      <c r="Q267">
        <f>tblPlayers[expected_goal_involvements]</f>
        <v>0.19</v>
      </c>
      <c r="R267" s="2">
        <f t="shared" si="100"/>
        <v>4.333333333333333</v>
      </c>
      <c r="S267" s="5">
        <f t="shared" si="101"/>
        <v>5.6666666666666678E-2</v>
      </c>
      <c r="T267" s="5">
        <f t="shared" si="102"/>
        <v>6.6666666666666662E-3</v>
      </c>
      <c r="U267" s="5">
        <f t="shared" si="103"/>
        <v>6.3333333333333325E-2</v>
      </c>
      <c r="V267" s="3">
        <f t="shared" si="104"/>
        <v>2.3636363636363638</v>
      </c>
      <c r="W267" s="5">
        <f t="shared" si="105"/>
        <v>3.4545454545454546E-2</v>
      </c>
      <c r="X267" s="5">
        <f>IFERROR(IF(OR($B267="MID",$B267="FWD"),INDEX(FIXTURE_ANALYSIS!$Q:$Q,MATCH($D267,FIXTURE_ANALYSIS!$A:$A,0)),INDEX(FIXTURE_ANALYSIS!$R:$R,MATCH($D267,FIXTURE_ANALYSIS!$A:$A,0))),1)</f>
        <v>1.1192513001836562</v>
      </c>
      <c r="Y267" s="5">
        <f t="shared" si="106"/>
        <v>1.1192513001836562</v>
      </c>
      <c r="Z267" s="8">
        <f>INDEX(FPL_Raw_Data!$T:$T,MATCH(A267,FPL_Raw_Data!$AA:$AA,0))</f>
        <v>3</v>
      </c>
      <c r="AA267" s="8">
        <f>INDEX(FPL_Raw_Data!$S:$S,MATCH(A267,FPL_Raw_Data!$AA:$AA,0))</f>
        <v>31</v>
      </c>
      <c r="AB267" s="2">
        <f t="shared" si="107"/>
        <v>1</v>
      </c>
      <c r="AC267" s="2">
        <f>INDEX(FPL_Raw_Data!$Q:$Q,MATCH(A267,FPL_Raw_Data!$AA:$AA,0))</f>
        <v>0</v>
      </c>
      <c r="AD267" s="8">
        <f>INDEX(FPL_Raw_Data!$R:$R,MATCH(A267,FPL_Raw_Data!$AA:$AA,0))</f>
        <v>43</v>
      </c>
      <c r="AE267" s="8">
        <f>INDEX(FPL_Raw_Data!$N:$N,MATCH(A267,FPL_Raw_Data!$AA:$AA,0))</f>
        <v>1</v>
      </c>
      <c r="AF267" s="8">
        <f>INDEX(FPL_Raw_Data!$L:$L,MATCH(A267,FPL_Raw_Data!$AA:$AA,0))</f>
        <v>0</v>
      </c>
      <c r="AG267" s="2">
        <f>INDEX(FPL_Raw_Data!$M:$M,MATCH(A267,FPL_Raw_Data!$AA:$AA,0))</f>
        <v>0</v>
      </c>
      <c r="AH267" s="2">
        <f t="shared" si="108"/>
        <v>0.34000000000000008</v>
      </c>
      <c r="AI267" s="2">
        <f t="shared" si="109"/>
        <v>1.9999999999999997E-2</v>
      </c>
      <c r="AJ267" s="2">
        <f t="shared" si="110"/>
        <v>2</v>
      </c>
      <c r="AK267" s="2">
        <f t="shared" si="111"/>
        <v>2</v>
      </c>
      <c r="AL267" s="2">
        <f t="shared" si="112"/>
        <v>0.33333333333333331</v>
      </c>
      <c r="AM267" s="2">
        <f t="shared" si="113"/>
        <v>1.3333333333333333</v>
      </c>
      <c r="AN267" s="2">
        <f t="shared" si="114"/>
        <v>0</v>
      </c>
      <c r="AO267" s="3">
        <f t="shared" si="115"/>
        <v>71.3</v>
      </c>
      <c r="AP267">
        <f t="shared" si="116"/>
        <v>63.1</v>
      </c>
      <c r="AQ267">
        <f t="shared" si="117"/>
        <v>90.4</v>
      </c>
      <c r="AR267">
        <f t="shared" si="118"/>
        <v>71.8</v>
      </c>
      <c r="AS267" s="2">
        <f t="shared" si="119"/>
        <v>100</v>
      </c>
      <c r="AT267" s="2">
        <f>IFERROR(INDEX(Player_Model!$BC$2:$BC$596,MATCH($A267,Player_Model!$A$2:$A$596,0)),0)</f>
        <v>5.8842375716843049</v>
      </c>
      <c r="AU267" s="2">
        <f>Table8[[#This Row],[Model Expected Points]]*Table8[[#This Row],[Fixture Adjustment]]</f>
        <v>6.5859405526971777</v>
      </c>
      <c r="AV267" s="2">
        <f>Table8[[#This Row],[Fixture Adjusted Points / 90]]/Table8[[#This Row],[Price]]</f>
        <v>1.1974437368540323</v>
      </c>
      <c r="AW267">
        <f t="shared" si="120"/>
        <v>63.1</v>
      </c>
      <c r="AX267">
        <f t="shared" si="121"/>
        <v>1.059625650091828</v>
      </c>
      <c r="AY267" s="2">
        <f t="shared" si="122"/>
        <v>100</v>
      </c>
      <c r="AZ267" s="5">
        <f t="shared" si="123"/>
        <v>1.1192513001836562</v>
      </c>
      <c r="BA267">
        <f>Table8[[#This Row],[Model Score2]]</f>
        <v>5.8842375716843049</v>
      </c>
      <c r="BB267">
        <f>IFERROR(INDEX(Player_Model!$BG$2:$BG$596,MATCH($A267,Player_Model!$A$2:$A$596,0)),"")</f>
        <v>25</v>
      </c>
      <c r="BC267" t="str">
        <f t="shared" si="124"/>
        <v>AVOID</v>
      </c>
      <c r="BD267">
        <f>IF(H267=1,Table8[[#This Row],[Model Score]],-10000)</f>
        <v>5.8842375716843049</v>
      </c>
      <c r="BE267">
        <f>IFERROR(INDEX(Player_Model!$BF$2:$BF$596,MATCH($A267,Player_Model!$A$2:$A$596,0)),"")</f>
        <v>51</v>
      </c>
      <c r="BF267">
        <f>IFERROR(INDEX(Player_Model!$BG$2:$BG$596,MATCH($A267,Player_Model!$A$2:$A$596,0)),"")</f>
        <v>25</v>
      </c>
      <c r="BG267">
        <f>IFERROR(INDEX(Player_Model!$BE$2:$BE$596,MATCH($A267,Player_Model!$A$2:$A$596,0)),0)</f>
        <v>5.8842375716843049</v>
      </c>
    </row>
    <row r="268" spans="1:59" x14ac:dyDescent="0.25">
      <c r="A268" t="str">
        <f>tblPlayers[first_name]&amp;" "&amp;tblPlayers[second_name]</f>
        <v>Michael Keane</v>
      </c>
      <c r="B268" t="str">
        <f>_xlfn.SWITCH(tblPlayers[element_type],1,"GK",2,"DEF",3,"MID",4,"FWD")</f>
        <v>DEF</v>
      </c>
      <c r="C268">
        <f>tblPlayers[team]</f>
        <v>9</v>
      </c>
      <c r="D268" t="str">
        <f>INDEX(tblTeams[Column1.short_name],MATCH(C268,tblTeams[Column1.id],0))</f>
        <v>EVE</v>
      </c>
      <c r="E268" s="4">
        <f>INDEX(FPL_Raw_Data!$F:$F,MATCH(A268,FPL_Raw_Data!$AA:$AA,0))/10</f>
        <v>4.9000000000000004</v>
      </c>
      <c r="F268" s="4" t="str">
        <f>tblPlayers[[#This Row],[status]]</f>
        <v>a</v>
      </c>
      <c r="G268" s="4" t="b">
        <f>tblPlayers[[#This Row],[can_select]]</f>
        <v>1</v>
      </c>
      <c r="H268">
        <f>IF(AND(Table8[[#This Row],[Availability Status]]="a",Table8[[#This Row],[Can Select]]=TRUE),1,0)</f>
        <v>1</v>
      </c>
      <c r="I268">
        <f>tblPlayers[minutes]</f>
        <v>0</v>
      </c>
      <c r="J268" s="2">
        <f>Table8[[#This Row],[Minutes]]/90</f>
        <v>0</v>
      </c>
      <c r="K268" s="5">
        <f>IFERROR(Z268/(FIXTURE_ANALYSIS!$B$1-1),0)</f>
        <v>0</v>
      </c>
      <c r="L268">
        <f>tblPlayers[total_points]</f>
        <v>0</v>
      </c>
      <c r="M268">
        <f>tblPlayers[points_per_game]</f>
        <v>0</v>
      </c>
      <c r="N268">
        <f>tblPlayers[form]</f>
        <v>0</v>
      </c>
      <c r="O268">
        <f>tblPlayers[expected_goals]</f>
        <v>0</v>
      </c>
      <c r="P268">
        <f>tblPlayers[expected_assists]</f>
        <v>0</v>
      </c>
      <c r="Q268">
        <f>tblPlayers[expected_goal_involvements]</f>
        <v>0</v>
      </c>
      <c r="R268" s="2">
        <f t="shared" si="100"/>
        <v>0</v>
      </c>
      <c r="S268" s="5">
        <f t="shared" si="101"/>
        <v>0</v>
      </c>
      <c r="T268" s="5">
        <f t="shared" si="102"/>
        <v>0</v>
      </c>
      <c r="U268" s="5">
        <f t="shared" si="103"/>
        <v>0</v>
      </c>
      <c r="V268" s="3">
        <f t="shared" si="104"/>
        <v>0</v>
      </c>
      <c r="W268" s="5">
        <f t="shared" si="105"/>
        <v>0</v>
      </c>
      <c r="X268" s="5">
        <f>IFERROR(IF(OR($B268="MID",$B268="FWD"),INDEX(FIXTURE_ANALYSIS!$Q:$Q,MATCH($D268,FIXTURE_ANALYSIS!$A:$A,0)),INDEX(FIXTURE_ANALYSIS!$R:$R,MATCH($D268,FIXTURE_ANALYSIS!$A:$A,0))),1)</f>
        <v>1.1192513001836562</v>
      </c>
      <c r="Y268" s="5">
        <f t="shared" si="106"/>
        <v>1.1192513001836562</v>
      </c>
      <c r="Z268" s="8">
        <f>INDEX(FPL_Raw_Data!$T:$T,MATCH(A268,FPL_Raw_Data!$AA:$AA,0))</f>
        <v>0</v>
      </c>
      <c r="AA268" s="8">
        <f>INDEX(FPL_Raw_Data!$S:$S,MATCH(A268,FPL_Raw_Data!$AA:$AA,0))</f>
        <v>0</v>
      </c>
      <c r="AB268" s="2">
        <f t="shared" si="107"/>
        <v>0</v>
      </c>
      <c r="AC268" s="2">
        <f>INDEX(FPL_Raw_Data!$Q:$Q,MATCH(A268,FPL_Raw_Data!$AA:$AA,0))</f>
        <v>0</v>
      </c>
      <c r="AD268" s="8">
        <f>INDEX(FPL_Raw_Data!$R:$R,MATCH(A268,FPL_Raw_Data!$AA:$AA,0))</f>
        <v>0</v>
      </c>
      <c r="AE268" s="8">
        <f>INDEX(FPL_Raw_Data!$N:$N,MATCH(A268,FPL_Raw_Data!$AA:$AA,0))</f>
        <v>0</v>
      </c>
      <c r="AF268" s="8">
        <f>INDEX(FPL_Raw_Data!$L:$L,MATCH(A268,FPL_Raw_Data!$AA:$AA,0))</f>
        <v>0</v>
      </c>
      <c r="AG268" s="2">
        <f>INDEX(FPL_Raw_Data!$M:$M,MATCH(A268,FPL_Raw_Data!$AA:$AA,0))</f>
        <v>0</v>
      </c>
      <c r="AH268" s="2">
        <f t="shared" si="108"/>
        <v>0</v>
      </c>
      <c r="AI268" s="2">
        <f t="shared" si="109"/>
        <v>0</v>
      </c>
      <c r="AJ268" s="2">
        <f t="shared" si="110"/>
        <v>0</v>
      </c>
      <c r="AK268" s="2">
        <f t="shared" si="111"/>
        <v>0</v>
      </c>
      <c r="AL268" s="2">
        <f t="shared" si="112"/>
        <v>0</v>
      </c>
      <c r="AM268" s="2">
        <f t="shared" si="113"/>
        <v>0</v>
      </c>
      <c r="AN268" s="2">
        <f t="shared" si="114"/>
        <v>0</v>
      </c>
      <c r="AO268" s="3">
        <f t="shared" si="115"/>
        <v>0.1</v>
      </c>
      <c r="AP268">
        <f t="shared" si="116"/>
        <v>0</v>
      </c>
      <c r="AQ268">
        <f t="shared" si="117"/>
        <v>0.1</v>
      </c>
      <c r="AR268">
        <f t="shared" si="118"/>
        <v>0</v>
      </c>
      <c r="AS268" s="2">
        <f t="shared" si="119"/>
        <v>0</v>
      </c>
      <c r="AT268" s="2">
        <f>IFERROR(INDEX(Player_Model!$BC$2:$BC$596,MATCH($A268,Player_Model!$A$2:$A$596,0)),0)</f>
        <v>-0.55962565009182808</v>
      </c>
      <c r="AU268" s="2">
        <f>Table8[[#This Row],[Model Expected Points]]*Table8[[#This Row],[Fixture Adjustment]]</f>
        <v>-0.62636173648140236</v>
      </c>
      <c r="AV268" s="2">
        <f>Table8[[#This Row],[Fixture Adjusted Points / 90]]/Table8[[#This Row],[Price]]</f>
        <v>-0.12782892581253108</v>
      </c>
      <c r="AW268">
        <f t="shared" si="120"/>
        <v>0</v>
      </c>
      <c r="AX268">
        <f t="shared" si="121"/>
        <v>0.55962565009182808</v>
      </c>
      <c r="AY268" s="2">
        <f t="shared" si="122"/>
        <v>0</v>
      </c>
      <c r="AZ268" s="5">
        <f t="shared" si="123"/>
        <v>1.1192513001836562</v>
      </c>
      <c r="BA268">
        <f>Table8[[#This Row],[Model Score2]]</f>
        <v>-0.55962565009182808</v>
      </c>
      <c r="BB268">
        <f>IFERROR(INDEX(Player_Model!$BG$2:$BG$596,MATCH($A268,Player_Model!$A$2:$A$596,0)),"")</f>
        <v>122</v>
      </c>
      <c r="BC268" t="str">
        <f t="shared" si="124"/>
        <v>AVOID</v>
      </c>
      <c r="BD268">
        <f>IF(H268=1,Table8[[#This Row],[Model Score]],-10000)</f>
        <v>-0.55962565009182808</v>
      </c>
      <c r="BE268">
        <f>IFERROR(INDEX(Player_Model!$BF$2:$BF$596,MATCH($A268,Player_Model!$A$2:$A$596,0)),"")</f>
        <v>525</v>
      </c>
      <c r="BF268">
        <f>IFERROR(INDEX(Player_Model!$BG$2:$BG$596,MATCH($A268,Player_Model!$A$2:$A$596,0)),"")</f>
        <v>122</v>
      </c>
      <c r="BG268">
        <f>IFERROR(INDEX(Player_Model!$BE$2:$BE$596,MATCH($A268,Player_Model!$A$2:$A$596,0)),0)</f>
        <v>-0.55962565009182808</v>
      </c>
    </row>
    <row r="269" spans="1:59" x14ac:dyDescent="0.25">
      <c r="A269" t="str">
        <f>tblPlayers[first_name]&amp;" "&amp;tblPlayers[second_name]</f>
        <v>Jake O'Brien</v>
      </c>
      <c r="B269" t="str">
        <f>_xlfn.SWITCH(tblPlayers[element_type],1,"GK",2,"DEF",3,"MID",4,"FWD")</f>
        <v>DEF</v>
      </c>
      <c r="C269">
        <f>tblPlayers[team]</f>
        <v>9</v>
      </c>
      <c r="D269" t="str">
        <f>INDEX(tblTeams[Column1.short_name],MATCH(C269,tblTeams[Column1.id],0))</f>
        <v>EVE</v>
      </c>
      <c r="E269" s="4">
        <f>INDEX(FPL_Raw_Data!$F:$F,MATCH(A269,FPL_Raw_Data!$AA:$AA,0))/10</f>
        <v>4.9000000000000004</v>
      </c>
      <c r="F269" s="4" t="str">
        <f>tblPlayers[[#This Row],[status]]</f>
        <v>a</v>
      </c>
      <c r="G269" s="4" t="b">
        <f>tblPlayers[[#This Row],[can_select]]</f>
        <v>1</v>
      </c>
      <c r="H269">
        <f>IF(AND(Table8[[#This Row],[Availability Status]]="a",Table8[[#This Row],[Can Select]]=TRUE),1,0)</f>
        <v>1</v>
      </c>
      <c r="I269">
        <f>tblPlayers[minutes]</f>
        <v>0</v>
      </c>
      <c r="J269" s="2">
        <f>Table8[[#This Row],[Minutes]]/90</f>
        <v>0</v>
      </c>
      <c r="K269" s="5">
        <f>IFERROR(Z269/(FIXTURE_ANALYSIS!$B$1-1),0)</f>
        <v>0</v>
      </c>
      <c r="L269">
        <f>tblPlayers[total_points]</f>
        <v>0</v>
      </c>
      <c r="M269">
        <f>tblPlayers[points_per_game]</f>
        <v>0</v>
      </c>
      <c r="N269">
        <f>tblPlayers[form]</f>
        <v>0</v>
      </c>
      <c r="O269">
        <f>tblPlayers[expected_goals]</f>
        <v>0</v>
      </c>
      <c r="P269">
        <f>tblPlayers[expected_assists]</f>
        <v>0</v>
      </c>
      <c r="Q269">
        <f>tblPlayers[expected_goal_involvements]</f>
        <v>0</v>
      </c>
      <c r="R269" s="2">
        <f t="shared" si="100"/>
        <v>0</v>
      </c>
      <c r="S269" s="5">
        <f t="shared" si="101"/>
        <v>0</v>
      </c>
      <c r="T269" s="5">
        <f t="shared" si="102"/>
        <v>0</v>
      </c>
      <c r="U269" s="5">
        <f t="shared" si="103"/>
        <v>0</v>
      </c>
      <c r="V269" s="3">
        <f t="shared" si="104"/>
        <v>0</v>
      </c>
      <c r="W269" s="5">
        <f t="shared" si="105"/>
        <v>0</v>
      </c>
      <c r="X269" s="5">
        <f>IFERROR(IF(OR($B269="MID",$B269="FWD"),INDEX(FIXTURE_ANALYSIS!$Q:$Q,MATCH($D269,FIXTURE_ANALYSIS!$A:$A,0)),INDEX(FIXTURE_ANALYSIS!$R:$R,MATCH($D269,FIXTURE_ANALYSIS!$A:$A,0))),1)</f>
        <v>1.1192513001836562</v>
      </c>
      <c r="Y269" s="5">
        <f t="shared" si="106"/>
        <v>1.1192513001836562</v>
      </c>
      <c r="Z269" s="8">
        <f>INDEX(FPL_Raw_Data!$T:$T,MATCH(A269,FPL_Raw_Data!$AA:$AA,0))</f>
        <v>0</v>
      </c>
      <c r="AA269" s="8">
        <f>INDEX(FPL_Raw_Data!$S:$S,MATCH(A269,FPL_Raw_Data!$AA:$AA,0))</f>
        <v>0</v>
      </c>
      <c r="AB269" s="2">
        <f t="shared" si="107"/>
        <v>0</v>
      </c>
      <c r="AC269" s="2">
        <f>INDEX(FPL_Raw_Data!$Q:$Q,MATCH(A269,FPL_Raw_Data!$AA:$AA,0))</f>
        <v>0</v>
      </c>
      <c r="AD269" s="8">
        <f>INDEX(FPL_Raw_Data!$R:$R,MATCH(A269,FPL_Raw_Data!$AA:$AA,0))</f>
        <v>0</v>
      </c>
      <c r="AE269" s="8">
        <f>INDEX(FPL_Raw_Data!$N:$N,MATCH(A269,FPL_Raw_Data!$AA:$AA,0))</f>
        <v>0</v>
      </c>
      <c r="AF269" s="8">
        <f>INDEX(FPL_Raw_Data!$L:$L,MATCH(A269,FPL_Raw_Data!$AA:$AA,0))</f>
        <v>0</v>
      </c>
      <c r="AG269" s="2">
        <f>INDEX(FPL_Raw_Data!$M:$M,MATCH(A269,FPL_Raw_Data!$AA:$AA,0))</f>
        <v>0</v>
      </c>
      <c r="AH269" s="2">
        <f t="shared" si="108"/>
        <v>0</v>
      </c>
      <c r="AI269" s="2">
        <f t="shared" si="109"/>
        <v>0</v>
      </c>
      <c r="AJ269" s="2">
        <f t="shared" si="110"/>
        <v>0</v>
      </c>
      <c r="AK269" s="2">
        <f t="shared" si="111"/>
        <v>0</v>
      </c>
      <c r="AL269" s="2">
        <f t="shared" si="112"/>
        <v>0</v>
      </c>
      <c r="AM269" s="2">
        <f t="shared" si="113"/>
        <v>0</v>
      </c>
      <c r="AN269" s="2">
        <f t="shared" si="114"/>
        <v>0</v>
      </c>
      <c r="AO269" s="3">
        <f t="shared" si="115"/>
        <v>0.1</v>
      </c>
      <c r="AP269">
        <f t="shared" si="116"/>
        <v>0</v>
      </c>
      <c r="AQ269">
        <f t="shared" si="117"/>
        <v>0.1</v>
      </c>
      <c r="AR269">
        <f t="shared" si="118"/>
        <v>0</v>
      </c>
      <c r="AS269" s="2">
        <f t="shared" si="119"/>
        <v>0</v>
      </c>
      <c r="AT269" s="2">
        <f>IFERROR(INDEX(Player_Model!$BC$2:$BC$596,MATCH($A269,Player_Model!$A$2:$A$596,0)),0)</f>
        <v>-0.55962565009182808</v>
      </c>
      <c r="AU269" s="2">
        <f>Table8[[#This Row],[Model Expected Points]]*Table8[[#This Row],[Fixture Adjustment]]</f>
        <v>-0.62636173648140236</v>
      </c>
      <c r="AV269" s="2">
        <f>Table8[[#This Row],[Fixture Adjusted Points / 90]]/Table8[[#This Row],[Price]]</f>
        <v>-0.12782892581253108</v>
      </c>
      <c r="AW269">
        <f t="shared" si="120"/>
        <v>0</v>
      </c>
      <c r="AX269">
        <f t="shared" si="121"/>
        <v>0.55962565009182808</v>
      </c>
      <c r="AY269" s="2">
        <f t="shared" si="122"/>
        <v>0</v>
      </c>
      <c r="AZ269" s="5">
        <f t="shared" si="123"/>
        <v>1.1192513001836562</v>
      </c>
      <c r="BA269">
        <f>Table8[[#This Row],[Model Score2]]</f>
        <v>-0.55962565009182808</v>
      </c>
      <c r="BB269">
        <f>IFERROR(INDEX(Player_Model!$BG$2:$BG$596,MATCH($A269,Player_Model!$A$2:$A$596,0)),"")</f>
        <v>123</v>
      </c>
      <c r="BC269" t="str">
        <f t="shared" si="124"/>
        <v>AVOID</v>
      </c>
      <c r="BD269">
        <f>IF(H269=1,Table8[[#This Row],[Model Score]],-10000)</f>
        <v>-0.55962565009182808</v>
      </c>
      <c r="BE269">
        <f>IFERROR(INDEX(Player_Model!$BF$2:$BF$596,MATCH($A269,Player_Model!$A$2:$A$596,0)),"")</f>
        <v>525</v>
      </c>
      <c r="BF269">
        <f>IFERROR(INDEX(Player_Model!$BG$2:$BG$596,MATCH($A269,Player_Model!$A$2:$A$596,0)),"")</f>
        <v>123</v>
      </c>
      <c r="BG269">
        <f>IFERROR(INDEX(Player_Model!$BE$2:$BE$596,MATCH($A269,Player_Model!$A$2:$A$596,0)),0)</f>
        <v>-0.55962565009182808</v>
      </c>
    </row>
    <row r="270" spans="1:59" x14ac:dyDescent="0.25">
      <c r="A270" t="str">
        <f>tblPlayers[first_name]&amp;" "&amp;tblPlayers[second_name]</f>
        <v>Vitalii Mykolenko</v>
      </c>
      <c r="B270" t="str">
        <f>_xlfn.SWITCH(tblPlayers[element_type],1,"GK",2,"DEF",3,"MID",4,"FWD")</f>
        <v>DEF</v>
      </c>
      <c r="C270">
        <f>tblPlayers[team]</f>
        <v>9</v>
      </c>
      <c r="D270" t="str">
        <f>INDEX(tblTeams[Column1.short_name],MATCH(C270,tblTeams[Column1.id],0))</f>
        <v>EVE</v>
      </c>
      <c r="E270" s="4">
        <f>INDEX(FPL_Raw_Data!$F:$F,MATCH(A270,FPL_Raw_Data!$AA:$AA,0))/10</f>
        <v>4.5</v>
      </c>
      <c r="F270" s="4" t="str">
        <f>tblPlayers[[#This Row],[status]]</f>
        <v>a</v>
      </c>
      <c r="G270" s="4" t="b">
        <f>tblPlayers[[#This Row],[can_select]]</f>
        <v>1</v>
      </c>
      <c r="H270">
        <f>IF(AND(Table8[[#This Row],[Availability Status]]="a",Table8[[#This Row],[Can Select]]=TRUE),1,0)</f>
        <v>1</v>
      </c>
      <c r="I270">
        <f>tblPlayers[minutes]</f>
        <v>270</v>
      </c>
      <c r="J270" s="2">
        <f>Table8[[#This Row],[Minutes]]/90</f>
        <v>3</v>
      </c>
      <c r="K270" s="5">
        <f>IFERROR(Z270/(FIXTURE_ANALYSIS!$B$1-1),0)</f>
        <v>1</v>
      </c>
      <c r="L270">
        <f>tblPlayers[total_points]</f>
        <v>11</v>
      </c>
      <c r="M270">
        <f>tblPlayers[points_per_game]</f>
        <v>3.7</v>
      </c>
      <c r="N270">
        <f>tblPlayers[form]</f>
        <v>3.7</v>
      </c>
      <c r="O270">
        <f>tblPlayers[expected_goals]</f>
        <v>0</v>
      </c>
      <c r="P270">
        <f>tblPlayers[expected_assists]</f>
        <v>7.0000000000000007E-2</v>
      </c>
      <c r="Q270">
        <f>tblPlayers[expected_goal_involvements]</f>
        <v>7.0000000000000007E-2</v>
      </c>
      <c r="R270" s="2">
        <f t="shared" si="100"/>
        <v>3.666666666666667</v>
      </c>
      <c r="S270" s="5">
        <f t="shared" si="101"/>
        <v>0</v>
      </c>
      <c r="T270" s="5">
        <f t="shared" si="102"/>
        <v>2.3333333333333334E-2</v>
      </c>
      <c r="U270" s="5">
        <f t="shared" si="103"/>
        <v>2.3333333333333334E-2</v>
      </c>
      <c r="V270" s="3">
        <f t="shared" si="104"/>
        <v>2.4444444444444446</v>
      </c>
      <c r="W270" s="5">
        <f t="shared" si="105"/>
        <v>1.5555555555555557E-2</v>
      </c>
      <c r="X270" s="5">
        <f>IFERROR(IF(OR($B270="MID",$B270="FWD"),INDEX(FIXTURE_ANALYSIS!$Q:$Q,MATCH($D270,FIXTURE_ANALYSIS!$A:$A,0)),INDEX(FIXTURE_ANALYSIS!$R:$R,MATCH($D270,FIXTURE_ANALYSIS!$A:$A,0))),1)</f>
        <v>1.1192513001836562</v>
      </c>
      <c r="Y270" s="5">
        <f t="shared" si="106"/>
        <v>1.1192513001836562</v>
      </c>
      <c r="Z270" s="8">
        <f>INDEX(FPL_Raw_Data!$T:$T,MATCH(A270,FPL_Raw_Data!$AA:$AA,0))</f>
        <v>3</v>
      </c>
      <c r="AA270" s="8">
        <f>INDEX(FPL_Raw_Data!$S:$S,MATCH(A270,FPL_Raw_Data!$AA:$AA,0))</f>
        <v>22</v>
      </c>
      <c r="AB270" s="2">
        <f t="shared" si="107"/>
        <v>1</v>
      </c>
      <c r="AC270" s="2">
        <f>INDEX(FPL_Raw_Data!$Q:$Q,MATCH(A270,FPL_Raw_Data!$AA:$AA,0))</f>
        <v>0</v>
      </c>
      <c r="AD270" s="8">
        <f>INDEX(FPL_Raw_Data!$R:$R,MATCH(A270,FPL_Raw_Data!$AA:$AA,0))</f>
        <v>42</v>
      </c>
      <c r="AE270" s="8">
        <f>INDEX(FPL_Raw_Data!$N:$N,MATCH(A270,FPL_Raw_Data!$AA:$AA,0))</f>
        <v>1</v>
      </c>
      <c r="AF270" s="8">
        <f>INDEX(FPL_Raw_Data!$L:$L,MATCH(A270,FPL_Raw_Data!$AA:$AA,0))</f>
        <v>0</v>
      </c>
      <c r="AG270" s="2">
        <f>INDEX(FPL_Raw_Data!$M:$M,MATCH(A270,FPL_Raw_Data!$AA:$AA,0))</f>
        <v>0</v>
      </c>
      <c r="AH270" s="2">
        <f t="shared" si="108"/>
        <v>0</v>
      </c>
      <c r="AI270" s="2">
        <f t="shared" si="109"/>
        <v>7.0000000000000007E-2</v>
      </c>
      <c r="AJ270" s="2">
        <f t="shared" si="110"/>
        <v>2</v>
      </c>
      <c r="AK270" s="2">
        <f t="shared" si="111"/>
        <v>2</v>
      </c>
      <c r="AL270" s="2">
        <f t="shared" si="112"/>
        <v>0.33333333333333331</v>
      </c>
      <c r="AM270" s="2">
        <f t="shared" si="113"/>
        <v>1.3333333333333333</v>
      </c>
      <c r="AN270" s="2">
        <f t="shared" si="114"/>
        <v>0</v>
      </c>
      <c r="AO270" s="3">
        <f t="shared" si="115"/>
        <v>66.600000000000009</v>
      </c>
      <c r="AP270">
        <f t="shared" si="116"/>
        <v>55.800000000000004</v>
      </c>
      <c r="AQ270">
        <f t="shared" si="117"/>
        <v>91.2</v>
      </c>
      <c r="AR270">
        <f t="shared" si="118"/>
        <v>63.4</v>
      </c>
      <c r="AS270" s="2">
        <f t="shared" si="119"/>
        <v>100</v>
      </c>
      <c r="AT270" s="2">
        <f>IFERROR(INDEX(Player_Model!$BC$2:$BC$596,MATCH($A270,Player_Model!$A$2:$A$596,0)),0)</f>
        <v>4.9176890049489117</v>
      </c>
      <c r="AU270" s="2">
        <f>Table8[[#This Row],[Model Expected Points]]*Table8[[#This Row],[Fixture Adjustment]]</f>
        <v>5.5041298126879399</v>
      </c>
      <c r="AV270" s="2">
        <f>Table8[[#This Row],[Fixture Adjusted Points / 90]]/Table8[[#This Row],[Price]]</f>
        <v>1.2231399583750977</v>
      </c>
      <c r="AW270">
        <f t="shared" si="120"/>
        <v>55.800000000000004</v>
      </c>
      <c r="AX270">
        <f t="shared" si="121"/>
        <v>1.059625650091828</v>
      </c>
      <c r="AY270" s="2">
        <f t="shared" si="122"/>
        <v>100</v>
      </c>
      <c r="AZ270" s="5">
        <f t="shared" si="123"/>
        <v>1.1192513001836562</v>
      </c>
      <c r="BA270">
        <f>Table8[[#This Row],[Model Score2]]</f>
        <v>4.9176890049489117</v>
      </c>
      <c r="BB270">
        <f>IFERROR(INDEX(Player_Model!$BG$2:$BG$596,MATCH($A270,Player_Model!$A$2:$A$596,0)),"")</f>
        <v>37</v>
      </c>
      <c r="BC270" t="str">
        <f t="shared" si="124"/>
        <v>AVOID</v>
      </c>
      <c r="BD270">
        <f>IF(H270=1,Table8[[#This Row],[Model Score]],-10000)</f>
        <v>4.9176890049489117</v>
      </c>
      <c r="BE270">
        <f>IFERROR(INDEX(Player_Model!$BF$2:$BF$596,MATCH($A270,Player_Model!$A$2:$A$596,0)),"")</f>
        <v>99</v>
      </c>
      <c r="BF270">
        <f>IFERROR(INDEX(Player_Model!$BG$2:$BG$596,MATCH($A270,Player_Model!$A$2:$A$596,0)),"")</f>
        <v>37</v>
      </c>
      <c r="BG270">
        <f>IFERROR(INDEX(Player_Model!$BE$2:$BE$596,MATCH($A270,Player_Model!$A$2:$A$596,0)),0)</f>
        <v>4.9176890049489117</v>
      </c>
    </row>
    <row r="271" spans="1:59" x14ac:dyDescent="0.25">
      <c r="A271" t="str">
        <f>tblPlayers[first_name]&amp;" "&amp;tblPlayers[second_name]</f>
        <v>Nathan Patterson</v>
      </c>
      <c r="B271" t="str">
        <f>_xlfn.SWITCH(tblPlayers[element_type],1,"GK",2,"DEF",3,"MID",4,"FWD")</f>
        <v>DEF</v>
      </c>
      <c r="C271">
        <f>tblPlayers[team]</f>
        <v>9</v>
      </c>
      <c r="D271" t="str">
        <f>INDEX(tblTeams[Column1.short_name],MATCH(C271,tblTeams[Column1.id],0))</f>
        <v>EVE</v>
      </c>
      <c r="E271" s="4">
        <f>INDEX(FPL_Raw_Data!$F:$F,MATCH(A271,FPL_Raw_Data!$AA:$AA,0))/10</f>
        <v>4.5</v>
      </c>
      <c r="F271" s="4" t="str">
        <f>tblPlayers[[#This Row],[status]]</f>
        <v>u</v>
      </c>
      <c r="G271" s="4" t="b">
        <f>tblPlayers[[#This Row],[can_select]]</f>
        <v>0</v>
      </c>
      <c r="H271">
        <f>IF(AND(Table8[[#This Row],[Availability Status]]="a",Table8[[#This Row],[Can Select]]=TRUE),1,0)</f>
        <v>0</v>
      </c>
      <c r="I271">
        <f>tblPlayers[minutes]</f>
        <v>0</v>
      </c>
      <c r="J271" s="2">
        <f>Table8[[#This Row],[Minutes]]/90</f>
        <v>0</v>
      </c>
      <c r="K271" s="5">
        <f>IFERROR(Z271/(FIXTURE_ANALYSIS!$B$1-1),0)</f>
        <v>0</v>
      </c>
      <c r="L271">
        <f>tblPlayers[total_points]</f>
        <v>0</v>
      </c>
      <c r="M271">
        <f>tblPlayers[points_per_game]</f>
        <v>0</v>
      </c>
      <c r="N271">
        <f>tblPlayers[form]</f>
        <v>0</v>
      </c>
      <c r="O271">
        <f>tblPlayers[expected_goals]</f>
        <v>0</v>
      </c>
      <c r="P271">
        <f>tblPlayers[expected_assists]</f>
        <v>0</v>
      </c>
      <c r="Q271">
        <f>tblPlayers[expected_goal_involvements]</f>
        <v>0</v>
      </c>
      <c r="R271" s="2">
        <f t="shared" si="100"/>
        <v>0</v>
      </c>
      <c r="S271" s="5">
        <f t="shared" si="101"/>
        <v>0</v>
      </c>
      <c r="T271" s="5">
        <f t="shared" si="102"/>
        <v>0</v>
      </c>
      <c r="U271" s="5">
        <f t="shared" si="103"/>
        <v>0</v>
      </c>
      <c r="V271" s="3">
        <f t="shared" si="104"/>
        <v>0</v>
      </c>
      <c r="W271" s="5">
        <f t="shared" si="105"/>
        <v>0</v>
      </c>
      <c r="X271" s="5">
        <f>IFERROR(IF(OR($B271="MID",$B271="FWD"),INDEX(FIXTURE_ANALYSIS!$Q:$Q,MATCH($D271,FIXTURE_ANALYSIS!$A:$A,0)),INDEX(FIXTURE_ANALYSIS!$R:$R,MATCH($D271,FIXTURE_ANALYSIS!$A:$A,0))),1)</f>
        <v>1.1192513001836562</v>
      </c>
      <c r="Y271" s="5">
        <f t="shared" si="106"/>
        <v>1.1192513001836562</v>
      </c>
      <c r="Z271" s="8">
        <f>INDEX(FPL_Raw_Data!$T:$T,MATCH(A271,FPL_Raw_Data!$AA:$AA,0))</f>
        <v>0</v>
      </c>
      <c r="AA271" s="8">
        <f>INDEX(FPL_Raw_Data!$S:$S,MATCH(A271,FPL_Raw_Data!$AA:$AA,0))</f>
        <v>0</v>
      </c>
      <c r="AB271" s="2">
        <f t="shared" si="107"/>
        <v>0</v>
      </c>
      <c r="AC271" s="2">
        <f>INDEX(FPL_Raw_Data!$Q:$Q,MATCH(A271,FPL_Raw_Data!$AA:$AA,0))</f>
        <v>0</v>
      </c>
      <c r="AD271" s="8">
        <f>INDEX(FPL_Raw_Data!$R:$R,MATCH(A271,FPL_Raw_Data!$AA:$AA,0))</f>
        <v>0</v>
      </c>
      <c r="AE271" s="8">
        <f>INDEX(FPL_Raw_Data!$N:$N,MATCH(A271,FPL_Raw_Data!$AA:$AA,0))</f>
        <v>0</v>
      </c>
      <c r="AF271" s="8">
        <f>INDEX(FPL_Raw_Data!$L:$L,MATCH(A271,FPL_Raw_Data!$AA:$AA,0))</f>
        <v>0</v>
      </c>
      <c r="AG271" s="2">
        <f>INDEX(FPL_Raw_Data!$M:$M,MATCH(A271,FPL_Raw_Data!$AA:$AA,0))</f>
        <v>0</v>
      </c>
      <c r="AH271" s="2">
        <f t="shared" si="108"/>
        <v>0</v>
      </c>
      <c r="AI271" s="2">
        <f t="shared" si="109"/>
        <v>0</v>
      </c>
      <c r="AJ271" s="2">
        <f t="shared" si="110"/>
        <v>0</v>
      </c>
      <c r="AK271" s="2">
        <f t="shared" si="111"/>
        <v>0</v>
      </c>
      <c r="AL271" s="2">
        <f t="shared" si="112"/>
        <v>0</v>
      </c>
      <c r="AM271" s="2">
        <f t="shared" si="113"/>
        <v>0</v>
      </c>
      <c r="AN271" s="2">
        <f t="shared" si="114"/>
        <v>0</v>
      </c>
      <c r="AO271" s="3">
        <f t="shared" si="115"/>
        <v>0.1</v>
      </c>
      <c r="AP271">
        <f t="shared" si="116"/>
        <v>0</v>
      </c>
      <c r="AQ271">
        <f t="shared" si="117"/>
        <v>0.1</v>
      </c>
      <c r="AR271">
        <f t="shared" si="118"/>
        <v>0</v>
      </c>
      <c r="AS271" s="2">
        <f t="shared" si="119"/>
        <v>0</v>
      </c>
      <c r="AT271" s="2">
        <f>IFERROR(INDEX(Player_Model!$BC$2:$BC$596,MATCH($A271,Player_Model!$A$2:$A$596,0)),0)</f>
        <v>-0.55962565009182808</v>
      </c>
      <c r="AU271" s="2">
        <f>Table8[[#This Row],[Model Expected Points]]*Table8[[#This Row],[Fixture Adjustment]]</f>
        <v>-0.62636173648140236</v>
      </c>
      <c r="AV271" s="2">
        <f>Table8[[#This Row],[Fixture Adjusted Points / 90]]/Table8[[#This Row],[Price]]</f>
        <v>-0.13919149699586719</v>
      </c>
      <c r="AW271">
        <f t="shared" si="120"/>
        <v>0</v>
      </c>
      <c r="AX271">
        <f t="shared" si="121"/>
        <v>0.55962565009182808</v>
      </c>
      <c r="AY271" s="2">
        <f t="shared" si="122"/>
        <v>0</v>
      </c>
      <c r="AZ271" s="5">
        <f t="shared" si="123"/>
        <v>1.1192513001836562</v>
      </c>
      <c r="BA271">
        <f>Table8[[#This Row],[Model Score2]]</f>
        <v>-0.55962565009182808</v>
      </c>
      <c r="BB271">
        <f>IFERROR(INDEX(Player_Model!$BG$2:$BG$596,MATCH($A271,Player_Model!$A$2:$A$596,0)),"")</f>
        <v>124</v>
      </c>
      <c r="BC271" t="str">
        <f t="shared" si="124"/>
        <v>AVOID</v>
      </c>
      <c r="BD271">
        <f>IF(H271=1,Table8[[#This Row],[Model Score]],-10000)</f>
        <v>-10000</v>
      </c>
      <c r="BE271">
        <f>IFERROR(INDEX(Player_Model!$BF$2:$BF$596,MATCH($A271,Player_Model!$A$2:$A$596,0)),"")</f>
        <v>525</v>
      </c>
      <c r="BF271">
        <f>IFERROR(INDEX(Player_Model!$BG$2:$BG$596,MATCH($A271,Player_Model!$A$2:$A$596,0)),"")</f>
        <v>124</v>
      </c>
      <c r="BG271">
        <f>IFERROR(INDEX(Player_Model!$BE$2:$BE$596,MATCH($A271,Player_Model!$A$2:$A$596,0)),0)</f>
        <v>-0.55962565009182808</v>
      </c>
    </row>
    <row r="272" spans="1:59" x14ac:dyDescent="0.25">
      <c r="A272" t="str">
        <f>tblPlayers[first_name]&amp;" "&amp;tblPlayers[second_name]</f>
        <v>Adam Aznou</v>
      </c>
      <c r="B272" t="str">
        <f>_xlfn.SWITCH(tblPlayers[element_type],1,"GK",2,"DEF",3,"MID",4,"FWD")</f>
        <v>DEF</v>
      </c>
      <c r="C272">
        <f>tblPlayers[team]</f>
        <v>9</v>
      </c>
      <c r="D272" t="str">
        <f>INDEX(tblTeams[Column1.short_name],MATCH(C272,tblTeams[Column1.id],0))</f>
        <v>EVE</v>
      </c>
      <c r="E272" s="4">
        <f>INDEX(FPL_Raw_Data!$F:$F,MATCH(A272,FPL_Raw_Data!$AA:$AA,0))/10</f>
        <v>4</v>
      </c>
      <c r="F272" s="4" t="str">
        <f>tblPlayers[[#This Row],[status]]</f>
        <v>u</v>
      </c>
      <c r="G272" s="4" t="b">
        <f>tblPlayers[[#This Row],[can_select]]</f>
        <v>0</v>
      </c>
      <c r="H272">
        <f>IF(AND(Table8[[#This Row],[Availability Status]]="a",Table8[[#This Row],[Can Select]]=TRUE),1,0)</f>
        <v>0</v>
      </c>
      <c r="I272">
        <f>tblPlayers[minutes]</f>
        <v>0</v>
      </c>
      <c r="J272" s="2">
        <f>Table8[[#This Row],[Minutes]]/90</f>
        <v>0</v>
      </c>
      <c r="K272" s="5">
        <f>IFERROR(Z272/(FIXTURE_ANALYSIS!$B$1-1),0)</f>
        <v>0</v>
      </c>
      <c r="L272">
        <f>tblPlayers[total_points]</f>
        <v>0</v>
      </c>
      <c r="M272">
        <f>tblPlayers[points_per_game]</f>
        <v>0</v>
      </c>
      <c r="N272">
        <f>tblPlayers[form]</f>
        <v>0</v>
      </c>
      <c r="O272">
        <f>tblPlayers[expected_goals]</f>
        <v>0</v>
      </c>
      <c r="P272">
        <f>tblPlayers[expected_assists]</f>
        <v>0</v>
      </c>
      <c r="Q272">
        <f>tblPlayers[expected_goal_involvements]</f>
        <v>0</v>
      </c>
      <c r="R272" s="2">
        <f t="shared" si="100"/>
        <v>0</v>
      </c>
      <c r="S272" s="5">
        <f t="shared" si="101"/>
        <v>0</v>
      </c>
      <c r="T272" s="5">
        <f t="shared" si="102"/>
        <v>0</v>
      </c>
      <c r="U272" s="5">
        <f t="shared" si="103"/>
        <v>0</v>
      </c>
      <c r="V272" s="3">
        <f t="shared" si="104"/>
        <v>0</v>
      </c>
      <c r="W272" s="5">
        <f t="shared" si="105"/>
        <v>0</v>
      </c>
      <c r="X272" s="5">
        <f>IFERROR(IF(OR($B272="MID",$B272="FWD"),INDEX(FIXTURE_ANALYSIS!$Q:$Q,MATCH($D272,FIXTURE_ANALYSIS!$A:$A,0)),INDEX(FIXTURE_ANALYSIS!$R:$R,MATCH($D272,FIXTURE_ANALYSIS!$A:$A,0))),1)</f>
        <v>1.1192513001836562</v>
      </c>
      <c r="Y272" s="5">
        <f t="shared" si="106"/>
        <v>1.1192513001836562</v>
      </c>
      <c r="Z272" s="8">
        <f>INDEX(FPL_Raw_Data!$T:$T,MATCH(A272,FPL_Raw_Data!$AA:$AA,0))</f>
        <v>0</v>
      </c>
      <c r="AA272" s="8">
        <f>INDEX(FPL_Raw_Data!$S:$S,MATCH(A272,FPL_Raw_Data!$AA:$AA,0))</f>
        <v>0</v>
      </c>
      <c r="AB272" s="2">
        <f t="shared" si="107"/>
        <v>0</v>
      </c>
      <c r="AC272" s="2">
        <f>INDEX(FPL_Raw_Data!$Q:$Q,MATCH(A272,FPL_Raw_Data!$AA:$AA,0))</f>
        <v>0</v>
      </c>
      <c r="AD272" s="8">
        <f>INDEX(FPL_Raw_Data!$R:$R,MATCH(A272,FPL_Raw_Data!$AA:$AA,0))</f>
        <v>0</v>
      </c>
      <c r="AE272" s="8">
        <f>INDEX(FPL_Raw_Data!$N:$N,MATCH(A272,FPL_Raw_Data!$AA:$AA,0))</f>
        <v>0</v>
      </c>
      <c r="AF272" s="8">
        <f>INDEX(FPL_Raw_Data!$L:$L,MATCH(A272,FPL_Raw_Data!$AA:$AA,0))</f>
        <v>0</v>
      </c>
      <c r="AG272" s="2">
        <f>INDEX(FPL_Raw_Data!$M:$M,MATCH(A272,FPL_Raw_Data!$AA:$AA,0))</f>
        <v>0</v>
      </c>
      <c r="AH272" s="2">
        <f t="shared" si="108"/>
        <v>0</v>
      </c>
      <c r="AI272" s="2">
        <f t="shared" si="109"/>
        <v>0</v>
      </c>
      <c r="AJ272" s="2">
        <f t="shared" si="110"/>
        <v>0</v>
      </c>
      <c r="AK272" s="2">
        <f t="shared" si="111"/>
        <v>0</v>
      </c>
      <c r="AL272" s="2">
        <f t="shared" si="112"/>
        <v>0</v>
      </c>
      <c r="AM272" s="2">
        <f t="shared" si="113"/>
        <v>0</v>
      </c>
      <c r="AN272" s="2">
        <f t="shared" si="114"/>
        <v>0</v>
      </c>
      <c r="AO272" s="3">
        <f t="shared" si="115"/>
        <v>0.1</v>
      </c>
      <c r="AP272">
        <f t="shared" si="116"/>
        <v>0</v>
      </c>
      <c r="AQ272">
        <f t="shared" si="117"/>
        <v>0.1</v>
      </c>
      <c r="AR272">
        <f t="shared" si="118"/>
        <v>0</v>
      </c>
      <c r="AS272" s="2">
        <f t="shared" si="119"/>
        <v>0</v>
      </c>
      <c r="AT272" s="2">
        <f>IFERROR(INDEX(Player_Model!$BC$2:$BC$596,MATCH($A272,Player_Model!$A$2:$A$596,0)),0)</f>
        <v>-0.55962565009182808</v>
      </c>
      <c r="AU272" s="2">
        <f>Table8[[#This Row],[Model Expected Points]]*Table8[[#This Row],[Fixture Adjustment]]</f>
        <v>-0.62636173648140236</v>
      </c>
      <c r="AV272" s="2">
        <f>Table8[[#This Row],[Fixture Adjusted Points / 90]]/Table8[[#This Row],[Price]]</f>
        <v>-0.15659043412035059</v>
      </c>
      <c r="AW272">
        <f t="shared" si="120"/>
        <v>0</v>
      </c>
      <c r="AX272">
        <f t="shared" si="121"/>
        <v>0.55962565009182808</v>
      </c>
      <c r="AY272" s="2">
        <f t="shared" si="122"/>
        <v>0</v>
      </c>
      <c r="AZ272" s="5">
        <f t="shared" si="123"/>
        <v>1.1192513001836562</v>
      </c>
      <c r="BA272">
        <f>Table8[[#This Row],[Model Score2]]</f>
        <v>-0.55962565009182808</v>
      </c>
      <c r="BB272">
        <f>IFERROR(INDEX(Player_Model!$BG$2:$BG$596,MATCH($A272,Player_Model!$A$2:$A$596,0)),"")</f>
        <v>125</v>
      </c>
      <c r="BC272" t="str">
        <f t="shared" si="124"/>
        <v>AVOID</v>
      </c>
      <c r="BD272">
        <f>IF(H272=1,Table8[[#This Row],[Model Score]],-10000)</f>
        <v>-10000</v>
      </c>
      <c r="BE272">
        <f>IFERROR(INDEX(Player_Model!$BF$2:$BF$596,MATCH($A272,Player_Model!$A$2:$A$596,0)),"")</f>
        <v>525</v>
      </c>
      <c r="BF272">
        <f>IFERROR(INDEX(Player_Model!$BG$2:$BG$596,MATCH($A272,Player_Model!$A$2:$A$596,0)),"")</f>
        <v>125</v>
      </c>
      <c r="BG272">
        <f>IFERROR(INDEX(Player_Model!$BE$2:$BE$596,MATCH($A272,Player_Model!$A$2:$A$596,0)),0)</f>
        <v>-0.55962565009182808</v>
      </c>
    </row>
    <row r="273" spans="1:59" x14ac:dyDescent="0.25">
      <c r="A273" t="str">
        <f>tblPlayers[first_name]&amp;" "&amp;tblPlayers[second_name]</f>
        <v>Kiernan Dewsbury-Hall</v>
      </c>
      <c r="B273" t="str">
        <f>_xlfn.SWITCH(tblPlayers[element_type],1,"GK",2,"DEF",3,"MID",4,"FWD")</f>
        <v>MID</v>
      </c>
      <c r="C273">
        <f>tblPlayers[team]</f>
        <v>9</v>
      </c>
      <c r="D273" t="str">
        <f>INDEX(tblTeams[Column1.short_name],MATCH(C273,tblTeams[Column1.id],0))</f>
        <v>EVE</v>
      </c>
      <c r="E273" s="4">
        <f>INDEX(FPL_Raw_Data!$F:$F,MATCH(A273,FPL_Raw_Data!$AA:$AA,0))/10</f>
        <v>6.5</v>
      </c>
      <c r="F273" s="4" t="str">
        <f>tblPlayers[[#This Row],[status]]</f>
        <v>a</v>
      </c>
      <c r="G273" s="4" t="b">
        <f>tblPlayers[[#This Row],[can_select]]</f>
        <v>1</v>
      </c>
      <c r="H273">
        <f>IF(AND(Table8[[#This Row],[Availability Status]]="a",Table8[[#This Row],[Can Select]]=TRUE),1,0)</f>
        <v>1</v>
      </c>
      <c r="I273">
        <f>tblPlayers[minutes]</f>
        <v>270</v>
      </c>
      <c r="J273" s="2">
        <f>Table8[[#This Row],[Minutes]]/90</f>
        <v>3</v>
      </c>
      <c r="K273" s="5">
        <f>IFERROR(Z273/(FIXTURE_ANALYSIS!$B$1-1),0)</f>
        <v>1</v>
      </c>
      <c r="L273">
        <f>tblPlayers[total_points]</f>
        <v>15</v>
      </c>
      <c r="M273">
        <f>tblPlayers[points_per_game]</f>
        <v>5</v>
      </c>
      <c r="N273">
        <f>tblPlayers[form]</f>
        <v>5</v>
      </c>
      <c r="O273">
        <f>tblPlayers[expected_goals]</f>
        <v>0.45</v>
      </c>
      <c r="P273">
        <f>tblPlayers[expected_assists]</f>
        <v>0.4</v>
      </c>
      <c r="Q273">
        <f>tblPlayers[expected_goal_involvements]</f>
        <v>0.85</v>
      </c>
      <c r="R273" s="2">
        <f t="shared" si="100"/>
        <v>5</v>
      </c>
      <c r="S273" s="5">
        <f t="shared" si="101"/>
        <v>0.15000000000000002</v>
      </c>
      <c r="T273" s="5">
        <f t="shared" si="102"/>
        <v>0.13333333333333336</v>
      </c>
      <c r="U273" s="5">
        <f t="shared" si="103"/>
        <v>0.28333333333333333</v>
      </c>
      <c r="V273" s="3">
        <f t="shared" si="104"/>
        <v>2.3076923076923075</v>
      </c>
      <c r="W273" s="5">
        <f t="shared" si="105"/>
        <v>0.13076923076923078</v>
      </c>
      <c r="X273" s="5">
        <f>IFERROR(IF(OR($B273="MID",$B273="FWD"),INDEX(FIXTURE_ANALYSIS!$Q:$Q,MATCH($D273,FIXTURE_ANALYSIS!$A:$A,0)),INDEX(FIXTURE_ANALYSIS!$R:$R,MATCH($D273,FIXTURE_ANALYSIS!$A:$A,0))),1)</f>
        <v>1.0752768166089965</v>
      </c>
      <c r="Y273" s="5">
        <f t="shared" si="106"/>
        <v>1.0752768166089965</v>
      </c>
      <c r="Z273" s="8">
        <f>INDEX(FPL_Raw_Data!$T:$T,MATCH(A273,FPL_Raw_Data!$AA:$AA,0))</f>
        <v>3</v>
      </c>
      <c r="AA273" s="8">
        <f>INDEX(FPL_Raw_Data!$S:$S,MATCH(A273,FPL_Raw_Data!$AA:$AA,0))</f>
        <v>29</v>
      </c>
      <c r="AB273" s="2">
        <f t="shared" si="107"/>
        <v>1</v>
      </c>
      <c r="AC273" s="2">
        <f>INDEX(FPL_Raw_Data!$Q:$Q,MATCH(A273,FPL_Raw_Data!$AA:$AA,0))</f>
        <v>3</v>
      </c>
      <c r="AD273" s="8">
        <f>INDEX(FPL_Raw_Data!$R:$R,MATCH(A273,FPL_Raw_Data!$AA:$AA,0))</f>
        <v>84</v>
      </c>
      <c r="AE273" s="8">
        <f>INDEX(FPL_Raw_Data!$N:$N,MATCH(A273,FPL_Raw_Data!$AA:$AA,0))</f>
        <v>1</v>
      </c>
      <c r="AF273" s="8">
        <f>INDEX(FPL_Raw_Data!$L:$L,MATCH(A273,FPL_Raw_Data!$AA:$AA,0))</f>
        <v>1</v>
      </c>
      <c r="AG273" s="2">
        <f>INDEX(FPL_Raw_Data!$M:$M,MATCH(A273,FPL_Raw_Data!$AA:$AA,0))</f>
        <v>0</v>
      </c>
      <c r="AH273" s="2">
        <f t="shared" si="108"/>
        <v>0.75000000000000011</v>
      </c>
      <c r="AI273" s="2">
        <f t="shared" si="109"/>
        <v>0.40000000000000008</v>
      </c>
      <c r="AJ273" s="2">
        <f t="shared" si="110"/>
        <v>2</v>
      </c>
      <c r="AK273" s="2">
        <f t="shared" si="111"/>
        <v>2</v>
      </c>
      <c r="AL273" s="2">
        <f t="shared" si="112"/>
        <v>0.33333333333333331</v>
      </c>
      <c r="AM273" s="2">
        <f t="shared" si="113"/>
        <v>0.33333333333333331</v>
      </c>
      <c r="AN273" s="2">
        <f t="shared" si="114"/>
        <v>1</v>
      </c>
      <c r="AO273" s="3">
        <f t="shared" si="115"/>
        <v>75.400000000000006</v>
      </c>
      <c r="AP273">
        <f t="shared" si="116"/>
        <v>82.399999999999991</v>
      </c>
      <c r="AQ273">
        <f t="shared" si="117"/>
        <v>90</v>
      </c>
      <c r="AR273">
        <f t="shared" si="118"/>
        <v>89</v>
      </c>
      <c r="AS273" s="2">
        <f t="shared" si="119"/>
        <v>100</v>
      </c>
      <c r="AT273" s="2">
        <f>IFERROR(INDEX(Player_Model!$BC$2:$BC$596,MATCH($A273,Player_Model!$A$2:$A$596,0)),0)</f>
        <v>5.4660297566544855</v>
      </c>
      <c r="AU273" s="2">
        <f>Table8[[#This Row],[Model Expected Points]]*Table8[[#This Row],[Fixture Adjustment]]</f>
        <v>5.8774950762254834</v>
      </c>
      <c r="AV273" s="2">
        <f>Table8[[#This Row],[Fixture Adjusted Points / 90]]/Table8[[#This Row],[Price]]</f>
        <v>0.90423001172699746</v>
      </c>
      <c r="AW273">
        <f t="shared" si="120"/>
        <v>78.900000000000006</v>
      </c>
      <c r="AX273">
        <f t="shared" si="121"/>
        <v>1</v>
      </c>
      <c r="AY273" s="2">
        <f t="shared" si="122"/>
        <v>100</v>
      </c>
      <c r="AZ273" s="5">
        <f t="shared" si="123"/>
        <v>1.0752768166089965</v>
      </c>
      <c r="BA273">
        <f>Table8[[#This Row],[Model Score2]]</f>
        <v>5.4660297566544855</v>
      </c>
      <c r="BB273">
        <f>IFERROR(INDEX(Player_Model!$BG$2:$BG$596,MATCH($A273,Player_Model!$A$2:$A$596,0)),"")</f>
        <v>30</v>
      </c>
      <c r="BC273" t="str">
        <f t="shared" si="124"/>
        <v>AVOID</v>
      </c>
      <c r="BD273">
        <f>IF(H273=1,Table8[[#This Row],[Model Score]],-10000)</f>
        <v>5.4660297566544855</v>
      </c>
      <c r="BE273">
        <f>IFERROR(INDEX(Player_Model!$BF$2:$BF$596,MATCH($A273,Player_Model!$A$2:$A$596,0)),"")</f>
        <v>68</v>
      </c>
      <c r="BF273">
        <f>IFERROR(INDEX(Player_Model!$BG$2:$BG$596,MATCH($A273,Player_Model!$A$2:$A$596,0)),"")</f>
        <v>30</v>
      </c>
      <c r="BG273">
        <f>IFERROR(INDEX(Player_Model!$BE$2:$BE$596,MATCH($A273,Player_Model!$A$2:$A$596,0)),0)</f>
        <v>5.4660297566544855</v>
      </c>
    </row>
    <row r="274" spans="1:59" x14ac:dyDescent="0.25">
      <c r="A274" t="str">
        <f>tblPlayers[first_name]&amp;" "&amp;tblPlayers[second_name]</f>
        <v>Jack Grealish</v>
      </c>
      <c r="B274" t="str">
        <f>_xlfn.SWITCH(tblPlayers[element_type],1,"GK",2,"DEF",3,"MID",4,"FWD")</f>
        <v>MID</v>
      </c>
      <c r="C274">
        <f>tblPlayers[team]</f>
        <v>9</v>
      </c>
      <c r="D274" t="str">
        <f>INDEX(tblTeams[Column1.short_name],MATCH(C274,tblTeams[Column1.id],0))</f>
        <v>EVE</v>
      </c>
      <c r="E274" s="4">
        <f>INDEX(FPL_Raw_Data!$F:$F,MATCH(A274,FPL_Raw_Data!$AA:$AA,0))/10</f>
        <v>6.5</v>
      </c>
      <c r="F274" s="4" t="str">
        <f>tblPlayers[[#This Row],[status]]</f>
        <v>a</v>
      </c>
      <c r="G274" s="4" t="b">
        <f>tblPlayers[[#This Row],[can_select]]</f>
        <v>1</v>
      </c>
      <c r="H274">
        <f>IF(AND(Table8[[#This Row],[Availability Status]]="a",Table8[[#This Row],[Can Select]]=TRUE),1,0)</f>
        <v>1</v>
      </c>
      <c r="I274">
        <f>tblPlayers[minutes]</f>
        <v>32</v>
      </c>
      <c r="J274" s="2">
        <f>Table8[[#This Row],[Minutes]]/90</f>
        <v>0.35555555555555557</v>
      </c>
      <c r="K274" s="5">
        <f>IFERROR(Z274/(FIXTURE_ANALYSIS!$B$1-1),0)</f>
        <v>0</v>
      </c>
      <c r="L274">
        <f>tblPlayers[total_points]</f>
        <v>2</v>
      </c>
      <c r="M274">
        <f>tblPlayers[points_per_game]</f>
        <v>1</v>
      </c>
      <c r="N274">
        <f>tblPlayers[form]</f>
        <v>0.7</v>
      </c>
      <c r="O274">
        <f>tblPlayers[expected_goals]</f>
        <v>0.02</v>
      </c>
      <c r="P274">
        <f>tblPlayers[expected_assists]</f>
        <v>0.13</v>
      </c>
      <c r="Q274">
        <f>tblPlayers[expected_goal_involvements]</f>
        <v>0.15</v>
      </c>
      <c r="R274" s="2">
        <f t="shared" si="100"/>
        <v>5.625</v>
      </c>
      <c r="S274" s="5">
        <f t="shared" si="101"/>
        <v>5.6250000000000001E-2</v>
      </c>
      <c r="T274" s="5">
        <f t="shared" si="102"/>
        <v>0.36562500000000003</v>
      </c>
      <c r="U274" s="5">
        <f t="shared" si="103"/>
        <v>0.421875</v>
      </c>
      <c r="V274" s="3">
        <f t="shared" si="104"/>
        <v>0.30769230769230771</v>
      </c>
      <c r="W274" s="5">
        <f t="shared" si="105"/>
        <v>2.3076923076923075E-2</v>
      </c>
      <c r="X274" s="5">
        <f>IFERROR(IF(OR($B274="MID",$B274="FWD"),INDEX(FIXTURE_ANALYSIS!$Q:$Q,MATCH($D274,FIXTURE_ANALYSIS!$A:$A,0)),INDEX(FIXTURE_ANALYSIS!$R:$R,MATCH($D274,FIXTURE_ANALYSIS!$A:$A,0))),1)</f>
        <v>1.0752768166089965</v>
      </c>
      <c r="Y274" s="5">
        <f t="shared" si="106"/>
        <v>1.0752768166089965</v>
      </c>
      <c r="Z274" s="8">
        <f>INDEX(FPL_Raw_Data!$T:$T,MATCH(A274,FPL_Raw_Data!$AA:$AA,0))</f>
        <v>0</v>
      </c>
      <c r="AA274" s="8">
        <f>INDEX(FPL_Raw_Data!$S:$S,MATCH(A274,FPL_Raw_Data!$AA:$AA,0))</f>
        <v>2</v>
      </c>
      <c r="AB274" s="2">
        <f t="shared" si="107"/>
        <v>0.16666666666666666</v>
      </c>
      <c r="AC274" s="2">
        <f>INDEX(FPL_Raw_Data!$Q:$Q,MATCH(A274,FPL_Raw_Data!$AA:$AA,0))</f>
        <v>0</v>
      </c>
      <c r="AD274" s="8">
        <f>INDEX(FPL_Raw_Data!$R:$R,MATCH(A274,FPL_Raw_Data!$AA:$AA,0))</f>
        <v>10</v>
      </c>
      <c r="AE274" s="8">
        <f>INDEX(FPL_Raw_Data!$N:$N,MATCH(A274,FPL_Raw_Data!$AA:$AA,0))</f>
        <v>0</v>
      </c>
      <c r="AF274" s="8">
        <f>INDEX(FPL_Raw_Data!$L:$L,MATCH(A274,FPL_Raw_Data!$AA:$AA,0))</f>
        <v>0</v>
      </c>
      <c r="AG274" s="2">
        <f>INDEX(FPL_Raw_Data!$M:$M,MATCH(A274,FPL_Raw_Data!$AA:$AA,0))</f>
        <v>0</v>
      </c>
      <c r="AH274" s="2">
        <f t="shared" si="108"/>
        <v>0.28125</v>
      </c>
      <c r="AI274" s="2">
        <f t="shared" si="109"/>
        <v>1.096875</v>
      </c>
      <c r="AJ274" s="2">
        <f t="shared" si="110"/>
        <v>0</v>
      </c>
      <c r="AK274" s="2">
        <f t="shared" si="111"/>
        <v>0.33333333333333331</v>
      </c>
      <c r="AL274" s="2">
        <f t="shared" si="112"/>
        <v>0</v>
      </c>
      <c r="AM274" s="2">
        <f t="shared" si="113"/>
        <v>0</v>
      </c>
      <c r="AN274" s="2">
        <f t="shared" si="114"/>
        <v>0</v>
      </c>
      <c r="AO274" s="3">
        <f t="shared" si="115"/>
        <v>79.2</v>
      </c>
      <c r="AP274">
        <f t="shared" si="116"/>
        <v>89</v>
      </c>
      <c r="AQ274">
        <f t="shared" si="117"/>
        <v>50</v>
      </c>
      <c r="AR274">
        <f t="shared" si="118"/>
        <v>68.600000000000009</v>
      </c>
      <c r="AS274" s="2">
        <f t="shared" si="119"/>
        <v>0</v>
      </c>
      <c r="AT274" s="2">
        <f>IFERROR(INDEX(Player_Model!$BC$2:$BC$596,MATCH($A274,Player_Model!$A$2:$A$596,0)),0)</f>
        <v>0</v>
      </c>
      <c r="AU274" s="2">
        <f>Table8[[#This Row],[Model Expected Points]]*Table8[[#This Row],[Fixture Adjustment]]</f>
        <v>0</v>
      </c>
      <c r="AV274" s="2">
        <f>Table8[[#This Row],[Fixture Adjusted Points / 90]]/Table8[[#This Row],[Price]]</f>
        <v>0</v>
      </c>
      <c r="AW274">
        <f t="shared" si="120"/>
        <v>84.1</v>
      </c>
      <c r="AX274">
        <f t="shared" si="121"/>
        <v>0.16666666666666666</v>
      </c>
      <c r="AY274" s="2">
        <f t="shared" si="122"/>
        <v>0</v>
      </c>
      <c r="AZ274" s="5">
        <f t="shared" si="123"/>
        <v>1.0752768166089965</v>
      </c>
      <c r="BA274">
        <f>Table8[[#This Row],[Model Score2]]</f>
        <v>0</v>
      </c>
      <c r="BB274">
        <f>IFERROR(INDEX(Player_Model!$BG$2:$BG$596,MATCH($A274,Player_Model!$A$2:$A$596,0)),"")</f>
        <v>181</v>
      </c>
      <c r="BC274" t="str">
        <f t="shared" si="124"/>
        <v>AVOID</v>
      </c>
      <c r="BD274">
        <f>IF(H274=1,Table8[[#This Row],[Model Score]],-10000)</f>
        <v>0</v>
      </c>
      <c r="BE274">
        <f>IFERROR(INDEX(Player_Model!$BF$2:$BF$596,MATCH($A274,Player_Model!$A$2:$A$596,0)),"")</f>
        <v>253</v>
      </c>
      <c r="BF274">
        <f>IFERROR(INDEX(Player_Model!$BG$2:$BG$596,MATCH($A274,Player_Model!$A$2:$A$596,0)),"")</f>
        <v>181</v>
      </c>
      <c r="BG274">
        <f>IFERROR(INDEX(Player_Model!$BE$2:$BE$596,MATCH($A274,Player_Model!$A$2:$A$596,0)),0)</f>
        <v>0</v>
      </c>
    </row>
    <row r="275" spans="1:59" x14ac:dyDescent="0.25">
      <c r="A275" t="str">
        <f>tblPlayers[first_name]&amp;" "&amp;tblPlayers[second_name]</f>
        <v>James Garner</v>
      </c>
      <c r="B275" t="str">
        <f>_xlfn.SWITCH(tblPlayers[element_type],1,"GK",2,"DEF",3,"MID",4,"FWD")</f>
        <v>MID</v>
      </c>
      <c r="C275">
        <f>tblPlayers[team]</f>
        <v>9</v>
      </c>
      <c r="D275" t="str">
        <f>INDEX(tblTeams[Column1.short_name],MATCH(C275,tblTeams[Column1.id],0))</f>
        <v>EVE</v>
      </c>
      <c r="E275" s="4">
        <f>INDEX(FPL_Raw_Data!$F:$F,MATCH(A275,FPL_Raw_Data!$AA:$AA,0))/10</f>
        <v>6</v>
      </c>
      <c r="F275" s="4" t="str">
        <f>tblPlayers[[#This Row],[status]]</f>
        <v>d</v>
      </c>
      <c r="G275" s="4" t="b">
        <f>tblPlayers[[#This Row],[can_select]]</f>
        <v>1</v>
      </c>
      <c r="H275">
        <f>IF(AND(Table8[[#This Row],[Availability Status]]="a",Table8[[#This Row],[Can Select]]=TRUE),1,0)</f>
        <v>0</v>
      </c>
      <c r="I275">
        <f>tblPlayers[minutes]</f>
        <v>148</v>
      </c>
      <c r="J275" s="2">
        <f>Table8[[#This Row],[Minutes]]/90</f>
        <v>1.6444444444444444</v>
      </c>
      <c r="K275" s="5">
        <f>IFERROR(Z275/(FIXTURE_ANALYSIS!$B$1-1),0)</f>
        <v>0.66666666666666663</v>
      </c>
      <c r="L275">
        <f>tblPlayers[total_points]</f>
        <v>4</v>
      </c>
      <c r="M275">
        <f>tblPlayers[points_per_game]</f>
        <v>1.3</v>
      </c>
      <c r="N275">
        <f>tblPlayers[form]</f>
        <v>1.3</v>
      </c>
      <c r="O275">
        <f>tblPlayers[expected_goals]</f>
        <v>0</v>
      </c>
      <c r="P275">
        <f>tblPlayers[expected_assists]</f>
        <v>0.11</v>
      </c>
      <c r="Q275">
        <f>tblPlayers[expected_goal_involvements]</f>
        <v>0.11</v>
      </c>
      <c r="R275" s="2">
        <f t="shared" si="100"/>
        <v>2.4324324324324325</v>
      </c>
      <c r="S275" s="5">
        <f t="shared" si="101"/>
        <v>0</v>
      </c>
      <c r="T275" s="5">
        <f t="shared" si="102"/>
        <v>6.6891891891891889E-2</v>
      </c>
      <c r="U275" s="5">
        <f t="shared" si="103"/>
        <v>6.6891891891891889E-2</v>
      </c>
      <c r="V275" s="3">
        <f t="shared" si="104"/>
        <v>0.66666666666666663</v>
      </c>
      <c r="W275" s="5">
        <f t="shared" si="105"/>
        <v>1.8333333333333333E-2</v>
      </c>
      <c r="X275" s="5">
        <f>IFERROR(IF(OR($B275="MID",$B275="FWD"),INDEX(FIXTURE_ANALYSIS!$Q:$Q,MATCH($D275,FIXTURE_ANALYSIS!$A:$A,0)),INDEX(FIXTURE_ANALYSIS!$R:$R,MATCH($D275,FIXTURE_ANALYSIS!$A:$A,0))),1)</f>
        <v>1.0752768166089965</v>
      </c>
      <c r="Y275" s="5">
        <f t="shared" si="106"/>
        <v>1.0752768166089965</v>
      </c>
      <c r="Z275" s="8">
        <f>INDEX(FPL_Raw_Data!$T:$T,MATCH(A275,FPL_Raw_Data!$AA:$AA,0))</f>
        <v>2</v>
      </c>
      <c r="AA275" s="8">
        <f>INDEX(FPL_Raw_Data!$S:$S,MATCH(A275,FPL_Raw_Data!$AA:$AA,0))</f>
        <v>19</v>
      </c>
      <c r="AB275" s="2">
        <f t="shared" si="107"/>
        <v>1</v>
      </c>
      <c r="AC275" s="2">
        <f>INDEX(FPL_Raw_Data!$Q:$Q,MATCH(A275,FPL_Raw_Data!$AA:$AA,0))</f>
        <v>0</v>
      </c>
      <c r="AD275" s="8">
        <f>INDEX(FPL_Raw_Data!$R:$R,MATCH(A275,FPL_Raw_Data!$AA:$AA,0))</f>
        <v>34</v>
      </c>
      <c r="AE275" s="8">
        <f>INDEX(FPL_Raw_Data!$N:$N,MATCH(A275,FPL_Raw_Data!$AA:$AA,0))</f>
        <v>0</v>
      </c>
      <c r="AF275" s="8">
        <f>INDEX(FPL_Raw_Data!$L:$L,MATCH(A275,FPL_Raw_Data!$AA:$AA,0))</f>
        <v>0</v>
      </c>
      <c r="AG275" s="2">
        <f>INDEX(FPL_Raw_Data!$M:$M,MATCH(A275,FPL_Raw_Data!$AA:$AA,0))</f>
        <v>0</v>
      </c>
      <c r="AH275" s="2">
        <f t="shared" si="108"/>
        <v>0</v>
      </c>
      <c r="AI275" s="2">
        <f t="shared" si="109"/>
        <v>0.20067567567567568</v>
      </c>
      <c r="AJ275" s="2">
        <f t="shared" si="110"/>
        <v>1.3333333333333333</v>
      </c>
      <c r="AK275" s="2">
        <f t="shared" si="111"/>
        <v>2</v>
      </c>
      <c r="AL275" s="2">
        <f t="shared" si="112"/>
        <v>0</v>
      </c>
      <c r="AM275" s="2">
        <f t="shared" si="113"/>
        <v>0</v>
      </c>
      <c r="AN275" s="2">
        <f t="shared" si="114"/>
        <v>0</v>
      </c>
      <c r="AO275" s="3">
        <f t="shared" si="115"/>
        <v>52</v>
      </c>
      <c r="AP275">
        <f t="shared" si="116"/>
        <v>64.400000000000006</v>
      </c>
      <c r="AQ275">
        <f t="shared" si="117"/>
        <v>62.2</v>
      </c>
      <c r="AR275">
        <f t="shared" si="118"/>
        <v>64.900000000000006</v>
      </c>
      <c r="AS275" s="2">
        <f t="shared" si="119"/>
        <v>66.666666666666657</v>
      </c>
      <c r="AT275" s="2">
        <f>IFERROR(INDEX(Player_Model!$BC$2:$BC$596,MATCH($A275,Player_Model!$A$2:$A$596,0)),0)</f>
        <v>4.6848264976335221</v>
      </c>
      <c r="AU275" s="2">
        <f>Table8[[#This Row],[Model Expected Points]]*Table8[[#This Row],[Fixture Adjustment]]</f>
        <v>5.0374853227408485</v>
      </c>
      <c r="AV275" s="2">
        <f>Table8[[#This Row],[Fixture Adjusted Points / 90]]/Table8[[#This Row],[Price]]</f>
        <v>0.83958088712347478</v>
      </c>
      <c r="AW275">
        <f t="shared" si="120"/>
        <v>58.2</v>
      </c>
      <c r="AX275">
        <f t="shared" si="121"/>
        <v>1</v>
      </c>
      <c r="AY275" s="2">
        <f t="shared" si="122"/>
        <v>66.666666666666657</v>
      </c>
      <c r="AZ275" s="5">
        <f t="shared" si="123"/>
        <v>1.0752768166089965</v>
      </c>
      <c r="BA275">
        <f>Table8[[#This Row],[Model Score2]]</f>
        <v>4.6848264976335221</v>
      </c>
      <c r="BB275">
        <f>IFERROR(INDEX(Player_Model!$BG$2:$BG$596,MATCH($A275,Player_Model!$A$2:$A$596,0)),"")</f>
        <v>54</v>
      </c>
      <c r="BC275" t="str">
        <f t="shared" si="124"/>
        <v>AVOID</v>
      </c>
      <c r="BD275">
        <f>IF(H275=1,Table8[[#This Row],[Model Score]],-10000)</f>
        <v>-10000</v>
      </c>
      <c r="BE275">
        <f>IFERROR(INDEX(Player_Model!$BF$2:$BF$596,MATCH($A275,Player_Model!$A$2:$A$596,0)),"")</f>
        <v>115</v>
      </c>
      <c r="BF275">
        <f>IFERROR(INDEX(Player_Model!$BG$2:$BG$596,MATCH($A275,Player_Model!$A$2:$A$596,0)),"")</f>
        <v>54</v>
      </c>
      <c r="BG275">
        <f>IFERROR(INDEX(Player_Model!$BE$2:$BE$596,MATCH($A275,Player_Model!$A$2:$A$596,0)),0)</f>
        <v>4.6848264976335221</v>
      </c>
    </row>
    <row r="276" spans="1:59" x14ac:dyDescent="0.25">
      <c r="A276" t="str">
        <f>tblPlayers[first_name]&amp;" "&amp;tblPlayers[second_name]</f>
        <v>Tyrique George</v>
      </c>
      <c r="B276" t="str">
        <f>_xlfn.SWITCH(tblPlayers[element_type],1,"GK",2,"DEF",3,"MID",4,"FWD")</f>
        <v>MID</v>
      </c>
      <c r="C276">
        <f>tblPlayers[team]</f>
        <v>9</v>
      </c>
      <c r="D276" t="str">
        <f>INDEX(tblTeams[Column1.short_name],MATCH(C276,tblTeams[Column1.id],0))</f>
        <v>EVE</v>
      </c>
      <c r="E276" s="4">
        <f>INDEX(FPL_Raw_Data!$F:$F,MATCH(A276,FPL_Raw_Data!$AA:$AA,0))/10</f>
        <v>5.5</v>
      </c>
      <c r="F276" s="4" t="str">
        <f>tblPlayers[[#This Row],[status]]</f>
        <v>a</v>
      </c>
      <c r="G276" s="4" t="b">
        <f>tblPlayers[[#This Row],[can_select]]</f>
        <v>1</v>
      </c>
      <c r="H276">
        <f>IF(AND(Table8[[#This Row],[Availability Status]]="a",Table8[[#This Row],[Can Select]]=TRUE),1,0)</f>
        <v>1</v>
      </c>
      <c r="I276">
        <f>tblPlayers[minutes]</f>
        <v>234</v>
      </c>
      <c r="J276" s="2">
        <f>Table8[[#This Row],[Minutes]]/90</f>
        <v>2.6</v>
      </c>
      <c r="K276" s="5">
        <f>IFERROR(Z276/(FIXTURE_ANALYSIS!$B$1-1),0)</f>
        <v>1</v>
      </c>
      <c r="L276">
        <f>tblPlayers[total_points]</f>
        <v>15</v>
      </c>
      <c r="M276">
        <f>tblPlayers[points_per_game]</f>
        <v>5</v>
      </c>
      <c r="N276">
        <f>tblPlayers[form]</f>
        <v>5</v>
      </c>
      <c r="O276">
        <f>tblPlayers[expected_goals]</f>
        <v>0.27</v>
      </c>
      <c r="P276">
        <f>tblPlayers[expected_assists]</f>
        <v>0.16</v>
      </c>
      <c r="Q276">
        <f>tblPlayers[expected_goal_involvements]</f>
        <v>0.43</v>
      </c>
      <c r="R276" s="2">
        <f t="shared" si="100"/>
        <v>5.7692307692307683</v>
      </c>
      <c r="S276" s="5">
        <f t="shared" si="101"/>
        <v>0.10384615384615385</v>
      </c>
      <c r="T276" s="5">
        <f t="shared" si="102"/>
        <v>6.1538461538461542E-2</v>
      </c>
      <c r="U276" s="5">
        <f t="shared" si="103"/>
        <v>0.16538461538461538</v>
      </c>
      <c r="V276" s="3">
        <f t="shared" si="104"/>
        <v>2.7272727272727271</v>
      </c>
      <c r="W276" s="5">
        <f t="shared" si="105"/>
        <v>7.8181818181818186E-2</v>
      </c>
      <c r="X276" s="5">
        <f>IFERROR(IF(OR($B276="MID",$B276="FWD"),INDEX(FIXTURE_ANALYSIS!$Q:$Q,MATCH($D276,FIXTURE_ANALYSIS!$A:$A,0)),INDEX(FIXTURE_ANALYSIS!$R:$R,MATCH($D276,FIXTURE_ANALYSIS!$A:$A,0))),1)</f>
        <v>1.0752768166089965</v>
      </c>
      <c r="Y276" s="5">
        <f t="shared" si="106"/>
        <v>1.0752768166089965</v>
      </c>
      <c r="Z276" s="8">
        <f>INDEX(FPL_Raw_Data!$T:$T,MATCH(A276,FPL_Raw_Data!$AA:$AA,0))</f>
        <v>3</v>
      </c>
      <c r="AA276" s="8">
        <f>INDEX(FPL_Raw_Data!$S:$S,MATCH(A276,FPL_Raw_Data!$AA:$AA,0))</f>
        <v>13</v>
      </c>
      <c r="AB276" s="2">
        <f t="shared" si="107"/>
        <v>1</v>
      </c>
      <c r="AC276" s="2">
        <f>INDEX(FPL_Raw_Data!$Q:$Q,MATCH(A276,FPL_Raw_Data!$AA:$AA,0))</f>
        <v>3</v>
      </c>
      <c r="AD276" s="8">
        <f>INDEX(FPL_Raw_Data!$R:$R,MATCH(A276,FPL_Raw_Data!$AA:$AA,0))</f>
        <v>60</v>
      </c>
      <c r="AE276" s="8">
        <f>INDEX(FPL_Raw_Data!$N:$N,MATCH(A276,FPL_Raw_Data!$AA:$AA,0))</f>
        <v>1</v>
      </c>
      <c r="AF276" s="8">
        <f>INDEX(FPL_Raw_Data!$L:$L,MATCH(A276,FPL_Raw_Data!$AA:$AA,0))</f>
        <v>1</v>
      </c>
      <c r="AG276" s="2">
        <f>INDEX(FPL_Raw_Data!$M:$M,MATCH(A276,FPL_Raw_Data!$AA:$AA,0))</f>
        <v>0</v>
      </c>
      <c r="AH276" s="2">
        <f t="shared" si="108"/>
        <v>0.51923076923076927</v>
      </c>
      <c r="AI276" s="2">
        <f t="shared" si="109"/>
        <v>0.18461538461538463</v>
      </c>
      <c r="AJ276" s="2">
        <f t="shared" si="110"/>
        <v>2</v>
      </c>
      <c r="AK276" s="2">
        <f t="shared" si="111"/>
        <v>2</v>
      </c>
      <c r="AL276" s="2">
        <f t="shared" si="112"/>
        <v>0.33333333333333331</v>
      </c>
      <c r="AM276" s="2">
        <f t="shared" si="113"/>
        <v>0.33333333333333331</v>
      </c>
      <c r="AN276" s="2">
        <f t="shared" si="114"/>
        <v>1</v>
      </c>
      <c r="AO276" s="3">
        <f t="shared" si="115"/>
        <v>80.300000000000011</v>
      </c>
      <c r="AP276">
        <f t="shared" si="116"/>
        <v>73.7</v>
      </c>
      <c r="AQ276">
        <f t="shared" si="117"/>
        <v>93.2</v>
      </c>
      <c r="AR276">
        <f t="shared" si="118"/>
        <v>81.399999999999991</v>
      </c>
      <c r="AS276" s="2">
        <f t="shared" si="119"/>
        <v>100</v>
      </c>
      <c r="AT276" s="2">
        <f>IFERROR(INDEX(Player_Model!$BC$2:$BC$596,MATCH($A276,Player_Model!$A$2:$A$596,0)),0)</f>
        <v>4.2649252530011781</v>
      </c>
      <c r="AU276" s="2">
        <f>Table8[[#This Row],[Model Expected Points]]*Table8[[#This Row],[Fixture Adjustment]]</f>
        <v>4.5859752491224262</v>
      </c>
      <c r="AV276" s="2">
        <f>Table8[[#This Row],[Fixture Adjusted Points / 90]]/Table8[[#This Row],[Price]]</f>
        <v>0.83381368165862291</v>
      </c>
      <c r="AW276">
        <f t="shared" si="120"/>
        <v>77</v>
      </c>
      <c r="AX276">
        <f t="shared" si="121"/>
        <v>1</v>
      </c>
      <c r="AY276" s="2">
        <f t="shared" si="122"/>
        <v>100</v>
      </c>
      <c r="AZ276" s="5">
        <f t="shared" si="123"/>
        <v>1.0752768166089965</v>
      </c>
      <c r="BA276">
        <f>Table8[[#This Row],[Model Score2]]</f>
        <v>4.2649252530011781</v>
      </c>
      <c r="BB276">
        <f>IFERROR(INDEX(Player_Model!$BG$2:$BG$596,MATCH($A276,Player_Model!$A$2:$A$596,0)),"")</f>
        <v>68</v>
      </c>
      <c r="BC276" t="str">
        <f t="shared" si="124"/>
        <v>AVOID</v>
      </c>
      <c r="BD276">
        <f>IF(H276=1,Table8[[#This Row],[Model Score]],-10000)</f>
        <v>4.2649252530011781</v>
      </c>
      <c r="BE276">
        <f>IFERROR(INDEX(Player_Model!$BF$2:$BF$596,MATCH($A276,Player_Model!$A$2:$A$596,0)),"")</f>
        <v>138</v>
      </c>
      <c r="BF276">
        <f>IFERROR(INDEX(Player_Model!$BG$2:$BG$596,MATCH($A276,Player_Model!$A$2:$A$596,0)),"")</f>
        <v>68</v>
      </c>
      <c r="BG276">
        <f>IFERROR(INDEX(Player_Model!$BE$2:$BE$596,MATCH($A276,Player_Model!$A$2:$A$596,0)),0)</f>
        <v>4.2649252530011781</v>
      </c>
    </row>
    <row r="277" spans="1:59" x14ac:dyDescent="0.25">
      <c r="A277" t="str">
        <f>tblPlayers[first_name]&amp;" "&amp;tblPlayers[second_name]</f>
        <v>Carlos Alcaraz Durán</v>
      </c>
      <c r="B277" t="str">
        <f>_xlfn.SWITCH(tblPlayers[element_type],1,"GK",2,"DEF",3,"MID",4,"FWD")</f>
        <v>MID</v>
      </c>
      <c r="C277">
        <f>tblPlayers[team]</f>
        <v>9</v>
      </c>
      <c r="D277" t="str">
        <f>INDEX(tblTeams[Column1.short_name],MATCH(C277,tblTeams[Column1.id],0))</f>
        <v>EVE</v>
      </c>
      <c r="E277" s="4">
        <f>INDEX(FPL_Raw_Data!$F:$F,MATCH(A277,FPL_Raw_Data!$AA:$AA,0))/10</f>
        <v>5</v>
      </c>
      <c r="F277" s="4" t="str">
        <f>tblPlayers[[#This Row],[status]]</f>
        <v>a</v>
      </c>
      <c r="G277" s="4" t="b">
        <f>tblPlayers[[#This Row],[can_select]]</f>
        <v>1</v>
      </c>
      <c r="H277">
        <f>IF(AND(Table8[[#This Row],[Availability Status]]="a",Table8[[#This Row],[Can Select]]=TRUE),1,0)</f>
        <v>1</v>
      </c>
      <c r="I277">
        <f>tblPlayers[minutes]</f>
        <v>5</v>
      </c>
      <c r="J277" s="2">
        <f>Table8[[#This Row],[Minutes]]/90</f>
        <v>5.5555555555555552E-2</v>
      </c>
      <c r="K277" s="5">
        <f>IFERROR(Z277/(FIXTURE_ANALYSIS!$B$1-1),0)</f>
        <v>0</v>
      </c>
      <c r="L277">
        <f>tblPlayers[total_points]</f>
        <v>1</v>
      </c>
      <c r="M277">
        <f>tblPlayers[points_per_game]</f>
        <v>0.5</v>
      </c>
      <c r="N277">
        <f>tblPlayers[form]</f>
        <v>0.3</v>
      </c>
      <c r="O277">
        <f>tblPlayers[expected_goals]</f>
        <v>0.05</v>
      </c>
      <c r="P277">
        <f>tblPlayers[expected_assists]</f>
        <v>0.02</v>
      </c>
      <c r="Q277">
        <f>tblPlayers[expected_goal_involvements]</f>
        <v>7.0000000000000007E-2</v>
      </c>
      <c r="R277" s="2">
        <f t="shared" si="100"/>
        <v>18</v>
      </c>
      <c r="S277" s="5">
        <f t="shared" si="101"/>
        <v>0.9</v>
      </c>
      <c r="T277" s="5">
        <f t="shared" si="102"/>
        <v>0.36</v>
      </c>
      <c r="U277" s="5">
        <f t="shared" si="103"/>
        <v>1.2600000000000002</v>
      </c>
      <c r="V277" s="3">
        <f t="shared" si="104"/>
        <v>0.2</v>
      </c>
      <c r="W277" s="5">
        <f t="shared" si="105"/>
        <v>1.4000000000000002E-2</v>
      </c>
      <c r="X277" s="5">
        <f>IFERROR(IF(OR($B277="MID",$B277="FWD"),INDEX(FIXTURE_ANALYSIS!$Q:$Q,MATCH($D277,FIXTURE_ANALYSIS!$A:$A,0)),INDEX(FIXTURE_ANALYSIS!$R:$R,MATCH($D277,FIXTURE_ANALYSIS!$A:$A,0))),1)</f>
        <v>1.0752768166089965</v>
      </c>
      <c r="Y277" s="5">
        <f t="shared" si="106"/>
        <v>1.0752768166089965</v>
      </c>
      <c r="Z277" s="8">
        <f>INDEX(FPL_Raw_Data!$T:$T,MATCH(A277,FPL_Raw_Data!$AA:$AA,0))</f>
        <v>0</v>
      </c>
      <c r="AA277" s="8">
        <f>INDEX(FPL_Raw_Data!$S:$S,MATCH(A277,FPL_Raw_Data!$AA:$AA,0))</f>
        <v>3</v>
      </c>
      <c r="AB277" s="2">
        <f t="shared" si="107"/>
        <v>0.25</v>
      </c>
      <c r="AC277" s="2">
        <f>INDEX(FPL_Raw_Data!$Q:$Q,MATCH(A277,FPL_Raw_Data!$AA:$AA,0))</f>
        <v>0</v>
      </c>
      <c r="AD277" s="8">
        <f>INDEX(FPL_Raw_Data!$R:$R,MATCH(A277,FPL_Raw_Data!$AA:$AA,0))</f>
        <v>5</v>
      </c>
      <c r="AE277" s="8">
        <f>INDEX(FPL_Raw_Data!$N:$N,MATCH(A277,FPL_Raw_Data!$AA:$AA,0))</f>
        <v>0</v>
      </c>
      <c r="AF277" s="8">
        <f>INDEX(FPL_Raw_Data!$L:$L,MATCH(A277,FPL_Raw_Data!$AA:$AA,0))</f>
        <v>0</v>
      </c>
      <c r="AG277" s="2">
        <f>INDEX(FPL_Raw_Data!$M:$M,MATCH(A277,FPL_Raw_Data!$AA:$AA,0))</f>
        <v>0</v>
      </c>
      <c r="AH277" s="2">
        <f t="shared" si="108"/>
        <v>4.5</v>
      </c>
      <c r="AI277" s="2">
        <f t="shared" si="109"/>
        <v>1.08</v>
      </c>
      <c r="AJ277" s="2">
        <f t="shared" si="110"/>
        <v>0</v>
      </c>
      <c r="AK277" s="2">
        <f t="shared" si="111"/>
        <v>0.5</v>
      </c>
      <c r="AL277" s="2">
        <f t="shared" si="112"/>
        <v>0</v>
      </c>
      <c r="AM277" s="2">
        <f t="shared" si="113"/>
        <v>0</v>
      </c>
      <c r="AN277" s="2">
        <f t="shared" si="114"/>
        <v>0</v>
      </c>
      <c r="AO277" s="3">
        <f t="shared" si="115"/>
        <v>96.2</v>
      </c>
      <c r="AP277">
        <f t="shared" si="116"/>
        <v>99.1</v>
      </c>
      <c r="AQ277">
        <f t="shared" si="117"/>
        <v>44.4</v>
      </c>
      <c r="AR277">
        <f t="shared" si="118"/>
        <v>62.4</v>
      </c>
      <c r="AS277" s="2">
        <f t="shared" si="119"/>
        <v>0</v>
      </c>
      <c r="AT277" s="2">
        <f>IFERROR(INDEX(Player_Model!$BC$2:$BC$596,MATCH($A277,Player_Model!$A$2:$A$596,0)),0)</f>
        <v>0</v>
      </c>
      <c r="AU277" s="2">
        <f>Table8[[#This Row],[Model Expected Points]]*Table8[[#This Row],[Fixture Adjustment]]</f>
        <v>0</v>
      </c>
      <c r="AV277" s="2">
        <f>Table8[[#This Row],[Fixture Adjusted Points / 90]]/Table8[[#This Row],[Price]]</f>
        <v>0</v>
      </c>
      <c r="AW277">
        <f t="shared" si="120"/>
        <v>97.65</v>
      </c>
      <c r="AX277">
        <f t="shared" si="121"/>
        <v>0.25</v>
      </c>
      <c r="AY277" s="2">
        <f t="shared" si="122"/>
        <v>0</v>
      </c>
      <c r="AZ277" s="5">
        <f t="shared" si="123"/>
        <v>1.0752768166089965</v>
      </c>
      <c r="BA277">
        <f>Table8[[#This Row],[Model Score2]]</f>
        <v>0</v>
      </c>
      <c r="BB277">
        <f>IFERROR(INDEX(Player_Model!$BG$2:$BG$596,MATCH($A277,Player_Model!$A$2:$A$596,0)),"")</f>
        <v>182</v>
      </c>
      <c r="BC277" t="str">
        <f t="shared" si="124"/>
        <v>AVOID</v>
      </c>
      <c r="BD277">
        <f>IF(H277=1,Table8[[#This Row],[Model Score]],-10000)</f>
        <v>0</v>
      </c>
      <c r="BE277">
        <f>IFERROR(INDEX(Player_Model!$BF$2:$BF$596,MATCH($A277,Player_Model!$A$2:$A$596,0)),"")</f>
        <v>253</v>
      </c>
      <c r="BF277">
        <f>IFERROR(INDEX(Player_Model!$BG$2:$BG$596,MATCH($A277,Player_Model!$A$2:$A$596,0)),"")</f>
        <v>182</v>
      </c>
      <c r="BG277">
        <f>IFERROR(INDEX(Player_Model!$BE$2:$BE$596,MATCH($A277,Player_Model!$A$2:$A$596,0)),0)</f>
        <v>0</v>
      </c>
    </row>
    <row r="278" spans="1:59" x14ac:dyDescent="0.25">
      <c r="A278" t="str">
        <f>tblPlayers[first_name]&amp;" "&amp;tblPlayers[second_name]</f>
        <v>Harrison Armstrong</v>
      </c>
      <c r="B278" t="str">
        <f>_xlfn.SWITCH(tblPlayers[element_type],1,"GK",2,"DEF",3,"MID",4,"FWD")</f>
        <v>MID</v>
      </c>
      <c r="C278">
        <f>tblPlayers[team]</f>
        <v>9</v>
      </c>
      <c r="D278" t="str">
        <f>INDEX(tblTeams[Column1.short_name],MATCH(C278,tblTeams[Column1.id],0))</f>
        <v>EVE</v>
      </c>
      <c r="E278" s="4">
        <f>INDEX(FPL_Raw_Data!$F:$F,MATCH(A278,FPL_Raw_Data!$AA:$AA,0))/10</f>
        <v>5</v>
      </c>
      <c r="F278" s="4" t="str">
        <f>tblPlayers[[#This Row],[status]]</f>
        <v>a</v>
      </c>
      <c r="G278" s="4" t="b">
        <f>tblPlayers[[#This Row],[can_select]]</f>
        <v>1</v>
      </c>
      <c r="H278">
        <f>IF(AND(Table8[[#This Row],[Availability Status]]="a",Table8[[#This Row],[Can Select]]=TRUE),1,0)</f>
        <v>1</v>
      </c>
      <c r="I278">
        <f>tblPlayers[minutes]</f>
        <v>266</v>
      </c>
      <c r="J278" s="2">
        <f>Table8[[#This Row],[Minutes]]/90</f>
        <v>2.9555555555555557</v>
      </c>
      <c r="K278" s="5">
        <f>IFERROR(Z278/(FIXTURE_ANALYSIS!$B$1-1),0)</f>
        <v>1</v>
      </c>
      <c r="L278">
        <f>tblPlayers[total_points]</f>
        <v>11</v>
      </c>
      <c r="M278">
        <f>tblPlayers[points_per_game]</f>
        <v>3.7</v>
      </c>
      <c r="N278">
        <f>tblPlayers[form]</f>
        <v>3.7</v>
      </c>
      <c r="O278">
        <f>tblPlayers[expected_goals]</f>
        <v>0.09</v>
      </c>
      <c r="P278">
        <f>tblPlayers[expected_assists]</f>
        <v>0.1</v>
      </c>
      <c r="Q278">
        <f>tblPlayers[expected_goal_involvements]</f>
        <v>0.19</v>
      </c>
      <c r="R278" s="2">
        <f t="shared" si="100"/>
        <v>3.7218045112781954</v>
      </c>
      <c r="S278" s="5">
        <f t="shared" si="101"/>
        <v>3.0451127819548871E-2</v>
      </c>
      <c r="T278" s="5">
        <f t="shared" si="102"/>
        <v>3.3834586466165419E-2</v>
      </c>
      <c r="U278" s="5">
        <f t="shared" si="103"/>
        <v>6.4285714285714279E-2</v>
      </c>
      <c r="V278" s="3">
        <f t="shared" si="104"/>
        <v>2.2000000000000002</v>
      </c>
      <c r="W278" s="5">
        <f t="shared" si="105"/>
        <v>3.7999999999999999E-2</v>
      </c>
      <c r="X278" s="5">
        <f>IFERROR(IF(OR($B278="MID",$B278="FWD"),INDEX(FIXTURE_ANALYSIS!$Q:$Q,MATCH($D278,FIXTURE_ANALYSIS!$A:$A,0)),INDEX(FIXTURE_ANALYSIS!$R:$R,MATCH($D278,FIXTURE_ANALYSIS!$A:$A,0))),1)</f>
        <v>1.0752768166089965</v>
      </c>
      <c r="Y278" s="5">
        <f t="shared" si="106"/>
        <v>1.0752768166089965</v>
      </c>
      <c r="Z278" s="8">
        <f>INDEX(FPL_Raw_Data!$T:$T,MATCH(A278,FPL_Raw_Data!$AA:$AA,0))</f>
        <v>3</v>
      </c>
      <c r="AA278" s="8">
        <f>INDEX(FPL_Raw_Data!$S:$S,MATCH(A278,FPL_Raw_Data!$AA:$AA,0))</f>
        <v>30</v>
      </c>
      <c r="AB278" s="2">
        <f t="shared" si="107"/>
        <v>1</v>
      </c>
      <c r="AC278" s="2">
        <f>INDEX(FPL_Raw_Data!$Q:$Q,MATCH(A278,FPL_Raw_Data!$AA:$AA,0))</f>
        <v>0</v>
      </c>
      <c r="AD278" s="8">
        <f>INDEX(FPL_Raw_Data!$R:$R,MATCH(A278,FPL_Raw_Data!$AA:$AA,0))</f>
        <v>42</v>
      </c>
      <c r="AE278" s="8">
        <f>INDEX(FPL_Raw_Data!$N:$N,MATCH(A278,FPL_Raw_Data!$AA:$AA,0))</f>
        <v>1</v>
      </c>
      <c r="AF278" s="8">
        <f>INDEX(FPL_Raw_Data!$L:$L,MATCH(A278,FPL_Raw_Data!$AA:$AA,0))</f>
        <v>0</v>
      </c>
      <c r="AG278" s="2">
        <f>INDEX(FPL_Raw_Data!$M:$M,MATCH(A278,FPL_Raw_Data!$AA:$AA,0))</f>
        <v>1</v>
      </c>
      <c r="AH278" s="2">
        <f t="shared" si="108"/>
        <v>0.15225563909774437</v>
      </c>
      <c r="AI278" s="2">
        <f t="shared" si="109"/>
        <v>0.10150375939849626</v>
      </c>
      <c r="AJ278" s="2">
        <f t="shared" si="110"/>
        <v>2</v>
      </c>
      <c r="AK278" s="2">
        <f t="shared" si="111"/>
        <v>2</v>
      </c>
      <c r="AL278" s="2">
        <f t="shared" si="112"/>
        <v>0.33333333333333331</v>
      </c>
      <c r="AM278" s="2">
        <f t="shared" si="113"/>
        <v>0.33333333333333331</v>
      </c>
      <c r="AN278" s="2">
        <f t="shared" si="114"/>
        <v>0</v>
      </c>
      <c r="AO278" s="3">
        <f t="shared" si="115"/>
        <v>67.800000000000011</v>
      </c>
      <c r="AP278">
        <f t="shared" si="116"/>
        <v>63.800000000000004</v>
      </c>
      <c r="AQ278">
        <f t="shared" si="117"/>
        <v>88.5</v>
      </c>
      <c r="AR278">
        <f t="shared" si="118"/>
        <v>72.7</v>
      </c>
      <c r="AS278" s="2">
        <f t="shared" si="119"/>
        <v>100</v>
      </c>
      <c r="AT278" s="2">
        <f>IFERROR(INDEX(Player_Model!$BC$2:$BC$596,MATCH($A278,Player_Model!$A$2:$A$596,0)),0)</f>
        <v>4.7921932510459637</v>
      </c>
      <c r="AU278" s="2">
        <f>Table8[[#This Row],[Model Expected Points]]*Table8[[#This Row],[Fixture Adjustment]]</f>
        <v>5.1529343035598218</v>
      </c>
      <c r="AV278" s="2">
        <f>Table8[[#This Row],[Fixture Adjusted Points / 90]]/Table8[[#This Row],[Price]]</f>
        <v>1.0305868607119644</v>
      </c>
      <c r="AW278">
        <f t="shared" si="120"/>
        <v>65.800000000000011</v>
      </c>
      <c r="AX278">
        <f t="shared" si="121"/>
        <v>1</v>
      </c>
      <c r="AY278" s="2">
        <f t="shared" si="122"/>
        <v>100</v>
      </c>
      <c r="AZ278" s="5">
        <f t="shared" si="123"/>
        <v>1.0752768166089965</v>
      </c>
      <c r="BA278">
        <f>Table8[[#This Row],[Model Score2]]</f>
        <v>4.7921932510459637</v>
      </c>
      <c r="BB278">
        <f>IFERROR(INDEX(Player_Model!$BG$2:$BG$596,MATCH($A278,Player_Model!$A$2:$A$596,0)),"")</f>
        <v>51</v>
      </c>
      <c r="BC278" t="str">
        <f t="shared" si="124"/>
        <v>AVOID</v>
      </c>
      <c r="BD278">
        <f>IF(H278=1,Table8[[#This Row],[Model Score]],-10000)</f>
        <v>4.7921932510459637</v>
      </c>
      <c r="BE278">
        <f>IFERROR(INDEX(Player_Model!$BF$2:$BF$596,MATCH($A278,Player_Model!$A$2:$A$596,0)),"")</f>
        <v>109</v>
      </c>
      <c r="BF278">
        <f>IFERROR(INDEX(Player_Model!$BG$2:$BG$596,MATCH($A278,Player_Model!$A$2:$A$596,0)),"")</f>
        <v>51</v>
      </c>
      <c r="BG278">
        <f>IFERROR(INDEX(Player_Model!$BE$2:$BE$596,MATCH($A278,Player_Model!$A$2:$A$596,0)),0)</f>
        <v>4.7921932510459637</v>
      </c>
    </row>
    <row r="279" spans="1:59" x14ac:dyDescent="0.25">
      <c r="A279" t="str">
        <f>tblPlayers[first_name]&amp;" "&amp;tblPlayers[second_name]</f>
        <v>Tyler Dibling</v>
      </c>
      <c r="B279" t="str">
        <f>_xlfn.SWITCH(tblPlayers[element_type],1,"GK",2,"DEF",3,"MID",4,"FWD")</f>
        <v>MID</v>
      </c>
      <c r="C279">
        <f>tblPlayers[team]</f>
        <v>9</v>
      </c>
      <c r="D279" t="str">
        <f>INDEX(tblTeams[Column1.short_name],MATCH(C279,tblTeams[Column1.id],0))</f>
        <v>EVE</v>
      </c>
      <c r="E279" s="4">
        <f>INDEX(FPL_Raw_Data!$F:$F,MATCH(A279,FPL_Raw_Data!$AA:$AA,0))/10</f>
        <v>5.4</v>
      </c>
      <c r="F279" s="4" t="str">
        <f>tblPlayers[[#This Row],[status]]</f>
        <v>a</v>
      </c>
      <c r="G279" s="4" t="b">
        <f>tblPlayers[[#This Row],[can_select]]</f>
        <v>1</v>
      </c>
      <c r="H279">
        <f>IF(AND(Table8[[#This Row],[Availability Status]]="a",Table8[[#This Row],[Can Select]]=TRUE),1,0)</f>
        <v>1</v>
      </c>
      <c r="I279">
        <f>tblPlayers[minutes]</f>
        <v>0</v>
      </c>
      <c r="J279" s="2">
        <f>Table8[[#This Row],[Minutes]]/90</f>
        <v>0</v>
      </c>
      <c r="K279" s="5">
        <f>IFERROR(Z279/(FIXTURE_ANALYSIS!$B$1-1),0)</f>
        <v>0</v>
      </c>
      <c r="L279">
        <f>tblPlayers[total_points]</f>
        <v>0</v>
      </c>
      <c r="M279">
        <f>tblPlayers[points_per_game]</f>
        <v>0</v>
      </c>
      <c r="N279">
        <f>tblPlayers[form]</f>
        <v>0</v>
      </c>
      <c r="O279">
        <f>tblPlayers[expected_goals]</f>
        <v>0</v>
      </c>
      <c r="P279">
        <f>tblPlayers[expected_assists]</f>
        <v>0</v>
      </c>
      <c r="Q279">
        <f>tblPlayers[expected_goal_involvements]</f>
        <v>0</v>
      </c>
      <c r="R279" s="2">
        <f t="shared" si="100"/>
        <v>0</v>
      </c>
      <c r="S279" s="5">
        <f t="shared" si="101"/>
        <v>0</v>
      </c>
      <c r="T279" s="5">
        <f t="shared" si="102"/>
        <v>0</v>
      </c>
      <c r="U279" s="5">
        <f t="shared" si="103"/>
        <v>0</v>
      </c>
      <c r="V279" s="3">
        <f t="shared" si="104"/>
        <v>0</v>
      </c>
      <c r="W279" s="5">
        <f t="shared" si="105"/>
        <v>0</v>
      </c>
      <c r="X279" s="5">
        <f>IFERROR(IF(OR($B279="MID",$B279="FWD"),INDEX(FIXTURE_ANALYSIS!$Q:$Q,MATCH($D279,FIXTURE_ANALYSIS!$A:$A,0)),INDEX(FIXTURE_ANALYSIS!$R:$R,MATCH($D279,FIXTURE_ANALYSIS!$A:$A,0))),1)</f>
        <v>1.0752768166089965</v>
      </c>
      <c r="Y279" s="5">
        <f t="shared" si="106"/>
        <v>1.0752768166089965</v>
      </c>
      <c r="Z279" s="8">
        <f>INDEX(FPL_Raw_Data!$T:$T,MATCH(A279,FPL_Raw_Data!$AA:$AA,0))</f>
        <v>0</v>
      </c>
      <c r="AA279" s="8">
        <f>INDEX(FPL_Raw_Data!$S:$S,MATCH(A279,FPL_Raw_Data!$AA:$AA,0))</f>
        <v>0</v>
      </c>
      <c r="AB279" s="2">
        <f t="shared" si="107"/>
        <v>0</v>
      </c>
      <c r="AC279" s="2">
        <f>INDEX(FPL_Raw_Data!$Q:$Q,MATCH(A279,FPL_Raw_Data!$AA:$AA,0))</f>
        <v>0</v>
      </c>
      <c r="AD279" s="8">
        <f>INDEX(FPL_Raw_Data!$R:$R,MATCH(A279,FPL_Raw_Data!$AA:$AA,0))</f>
        <v>0</v>
      </c>
      <c r="AE279" s="8">
        <f>INDEX(FPL_Raw_Data!$N:$N,MATCH(A279,FPL_Raw_Data!$AA:$AA,0))</f>
        <v>0</v>
      </c>
      <c r="AF279" s="8">
        <f>INDEX(FPL_Raw_Data!$L:$L,MATCH(A279,FPL_Raw_Data!$AA:$AA,0))</f>
        <v>0</v>
      </c>
      <c r="AG279" s="2">
        <f>INDEX(FPL_Raw_Data!$M:$M,MATCH(A279,FPL_Raw_Data!$AA:$AA,0))</f>
        <v>0</v>
      </c>
      <c r="AH279" s="2">
        <f t="shared" si="108"/>
        <v>0</v>
      </c>
      <c r="AI279" s="2">
        <f t="shared" si="109"/>
        <v>0</v>
      </c>
      <c r="AJ279" s="2">
        <f t="shared" si="110"/>
        <v>0</v>
      </c>
      <c r="AK279" s="2">
        <f t="shared" si="111"/>
        <v>0</v>
      </c>
      <c r="AL279" s="2">
        <f t="shared" si="112"/>
        <v>0</v>
      </c>
      <c r="AM279" s="2">
        <f t="shared" si="113"/>
        <v>0</v>
      </c>
      <c r="AN279" s="2">
        <f t="shared" si="114"/>
        <v>0</v>
      </c>
      <c r="AO279" s="3">
        <f t="shared" si="115"/>
        <v>0.1</v>
      </c>
      <c r="AP279">
        <f t="shared" si="116"/>
        <v>0</v>
      </c>
      <c r="AQ279">
        <f t="shared" si="117"/>
        <v>0.1</v>
      </c>
      <c r="AR279">
        <f t="shared" si="118"/>
        <v>0</v>
      </c>
      <c r="AS279" s="2">
        <f t="shared" si="119"/>
        <v>0</v>
      </c>
      <c r="AT279" s="2">
        <f>IFERROR(INDEX(Player_Model!$BC$2:$BC$596,MATCH($A279,Player_Model!$A$2:$A$596,0)),0)</f>
        <v>0</v>
      </c>
      <c r="AU279" s="2">
        <f>Table8[[#This Row],[Model Expected Points]]*Table8[[#This Row],[Fixture Adjustment]]</f>
        <v>0</v>
      </c>
      <c r="AV279" s="2">
        <f>Table8[[#This Row],[Fixture Adjusted Points / 90]]/Table8[[#This Row],[Price]]</f>
        <v>0</v>
      </c>
      <c r="AW279">
        <f t="shared" si="120"/>
        <v>0.05</v>
      </c>
      <c r="AX279">
        <f t="shared" si="121"/>
        <v>0</v>
      </c>
      <c r="AY279" s="2">
        <f t="shared" si="122"/>
        <v>0</v>
      </c>
      <c r="AZ279" s="5">
        <f t="shared" si="123"/>
        <v>1.0752768166089965</v>
      </c>
      <c r="BA279">
        <f>Table8[[#This Row],[Model Score2]]</f>
        <v>0</v>
      </c>
      <c r="BB279">
        <f>IFERROR(INDEX(Player_Model!$BG$2:$BG$596,MATCH($A279,Player_Model!$A$2:$A$596,0)),"")</f>
        <v>183</v>
      </c>
      <c r="BC279" t="str">
        <f t="shared" si="124"/>
        <v>AVOID</v>
      </c>
      <c r="BD279">
        <f>IF(H279=1,Table8[[#This Row],[Model Score]],-10000)</f>
        <v>0</v>
      </c>
      <c r="BE279">
        <f>IFERROR(INDEX(Player_Model!$BF$2:$BF$596,MATCH($A279,Player_Model!$A$2:$A$596,0)),"")</f>
        <v>253</v>
      </c>
      <c r="BF279">
        <f>IFERROR(INDEX(Player_Model!$BG$2:$BG$596,MATCH($A279,Player_Model!$A$2:$A$596,0)),"")</f>
        <v>183</v>
      </c>
      <c r="BG279">
        <f>IFERROR(INDEX(Player_Model!$BE$2:$BE$596,MATCH($A279,Player_Model!$A$2:$A$596,0)),0)</f>
        <v>0</v>
      </c>
    </row>
    <row r="280" spans="1:59" x14ac:dyDescent="0.25">
      <c r="A280" t="str">
        <f>tblPlayers[first_name]&amp;" "&amp;tblPlayers[second_name]</f>
        <v>Merlin Röhl</v>
      </c>
      <c r="B280" t="str">
        <f>_xlfn.SWITCH(tblPlayers[element_type],1,"GK",2,"DEF",3,"MID",4,"FWD")</f>
        <v>MID</v>
      </c>
      <c r="C280">
        <f>tblPlayers[team]</f>
        <v>9</v>
      </c>
      <c r="D280" t="str">
        <f>INDEX(tblTeams[Column1.short_name],MATCH(C280,tblTeams[Column1.id],0))</f>
        <v>EVE</v>
      </c>
      <c r="E280" s="4">
        <f>INDEX(FPL_Raw_Data!$F:$F,MATCH(A280,FPL_Raw_Data!$AA:$AA,0))/10</f>
        <v>5</v>
      </c>
      <c r="F280" s="4" t="str">
        <f>tblPlayers[[#This Row],[status]]</f>
        <v>a</v>
      </c>
      <c r="G280" s="4" t="b">
        <f>tblPlayers[[#This Row],[can_select]]</f>
        <v>1</v>
      </c>
      <c r="H280">
        <f>IF(AND(Table8[[#This Row],[Availability Status]]="a",Table8[[#This Row],[Can Select]]=TRUE),1,0)</f>
        <v>1</v>
      </c>
      <c r="I280">
        <f>tblPlayers[minutes]</f>
        <v>249</v>
      </c>
      <c r="J280" s="2">
        <f>Table8[[#This Row],[Minutes]]/90</f>
        <v>2.7666666666666666</v>
      </c>
      <c r="K280" s="5">
        <f>IFERROR(Z280/(FIXTURE_ANALYSIS!$B$1-1),0)</f>
        <v>1</v>
      </c>
      <c r="L280">
        <f>tblPlayers[total_points]</f>
        <v>6</v>
      </c>
      <c r="M280">
        <f>tblPlayers[points_per_game]</f>
        <v>2</v>
      </c>
      <c r="N280">
        <f>tblPlayers[form]</f>
        <v>2</v>
      </c>
      <c r="O280">
        <f>tblPlayers[expected_goals]</f>
        <v>0</v>
      </c>
      <c r="P280">
        <f>tblPlayers[expected_assists]</f>
        <v>0.2</v>
      </c>
      <c r="Q280">
        <f>tblPlayers[expected_goal_involvements]</f>
        <v>0.2</v>
      </c>
      <c r="R280" s="2">
        <f t="shared" si="100"/>
        <v>2.168674698795181</v>
      </c>
      <c r="S280" s="5">
        <f t="shared" si="101"/>
        <v>0</v>
      </c>
      <c r="T280" s="5">
        <f t="shared" si="102"/>
        <v>7.2289156626506021E-2</v>
      </c>
      <c r="U280" s="5">
        <f t="shared" si="103"/>
        <v>7.2289156626506021E-2</v>
      </c>
      <c r="V280" s="3">
        <f t="shared" si="104"/>
        <v>1.2</v>
      </c>
      <c r="W280" s="5">
        <f t="shared" si="105"/>
        <v>0.04</v>
      </c>
      <c r="X280" s="5">
        <f>IFERROR(IF(OR($B280="MID",$B280="FWD"),INDEX(FIXTURE_ANALYSIS!$Q:$Q,MATCH($D280,FIXTURE_ANALYSIS!$A:$A,0)),INDEX(FIXTURE_ANALYSIS!$R:$R,MATCH($D280,FIXTURE_ANALYSIS!$A:$A,0))),1)</f>
        <v>1.0752768166089965</v>
      </c>
      <c r="Y280" s="5">
        <f t="shared" si="106"/>
        <v>1.0752768166089965</v>
      </c>
      <c r="Z280" s="8">
        <f>INDEX(FPL_Raw_Data!$T:$T,MATCH(A280,FPL_Raw_Data!$AA:$AA,0))</f>
        <v>3</v>
      </c>
      <c r="AA280" s="8">
        <f>INDEX(FPL_Raw_Data!$S:$S,MATCH(A280,FPL_Raw_Data!$AA:$AA,0))</f>
        <v>24</v>
      </c>
      <c r="AB280" s="2">
        <f t="shared" si="107"/>
        <v>1</v>
      </c>
      <c r="AC280" s="2">
        <f>INDEX(FPL_Raw_Data!$Q:$Q,MATCH(A280,FPL_Raw_Data!$AA:$AA,0))</f>
        <v>0</v>
      </c>
      <c r="AD280" s="8">
        <f>INDEX(FPL_Raw_Data!$R:$R,MATCH(A280,FPL_Raw_Data!$AA:$AA,0))</f>
        <v>35</v>
      </c>
      <c r="AE280" s="8">
        <f>INDEX(FPL_Raw_Data!$N:$N,MATCH(A280,FPL_Raw_Data!$AA:$AA,0))</f>
        <v>1</v>
      </c>
      <c r="AF280" s="8">
        <f>INDEX(FPL_Raw_Data!$L:$L,MATCH(A280,FPL_Raw_Data!$AA:$AA,0))</f>
        <v>0</v>
      </c>
      <c r="AG280" s="2">
        <f>INDEX(FPL_Raw_Data!$M:$M,MATCH(A280,FPL_Raw_Data!$AA:$AA,0))</f>
        <v>0</v>
      </c>
      <c r="AH280" s="2">
        <f t="shared" si="108"/>
        <v>0</v>
      </c>
      <c r="AI280" s="2">
        <f t="shared" si="109"/>
        <v>0.21686746987951805</v>
      </c>
      <c r="AJ280" s="2">
        <f t="shared" si="110"/>
        <v>2</v>
      </c>
      <c r="AK280" s="2">
        <f t="shared" si="111"/>
        <v>2</v>
      </c>
      <c r="AL280" s="2">
        <f t="shared" si="112"/>
        <v>0.33333333333333331</v>
      </c>
      <c r="AM280" s="2">
        <f t="shared" si="113"/>
        <v>0.33333333333333331</v>
      </c>
      <c r="AN280" s="2">
        <f t="shared" si="114"/>
        <v>0</v>
      </c>
      <c r="AO280" s="3">
        <f t="shared" si="115"/>
        <v>49.3</v>
      </c>
      <c r="AP280">
        <f t="shared" si="116"/>
        <v>65.3</v>
      </c>
      <c r="AQ280">
        <f t="shared" si="117"/>
        <v>72.2</v>
      </c>
      <c r="AR280">
        <f t="shared" si="118"/>
        <v>73.400000000000006</v>
      </c>
      <c r="AS280" s="2">
        <f t="shared" si="119"/>
        <v>100</v>
      </c>
      <c r="AT280" s="2">
        <f>IFERROR(INDEX(Player_Model!$BC$2:$BC$596,MATCH($A280,Player_Model!$A$2:$A$596,0)),0)</f>
        <v>4.3643870911743861</v>
      </c>
      <c r="AU280" s="2">
        <f>Table8[[#This Row],[Model Expected Points]]*Table8[[#This Row],[Fixture Adjustment]]</f>
        <v>4.692924257847392</v>
      </c>
      <c r="AV280" s="2">
        <f>Table8[[#This Row],[Fixture Adjusted Points / 90]]/Table8[[#This Row],[Price]]</f>
        <v>0.93858485156947835</v>
      </c>
      <c r="AW280">
        <f t="shared" si="120"/>
        <v>57.3</v>
      </c>
      <c r="AX280">
        <f t="shared" si="121"/>
        <v>1</v>
      </c>
      <c r="AY280" s="2">
        <f t="shared" si="122"/>
        <v>100</v>
      </c>
      <c r="AZ280" s="5">
        <f t="shared" si="123"/>
        <v>1.0752768166089965</v>
      </c>
      <c r="BA280">
        <f>Table8[[#This Row],[Model Score2]]</f>
        <v>4.3643870911743861</v>
      </c>
      <c r="BB280">
        <f>IFERROR(INDEX(Player_Model!$BG$2:$BG$596,MATCH($A280,Player_Model!$A$2:$A$596,0)),"")</f>
        <v>66</v>
      </c>
      <c r="BC280" t="str">
        <f t="shared" si="124"/>
        <v>AVOID</v>
      </c>
      <c r="BD280">
        <f>IF(H280=1,Table8[[#This Row],[Model Score]],-10000)</f>
        <v>4.3643870911743861</v>
      </c>
      <c r="BE280">
        <f>IFERROR(INDEX(Player_Model!$BF$2:$BF$596,MATCH($A280,Player_Model!$A$2:$A$596,0)),"")</f>
        <v>134</v>
      </c>
      <c r="BF280">
        <f>IFERROR(INDEX(Player_Model!$BG$2:$BG$596,MATCH($A280,Player_Model!$A$2:$A$596,0)),"")</f>
        <v>66</v>
      </c>
      <c r="BG280">
        <f>IFERROR(INDEX(Player_Model!$BE$2:$BE$596,MATCH($A280,Player_Model!$A$2:$A$596,0)),0)</f>
        <v>4.3643870911743861</v>
      </c>
    </row>
    <row r="281" spans="1:59" x14ac:dyDescent="0.25">
      <c r="A281" t="str">
        <f>tblPlayers[first_name]&amp;" "&amp;tblPlayers[second_name]</f>
        <v>Hayden Hackney</v>
      </c>
      <c r="B281" t="str">
        <f>_xlfn.SWITCH(tblPlayers[element_type],1,"GK",2,"DEF",3,"MID",4,"FWD")</f>
        <v>MID</v>
      </c>
      <c r="C281">
        <f>tblPlayers[team]</f>
        <v>9</v>
      </c>
      <c r="D281" t="str">
        <f>INDEX(tblTeams[Column1.short_name],MATCH(C281,tblTeams[Column1.id],0))</f>
        <v>EVE</v>
      </c>
      <c r="E281" s="4">
        <f>INDEX(FPL_Raw_Data!$F:$F,MATCH(A281,FPL_Raw_Data!$AA:$AA,0))/10</f>
        <v>5.5</v>
      </c>
      <c r="F281" s="4" t="str">
        <f>tblPlayers[[#This Row],[status]]</f>
        <v>a</v>
      </c>
      <c r="G281" s="4" t="b">
        <f>tblPlayers[[#This Row],[can_select]]</f>
        <v>1</v>
      </c>
      <c r="H281">
        <f>IF(AND(Table8[[#This Row],[Availability Status]]="a",Table8[[#This Row],[Can Select]]=TRUE),1,0)</f>
        <v>1</v>
      </c>
      <c r="I281">
        <f>tblPlayers[minutes]</f>
        <v>121</v>
      </c>
      <c r="J281" s="2">
        <f>Table8[[#This Row],[Minutes]]/90</f>
        <v>1.3444444444444446</v>
      </c>
      <c r="K281" s="5">
        <f>IFERROR(Z281/(FIXTURE_ANALYSIS!$B$1-1),0)</f>
        <v>0.33333333333333331</v>
      </c>
      <c r="L281">
        <f>tblPlayers[total_points]</f>
        <v>8</v>
      </c>
      <c r="M281">
        <f>tblPlayers[points_per_game]</f>
        <v>2.7</v>
      </c>
      <c r="N281">
        <f>tblPlayers[form]</f>
        <v>2.7</v>
      </c>
      <c r="O281">
        <f>tblPlayers[expected_goals]</f>
        <v>0.05</v>
      </c>
      <c r="P281">
        <f>tblPlayers[expected_assists]</f>
        <v>0.11</v>
      </c>
      <c r="Q281">
        <f>tblPlayers[expected_goal_involvements]</f>
        <v>0.16</v>
      </c>
      <c r="R281" s="2">
        <f t="shared" si="100"/>
        <v>5.9504132231404956</v>
      </c>
      <c r="S281" s="5">
        <f t="shared" si="101"/>
        <v>3.71900826446281E-2</v>
      </c>
      <c r="T281" s="5">
        <f t="shared" si="102"/>
        <v>8.1818181818181818E-2</v>
      </c>
      <c r="U281" s="5">
        <f t="shared" si="103"/>
        <v>0.11900826446280993</v>
      </c>
      <c r="V281" s="3">
        <f t="shared" si="104"/>
        <v>1.4545454545454546</v>
      </c>
      <c r="W281" s="5">
        <f t="shared" si="105"/>
        <v>2.9090909090909091E-2</v>
      </c>
      <c r="X281" s="5">
        <f>IFERROR(IF(OR($B281="MID",$B281="FWD"),INDEX(FIXTURE_ANALYSIS!$Q:$Q,MATCH($D281,FIXTURE_ANALYSIS!$A:$A,0)),INDEX(FIXTURE_ANALYSIS!$R:$R,MATCH($D281,FIXTURE_ANALYSIS!$A:$A,0))),1)</f>
        <v>1.0752768166089965</v>
      </c>
      <c r="Y281" s="5">
        <f t="shared" si="106"/>
        <v>1.0752768166089965</v>
      </c>
      <c r="Z281" s="8">
        <f>INDEX(FPL_Raw_Data!$T:$T,MATCH(A281,FPL_Raw_Data!$AA:$AA,0))</f>
        <v>1</v>
      </c>
      <c r="AA281" s="8">
        <f>INDEX(FPL_Raw_Data!$S:$S,MATCH(A281,FPL_Raw_Data!$AA:$AA,0))</f>
        <v>11</v>
      </c>
      <c r="AB281" s="2">
        <f t="shared" si="107"/>
        <v>0.91666666666666663</v>
      </c>
      <c r="AC281" s="2">
        <f>INDEX(FPL_Raw_Data!$Q:$Q,MATCH(A281,FPL_Raw_Data!$AA:$AA,0))</f>
        <v>0</v>
      </c>
      <c r="AD281" s="8">
        <f>INDEX(FPL_Raw_Data!$R:$R,MATCH(A281,FPL_Raw_Data!$AA:$AA,0))</f>
        <v>33</v>
      </c>
      <c r="AE281" s="8">
        <f>INDEX(FPL_Raw_Data!$N:$N,MATCH(A281,FPL_Raw_Data!$AA:$AA,0))</f>
        <v>1</v>
      </c>
      <c r="AF281" s="8">
        <f>INDEX(FPL_Raw_Data!$L:$L,MATCH(A281,FPL_Raw_Data!$AA:$AA,0))</f>
        <v>0</v>
      </c>
      <c r="AG281" s="2">
        <f>INDEX(FPL_Raw_Data!$M:$M,MATCH(A281,FPL_Raw_Data!$AA:$AA,0))</f>
        <v>1</v>
      </c>
      <c r="AH281" s="2">
        <f t="shared" si="108"/>
        <v>0.18595041322314049</v>
      </c>
      <c r="AI281" s="2">
        <f t="shared" si="109"/>
        <v>0.24545454545454545</v>
      </c>
      <c r="AJ281" s="2">
        <f t="shared" si="110"/>
        <v>0.66666666666666663</v>
      </c>
      <c r="AK281" s="2">
        <f t="shared" si="111"/>
        <v>1.8333333333333333</v>
      </c>
      <c r="AL281" s="2">
        <f t="shared" si="112"/>
        <v>1</v>
      </c>
      <c r="AM281" s="2">
        <f t="shared" si="113"/>
        <v>1</v>
      </c>
      <c r="AN281" s="2">
        <f t="shared" si="114"/>
        <v>0</v>
      </c>
      <c r="AO281" s="3">
        <f t="shared" si="115"/>
        <v>80.900000000000006</v>
      </c>
      <c r="AP281">
        <f t="shared" si="116"/>
        <v>70.199999999999989</v>
      </c>
      <c r="AQ281">
        <f t="shared" si="117"/>
        <v>77.2</v>
      </c>
      <c r="AR281">
        <f t="shared" si="118"/>
        <v>70.3</v>
      </c>
      <c r="AS281" s="2">
        <f t="shared" si="119"/>
        <v>33.333333333333329</v>
      </c>
      <c r="AT281" s="2">
        <f>IFERROR(INDEX(Player_Model!$BC$2:$BC$596,MATCH($A281,Player_Model!$A$2:$A$596,0)),0)</f>
        <v>3.8350389187684302</v>
      </c>
      <c r="AU281" s="2">
        <f>Table8[[#This Row],[Model Expected Points]]*Table8[[#This Row],[Fixture Adjustment]]</f>
        <v>4.1237284401449257</v>
      </c>
      <c r="AV281" s="2">
        <f>Table8[[#This Row],[Fixture Adjusted Points / 90]]/Table8[[#This Row],[Price]]</f>
        <v>0.74976880729907736</v>
      </c>
      <c r="AW281">
        <f t="shared" si="120"/>
        <v>75.55</v>
      </c>
      <c r="AX281">
        <f t="shared" si="121"/>
        <v>0.91666666666666663</v>
      </c>
      <c r="AY281" s="2">
        <f t="shared" si="122"/>
        <v>33.333333333333329</v>
      </c>
      <c r="AZ281" s="5">
        <f t="shared" si="123"/>
        <v>1.0752768166089965</v>
      </c>
      <c r="BA281">
        <f>Table8[[#This Row],[Model Score2]]</f>
        <v>3.8350389187684302</v>
      </c>
      <c r="BB281">
        <f>IFERROR(INDEX(Player_Model!$BG$2:$BG$596,MATCH($A281,Player_Model!$A$2:$A$596,0)),"")</f>
        <v>85</v>
      </c>
      <c r="BC281" t="str">
        <f t="shared" si="124"/>
        <v>AVOID</v>
      </c>
      <c r="BD281">
        <f>IF(H281=1,Table8[[#This Row],[Model Score]],-10000)</f>
        <v>3.8350389187684302</v>
      </c>
      <c r="BE281">
        <f>IFERROR(INDEX(Player_Model!$BF$2:$BF$596,MATCH($A281,Player_Model!$A$2:$A$596,0)),"")</f>
        <v>167</v>
      </c>
      <c r="BF281">
        <f>IFERROR(INDEX(Player_Model!$BG$2:$BG$596,MATCH($A281,Player_Model!$A$2:$A$596,0)),"")</f>
        <v>85</v>
      </c>
      <c r="BG281">
        <f>IFERROR(INDEX(Player_Model!$BE$2:$BE$596,MATCH($A281,Player_Model!$A$2:$A$596,0)),0)</f>
        <v>3.8350389187684302</v>
      </c>
    </row>
    <row r="282" spans="1:59" x14ac:dyDescent="0.25">
      <c r="A282" t="str">
        <f>tblPlayers[first_name]&amp;" "&amp;tblPlayers[second_name]</f>
        <v>Norberto Bercique Gomes Betuncal</v>
      </c>
      <c r="B282" t="str">
        <f>_xlfn.SWITCH(tblPlayers[element_type],1,"GK",2,"DEF",3,"MID",4,"FWD")</f>
        <v>FWD</v>
      </c>
      <c r="C282">
        <f>tblPlayers[team]</f>
        <v>9</v>
      </c>
      <c r="D282" t="str">
        <f>INDEX(tblTeams[Column1.short_name],MATCH(C282,tblTeams[Column1.id],0))</f>
        <v>EVE</v>
      </c>
      <c r="E282" s="4">
        <f>INDEX(FPL_Raw_Data!$F:$F,MATCH(A282,FPL_Raw_Data!$AA:$AA,0))/10</f>
        <v>5.4</v>
      </c>
      <c r="F282" s="4" t="str">
        <f>tblPlayers[[#This Row],[status]]</f>
        <v>u</v>
      </c>
      <c r="G282" s="4" t="b">
        <f>tblPlayers[[#This Row],[can_select]]</f>
        <v>0</v>
      </c>
      <c r="H282">
        <f>IF(AND(Table8[[#This Row],[Availability Status]]="a",Table8[[#This Row],[Can Select]]=TRUE),1,0)</f>
        <v>0</v>
      </c>
      <c r="I282">
        <f>tblPlayers[minutes]</f>
        <v>31</v>
      </c>
      <c r="J282" s="2">
        <f>Table8[[#This Row],[Minutes]]/90</f>
        <v>0.34444444444444444</v>
      </c>
      <c r="K282" s="5">
        <f>IFERROR(Z282/(FIXTURE_ANALYSIS!$B$1-1),0)</f>
        <v>0</v>
      </c>
      <c r="L282">
        <f>tblPlayers[total_points]</f>
        <v>2</v>
      </c>
      <c r="M282">
        <f>tblPlayers[points_per_game]</f>
        <v>1</v>
      </c>
      <c r="N282">
        <f>tblPlayers[form]</f>
        <v>0.7</v>
      </c>
      <c r="O282">
        <f>tblPlayers[expected_goals]</f>
        <v>0.09</v>
      </c>
      <c r="P282">
        <f>tblPlayers[expected_assists]</f>
        <v>0</v>
      </c>
      <c r="Q282">
        <f>tblPlayers[expected_goal_involvements]</f>
        <v>0.09</v>
      </c>
      <c r="R282" s="2">
        <f t="shared" si="100"/>
        <v>5.806451612903226</v>
      </c>
      <c r="S282" s="5">
        <f t="shared" si="101"/>
        <v>0.26129032258064516</v>
      </c>
      <c r="T282" s="5">
        <f t="shared" si="102"/>
        <v>0</v>
      </c>
      <c r="U282" s="5">
        <f t="shared" si="103"/>
        <v>0.26129032258064516</v>
      </c>
      <c r="V282" s="3">
        <f t="shared" si="104"/>
        <v>0.37037037037037035</v>
      </c>
      <c r="W282" s="5">
        <f t="shared" si="105"/>
        <v>1.6666666666666666E-2</v>
      </c>
      <c r="X282" s="5">
        <f>IFERROR(IF(OR($B282="MID",$B282="FWD"),INDEX(FIXTURE_ANALYSIS!$Q:$Q,MATCH($D282,FIXTURE_ANALYSIS!$A:$A,0)),INDEX(FIXTURE_ANALYSIS!$R:$R,MATCH($D282,FIXTURE_ANALYSIS!$A:$A,0))),1)</f>
        <v>1.0752768166089965</v>
      </c>
      <c r="Y282" s="5">
        <f t="shared" si="106"/>
        <v>1.0752768166089965</v>
      </c>
      <c r="Z282" s="8">
        <f>INDEX(FPL_Raw_Data!$T:$T,MATCH(A282,FPL_Raw_Data!$AA:$AA,0))</f>
        <v>0</v>
      </c>
      <c r="AA282" s="8">
        <f>INDEX(FPL_Raw_Data!$S:$S,MATCH(A282,FPL_Raw_Data!$AA:$AA,0))</f>
        <v>1</v>
      </c>
      <c r="AB282" s="2">
        <f t="shared" si="107"/>
        <v>8.3333333333333329E-2</v>
      </c>
      <c r="AC282" s="2">
        <f>INDEX(FPL_Raw_Data!$Q:$Q,MATCH(A282,FPL_Raw_Data!$AA:$AA,0))</f>
        <v>0</v>
      </c>
      <c r="AD282" s="8">
        <f>INDEX(FPL_Raw_Data!$R:$R,MATCH(A282,FPL_Raw_Data!$AA:$AA,0))</f>
        <v>5</v>
      </c>
      <c r="AE282" s="8">
        <f>INDEX(FPL_Raw_Data!$N:$N,MATCH(A282,FPL_Raw_Data!$AA:$AA,0))</f>
        <v>0</v>
      </c>
      <c r="AF282" s="8">
        <f>INDEX(FPL_Raw_Data!$L:$L,MATCH(A282,FPL_Raw_Data!$AA:$AA,0))</f>
        <v>0</v>
      </c>
      <c r="AG282" s="2">
        <f>INDEX(FPL_Raw_Data!$M:$M,MATCH(A282,FPL_Raw_Data!$AA:$AA,0))</f>
        <v>0</v>
      </c>
      <c r="AH282" s="2">
        <f t="shared" si="108"/>
        <v>1.0451612903225806</v>
      </c>
      <c r="AI282" s="2">
        <f t="shared" si="109"/>
        <v>0</v>
      </c>
      <c r="AJ282" s="2">
        <f t="shared" si="110"/>
        <v>0</v>
      </c>
      <c r="AK282" s="2">
        <f t="shared" si="111"/>
        <v>0.16666666666666666</v>
      </c>
      <c r="AL282" s="2">
        <f t="shared" si="112"/>
        <v>0</v>
      </c>
      <c r="AM282" s="2">
        <f t="shared" si="113"/>
        <v>0</v>
      </c>
      <c r="AN282" s="2">
        <f t="shared" si="114"/>
        <v>0</v>
      </c>
      <c r="AO282" s="3">
        <f t="shared" si="115"/>
        <v>80.400000000000006</v>
      </c>
      <c r="AP282">
        <f t="shared" si="116"/>
        <v>81.3</v>
      </c>
      <c r="AQ282">
        <f t="shared" si="117"/>
        <v>52</v>
      </c>
      <c r="AR282">
        <f t="shared" si="118"/>
        <v>64.3</v>
      </c>
      <c r="AS282" s="2">
        <f t="shared" si="119"/>
        <v>0</v>
      </c>
      <c r="AT282" s="2">
        <f>IFERROR(INDEX(Player_Model!$BC$2:$BC$596,MATCH($A282,Player_Model!$A$2:$A$596,0)),0)</f>
        <v>0</v>
      </c>
      <c r="AU282" s="2">
        <f>Table8[[#This Row],[Model Expected Points]]*Table8[[#This Row],[Fixture Adjustment]]</f>
        <v>0</v>
      </c>
      <c r="AV282" s="2">
        <f>Table8[[#This Row],[Fixture Adjusted Points / 90]]/Table8[[#This Row],[Price]]</f>
        <v>0</v>
      </c>
      <c r="AW282">
        <f t="shared" si="120"/>
        <v>80.849999999999994</v>
      </c>
      <c r="AX282">
        <f t="shared" si="121"/>
        <v>0</v>
      </c>
      <c r="AY282" s="2">
        <f t="shared" si="122"/>
        <v>0</v>
      </c>
      <c r="AZ282" s="5">
        <f t="shared" si="123"/>
        <v>1.0752768166089965</v>
      </c>
      <c r="BA282">
        <f>Table8[[#This Row],[Model Score2]]</f>
        <v>0</v>
      </c>
      <c r="BB282">
        <f>IFERROR(INDEX(Player_Model!$BG$2:$BG$596,MATCH($A282,Player_Model!$A$2:$A$596,0)),"")</f>
        <v>48</v>
      </c>
      <c r="BC282" t="str">
        <f t="shared" si="124"/>
        <v>AVOID</v>
      </c>
      <c r="BD282">
        <f>IF(H282=1,Table8[[#This Row],[Model Score]],-10000)</f>
        <v>-10000</v>
      </c>
      <c r="BE282">
        <f>IFERROR(INDEX(Player_Model!$BF$2:$BF$596,MATCH($A282,Player_Model!$A$2:$A$596,0)),"")</f>
        <v>253</v>
      </c>
      <c r="BF282">
        <f>IFERROR(INDEX(Player_Model!$BG$2:$BG$596,MATCH($A282,Player_Model!$A$2:$A$596,0)),"")</f>
        <v>48</v>
      </c>
      <c r="BG282">
        <f>IFERROR(INDEX(Player_Model!$BE$2:$BE$596,MATCH($A282,Player_Model!$A$2:$A$596,0)),0)</f>
        <v>0</v>
      </c>
    </row>
    <row r="283" spans="1:59" x14ac:dyDescent="0.25">
      <c r="A283" t="str">
        <f>tblPlayers[first_name]&amp;" "&amp;tblPlayers[second_name]</f>
        <v>Thierno Barry</v>
      </c>
      <c r="B283" t="str">
        <f>_xlfn.SWITCH(tblPlayers[element_type],1,"GK",2,"DEF",3,"MID",4,"FWD")</f>
        <v>FWD</v>
      </c>
      <c r="C283">
        <f>tblPlayers[team]</f>
        <v>9</v>
      </c>
      <c r="D283" t="str">
        <f>INDEX(tblTeams[Column1.short_name],MATCH(C283,tblTeams[Column1.id],0))</f>
        <v>EVE</v>
      </c>
      <c r="E283" s="4">
        <f>INDEX(FPL_Raw_Data!$F:$F,MATCH(A283,FPL_Raw_Data!$AA:$AA,0))/10</f>
        <v>5.6</v>
      </c>
      <c r="F283" s="4" t="str">
        <f>tblPlayers[[#This Row],[status]]</f>
        <v>a</v>
      </c>
      <c r="G283" s="4" t="b">
        <f>tblPlayers[[#This Row],[can_select]]</f>
        <v>1</v>
      </c>
      <c r="H283">
        <f>IF(AND(Table8[[#This Row],[Availability Status]]="a",Table8[[#This Row],[Can Select]]=TRUE),1,0)</f>
        <v>1</v>
      </c>
      <c r="I283">
        <f>tblPlayers[minutes]</f>
        <v>237</v>
      </c>
      <c r="J283" s="2">
        <f>Table8[[#This Row],[Minutes]]/90</f>
        <v>2.6333333333333333</v>
      </c>
      <c r="K283" s="5">
        <f>IFERROR(Z283/(FIXTURE_ANALYSIS!$B$1-1),0)</f>
        <v>1</v>
      </c>
      <c r="L283">
        <f>tblPlayers[total_points]</f>
        <v>12</v>
      </c>
      <c r="M283">
        <f>tblPlayers[points_per_game]</f>
        <v>4</v>
      </c>
      <c r="N283">
        <f>tblPlayers[form]</f>
        <v>4</v>
      </c>
      <c r="O283">
        <f>tblPlayers[expected_goals]</f>
        <v>2.31</v>
      </c>
      <c r="P283">
        <f>tblPlayers[expected_assists]</f>
        <v>0.11</v>
      </c>
      <c r="Q283">
        <f>tblPlayers[expected_goal_involvements]</f>
        <v>2.42</v>
      </c>
      <c r="R283" s="2">
        <f t="shared" si="100"/>
        <v>4.556962025316456</v>
      </c>
      <c r="S283" s="5">
        <f t="shared" si="101"/>
        <v>0.87721518987341773</v>
      </c>
      <c r="T283" s="5">
        <f t="shared" si="102"/>
        <v>4.1772151898734178E-2</v>
      </c>
      <c r="U283" s="5">
        <f t="shared" si="103"/>
        <v>0.9189873417721518</v>
      </c>
      <c r="V283" s="3">
        <f t="shared" si="104"/>
        <v>2.1428571428571428</v>
      </c>
      <c r="W283" s="5">
        <f t="shared" si="105"/>
        <v>0.43214285714285716</v>
      </c>
      <c r="X283" s="5">
        <f>IFERROR(IF(OR($B283="MID",$B283="FWD"),INDEX(FIXTURE_ANALYSIS!$Q:$Q,MATCH($D283,FIXTURE_ANALYSIS!$A:$A,0)),INDEX(FIXTURE_ANALYSIS!$R:$R,MATCH($D283,FIXTURE_ANALYSIS!$A:$A,0))),1)</f>
        <v>1.0752768166089965</v>
      </c>
      <c r="Y283" s="5">
        <f t="shared" si="106"/>
        <v>1.0752768166089965</v>
      </c>
      <c r="Z283" s="8">
        <f>INDEX(FPL_Raw_Data!$T:$T,MATCH(A283,FPL_Raw_Data!$AA:$AA,0))</f>
        <v>3</v>
      </c>
      <c r="AA283" s="8">
        <f>INDEX(FPL_Raw_Data!$S:$S,MATCH(A283,FPL_Raw_Data!$AA:$AA,0))</f>
        <v>10</v>
      </c>
      <c r="AB283" s="2">
        <f t="shared" si="107"/>
        <v>0.83333333333333337</v>
      </c>
      <c r="AC283" s="2">
        <f>INDEX(FPL_Raw_Data!$Q:$Q,MATCH(A283,FPL_Raw_Data!$AA:$AA,0))</f>
        <v>2</v>
      </c>
      <c r="AD283" s="8">
        <f>INDEX(FPL_Raw_Data!$R:$R,MATCH(A283,FPL_Raw_Data!$AA:$AA,0))</f>
        <v>50</v>
      </c>
      <c r="AE283" s="8">
        <f>INDEX(FPL_Raw_Data!$N:$N,MATCH(A283,FPL_Raw_Data!$AA:$AA,0))</f>
        <v>1</v>
      </c>
      <c r="AF283" s="8">
        <f>INDEX(FPL_Raw_Data!$L:$L,MATCH(A283,FPL_Raw_Data!$AA:$AA,0))</f>
        <v>1</v>
      </c>
      <c r="AG283" s="2">
        <f>INDEX(FPL_Raw_Data!$M:$M,MATCH(A283,FPL_Raw_Data!$AA:$AA,0))</f>
        <v>0</v>
      </c>
      <c r="AH283" s="2">
        <f t="shared" si="108"/>
        <v>3.5088607594936709</v>
      </c>
      <c r="AI283" s="2">
        <f t="shared" si="109"/>
        <v>0.12531645569620253</v>
      </c>
      <c r="AJ283" s="2">
        <f t="shared" si="110"/>
        <v>2</v>
      </c>
      <c r="AK283" s="2">
        <f t="shared" si="111"/>
        <v>1.6666666666666667</v>
      </c>
      <c r="AL283" s="2">
        <f t="shared" si="112"/>
        <v>0.33333333333333331</v>
      </c>
      <c r="AM283" s="2">
        <f t="shared" si="113"/>
        <v>0</v>
      </c>
      <c r="AN283" s="2">
        <f t="shared" si="114"/>
        <v>0.66666666666666663</v>
      </c>
      <c r="AO283" s="3">
        <f t="shared" si="115"/>
        <v>73.2</v>
      </c>
      <c r="AP283">
        <f t="shared" si="116"/>
        <v>97.3</v>
      </c>
      <c r="AQ283">
        <f t="shared" si="117"/>
        <v>87.5</v>
      </c>
      <c r="AR283">
        <f t="shared" si="118"/>
        <v>100</v>
      </c>
      <c r="AS283" s="2">
        <f t="shared" si="119"/>
        <v>100</v>
      </c>
      <c r="AT283" s="2">
        <f>IFERROR(INDEX(Player_Model!$BC$2:$BC$596,MATCH($A283,Player_Model!$A$2:$A$596,0)),0)</f>
        <v>6.2822814728479317</v>
      </c>
      <c r="AU283" s="2">
        <f>Table8[[#This Row],[Model Expected Points]]*Table8[[#This Row],[Fixture Adjustment]]</f>
        <v>6.7551916231656017</v>
      </c>
      <c r="AV283" s="2">
        <f>Table8[[#This Row],[Fixture Adjusted Points / 90]]/Table8[[#This Row],[Price]]</f>
        <v>1.2062842184224289</v>
      </c>
      <c r="AW283">
        <f t="shared" si="120"/>
        <v>85.25</v>
      </c>
      <c r="AX283">
        <f t="shared" si="121"/>
        <v>0</v>
      </c>
      <c r="AY283" s="2">
        <f t="shared" si="122"/>
        <v>100</v>
      </c>
      <c r="AZ283" s="5">
        <f t="shared" si="123"/>
        <v>1.0752768166089965</v>
      </c>
      <c r="BA283">
        <f>Table8[[#This Row],[Model Score2]]</f>
        <v>6.2822814728479317</v>
      </c>
      <c r="BB283">
        <f>IFERROR(INDEX(Player_Model!$BG$2:$BG$596,MATCH($A283,Player_Model!$A$2:$A$596,0)),"")</f>
        <v>3</v>
      </c>
      <c r="BC283" t="str">
        <f t="shared" si="124"/>
        <v>STRONG PICK</v>
      </c>
      <c r="BD283">
        <f>IF(H283=1,Table8[[#This Row],[Model Score]],-10000)</f>
        <v>6.2822814728479317</v>
      </c>
      <c r="BE283">
        <f>IFERROR(INDEX(Player_Model!$BF$2:$BF$596,MATCH($A283,Player_Model!$A$2:$A$596,0)),"")</f>
        <v>34</v>
      </c>
      <c r="BF283">
        <f>IFERROR(INDEX(Player_Model!$BG$2:$BG$596,MATCH($A283,Player_Model!$A$2:$A$596,0)),"")</f>
        <v>3</v>
      </c>
      <c r="BG283">
        <f>IFERROR(INDEX(Player_Model!$BE$2:$BE$596,MATCH($A283,Player_Model!$A$2:$A$596,0)),0)</f>
        <v>6.2822814728479317</v>
      </c>
    </row>
    <row r="284" spans="1:59" x14ac:dyDescent="0.25">
      <c r="A284" t="str">
        <f>tblPlayers[first_name]&amp;" "&amp;tblPlayers[second_name]</f>
        <v>Ainsley Maitland-Niles</v>
      </c>
      <c r="B284" t="str">
        <f>_xlfn.SWITCH(tblPlayers[element_type],1,"GK",2,"DEF",3,"MID",4,"FWD")</f>
        <v>DEF</v>
      </c>
      <c r="C284">
        <f>tblPlayers[team]</f>
        <v>9</v>
      </c>
      <c r="D284" t="str">
        <f>INDEX(tblTeams[Column1.short_name],MATCH(C284,tblTeams[Column1.id],0))</f>
        <v>EVE</v>
      </c>
      <c r="E284" s="4">
        <f>INDEX(FPL_Raw_Data!$F:$F,MATCH(A284,FPL_Raw_Data!$AA:$AA,0))/10</f>
        <v>4.5</v>
      </c>
      <c r="F284" s="4" t="str">
        <f>tblPlayers[[#This Row],[status]]</f>
        <v>a</v>
      </c>
      <c r="G284" s="4" t="b">
        <f>tblPlayers[[#This Row],[can_select]]</f>
        <v>1</v>
      </c>
      <c r="H284">
        <f>IF(AND(Table8[[#This Row],[Availability Status]]="a",Table8[[#This Row],[Can Select]]=TRUE),1,0)</f>
        <v>1</v>
      </c>
      <c r="I284">
        <f>tblPlayers[minutes]</f>
        <v>13</v>
      </c>
      <c r="J284" s="2">
        <f>Table8[[#This Row],[Minutes]]/90</f>
        <v>0.14444444444444443</v>
      </c>
      <c r="K284" s="5">
        <f>IFERROR(Z284/(FIXTURE_ANALYSIS!$B$1-1),0)</f>
        <v>0</v>
      </c>
      <c r="L284">
        <f>tblPlayers[total_points]</f>
        <v>7</v>
      </c>
      <c r="M284">
        <f>tblPlayers[points_per_game]</f>
        <v>7</v>
      </c>
      <c r="N284">
        <f>tblPlayers[form]</f>
        <v>7</v>
      </c>
      <c r="O284">
        <f>tblPlayers[expected_goals]</f>
        <v>0.03</v>
      </c>
      <c r="P284">
        <f>tblPlayers[expected_assists]</f>
        <v>0</v>
      </c>
      <c r="Q284">
        <f>tblPlayers[expected_goal_involvements]</f>
        <v>0.03</v>
      </c>
      <c r="R284" s="2">
        <f t="shared" si="100"/>
        <v>48.46153846153846</v>
      </c>
      <c r="S284" s="5">
        <f t="shared" si="101"/>
        <v>0.20769230769230768</v>
      </c>
      <c r="T284" s="5">
        <f t="shared" si="102"/>
        <v>0</v>
      </c>
      <c r="U284" s="5">
        <f t="shared" si="103"/>
        <v>0.20769230769230768</v>
      </c>
      <c r="V284" s="3">
        <f t="shared" si="104"/>
        <v>1.5555555555555556</v>
      </c>
      <c r="W284" s="5">
        <f t="shared" si="105"/>
        <v>6.6666666666666662E-3</v>
      </c>
      <c r="X284" s="5">
        <f>IFERROR(IF(OR($B284="MID",$B284="FWD"),INDEX(FIXTURE_ANALYSIS!$Q:$Q,MATCH($D284,FIXTURE_ANALYSIS!$A:$A,0)),INDEX(FIXTURE_ANALYSIS!$R:$R,MATCH($D284,FIXTURE_ANALYSIS!$A:$A,0))),1)</f>
        <v>1.1192513001836562</v>
      </c>
      <c r="Y284" s="5">
        <f t="shared" si="106"/>
        <v>1.1192513001836562</v>
      </c>
      <c r="Z284" s="8">
        <f>INDEX(FPL_Raw_Data!$T:$T,MATCH(A284,FPL_Raw_Data!$AA:$AA,0))</f>
        <v>0</v>
      </c>
      <c r="AA284" s="8">
        <f>INDEX(FPL_Raw_Data!$S:$S,MATCH(A284,FPL_Raw_Data!$AA:$AA,0))</f>
        <v>0</v>
      </c>
      <c r="AB284" s="2">
        <f t="shared" si="107"/>
        <v>0</v>
      </c>
      <c r="AC284" s="2">
        <f>INDEX(FPL_Raw_Data!$Q:$Q,MATCH(A284,FPL_Raw_Data!$AA:$AA,0))</f>
        <v>0</v>
      </c>
      <c r="AD284" s="8">
        <f>INDEX(FPL_Raw_Data!$R:$R,MATCH(A284,FPL_Raw_Data!$AA:$AA,0))</f>
        <v>13</v>
      </c>
      <c r="AE284" s="8">
        <f>INDEX(FPL_Raw_Data!$N:$N,MATCH(A284,FPL_Raw_Data!$AA:$AA,0))</f>
        <v>0</v>
      </c>
      <c r="AF284" s="8">
        <f>INDEX(FPL_Raw_Data!$L:$L,MATCH(A284,FPL_Raw_Data!$AA:$AA,0))</f>
        <v>1</v>
      </c>
      <c r="AG284" s="2">
        <f>INDEX(FPL_Raw_Data!$M:$M,MATCH(A284,FPL_Raw_Data!$AA:$AA,0))</f>
        <v>0</v>
      </c>
      <c r="AH284" s="2">
        <f t="shared" si="108"/>
        <v>1.2461538461538462</v>
      </c>
      <c r="AI284" s="2">
        <f t="shared" si="109"/>
        <v>0</v>
      </c>
      <c r="AJ284" s="2">
        <f t="shared" si="110"/>
        <v>0</v>
      </c>
      <c r="AK284" s="2">
        <f t="shared" si="111"/>
        <v>0</v>
      </c>
      <c r="AL284" s="2">
        <f t="shared" si="112"/>
        <v>0</v>
      </c>
      <c r="AM284" s="2">
        <f t="shared" si="113"/>
        <v>0</v>
      </c>
      <c r="AN284" s="2">
        <f t="shared" si="114"/>
        <v>0</v>
      </c>
      <c r="AO284" s="3">
        <f t="shared" si="115"/>
        <v>97.899999999999991</v>
      </c>
      <c r="AP284">
        <f t="shared" si="116"/>
        <v>76.7</v>
      </c>
      <c r="AQ284">
        <f t="shared" si="117"/>
        <v>79.600000000000009</v>
      </c>
      <c r="AR284">
        <f t="shared" si="118"/>
        <v>57.699999999999996</v>
      </c>
      <c r="AS284" s="2">
        <f t="shared" si="119"/>
        <v>0</v>
      </c>
      <c r="AT284" s="2">
        <f>IFERROR(INDEX(Player_Model!$BC$2:$BC$596,MATCH($A284,Player_Model!$A$2:$A$596,0)),0)</f>
        <v>-0.55962565009182808</v>
      </c>
      <c r="AU284" s="2">
        <f>Table8[[#This Row],[Model Expected Points]]*Table8[[#This Row],[Fixture Adjustment]]</f>
        <v>-0.62636173648140236</v>
      </c>
      <c r="AV284" s="2">
        <f>Table8[[#This Row],[Fixture Adjusted Points / 90]]/Table8[[#This Row],[Price]]</f>
        <v>-0.13919149699586719</v>
      </c>
      <c r="AW284">
        <f t="shared" si="120"/>
        <v>76.7</v>
      </c>
      <c r="AX284">
        <f t="shared" si="121"/>
        <v>0.55962565009182808</v>
      </c>
      <c r="AY284" s="2">
        <f t="shared" si="122"/>
        <v>0</v>
      </c>
      <c r="AZ284" s="5">
        <f t="shared" si="123"/>
        <v>1.1192513001836562</v>
      </c>
      <c r="BA284">
        <f>Table8[[#This Row],[Model Score2]]</f>
        <v>-0.55962565009182808</v>
      </c>
      <c r="BB284">
        <f>IFERROR(INDEX(Player_Model!$BG$2:$BG$596,MATCH($A284,Player_Model!$A$2:$A$596,0)),"")</f>
        <v>126</v>
      </c>
      <c r="BC284" t="str">
        <f t="shared" si="124"/>
        <v>AVOID</v>
      </c>
      <c r="BD284">
        <f>IF(H284=1,Table8[[#This Row],[Model Score]],-10000)</f>
        <v>-0.55962565009182808</v>
      </c>
      <c r="BE284">
        <f>IFERROR(INDEX(Player_Model!$BF$2:$BF$596,MATCH($A284,Player_Model!$A$2:$A$596,0)),"")</f>
        <v>525</v>
      </c>
      <c r="BF284">
        <f>IFERROR(INDEX(Player_Model!$BG$2:$BG$596,MATCH($A284,Player_Model!$A$2:$A$596,0)),"")</f>
        <v>126</v>
      </c>
      <c r="BG284">
        <f>IFERROR(INDEX(Player_Model!$BE$2:$BE$596,MATCH($A284,Player_Model!$A$2:$A$596,0)),0)</f>
        <v>-0.55962565009182808</v>
      </c>
    </row>
    <row r="285" spans="1:59" x14ac:dyDescent="0.25">
      <c r="A285" t="str">
        <f>tblPlayers[first_name]&amp;" "&amp;tblPlayers[second_name]</f>
        <v>Braiden Graham</v>
      </c>
      <c r="B285" t="str">
        <f>_xlfn.SWITCH(tblPlayers[element_type],1,"GK",2,"DEF",3,"MID",4,"FWD")</f>
        <v>MID</v>
      </c>
      <c r="C285">
        <f>tblPlayers[team]</f>
        <v>9</v>
      </c>
      <c r="D285" t="str">
        <f>INDEX(tblTeams[Column1.short_name],MATCH(C285,tblTeams[Column1.id],0))</f>
        <v>EVE</v>
      </c>
      <c r="E285" s="4">
        <f>INDEX(FPL_Raw_Data!$F:$F,MATCH(A285,FPL_Raw_Data!$AA:$AA,0))/10</f>
        <v>4.5</v>
      </c>
      <c r="F285" s="4" t="str">
        <f>tblPlayers[[#This Row],[status]]</f>
        <v>a</v>
      </c>
      <c r="G285" s="4" t="b">
        <f>tblPlayers[[#This Row],[can_select]]</f>
        <v>1</v>
      </c>
      <c r="H285">
        <f>IF(AND(Table8[[#This Row],[Availability Status]]="a",Table8[[#This Row],[Can Select]]=TRUE),1,0)</f>
        <v>1</v>
      </c>
      <c r="I285">
        <f>tblPlayers[minutes]</f>
        <v>0</v>
      </c>
      <c r="J285" s="2">
        <f>Table8[[#This Row],[Minutes]]/90</f>
        <v>0</v>
      </c>
      <c r="K285" s="5">
        <f>IFERROR(Z285/(FIXTURE_ANALYSIS!$B$1-1),0)</f>
        <v>0</v>
      </c>
      <c r="L285">
        <f>tblPlayers[total_points]</f>
        <v>0</v>
      </c>
      <c r="M285">
        <f>tblPlayers[points_per_game]</f>
        <v>0</v>
      </c>
      <c r="N285">
        <f>tblPlayers[form]</f>
        <v>0</v>
      </c>
      <c r="O285">
        <f>tblPlayers[expected_goals]</f>
        <v>0</v>
      </c>
      <c r="P285">
        <f>tblPlayers[expected_assists]</f>
        <v>0</v>
      </c>
      <c r="Q285">
        <f>tblPlayers[expected_goal_involvements]</f>
        <v>0</v>
      </c>
      <c r="R285" s="2">
        <f t="shared" si="100"/>
        <v>0</v>
      </c>
      <c r="S285" s="5">
        <f t="shared" si="101"/>
        <v>0</v>
      </c>
      <c r="T285" s="5">
        <f t="shared" si="102"/>
        <v>0</v>
      </c>
      <c r="U285" s="5">
        <f t="shared" si="103"/>
        <v>0</v>
      </c>
      <c r="V285" s="3">
        <f t="shared" si="104"/>
        <v>0</v>
      </c>
      <c r="W285" s="5">
        <f t="shared" si="105"/>
        <v>0</v>
      </c>
      <c r="X285" s="5">
        <f>IFERROR(IF(OR($B285="MID",$B285="FWD"),INDEX(FIXTURE_ANALYSIS!$Q:$Q,MATCH($D285,FIXTURE_ANALYSIS!$A:$A,0)),INDEX(FIXTURE_ANALYSIS!$R:$R,MATCH($D285,FIXTURE_ANALYSIS!$A:$A,0))),1)</f>
        <v>1.0752768166089965</v>
      </c>
      <c r="Y285" s="5">
        <f t="shared" si="106"/>
        <v>1.0752768166089965</v>
      </c>
      <c r="Z285" s="8">
        <f>INDEX(FPL_Raw_Data!$T:$T,MATCH(A285,FPL_Raw_Data!$AA:$AA,0))</f>
        <v>0</v>
      </c>
      <c r="AA285" s="8">
        <f>INDEX(FPL_Raw_Data!$S:$S,MATCH(A285,FPL_Raw_Data!$AA:$AA,0))</f>
        <v>0</v>
      </c>
      <c r="AB285" s="2">
        <f t="shared" si="107"/>
        <v>0</v>
      </c>
      <c r="AC285" s="2">
        <f>INDEX(FPL_Raw_Data!$Q:$Q,MATCH(A285,FPL_Raw_Data!$AA:$AA,0))</f>
        <v>0</v>
      </c>
      <c r="AD285" s="8">
        <f>INDEX(FPL_Raw_Data!$R:$R,MATCH(A285,FPL_Raw_Data!$AA:$AA,0))</f>
        <v>0</v>
      </c>
      <c r="AE285" s="8">
        <f>INDEX(FPL_Raw_Data!$N:$N,MATCH(A285,FPL_Raw_Data!$AA:$AA,0))</f>
        <v>0</v>
      </c>
      <c r="AF285" s="8">
        <f>INDEX(FPL_Raw_Data!$L:$L,MATCH(A285,FPL_Raw_Data!$AA:$AA,0))</f>
        <v>0</v>
      </c>
      <c r="AG285" s="2">
        <f>INDEX(FPL_Raw_Data!$M:$M,MATCH(A285,FPL_Raw_Data!$AA:$AA,0))</f>
        <v>0</v>
      </c>
      <c r="AH285" s="2">
        <f t="shared" si="108"/>
        <v>0</v>
      </c>
      <c r="AI285" s="2">
        <f t="shared" si="109"/>
        <v>0</v>
      </c>
      <c r="AJ285" s="2">
        <f t="shared" si="110"/>
        <v>0</v>
      </c>
      <c r="AK285" s="2">
        <f t="shared" si="111"/>
        <v>0</v>
      </c>
      <c r="AL285" s="2">
        <f t="shared" si="112"/>
        <v>0</v>
      </c>
      <c r="AM285" s="2">
        <f t="shared" si="113"/>
        <v>0</v>
      </c>
      <c r="AN285" s="2">
        <f t="shared" si="114"/>
        <v>0</v>
      </c>
      <c r="AO285" s="3">
        <f t="shared" si="115"/>
        <v>0.1</v>
      </c>
      <c r="AP285">
        <f t="shared" si="116"/>
        <v>0</v>
      </c>
      <c r="AQ285">
        <f t="shared" si="117"/>
        <v>0.1</v>
      </c>
      <c r="AR285">
        <f t="shared" si="118"/>
        <v>0</v>
      </c>
      <c r="AS285" s="2">
        <f t="shared" si="119"/>
        <v>0</v>
      </c>
      <c r="AT285" s="2">
        <f>IFERROR(INDEX(Player_Model!$BC$2:$BC$596,MATCH($A285,Player_Model!$A$2:$A$596,0)),0)</f>
        <v>0</v>
      </c>
      <c r="AU285" s="2">
        <f>Table8[[#This Row],[Model Expected Points]]*Table8[[#This Row],[Fixture Adjustment]]</f>
        <v>0</v>
      </c>
      <c r="AV285" s="2">
        <f>Table8[[#This Row],[Fixture Adjusted Points / 90]]/Table8[[#This Row],[Price]]</f>
        <v>0</v>
      </c>
      <c r="AW285">
        <f t="shared" si="120"/>
        <v>0.05</v>
      </c>
      <c r="AX285">
        <f t="shared" si="121"/>
        <v>0</v>
      </c>
      <c r="AY285" s="2">
        <f t="shared" si="122"/>
        <v>0</v>
      </c>
      <c r="AZ285" s="5">
        <f t="shared" si="123"/>
        <v>1.0752768166089965</v>
      </c>
      <c r="BA285">
        <f>Table8[[#This Row],[Model Score2]]</f>
        <v>0</v>
      </c>
      <c r="BB285">
        <f>IFERROR(INDEX(Player_Model!$BG$2:$BG$596,MATCH($A285,Player_Model!$A$2:$A$596,0)),"")</f>
        <v>184</v>
      </c>
      <c r="BC285" t="str">
        <f t="shared" si="124"/>
        <v>AVOID</v>
      </c>
      <c r="BD285">
        <f>IF(H285=1,Table8[[#This Row],[Model Score]],-10000)</f>
        <v>0</v>
      </c>
      <c r="BE285">
        <f>IFERROR(INDEX(Player_Model!$BF$2:$BF$596,MATCH($A285,Player_Model!$A$2:$A$596,0)),"")</f>
        <v>253</v>
      </c>
      <c r="BF285">
        <f>IFERROR(INDEX(Player_Model!$BG$2:$BG$596,MATCH($A285,Player_Model!$A$2:$A$596,0)),"")</f>
        <v>184</v>
      </c>
      <c r="BG285">
        <f>IFERROR(INDEX(Player_Model!$BE$2:$BE$596,MATCH($A285,Player_Model!$A$2:$A$596,0)),0)</f>
        <v>0</v>
      </c>
    </row>
    <row r="286" spans="1:59" x14ac:dyDescent="0.25">
      <c r="A286" t="str">
        <f>tblPlayers[first_name]&amp;" "&amp;tblPlayers[second_name]</f>
        <v>Bernd Leno</v>
      </c>
      <c r="B286" t="str">
        <f>_xlfn.SWITCH(tblPlayers[element_type],1,"GK",2,"DEF",3,"MID",4,"FWD")</f>
        <v>GK</v>
      </c>
      <c r="C286">
        <f>tblPlayers[team]</f>
        <v>10</v>
      </c>
      <c r="D286" t="str">
        <f>INDEX(tblTeams[Column1.short_name],MATCH(C286,tblTeams[Column1.id],0))</f>
        <v>FUL</v>
      </c>
      <c r="E286" s="4">
        <f>INDEX(FPL_Raw_Data!$F:$F,MATCH(A286,FPL_Raw_Data!$AA:$AA,0))/10</f>
        <v>4.5</v>
      </c>
      <c r="F286" s="4" t="str">
        <f>tblPlayers[[#This Row],[status]]</f>
        <v>a</v>
      </c>
      <c r="G286" s="4" t="b">
        <f>tblPlayers[[#This Row],[can_select]]</f>
        <v>1</v>
      </c>
      <c r="H286">
        <f>IF(AND(Table8[[#This Row],[Availability Status]]="a",Table8[[#This Row],[Can Select]]=TRUE),1,0)</f>
        <v>1</v>
      </c>
      <c r="I286">
        <f>tblPlayers[minutes]</f>
        <v>270</v>
      </c>
      <c r="J286" s="2">
        <f>Table8[[#This Row],[Minutes]]/90</f>
        <v>3</v>
      </c>
      <c r="K286" s="5">
        <f>IFERROR(Z286/(FIXTURE_ANALYSIS!$B$1-1),0)</f>
        <v>1</v>
      </c>
      <c r="L286">
        <f>tblPlayers[total_points]</f>
        <v>6</v>
      </c>
      <c r="M286">
        <f>tblPlayers[points_per_game]</f>
        <v>2</v>
      </c>
      <c r="N286">
        <f>tblPlayers[form]</f>
        <v>2</v>
      </c>
      <c r="O286">
        <f>tblPlayers[expected_goals]</f>
        <v>0</v>
      </c>
      <c r="P286">
        <f>tblPlayers[expected_assists]</f>
        <v>0</v>
      </c>
      <c r="Q286">
        <f>tblPlayers[expected_goal_involvements]</f>
        <v>0</v>
      </c>
      <c r="R286" s="2">
        <f t="shared" si="100"/>
        <v>2</v>
      </c>
      <c r="S286" s="5">
        <f t="shared" si="101"/>
        <v>0</v>
      </c>
      <c r="T286" s="5">
        <f t="shared" si="102"/>
        <v>0</v>
      </c>
      <c r="U286" s="5">
        <f t="shared" si="103"/>
        <v>0</v>
      </c>
      <c r="V286" s="3">
        <f t="shared" si="104"/>
        <v>1.3333333333333333</v>
      </c>
      <c r="W286" s="5">
        <f t="shared" si="105"/>
        <v>0</v>
      </c>
      <c r="X286" s="5">
        <f>IFERROR(IF(OR($B286="MID",$B286="FWD"),INDEX(FIXTURE_ANALYSIS!$Q:$Q,MATCH($D286,FIXTURE_ANALYSIS!$A:$A,0)),INDEX(FIXTURE_ANALYSIS!$R:$R,MATCH($D286,FIXTURE_ANALYSIS!$A:$A,0))),1)</f>
        <v>0.85287356321839092</v>
      </c>
      <c r="Y286" s="5">
        <f t="shared" si="106"/>
        <v>0.85287356321839092</v>
      </c>
      <c r="Z286" s="8">
        <f>INDEX(FPL_Raw_Data!$T:$T,MATCH(A286,FPL_Raw_Data!$AA:$AA,0))</f>
        <v>3</v>
      </c>
      <c r="AA286" s="8">
        <f>INDEX(FPL_Raw_Data!$S:$S,MATCH(A286,FPL_Raw_Data!$AA:$AA,0))</f>
        <v>0</v>
      </c>
      <c r="AB286" s="2">
        <f t="shared" si="107"/>
        <v>0</v>
      </c>
      <c r="AC286" s="2">
        <f>INDEX(FPL_Raw_Data!$Q:$Q,MATCH(A286,FPL_Raw_Data!$AA:$AA,0))</f>
        <v>0</v>
      </c>
      <c r="AD286" s="8">
        <f>INDEX(FPL_Raw_Data!$R:$R,MATCH(A286,FPL_Raw_Data!$AA:$AA,0))</f>
        <v>30</v>
      </c>
      <c r="AE286" s="8">
        <f>INDEX(FPL_Raw_Data!$N:$N,MATCH(A286,FPL_Raw_Data!$AA:$AA,0))</f>
        <v>0</v>
      </c>
      <c r="AF286" s="8">
        <f>INDEX(FPL_Raw_Data!$L:$L,MATCH(A286,FPL_Raw_Data!$AA:$AA,0))</f>
        <v>0</v>
      </c>
      <c r="AG286" s="2">
        <f>INDEX(FPL_Raw_Data!$M:$M,MATCH(A286,FPL_Raw_Data!$AA:$AA,0))</f>
        <v>0</v>
      </c>
      <c r="AH286" s="2">
        <f t="shared" si="108"/>
        <v>0</v>
      </c>
      <c r="AI286" s="2">
        <f t="shared" si="109"/>
        <v>0</v>
      </c>
      <c r="AJ286" s="2">
        <f t="shared" si="110"/>
        <v>2</v>
      </c>
      <c r="AK286" s="2">
        <f t="shared" si="111"/>
        <v>0</v>
      </c>
      <c r="AL286" s="2">
        <f t="shared" si="112"/>
        <v>0</v>
      </c>
      <c r="AM286" s="2">
        <f t="shared" si="113"/>
        <v>0</v>
      </c>
      <c r="AN286" s="2">
        <f t="shared" si="114"/>
        <v>0</v>
      </c>
      <c r="AO286" s="3">
        <f t="shared" si="115"/>
        <v>45.9</v>
      </c>
      <c r="AP286">
        <f t="shared" si="116"/>
        <v>0</v>
      </c>
      <c r="AQ286">
        <f t="shared" si="117"/>
        <v>74.900000000000006</v>
      </c>
      <c r="AR286">
        <f t="shared" si="118"/>
        <v>0</v>
      </c>
      <c r="AS286" s="2">
        <f t="shared" si="119"/>
        <v>100</v>
      </c>
      <c r="AT286" s="2">
        <f>IFERROR(INDEX(Player_Model!$BC$2:$BC$596,MATCH($A286,Player_Model!$A$2:$A$596,0)),0)</f>
        <v>2.4639848914431677</v>
      </c>
      <c r="AU286" s="2">
        <f>Table8[[#This Row],[Model Expected Points]]*Table8[[#This Row],[Fixture Adjustment]]</f>
        <v>2.1014675740814144</v>
      </c>
      <c r="AV286" s="2">
        <f>Table8[[#This Row],[Fixture Adjusted Points / 90]]/Table8[[#This Row],[Price]]</f>
        <v>0.46699279424031431</v>
      </c>
      <c r="AW286">
        <f t="shared" si="120"/>
        <v>0</v>
      </c>
      <c r="AX286">
        <f t="shared" si="121"/>
        <v>50.426436781609198</v>
      </c>
      <c r="AY286" s="2">
        <f t="shared" si="122"/>
        <v>100</v>
      </c>
      <c r="AZ286" s="5">
        <f t="shared" si="123"/>
        <v>0.85287356321839092</v>
      </c>
      <c r="BA286">
        <f>Table8[[#This Row],[Model Score2]]</f>
        <v>2.4639848914431677</v>
      </c>
      <c r="BB286">
        <f>IFERROR(INDEX(Player_Model!$BG$2:$BG$596,MATCH($A286,Player_Model!$A$2:$A$596,0)),"")</f>
        <v>21</v>
      </c>
      <c r="BC286" t="str">
        <f t="shared" si="124"/>
        <v>AVOID</v>
      </c>
      <c r="BD286">
        <f>IF(H286=1,Table8[[#This Row],[Model Score]],-10000)</f>
        <v>2.4639848914431677</v>
      </c>
      <c r="BE286">
        <f>IFERROR(INDEX(Player_Model!$BF$2:$BF$596,MATCH($A286,Player_Model!$A$2:$A$596,0)),"")</f>
        <v>228</v>
      </c>
      <c r="BF286">
        <f>IFERROR(INDEX(Player_Model!$BG$2:$BG$596,MATCH($A286,Player_Model!$A$2:$A$596,0)),"")</f>
        <v>21</v>
      </c>
      <c r="BG286">
        <f>IFERROR(INDEX(Player_Model!$BE$2:$BE$596,MATCH($A286,Player_Model!$A$2:$A$596,0)),0)</f>
        <v>2.4639848914431677</v>
      </c>
    </row>
    <row r="287" spans="1:59" x14ac:dyDescent="0.25">
      <c r="A287" t="str">
        <f>tblPlayers[first_name]&amp;" "&amp;tblPlayers[second_name]</f>
        <v>Benjamin Lecomte</v>
      </c>
      <c r="B287" t="str">
        <f>_xlfn.SWITCH(tblPlayers[element_type],1,"GK",2,"DEF",3,"MID",4,"FWD")</f>
        <v>GK</v>
      </c>
      <c r="C287">
        <f>tblPlayers[team]</f>
        <v>10</v>
      </c>
      <c r="D287" t="str">
        <f>INDEX(tblTeams[Column1.short_name],MATCH(C287,tblTeams[Column1.id],0))</f>
        <v>FUL</v>
      </c>
      <c r="E287" s="4">
        <f>INDEX(FPL_Raw_Data!$F:$F,MATCH(A287,FPL_Raw_Data!$AA:$AA,0))/10</f>
        <v>4</v>
      </c>
      <c r="F287" s="4" t="str">
        <f>tblPlayers[[#This Row],[status]]</f>
        <v>a</v>
      </c>
      <c r="G287" s="4" t="b">
        <f>tblPlayers[[#This Row],[can_select]]</f>
        <v>1</v>
      </c>
      <c r="H287">
        <f>IF(AND(Table8[[#This Row],[Availability Status]]="a",Table8[[#This Row],[Can Select]]=TRUE),1,0)</f>
        <v>1</v>
      </c>
      <c r="I287">
        <f>tblPlayers[minutes]</f>
        <v>0</v>
      </c>
      <c r="J287" s="2">
        <f>Table8[[#This Row],[Minutes]]/90</f>
        <v>0</v>
      </c>
      <c r="K287" s="5">
        <f>IFERROR(Z287/(FIXTURE_ANALYSIS!$B$1-1),0)</f>
        <v>0</v>
      </c>
      <c r="L287">
        <f>tblPlayers[total_points]</f>
        <v>0</v>
      </c>
      <c r="M287">
        <f>tblPlayers[points_per_game]</f>
        <v>0</v>
      </c>
      <c r="N287">
        <f>tblPlayers[form]</f>
        <v>0</v>
      </c>
      <c r="O287">
        <f>tblPlayers[expected_goals]</f>
        <v>0</v>
      </c>
      <c r="P287">
        <f>tblPlayers[expected_assists]</f>
        <v>0</v>
      </c>
      <c r="Q287">
        <f>tblPlayers[expected_goal_involvements]</f>
        <v>0</v>
      </c>
      <c r="R287" s="2">
        <f t="shared" si="100"/>
        <v>0</v>
      </c>
      <c r="S287" s="5">
        <f t="shared" si="101"/>
        <v>0</v>
      </c>
      <c r="T287" s="5">
        <f t="shared" si="102"/>
        <v>0</v>
      </c>
      <c r="U287" s="5">
        <f t="shared" si="103"/>
        <v>0</v>
      </c>
      <c r="V287" s="3">
        <f t="shared" si="104"/>
        <v>0</v>
      </c>
      <c r="W287" s="5">
        <f t="shared" si="105"/>
        <v>0</v>
      </c>
      <c r="X287" s="5">
        <f>IFERROR(IF(OR($B287="MID",$B287="FWD"),INDEX(FIXTURE_ANALYSIS!$Q:$Q,MATCH($D287,FIXTURE_ANALYSIS!$A:$A,0)),INDEX(FIXTURE_ANALYSIS!$R:$R,MATCH($D287,FIXTURE_ANALYSIS!$A:$A,0))),1)</f>
        <v>0.85287356321839092</v>
      </c>
      <c r="Y287" s="5">
        <f t="shared" si="106"/>
        <v>0.85287356321839092</v>
      </c>
      <c r="Z287" s="8">
        <f>INDEX(FPL_Raw_Data!$T:$T,MATCH(A287,FPL_Raw_Data!$AA:$AA,0))</f>
        <v>0</v>
      </c>
      <c r="AA287" s="8">
        <f>INDEX(FPL_Raw_Data!$S:$S,MATCH(A287,FPL_Raw_Data!$AA:$AA,0))</f>
        <v>0</v>
      </c>
      <c r="AB287" s="2">
        <f t="shared" si="107"/>
        <v>0</v>
      </c>
      <c r="AC287" s="2">
        <f>INDEX(FPL_Raw_Data!$Q:$Q,MATCH(A287,FPL_Raw_Data!$AA:$AA,0))</f>
        <v>0</v>
      </c>
      <c r="AD287" s="8">
        <f>INDEX(FPL_Raw_Data!$R:$R,MATCH(A287,FPL_Raw_Data!$AA:$AA,0))</f>
        <v>0</v>
      </c>
      <c r="AE287" s="8">
        <f>INDEX(FPL_Raw_Data!$N:$N,MATCH(A287,FPL_Raw_Data!$AA:$AA,0))</f>
        <v>0</v>
      </c>
      <c r="AF287" s="8">
        <f>INDEX(FPL_Raw_Data!$L:$L,MATCH(A287,FPL_Raw_Data!$AA:$AA,0))</f>
        <v>0</v>
      </c>
      <c r="AG287" s="2">
        <f>INDEX(FPL_Raw_Data!$M:$M,MATCH(A287,FPL_Raw_Data!$AA:$AA,0))</f>
        <v>0</v>
      </c>
      <c r="AH287" s="2">
        <f t="shared" si="108"/>
        <v>0</v>
      </c>
      <c r="AI287" s="2">
        <f t="shared" si="109"/>
        <v>0</v>
      </c>
      <c r="AJ287" s="2">
        <f t="shared" si="110"/>
        <v>0</v>
      </c>
      <c r="AK287" s="2">
        <f t="shared" si="111"/>
        <v>0</v>
      </c>
      <c r="AL287" s="2">
        <f t="shared" si="112"/>
        <v>0</v>
      </c>
      <c r="AM287" s="2">
        <f t="shared" si="113"/>
        <v>0</v>
      </c>
      <c r="AN287" s="2">
        <f t="shared" si="114"/>
        <v>0</v>
      </c>
      <c r="AO287" s="3">
        <f t="shared" si="115"/>
        <v>0.1</v>
      </c>
      <c r="AP287">
        <f t="shared" si="116"/>
        <v>0</v>
      </c>
      <c r="AQ287">
        <f t="shared" si="117"/>
        <v>0.1</v>
      </c>
      <c r="AR287">
        <f t="shared" si="118"/>
        <v>0</v>
      </c>
      <c r="AS287" s="2">
        <f t="shared" si="119"/>
        <v>0</v>
      </c>
      <c r="AT287" s="2">
        <f>IFERROR(INDEX(Player_Model!$BC$2:$BC$596,MATCH($A287,Player_Model!$A$2:$A$596,0)),0)</f>
        <v>0</v>
      </c>
      <c r="AU287" s="2">
        <f>Table8[[#This Row],[Model Expected Points]]*Table8[[#This Row],[Fixture Adjustment]]</f>
        <v>0</v>
      </c>
      <c r="AV287" s="2">
        <f>Table8[[#This Row],[Fixture Adjusted Points / 90]]/Table8[[#This Row],[Price]]</f>
        <v>0</v>
      </c>
      <c r="AW287">
        <f t="shared" si="120"/>
        <v>0</v>
      </c>
      <c r="AX287">
        <f t="shared" si="121"/>
        <v>0.42643678160919546</v>
      </c>
      <c r="AY287" s="2">
        <f t="shared" si="122"/>
        <v>0</v>
      </c>
      <c r="AZ287" s="5">
        <f t="shared" si="123"/>
        <v>0.85287356321839092</v>
      </c>
      <c r="BA287">
        <f>Table8[[#This Row],[Model Score2]]</f>
        <v>0</v>
      </c>
      <c r="BB287">
        <f>IFERROR(INDEX(Player_Model!$BG$2:$BG$596,MATCH($A287,Player_Model!$A$2:$A$596,0)),"")</f>
        <v>38</v>
      </c>
      <c r="BC287" t="str">
        <f t="shared" si="124"/>
        <v>AVOID</v>
      </c>
      <c r="BD287">
        <f>IF(H287=1,Table8[[#This Row],[Model Score]],-10000)</f>
        <v>0</v>
      </c>
      <c r="BE287">
        <f>IFERROR(INDEX(Player_Model!$BF$2:$BF$596,MATCH($A287,Player_Model!$A$2:$A$596,0)),"")</f>
        <v>253</v>
      </c>
      <c r="BF287">
        <f>IFERROR(INDEX(Player_Model!$BG$2:$BG$596,MATCH($A287,Player_Model!$A$2:$A$596,0)),"")</f>
        <v>38</v>
      </c>
      <c r="BG287">
        <f>IFERROR(INDEX(Player_Model!$BE$2:$BE$596,MATCH($A287,Player_Model!$A$2:$A$596,0)),0)</f>
        <v>0</v>
      </c>
    </row>
    <row r="288" spans="1:59" x14ac:dyDescent="0.25">
      <c r="A288" t="str">
        <f>tblPlayers[first_name]&amp;" "&amp;tblPlayers[second_name]</f>
        <v>Alfie McNally</v>
      </c>
      <c r="B288" t="str">
        <f>_xlfn.SWITCH(tblPlayers[element_type],1,"GK",2,"DEF",3,"MID",4,"FWD")</f>
        <v>GK</v>
      </c>
      <c r="C288">
        <f>tblPlayers[team]</f>
        <v>10</v>
      </c>
      <c r="D288" t="str">
        <f>INDEX(tblTeams[Column1.short_name],MATCH(C288,tblTeams[Column1.id],0))</f>
        <v>FUL</v>
      </c>
      <c r="E288" s="4">
        <f>INDEX(FPL_Raw_Data!$F:$F,MATCH(A288,FPL_Raw_Data!$AA:$AA,0))/10</f>
        <v>4</v>
      </c>
      <c r="F288" s="4" t="str">
        <f>tblPlayers[[#This Row],[status]]</f>
        <v>u</v>
      </c>
      <c r="G288" s="4" t="b">
        <f>tblPlayers[[#This Row],[can_select]]</f>
        <v>0</v>
      </c>
      <c r="H288">
        <f>IF(AND(Table8[[#This Row],[Availability Status]]="a",Table8[[#This Row],[Can Select]]=TRUE),1,0)</f>
        <v>0</v>
      </c>
      <c r="I288">
        <f>tblPlayers[minutes]</f>
        <v>0</v>
      </c>
      <c r="J288" s="2">
        <f>Table8[[#This Row],[Minutes]]/90</f>
        <v>0</v>
      </c>
      <c r="K288" s="5">
        <f>IFERROR(Z288/(FIXTURE_ANALYSIS!$B$1-1),0)</f>
        <v>0</v>
      </c>
      <c r="L288">
        <f>tblPlayers[total_points]</f>
        <v>0</v>
      </c>
      <c r="M288">
        <f>tblPlayers[points_per_game]</f>
        <v>0</v>
      </c>
      <c r="N288">
        <f>tblPlayers[form]</f>
        <v>0</v>
      </c>
      <c r="O288">
        <f>tblPlayers[expected_goals]</f>
        <v>0</v>
      </c>
      <c r="P288">
        <f>tblPlayers[expected_assists]</f>
        <v>0</v>
      </c>
      <c r="Q288">
        <f>tblPlayers[expected_goal_involvements]</f>
        <v>0</v>
      </c>
      <c r="R288" s="2">
        <f t="shared" si="100"/>
        <v>0</v>
      </c>
      <c r="S288" s="5">
        <f t="shared" si="101"/>
        <v>0</v>
      </c>
      <c r="T288" s="5">
        <f t="shared" si="102"/>
        <v>0</v>
      </c>
      <c r="U288" s="5">
        <f t="shared" si="103"/>
        <v>0</v>
      </c>
      <c r="V288" s="3">
        <f t="shared" si="104"/>
        <v>0</v>
      </c>
      <c r="W288" s="5">
        <f t="shared" si="105"/>
        <v>0</v>
      </c>
      <c r="X288" s="5">
        <f>IFERROR(IF(OR($B288="MID",$B288="FWD"),INDEX(FIXTURE_ANALYSIS!$Q:$Q,MATCH($D288,FIXTURE_ANALYSIS!$A:$A,0)),INDEX(FIXTURE_ANALYSIS!$R:$R,MATCH($D288,FIXTURE_ANALYSIS!$A:$A,0))),1)</f>
        <v>0.85287356321839092</v>
      </c>
      <c r="Y288" s="5">
        <f t="shared" si="106"/>
        <v>0.85287356321839092</v>
      </c>
      <c r="Z288" s="8">
        <f>INDEX(FPL_Raw_Data!$T:$T,MATCH(A288,FPL_Raw_Data!$AA:$AA,0))</f>
        <v>0</v>
      </c>
      <c r="AA288" s="8">
        <f>INDEX(FPL_Raw_Data!$S:$S,MATCH(A288,FPL_Raw_Data!$AA:$AA,0))</f>
        <v>0</v>
      </c>
      <c r="AB288" s="2">
        <f t="shared" si="107"/>
        <v>0</v>
      </c>
      <c r="AC288" s="2">
        <f>INDEX(FPL_Raw_Data!$Q:$Q,MATCH(A288,FPL_Raw_Data!$AA:$AA,0))</f>
        <v>0</v>
      </c>
      <c r="AD288" s="8">
        <f>INDEX(FPL_Raw_Data!$R:$R,MATCH(A288,FPL_Raw_Data!$AA:$AA,0))</f>
        <v>0</v>
      </c>
      <c r="AE288" s="8">
        <f>INDEX(FPL_Raw_Data!$N:$N,MATCH(A288,FPL_Raw_Data!$AA:$AA,0))</f>
        <v>0</v>
      </c>
      <c r="AF288" s="8">
        <f>INDEX(FPL_Raw_Data!$L:$L,MATCH(A288,FPL_Raw_Data!$AA:$AA,0))</f>
        <v>0</v>
      </c>
      <c r="AG288" s="2">
        <f>INDEX(FPL_Raw_Data!$M:$M,MATCH(A288,FPL_Raw_Data!$AA:$AA,0))</f>
        <v>0</v>
      </c>
      <c r="AH288" s="2">
        <f t="shared" si="108"/>
        <v>0</v>
      </c>
      <c r="AI288" s="2">
        <f t="shared" si="109"/>
        <v>0</v>
      </c>
      <c r="AJ288" s="2">
        <f t="shared" si="110"/>
        <v>0</v>
      </c>
      <c r="AK288" s="2">
        <f t="shared" si="111"/>
        <v>0</v>
      </c>
      <c r="AL288" s="2">
        <f t="shared" si="112"/>
        <v>0</v>
      </c>
      <c r="AM288" s="2">
        <f t="shared" si="113"/>
        <v>0</v>
      </c>
      <c r="AN288" s="2">
        <f t="shared" si="114"/>
        <v>0</v>
      </c>
      <c r="AO288" s="3">
        <f t="shared" si="115"/>
        <v>0.1</v>
      </c>
      <c r="AP288">
        <f t="shared" si="116"/>
        <v>0</v>
      </c>
      <c r="AQ288">
        <f t="shared" si="117"/>
        <v>0.1</v>
      </c>
      <c r="AR288">
        <f t="shared" si="118"/>
        <v>0</v>
      </c>
      <c r="AS288" s="2">
        <f t="shared" si="119"/>
        <v>0</v>
      </c>
      <c r="AT288" s="2">
        <f>IFERROR(INDEX(Player_Model!$BC$2:$BC$596,MATCH($A288,Player_Model!$A$2:$A$596,0)),0)</f>
        <v>0</v>
      </c>
      <c r="AU288" s="2">
        <f>Table8[[#This Row],[Model Expected Points]]*Table8[[#This Row],[Fixture Adjustment]]</f>
        <v>0</v>
      </c>
      <c r="AV288" s="2">
        <f>Table8[[#This Row],[Fixture Adjusted Points / 90]]/Table8[[#This Row],[Price]]</f>
        <v>0</v>
      </c>
      <c r="AW288">
        <f t="shared" si="120"/>
        <v>0</v>
      </c>
      <c r="AX288">
        <f t="shared" si="121"/>
        <v>0.42643678160919546</v>
      </c>
      <c r="AY288" s="2">
        <f t="shared" si="122"/>
        <v>0</v>
      </c>
      <c r="AZ288" s="5">
        <f t="shared" si="123"/>
        <v>0.85287356321839092</v>
      </c>
      <c r="BA288">
        <f>Table8[[#This Row],[Model Score2]]</f>
        <v>0</v>
      </c>
      <c r="BB288">
        <f>IFERROR(INDEX(Player_Model!$BG$2:$BG$596,MATCH($A288,Player_Model!$A$2:$A$596,0)),"")</f>
        <v>39</v>
      </c>
      <c r="BC288" t="str">
        <f t="shared" si="124"/>
        <v>AVOID</v>
      </c>
      <c r="BD288">
        <f>IF(H288=1,Table8[[#This Row],[Model Score]],-10000)</f>
        <v>-10000</v>
      </c>
      <c r="BE288">
        <f>IFERROR(INDEX(Player_Model!$BF$2:$BF$596,MATCH($A288,Player_Model!$A$2:$A$596,0)),"")</f>
        <v>253</v>
      </c>
      <c r="BF288">
        <f>IFERROR(INDEX(Player_Model!$BG$2:$BG$596,MATCH($A288,Player_Model!$A$2:$A$596,0)),"")</f>
        <v>39</v>
      </c>
      <c r="BG288">
        <f>IFERROR(INDEX(Player_Model!$BE$2:$BE$596,MATCH($A288,Player_Model!$A$2:$A$596,0)),0)</f>
        <v>0</v>
      </c>
    </row>
    <row r="289" spans="1:59" x14ac:dyDescent="0.25">
      <c r="A289" t="str">
        <f>tblPlayers[first_name]&amp;" "&amp;tblPlayers[second_name]</f>
        <v>Joachim Andersen</v>
      </c>
      <c r="B289" t="str">
        <f>_xlfn.SWITCH(tblPlayers[element_type],1,"GK",2,"DEF",3,"MID",4,"FWD")</f>
        <v>DEF</v>
      </c>
      <c r="C289">
        <f>tblPlayers[team]</f>
        <v>10</v>
      </c>
      <c r="D289" t="str">
        <f>INDEX(tblTeams[Column1.short_name],MATCH(C289,tblTeams[Column1.id],0))</f>
        <v>FUL</v>
      </c>
      <c r="E289" s="4">
        <f>INDEX(FPL_Raw_Data!$F:$F,MATCH(A289,FPL_Raw_Data!$AA:$AA,0))/10</f>
        <v>5</v>
      </c>
      <c r="F289" s="4" t="str">
        <f>tblPlayers[[#This Row],[status]]</f>
        <v>a</v>
      </c>
      <c r="G289" s="4" t="b">
        <f>tblPlayers[[#This Row],[can_select]]</f>
        <v>1</v>
      </c>
      <c r="H289">
        <f>IF(AND(Table8[[#This Row],[Availability Status]]="a",Table8[[#This Row],[Can Select]]=TRUE),1,0)</f>
        <v>1</v>
      </c>
      <c r="I289">
        <f>tblPlayers[minutes]</f>
        <v>180</v>
      </c>
      <c r="J289" s="2">
        <f>Table8[[#This Row],[Minutes]]/90</f>
        <v>2</v>
      </c>
      <c r="K289" s="5">
        <f>IFERROR(Z289/(FIXTURE_ANALYSIS!$B$1-1),0)</f>
        <v>0.66666666666666663</v>
      </c>
      <c r="L289">
        <f>tblPlayers[total_points]</f>
        <v>2</v>
      </c>
      <c r="M289">
        <f>tblPlayers[points_per_game]</f>
        <v>1</v>
      </c>
      <c r="N289">
        <f>tblPlayers[form]</f>
        <v>0.7</v>
      </c>
      <c r="O289">
        <f>tblPlayers[expected_goals]</f>
        <v>0</v>
      </c>
      <c r="P289">
        <f>tblPlayers[expected_assists]</f>
        <v>0.1</v>
      </c>
      <c r="Q289">
        <f>tblPlayers[expected_goal_involvements]</f>
        <v>0.1</v>
      </c>
      <c r="R289" s="2">
        <f t="shared" si="100"/>
        <v>1</v>
      </c>
      <c r="S289" s="5">
        <f t="shared" si="101"/>
        <v>0</v>
      </c>
      <c r="T289" s="5">
        <f t="shared" si="102"/>
        <v>0.05</v>
      </c>
      <c r="U289" s="5">
        <f t="shared" si="103"/>
        <v>0.05</v>
      </c>
      <c r="V289" s="3">
        <f t="shared" si="104"/>
        <v>0.4</v>
      </c>
      <c r="W289" s="5">
        <f t="shared" si="105"/>
        <v>0.02</v>
      </c>
      <c r="X289" s="5">
        <f>IFERROR(IF(OR($B289="MID",$B289="FWD"),INDEX(FIXTURE_ANALYSIS!$Q:$Q,MATCH($D289,FIXTURE_ANALYSIS!$A:$A,0)),INDEX(FIXTURE_ANALYSIS!$R:$R,MATCH($D289,FIXTURE_ANALYSIS!$A:$A,0))),1)</f>
        <v>0.85287356321839092</v>
      </c>
      <c r="Y289" s="5">
        <f t="shared" si="106"/>
        <v>0.85287356321839092</v>
      </c>
      <c r="Z289" s="8">
        <f>INDEX(FPL_Raw_Data!$T:$T,MATCH(A289,FPL_Raw_Data!$AA:$AA,0))</f>
        <v>2</v>
      </c>
      <c r="AA289" s="8">
        <f>INDEX(FPL_Raw_Data!$S:$S,MATCH(A289,FPL_Raw_Data!$AA:$AA,0))</f>
        <v>15</v>
      </c>
      <c r="AB289" s="2">
        <f t="shared" si="107"/>
        <v>1</v>
      </c>
      <c r="AC289" s="2">
        <f>INDEX(FPL_Raw_Data!$Q:$Q,MATCH(A289,FPL_Raw_Data!$AA:$AA,0))</f>
        <v>0</v>
      </c>
      <c r="AD289" s="8">
        <f>INDEX(FPL_Raw_Data!$R:$R,MATCH(A289,FPL_Raw_Data!$AA:$AA,0))</f>
        <v>12</v>
      </c>
      <c r="AE289" s="8">
        <f>INDEX(FPL_Raw_Data!$N:$N,MATCH(A289,FPL_Raw_Data!$AA:$AA,0))</f>
        <v>0</v>
      </c>
      <c r="AF289" s="8">
        <f>INDEX(FPL_Raw_Data!$L:$L,MATCH(A289,FPL_Raw_Data!$AA:$AA,0))</f>
        <v>0</v>
      </c>
      <c r="AG289" s="2">
        <f>INDEX(FPL_Raw_Data!$M:$M,MATCH(A289,FPL_Raw_Data!$AA:$AA,0))</f>
        <v>0</v>
      </c>
      <c r="AH289" s="2">
        <f t="shared" si="108"/>
        <v>0</v>
      </c>
      <c r="AI289" s="2">
        <f t="shared" si="109"/>
        <v>0.15000000000000002</v>
      </c>
      <c r="AJ289" s="2">
        <f t="shared" si="110"/>
        <v>1.3333333333333333</v>
      </c>
      <c r="AK289" s="2">
        <f t="shared" si="111"/>
        <v>2</v>
      </c>
      <c r="AL289" s="2">
        <f t="shared" si="112"/>
        <v>0</v>
      </c>
      <c r="AM289" s="2">
        <f t="shared" si="113"/>
        <v>0</v>
      </c>
      <c r="AN289" s="2">
        <f t="shared" si="114"/>
        <v>0</v>
      </c>
      <c r="AO289" s="3">
        <f t="shared" si="115"/>
        <v>42</v>
      </c>
      <c r="AP289">
        <f t="shared" si="116"/>
        <v>61.6</v>
      </c>
      <c r="AQ289">
        <f t="shared" si="117"/>
        <v>53.300000000000004</v>
      </c>
      <c r="AR289">
        <f t="shared" si="118"/>
        <v>65.100000000000009</v>
      </c>
      <c r="AS289" s="2">
        <f t="shared" si="119"/>
        <v>66.666666666666657</v>
      </c>
      <c r="AT289" s="2">
        <f>IFERROR(INDEX(Player_Model!$BC$2:$BC$596,MATCH($A289,Player_Model!$A$2:$A$596,0)),0)</f>
        <v>2.1992320450893881</v>
      </c>
      <c r="AU289" s="2">
        <f>Table8[[#This Row],[Model Expected Points]]*Table8[[#This Row],[Fixture Adjustment]]</f>
        <v>1.8756668706394555</v>
      </c>
      <c r="AV289" s="2">
        <f>Table8[[#This Row],[Fixture Adjusted Points / 90]]/Table8[[#This Row],[Price]]</f>
        <v>0.37513337412789111</v>
      </c>
      <c r="AW289">
        <f t="shared" si="120"/>
        <v>61.6</v>
      </c>
      <c r="AX289">
        <f t="shared" si="121"/>
        <v>0.9264367816091954</v>
      </c>
      <c r="AY289" s="2">
        <f t="shared" si="122"/>
        <v>66.666666666666657</v>
      </c>
      <c r="AZ289" s="5">
        <f t="shared" si="123"/>
        <v>0.85287356321839092</v>
      </c>
      <c r="BA289">
        <f>Table8[[#This Row],[Model Score2]]</f>
        <v>2.1992320450893881</v>
      </c>
      <c r="BB289">
        <f>IFERROR(INDEX(Player_Model!$BG$2:$BG$596,MATCH($A289,Player_Model!$A$2:$A$596,0)),"")</f>
        <v>81</v>
      </c>
      <c r="BC289" t="str">
        <f t="shared" si="124"/>
        <v>AVOID</v>
      </c>
      <c r="BD289">
        <f>IF(H289=1,Table8[[#This Row],[Model Score]],-10000)</f>
        <v>2.1992320450893881</v>
      </c>
      <c r="BE289">
        <f>IFERROR(INDEX(Player_Model!$BF$2:$BF$596,MATCH($A289,Player_Model!$A$2:$A$596,0)),"")</f>
        <v>236</v>
      </c>
      <c r="BF289">
        <f>IFERROR(INDEX(Player_Model!$BG$2:$BG$596,MATCH($A289,Player_Model!$A$2:$A$596,0)),"")</f>
        <v>81</v>
      </c>
      <c r="BG289">
        <f>IFERROR(INDEX(Player_Model!$BE$2:$BE$596,MATCH($A289,Player_Model!$A$2:$A$596,0)),0)</f>
        <v>2.1992320450893881</v>
      </c>
    </row>
    <row r="290" spans="1:59" x14ac:dyDescent="0.25">
      <c r="A290" t="str">
        <f>tblPlayers[first_name]&amp;" "&amp;tblPlayers[second_name]</f>
        <v>Antonee Robinson</v>
      </c>
      <c r="B290" t="str">
        <f>_xlfn.SWITCH(tblPlayers[element_type],1,"GK",2,"DEF",3,"MID",4,"FWD")</f>
        <v>DEF</v>
      </c>
      <c r="C290">
        <f>tblPlayers[team]</f>
        <v>10</v>
      </c>
      <c r="D290" t="str">
        <f>INDEX(tblTeams[Column1.short_name],MATCH(C290,tblTeams[Column1.id],0))</f>
        <v>FUL</v>
      </c>
      <c r="E290" s="4">
        <f>INDEX(FPL_Raw_Data!$F:$F,MATCH(A290,FPL_Raw_Data!$AA:$AA,0))/10</f>
        <v>4.5</v>
      </c>
      <c r="F290" s="4" t="str">
        <f>tblPlayers[[#This Row],[status]]</f>
        <v>a</v>
      </c>
      <c r="G290" s="4" t="b">
        <f>tblPlayers[[#This Row],[can_select]]</f>
        <v>1</v>
      </c>
      <c r="H290">
        <f>IF(AND(Table8[[#This Row],[Availability Status]]="a",Table8[[#This Row],[Can Select]]=TRUE),1,0)</f>
        <v>1</v>
      </c>
      <c r="I290">
        <f>tblPlayers[minutes]</f>
        <v>249</v>
      </c>
      <c r="J290" s="2">
        <f>Table8[[#This Row],[Minutes]]/90</f>
        <v>2.7666666666666666</v>
      </c>
      <c r="K290" s="5">
        <f>IFERROR(Z290/(FIXTURE_ANALYSIS!$B$1-1),0)</f>
        <v>1</v>
      </c>
      <c r="L290">
        <f>tblPlayers[total_points]</f>
        <v>4</v>
      </c>
      <c r="M290">
        <f>tblPlayers[points_per_game]</f>
        <v>1.3</v>
      </c>
      <c r="N290">
        <f>tblPlayers[form]</f>
        <v>1.3</v>
      </c>
      <c r="O290">
        <f>tblPlayers[expected_goals]</f>
        <v>0.21</v>
      </c>
      <c r="P290">
        <f>tblPlayers[expected_assists]</f>
        <v>0.16</v>
      </c>
      <c r="Q290">
        <f>tblPlayers[expected_goal_involvements]</f>
        <v>0.37</v>
      </c>
      <c r="R290" s="2">
        <f t="shared" si="100"/>
        <v>1.4457831325301203</v>
      </c>
      <c r="S290" s="5">
        <f t="shared" si="101"/>
        <v>7.5903614457831323E-2</v>
      </c>
      <c r="T290" s="5">
        <f t="shared" si="102"/>
        <v>5.7831325301204821E-2</v>
      </c>
      <c r="U290" s="5">
        <f t="shared" si="103"/>
        <v>0.13373493975903614</v>
      </c>
      <c r="V290" s="3">
        <f t="shared" si="104"/>
        <v>0.88888888888888884</v>
      </c>
      <c r="W290" s="5">
        <f t="shared" si="105"/>
        <v>8.2222222222222224E-2</v>
      </c>
      <c r="X290" s="5">
        <f>IFERROR(IF(OR($B290="MID",$B290="FWD"),INDEX(FIXTURE_ANALYSIS!$Q:$Q,MATCH($D290,FIXTURE_ANALYSIS!$A:$A,0)),INDEX(FIXTURE_ANALYSIS!$R:$R,MATCH($D290,FIXTURE_ANALYSIS!$A:$A,0))),1)</f>
        <v>0.85287356321839092</v>
      </c>
      <c r="Y290" s="5">
        <f t="shared" si="106"/>
        <v>0.85287356321839092</v>
      </c>
      <c r="Z290" s="8">
        <f>INDEX(FPL_Raw_Data!$T:$T,MATCH(A290,FPL_Raw_Data!$AA:$AA,0))</f>
        <v>3</v>
      </c>
      <c r="AA290" s="8">
        <f>INDEX(FPL_Raw_Data!$S:$S,MATCH(A290,FPL_Raw_Data!$AA:$AA,0))</f>
        <v>15</v>
      </c>
      <c r="AB290" s="2">
        <f t="shared" si="107"/>
        <v>1</v>
      </c>
      <c r="AC290" s="2">
        <f>INDEX(FPL_Raw_Data!$Q:$Q,MATCH(A290,FPL_Raw_Data!$AA:$AA,0))</f>
        <v>0</v>
      </c>
      <c r="AD290" s="8">
        <f>INDEX(FPL_Raw_Data!$R:$R,MATCH(A290,FPL_Raw_Data!$AA:$AA,0))</f>
        <v>21</v>
      </c>
      <c r="AE290" s="8">
        <f>INDEX(FPL_Raw_Data!$N:$N,MATCH(A290,FPL_Raw_Data!$AA:$AA,0))</f>
        <v>0</v>
      </c>
      <c r="AF290" s="8">
        <f>INDEX(FPL_Raw_Data!$L:$L,MATCH(A290,FPL_Raw_Data!$AA:$AA,0))</f>
        <v>0</v>
      </c>
      <c r="AG290" s="2">
        <f>INDEX(FPL_Raw_Data!$M:$M,MATCH(A290,FPL_Raw_Data!$AA:$AA,0))</f>
        <v>0</v>
      </c>
      <c r="AH290" s="2">
        <f t="shared" si="108"/>
        <v>0.45542168674698791</v>
      </c>
      <c r="AI290" s="2">
        <f t="shared" si="109"/>
        <v>0.17349397590361446</v>
      </c>
      <c r="AJ290" s="2">
        <f t="shared" si="110"/>
        <v>2</v>
      </c>
      <c r="AK290" s="2">
        <f t="shared" si="111"/>
        <v>2</v>
      </c>
      <c r="AL290" s="2">
        <f t="shared" si="112"/>
        <v>0</v>
      </c>
      <c r="AM290" s="2">
        <f t="shared" si="113"/>
        <v>0</v>
      </c>
      <c r="AN290" s="2">
        <f t="shared" si="114"/>
        <v>0</v>
      </c>
      <c r="AO290" s="3">
        <f t="shared" si="115"/>
        <v>44.1</v>
      </c>
      <c r="AP290">
        <f t="shared" si="116"/>
        <v>71</v>
      </c>
      <c r="AQ290">
        <f t="shared" si="117"/>
        <v>66.600000000000009</v>
      </c>
      <c r="AR290">
        <f t="shared" si="118"/>
        <v>82.1</v>
      </c>
      <c r="AS290" s="2">
        <f t="shared" si="119"/>
        <v>100</v>
      </c>
      <c r="AT290" s="2">
        <f>IFERROR(INDEX(Player_Model!$BC$2:$BC$596,MATCH($A290,Player_Model!$A$2:$A$596,0)),0)</f>
        <v>2.1626085917478393</v>
      </c>
      <c r="AU290" s="2">
        <f>Table8[[#This Row],[Model Expected Points]]*Table8[[#This Row],[Fixture Adjustment]]</f>
        <v>1.8444316954906861</v>
      </c>
      <c r="AV290" s="2">
        <f>Table8[[#This Row],[Fixture Adjusted Points / 90]]/Table8[[#This Row],[Price]]</f>
        <v>0.40987371010904133</v>
      </c>
      <c r="AW290">
        <f t="shared" si="120"/>
        <v>71</v>
      </c>
      <c r="AX290">
        <f t="shared" si="121"/>
        <v>0.9264367816091954</v>
      </c>
      <c r="AY290" s="2">
        <f t="shared" si="122"/>
        <v>100</v>
      </c>
      <c r="AZ290" s="5">
        <f t="shared" si="123"/>
        <v>0.85287356321839092</v>
      </c>
      <c r="BA290">
        <f>Table8[[#This Row],[Model Score2]]</f>
        <v>2.1626085917478393</v>
      </c>
      <c r="BB290">
        <f>IFERROR(INDEX(Player_Model!$BG$2:$BG$596,MATCH($A290,Player_Model!$A$2:$A$596,0)),"")</f>
        <v>83</v>
      </c>
      <c r="BC290" t="str">
        <f t="shared" si="124"/>
        <v>AVOID</v>
      </c>
      <c r="BD290">
        <f>IF(H290=1,Table8[[#This Row],[Model Score]],-10000)</f>
        <v>2.1626085917478393</v>
      </c>
      <c r="BE290">
        <f>IFERROR(INDEX(Player_Model!$BF$2:$BF$596,MATCH($A290,Player_Model!$A$2:$A$596,0)),"")</f>
        <v>238</v>
      </c>
      <c r="BF290">
        <f>IFERROR(INDEX(Player_Model!$BG$2:$BG$596,MATCH($A290,Player_Model!$A$2:$A$596,0)),"")</f>
        <v>83</v>
      </c>
      <c r="BG290">
        <f>IFERROR(INDEX(Player_Model!$BE$2:$BE$596,MATCH($A290,Player_Model!$A$2:$A$596,0)),0)</f>
        <v>2.1626085917478393</v>
      </c>
    </row>
    <row r="291" spans="1:59" x14ac:dyDescent="0.25">
      <c r="A291" t="str">
        <f>tblPlayers[first_name]&amp;" "&amp;tblPlayers[second_name]</f>
        <v>Jorge Cuenca Barreno</v>
      </c>
      <c r="B291" t="str">
        <f>_xlfn.SWITCH(tblPlayers[element_type],1,"GK",2,"DEF",3,"MID",4,"FWD")</f>
        <v>DEF</v>
      </c>
      <c r="C291">
        <f>tblPlayers[team]</f>
        <v>10</v>
      </c>
      <c r="D291" t="str">
        <f>INDEX(tblTeams[Column1.short_name],MATCH(C291,tblTeams[Column1.id],0))</f>
        <v>FUL</v>
      </c>
      <c r="E291" s="4">
        <f>INDEX(FPL_Raw_Data!$F:$F,MATCH(A291,FPL_Raw_Data!$AA:$AA,0))/10</f>
        <v>4.5</v>
      </c>
      <c r="F291" s="4" t="str">
        <f>tblPlayers[[#This Row],[status]]</f>
        <v>a</v>
      </c>
      <c r="G291" s="4" t="b">
        <f>tblPlayers[[#This Row],[can_select]]</f>
        <v>1</v>
      </c>
      <c r="H291">
        <f>IF(AND(Table8[[#This Row],[Availability Status]]="a",Table8[[#This Row],[Can Select]]=TRUE),1,0)</f>
        <v>1</v>
      </c>
      <c r="I291">
        <f>tblPlayers[minutes]</f>
        <v>90</v>
      </c>
      <c r="J291" s="2">
        <f>Table8[[#This Row],[Minutes]]/90</f>
        <v>1</v>
      </c>
      <c r="K291" s="5">
        <f>IFERROR(Z291/(FIXTURE_ANALYSIS!$B$1-1),0)</f>
        <v>0.33333333333333331</v>
      </c>
      <c r="L291">
        <f>tblPlayers[total_points]</f>
        <v>3</v>
      </c>
      <c r="M291">
        <f>tblPlayers[points_per_game]</f>
        <v>3</v>
      </c>
      <c r="N291">
        <f>tblPlayers[form]</f>
        <v>1</v>
      </c>
      <c r="O291">
        <f>tblPlayers[expected_goals]</f>
        <v>0</v>
      </c>
      <c r="P291">
        <f>tblPlayers[expected_assists]</f>
        <v>0.03</v>
      </c>
      <c r="Q291">
        <f>tblPlayers[expected_goal_involvements]</f>
        <v>0.03</v>
      </c>
      <c r="R291" s="2">
        <f t="shared" si="100"/>
        <v>3</v>
      </c>
      <c r="S291" s="5">
        <f t="shared" si="101"/>
        <v>0</v>
      </c>
      <c r="T291" s="5">
        <f t="shared" si="102"/>
        <v>0.03</v>
      </c>
      <c r="U291" s="5">
        <f t="shared" si="103"/>
        <v>0.03</v>
      </c>
      <c r="V291" s="3">
        <f t="shared" si="104"/>
        <v>0.66666666666666663</v>
      </c>
      <c r="W291" s="5">
        <f t="shared" si="105"/>
        <v>6.6666666666666662E-3</v>
      </c>
      <c r="X291" s="5">
        <f>IFERROR(IF(OR($B291="MID",$B291="FWD"),INDEX(FIXTURE_ANALYSIS!$Q:$Q,MATCH($D291,FIXTURE_ANALYSIS!$A:$A,0)),INDEX(FIXTURE_ANALYSIS!$R:$R,MATCH($D291,FIXTURE_ANALYSIS!$A:$A,0))),1)</f>
        <v>0.85287356321839092</v>
      </c>
      <c r="Y291" s="5">
        <f t="shared" si="106"/>
        <v>0.85287356321839092</v>
      </c>
      <c r="Z291" s="8">
        <f>INDEX(FPL_Raw_Data!$T:$T,MATCH(A291,FPL_Raw_Data!$AA:$AA,0))</f>
        <v>1</v>
      </c>
      <c r="AA291" s="8">
        <f>INDEX(FPL_Raw_Data!$S:$S,MATCH(A291,FPL_Raw_Data!$AA:$AA,0))</f>
        <v>10</v>
      </c>
      <c r="AB291" s="2">
        <f t="shared" si="107"/>
        <v>1</v>
      </c>
      <c r="AC291" s="2">
        <f>INDEX(FPL_Raw_Data!$Q:$Q,MATCH(A291,FPL_Raw_Data!$AA:$AA,0))</f>
        <v>0</v>
      </c>
      <c r="AD291" s="8">
        <f>INDEX(FPL_Raw_Data!$R:$R,MATCH(A291,FPL_Raw_Data!$AA:$AA,0))</f>
        <v>7</v>
      </c>
      <c r="AE291" s="8">
        <f>INDEX(FPL_Raw_Data!$N:$N,MATCH(A291,FPL_Raw_Data!$AA:$AA,0))</f>
        <v>0</v>
      </c>
      <c r="AF291" s="8">
        <f>INDEX(FPL_Raw_Data!$L:$L,MATCH(A291,FPL_Raw_Data!$AA:$AA,0))</f>
        <v>0</v>
      </c>
      <c r="AG291" s="2">
        <f>INDEX(FPL_Raw_Data!$M:$M,MATCH(A291,FPL_Raw_Data!$AA:$AA,0))</f>
        <v>0</v>
      </c>
      <c r="AH291" s="2">
        <f t="shared" si="108"/>
        <v>0</v>
      </c>
      <c r="AI291" s="2">
        <f t="shared" si="109"/>
        <v>0.09</v>
      </c>
      <c r="AJ291" s="2">
        <f t="shared" si="110"/>
        <v>0.66666666666666663</v>
      </c>
      <c r="AK291" s="2">
        <f t="shared" si="111"/>
        <v>2</v>
      </c>
      <c r="AL291" s="2">
        <f t="shared" si="112"/>
        <v>0</v>
      </c>
      <c r="AM291" s="2">
        <f t="shared" si="113"/>
        <v>0</v>
      </c>
      <c r="AN291" s="2">
        <f t="shared" si="114"/>
        <v>0</v>
      </c>
      <c r="AO291" s="3">
        <f t="shared" si="115"/>
        <v>58.4</v>
      </c>
      <c r="AP291">
        <f t="shared" si="116"/>
        <v>57.699999999999996</v>
      </c>
      <c r="AQ291">
        <f t="shared" si="117"/>
        <v>62.2</v>
      </c>
      <c r="AR291">
        <f t="shared" si="118"/>
        <v>57.699999999999996</v>
      </c>
      <c r="AS291" s="2">
        <f t="shared" si="119"/>
        <v>33.333333333333329</v>
      </c>
      <c r="AT291" s="2">
        <f>IFERROR(INDEX(Player_Model!$BC$2:$BC$596,MATCH($A291,Player_Model!$A$2:$A$596,0)),0)</f>
        <v>2.5160448923697656</v>
      </c>
      <c r="AU291" s="2">
        <f>Table8[[#This Row],[Model Expected Points]]*Table8[[#This Row],[Fixture Adjustment]]</f>
        <v>2.1458681725728348</v>
      </c>
      <c r="AV291" s="2">
        <f>Table8[[#This Row],[Fixture Adjusted Points / 90]]/Table8[[#This Row],[Price]]</f>
        <v>0.47685959390507437</v>
      </c>
      <c r="AW291">
        <f t="shared" si="120"/>
        <v>57.699999999999996</v>
      </c>
      <c r="AX291">
        <f t="shared" si="121"/>
        <v>0.9264367816091954</v>
      </c>
      <c r="AY291" s="2">
        <f t="shared" si="122"/>
        <v>33.333333333333329</v>
      </c>
      <c r="AZ291" s="5">
        <f t="shared" si="123"/>
        <v>0.85287356321839092</v>
      </c>
      <c r="BA291">
        <f>Table8[[#This Row],[Model Score2]]</f>
        <v>2.5160448923697656</v>
      </c>
      <c r="BB291">
        <f>IFERROR(INDEX(Player_Model!$BG$2:$BG$596,MATCH($A291,Player_Model!$A$2:$A$596,0)),"")</f>
        <v>74</v>
      </c>
      <c r="BC291" t="str">
        <f t="shared" si="124"/>
        <v>AVOID</v>
      </c>
      <c r="BD291">
        <f>IF(H291=1,Table8[[#This Row],[Model Score]],-10000)</f>
        <v>2.5160448923697656</v>
      </c>
      <c r="BE291">
        <f>IFERROR(INDEX(Player_Model!$BF$2:$BF$596,MATCH($A291,Player_Model!$A$2:$A$596,0)),"")</f>
        <v>226</v>
      </c>
      <c r="BF291">
        <f>IFERROR(INDEX(Player_Model!$BG$2:$BG$596,MATCH($A291,Player_Model!$A$2:$A$596,0)),"")</f>
        <v>74</v>
      </c>
      <c r="BG291">
        <f>IFERROR(INDEX(Player_Model!$BE$2:$BE$596,MATCH($A291,Player_Model!$A$2:$A$596,0)),0)</f>
        <v>2.5160448923697656</v>
      </c>
    </row>
    <row r="292" spans="1:59" x14ac:dyDescent="0.25">
      <c r="A292" t="str">
        <f>tblPlayers[first_name]&amp;" "&amp;tblPlayers[second_name]</f>
        <v>Kenny Tete</v>
      </c>
      <c r="B292" t="str">
        <f>_xlfn.SWITCH(tblPlayers[element_type],1,"GK",2,"DEF",3,"MID",4,"FWD")</f>
        <v>DEF</v>
      </c>
      <c r="C292">
        <f>tblPlayers[team]</f>
        <v>10</v>
      </c>
      <c r="D292" t="str">
        <f>INDEX(tblTeams[Column1.short_name],MATCH(C292,tblTeams[Column1.id],0))</f>
        <v>FUL</v>
      </c>
      <c r="E292" s="4">
        <f>INDEX(FPL_Raw_Data!$F:$F,MATCH(A292,FPL_Raw_Data!$AA:$AA,0))/10</f>
        <v>4.5</v>
      </c>
      <c r="F292" s="4" t="str">
        <f>tblPlayers[[#This Row],[status]]</f>
        <v>a</v>
      </c>
      <c r="G292" s="4" t="b">
        <f>tblPlayers[[#This Row],[can_select]]</f>
        <v>1</v>
      </c>
      <c r="H292">
        <f>IF(AND(Table8[[#This Row],[Availability Status]]="a",Table8[[#This Row],[Can Select]]=TRUE),1,0)</f>
        <v>1</v>
      </c>
      <c r="I292">
        <f>tblPlayers[minutes]</f>
        <v>0</v>
      </c>
      <c r="J292" s="2">
        <f>Table8[[#This Row],[Minutes]]/90</f>
        <v>0</v>
      </c>
      <c r="K292" s="5">
        <f>IFERROR(Z292/(FIXTURE_ANALYSIS!$B$1-1),0)</f>
        <v>0</v>
      </c>
      <c r="L292">
        <f>tblPlayers[total_points]</f>
        <v>0</v>
      </c>
      <c r="M292">
        <f>tblPlayers[points_per_game]</f>
        <v>0</v>
      </c>
      <c r="N292">
        <f>tblPlayers[form]</f>
        <v>0</v>
      </c>
      <c r="O292">
        <f>tblPlayers[expected_goals]</f>
        <v>0</v>
      </c>
      <c r="P292">
        <f>tblPlayers[expected_assists]</f>
        <v>0</v>
      </c>
      <c r="Q292">
        <f>tblPlayers[expected_goal_involvements]</f>
        <v>0</v>
      </c>
      <c r="R292" s="2">
        <f t="shared" si="100"/>
        <v>0</v>
      </c>
      <c r="S292" s="5">
        <f t="shared" si="101"/>
        <v>0</v>
      </c>
      <c r="T292" s="5">
        <f t="shared" si="102"/>
        <v>0</v>
      </c>
      <c r="U292" s="5">
        <f t="shared" si="103"/>
        <v>0</v>
      </c>
      <c r="V292" s="3">
        <f t="shared" si="104"/>
        <v>0</v>
      </c>
      <c r="W292" s="5">
        <f t="shared" si="105"/>
        <v>0</v>
      </c>
      <c r="X292" s="5">
        <f>IFERROR(IF(OR($B292="MID",$B292="FWD"),INDEX(FIXTURE_ANALYSIS!$Q:$Q,MATCH($D292,FIXTURE_ANALYSIS!$A:$A,0)),INDEX(FIXTURE_ANALYSIS!$R:$R,MATCH($D292,FIXTURE_ANALYSIS!$A:$A,0))),1)</f>
        <v>0.85287356321839092</v>
      </c>
      <c r="Y292" s="5">
        <f t="shared" si="106"/>
        <v>0.85287356321839092</v>
      </c>
      <c r="Z292" s="8">
        <f>INDEX(FPL_Raw_Data!$T:$T,MATCH(A292,FPL_Raw_Data!$AA:$AA,0))</f>
        <v>0</v>
      </c>
      <c r="AA292" s="8">
        <f>INDEX(FPL_Raw_Data!$S:$S,MATCH(A292,FPL_Raw_Data!$AA:$AA,0))</f>
        <v>0</v>
      </c>
      <c r="AB292" s="2">
        <f t="shared" si="107"/>
        <v>0</v>
      </c>
      <c r="AC292" s="2">
        <f>INDEX(FPL_Raw_Data!$Q:$Q,MATCH(A292,FPL_Raw_Data!$AA:$AA,0))</f>
        <v>0</v>
      </c>
      <c r="AD292" s="8">
        <f>INDEX(FPL_Raw_Data!$R:$R,MATCH(A292,FPL_Raw_Data!$AA:$AA,0))</f>
        <v>0</v>
      </c>
      <c r="AE292" s="8">
        <f>INDEX(FPL_Raw_Data!$N:$N,MATCH(A292,FPL_Raw_Data!$AA:$AA,0))</f>
        <v>0</v>
      </c>
      <c r="AF292" s="8">
        <f>INDEX(FPL_Raw_Data!$L:$L,MATCH(A292,FPL_Raw_Data!$AA:$AA,0))</f>
        <v>0</v>
      </c>
      <c r="AG292" s="2">
        <f>INDEX(FPL_Raw_Data!$M:$M,MATCH(A292,FPL_Raw_Data!$AA:$AA,0))</f>
        <v>0</v>
      </c>
      <c r="AH292" s="2">
        <f t="shared" si="108"/>
        <v>0</v>
      </c>
      <c r="AI292" s="2">
        <f t="shared" si="109"/>
        <v>0</v>
      </c>
      <c r="AJ292" s="2">
        <f t="shared" si="110"/>
        <v>0</v>
      </c>
      <c r="AK292" s="2">
        <f t="shared" si="111"/>
        <v>0</v>
      </c>
      <c r="AL292" s="2">
        <f t="shared" si="112"/>
        <v>0</v>
      </c>
      <c r="AM292" s="2">
        <f t="shared" si="113"/>
        <v>0</v>
      </c>
      <c r="AN292" s="2">
        <f t="shared" si="114"/>
        <v>0</v>
      </c>
      <c r="AO292" s="3">
        <f t="shared" si="115"/>
        <v>0.1</v>
      </c>
      <c r="AP292">
        <f t="shared" si="116"/>
        <v>0</v>
      </c>
      <c r="AQ292">
        <f t="shared" si="117"/>
        <v>0.1</v>
      </c>
      <c r="AR292">
        <f t="shared" si="118"/>
        <v>0</v>
      </c>
      <c r="AS292" s="2">
        <f t="shared" si="119"/>
        <v>0</v>
      </c>
      <c r="AT292" s="2">
        <f>IFERROR(INDEX(Player_Model!$BC$2:$BC$596,MATCH($A292,Player_Model!$A$2:$A$596,0)),0)</f>
        <v>-0.99501915708812283</v>
      </c>
      <c r="AU292" s="2">
        <f>Table8[[#This Row],[Model Expected Points]]*Table8[[#This Row],[Fixture Adjustment]]</f>
        <v>-0.84862553397630713</v>
      </c>
      <c r="AV292" s="2">
        <f>Table8[[#This Row],[Fixture Adjusted Points / 90]]/Table8[[#This Row],[Price]]</f>
        <v>-0.18858345199473492</v>
      </c>
      <c r="AW292">
        <f t="shared" si="120"/>
        <v>0</v>
      </c>
      <c r="AX292">
        <f t="shared" si="121"/>
        <v>0.42643678160919546</v>
      </c>
      <c r="AY292" s="2">
        <f t="shared" si="122"/>
        <v>0</v>
      </c>
      <c r="AZ292" s="5">
        <f t="shared" si="123"/>
        <v>0.85287356321839092</v>
      </c>
      <c r="BA292">
        <f>Table8[[#This Row],[Model Score2]]</f>
        <v>-0.99501915708812283</v>
      </c>
      <c r="BB292">
        <f>IFERROR(INDEX(Player_Model!$BG$2:$BG$596,MATCH($A292,Player_Model!$A$2:$A$596,0)),"")</f>
        <v>174</v>
      </c>
      <c r="BC292" t="str">
        <f t="shared" si="124"/>
        <v>AVOID</v>
      </c>
      <c r="BD292">
        <f>IF(H292=1,Table8[[#This Row],[Model Score]],-10000)</f>
        <v>-0.99501915708812283</v>
      </c>
      <c r="BE292">
        <f>IFERROR(INDEX(Player_Model!$BF$2:$BF$596,MATCH($A292,Player_Model!$A$2:$A$596,0)),"")</f>
        <v>577</v>
      </c>
      <c r="BF292">
        <f>IFERROR(INDEX(Player_Model!$BG$2:$BG$596,MATCH($A292,Player_Model!$A$2:$A$596,0)),"")</f>
        <v>174</v>
      </c>
      <c r="BG292">
        <f>IFERROR(INDEX(Player_Model!$BE$2:$BE$596,MATCH($A292,Player_Model!$A$2:$A$596,0)),0)</f>
        <v>-0.99501915708812283</v>
      </c>
    </row>
    <row r="293" spans="1:59" x14ac:dyDescent="0.25">
      <c r="A293" t="str">
        <f>tblPlayers[first_name]&amp;" "&amp;tblPlayers[second_name]</f>
        <v>Calvin Bassey</v>
      </c>
      <c r="B293" t="str">
        <f>_xlfn.SWITCH(tblPlayers[element_type],1,"GK",2,"DEF",3,"MID",4,"FWD")</f>
        <v>DEF</v>
      </c>
      <c r="C293">
        <f>tblPlayers[team]</f>
        <v>10</v>
      </c>
      <c r="D293" t="str">
        <f>INDEX(tblTeams[Column1.short_name],MATCH(C293,tblTeams[Column1.id],0))</f>
        <v>FUL</v>
      </c>
      <c r="E293" s="4">
        <f>INDEX(FPL_Raw_Data!$F:$F,MATCH(A293,FPL_Raw_Data!$AA:$AA,0))/10</f>
        <v>4.5</v>
      </c>
      <c r="F293" s="4" t="str">
        <f>tblPlayers[[#This Row],[status]]</f>
        <v>a</v>
      </c>
      <c r="G293" s="4" t="b">
        <f>tblPlayers[[#This Row],[can_select]]</f>
        <v>1</v>
      </c>
      <c r="H293">
        <f>IF(AND(Table8[[#This Row],[Availability Status]]="a",Table8[[#This Row],[Can Select]]=TRUE),1,0)</f>
        <v>1</v>
      </c>
      <c r="I293">
        <f>tblPlayers[minutes]</f>
        <v>270</v>
      </c>
      <c r="J293" s="2">
        <f>Table8[[#This Row],[Minutes]]/90</f>
        <v>3</v>
      </c>
      <c r="K293" s="5">
        <f>IFERROR(Z293/(FIXTURE_ANALYSIS!$B$1-1),0)</f>
        <v>1</v>
      </c>
      <c r="L293">
        <f>tblPlayers[total_points]</f>
        <v>3</v>
      </c>
      <c r="M293">
        <f>tblPlayers[points_per_game]</f>
        <v>1</v>
      </c>
      <c r="N293">
        <f>tblPlayers[form]</f>
        <v>1</v>
      </c>
      <c r="O293">
        <f>tblPlayers[expected_goals]</f>
        <v>0.02</v>
      </c>
      <c r="P293">
        <f>tblPlayers[expected_assists]</f>
        <v>7.0000000000000007E-2</v>
      </c>
      <c r="Q293">
        <f>tblPlayers[expected_goal_involvements]</f>
        <v>0.09</v>
      </c>
      <c r="R293" s="2">
        <f t="shared" si="100"/>
        <v>1</v>
      </c>
      <c r="S293" s="5">
        <f t="shared" si="101"/>
        <v>6.6666666666666662E-3</v>
      </c>
      <c r="T293" s="5">
        <f t="shared" si="102"/>
        <v>2.3333333333333334E-2</v>
      </c>
      <c r="U293" s="5">
        <f t="shared" si="103"/>
        <v>0.03</v>
      </c>
      <c r="V293" s="3">
        <f t="shared" si="104"/>
        <v>0.66666666666666663</v>
      </c>
      <c r="W293" s="5">
        <f t="shared" si="105"/>
        <v>0.02</v>
      </c>
      <c r="X293" s="5">
        <f>IFERROR(IF(OR($B293="MID",$B293="FWD"),INDEX(FIXTURE_ANALYSIS!$Q:$Q,MATCH($D293,FIXTURE_ANALYSIS!$A:$A,0)),INDEX(FIXTURE_ANALYSIS!$R:$R,MATCH($D293,FIXTURE_ANALYSIS!$A:$A,0))),1)</f>
        <v>0.85287356321839092</v>
      </c>
      <c r="Y293" s="5">
        <f t="shared" si="106"/>
        <v>0.85287356321839092</v>
      </c>
      <c r="Z293" s="8">
        <f>INDEX(FPL_Raw_Data!$T:$T,MATCH(A293,FPL_Raw_Data!$AA:$AA,0))</f>
        <v>3</v>
      </c>
      <c r="AA293" s="8">
        <f>INDEX(FPL_Raw_Data!$S:$S,MATCH(A293,FPL_Raw_Data!$AA:$AA,0))</f>
        <v>13</v>
      </c>
      <c r="AB293" s="2">
        <f t="shared" si="107"/>
        <v>1</v>
      </c>
      <c r="AC293" s="2">
        <f>INDEX(FPL_Raw_Data!$Q:$Q,MATCH(A293,FPL_Raw_Data!$AA:$AA,0))</f>
        <v>0</v>
      </c>
      <c r="AD293" s="8">
        <f>INDEX(FPL_Raw_Data!$R:$R,MATCH(A293,FPL_Raw_Data!$AA:$AA,0))</f>
        <v>16</v>
      </c>
      <c r="AE293" s="8">
        <f>INDEX(FPL_Raw_Data!$N:$N,MATCH(A293,FPL_Raw_Data!$AA:$AA,0))</f>
        <v>0</v>
      </c>
      <c r="AF293" s="8">
        <f>INDEX(FPL_Raw_Data!$L:$L,MATCH(A293,FPL_Raw_Data!$AA:$AA,0))</f>
        <v>0</v>
      </c>
      <c r="AG293" s="2">
        <f>INDEX(FPL_Raw_Data!$M:$M,MATCH(A293,FPL_Raw_Data!$AA:$AA,0))</f>
        <v>0</v>
      </c>
      <c r="AH293" s="2">
        <f t="shared" si="108"/>
        <v>3.9999999999999994E-2</v>
      </c>
      <c r="AI293" s="2">
        <f t="shared" si="109"/>
        <v>7.0000000000000007E-2</v>
      </c>
      <c r="AJ293" s="2">
        <f t="shared" si="110"/>
        <v>2</v>
      </c>
      <c r="AK293" s="2">
        <f t="shared" si="111"/>
        <v>2</v>
      </c>
      <c r="AL293" s="2">
        <f t="shared" si="112"/>
        <v>0</v>
      </c>
      <c r="AM293" s="2">
        <f t="shared" si="113"/>
        <v>0</v>
      </c>
      <c r="AN293" s="2">
        <f t="shared" si="114"/>
        <v>0</v>
      </c>
      <c r="AO293" s="3">
        <f t="shared" si="115"/>
        <v>42</v>
      </c>
      <c r="AP293">
        <f t="shared" si="116"/>
        <v>57.699999999999996</v>
      </c>
      <c r="AQ293">
        <f t="shared" si="117"/>
        <v>62.2</v>
      </c>
      <c r="AR293">
        <f t="shared" si="118"/>
        <v>65.100000000000009</v>
      </c>
      <c r="AS293" s="2">
        <f t="shared" si="119"/>
        <v>100</v>
      </c>
      <c r="AT293" s="2">
        <f>IFERROR(INDEX(Player_Model!$BC$2:$BC$596,MATCH($A293,Player_Model!$A$2:$A$596,0)),0)</f>
        <v>1.5587942665168584</v>
      </c>
      <c r="AU293" s="2">
        <f>Table8[[#This Row],[Model Expected Points]]*Table8[[#This Row],[Fixture Adjustment]]</f>
        <v>1.3294544204086312</v>
      </c>
      <c r="AV293" s="2">
        <f>Table8[[#This Row],[Fixture Adjusted Points / 90]]/Table8[[#This Row],[Price]]</f>
        <v>0.29543431564636247</v>
      </c>
      <c r="AW293">
        <f t="shared" si="120"/>
        <v>57.699999999999996</v>
      </c>
      <c r="AX293">
        <f t="shared" si="121"/>
        <v>0.9264367816091954</v>
      </c>
      <c r="AY293" s="2">
        <f t="shared" si="122"/>
        <v>100</v>
      </c>
      <c r="AZ293" s="5">
        <f t="shared" si="123"/>
        <v>0.85287356321839092</v>
      </c>
      <c r="BA293">
        <f>Table8[[#This Row],[Model Score2]]</f>
        <v>1.5587942665168584</v>
      </c>
      <c r="BB293">
        <f>IFERROR(INDEX(Player_Model!$BG$2:$BG$596,MATCH($A293,Player_Model!$A$2:$A$596,0)),"")</f>
        <v>96</v>
      </c>
      <c r="BC293" t="str">
        <f t="shared" si="124"/>
        <v>AVOID</v>
      </c>
      <c r="BD293">
        <f>IF(H293=1,Table8[[#This Row],[Model Score]],-10000)</f>
        <v>1.5587942665168584</v>
      </c>
      <c r="BE293">
        <f>IFERROR(INDEX(Player_Model!$BF$2:$BF$596,MATCH($A293,Player_Model!$A$2:$A$596,0)),"")</f>
        <v>252</v>
      </c>
      <c r="BF293">
        <f>IFERROR(INDEX(Player_Model!$BG$2:$BG$596,MATCH($A293,Player_Model!$A$2:$A$596,0)),"")</f>
        <v>96</v>
      </c>
      <c r="BG293">
        <f>IFERROR(INDEX(Player_Model!$BE$2:$BE$596,MATCH($A293,Player_Model!$A$2:$A$596,0)),0)</f>
        <v>1.5587942665168584</v>
      </c>
    </row>
    <row r="294" spans="1:59" x14ac:dyDescent="0.25">
      <c r="A294" t="str">
        <f>tblPlayers[first_name]&amp;" "&amp;tblPlayers[second_name]</f>
        <v>Timothy Castagne</v>
      </c>
      <c r="B294" t="str">
        <f>_xlfn.SWITCH(tblPlayers[element_type],1,"GK",2,"DEF",3,"MID",4,"FWD")</f>
        <v>DEF</v>
      </c>
      <c r="C294">
        <f>tblPlayers[team]</f>
        <v>10</v>
      </c>
      <c r="D294" t="str">
        <f>INDEX(tblTeams[Column1.short_name],MATCH(C294,tblTeams[Column1.id],0))</f>
        <v>FUL</v>
      </c>
      <c r="E294" s="4">
        <f>INDEX(FPL_Raw_Data!$F:$F,MATCH(A294,FPL_Raw_Data!$AA:$AA,0))/10</f>
        <v>4.5</v>
      </c>
      <c r="F294" s="4" t="str">
        <f>tblPlayers[[#This Row],[status]]</f>
        <v>a</v>
      </c>
      <c r="G294" s="4" t="b">
        <f>tblPlayers[[#This Row],[can_select]]</f>
        <v>1</v>
      </c>
      <c r="H294">
        <f>IF(AND(Table8[[#This Row],[Availability Status]]="a",Table8[[#This Row],[Can Select]]=TRUE),1,0)</f>
        <v>1</v>
      </c>
      <c r="I294">
        <f>tblPlayers[minutes]</f>
        <v>247</v>
      </c>
      <c r="J294" s="2">
        <f>Table8[[#This Row],[Minutes]]/90</f>
        <v>2.7444444444444445</v>
      </c>
      <c r="K294" s="5">
        <f>IFERROR(Z294/(FIXTURE_ANALYSIS!$B$1-1),0)</f>
        <v>1</v>
      </c>
      <c r="L294">
        <f>tblPlayers[total_points]</f>
        <v>13</v>
      </c>
      <c r="M294">
        <f>tblPlayers[points_per_game]</f>
        <v>4.3</v>
      </c>
      <c r="N294">
        <f>tblPlayers[form]</f>
        <v>4.3</v>
      </c>
      <c r="O294">
        <f>tblPlayers[expected_goals]</f>
        <v>0.67</v>
      </c>
      <c r="P294">
        <f>tblPlayers[expected_assists]</f>
        <v>0.37</v>
      </c>
      <c r="Q294">
        <f>tblPlayers[expected_goal_involvements]</f>
        <v>1.04</v>
      </c>
      <c r="R294" s="2">
        <f t="shared" si="100"/>
        <v>4.7368421052631575</v>
      </c>
      <c r="S294" s="5">
        <f t="shared" si="101"/>
        <v>0.24412955465587047</v>
      </c>
      <c r="T294" s="5">
        <f t="shared" si="102"/>
        <v>0.13481781376518218</v>
      </c>
      <c r="U294" s="5">
        <f t="shared" si="103"/>
        <v>0.37894736842105264</v>
      </c>
      <c r="V294" s="3">
        <f t="shared" si="104"/>
        <v>2.8888888888888888</v>
      </c>
      <c r="W294" s="5">
        <f t="shared" si="105"/>
        <v>0.23111111111111113</v>
      </c>
      <c r="X294" s="5">
        <f>IFERROR(IF(OR($B294="MID",$B294="FWD"),INDEX(FIXTURE_ANALYSIS!$Q:$Q,MATCH($D294,FIXTURE_ANALYSIS!$A:$A,0)),INDEX(FIXTURE_ANALYSIS!$R:$R,MATCH($D294,FIXTURE_ANALYSIS!$A:$A,0))),1)</f>
        <v>0.85287356321839092</v>
      </c>
      <c r="Y294" s="5">
        <f t="shared" si="106"/>
        <v>0.85287356321839092</v>
      </c>
      <c r="Z294" s="8">
        <f>INDEX(FPL_Raw_Data!$T:$T,MATCH(A294,FPL_Raw_Data!$AA:$AA,0))</f>
        <v>3</v>
      </c>
      <c r="AA294" s="8">
        <f>INDEX(FPL_Raw_Data!$S:$S,MATCH(A294,FPL_Raw_Data!$AA:$AA,0))</f>
        <v>15</v>
      </c>
      <c r="AB294" s="2">
        <f t="shared" si="107"/>
        <v>1</v>
      </c>
      <c r="AC294" s="2">
        <f>INDEX(FPL_Raw_Data!$Q:$Q,MATCH(A294,FPL_Raw_Data!$AA:$AA,0))</f>
        <v>0</v>
      </c>
      <c r="AD294" s="8">
        <f>INDEX(FPL_Raw_Data!$R:$R,MATCH(A294,FPL_Raw_Data!$AA:$AA,0))</f>
        <v>38</v>
      </c>
      <c r="AE294" s="8">
        <f>INDEX(FPL_Raw_Data!$N:$N,MATCH(A294,FPL_Raw_Data!$AA:$AA,0))</f>
        <v>1</v>
      </c>
      <c r="AF294" s="8">
        <f>INDEX(FPL_Raw_Data!$L:$L,MATCH(A294,FPL_Raw_Data!$AA:$AA,0))</f>
        <v>0</v>
      </c>
      <c r="AG294" s="2">
        <f>INDEX(FPL_Raw_Data!$M:$M,MATCH(A294,FPL_Raw_Data!$AA:$AA,0))</f>
        <v>2</v>
      </c>
      <c r="AH294" s="2">
        <f t="shared" si="108"/>
        <v>1.4647773279352228</v>
      </c>
      <c r="AI294" s="2">
        <f t="shared" si="109"/>
        <v>0.4044534412955465</v>
      </c>
      <c r="AJ294" s="2">
        <f t="shared" si="110"/>
        <v>2</v>
      </c>
      <c r="AK294" s="2">
        <f t="shared" si="111"/>
        <v>2</v>
      </c>
      <c r="AL294" s="2">
        <f t="shared" si="112"/>
        <v>0.33333333333333331</v>
      </c>
      <c r="AM294" s="2">
        <f t="shared" si="113"/>
        <v>1.3333333333333333</v>
      </c>
      <c r="AN294" s="2">
        <f t="shared" si="114"/>
        <v>0</v>
      </c>
      <c r="AO294" s="3">
        <f t="shared" si="115"/>
        <v>74</v>
      </c>
      <c r="AP294">
        <f t="shared" si="116"/>
        <v>88</v>
      </c>
      <c r="AQ294">
        <f t="shared" si="117"/>
        <v>94.1</v>
      </c>
      <c r="AR294">
        <f t="shared" si="118"/>
        <v>96.399999999999991</v>
      </c>
      <c r="AS294" s="2">
        <f t="shared" si="119"/>
        <v>100</v>
      </c>
      <c r="AT294" s="2">
        <f>IFERROR(INDEX(Player_Model!$BC$2:$BC$596,MATCH($A294,Player_Model!$A$2:$A$596,0)),0)</f>
        <v>4.166391296411569</v>
      </c>
      <c r="AU294" s="2">
        <f>Table8[[#This Row],[Model Expected Points]]*Table8[[#This Row],[Fixture Adjustment]]</f>
        <v>3.5534049907326262</v>
      </c>
      <c r="AV294" s="2">
        <f>Table8[[#This Row],[Fixture Adjusted Points / 90]]/Table8[[#This Row],[Price]]</f>
        <v>0.78964555349613919</v>
      </c>
      <c r="AW294">
        <f t="shared" si="120"/>
        <v>88</v>
      </c>
      <c r="AX294">
        <f t="shared" si="121"/>
        <v>0.9264367816091954</v>
      </c>
      <c r="AY294" s="2">
        <f t="shared" si="122"/>
        <v>100</v>
      </c>
      <c r="AZ294" s="5">
        <f t="shared" si="123"/>
        <v>0.85287356321839092</v>
      </c>
      <c r="BA294">
        <f>Table8[[#This Row],[Model Score2]]</f>
        <v>4.166391296411569</v>
      </c>
      <c r="BB294">
        <f>IFERROR(INDEX(Player_Model!$BG$2:$BG$596,MATCH($A294,Player_Model!$A$2:$A$596,0)),"")</f>
        <v>49</v>
      </c>
      <c r="BC294" t="str">
        <f t="shared" si="124"/>
        <v>AVOID</v>
      </c>
      <c r="BD294">
        <f>IF(H294=1,Table8[[#This Row],[Model Score]],-10000)</f>
        <v>4.166391296411569</v>
      </c>
      <c r="BE294">
        <f>IFERROR(INDEX(Player_Model!$BF$2:$BF$596,MATCH($A294,Player_Model!$A$2:$A$596,0)),"")</f>
        <v>145</v>
      </c>
      <c r="BF294">
        <f>IFERROR(INDEX(Player_Model!$BG$2:$BG$596,MATCH($A294,Player_Model!$A$2:$A$596,0)),"")</f>
        <v>49</v>
      </c>
      <c r="BG294">
        <f>IFERROR(INDEX(Player_Model!$BE$2:$BE$596,MATCH($A294,Player_Model!$A$2:$A$596,0)),0)</f>
        <v>4.166391296411569</v>
      </c>
    </row>
    <row r="295" spans="1:59" x14ac:dyDescent="0.25">
      <c r="A295" t="str">
        <f>tblPlayers[first_name]&amp;" "&amp;tblPlayers[second_name]</f>
        <v>Alex Iwobi</v>
      </c>
      <c r="B295" t="str">
        <f>_xlfn.SWITCH(tblPlayers[element_type],1,"GK",2,"DEF",3,"MID",4,"FWD")</f>
        <v>MID</v>
      </c>
      <c r="C295">
        <f>tblPlayers[team]</f>
        <v>10</v>
      </c>
      <c r="D295" t="str">
        <f>INDEX(tblTeams[Column1.short_name],MATCH(C295,tblTeams[Column1.id],0))</f>
        <v>FUL</v>
      </c>
      <c r="E295" s="4">
        <f>INDEX(FPL_Raw_Data!$F:$F,MATCH(A295,FPL_Raw_Data!$AA:$AA,0))/10</f>
        <v>5.5</v>
      </c>
      <c r="F295" s="4" t="str">
        <f>tblPlayers[[#This Row],[status]]</f>
        <v>a</v>
      </c>
      <c r="G295" s="4" t="b">
        <f>tblPlayers[[#This Row],[can_select]]</f>
        <v>1</v>
      </c>
      <c r="H295">
        <f>IF(AND(Table8[[#This Row],[Availability Status]]="a",Table8[[#This Row],[Can Select]]=TRUE),1,0)</f>
        <v>1</v>
      </c>
      <c r="I295">
        <f>tblPlayers[minutes]</f>
        <v>262</v>
      </c>
      <c r="J295" s="2">
        <f>Table8[[#This Row],[Minutes]]/90</f>
        <v>2.911111111111111</v>
      </c>
      <c r="K295" s="5">
        <f>IFERROR(Z295/(FIXTURE_ANALYSIS!$B$1-1),0)</f>
        <v>1</v>
      </c>
      <c r="L295">
        <f>tblPlayers[total_points]</f>
        <v>6</v>
      </c>
      <c r="M295">
        <f>tblPlayers[points_per_game]</f>
        <v>2</v>
      </c>
      <c r="N295">
        <f>tblPlayers[form]</f>
        <v>2</v>
      </c>
      <c r="O295">
        <f>tblPlayers[expected_goals]</f>
        <v>0.05</v>
      </c>
      <c r="P295">
        <f>tblPlayers[expected_assists]</f>
        <v>0.7</v>
      </c>
      <c r="Q295">
        <f>tblPlayers[expected_goal_involvements]</f>
        <v>0.75</v>
      </c>
      <c r="R295" s="2">
        <f t="shared" si="100"/>
        <v>2.0610687022900764</v>
      </c>
      <c r="S295" s="5">
        <f t="shared" si="101"/>
        <v>1.717557251908397E-2</v>
      </c>
      <c r="T295" s="5">
        <f t="shared" si="102"/>
        <v>0.24045801526717558</v>
      </c>
      <c r="U295" s="5">
        <f t="shared" si="103"/>
        <v>0.25763358778625955</v>
      </c>
      <c r="V295" s="3">
        <f t="shared" si="104"/>
        <v>1.0909090909090908</v>
      </c>
      <c r="W295" s="5">
        <f t="shared" si="105"/>
        <v>0.13636363636363635</v>
      </c>
      <c r="X295" s="5">
        <f>IFERROR(IF(OR($B295="MID",$B295="FWD"),INDEX(FIXTURE_ANALYSIS!$Q:$Q,MATCH($D295,FIXTURE_ANALYSIS!$A:$A,0)),INDEX(FIXTURE_ANALYSIS!$R:$R,MATCH($D295,FIXTURE_ANALYSIS!$A:$A,0))),1)</f>
        <v>1.0408391003460207</v>
      </c>
      <c r="Y295" s="5">
        <f t="shared" si="106"/>
        <v>1.0408391003460207</v>
      </c>
      <c r="Z295" s="8">
        <f>INDEX(FPL_Raw_Data!$T:$T,MATCH(A295,FPL_Raw_Data!$AA:$AA,0))</f>
        <v>3</v>
      </c>
      <c r="AA295" s="8">
        <f>INDEX(FPL_Raw_Data!$S:$S,MATCH(A295,FPL_Raw_Data!$AA:$AA,0))</f>
        <v>18</v>
      </c>
      <c r="AB295" s="2">
        <f t="shared" si="107"/>
        <v>1</v>
      </c>
      <c r="AC295" s="2">
        <f>INDEX(FPL_Raw_Data!$Q:$Q,MATCH(A295,FPL_Raw_Data!$AA:$AA,0))</f>
        <v>0</v>
      </c>
      <c r="AD295" s="8">
        <f>INDEX(FPL_Raw_Data!$R:$R,MATCH(A295,FPL_Raw_Data!$AA:$AA,0))</f>
        <v>52</v>
      </c>
      <c r="AE295" s="8">
        <f>INDEX(FPL_Raw_Data!$N:$N,MATCH(A295,FPL_Raw_Data!$AA:$AA,0))</f>
        <v>0</v>
      </c>
      <c r="AF295" s="8">
        <f>INDEX(FPL_Raw_Data!$L:$L,MATCH(A295,FPL_Raw_Data!$AA:$AA,0))</f>
        <v>0</v>
      </c>
      <c r="AG295" s="2">
        <f>INDEX(FPL_Raw_Data!$M:$M,MATCH(A295,FPL_Raw_Data!$AA:$AA,0))</f>
        <v>0</v>
      </c>
      <c r="AH295" s="2">
        <f t="shared" si="108"/>
        <v>8.5877862595419852E-2</v>
      </c>
      <c r="AI295" s="2">
        <f t="shared" si="109"/>
        <v>0.72137404580152675</v>
      </c>
      <c r="AJ295" s="2">
        <f t="shared" si="110"/>
        <v>2</v>
      </c>
      <c r="AK295" s="2">
        <f t="shared" si="111"/>
        <v>2</v>
      </c>
      <c r="AL295" s="2">
        <f t="shared" si="112"/>
        <v>0</v>
      </c>
      <c r="AM295" s="2">
        <f t="shared" si="113"/>
        <v>0</v>
      </c>
      <c r="AN295" s="2">
        <f t="shared" si="114"/>
        <v>0</v>
      </c>
      <c r="AO295" s="3">
        <f t="shared" si="115"/>
        <v>48.4</v>
      </c>
      <c r="AP295">
        <f t="shared" si="116"/>
        <v>80.600000000000009</v>
      </c>
      <c r="AQ295">
        <f t="shared" si="117"/>
        <v>70.199999999999989</v>
      </c>
      <c r="AR295">
        <f t="shared" si="118"/>
        <v>89.7</v>
      </c>
      <c r="AS295" s="2">
        <f t="shared" si="119"/>
        <v>100</v>
      </c>
      <c r="AT295" s="2">
        <f>IFERROR(INDEX(Player_Model!$BC$2:$BC$596,MATCH($A295,Player_Model!$A$2:$A$596,0)),0)</f>
        <v>4.036090715122751</v>
      </c>
      <c r="AU295" s="2">
        <f>Table8[[#This Row],[Model Expected Points]]*Table8[[#This Row],[Fixture Adjustment]]</f>
        <v>4.2009210288432914</v>
      </c>
      <c r="AV295" s="2">
        <f>Table8[[#This Row],[Fixture Adjusted Points / 90]]/Table8[[#This Row],[Price]]</f>
        <v>0.76380382342605302</v>
      </c>
      <c r="AW295">
        <f t="shared" si="120"/>
        <v>64.5</v>
      </c>
      <c r="AX295">
        <f t="shared" si="121"/>
        <v>1</v>
      </c>
      <c r="AY295" s="2">
        <f t="shared" si="122"/>
        <v>100</v>
      </c>
      <c r="AZ295" s="5">
        <f t="shared" si="123"/>
        <v>1.0408391003460207</v>
      </c>
      <c r="BA295">
        <f>Table8[[#This Row],[Model Score2]]</f>
        <v>4.036090715122751</v>
      </c>
      <c r="BB295">
        <f>IFERROR(INDEX(Player_Model!$BG$2:$BG$596,MATCH($A295,Player_Model!$A$2:$A$596,0)),"")</f>
        <v>77</v>
      </c>
      <c r="BC295" t="str">
        <f t="shared" si="124"/>
        <v>AVOID</v>
      </c>
      <c r="BD295">
        <f>IF(H295=1,Table8[[#This Row],[Model Score]],-10000)</f>
        <v>4.036090715122751</v>
      </c>
      <c r="BE295">
        <f>IFERROR(INDEX(Player_Model!$BF$2:$BF$596,MATCH($A295,Player_Model!$A$2:$A$596,0)),"")</f>
        <v>153</v>
      </c>
      <c r="BF295">
        <f>IFERROR(INDEX(Player_Model!$BG$2:$BG$596,MATCH($A295,Player_Model!$A$2:$A$596,0)),"")</f>
        <v>77</v>
      </c>
      <c r="BG295">
        <f>IFERROR(INDEX(Player_Model!$BE$2:$BE$596,MATCH($A295,Player_Model!$A$2:$A$596,0)),0)</f>
        <v>4.036090715122751</v>
      </c>
    </row>
    <row r="296" spans="1:59" x14ac:dyDescent="0.25">
      <c r="A296" t="str">
        <f>tblPlayers[first_name]&amp;" "&amp;tblPlayers[second_name]</f>
        <v>Emile Smith Rowe</v>
      </c>
      <c r="B296" t="str">
        <f>_xlfn.SWITCH(tblPlayers[element_type],1,"GK",2,"DEF",3,"MID",4,"FWD")</f>
        <v>MID</v>
      </c>
      <c r="C296">
        <f>tblPlayers[team]</f>
        <v>10</v>
      </c>
      <c r="D296" t="str">
        <f>INDEX(tblTeams[Column1.short_name],MATCH(C296,tblTeams[Column1.id],0))</f>
        <v>FUL</v>
      </c>
      <c r="E296" s="4">
        <f>INDEX(FPL_Raw_Data!$F:$F,MATCH(A296,FPL_Raw_Data!$AA:$AA,0))/10</f>
        <v>5.4</v>
      </c>
      <c r="F296" s="4" t="str">
        <f>tblPlayers[[#This Row],[status]]</f>
        <v>a</v>
      </c>
      <c r="G296" s="4" t="b">
        <f>tblPlayers[[#This Row],[can_select]]</f>
        <v>1</v>
      </c>
      <c r="H296">
        <f>IF(AND(Table8[[#This Row],[Availability Status]]="a",Table8[[#This Row],[Can Select]]=TRUE),1,0)</f>
        <v>1</v>
      </c>
      <c r="I296">
        <f>tblPlayers[minutes]</f>
        <v>25</v>
      </c>
      <c r="J296" s="2">
        <f>Table8[[#This Row],[Minutes]]/90</f>
        <v>0.27777777777777779</v>
      </c>
      <c r="K296" s="5">
        <f>IFERROR(Z296/(FIXTURE_ANALYSIS!$B$1-1),0)</f>
        <v>0</v>
      </c>
      <c r="L296">
        <f>tblPlayers[total_points]</f>
        <v>2</v>
      </c>
      <c r="M296">
        <f>tblPlayers[points_per_game]</f>
        <v>1</v>
      </c>
      <c r="N296">
        <f>tblPlayers[form]</f>
        <v>0.7</v>
      </c>
      <c r="O296">
        <f>tblPlayers[expected_goals]</f>
        <v>0.06</v>
      </c>
      <c r="P296">
        <f>tblPlayers[expected_assists]</f>
        <v>0.02</v>
      </c>
      <c r="Q296">
        <f>tblPlayers[expected_goal_involvements]</f>
        <v>0.08</v>
      </c>
      <c r="R296" s="2">
        <f t="shared" si="100"/>
        <v>7.2</v>
      </c>
      <c r="S296" s="5">
        <f t="shared" si="101"/>
        <v>0.21599999999999997</v>
      </c>
      <c r="T296" s="5">
        <f t="shared" si="102"/>
        <v>7.2000000000000008E-2</v>
      </c>
      <c r="U296" s="5">
        <f t="shared" si="103"/>
        <v>0.28800000000000003</v>
      </c>
      <c r="V296" s="3">
        <f t="shared" si="104"/>
        <v>0.37037037037037035</v>
      </c>
      <c r="W296" s="5">
        <f t="shared" si="105"/>
        <v>1.4814814814814814E-2</v>
      </c>
      <c r="X296" s="5">
        <f>IFERROR(IF(OR($B296="MID",$B296="FWD"),INDEX(FIXTURE_ANALYSIS!$Q:$Q,MATCH($D296,FIXTURE_ANALYSIS!$A:$A,0)),INDEX(FIXTURE_ANALYSIS!$R:$R,MATCH($D296,FIXTURE_ANALYSIS!$A:$A,0))),1)</f>
        <v>1.0408391003460207</v>
      </c>
      <c r="Y296" s="5">
        <f t="shared" si="106"/>
        <v>1.0408391003460207</v>
      </c>
      <c r="Z296" s="8">
        <f>INDEX(FPL_Raw_Data!$T:$T,MATCH(A296,FPL_Raw_Data!$AA:$AA,0))</f>
        <v>0</v>
      </c>
      <c r="AA296" s="8">
        <f>INDEX(FPL_Raw_Data!$S:$S,MATCH(A296,FPL_Raw_Data!$AA:$AA,0))</f>
        <v>1</v>
      </c>
      <c r="AB296" s="2">
        <f t="shared" si="107"/>
        <v>8.3333333333333329E-2</v>
      </c>
      <c r="AC296" s="2">
        <f>INDEX(FPL_Raw_Data!$Q:$Q,MATCH(A296,FPL_Raw_Data!$AA:$AA,0))</f>
        <v>0</v>
      </c>
      <c r="AD296" s="8">
        <f>INDEX(FPL_Raw_Data!$R:$R,MATCH(A296,FPL_Raw_Data!$AA:$AA,0))</f>
        <v>8</v>
      </c>
      <c r="AE296" s="8">
        <f>INDEX(FPL_Raw_Data!$N:$N,MATCH(A296,FPL_Raw_Data!$AA:$AA,0))</f>
        <v>0</v>
      </c>
      <c r="AF296" s="8">
        <f>INDEX(FPL_Raw_Data!$L:$L,MATCH(A296,FPL_Raw_Data!$AA:$AA,0))</f>
        <v>0</v>
      </c>
      <c r="AG296" s="2">
        <f>INDEX(FPL_Raw_Data!$M:$M,MATCH(A296,FPL_Raw_Data!$AA:$AA,0))</f>
        <v>0</v>
      </c>
      <c r="AH296" s="2">
        <f t="shared" si="108"/>
        <v>1.0799999999999998</v>
      </c>
      <c r="AI296" s="2">
        <f t="shared" si="109"/>
        <v>0.21600000000000003</v>
      </c>
      <c r="AJ296" s="2">
        <f t="shared" si="110"/>
        <v>0</v>
      </c>
      <c r="AK296" s="2">
        <f t="shared" si="111"/>
        <v>0.16666666666666666</v>
      </c>
      <c r="AL296" s="2">
        <f t="shared" si="112"/>
        <v>0</v>
      </c>
      <c r="AM296" s="2">
        <f t="shared" si="113"/>
        <v>0</v>
      </c>
      <c r="AN296" s="2">
        <f t="shared" si="114"/>
        <v>0</v>
      </c>
      <c r="AO296" s="3">
        <f t="shared" si="115"/>
        <v>87</v>
      </c>
      <c r="AP296">
        <f t="shared" si="116"/>
        <v>82.8</v>
      </c>
      <c r="AQ296">
        <f t="shared" si="117"/>
        <v>52</v>
      </c>
      <c r="AR296">
        <f t="shared" si="118"/>
        <v>62.7</v>
      </c>
      <c r="AS296" s="2">
        <f t="shared" si="119"/>
        <v>0</v>
      </c>
      <c r="AT296" s="2">
        <f>IFERROR(INDEX(Player_Model!$BC$2:$BC$596,MATCH($A296,Player_Model!$A$2:$A$596,0)),0)</f>
        <v>0</v>
      </c>
      <c r="AU296" s="2">
        <f>Table8[[#This Row],[Model Expected Points]]*Table8[[#This Row],[Fixture Adjustment]]</f>
        <v>0</v>
      </c>
      <c r="AV296" s="2">
        <f>Table8[[#This Row],[Fixture Adjusted Points / 90]]/Table8[[#This Row],[Price]]</f>
        <v>0</v>
      </c>
      <c r="AW296">
        <f t="shared" si="120"/>
        <v>84.9</v>
      </c>
      <c r="AX296">
        <f t="shared" si="121"/>
        <v>8.3333333333333329E-2</v>
      </c>
      <c r="AY296" s="2">
        <f t="shared" si="122"/>
        <v>0</v>
      </c>
      <c r="AZ296" s="5">
        <f t="shared" si="123"/>
        <v>1.0408391003460207</v>
      </c>
      <c r="BA296">
        <f>Table8[[#This Row],[Model Score2]]</f>
        <v>0</v>
      </c>
      <c r="BB296">
        <f>IFERROR(INDEX(Player_Model!$BG$2:$BG$596,MATCH($A296,Player_Model!$A$2:$A$596,0)),"")</f>
        <v>185</v>
      </c>
      <c r="BC296" t="str">
        <f t="shared" si="124"/>
        <v>AVOID</v>
      </c>
      <c r="BD296">
        <f>IF(H296=1,Table8[[#This Row],[Model Score]],-10000)</f>
        <v>0</v>
      </c>
      <c r="BE296">
        <f>IFERROR(INDEX(Player_Model!$BF$2:$BF$596,MATCH($A296,Player_Model!$A$2:$A$596,0)),"")</f>
        <v>253</v>
      </c>
      <c r="BF296">
        <f>IFERROR(INDEX(Player_Model!$BG$2:$BG$596,MATCH($A296,Player_Model!$A$2:$A$596,0)),"")</f>
        <v>185</v>
      </c>
      <c r="BG296">
        <f>IFERROR(INDEX(Player_Model!$BE$2:$BE$596,MATCH($A296,Player_Model!$A$2:$A$596,0)),0)</f>
        <v>0</v>
      </c>
    </row>
    <row r="297" spans="1:59" x14ac:dyDescent="0.25">
      <c r="A297" t="str">
        <f>tblPlayers[first_name]&amp;" "&amp;tblPlayers[second_name]</f>
        <v>Kevin Santos Lopes de Macedo</v>
      </c>
      <c r="B297" t="str">
        <f>_xlfn.SWITCH(tblPlayers[element_type],1,"GK",2,"DEF",3,"MID",4,"FWD")</f>
        <v>MID</v>
      </c>
      <c r="C297">
        <f>tblPlayers[team]</f>
        <v>10</v>
      </c>
      <c r="D297" t="str">
        <f>INDEX(tblTeams[Column1.short_name],MATCH(C297,tblTeams[Column1.id],0))</f>
        <v>FUL</v>
      </c>
      <c r="E297" s="4">
        <f>INDEX(FPL_Raw_Data!$F:$F,MATCH(A297,FPL_Raw_Data!$AA:$AA,0))/10</f>
        <v>5.4</v>
      </c>
      <c r="F297" s="4" t="str">
        <f>tblPlayers[[#This Row],[status]]</f>
        <v>a</v>
      </c>
      <c r="G297" s="4" t="b">
        <f>tblPlayers[[#This Row],[can_select]]</f>
        <v>1</v>
      </c>
      <c r="H297">
        <f>IF(AND(Table8[[#This Row],[Availability Status]]="a",Table8[[#This Row],[Can Select]]=TRUE),1,0)</f>
        <v>1</v>
      </c>
      <c r="I297">
        <f>tblPlayers[minutes]</f>
        <v>24</v>
      </c>
      <c r="J297" s="2">
        <f>Table8[[#This Row],[Minutes]]/90</f>
        <v>0.26666666666666666</v>
      </c>
      <c r="K297" s="5">
        <f>IFERROR(Z297/(FIXTURE_ANALYSIS!$B$1-1),0)</f>
        <v>0</v>
      </c>
      <c r="L297">
        <f>tblPlayers[total_points]</f>
        <v>2</v>
      </c>
      <c r="M297">
        <f>tblPlayers[points_per_game]</f>
        <v>1</v>
      </c>
      <c r="N297">
        <f>tblPlayers[form]</f>
        <v>0.7</v>
      </c>
      <c r="O297">
        <f>tblPlayers[expected_goals]</f>
        <v>0</v>
      </c>
      <c r="P297">
        <f>tblPlayers[expected_assists]</f>
        <v>0.05</v>
      </c>
      <c r="Q297">
        <f>tblPlayers[expected_goal_involvements]</f>
        <v>0.05</v>
      </c>
      <c r="R297" s="2">
        <f t="shared" si="100"/>
        <v>7.5</v>
      </c>
      <c r="S297" s="5">
        <f t="shared" si="101"/>
        <v>0</v>
      </c>
      <c r="T297" s="5">
        <f t="shared" si="102"/>
        <v>0.1875</v>
      </c>
      <c r="U297" s="5">
        <f t="shared" si="103"/>
        <v>0.1875</v>
      </c>
      <c r="V297" s="3">
        <f t="shared" si="104"/>
        <v>0.37037037037037035</v>
      </c>
      <c r="W297" s="5">
        <f t="shared" si="105"/>
        <v>9.2592592592592587E-3</v>
      </c>
      <c r="X297" s="5">
        <f>IFERROR(IF(OR($B297="MID",$B297="FWD"),INDEX(FIXTURE_ANALYSIS!$Q:$Q,MATCH($D297,FIXTURE_ANALYSIS!$A:$A,0)),INDEX(FIXTURE_ANALYSIS!$R:$R,MATCH($D297,FIXTURE_ANALYSIS!$A:$A,0))),1)</f>
        <v>1.0408391003460207</v>
      </c>
      <c r="Y297" s="5">
        <f t="shared" si="106"/>
        <v>1.0408391003460207</v>
      </c>
      <c r="Z297" s="8">
        <f>INDEX(FPL_Raw_Data!$T:$T,MATCH(A297,FPL_Raw_Data!$AA:$AA,0))</f>
        <v>0</v>
      </c>
      <c r="AA297" s="8">
        <f>INDEX(FPL_Raw_Data!$S:$S,MATCH(A297,FPL_Raw_Data!$AA:$AA,0))</f>
        <v>3</v>
      </c>
      <c r="AB297" s="2">
        <f t="shared" si="107"/>
        <v>0.25</v>
      </c>
      <c r="AC297" s="2">
        <f>INDEX(FPL_Raw_Data!$Q:$Q,MATCH(A297,FPL_Raw_Data!$AA:$AA,0))</f>
        <v>0</v>
      </c>
      <c r="AD297" s="8">
        <f>INDEX(FPL_Raw_Data!$R:$R,MATCH(A297,FPL_Raw_Data!$AA:$AA,0))</f>
        <v>4</v>
      </c>
      <c r="AE297" s="8">
        <f>INDEX(FPL_Raw_Data!$N:$N,MATCH(A297,FPL_Raw_Data!$AA:$AA,0))</f>
        <v>0</v>
      </c>
      <c r="AF297" s="8">
        <f>INDEX(FPL_Raw_Data!$L:$L,MATCH(A297,FPL_Raw_Data!$AA:$AA,0))</f>
        <v>0</v>
      </c>
      <c r="AG297" s="2">
        <f>INDEX(FPL_Raw_Data!$M:$M,MATCH(A297,FPL_Raw_Data!$AA:$AA,0))</f>
        <v>0</v>
      </c>
      <c r="AH297" s="2">
        <f t="shared" si="108"/>
        <v>0</v>
      </c>
      <c r="AI297" s="2">
        <f t="shared" si="109"/>
        <v>0.5625</v>
      </c>
      <c r="AJ297" s="2">
        <f t="shared" si="110"/>
        <v>0</v>
      </c>
      <c r="AK297" s="2">
        <f t="shared" si="111"/>
        <v>0.5</v>
      </c>
      <c r="AL297" s="2">
        <f t="shared" si="112"/>
        <v>0</v>
      </c>
      <c r="AM297" s="2">
        <f t="shared" si="113"/>
        <v>0</v>
      </c>
      <c r="AN297" s="2">
        <f t="shared" si="114"/>
        <v>0</v>
      </c>
      <c r="AO297" s="3">
        <f t="shared" si="115"/>
        <v>87.3</v>
      </c>
      <c r="AP297">
        <f t="shared" si="116"/>
        <v>75.2</v>
      </c>
      <c r="AQ297">
        <f t="shared" si="117"/>
        <v>52</v>
      </c>
      <c r="AR297">
        <f t="shared" si="118"/>
        <v>59.699999999999996</v>
      </c>
      <c r="AS297" s="2">
        <f t="shared" si="119"/>
        <v>0</v>
      </c>
      <c r="AT297" s="2">
        <f>IFERROR(INDEX(Player_Model!$BC$2:$BC$596,MATCH($A297,Player_Model!$A$2:$A$596,0)),0)</f>
        <v>0</v>
      </c>
      <c r="AU297" s="2">
        <f>Table8[[#This Row],[Model Expected Points]]*Table8[[#This Row],[Fixture Adjustment]]</f>
        <v>0</v>
      </c>
      <c r="AV297" s="2">
        <f>Table8[[#This Row],[Fixture Adjusted Points / 90]]/Table8[[#This Row],[Price]]</f>
        <v>0</v>
      </c>
      <c r="AW297">
        <f t="shared" si="120"/>
        <v>81.25</v>
      </c>
      <c r="AX297">
        <f t="shared" si="121"/>
        <v>0.25</v>
      </c>
      <c r="AY297" s="2">
        <f t="shared" si="122"/>
        <v>0</v>
      </c>
      <c r="AZ297" s="5">
        <f t="shared" si="123"/>
        <v>1.0408391003460207</v>
      </c>
      <c r="BA297">
        <f>Table8[[#This Row],[Model Score2]]</f>
        <v>0</v>
      </c>
      <c r="BB297">
        <f>IFERROR(INDEX(Player_Model!$BG$2:$BG$596,MATCH($A297,Player_Model!$A$2:$A$596,0)),"")</f>
        <v>186</v>
      </c>
      <c r="BC297" t="str">
        <f t="shared" si="124"/>
        <v>AVOID</v>
      </c>
      <c r="BD297">
        <f>IF(H297=1,Table8[[#This Row],[Model Score]],-10000)</f>
        <v>0</v>
      </c>
      <c r="BE297">
        <f>IFERROR(INDEX(Player_Model!$BF$2:$BF$596,MATCH($A297,Player_Model!$A$2:$A$596,0)),"")</f>
        <v>253</v>
      </c>
      <c r="BF297">
        <f>IFERROR(INDEX(Player_Model!$BG$2:$BG$596,MATCH($A297,Player_Model!$A$2:$A$596,0)),"")</f>
        <v>186</v>
      </c>
      <c r="BG297">
        <f>IFERROR(INDEX(Player_Model!$BE$2:$BE$596,MATCH($A297,Player_Model!$A$2:$A$596,0)),0)</f>
        <v>0</v>
      </c>
    </row>
    <row r="298" spans="1:59" x14ac:dyDescent="0.25">
      <c r="A298" t="str">
        <f>tblPlayers[first_name]&amp;" "&amp;tblPlayers[second_name]</f>
        <v>Oscar Bobb</v>
      </c>
      <c r="B298" t="str">
        <f>_xlfn.SWITCH(tblPlayers[element_type],1,"GK",2,"DEF",3,"MID",4,"FWD")</f>
        <v>MID</v>
      </c>
      <c r="C298">
        <f>tblPlayers[team]</f>
        <v>10</v>
      </c>
      <c r="D298" t="str">
        <f>INDEX(tblTeams[Column1.short_name],MATCH(C298,tblTeams[Column1.id],0))</f>
        <v>FUL</v>
      </c>
      <c r="E298" s="4">
        <f>INDEX(FPL_Raw_Data!$F:$F,MATCH(A298,FPL_Raw_Data!$AA:$AA,0))/10</f>
        <v>5.5</v>
      </c>
      <c r="F298" s="4" t="str">
        <f>tblPlayers[[#This Row],[status]]</f>
        <v>a</v>
      </c>
      <c r="G298" s="4" t="b">
        <f>tblPlayers[[#This Row],[can_select]]</f>
        <v>1</v>
      </c>
      <c r="H298">
        <f>IF(AND(Table8[[#This Row],[Availability Status]]="a",Table8[[#This Row],[Can Select]]=TRUE),1,0)</f>
        <v>1</v>
      </c>
      <c r="I298">
        <f>tblPlayers[minutes]</f>
        <v>211</v>
      </c>
      <c r="J298" s="2">
        <f>Table8[[#This Row],[Minutes]]/90</f>
        <v>2.3444444444444446</v>
      </c>
      <c r="K298" s="5">
        <f>IFERROR(Z298/(FIXTURE_ANALYSIS!$B$1-1),0)</f>
        <v>1</v>
      </c>
      <c r="L298">
        <f>tblPlayers[total_points]</f>
        <v>7</v>
      </c>
      <c r="M298">
        <f>tblPlayers[points_per_game]</f>
        <v>2.2999999999999998</v>
      </c>
      <c r="N298">
        <f>tblPlayers[form]</f>
        <v>2.2999999999999998</v>
      </c>
      <c r="O298">
        <f>tblPlayers[expected_goals]</f>
        <v>0.32</v>
      </c>
      <c r="P298">
        <f>tblPlayers[expected_assists]</f>
        <v>0.92</v>
      </c>
      <c r="Q298">
        <f>tblPlayers[expected_goal_involvements]</f>
        <v>1.24</v>
      </c>
      <c r="R298" s="2">
        <f t="shared" si="100"/>
        <v>2.9857819905213274</v>
      </c>
      <c r="S298" s="5">
        <f t="shared" si="101"/>
        <v>0.13649289099526066</v>
      </c>
      <c r="T298" s="5">
        <f t="shared" si="102"/>
        <v>0.39241706161137441</v>
      </c>
      <c r="U298" s="5">
        <f t="shared" si="103"/>
        <v>0.52890995260663509</v>
      </c>
      <c r="V298" s="3">
        <f t="shared" si="104"/>
        <v>1.2727272727272727</v>
      </c>
      <c r="W298" s="5">
        <f t="shared" si="105"/>
        <v>0.22545454545454546</v>
      </c>
      <c r="X298" s="5">
        <f>IFERROR(IF(OR($B298="MID",$B298="FWD"),INDEX(FIXTURE_ANALYSIS!$Q:$Q,MATCH($D298,FIXTURE_ANALYSIS!$A:$A,0)),INDEX(FIXTURE_ANALYSIS!$R:$R,MATCH($D298,FIXTURE_ANALYSIS!$A:$A,0))),1)</f>
        <v>1.0408391003460207</v>
      </c>
      <c r="Y298" s="5">
        <f t="shared" si="106"/>
        <v>1.0408391003460207</v>
      </c>
      <c r="Z298" s="8">
        <f>INDEX(FPL_Raw_Data!$T:$T,MATCH(A298,FPL_Raw_Data!$AA:$AA,0))</f>
        <v>3</v>
      </c>
      <c r="AA298" s="8">
        <f>INDEX(FPL_Raw_Data!$S:$S,MATCH(A298,FPL_Raw_Data!$AA:$AA,0))</f>
        <v>15</v>
      </c>
      <c r="AB298" s="2">
        <f t="shared" si="107"/>
        <v>1</v>
      </c>
      <c r="AC298" s="2">
        <f>INDEX(FPL_Raw_Data!$Q:$Q,MATCH(A298,FPL_Raw_Data!$AA:$AA,0))</f>
        <v>0</v>
      </c>
      <c r="AD298" s="8">
        <f>INDEX(FPL_Raw_Data!$R:$R,MATCH(A298,FPL_Raw_Data!$AA:$AA,0))</f>
        <v>35</v>
      </c>
      <c r="AE298" s="8">
        <f>INDEX(FPL_Raw_Data!$N:$N,MATCH(A298,FPL_Raw_Data!$AA:$AA,0))</f>
        <v>1</v>
      </c>
      <c r="AF298" s="8">
        <f>INDEX(FPL_Raw_Data!$L:$L,MATCH(A298,FPL_Raw_Data!$AA:$AA,0))</f>
        <v>0</v>
      </c>
      <c r="AG298" s="2">
        <f>INDEX(FPL_Raw_Data!$M:$M,MATCH(A298,FPL_Raw_Data!$AA:$AA,0))</f>
        <v>0</v>
      </c>
      <c r="AH298" s="2">
        <f t="shared" si="108"/>
        <v>0.68246445497630326</v>
      </c>
      <c r="AI298" s="2">
        <f t="shared" si="109"/>
        <v>1.1772511848341232</v>
      </c>
      <c r="AJ298" s="2">
        <f t="shared" si="110"/>
        <v>2</v>
      </c>
      <c r="AK298" s="2">
        <f t="shared" si="111"/>
        <v>2</v>
      </c>
      <c r="AL298" s="2">
        <f t="shared" si="112"/>
        <v>0.33333333333333331</v>
      </c>
      <c r="AM298" s="2">
        <f t="shared" si="113"/>
        <v>0.33333333333333331</v>
      </c>
      <c r="AN298" s="2">
        <f t="shared" si="114"/>
        <v>0</v>
      </c>
      <c r="AO298" s="3">
        <f t="shared" si="115"/>
        <v>58.199999999999996</v>
      </c>
      <c r="AP298">
        <f t="shared" si="116"/>
        <v>92.7</v>
      </c>
      <c r="AQ298">
        <f t="shared" si="117"/>
        <v>74.400000000000006</v>
      </c>
      <c r="AR298">
        <f t="shared" si="118"/>
        <v>95.7</v>
      </c>
      <c r="AS298" s="2">
        <f t="shared" si="119"/>
        <v>100</v>
      </c>
      <c r="AT298" s="2">
        <f>IFERROR(INDEX(Player_Model!$BC$2:$BC$596,MATCH($A298,Player_Model!$A$2:$A$596,0)),0)</f>
        <v>5.3239916938785514</v>
      </c>
      <c r="AU298" s="2">
        <f>Table8[[#This Row],[Model Expected Points]]*Table8[[#This Row],[Fixture Adjustment]]</f>
        <v>5.5414187249062383</v>
      </c>
      <c r="AV298" s="2">
        <f>Table8[[#This Row],[Fixture Adjusted Points / 90]]/Table8[[#This Row],[Price]]</f>
        <v>1.0075306772556798</v>
      </c>
      <c r="AW298">
        <f t="shared" si="120"/>
        <v>75.45</v>
      </c>
      <c r="AX298">
        <f t="shared" si="121"/>
        <v>1</v>
      </c>
      <c r="AY298" s="2">
        <f t="shared" si="122"/>
        <v>100</v>
      </c>
      <c r="AZ298" s="5">
        <f t="shared" si="123"/>
        <v>1.0408391003460207</v>
      </c>
      <c r="BA298">
        <f>Table8[[#This Row],[Model Score2]]</f>
        <v>5.3239916938785514</v>
      </c>
      <c r="BB298">
        <f>IFERROR(INDEX(Player_Model!$BG$2:$BG$596,MATCH($A298,Player_Model!$A$2:$A$596,0)),"")</f>
        <v>33</v>
      </c>
      <c r="BC298" t="str">
        <f t="shared" si="124"/>
        <v>AVOID</v>
      </c>
      <c r="BD298">
        <f>IF(H298=1,Table8[[#This Row],[Model Score]],-10000)</f>
        <v>5.3239916938785514</v>
      </c>
      <c r="BE298">
        <f>IFERROR(INDEX(Player_Model!$BF$2:$BF$596,MATCH($A298,Player_Model!$A$2:$A$596,0)),"")</f>
        <v>74</v>
      </c>
      <c r="BF298">
        <f>IFERROR(INDEX(Player_Model!$BG$2:$BG$596,MATCH($A298,Player_Model!$A$2:$A$596,0)),"")</f>
        <v>33</v>
      </c>
      <c r="BG298">
        <f>IFERROR(INDEX(Player_Model!$BE$2:$BE$596,MATCH($A298,Player_Model!$A$2:$A$596,0)),0)</f>
        <v>5.3239916938785514</v>
      </c>
    </row>
    <row r="299" spans="1:59" x14ac:dyDescent="0.25">
      <c r="A299" t="str">
        <f>tblPlayers[first_name]&amp;" "&amp;tblPlayers[second_name]</f>
        <v>Sander Berge</v>
      </c>
      <c r="B299" t="str">
        <f>_xlfn.SWITCH(tblPlayers[element_type],1,"GK",2,"DEF",3,"MID",4,"FWD")</f>
        <v>MID</v>
      </c>
      <c r="C299">
        <f>tblPlayers[team]</f>
        <v>10</v>
      </c>
      <c r="D299" t="str">
        <f>INDEX(tblTeams[Column1.short_name],MATCH(C299,tblTeams[Column1.id],0))</f>
        <v>FUL</v>
      </c>
      <c r="E299" s="4">
        <f>INDEX(FPL_Raw_Data!$F:$F,MATCH(A299,FPL_Raw_Data!$AA:$AA,0))/10</f>
        <v>5</v>
      </c>
      <c r="F299" s="4" t="str">
        <f>tblPlayers[[#This Row],[status]]</f>
        <v>a</v>
      </c>
      <c r="G299" s="4" t="b">
        <f>tblPlayers[[#This Row],[can_select]]</f>
        <v>1</v>
      </c>
      <c r="H299">
        <f>IF(AND(Table8[[#This Row],[Availability Status]]="a",Table8[[#This Row],[Can Select]]=TRUE),1,0)</f>
        <v>1</v>
      </c>
      <c r="I299">
        <f>tblPlayers[minutes]</f>
        <v>183</v>
      </c>
      <c r="J299" s="2">
        <f>Table8[[#This Row],[Minutes]]/90</f>
        <v>2.0333333333333332</v>
      </c>
      <c r="K299" s="5">
        <f>IFERROR(Z299/(FIXTURE_ANALYSIS!$B$1-1),0)</f>
        <v>0.66666666666666663</v>
      </c>
      <c r="L299">
        <f>tblPlayers[total_points]</f>
        <v>5</v>
      </c>
      <c r="M299">
        <f>tblPlayers[points_per_game]</f>
        <v>1.7</v>
      </c>
      <c r="N299">
        <f>tblPlayers[form]</f>
        <v>1.7</v>
      </c>
      <c r="O299">
        <f>tblPlayers[expected_goals]</f>
        <v>0.03</v>
      </c>
      <c r="P299">
        <f>tblPlayers[expected_assists]</f>
        <v>0.33</v>
      </c>
      <c r="Q299">
        <f>tblPlayers[expected_goal_involvements]</f>
        <v>0.36</v>
      </c>
      <c r="R299" s="2">
        <f t="shared" si="100"/>
        <v>2.459016393442623</v>
      </c>
      <c r="S299" s="5">
        <f t="shared" si="101"/>
        <v>1.4754098360655738E-2</v>
      </c>
      <c r="T299" s="5">
        <f t="shared" si="102"/>
        <v>0.16229508196721312</v>
      </c>
      <c r="U299" s="5">
        <f t="shared" si="103"/>
        <v>0.17704918032786884</v>
      </c>
      <c r="V299" s="3">
        <f t="shared" si="104"/>
        <v>1</v>
      </c>
      <c r="W299" s="5">
        <f t="shared" si="105"/>
        <v>7.1999999999999995E-2</v>
      </c>
      <c r="X299" s="5">
        <f>IFERROR(IF(OR($B299="MID",$B299="FWD"),INDEX(FIXTURE_ANALYSIS!$Q:$Q,MATCH($D299,FIXTURE_ANALYSIS!$A:$A,0)),INDEX(FIXTURE_ANALYSIS!$R:$R,MATCH($D299,FIXTURE_ANALYSIS!$A:$A,0))),1)</f>
        <v>1.0408391003460207</v>
      </c>
      <c r="Y299" s="5">
        <f t="shared" si="106"/>
        <v>1.0408391003460207</v>
      </c>
      <c r="Z299" s="8">
        <f>INDEX(FPL_Raw_Data!$T:$T,MATCH(A299,FPL_Raw_Data!$AA:$AA,0))</f>
        <v>2</v>
      </c>
      <c r="AA299" s="8">
        <f>INDEX(FPL_Raw_Data!$S:$S,MATCH(A299,FPL_Raw_Data!$AA:$AA,0))</f>
        <v>8</v>
      </c>
      <c r="AB299" s="2">
        <f t="shared" si="107"/>
        <v>0.66666666666666663</v>
      </c>
      <c r="AC299" s="2">
        <f>INDEX(FPL_Raw_Data!$Q:$Q,MATCH(A299,FPL_Raw_Data!$AA:$AA,0))</f>
        <v>0</v>
      </c>
      <c r="AD299" s="8">
        <f>INDEX(FPL_Raw_Data!$R:$R,MATCH(A299,FPL_Raw_Data!$AA:$AA,0))</f>
        <v>37</v>
      </c>
      <c r="AE299" s="8">
        <f>INDEX(FPL_Raw_Data!$N:$N,MATCH(A299,FPL_Raw_Data!$AA:$AA,0))</f>
        <v>0</v>
      </c>
      <c r="AF299" s="8">
        <f>INDEX(FPL_Raw_Data!$L:$L,MATCH(A299,FPL_Raw_Data!$AA:$AA,0))</f>
        <v>0</v>
      </c>
      <c r="AG299" s="2">
        <f>INDEX(FPL_Raw_Data!$M:$M,MATCH(A299,FPL_Raw_Data!$AA:$AA,0))</f>
        <v>0</v>
      </c>
      <c r="AH299" s="2">
        <f t="shared" si="108"/>
        <v>7.3770491803278687E-2</v>
      </c>
      <c r="AI299" s="2">
        <f t="shared" si="109"/>
        <v>0.4868852459016394</v>
      </c>
      <c r="AJ299" s="2">
        <f t="shared" si="110"/>
        <v>1.3333333333333333</v>
      </c>
      <c r="AK299" s="2">
        <f t="shared" si="111"/>
        <v>1.3333333333333333</v>
      </c>
      <c r="AL299" s="2">
        <f t="shared" si="112"/>
        <v>0</v>
      </c>
      <c r="AM299" s="2">
        <f t="shared" si="113"/>
        <v>0</v>
      </c>
      <c r="AN299" s="2">
        <f t="shared" si="114"/>
        <v>0</v>
      </c>
      <c r="AO299" s="3">
        <f t="shared" si="115"/>
        <v>52.1</v>
      </c>
      <c r="AP299">
        <f t="shared" si="116"/>
        <v>74.5</v>
      </c>
      <c r="AQ299">
        <f t="shared" si="117"/>
        <v>68.600000000000009</v>
      </c>
      <c r="AR299">
        <f t="shared" si="118"/>
        <v>80.600000000000009</v>
      </c>
      <c r="AS299" s="2">
        <f t="shared" si="119"/>
        <v>66.666666666666657</v>
      </c>
      <c r="AT299" s="2">
        <f>IFERROR(INDEX(Player_Model!$BC$2:$BC$596,MATCH($A299,Player_Model!$A$2:$A$596,0)),0)</f>
        <v>3.2009311474226014</v>
      </c>
      <c r="AU299" s="2">
        <f>Table8[[#This Row],[Model Expected Points]]*Table8[[#This Row],[Fixture Adjustment]]</f>
        <v>3.3316542957528963</v>
      </c>
      <c r="AV299" s="2">
        <f>Table8[[#This Row],[Fixture Adjusted Points / 90]]/Table8[[#This Row],[Price]]</f>
        <v>0.66633085915057921</v>
      </c>
      <c r="AW299">
        <f t="shared" si="120"/>
        <v>63.3</v>
      </c>
      <c r="AX299">
        <f t="shared" si="121"/>
        <v>0.66666666666666663</v>
      </c>
      <c r="AY299" s="2">
        <f t="shared" si="122"/>
        <v>66.666666666666657</v>
      </c>
      <c r="AZ299" s="5">
        <f t="shared" si="123"/>
        <v>1.0408391003460207</v>
      </c>
      <c r="BA299">
        <f>Table8[[#This Row],[Model Score2]]</f>
        <v>3.2009311474226014</v>
      </c>
      <c r="BB299">
        <f>IFERROR(INDEX(Player_Model!$BG$2:$BG$596,MATCH($A299,Player_Model!$A$2:$A$596,0)),"")</f>
        <v>101</v>
      </c>
      <c r="BC299" t="str">
        <f t="shared" si="124"/>
        <v>AVOID</v>
      </c>
      <c r="BD299">
        <f>IF(H299=1,Table8[[#This Row],[Model Score]],-10000)</f>
        <v>3.2009311474226014</v>
      </c>
      <c r="BE299">
        <f>IFERROR(INDEX(Player_Model!$BF$2:$BF$596,MATCH($A299,Player_Model!$A$2:$A$596,0)),"")</f>
        <v>193</v>
      </c>
      <c r="BF299">
        <f>IFERROR(INDEX(Player_Model!$BG$2:$BG$596,MATCH($A299,Player_Model!$A$2:$A$596,0)),"")</f>
        <v>101</v>
      </c>
      <c r="BG299">
        <f>IFERROR(INDEX(Player_Model!$BE$2:$BE$596,MATCH($A299,Player_Model!$A$2:$A$596,0)),0)</f>
        <v>3.2009311474226014</v>
      </c>
    </row>
    <row r="300" spans="1:59" x14ac:dyDescent="0.25">
      <c r="A300" t="str">
        <f>tblPlayers[first_name]&amp;" "&amp;tblPlayers[second_name]</f>
        <v>Tom Cairney</v>
      </c>
      <c r="B300" t="str">
        <f>_xlfn.SWITCH(tblPlayers[element_type],1,"GK",2,"DEF",3,"MID",4,"FWD")</f>
        <v>MID</v>
      </c>
      <c r="C300">
        <f>tblPlayers[team]</f>
        <v>10</v>
      </c>
      <c r="D300" t="str">
        <f>INDEX(tblTeams[Column1.short_name],MATCH(C300,tblTeams[Column1.id],0))</f>
        <v>FUL</v>
      </c>
      <c r="E300" s="4">
        <f>INDEX(FPL_Raw_Data!$F:$F,MATCH(A300,FPL_Raw_Data!$AA:$AA,0))/10</f>
        <v>5</v>
      </c>
      <c r="F300" s="4" t="str">
        <f>tblPlayers[[#This Row],[status]]</f>
        <v>i</v>
      </c>
      <c r="G300" s="4" t="b">
        <f>tblPlayers[[#This Row],[can_select]]</f>
        <v>1</v>
      </c>
      <c r="H300">
        <f>IF(AND(Table8[[#This Row],[Availability Status]]="a",Table8[[#This Row],[Can Select]]=TRUE),1,0)</f>
        <v>0</v>
      </c>
      <c r="I300">
        <f>tblPlayers[minutes]</f>
        <v>0</v>
      </c>
      <c r="J300" s="2">
        <f>Table8[[#This Row],[Minutes]]/90</f>
        <v>0</v>
      </c>
      <c r="K300" s="5">
        <f>IFERROR(Z300/(FIXTURE_ANALYSIS!$B$1-1),0)</f>
        <v>0</v>
      </c>
      <c r="L300">
        <f>tblPlayers[total_points]</f>
        <v>0</v>
      </c>
      <c r="M300">
        <f>tblPlayers[points_per_game]</f>
        <v>0</v>
      </c>
      <c r="N300">
        <f>tblPlayers[form]</f>
        <v>0</v>
      </c>
      <c r="O300">
        <f>tblPlayers[expected_goals]</f>
        <v>0</v>
      </c>
      <c r="P300">
        <f>tblPlayers[expected_assists]</f>
        <v>0</v>
      </c>
      <c r="Q300">
        <f>tblPlayers[expected_goal_involvements]</f>
        <v>0</v>
      </c>
      <c r="R300" s="2">
        <f t="shared" si="100"/>
        <v>0</v>
      </c>
      <c r="S300" s="5">
        <f t="shared" si="101"/>
        <v>0</v>
      </c>
      <c r="T300" s="5">
        <f t="shared" si="102"/>
        <v>0</v>
      </c>
      <c r="U300" s="5">
        <f t="shared" si="103"/>
        <v>0</v>
      </c>
      <c r="V300" s="3">
        <f t="shared" si="104"/>
        <v>0</v>
      </c>
      <c r="W300" s="5">
        <f t="shared" si="105"/>
        <v>0</v>
      </c>
      <c r="X300" s="5">
        <f>IFERROR(IF(OR($B300="MID",$B300="FWD"),INDEX(FIXTURE_ANALYSIS!$Q:$Q,MATCH($D300,FIXTURE_ANALYSIS!$A:$A,0)),INDEX(FIXTURE_ANALYSIS!$R:$R,MATCH($D300,FIXTURE_ANALYSIS!$A:$A,0))),1)</f>
        <v>1.0408391003460207</v>
      </c>
      <c r="Y300" s="5">
        <f t="shared" si="106"/>
        <v>1.0408391003460207</v>
      </c>
      <c r="Z300" s="8">
        <f>INDEX(FPL_Raw_Data!$T:$T,MATCH(A300,FPL_Raw_Data!$AA:$AA,0))</f>
        <v>0</v>
      </c>
      <c r="AA300" s="8">
        <f>INDEX(FPL_Raw_Data!$S:$S,MATCH(A300,FPL_Raw_Data!$AA:$AA,0))</f>
        <v>0</v>
      </c>
      <c r="AB300" s="2">
        <f t="shared" si="107"/>
        <v>0</v>
      </c>
      <c r="AC300" s="2">
        <f>INDEX(FPL_Raw_Data!$Q:$Q,MATCH(A300,FPL_Raw_Data!$AA:$AA,0))</f>
        <v>0</v>
      </c>
      <c r="AD300" s="8">
        <f>INDEX(FPL_Raw_Data!$R:$R,MATCH(A300,FPL_Raw_Data!$AA:$AA,0))</f>
        <v>0</v>
      </c>
      <c r="AE300" s="8">
        <f>INDEX(FPL_Raw_Data!$N:$N,MATCH(A300,FPL_Raw_Data!$AA:$AA,0))</f>
        <v>0</v>
      </c>
      <c r="AF300" s="8">
        <f>INDEX(FPL_Raw_Data!$L:$L,MATCH(A300,FPL_Raw_Data!$AA:$AA,0))</f>
        <v>0</v>
      </c>
      <c r="AG300" s="2">
        <f>INDEX(FPL_Raw_Data!$M:$M,MATCH(A300,FPL_Raw_Data!$AA:$AA,0))</f>
        <v>0</v>
      </c>
      <c r="AH300" s="2">
        <f t="shared" si="108"/>
        <v>0</v>
      </c>
      <c r="AI300" s="2">
        <f t="shared" si="109"/>
        <v>0</v>
      </c>
      <c r="AJ300" s="2">
        <f t="shared" si="110"/>
        <v>0</v>
      </c>
      <c r="AK300" s="2">
        <f t="shared" si="111"/>
        <v>0</v>
      </c>
      <c r="AL300" s="2">
        <f t="shared" si="112"/>
        <v>0</v>
      </c>
      <c r="AM300" s="2">
        <f t="shared" si="113"/>
        <v>0</v>
      </c>
      <c r="AN300" s="2">
        <f t="shared" si="114"/>
        <v>0</v>
      </c>
      <c r="AO300" s="3">
        <f t="shared" si="115"/>
        <v>0.1</v>
      </c>
      <c r="AP300">
        <f t="shared" si="116"/>
        <v>0</v>
      </c>
      <c r="AQ300">
        <f t="shared" si="117"/>
        <v>0.1</v>
      </c>
      <c r="AR300">
        <f t="shared" si="118"/>
        <v>0</v>
      </c>
      <c r="AS300" s="2">
        <f t="shared" si="119"/>
        <v>0</v>
      </c>
      <c r="AT300" s="2">
        <f>IFERROR(INDEX(Player_Model!$BC$2:$BC$596,MATCH($A300,Player_Model!$A$2:$A$596,0)),0)</f>
        <v>0</v>
      </c>
      <c r="AU300" s="2">
        <f>Table8[[#This Row],[Model Expected Points]]*Table8[[#This Row],[Fixture Adjustment]]</f>
        <v>0</v>
      </c>
      <c r="AV300" s="2">
        <f>Table8[[#This Row],[Fixture Adjusted Points / 90]]/Table8[[#This Row],[Price]]</f>
        <v>0</v>
      </c>
      <c r="AW300">
        <f t="shared" si="120"/>
        <v>0.05</v>
      </c>
      <c r="AX300">
        <f t="shared" si="121"/>
        <v>0</v>
      </c>
      <c r="AY300" s="2">
        <f t="shared" si="122"/>
        <v>0</v>
      </c>
      <c r="AZ300" s="5">
        <f t="shared" si="123"/>
        <v>1.0408391003460207</v>
      </c>
      <c r="BA300">
        <f>Table8[[#This Row],[Model Score2]]</f>
        <v>0</v>
      </c>
      <c r="BB300">
        <f>IFERROR(INDEX(Player_Model!$BG$2:$BG$596,MATCH($A300,Player_Model!$A$2:$A$596,0)),"")</f>
        <v>187</v>
      </c>
      <c r="BC300" t="str">
        <f t="shared" si="124"/>
        <v>AVOID</v>
      </c>
      <c r="BD300">
        <f>IF(H300=1,Table8[[#This Row],[Model Score]],-10000)</f>
        <v>-10000</v>
      </c>
      <c r="BE300">
        <f>IFERROR(INDEX(Player_Model!$BF$2:$BF$596,MATCH($A300,Player_Model!$A$2:$A$596,0)),"")</f>
        <v>253</v>
      </c>
      <c r="BF300">
        <f>IFERROR(INDEX(Player_Model!$BG$2:$BG$596,MATCH($A300,Player_Model!$A$2:$A$596,0)),"")</f>
        <v>187</v>
      </c>
      <c r="BG300">
        <f>IFERROR(INDEX(Player_Model!$BE$2:$BE$596,MATCH($A300,Player_Model!$A$2:$A$596,0)),0)</f>
        <v>0</v>
      </c>
    </row>
    <row r="301" spans="1:59" x14ac:dyDescent="0.25">
      <c r="A301" t="str">
        <f>tblPlayers[first_name]&amp;" "&amp;tblPlayers[second_name]</f>
        <v>Josh King</v>
      </c>
      <c r="B301" t="str">
        <f>_xlfn.SWITCH(tblPlayers[element_type],1,"GK",2,"DEF",3,"MID",4,"FWD")</f>
        <v>MID</v>
      </c>
      <c r="C301">
        <f>tblPlayers[team]</f>
        <v>10</v>
      </c>
      <c r="D301" t="str">
        <f>INDEX(tblTeams[Column1.short_name],MATCH(C301,tblTeams[Column1.id],0))</f>
        <v>FUL</v>
      </c>
      <c r="E301" s="4">
        <f>INDEX(FPL_Raw_Data!$F:$F,MATCH(A301,FPL_Raw_Data!$AA:$AA,0))/10</f>
        <v>5.5</v>
      </c>
      <c r="F301" s="4" t="str">
        <f>tblPlayers[[#This Row],[status]]</f>
        <v>a</v>
      </c>
      <c r="G301" s="4" t="b">
        <f>tblPlayers[[#This Row],[can_select]]</f>
        <v>1</v>
      </c>
      <c r="H301">
        <f>IF(AND(Table8[[#This Row],[Availability Status]]="a",Table8[[#This Row],[Can Select]]=TRUE),1,0)</f>
        <v>1</v>
      </c>
      <c r="I301">
        <f>tblPlayers[minutes]</f>
        <v>270</v>
      </c>
      <c r="J301" s="2">
        <f>Table8[[#This Row],[Minutes]]/90</f>
        <v>3</v>
      </c>
      <c r="K301" s="5">
        <f>IFERROR(Z301/(FIXTURE_ANALYSIS!$B$1-1),0)</f>
        <v>1</v>
      </c>
      <c r="L301">
        <f>tblPlayers[total_points]</f>
        <v>19</v>
      </c>
      <c r="M301">
        <f>tblPlayers[points_per_game]</f>
        <v>6.3</v>
      </c>
      <c r="N301">
        <f>tblPlayers[form]</f>
        <v>6.3</v>
      </c>
      <c r="O301">
        <f>tblPlayers[expected_goals]</f>
        <v>0.95</v>
      </c>
      <c r="P301">
        <f>tblPlayers[expected_assists]</f>
        <v>0.34</v>
      </c>
      <c r="Q301">
        <f>tblPlayers[expected_goal_involvements]</f>
        <v>1.29</v>
      </c>
      <c r="R301" s="2">
        <f t="shared" si="100"/>
        <v>6.3333333333333339</v>
      </c>
      <c r="S301" s="5">
        <f t="shared" si="101"/>
        <v>0.31666666666666665</v>
      </c>
      <c r="T301" s="5">
        <f t="shared" si="102"/>
        <v>0.11333333333333336</v>
      </c>
      <c r="U301" s="5">
        <f t="shared" si="103"/>
        <v>0.43</v>
      </c>
      <c r="V301" s="3">
        <f t="shared" si="104"/>
        <v>3.4545454545454546</v>
      </c>
      <c r="W301" s="5">
        <f t="shared" si="105"/>
        <v>0.23454545454545456</v>
      </c>
      <c r="X301" s="5">
        <f>IFERROR(IF(OR($B301="MID",$B301="FWD"),INDEX(FIXTURE_ANALYSIS!$Q:$Q,MATCH($D301,FIXTURE_ANALYSIS!$A:$A,0)),INDEX(FIXTURE_ANALYSIS!$R:$R,MATCH($D301,FIXTURE_ANALYSIS!$A:$A,0))),1)</f>
        <v>1.0408391003460207</v>
      </c>
      <c r="Y301" s="5">
        <f t="shared" si="106"/>
        <v>1.0408391003460207</v>
      </c>
      <c r="Z301" s="8">
        <f>INDEX(FPL_Raw_Data!$T:$T,MATCH(A301,FPL_Raw_Data!$AA:$AA,0))</f>
        <v>3</v>
      </c>
      <c r="AA301" s="8">
        <f>INDEX(FPL_Raw_Data!$S:$S,MATCH(A301,FPL_Raw_Data!$AA:$AA,0))</f>
        <v>19</v>
      </c>
      <c r="AB301" s="2">
        <f t="shared" si="107"/>
        <v>1</v>
      </c>
      <c r="AC301" s="2">
        <f>INDEX(FPL_Raw_Data!$Q:$Q,MATCH(A301,FPL_Raw_Data!$AA:$AA,0))</f>
        <v>3</v>
      </c>
      <c r="AD301" s="8">
        <f>INDEX(FPL_Raw_Data!$R:$R,MATCH(A301,FPL_Raw_Data!$AA:$AA,0))</f>
        <v>80</v>
      </c>
      <c r="AE301" s="8">
        <f>INDEX(FPL_Raw_Data!$N:$N,MATCH(A301,FPL_Raw_Data!$AA:$AA,0))</f>
        <v>0</v>
      </c>
      <c r="AF301" s="8">
        <f>INDEX(FPL_Raw_Data!$L:$L,MATCH(A301,FPL_Raw_Data!$AA:$AA,0))</f>
        <v>2</v>
      </c>
      <c r="AG301" s="2">
        <f>INDEX(FPL_Raw_Data!$M:$M,MATCH(A301,FPL_Raw_Data!$AA:$AA,0))</f>
        <v>0</v>
      </c>
      <c r="AH301" s="2">
        <f t="shared" si="108"/>
        <v>1.5833333333333333</v>
      </c>
      <c r="AI301" s="2">
        <f t="shared" si="109"/>
        <v>0.34000000000000008</v>
      </c>
      <c r="AJ301" s="2">
        <f t="shared" si="110"/>
        <v>2</v>
      </c>
      <c r="AK301" s="2">
        <f t="shared" si="111"/>
        <v>2</v>
      </c>
      <c r="AL301" s="2">
        <f t="shared" si="112"/>
        <v>0</v>
      </c>
      <c r="AM301" s="2">
        <f t="shared" si="113"/>
        <v>0</v>
      </c>
      <c r="AN301" s="2">
        <f t="shared" si="114"/>
        <v>1</v>
      </c>
      <c r="AO301" s="3">
        <f t="shared" si="115"/>
        <v>82.6</v>
      </c>
      <c r="AP301">
        <f t="shared" si="116"/>
        <v>89.8</v>
      </c>
      <c r="AQ301">
        <f t="shared" si="117"/>
        <v>96.2</v>
      </c>
      <c r="AR301">
        <f t="shared" si="118"/>
        <v>96.6</v>
      </c>
      <c r="AS301" s="2">
        <f t="shared" si="119"/>
        <v>100</v>
      </c>
      <c r="AT301" s="2">
        <f>IFERROR(INDEX(Player_Model!$BC$2:$BC$596,MATCH($A301,Player_Model!$A$2:$A$596,0)),0)</f>
        <v>5.1421409934661275</v>
      </c>
      <c r="AU301" s="2">
        <f>Table8[[#This Row],[Model Expected Points]]*Table8[[#This Row],[Fixture Adjustment]]</f>
        <v>5.3521414054916772</v>
      </c>
      <c r="AV301" s="2">
        <f>Table8[[#This Row],[Fixture Adjusted Points / 90]]/Table8[[#This Row],[Price]]</f>
        <v>0.9731166191803049</v>
      </c>
      <c r="AW301">
        <f t="shared" si="120"/>
        <v>86.199999999999989</v>
      </c>
      <c r="AX301">
        <f t="shared" si="121"/>
        <v>1</v>
      </c>
      <c r="AY301" s="2">
        <f t="shared" si="122"/>
        <v>100</v>
      </c>
      <c r="AZ301" s="5">
        <f t="shared" si="123"/>
        <v>1.0408391003460207</v>
      </c>
      <c r="BA301">
        <f>Table8[[#This Row],[Model Score2]]</f>
        <v>5.1421409934661275</v>
      </c>
      <c r="BB301">
        <f>IFERROR(INDEX(Player_Model!$BG$2:$BG$596,MATCH($A301,Player_Model!$A$2:$A$596,0)),"")</f>
        <v>39</v>
      </c>
      <c r="BC301" t="str">
        <f t="shared" si="124"/>
        <v>AVOID</v>
      </c>
      <c r="BD301">
        <f>IF(H301=1,Table8[[#This Row],[Model Score]],-10000)</f>
        <v>5.1421409934661275</v>
      </c>
      <c r="BE301">
        <f>IFERROR(INDEX(Player_Model!$BF$2:$BF$596,MATCH($A301,Player_Model!$A$2:$A$596,0)),"")</f>
        <v>84</v>
      </c>
      <c r="BF301">
        <f>IFERROR(INDEX(Player_Model!$BG$2:$BG$596,MATCH($A301,Player_Model!$A$2:$A$596,0)),"")</f>
        <v>39</v>
      </c>
      <c r="BG301">
        <f>IFERROR(INDEX(Player_Model!$BE$2:$BE$596,MATCH($A301,Player_Model!$A$2:$A$596,0)),0)</f>
        <v>5.1421409934661275</v>
      </c>
    </row>
    <row r="302" spans="1:59" x14ac:dyDescent="0.25">
      <c r="A302" t="str">
        <f>tblPlayers[first_name]&amp;" "&amp;tblPlayers[second_name]</f>
        <v>Ryan Sessegnon</v>
      </c>
      <c r="B302" t="str">
        <f>_xlfn.SWITCH(tblPlayers[element_type],1,"GK",2,"DEF",3,"MID",4,"FWD")</f>
        <v>DEF</v>
      </c>
      <c r="C302">
        <f>tblPlayers[team]</f>
        <v>10</v>
      </c>
      <c r="D302" t="str">
        <f>INDEX(tblTeams[Column1.short_name],MATCH(C302,tblTeams[Column1.id],0))</f>
        <v>FUL</v>
      </c>
      <c r="E302" s="4">
        <f>INDEX(FPL_Raw_Data!$F:$F,MATCH(A302,FPL_Raw_Data!$AA:$AA,0))/10</f>
        <v>4.5</v>
      </c>
      <c r="F302" s="4" t="str">
        <f>tblPlayers[[#This Row],[status]]</f>
        <v>a</v>
      </c>
      <c r="G302" s="4" t="b">
        <f>tblPlayers[[#This Row],[can_select]]</f>
        <v>1</v>
      </c>
      <c r="H302">
        <f>IF(AND(Table8[[#This Row],[Availability Status]]="a",Table8[[#This Row],[Can Select]]=TRUE),1,0)</f>
        <v>1</v>
      </c>
      <c r="I302">
        <f>tblPlayers[minutes]</f>
        <v>50</v>
      </c>
      <c r="J302" s="2">
        <f>Table8[[#This Row],[Minutes]]/90</f>
        <v>0.55555555555555558</v>
      </c>
      <c r="K302" s="5">
        <f>IFERROR(Z302/(FIXTURE_ANALYSIS!$B$1-1),0)</f>
        <v>0</v>
      </c>
      <c r="L302">
        <f>tblPlayers[total_points]</f>
        <v>3</v>
      </c>
      <c r="M302">
        <f>tblPlayers[points_per_game]</f>
        <v>1</v>
      </c>
      <c r="N302">
        <f>tblPlayers[form]</f>
        <v>1</v>
      </c>
      <c r="O302">
        <f>tblPlayers[expected_goals]</f>
        <v>0.13</v>
      </c>
      <c r="P302">
        <f>tblPlayers[expected_assists]</f>
        <v>0.44</v>
      </c>
      <c r="Q302">
        <f>tblPlayers[expected_goal_involvements]</f>
        <v>0.56999999999999995</v>
      </c>
      <c r="R302" s="2">
        <f t="shared" si="100"/>
        <v>5.3999999999999995</v>
      </c>
      <c r="S302" s="5">
        <f t="shared" si="101"/>
        <v>0.23399999999999999</v>
      </c>
      <c r="T302" s="5">
        <f t="shared" si="102"/>
        <v>0.79200000000000004</v>
      </c>
      <c r="U302" s="5">
        <f t="shared" si="103"/>
        <v>1.0259999999999998</v>
      </c>
      <c r="V302" s="3">
        <f t="shared" si="104"/>
        <v>0.66666666666666663</v>
      </c>
      <c r="W302" s="5">
        <f t="shared" si="105"/>
        <v>0.12666666666666665</v>
      </c>
      <c r="X302" s="5">
        <f>IFERROR(IF(OR($B302="MID",$B302="FWD"),INDEX(FIXTURE_ANALYSIS!$Q:$Q,MATCH($D302,FIXTURE_ANALYSIS!$A:$A,0)),INDEX(FIXTURE_ANALYSIS!$R:$R,MATCH($D302,FIXTURE_ANALYSIS!$A:$A,0))),1)</f>
        <v>0.85287356321839092</v>
      </c>
      <c r="Y302" s="5">
        <f t="shared" si="106"/>
        <v>0.85287356321839092</v>
      </c>
      <c r="Z302" s="8">
        <f>INDEX(FPL_Raw_Data!$T:$T,MATCH(A302,FPL_Raw_Data!$AA:$AA,0))</f>
        <v>0</v>
      </c>
      <c r="AA302" s="8">
        <f>INDEX(FPL_Raw_Data!$S:$S,MATCH(A302,FPL_Raw_Data!$AA:$AA,0))</f>
        <v>3</v>
      </c>
      <c r="AB302" s="2">
        <f t="shared" si="107"/>
        <v>0.3</v>
      </c>
      <c r="AC302" s="2">
        <f>INDEX(FPL_Raw_Data!$Q:$Q,MATCH(A302,FPL_Raw_Data!$AA:$AA,0))</f>
        <v>0</v>
      </c>
      <c r="AD302" s="8">
        <f>INDEX(FPL_Raw_Data!$R:$R,MATCH(A302,FPL_Raw_Data!$AA:$AA,0))</f>
        <v>13</v>
      </c>
      <c r="AE302" s="8">
        <f>INDEX(FPL_Raw_Data!$N:$N,MATCH(A302,FPL_Raw_Data!$AA:$AA,0))</f>
        <v>0</v>
      </c>
      <c r="AF302" s="8">
        <f>INDEX(FPL_Raw_Data!$L:$L,MATCH(A302,FPL_Raw_Data!$AA:$AA,0))</f>
        <v>0</v>
      </c>
      <c r="AG302" s="2">
        <f>INDEX(FPL_Raw_Data!$M:$M,MATCH(A302,FPL_Raw_Data!$AA:$AA,0))</f>
        <v>0</v>
      </c>
      <c r="AH302" s="2">
        <f t="shared" si="108"/>
        <v>1.4039999999999999</v>
      </c>
      <c r="AI302" s="2">
        <f t="shared" si="109"/>
        <v>2.3760000000000003</v>
      </c>
      <c r="AJ302" s="2">
        <f t="shared" si="110"/>
        <v>0</v>
      </c>
      <c r="AK302" s="2">
        <f t="shared" si="111"/>
        <v>0.6</v>
      </c>
      <c r="AL302" s="2">
        <f t="shared" si="112"/>
        <v>0</v>
      </c>
      <c r="AM302" s="2">
        <f t="shared" si="113"/>
        <v>0</v>
      </c>
      <c r="AN302" s="2">
        <f t="shared" si="114"/>
        <v>0</v>
      </c>
      <c r="AO302" s="3">
        <f t="shared" si="115"/>
        <v>78.2</v>
      </c>
      <c r="AP302">
        <f t="shared" si="116"/>
        <v>98.4</v>
      </c>
      <c r="AQ302">
        <f t="shared" si="117"/>
        <v>62.2</v>
      </c>
      <c r="AR302">
        <f t="shared" si="118"/>
        <v>88.3</v>
      </c>
      <c r="AS302" s="2">
        <f t="shared" si="119"/>
        <v>0</v>
      </c>
      <c r="AT302" s="2">
        <f>IFERROR(INDEX(Player_Model!$BC$2:$BC$596,MATCH($A302,Player_Model!$A$2:$A$596,0)),0)</f>
        <v>-0.99501915708812283</v>
      </c>
      <c r="AU302" s="2">
        <f>Table8[[#This Row],[Model Expected Points]]*Table8[[#This Row],[Fixture Adjustment]]</f>
        <v>-0.84862553397630713</v>
      </c>
      <c r="AV302" s="2">
        <f>Table8[[#This Row],[Fixture Adjusted Points / 90]]/Table8[[#This Row],[Price]]</f>
        <v>-0.18858345199473492</v>
      </c>
      <c r="AW302">
        <f t="shared" si="120"/>
        <v>98.4</v>
      </c>
      <c r="AX302">
        <f t="shared" si="121"/>
        <v>0.57643678160919543</v>
      </c>
      <c r="AY302" s="2">
        <f t="shared" si="122"/>
        <v>0</v>
      </c>
      <c r="AZ302" s="5">
        <f t="shared" si="123"/>
        <v>0.85287356321839092</v>
      </c>
      <c r="BA302">
        <f>Table8[[#This Row],[Model Score2]]</f>
        <v>-0.99501915708812283</v>
      </c>
      <c r="BB302">
        <f>IFERROR(INDEX(Player_Model!$BG$2:$BG$596,MATCH($A302,Player_Model!$A$2:$A$596,0)),"")</f>
        <v>175</v>
      </c>
      <c r="BC302" t="str">
        <f t="shared" si="124"/>
        <v>AVOID</v>
      </c>
      <c r="BD302">
        <f>IF(H302=1,Table8[[#This Row],[Model Score]],-10000)</f>
        <v>-0.99501915708812283</v>
      </c>
      <c r="BE302">
        <f>IFERROR(INDEX(Player_Model!$BF$2:$BF$596,MATCH($A302,Player_Model!$A$2:$A$596,0)),"")</f>
        <v>577</v>
      </c>
      <c r="BF302">
        <f>IFERROR(INDEX(Player_Model!$BG$2:$BG$596,MATCH($A302,Player_Model!$A$2:$A$596,0)),"")</f>
        <v>175</v>
      </c>
      <c r="BG302">
        <f>IFERROR(INDEX(Player_Model!$BE$2:$BE$596,MATCH($A302,Player_Model!$A$2:$A$596,0)),0)</f>
        <v>-0.99501915708812283</v>
      </c>
    </row>
    <row r="303" spans="1:59" x14ac:dyDescent="0.25">
      <c r="A303" t="str">
        <f>tblPlayers[first_name]&amp;" "&amp;tblPlayers[second_name]</f>
        <v>Harrison Reed</v>
      </c>
      <c r="B303" t="str">
        <f>_xlfn.SWITCH(tblPlayers[element_type],1,"GK",2,"DEF",3,"MID",4,"FWD")</f>
        <v>MID</v>
      </c>
      <c r="C303">
        <f>tblPlayers[team]</f>
        <v>10</v>
      </c>
      <c r="D303" t="str">
        <f>INDEX(tblTeams[Column1.short_name],MATCH(C303,tblTeams[Column1.id],0))</f>
        <v>FUL</v>
      </c>
      <c r="E303" s="4">
        <f>INDEX(FPL_Raw_Data!$F:$F,MATCH(A303,FPL_Raw_Data!$AA:$AA,0))/10</f>
        <v>4.5</v>
      </c>
      <c r="F303" s="4" t="str">
        <f>tblPlayers[[#This Row],[status]]</f>
        <v>a</v>
      </c>
      <c r="G303" s="4" t="b">
        <f>tblPlayers[[#This Row],[can_select]]</f>
        <v>1</v>
      </c>
      <c r="H303">
        <f>IF(AND(Table8[[#This Row],[Availability Status]]="a",Table8[[#This Row],[Can Select]]=TRUE),1,0)</f>
        <v>1</v>
      </c>
      <c r="I303">
        <f>tblPlayers[minutes]</f>
        <v>0</v>
      </c>
      <c r="J303" s="2">
        <f>Table8[[#This Row],[Minutes]]/90</f>
        <v>0</v>
      </c>
      <c r="K303" s="5">
        <f>IFERROR(Z303/(FIXTURE_ANALYSIS!$B$1-1),0)</f>
        <v>0</v>
      </c>
      <c r="L303">
        <f>tblPlayers[total_points]</f>
        <v>0</v>
      </c>
      <c r="M303">
        <f>tblPlayers[points_per_game]</f>
        <v>0</v>
      </c>
      <c r="N303">
        <f>tblPlayers[form]</f>
        <v>0</v>
      </c>
      <c r="O303">
        <f>tblPlayers[expected_goals]</f>
        <v>0</v>
      </c>
      <c r="P303">
        <f>tblPlayers[expected_assists]</f>
        <v>0</v>
      </c>
      <c r="Q303">
        <f>tblPlayers[expected_goal_involvements]</f>
        <v>0</v>
      </c>
      <c r="R303" s="2">
        <f t="shared" si="100"/>
        <v>0</v>
      </c>
      <c r="S303" s="5">
        <f t="shared" si="101"/>
        <v>0</v>
      </c>
      <c r="T303" s="5">
        <f t="shared" si="102"/>
        <v>0</v>
      </c>
      <c r="U303" s="5">
        <f t="shared" si="103"/>
        <v>0</v>
      </c>
      <c r="V303" s="3">
        <f t="shared" si="104"/>
        <v>0</v>
      </c>
      <c r="W303" s="5">
        <f t="shared" si="105"/>
        <v>0</v>
      </c>
      <c r="X303" s="5">
        <f>IFERROR(IF(OR($B303="MID",$B303="FWD"),INDEX(FIXTURE_ANALYSIS!$Q:$Q,MATCH($D303,FIXTURE_ANALYSIS!$A:$A,0)),INDEX(FIXTURE_ANALYSIS!$R:$R,MATCH($D303,FIXTURE_ANALYSIS!$A:$A,0))),1)</f>
        <v>1.0408391003460207</v>
      </c>
      <c r="Y303" s="5">
        <f t="shared" si="106"/>
        <v>1.0408391003460207</v>
      </c>
      <c r="Z303" s="8">
        <f>INDEX(FPL_Raw_Data!$T:$T,MATCH(A303,FPL_Raw_Data!$AA:$AA,0))</f>
        <v>0</v>
      </c>
      <c r="AA303" s="8">
        <f>INDEX(FPL_Raw_Data!$S:$S,MATCH(A303,FPL_Raw_Data!$AA:$AA,0))</f>
        <v>0</v>
      </c>
      <c r="AB303" s="2">
        <f t="shared" si="107"/>
        <v>0</v>
      </c>
      <c r="AC303" s="2">
        <f>INDEX(FPL_Raw_Data!$Q:$Q,MATCH(A303,FPL_Raw_Data!$AA:$AA,0))</f>
        <v>0</v>
      </c>
      <c r="AD303" s="8">
        <f>INDEX(FPL_Raw_Data!$R:$R,MATCH(A303,FPL_Raw_Data!$AA:$AA,0))</f>
        <v>0</v>
      </c>
      <c r="AE303" s="8">
        <f>INDEX(FPL_Raw_Data!$N:$N,MATCH(A303,FPL_Raw_Data!$AA:$AA,0))</f>
        <v>0</v>
      </c>
      <c r="AF303" s="8">
        <f>INDEX(FPL_Raw_Data!$L:$L,MATCH(A303,FPL_Raw_Data!$AA:$AA,0))</f>
        <v>0</v>
      </c>
      <c r="AG303" s="2">
        <f>INDEX(FPL_Raw_Data!$M:$M,MATCH(A303,FPL_Raw_Data!$AA:$AA,0))</f>
        <v>0</v>
      </c>
      <c r="AH303" s="2">
        <f t="shared" si="108"/>
        <v>0</v>
      </c>
      <c r="AI303" s="2">
        <f t="shared" si="109"/>
        <v>0</v>
      </c>
      <c r="AJ303" s="2">
        <f t="shared" si="110"/>
        <v>0</v>
      </c>
      <c r="AK303" s="2">
        <f t="shared" si="111"/>
        <v>0</v>
      </c>
      <c r="AL303" s="2">
        <f t="shared" si="112"/>
        <v>0</v>
      </c>
      <c r="AM303" s="2">
        <f t="shared" si="113"/>
        <v>0</v>
      </c>
      <c r="AN303" s="2">
        <f t="shared" si="114"/>
        <v>0</v>
      </c>
      <c r="AO303" s="3">
        <f t="shared" si="115"/>
        <v>0.1</v>
      </c>
      <c r="AP303">
        <f t="shared" si="116"/>
        <v>0</v>
      </c>
      <c r="AQ303">
        <f t="shared" si="117"/>
        <v>0.1</v>
      </c>
      <c r="AR303">
        <f t="shared" si="118"/>
        <v>0</v>
      </c>
      <c r="AS303" s="2">
        <f t="shared" si="119"/>
        <v>0</v>
      </c>
      <c r="AT303" s="2">
        <f>IFERROR(INDEX(Player_Model!$BC$2:$BC$596,MATCH($A303,Player_Model!$A$2:$A$596,0)),0)</f>
        <v>0</v>
      </c>
      <c r="AU303" s="2">
        <f>Table8[[#This Row],[Model Expected Points]]*Table8[[#This Row],[Fixture Adjustment]]</f>
        <v>0</v>
      </c>
      <c r="AV303" s="2">
        <f>Table8[[#This Row],[Fixture Adjusted Points / 90]]/Table8[[#This Row],[Price]]</f>
        <v>0</v>
      </c>
      <c r="AW303">
        <f t="shared" si="120"/>
        <v>0.05</v>
      </c>
      <c r="AX303">
        <f t="shared" si="121"/>
        <v>0</v>
      </c>
      <c r="AY303" s="2">
        <f t="shared" si="122"/>
        <v>0</v>
      </c>
      <c r="AZ303" s="5">
        <f t="shared" si="123"/>
        <v>1.0408391003460207</v>
      </c>
      <c r="BA303">
        <f>Table8[[#This Row],[Model Score2]]</f>
        <v>0</v>
      </c>
      <c r="BB303">
        <f>IFERROR(INDEX(Player_Model!$BG$2:$BG$596,MATCH($A303,Player_Model!$A$2:$A$596,0)),"")</f>
        <v>188</v>
      </c>
      <c r="BC303" t="str">
        <f t="shared" si="124"/>
        <v>AVOID</v>
      </c>
      <c r="BD303">
        <f>IF(H303=1,Table8[[#This Row],[Model Score]],-10000)</f>
        <v>0</v>
      </c>
      <c r="BE303">
        <f>IFERROR(INDEX(Player_Model!$BF$2:$BF$596,MATCH($A303,Player_Model!$A$2:$A$596,0)),"")</f>
        <v>253</v>
      </c>
      <c r="BF303">
        <f>IFERROR(INDEX(Player_Model!$BG$2:$BG$596,MATCH($A303,Player_Model!$A$2:$A$596,0)),"")</f>
        <v>188</v>
      </c>
      <c r="BG303">
        <f>IFERROR(INDEX(Player_Model!$BE$2:$BE$596,MATCH($A303,Player_Model!$A$2:$A$596,0)),0)</f>
        <v>0</v>
      </c>
    </row>
    <row r="304" spans="1:59" x14ac:dyDescent="0.25">
      <c r="A304" t="str">
        <f>tblPlayers[first_name]&amp;" "&amp;tblPlayers[second_name]</f>
        <v>Rodrigo Muniz Carvalho</v>
      </c>
      <c r="B304" t="str">
        <f>_xlfn.SWITCH(tblPlayers[element_type],1,"GK",2,"DEF",3,"MID",4,"FWD")</f>
        <v>FWD</v>
      </c>
      <c r="C304">
        <f>tblPlayers[team]</f>
        <v>10</v>
      </c>
      <c r="D304" t="str">
        <f>INDEX(tblTeams[Column1.short_name],MATCH(C304,tblTeams[Column1.id],0))</f>
        <v>FUL</v>
      </c>
      <c r="E304" s="4">
        <f>INDEX(FPL_Raw_Data!$F:$F,MATCH(A304,FPL_Raw_Data!$AA:$AA,0))/10</f>
        <v>5.4</v>
      </c>
      <c r="F304" s="4" t="str">
        <f>tblPlayers[[#This Row],[status]]</f>
        <v>a</v>
      </c>
      <c r="G304" s="4" t="b">
        <f>tblPlayers[[#This Row],[can_select]]</f>
        <v>1</v>
      </c>
      <c r="H304">
        <f>IF(AND(Table8[[#This Row],[Availability Status]]="a",Table8[[#This Row],[Can Select]]=TRUE),1,0)</f>
        <v>1</v>
      </c>
      <c r="I304">
        <f>tblPlayers[minutes]</f>
        <v>15</v>
      </c>
      <c r="J304" s="2">
        <f>Table8[[#This Row],[Minutes]]/90</f>
        <v>0.16666666666666666</v>
      </c>
      <c r="K304" s="5">
        <f>IFERROR(Z304/(FIXTURE_ANALYSIS!$B$1-1),0)</f>
        <v>0</v>
      </c>
      <c r="L304">
        <f>tblPlayers[total_points]</f>
        <v>2</v>
      </c>
      <c r="M304">
        <f>tblPlayers[points_per_game]</f>
        <v>1</v>
      </c>
      <c r="N304">
        <f>tblPlayers[form]</f>
        <v>0.7</v>
      </c>
      <c r="O304">
        <f>tblPlayers[expected_goals]</f>
        <v>0.4</v>
      </c>
      <c r="P304">
        <f>tblPlayers[expected_assists]</f>
        <v>0</v>
      </c>
      <c r="Q304">
        <f>tblPlayers[expected_goal_involvements]</f>
        <v>0.4</v>
      </c>
      <c r="R304" s="2">
        <f t="shared" si="100"/>
        <v>12</v>
      </c>
      <c r="S304" s="5">
        <f t="shared" si="101"/>
        <v>2.4000000000000004</v>
      </c>
      <c r="T304" s="5">
        <f t="shared" si="102"/>
        <v>0</v>
      </c>
      <c r="U304" s="5">
        <f t="shared" si="103"/>
        <v>2.4000000000000004</v>
      </c>
      <c r="V304" s="3">
        <f t="shared" si="104"/>
        <v>0.37037037037037035</v>
      </c>
      <c r="W304" s="5">
        <f t="shared" si="105"/>
        <v>7.407407407407407E-2</v>
      </c>
      <c r="X304" s="5">
        <f>IFERROR(IF(OR($B304="MID",$B304="FWD"),INDEX(FIXTURE_ANALYSIS!$Q:$Q,MATCH($D304,FIXTURE_ANALYSIS!$A:$A,0)),INDEX(FIXTURE_ANALYSIS!$R:$R,MATCH($D304,FIXTURE_ANALYSIS!$A:$A,0))),1)</f>
        <v>1.0408391003460207</v>
      </c>
      <c r="Y304" s="5">
        <f t="shared" si="106"/>
        <v>1.0408391003460207</v>
      </c>
      <c r="Z304" s="8">
        <f>INDEX(FPL_Raw_Data!$T:$T,MATCH(A304,FPL_Raw_Data!$AA:$AA,0))</f>
        <v>0</v>
      </c>
      <c r="AA304" s="8">
        <f>INDEX(FPL_Raw_Data!$S:$S,MATCH(A304,FPL_Raw_Data!$AA:$AA,0))</f>
        <v>1</v>
      </c>
      <c r="AB304" s="2">
        <f t="shared" si="107"/>
        <v>8.3333333333333329E-2</v>
      </c>
      <c r="AC304" s="2">
        <f>INDEX(FPL_Raw_Data!$Q:$Q,MATCH(A304,FPL_Raw_Data!$AA:$AA,0))</f>
        <v>0</v>
      </c>
      <c r="AD304" s="8">
        <f>INDEX(FPL_Raw_Data!$R:$R,MATCH(A304,FPL_Raw_Data!$AA:$AA,0))</f>
        <v>11</v>
      </c>
      <c r="AE304" s="8">
        <f>INDEX(FPL_Raw_Data!$N:$N,MATCH(A304,FPL_Raw_Data!$AA:$AA,0))</f>
        <v>0</v>
      </c>
      <c r="AF304" s="8">
        <f>INDEX(FPL_Raw_Data!$L:$L,MATCH(A304,FPL_Raw_Data!$AA:$AA,0))</f>
        <v>0</v>
      </c>
      <c r="AG304" s="2">
        <f>INDEX(FPL_Raw_Data!$M:$M,MATCH(A304,FPL_Raw_Data!$AA:$AA,0))</f>
        <v>0</v>
      </c>
      <c r="AH304" s="2">
        <f t="shared" si="108"/>
        <v>9.6000000000000014</v>
      </c>
      <c r="AI304" s="2">
        <f t="shared" si="109"/>
        <v>0</v>
      </c>
      <c r="AJ304" s="2">
        <f t="shared" si="110"/>
        <v>0</v>
      </c>
      <c r="AK304" s="2">
        <f t="shared" si="111"/>
        <v>0.16666666666666666</v>
      </c>
      <c r="AL304" s="2">
        <f t="shared" si="112"/>
        <v>0</v>
      </c>
      <c r="AM304" s="2">
        <f t="shared" si="113"/>
        <v>0</v>
      </c>
      <c r="AN304" s="2">
        <f t="shared" si="114"/>
        <v>0</v>
      </c>
      <c r="AO304" s="3">
        <f t="shared" si="115"/>
        <v>95.199999999999989</v>
      </c>
      <c r="AP304">
        <f t="shared" si="116"/>
        <v>99.8</v>
      </c>
      <c r="AQ304">
        <f t="shared" si="117"/>
        <v>52</v>
      </c>
      <c r="AR304">
        <f t="shared" si="118"/>
        <v>80.900000000000006</v>
      </c>
      <c r="AS304" s="2">
        <f t="shared" si="119"/>
        <v>0</v>
      </c>
      <c r="AT304" s="2">
        <f>IFERROR(INDEX(Player_Model!$BC$2:$BC$596,MATCH($A304,Player_Model!$A$2:$A$596,0)),0)</f>
        <v>0</v>
      </c>
      <c r="AU304" s="2">
        <f>Table8[[#This Row],[Model Expected Points]]*Table8[[#This Row],[Fixture Adjustment]]</f>
        <v>0</v>
      </c>
      <c r="AV304" s="2">
        <f>Table8[[#This Row],[Fixture Adjusted Points / 90]]/Table8[[#This Row],[Price]]</f>
        <v>0</v>
      </c>
      <c r="AW304">
        <f t="shared" si="120"/>
        <v>97.5</v>
      </c>
      <c r="AX304">
        <f t="shared" si="121"/>
        <v>0</v>
      </c>
      <c r="AY304" s="2">
        <f t="shared" si="122"/>
        <v>0</v>
      </c>
      <c r="AZ304" s="5">
        <f t="shared" si="123"/>
        <v>1.0408391003460207</v>
      </c>
      <c r="BA304">
        <f>Table8[[#This Row],[Model Score2]]</f>
        <v>0</v>
      </c>
      <c r="BB304">
        <f>IFERROR(INDEX(Player_Model!$BG$2:$BG$596,MATCH($A304,Player_Model!$A$2:$A$596,0)),"")</f>
        <v>49</v>
      </c>
      <c r="BC304" t="str">
        <f t="shared" si="124"/>
        <v>AVOID</v>
      </c>
      <c r="BD304">
        <f>IF(H304=1,Table8[[#This Row],[Model Score]],-10000)</f>
        <v>0</v>
      </c>
      <c r="BE304">
        <f>IFERROR(INDEX(Player_Model!$BF$2:$BF$596,MATCH($A304,Player_Model!$A$2:$A$596,0)),"")</f>
        <v>253</v>
      </c>
      <c r="BF304">
        <f>IFERROR(INDEX(Player_Model!$BG$2:$BG$596,MATCH($A304,Player_Model!$A$2:$A$596,0)),"")</f>
        <v>49</v>
      </c>
      <c r="BG304">
        <f>IFERROR(INDEX(Player_Model!$BE$2:$BE$596,MATCH($A304,Player_Model!$A$2:$A$596,0)),0)</f>
        <v>0</v>
      </c>
    </row>
    <row r="305" spans="1:59" x14ac:dyDescent="0.25">
      <c r="A305" t="str">
        <f>tblPlayers[first_name]&amp;" "&amp;tblPlayers[second_name]</f>
        <v>Jonah Kusi-Asare</v>
      </c>
      <c r="B305" t="str">
        <f>_xlfn.SWITCH(tblPlayers[element_type],1,"GK",2,"DEF",3,"MID",4,"FWD")</f>
        <v>FWD</v>
      </c>
      <c r="C305">
        <f>tblPlayers[team]</f>
        <v>10</v>
      </c>
      <c r="D305" t="str">
        <f>INDEX(tblTeams[Column1.short_name],MATCH(C305,tblTeams[Column1.id],0))</f>
        <v>FUL</v>
      </c>
      <c r="E305" s="4">
        <f>INDEX(FPL_Raw_Data!$F:$F,MATCH(A305,FPL_Raw_Data!$AA:$AA,0))/10</f>
        <v>4.5</v>
      </c>
      <c r="F305" s="4" t="str">
        <f>tblPlayers[[#This Row],[status]]</f>
        <v>a</v>
      </c>
      <c r="G305" s="4" t="b">
        <f>tblPlayers[[#This Row],[can_select]]</f>
        <v>1</v>
      </c>
      <c r="H305">
        <f>IF(AND(Table8[[#This Row],[Availability Status]]="a",Table8[[#This Row],[Can Select]]=TRUE),1,0)</f>
        <v>1</v>
      </c>
      <c r="I305">
        <f>tblPlayers[minutes]</f>
        <v>0</v>
      </c>
      <c r="J305" s="2">
        <f>Table8[[#This Row],[Minutes]]/90</f>
        <v>0</v>
      </c>
      <c r="K305" s="5">
        <f>IFERROR(Z305/(FIXTURE_ANALYSIS!$B$1-1),0)</f>
        <v>0</v>
      </c>
      <c r="L305">
        <f>tblPlayers[total_points]</f>
        <v>0</v>
      </c>
      <c r="M305">
        <f>tblPlayers[points_per_game]</f>
        <v>0</v>
      </c>
      <c r="N305">
        <f>tblPlayers[form]</f>
        <v>0</v>
      </c>
      <c r="O305">
        <f>tblPlayers[expected_goals]</f>
        <v>0</v>
      </c>
      <c r="P305">
        <f>tblPlayers[expected_assists]</f>
        <v>0</v>
      </c>
      <c r="Q305">
        <f>tblPlayers[expected_goal_involvements]</f>
        <v>0</v>
      </c>
      <c r="R305" s="2">
        <f t="shared" si="100"/>
        <v>0</v>
      </c>
      <c r="S305" s="5">
        <f t="shared" si="101"/>
        <v>0</v>
      </c>
      <c r="T305" s="5">
        <f t="shared" si="102"/>
        <v>0</v>
      </c>
      <c r="U305" s="5">
        <f t="shared" si="103"/>
        <v>0</v>
      </c>
      <c r="V305" s="3">
        <f t="shared" si="104"/>
        <v>0</v>
      </c>
      <c r="W305" s="5">
        <f t="shared" si="105"/>
        <v>0</v>
      </c>
      <c r="X305" s="5">
        <f>IFERROR(IF(OR($B305="MID",$B305="FWD"),INDEX(FIXTURE_ANALYSIS!$Q:$Q,MATCH($D305,FIXTURE_ANALYSIS!$A:$A,0)),INDEX(FIXTURE_ANALYSIS!$R:$R,MATCH($D305,FIXTURE_ANALYSIS!$A:$A,0))),1)</f>
        <v>1.0408391003460207</v>
      </c>
      <c r="Y305" s="5">
        <f t="shared" si="106"/>
        <v>1.0408391003460207</v>
      </c>
      <c r="Z305" s="8">
        <f>INDEX(FPL_Raw_Data!$T:$T,MATCH(A305,FPL_Raw_Data!$AA:$AA,0))</f>
        <v>0</v>
      </c>
      <c r="AA305" s="8">
        <f>INDEX(FPL_Raw_Data!$S:$S,MATCH(A305,FPL_Raw_Data!$AA:$AA,0))</f>
        <v>0</v>
      </c>
      <c r="AB305" s="2">
        <f t="shared" si="107"/>
        <v>0</v>
      </c>
      <c r="AC305" s="2">
        <f>INDEX(FPL_Raw_Data!$Q:$Q,MATCH(A305,FPL_Raw_Data!$AA:$AA,0))</f>
        <v>0</v>
      </c>
      <c r="AD305" s="8">
        <f>INDEX(FPL_Raw_Data!$R:$R,MATCH(A305,FPL_Raw_Data!$AA:$AA,0))</f>
        <v>0</v>
      </c>
      <c r="AE305" s="8">
        <f>INDEX(FPL_Raw_Data!$N:$N,MATCH(A305,FPL_Raw_Data!$AA:$AA,0))</f>
        <v>0</v>
      </c>
      <c r="AF305" s="8">
        <f>INDEX(FPL_Raw_Data!$L:$L,MATCH(A305,FPL_Raw_Data!$AA:$AA,0))</f>
        <v>0</v>
      </c>
      <c r="AG305" s="2">
        <f>INDEX(FPL_Raw_Data!$M:$M,MATCH(A305,FPL_Raw_Data!$AA:$AA,0))</f>
        <v>0</v>
      </c>
      <c r="AH305" s="2">
        <f t="shared" si="108"/>
        <v>0</v>
      </c>
      <c r="AI305" s="2">
        <f t="shared" si="109"/>
        <v>0</v>
      </c>
      <c r="AJ305" s="2">
        <f t="shared" si="110"/>
        <v>0</v>
      </c>
      <c r="AK305" s="2">
        <f t="shared" si="111"/>
        <v>0</v>
      </c>
      <c r="AL305" s="2">
        <f t="shared" si="112"/>
        <v>0</v>
      </c>
      <c r="AM305" s="2">
        <f t="shared" si="113"/>
        <v>0</v>
      </c>
      <c r="AN305" s="2">
        <f t="shared" si="114"/>
        <v>0</v>
      </c>
      <c r="AO305" s="3">
        <f t="shared" si="115"/>
        <v>0.1</v>
      </c>
      <c r="AP305">
        <f t="shared" si="116"/>
        <v>0</v>
      </c>
      <c r="AQ305">
        <f t="shared" si="117"/>
        <v>0.1</v>
      </c>
      <c r="AR305">
        <f t="shared" si="118"/>
        <v>0</v>
      </c>
      <c r="AS305" s="2">
        <f t="shared" si="119"/>
        <v>0</v>
      </c>
      <c r="AT305" s="2">
        <f>IFERROR(INDEX(Player_Model!$BC$2:$BC$596,MATCH($A305,Player_Model!$A$2:$A$596,0)),0)</f>
        <v>0</v>
      </c>
      <c r="AU305" s="2">
        <f>Table8[[#This Row],[Model Expected Points]]*Table8[[#This Row],[Fixture Adjustment]]</f>
        <v>0</v>
      </c>
      <c r="AV305" s="2">
        <f>Table8[[#This Row],[Fixture Adjusted Points / 90]]/Table8[[#This Row],[Price]]</f>
        <v>0</v>
      </c>
      <c r="AW305">
        <f t="shared" si="120"/>
        <v>0.05</v>
      </c>
      <c r="AX305">
        <f t="shared" si="121"/>
        <v>0</v>
      </c>
      <c r="AY305" s="2">
        <f t="shared" si="122"/>
        <v>0</v>
      </c>
      <c r="AZ305" s="5">
        <f t="shared" si="123"/>
        <v>1.0408391003460207</v>
      </c>
      <c r="BA305">
        <f>Table8[[#This Row],[Model Score2]]</f>
        <v>0</v>
      </c>
      <c r="BB305">
        <f>IFERROR(INDEX(Player_Model!$BG$2:$BG$596,MATCH($A305,Player_Model!$A$2:$A$596,0)),"")</f>
        <v>50</v>
      </c>
      <c r="BC305" t="str">
        <f t="shared" si="124"/>
        <v>AVOID</v>
      </c>
      <c r="BD305">
        <f>IF(H305=1,Table8[[#This Row],[Model Score]],-10000)</f>
        <v>0</v>
      </c>
      <c r="BE305">
        <f>IFERROR(INDEX(Player_Model!$BF$2:$BF$596,MATCH($A305,Player_Model!$A$2:$A$596,0)),"")</f>
        <v>253</v>
      </c>
      <c r="BF305">
        <f>IFERROR(INDEX(Player_Model!$BG$2:$BG$596,MATCH($A305,Player_Model!$A$2:$A$596,0)),"")</f>
        <v>50</v>
      </c>
      <c r="BG305">
        <f>IFERROR(INDEX(Player_Model!$BE$2:$BE$596,MATCH($A305,Player_Model!$A$2:$A$596,0)),0)</f>
        <v>0</v>
      </c>
    </row>
    <row r="306" spans="1:59" x14ac:dyDescent="0.25">
      <c r="A306" t="str">
        <f>tblPlayers[first_name]&amp;" "&amp;tblPlayers[second_name]</f>
        <v>Gonzalo García</v>
      </c>
      <c r="B306" t="str">
        <f>_xlfn.SWITCH(tblPlayers[element_type],1,"GK",2,"DEF",3,"MID",4,"FWD")</f>
        <v>FWD</v>
      </c>
      <c r="C306">
        <f>tblPlayers[team]</f>
        <v>10</v>
      </c>
      <c r="D306" t="str">
        <f>INDEX(tblTeams[Column1.short_name],MATCH(C306,tblTeams[Column1.id],0))</f>
        <v>FUL</v>
      </c>
      <c r="E306" s="4">
        <f>INDEX(FPL_Raw_Data!$F:$F,MATCH(A306,FPL_Raw_Data!$AA:$AA,0))/10</f>
        <v>6</v>
      </c>
      <c r="F306" s="4" t="str">
        <f>tblPlayers[[#This Row],[status]]</f>
        <v>a</v>
      </c>
      <c r="G306" s="4" t="b">
        <f>tblPlayers[[#This Row],[can_select]]</f>
        <v>1</v>
      </c>
      <c r="H306">
        <f>IF(AND(Table8[[#This Row],[Availability Status]]="a",Table8[[#This Row],[Can Select]]=TRUE),1,0)</f>
        <v>1</v>
      </c>
      <c r="I306">
        <f>tblPlayers[minutes]</f>
        <v>270</v>
      </c>
      <c r="J306" s="2">
        <f>Table8[[#This Row],[Minutes]]/90</f>
        <v>3</v>
      </c>
      <c r="K306" s="5">
        <f>IFERROR(Z306/(FIXTURE_ANALYSIS!$B$1-1),0)</f>
        <v>1</v>
      </c>
      <c r="L306">
        <f>tblPlayers[total_points]</f>
        <v>10</v>
      </c>
      <c r="M306">
        <f>tblPlayers[points_per_game]</f>
        <v>3.3</v>
      </c>
      <c r="N306">
        <f>tblPlayers[form]</f>
        <v>3.3</v>
      </c>
      <c r="O306">
        <f>tblPlayers[expected_goals]</f>
        <v>1.44</v>
      </c>
      <c r="P306">
        <f>tblPlayers[expected_assists]</f>
        <v>0.22</v>
      </c>
      <c r="Q306">
        <f>tblPlayers[expected_goal_involvements]</f>
        <v>1.66</v>
      </c>
      <c r="R306" s="2">
        <f t="shared" si="100"/>
        <v>3.333333333333333</v>
      </c>
      <c r="S306" s="5">
        <f t="shared" si="101"/>
        <v>0.48</v>
      </c>
      <c r="T306" s="5">
        <f t="shared" si="102"/>
        <v>7.3333333333333334E-2</v>
      </c>
      <c r="U306" s="5">
        <f t="shared" si="103"/>
        <v>0.55333333333333334</v>
      </c>
      <c r="V306" s="3">
        <f t="shared" si="104"/>
        <v>1.6666666666666667</v>
      </c>
      <c r="W306" s="5">
        <f t="shared" si="105"/>
        <v>0.27666666666666667</v>
      </c>
      <c r="X306" s="5">
        <f>IFERROR(IF(OR($B306="MID",$B306="FWD"),INDEX(FIXTURE_ANALYSIS!$Q:$Q,MATCH($D306,FIXTURE_ANALYSIS!$A:$A,0)),INDEX(FIXTURE_ANALYSIS!$R:$R,MATCH($D306,FIXTURE_ANALYSIS!$A:$A,0))),1)</f>
        <v>1.0408391003460207</v>
      </c>
      <c r="Y306" s="5">
        <f t="shared" si="106"/>
        <v>1.0408391003460207</v>
      </c>
      <c r="Z306" s="8">
        <f>INDEX(FPL_Raw_Data!$T:$T,MATCH(A306,FPL_Raw_Data!$AA:$AA,0))</f>
        <v>3</v>
      </c>
      <c r="AA306" s="8">
        <f>INDEX(FPL_Raw_Data!$S:$S,MATCH(A306,FPL_Raw_Data!$AA:$AA,0))</f>
        <v>13</v>
      </c>
      <c r="AB306" s="2">
        <f t="shared" si="107"/>
        <v>1</v>
      </c>
      <c r="AC306" s="2">
        <f>INDEX(FPL_Raw_Data!$Q:$Q,MATCH(A306,FPL_Raw_Data!$AA:$AA,0))</f>
        <v>0</v>
      </c>
      <c r="AD306" s="8">
        <f>INDEX(FPL_Raw_Data!$R:$R,MATCH(A306,FPL_Raw_Data!$AA:$AA,0))</f>
        <v>45</v>
      </c>
      <c r="AE306" s="8">
        <f>INDEX(FPL_Raw_Data!$N:$N,MATCH(A306,FPL_Raw_Data!$AA:$AA,0))</f>
        <v>0</v>
      </c>
      <c r="AF306" s="8">
        <f>INDEX(FPL_Raw_Data!$L:$L,MATCH(A306,FPL_Raw_Data!$AA:$AA,0))</f>
        <v>1</v>
      </c>
      <c r="AG306" s="2">
        <f>INDEX(FPL_Raw_Data!$M:$M,MATCH(A306,FPL_Raw_Data!$AA:$AA,0))</f>
        <v>0</v>
      </c>
      <c r="AH306" s="2">
        <f t="shared" si="108"/>
        <v>1.92</v>
      </c>
      <c r="AI306" s="2">
        <f t="shared" si="109"/>
        <v>0.22</v>
      </c>
      <c r="AJ306" s="2">
        <f t="shared" si="110"/>
        <v>2</v>
      </c>
      <c r="AK306" s="2">
        <f t="shared" si="111"/>
        <v>2</v>
      </c>
      <c r="AL306" s="2">
        <f t="shared" si="112"/>
        <v>0</v>
      </c>
      <c r="AM306" s="2">
        <f t="shared" si="113"/>
        <v>0</v>
      </c>
      <c r="AN306" s="2">
        <f t="shared" si="114"/>
        <v>0</v>
      </c>
      <c r="AO306" s="3">
        <f t="shared" si="115"/>
        <v>62.2</v>
      </c>
      <c r="AP306">
        <f t="shared" si="116"/>
        <v>93.2</v>
      </c>
      <c r="AQ306">
        <f t="shared" si="117"/>
        <v>82.3</v>
      </c>
      <c r="AR306">
        <f t="shared" si="118"/>
        <v>98.1</v>
      </c>
      <c r="AS306" s="2">
        <f t="shared" si="119"/>
        <v>100</v>
      </c>
      <c r="AT306" s="2">
        <f>IFERROR(INDEX(Player_Model!$BC$2:$BC$596,MATCH($A306,Player_Model!$A$2:$A$596,0)),0)</f>
        <v>5.0607910034602073</v>
      </c>
      <c r="AU306" s="2">
        <f>Table8[[#This Row],[Model Expected Points]]*Table8[[#This Row],[Fixture Adjustment]]</f>
        <v>5.2674691550807573</v>
      </c>
      <c r="AV306" s="2">
        <f>Table8[[#This Row],[Fixture Adjusted Points / 90]]/Table8[[#This Row],[Price]]</f>
        <v>0.87791152584679288</v>
      </c>
      <c r="AW306">
        <f t="shared" si="120"/>
        <v>77.7</v>
      </c>
      <c r="AX306">
        <f t="shared" si="121"/>
        <v>0</v>
      </c>
      <c r="AY306" s="2">
        <f t="shared" si="122"/>
        <v>100</v>
      </c>
      <c r="AZ306" s="5">
        <f t="shared" si="123"/>
        <v>1.0408391003460207</v>
      </c>
      <c r="BA306">
        <f>Table8[[#This Row],[Model Score2]]</f>
        <v>5.0607910034602073</v>
      </c>
      <c r="BB306">
        <f>IFERROR(INDEX(Player_Model!$BG$2:$BG$596,MATCH($A306,Player_Model!$A$2:$A$596,0)),"")</f>
        <v>9</v>
      </c>
      <c r="BC306" t="str">
        <f t="shared" si="124"/>
        <v>CONSIDER</v>
      </c>
      <c r="BD306">
        <f>IF(H306=1,Table8[[#This Row],[Model Score]],-10000)</f>
        <v>5.0607910034602073</v>
      </c>
      <c r="BE306">
        <f>IFERROR(INDEX(Player_Model!$BF$2:$BF$596,MATCH($A306,Player_Model!$A$2:$A$596,0)),"")</f>
        <v>88</v>
      </c>
      <c r="BF306">
        <f>IFERROR(INDEX(Player_Model!$BG$2:$BG$596,MATCH($A306,Player_Model!$A$2:$A$596,0)),"")</f>
        <v>9</v>
      </c>
      <c r="BG306">
        <f>IFERROR(INDEX(Player_Model!$BE$2:$BE$596,MATCH($A306,Player_Model!$A$2:$A$596,0)),0)</f>
        <v>5.0607910034602073</v>
      </c>
    </row>
    <row r="307" spans="1:59" x14ac:dyDescent="0.25">
      <c r="A307" t="str">
        <f>tblPlayers[first_name]&amp;" "&amp;tblPlayers[second_name]</f>
        <v>César Palacios</v>
      </c>
      <c r="B307" t="str">
        <f>_xlfn.SWITCH(tblPlayers[element_type],1,"GK",2,"DEF",3,"MID",4,"FWD")</f>
        <v>MID</v>
      </c>
      <c r="C307">
        <f>tblPlayers[team]</f>
        <v>10</v>
      </c>
      <c r="D307" t="str">
        <f>INDEX(tblTeams[Column1.short_name],MATCH(C307,tblTeams[Column1.id],0))</f>
        <v>FUL</v>
      </c>
      <c r="E307" s="4">
        <f>INDEX(FPL_Raw_Data!$F:$F,MATCH(A307,FPL_Raw_Data!$AA:$AA,0))/10</f>
        <v>5.5</v>
      </c>
      <c r="F307" s="4" t="str">
        <f>tblPlayers[[#This Row],[status]]</f>
        <v>a</v>
      </c>
      <c r="G307" s="4" t="b">
        <f>tblPlayers[[#This Row],[can_select]]</f>
        <v>1</v>
      </c>
      <c r="H307">
        <f>IF(AND(Table8[[#This Row],[Availability Status]]="a",Table8[[#This Row],[Can Select]]=TRUE),1,0)</f>
        <v>1</v>
      </c>
      <c r="I307">
        <f>tblPlayers[minutes]</f>
        <v>207</v>
      </c>
      <c r="J307" s="2">
        <f>Table8[[#This Row],[Minutes]]/90</f>
        <v>2.2999999999999998</v>
      </c>
      <c r="K307" s="5">
        <f>IFERROR(Z307/(FIXTURE_ANALYSIS!$B$1-1),0)</f>
        <v>1</v>
      </c>
      <c r="L307">
        <f>tblPlayers[total_points]</f>
        <v>11</v>
      </c>
      <c r="M307">
        <f>tblPlayers[points_per_game]</f>
        <v>3.7</v>
      </c>
      <c r="N307">
        <f>tblPlayers[form]</f>
        <v>3.7</v>
      </c>
      <c r="O307">
        <f>tblPlayers[expected_goals]</f>
        <v>0.98</v>
      </c>
      <c r="P307">
        <f>tblPlayers[expected_assists]</f>
        <v>0.03</v>
      </c>
      <c r="Q307">
        <f>tblPlayers[expected_goal_involvements]</f>
        <v>1.01</v>
      </c>
      <c r="R307" s="2">
        <f t="shared" si="100"/>
        <v>4.7826086956521738</v>
      </c>
      <c r="S307" s="5">
        <f t="shared" si="101"/>
        <v>0.42608695652173911</v>
      </c>
      <c r="T307" s="5">
        <f t="shared" si="102"/>
        <v>1.3043478260869565E-2</v>
      </c>
      <c r="U307" s="5">
        <f t="shared" si="103"/>
        <v>0.43913043478260866</v>
      </c>
      <c r="V307" s="3">
        <f t="shared" si="104"/>
        <v>2</v>
      </c>
      <c r="W307" s="5">
        <f t="shared" si="105"/>
        <v>0.18363636363636363</v>
      </c>
      <c r="X307" s="5">
        <f>IFERROR(IF(OR($B307="MID",$B307="FWD"),INDEX(FIXTURE_ANALYSIS!$Q:$Q,MATCH($D307,FIXTURE_ANALYSIS!$A:$A,0)),INDEX(FIXTURE_ANALYSIS!$R:$R,MATCH($D307,FIXTURE_ANALYSIS!$A:$A,0))),1)</f>
        <v>1.0408391003460207</v>
      </c>
      <c r="Y307" s="5">
        <f t="shared" si="106"/>
        <v>1.0408391003460207</v>
      </c>
      <c r="Z307" s="8">
        <f>INDEX(FPL_Raw_Data!$T:$T,MATCH(A307,FPL_Raw_Data!$AA:$AA,0))</f>
        <v>3</v>
      </c>
      <c r="AA307" s="8">
        <f>INDEX(FPL_Raw_Data!$S:$S,MATCH(A307,FPL_Raw_Data!$AA:$AA,0))</f>
        <v>13</v>
      </c>
      <c r="AB307" s="2">
        <f t="shared" si="107"/>
        <v>1</v>
      </c>
      <c r="AC307" s="2">
        <f>INDEX(FPL_Raw_Data!$Q:$Q,MATCH(A307,FPL_Raw_Data!$AA:$AA,0))</f>
        <v>1</v>
      </c>
      <c r="AD307" s="8">
        <f>INDEX(FPL_Raw_Data!$R:$R,MATCH(A307,FPL_Raw_Data!$AA:$AA,0))</f>
        <v>43</v>
      </c>
      <c r="AE307" s="8">
        <f>INDEX(FPL_Raw_Data!$N:$N,MATCH(A307,FPL_Raw_Data!$AA:$AA,0))</f>
        <v>0</v>
      </c>
      <c r="AF307" s="8">
        <f>INDEX(FPL_Raw_Data!$L:$L,MATCH(A307,FPL_Raw_Data!$AA:$AA,0))</f>
        <v>1</v>
      </c>
      <c r="AG307" s="2">
        <f>INDEX(FPL_Raw_Data!$M:$M,MATCH(A307,FPL_Raw_Data!$AA:$AA,0))</f>
        <v>0</v>
      </c>
      <c r="AH307" s="2">
        <f t="shared" si="108"/>
        <v>2.1304347826086953</v>
      </c>
      <c r="AI307" s="2">
        <f t="shared" si="109"/>
        <v>3.9130434782608692E-2</v>
      </c>
      <c r="AJ307" s="2">
        <f t="shared" si="110"/>
        <v>2</v>
      </c>
      <c r="AK307" s="2">
        <f t="shared" si="111"/>
        <v>2</v>
      </c>
      <c r="AL307" s="2">
        <f t="shared" si="112"/>
        <v>0</v>
      </c>
      <c r="AM307" s="2">
        <f t="shared" si="113"/>
        <v>0</v>
      </c>
      <c r="AN307" s="2">
        <f t="shared" si="114"/>
        <v>0.33333333333333331</v>
      </c>
      <c r="AO307" s="3">
        <f t="shared" si="115"/>
        <v>74.5</v>
      </c>
      <c r="AP307">
        <f t="shared" si="116"/>
        <v>90.5</v>
      </c>
      <c r="AQ307">
        <f t="shared" si="117"/>
        <v>85.5</v>
      </c>
      <c r="AR307">
        <f t="shared" si="118"/>
        <v>93.600000000000009</v>
      </c>
      <c r="AS307" s="2">
        <f t="shared" si="119"/>
        <v>100</v>
      </c>
      <c r="AT307" s="2">
        <f>IFERROR(INDEX(Player_Model!$BC$2:$BC$596,MATCH($A307,Player_Model!$A$2:$A$596,0)),0)</f>
        <v>5.3203471114788616</v>
      </c>
      <c r="AU307" s="2">
        <f>Table8[[#This Row],[Model Expected Points]]*Table8[[#This Row],[Fixture Adjustment]]</f>
        <v>5.5376253010402081</v>
      </c>
      <c r="AV307" s="2">
        <f>Table8[[#This Row],[Fixture Adjusted Points / 90]]/Table8[[#This Row],[Price]]</f>
        <v>1.0068409638254925</v>
      </c>
      <c r="AW307">
        <f t="shared" si="120"/>
        <v>82.5</v>
      </c>
      <c r="AX307">
        <f t="shared" si="121"/>
        <v>1</v>
      </c>
      <c r="AY307" s="2">
        <f t="shared" si="122"/>
        <v>100</v>
      </c>
      <c r="AZ307" s="5">
        <f t="shared" si="123"/>
        <v>1.0408391003460207</v>
      </c>
      <c r="BA307">
        <f>Table8[[#This Row],[Model Score2]]</f>
        <v>5.3203471114788616</v>
      </c>
      <c r="BB307">
        <f>IFERROR(INDEX(Player_Model!$BG$2:$BG$596,MATCH($A307,Player_Model!$A$2:$A$596,0)),"")</f>
        <v>34</v>
      </c>
      <c r="BC307" t="str">
        <f t="shared" si="124"/>
        <v>AVOID</v>
      </c>
      <c r="BD307">
        <f>IF(H307=1,Table8[[#This Row],[Model Score]],-10000)</f>
        <v>5.3203471114788616</v>
      </c>
      <c r="BE307">
        <f>IFERROR(INDEX(Player_Model!$BF$2:$BF$596,MATCH($A307,Player_Model!$A$2:$A$596,0)),"")</f>
        <v>75</v>
      </c>
      <c r="BF307">
        <f>IFERROR(INDEX(Player_Model!$BG$2:$BG$596,MATCH($A307,Player_Model!$A$2:$A$596,0)),"")</f>
        <v>34</v>
      </c>
      <c r="BG307">
        <f>IFERROR(INDEX(Player_Model!$BE$2:$BE$596,MATCH($A307,Player_Model!$A$2:$A$596,0)),0)</f>
        <v>5.3203471114788616</v>
      </c>
    </row>
    <row r="308" spans="1:59" x14ac:dyDescent="0.25">
      <c r="A308" t="str">
        <f>tblPlayers[first_name]&amp;" "&amp;tblPlayers[second_name]</f>
        <v>Shea Charles</v>
      </c>
      <c r="B308" t="str">
        <f>_xlfn.SWITCH(tblPlayers[element_type],1,"GK",2,"DEF",3,"MID",4,"FWD")</f>
        <v>MID</v>
      </c>
      <c r="C308">
        <f>tblPlayers[team]</f>
        <v>10</v>
      </c>
      <c r="D308" t="str">
        <f>INDEX(tblTeams[Column1.short_name],MATCH(C308,tblTeams[Column1.id],0))</f>
        <v>FUL</v>
      </c>
      <c r="E308" s="4">
        <f>INDEX(FPL_Raw_Data!$F:$F,MATCH(A308,FPL_Raw_Data!$AA:$AA,0))/10</f>
        <v>5</v>
      </c>
      <c r="F308" s="4" t="str">
        <f>tblPlayers[[#This Row],[status]]</f>
        <v>a</v>
      </c>
      <c r="G308" s="4" t="b">
        <f>tblPlayers[[#This Row],[can_select]]</f>
        <v>1</v>
      </c>
      <c r="H308">
        <f>IF(AND(Table8[[#This Row],[Availability Status]]="a",Table8[[#This Row],[Can Select]]=TRUE),1,0)</f>
        <v>1</v>
      </c>
      <c r="I308">
        <f>tblPlayers[minutes]</f>
        <v>123</v>
      </c>
      <c r="J308" s="2">
        <f>Table8[[#This Row],[Minutes]]/90</f>
        <v>1.3666666666666667</v>
      </c>
      <c r="K308" s="5">
        <f>IFERROR(Z308/(FIXTURE_ANALYSIS!$B$1-1),0)</f>
        <v>0.33333333333333331</v>
      </c>
      <c r="L308">
        <f>tblPlayers[total_points]</f>
        <v>4</v>
      </c>
      <c r="M308">
        <f>tblPlayers[points_per_game]</f>
        <v>1.3</v>
      </c>
      <c r="N308">
        <f>tblPlayers[form]</f>
        <v>1.3</v>
      </c>
      <c r="O308">
        <f>tblPlayers[expected_goals]</f>
        <v>0.09</v>
      </c>
      <c r="P308">
        <f>tblPlayers[expected_assists]</f>
        <v>0.12</v>
      </c>
      <c r="Q308">
        <f>tblPlayers[expected_goal_involvements]</f>
        <v>0.21</v>
      </c>
      <c r="R308" s="2">
        <f t="shared" si="100"/>
        <v>2.9268292682926833</v>
      </c>
      <c r="S308" s="5">
        <f t="shared" si="101"/>
        <v>6.5853658536585369E-2</v>
      </c>
      <c r="T308" s="5">
        <f t="shared" si="102"/>
        <v>8.7804878048780483E-2</v>
      </c>
      <c r="U308" s="5">
        <f t="shared" si="103"/>
        <v>0.15365853658536585</v>
      </c>
      <c r="V308" s="3">
        <f t="shared" si="104"/>
        <v>0.8</v>
      </c>
      <c r="W308" s="5">
        <f t="shared" si="105"/>
        <v>4.1999999999999996E-2</v>
      </c>
      <c r="X308" s="5">
        <f>IFERROR(IF(OR($B308="MID",$B308="FWD"),INDEX(FIXTURE_ANALYSIS!$Q:$Q,MATCH($D308,FIXTURE_ANALYSIS!$A:$A,0)),INDEX(FIXTURE_ANALYSIS!$R:$R,MATCH($D308,FIXTURE_ANALYSIS!$A:$A,0))),1)</f>
        <v>1.0408391003460207</v>
      </c>
      <c r="Y308" s="5">
        <f t="shared" si="106"/>
        <v>1.0408391003460207</v>
      </c>
      <c r="Z308" s="8">
        <f>INDEX(FPL_Raw_Data!$T:$T,MATCH(A308,FPL_Raw_Data!$AA:$AA,0))</f>
        <v>1</v>
      </c>
      <c r="AA308" s="8">
        <f>INDEX(FPL_Raw_Data!$S:$S,MATCH(A308,FPL_Raw_Data!$AA:$AA,0))</f>
        <v>16</v>
      </c>
      <c r="AB308" s="2">
        <f t="shared" si="107"/>
        <v>1</v>
      </c>
      <c r="AC308" s="2">
        <f>INDEX(FPL_Raw_Data!$Q:$Q,MATCH(A308,FPL_Raw_Data!$AA:$AA,0))</f>
        <v>0</v>
      </c>
      <c r="AD308" s="8">
        <f>INDEX(FPL_Raw_Data!$R:$R,MATCH(A308,FPL_Raw_Data!$AA:$AA,0))</f>
        <v>25</v>
      </c>
      <c r="AE308" s="8">
        <f>INDEX(FPL_Raw_Data!$N:$N,MATCH(A308,FPL_Raw_Data!$AA:$AA,0))</f>
        <v>0</v>
      </c>
      <c r="AF308" s="8">
        <f>INDEX(FPL_Raw_Data!$L:$L,MATCH(A308,FPL_Raw_Data!$AA:$AA,0))</f>
        <v>0</v>
      </c>
      <c r="AG308" s="2">
        <f>INDEX(FPL_Raw_Data!$M:$M,MATCH(A308,FPL_Raw_Data!$AA:$AA,0))</f>
        <v>0</v>
      </c>
      <c r="AH308" s="2">
        <f t="shared" si="108"/>
        <v>0.32926829268292684</v>
      </c>
      <c r="AI308" s="2">
        <f t="shared" si="109"/>
        <v>0.26341463414634148</v>
      </c>
      <c r="AJ308" s="2">
        <f t="shared" si="110"/>
        <v>0.66666666666666663</v>
      </c>
      <c r="AK308" s="2">
        <f t="shared" si="111"/>
        <v>2</v>
      </c>
      <c r="AL308" s="2">
        <f t="shared" si="112"/>
        <v>0</v>
      </c>
      <c r="AM308" s="2">
        <f t="shared" si="113"/>
        <v>0</v>
      </c>
      <c r="AN308" s="2">
        <f t="shared" si="114"/>
        <v>0</v>
      </c>
      <c r="AO308" s="3">
        <f t="shared" si="115"/>
        <v>57.699999999999996</v>
      </c>
      <c r="AP308">
        <f t="shared" si="116"/>
        <v>72.7</v>
      </c>
      <c r="AQ308">
        <f t="shared" si="117"/>
        <v>65.3</v>
      </c>
      <c r="AR308">
        <f t="shared" si="118"/>
        <v>73.5</v>
      </c>
      <c r="AS308" s="2">
        <f t="shared" si="119"/>
        <v>33.333333333333329</v>
      </c>
      <c r="AT308" s="2">
        <f>IFERROR(INDEX(Player_Model!$BC$2:$BC$596,MATCH($A308,Player_Model!$A$2:$A$596,0)),0)</f>
        <v>3.1942739002879734</v>
      </c>
      <c r="AU308" s="2">
        <f>Table8[[#This Row],[Model Expected Points]]*Table8[[#This Row],[Fixture Adjustment]]</f>
        <v>3.3247251726345088</v>
      </c>
      <c r="AV308" s="2">
        <f>Table8[[#This Row],[Fixture Adjusted Points / 90]]/Table8[[#This Row],[Price]]</f>
        <v>0.66494503452690179</v>
      </c>
      <c r="AW308">
        <f t="shared" si="120"/>
        <v>65.2</v>
      </c>
      <c r="AX308">
        <f t="shared" si="121"/>
        <v>1</v>
      </c>
      <c r="AY308" s="2">
        <f t="shared" si="122"/>
        <v>33.333333333333329</v>
      </c>
      <c r="AZ308" s="5">
        <f t="shared" si="123"/>
        <v>1.0408391003460207</v>
      </c>
      <c r="BA308">
        <f>Table8[[#This Row],[Model Score2]]</f>
        <v>3.1942739002879734</v>
      </c>
      <c r="BB308">
        <f>IFERROR(INDEX(Player_Model!$BG$2:$BG$596,MATCH($A308,Player_Model!$A$2:$A$596,0)),"")</f>
        <v>102</v>
      </c>
      <c r="BC308" t="str">
        <f t="shared" si="124"/>
        <v>AVOID</v>
      </c>
      <c r="BD308">
        <f>IF(H308=1,Table8[[#This Row],[Model Score]],-10000)</f>
        <v>3.1942739002879734</v>
      </c>
      <c r="BE308">
        <f>IFERROR(INDEX(Player_Model!$BF$2:$BF$596,MATCH($A308,Player_Model!$A$2:$A$596,0)),"")</f>
        <v>194</v>
      </c>
      <c r="BF308">
        <f>IFERROR(INDEX(Player_Model!$BG$2:$BG$596,MATCH($A308,Player_Model!$A$2:$A$596,0)),"")</f>
        <v>102</v>
      </c>
      <c r="BG308">
        <f>IFERROR(INDEX(Player_Model!$BE$2:$BE$596,MATCH($A308,Player_Model!$A$2:$A$596,0)),0)</f>
        <v>3.1942739002879734</v>
      </c>
    </row>
    <row r="309" spans="1:59" x14ac:dyDescent="0.25">
      <c r="A309" t="str">
        <f>tblPlayers[first_name]&amp;" "&amp;tblPlayers[second_name]</f>
        <v>Luc De Fougerolles</v>
      </c>
      <c r="B309" t="str">
        <f>_xlfn.SWITCH(tblPlayers[element_type],1,"GK",2,"DEF",3,"MID",4,"FWD")</f>
        <v>DEF</v>
      </c>
      <c r="C309">
        <f>tblPlayers[team]</f>
        <v>10</v>
      </c>
      <c r="D309" t="str">
        <f>INDEX(tblTeams[Column1.short_name],MATCH(C309,tblTeams[Column1.id],0))</f>
        <v>FUL</v>
      </c>
      <c r="E309" s="4">
        <f>INDEX(FPL_Raw_Data!$F:$F,MATCH(A309,FPL_Raw_Data!$AA:$AA,0))/10</f>
        <v>4</v>
      </c>
      <c r="F309" s="4" t="str">
        <f>tblPlayers[[#This Row],[status]]</f>
        <v>d</v>
      </c>
      <c r="G309" s="4" t="b">
        <f>tblPlayers[[#This Row],[can_select]]</f>
        <v>1</v>
      </c>
      <c r="H309">
        <f>IF(AND(Table8[[#This Row],[Availability Status]]="a",Table8[[#This Row],[Can Select]]=TRUE),1,0)</f>
        <v>0</v>
      </c>
      <c r="I309">
        <f>tblPlayers[minutes]</f>
        <v>0</v>
      </c>
      <c r="J309" s="2">
        <f>Table8[[#This Row],[Minutes]]/90</f>
        <v>0</v>
      </c>
      <c r="K309" s="5">
        <f>IFERROR(Z309/(FIXTURE_ANALYSIS!$B$1-1),0)</f>
        <v>0</v>
      </c>
      <c r="L309">
        <f>tblPlayers[total_points]</f>
        <v>0</v>
      </c>
      <c r="M309">
        <f>tblPlayers[points_per_game]</f>
        <v>0</v>
      </c>
      <c r="N309">
        <f>tblPlayers[form]</f>
        <v>0</v>
      </c>
      <c r="O309">
        <f>tblPlayers[expected_goals]</f>
        <v>0</v>
      </c>
      <c r="P309">
        <f>tblPlayers[expected_assists]</f>
        <v>0</v>
      </c>
      <c r="Q309">
        <f>tblPlayers[expected_goal_involvements]</f>
        <v>0</v>
      </c>
      <c r="R309" s="2">
        <f t="shared" si="100"/>
        <v>0</v>
      </c>
      <c r="S309" s="5">
        <f t="shared" si="101"/>
        <v>0</v>
      </c>
      <c r="T309" s="5">
        <f t="shared" si="102"/>
        <v>0</v>
      </c>
      <c r="U309" s="5">
        <f t="shared" si="103"/>
        <v>0</v>
      </c>
      <c r="V309" s="3">
        <f t="shared" si="104"/>
        <v>0</v>
      </c>
      <c r="W309" s="5">
        <f t="shared" si="105"/>
        <v>0</v>
      </c>
      <c r="X309" s="5">
        <f>IFERROR(IF(OR($B309="MID",$B309="FWD"),INDEX(FIXTURE_ANALYSIS!$Q:$Q,MATCH($D309,FIXTURE_ANALYSIS!$A:$A,0)),INDEX(FIXTURE_ANALYSIS!$R:$R,MATCH($D309,FIXTURE_ANALYSIS!$A:$A,0))),1)</f>
        <v>0.85287356321839092</v>
      </c>
      <c r="Y309" s="5">
        <f t="shared" si="106"/>
        <v>0.85287356321839092</v>
      </c>
      <c r="Z309" s="8">
        <f>INDEX(FPL_Raw_Data!$T:$T,MATCH(A309,FPL_Raw_Data!$AA:$AA,0))</f>
        <v>0</v>
      </c>
      <c r="AA309" s="8">
        <f>INDEX(FPL_Raw_Data!$S:$S,MATCH(A309,FPL_Raw_Data!$AA:$AA,0))</f>
        <v>0</v>
      </c>
      <c r="AB309" s="2">
        <f t="shared" si="107"/>
        <v>0</v>
      </c>
      <c r="AC309" s="2">
        <f>INDEX(FPL_Raw_Data!$Q:$Q,MATCH(A309,FPL_Raw_Data!$AA:$AA,0))</f>
        <v>0</v>
      </c>
      <c r="AD309" s="8">
        <f>INDEX(FPL_Raw_Data!$R:$R,MATCH(A309,FPL_Raw_Data!$AA:$AA,0))</f>
        <v>0</v>
      </c>
      <c r="AE309" s="8">
        <f>INDEX(FPL_Raw_Data!$N:$N,MATCH(A309,FPL_Raw_Data!$AA:$AA,0))</f>
        <v>0</v>
      </c>
      <c r="AF309" s="8">
        <f>INDEX(FPL_Raw_Data!$L:$L,MATCH(A309,FPL_Raw_Data!$AA:$AA,0))</f>
        <v>0</v>
      </c>
      <c r="AG309" s="2">
        <f>INDEX(FPL_Raw_Data!$M:$M,MATCH(A309,FPL_Raw_Data!$AA:$AA,0))</f>
        <v>0</v>
      </c>
      <c r="AH309" s="2">
        <f t="shared" si="108"/>
        <v>0</v>
      </c>
      <c r="AI309" s="2">
        <f t="shared" si="109"/>
        <v>0</v>
      </c>
      <c r="AJ309" s="2">
        <f t="shared" si="110"/>
        <v>0</v>
      </c>
      <c r="AK309" s="2">
        <f t="shared" si="111"/>
        <v>0</v>
      </c>
      <c r="AL309" s="2">
        <f t="shared" si="112"/>
        <v>0</v>
      </c>
      <c r="AM309" s="2">
        <f t="shared" si="113"/>
        <v>0</v>
      </c>
      <c r="AN309" s="2">
        <f t="shared" si="114"/>
        <v>0</v>
      </c>
      <c r="AO309" s="3">
        <f t="shared" si="115"/>
        <v>0.1</v>
      </c>
      <c r="AP309">
        <f t="shared" si="116"/>
        <v>0</v>
      </c>
      <c r="AQ309">
        <f t="shared" si="117"/>
        <v>0.1</v>
      </c>
      <c r="AR309">
        <f t="shared" si="118"/>
        <v>0</v>
      </c>
      <c r="AS309" s="2">
        <f t="shared" si="119"/>
        <v>0</v>
      </c>
      <c r="AT309" s="2">
        <f>IFERROR(INDEX(Player_Model!$BC$2:$BC$596,MATCH($A309,Player_Model!$A$2:$A$596,0)),0)</f>
        <v>-0.99501915708812283</v>
      </c>
      <c r="AU309" s="2">
        <f>Table8[[#This Row],[Model Expected Points]]*Table8[[#This Row],[Fixture Adjustment]]</f>
        <v>-0.84862553397630713</v>
      </c>
      <c r="AV309" s="2">
        <f>Table8[[#This Row],[Fixture Adjusted Points / 90]]/Table8[[#This Row],[Price]]</f>
        <v>-0.21215638349407678</v>
      </c>
      <c r="AW309">
        <f t="shared" si="120"/>
        <v>0</v>
      </c>
      <c r="AX309">
        <f t="shared" si="121"/>
        <v>0.42643678160919546</v>
      </c>
      <c r="AY309" s="2">
        <f t="shared" si="122"/>
        <v>0</v>
      </c>
      <c r="AZ309" s="5">
        <f t="shared" si="123"/>
        <v>0.85287356321839092</v>
      </c>
      <c r="BA309">
        <f>Table8[[#This Row],[Model Score2]]</f>
        <v>-0.99501915708812283</v>
      </c>
      <c r="BB309">
        <f>IFERROR(INDEX(Player_Model!$BG$2:$BG$596,MATCH($A309,Player_Model!$A$2:$A$596,0)),"")</f>
        <v>176</v>
      </c>
      <c r="BC309" t="str">
        <f t="shared" si="124"/>
        <v>AVOID</v>
      </c>
      <c r="BD309">
        <f>IF(H309=1,Table8[[#This Row],[Model Score]],-10000)</f>
        <v>-10000</v>
      </c>
      <c r="BE309">
        <f>IFERROR(INDEX(Player_Model!$BF$2:$BF$596,MATCH($A309,Player_Model!$A$2:$A$596,0)),"")</f>
        <v>577</v>
      </c>
      <c r="BF309">
        <f>IFERROR(INDEX(Player_Model!$BG$2:$BG$596,MATCH($A309,Player_Model!$A$2:$A$596,0)),"")</f>
        <v>176</v>
      </c>
      <c r="BG309">
        <f>IFERROR(INDEX(Player_Model!$BE$2:$BE$596,MATCH($A309,Player_Model!$A$2:$A$596,0)),0)</f>
        <v>-0.99501915708812283</v>
      </c>
    </row>
    <row r="310" spans="1:59" x14ac:dyDescent="0.25">
      <c r="A310" t="str">
        <f>tblPlayers[first_name]&amp;" "&amp;tblPlayers[second_name]</f>
        <v>Macauley Zepa</v>
      </c>
      <c r="B310" t="str">
        <f>_xlfn.SWITCH(tblPlayers[element_type],1,"GK",2,"DEF",3,"MID",4,"FWD")</f>
        <v>MID</v>
      </c>
      <c r="C310">
        <f>tblPlayers[team]</f>
        <v>10</v>
      </c>
      <c r="D310" t="str">
        <f>INDEX(tblTeams[Column1.short_name],MATCH(C310,tblTeams[Column1.id],0))</f>
        <v>FUL</v>
      </c>
      <c r="E310" s="4">
        <f>INDEX(FPL_Raw_Data!$F:$F,MATCH(A310,FPL_Raw_Data!$AA:$AA,0))/10</f>
        <v>4.5</v>
      </c>
      <c r="F310" s="4" t="str">
        <f>tblPlayers[[#This Row],[status]]</f>
        <v>a</v>
      </c>
      <c r="G310" s="4" t="b">
        <f>tblPlayers[[#This Row],[can_select]]</f>
        <v>1</v>
      </c>
      <c r="H310">
        <f>IF(AND(Table8[[#This Row],[Availability Status]]="a",Table8[[#This Row],[Can Select]]=TRUE),1,0)</f>
        <v>1</v>
      </c>
      <c r="I310">
        <f>tblPlayers[minutes]</f>
        <v>0</v>
      </c>
      <c r="J310" s="2">
        <f>Table8[[#This Row],[Minutes]]/90</f>
        <v>0</v>
      </c>
      <c r="K310" s="5">
        <f>IFERROR(Z310/(FIXTURE_ANALYSIS!$B$1-1),0)</f>
        <v>0</v>
      </c>
      <c r="L310">
        <f>tblPlayers[total_points]</f>
        <v>0</v>
      </c>
      <c r="M310">
        <f>tblPlayers[points_per_game]</f>
        <v>0</v>
      </c>
      <c r="N310">
        <f>tblPlayers[form]</f>
        <v>0</v>
      </c>
      <c r="O310">
        <f>tblPlayers[expected_goals]</f>
        <v>0</v>
      </c>
      <c r="P310">
        <f>tblPlayers[expected_assists]</f>
        <v>0</v>
      </c>
      <c r="Q310">
        <f>tblPlayers[expected_goal_involvements]</f>
        <v>0</v>
      </c>
      <c r="R310" s="2">
        <f t="shared" si="100"/>
        <v>0</v>
      </c>
      <c r="S310" s="5">
        <f t="shared" si="101"/>
        <v>0</v>
      </c>
      <c r="T310" s="5">
        <f t="shared" si="102"/>
        <v>0</v>
      </c>
      <c r="U310" s="5">
        <f t="shared" si="103"/>
        <v>0</v>
      </c>
      <c r="V310" s="3">
        <f t="shared" si="104"/>
        <v>0</v>
      </c>
      <c r="W310" s="5">
        <f t="shared" si="105"/>
        <v>0</v>
      </c>
      <c r="X310" s="5">
        <f>IFERROR(IF(OR($B310="MID",$B310="FWD"),INDEX(FIXTURE_ANALYSIS!$Q:$Q,MATCH($D310,FIXTURE_ANALYSIS!$A:$A,0)),INDEX(FIXTURE_ANALYSIS!$R:$R,MATCH($D310,FIXTURE_ANALYSIS!$A:$A,0))),1)</f>
        <v>1.0408391003460207</v>
      </c>
      <c r="Y310" s="5">
        <f t="shared" si="106"/>
        <v>1.0408391003460207</v>
      </c>
      <c r="Z310" s="8">
        <f>INDEX(FPL_Raw_Data!$T:$T,MATCH(A310,FPL_Raw_Data!$AA:$AA,0))</f>
        <v>0</v>
      </c>
      <c r="AA310" s="8">
        <f>INDEX(FPL_Raw_Data!$S:$S,MATCH(A310,FPL_Raw_Data!$AA:$AA,0))</f>
        <v>0</v>
      </c>
      <c r="AB310" s="2">
        <f t="shared" si="107"/>
        <v>0</v>
      </c>
      <c r="AC310" s="2">
        <f>INDEX(FPL_Raw_Data!$Q:$Q,MATCH(A310,FPL_Raw_Data!$AA:$AA,0))</f>
        <v>0</v>
      </c>
      <c r="AD310" s="8">
        <f>INDEX(FPL_Raw_Data!$R:$R,MATCH(A310,FPL_Raw_Data!$AA:$AA,0))</f>
        <v>0</v>
      </c>
      <c r="AE310" s="8">
        <f>INDEX(FPL_Raw_Data!$N:$N,MATCH(A310,FPL_Raw_Data!$AA:$AA,0))</f>
        <v>0</v>
      </c>
      <c r="AF310" s="8">
        <f>INDEX(FPL_Raw_Data!$L:$L,MATCH(A310,FPL_Raw_Data!$AA:$AA,0))</f>
        <v>0</v>
      </c>
      <c r="AG310" s="2">
        <f>INDEX(FPL_Raw_Data!$M:$M,MATCH(A310,FPL_Raw_Data!$AA:$AA,0))</f>
        <v>0</v>
      </c>
      <c r="AH310" s="2">
        <f t="shared" si="108"/>
        <v>0</v>
      </c>
      <c r="AI310" s="2">
        <f t="shared" si="109"/>
        <v>0</v>
      </c>
      <c r="AJ310" s="2">
        <f t="shared" si="110"/>
        <v>0</v>
      </c>
      <c r="AK310" s="2">
        <f t="shared" si="111"/>
        <v>0</v>
      </c>
      <c r="AL310" s="2">
        <f t="shared" si="112"/>
        <v>0</v>
      </c>
      <c r="AM310" s="2">
        <f t="shared" si="113"/>
        <v>0</v>
      </c>
      <c r="AN310" s="2">
        <f t="shared" si="114"/>
        <v>0</v>
      </c>
      <c r="AO310" s="3">
        <f t="shared" si="115"/>
        <v>0.1</v>
      </c>
      <c r="AP310">
        <f t="shared" si="116"/>
        <v>0</v>
      </c>
      <c r="AQ310">
        <f t="shared" si="117"/>
        <v>0.1</v>
      </c>
      <c r="AR310">
        <f t="shared" si="118"/>
        <v>0</v>
      </c>
      <c r="AS310" s="2">
        <f t="shared" si="119"/>
        <v>0</v>
      </c>
      <c r="AT310" s="2">
        <f>IFERROR(INDEX(Player_Model!$BC$2:$BC$596,MATCH($A310,Player_Model!$A$2:$A$596,0)),0)</f>
        <v>0</v>
      </c>
      <c r="AU310" s="2">
        <f>Table8[[#This Row],[Model Expected Points]]*Table8[[#This Row],[Fixture Adjustment]]</f>
        <v>0</v>
      </c>
      <c r="AV310" s="2">
        <f>Table8[[#This Row],[Fixture Adjusted Points / 90]]/Table8[[#This Row],[Price]]</f>
        <v>0</v>
      </c>
      <c r="AW310">
        <f t="shared" si="120"/>
        <v>0.05</v>
      </c>
      <c r="AX310">
        <f t="shared" si="121"/>
        <v>0</v>
      </c>
      <c r="AY310" s="2">
        <f t="shared" si="122"/>
        <v>0</v>
      </c>
      <c r="AZ310" s="5">
        <f t="shared" si="123"/>
        <v>1.0408391003460207</v>
      </c>
      <c r="BA310">
        <f>Table8[[#This Row],[Model Score2]]</f>
        <v>0</v>
      </c>
      <c r="BB310">
        <f>IFERROR(INDEX(Player_Model!$BG$2:$BG$596,MATCH($A310,Player_Model!$A$2:$A$596,0)),"")</f>
        <v>189</v>
      </c>
      <c r="BC310" t="str">
        <f t="shared" si="124"/>
        <v>AVOID</v>
      </c>
      <c r="BD310">
        <f>IF(H310=1,Table8[[#This Row],[Model Score]],-10000)</f>
        <v>0</v>
      </c>
      <c r="BE310">
        <f>IFERROR(INDEX(Player_Model!$BF$2:$BF$596,MATCH($A310,Player_Model!$A$2:$A$596,0)),"")</f>
        <v>253</v>
      </c>
      <c r="BF310">
        <f>IFERROR(INDEX(Player_Model!$BG$2:$BG$596,MATCH($A310,Player_Model!$A$2:$A$596,0)),"")</f>
        <v>189</v>
      </c>
      <c r="BG310">
        <f>IFERROR(INDEX(Player_Model!$BE$2:$BE$596,MATCH($A310,Player_Model!$A$2:$A$596,0)),0)</f>
        <v>0</v>
      </c>
    </row>
    <row r="311" spans="1:59" x14ac:dyDescent="0.25">
      <c r="A311" t="str">
        <f>tblPlayers[first_name]&amp;" "&amp;tblPlayers[second_name]</f>
        <v>Hugo Larsson</v>
      </c>
      <c r="B311" t="str">
        <f>_xlfn.SWITCH(tblPlayers[element_type],1,"GK",2,"DEF",3,"MID",4,"FWD")</f>
        <v>MID</v>
      </c>
      <c r="C311">
        <f>tblPlayers[team]</f>
        <v>10</v>
      </c>
      <c r="D311" t="str">
        <f>INDEX(tblTeams[Column1.short_name],MATCH(C311,tblTeams[Column1.id],0))</f>
        <v>FUL</v>
      </c>
      <c r="E311" s="4">
        <f>INDEX(FPL_Raw_Data!$F:$F,MATCH(A311,FPL_Raw_Data!$AA:$AA,0))/10</f>
        <v>5</v>
      </c>
      <c r="F311" s="4" t="str">
        <f>tblPlayers[[#This Row],[status]]</f>
        <v>a</v>
      </c>
      <c r="G311" s="4" t="b">
        <f>tblPlayers[[#This Row],[can_select]]</f>
        <v>1</v>
      </c>
      <c r="H311">
        <f>IF(AND(Table8[[#This Row],[Availability Status]]="a",Table8[[#This Row],[Can Select]]=TRUE),1,0)</f>
        <v>1</v>
      </c>
      <c r="I311">
        <f>tblPlayers[minutes]</f>
        <v>11</v>
      </c>
      <c r="J311" s="2">
        <f>Table8[[#This Row],[Minutes]]/90</f>
        <v>0.12222222222222222</v>
      </c>
      <c r="K311" s="5">
        <f>IFERROR(Z311/(FIXTURE_ANALYSIS!$B$1-1),0)</f>
        <v>0</v>
      </c>
      <c r="L311">
        <f>tblPlayers[total_points]</f>
        <v>1</v>
      </c>
      <c r="M311">
        <f>tblPlayers[points_per_game]</f>
        <v>1</v>
      </c>
      <c r="N311">
        <f>tblPlayers[form]</f>
        <v>1</v>
      </c>
      <c r="O311">
        <f>tblPlayers[expected_goals]</f>
        <v>0.13</v>
      </c>
      <c r="P311">
        <f>tblPlayers[expected_assists]</f>
        <v>0.22</v>
      </c>
      <c r="Q311">
        <f>tblPlayers[expected_goal_involvements]</f>
        <v>0.35</v>
      </c>
      <c r="R311" s="2">
        <f t="shared" si="100"/>
        <v>8.1818181818181817</v>
      </c>
      <c r="S311" s="5">
        <f t="shared" si="101"/>
        <v>1.0636363636363637</v>
      </c>
      <c r="T311" s="5">
        <f t="shared" si="102"/>
        <v>1.8</v>
      </c>
      <c r="U311" s="5">
        <f t="shared" si="103"/>
        <v>2.8636363636363633</v>
      </c>
      <c r="V311" s="3">
        <f t="shared" si="104"/>
        <v>0.2</v>
      </c>
      <c r="W311" s="5">
        <f t="shared" si="105"/>
        <v>6.9999999999999993E-2</v>
      </c>
      <c r="X311" s="5">
        <f>IFERROR(IF(OR($B311="MID",$B311="FWD"),INDEX(FIXTURE_ANALYSIS!$Q:$Q,MATCH($D311,FIXTURE_ANALYSIS!$A:$A,0)),INDEX(FIXTURE_ANALYSIS!$R:$R,MATCH($D311,FIXTURE_ANALYSIS!$A:$A,0))),1)</f>
        <v>1.0408391003460207</v>
      </c>
      <c r="Y311" s="5">
        <f t="shared" si="106"/>
        <v>1.0408391003460207</v>
      </c>
      <c r="Z311" s="8">
        <f>INDEX(FPL_Raw_Data!$T:$T,MATCH(A311,FPL_Raw_Data!$AA:$AA,0))</f>
        <v>0</v>
      </c>
      <c r="AA311" s="8">
        <f>INDEX(FPL_Raw_Data!$S:$S,MATCH(A311,FPL_Raw_Data!$AA:$AA,0))</f>
        <v>1</v>
      </c>
      <c r="AB311" s="2">
        <f t="shared" si="107"/>
        <v>8.3333333333333329E-2</v>
      </c>
      <c r="AC311" s="2">
        <f>INDEX(FPL_Raw_Data!$Q:$Q,MATCH(A311,FPL_Raw_Data!$AA:$AA,0))</f>
        <v>0</v>
      </c>
      <c r="AD311" s="8">
        <f>INDEX(FPL_Raw_Data!$R:$R,MATCH(A311,FPL_Raw_Data!$AA:$AA,0))</f>
        <v>3</v>
      </c>
      <c r="AE311" s="8">
        <f>INDEX(FPL_Raw_Data!$N:$N,MATCH(A311,FPL_Raw_Data!$AA:$AA,0))</f>
        <v>0</v>
      </c>
      <c r="AF311" s="8">
        <f>INDEX(FPL_Raw_Data!$L:$L,MATCH(A311,FPL_Raw_Data!$AA:$AA,0))</f>
        <v>0</v>
      </c>
      <c r="AG311" s="2">
        <f>INDEX(FPL_Raw_Data!$M:$M,MATCH(A311,FPL_Raw_Data!$AA:$AA,0))</f>
        <v>0</v>
      </c>
      <c r="AH311" s="2">
        <f t="shared" si="108"/>
        <v>5.3181818181818183</v>
      </c>
      <c r="AI311" s="2">
        <f t="shared" si="109"/>
        <v>5.4</v>
      </c>
      <c r="AJ311" s="2">
        <f t="shared" si="110"/>
        <v>0</v>
      </c>
      <c r="AK311" s="2">
        <f t="shared" si="111"/>
        <v>0.16666666666666666</v>
      </c>
      <c r="AL311" s="2">
        <f t="shared" si="112"/>
        <v>0</v>
      </c>
      <c r="AM311" s="2">
        <f t="shared" si="113"/>
        <v>0</v>
      </c>
      <c r="AN311" s="2">
        <f t="shared" si="114"/>
        <v>0</v>
      </c>
      <c r="AO311" s="3">
        <f t="shared" si="115"/>
        <v>89.8</v>
      </c>
      <c r="AP311">
        <f t="shared" si="116"/>
        <v>100</v>
      </c>
      <c r="AQ311">
        <f t="shared" si="117"/>
        <v>44.4</v>
      </c>
      <c r="AR311">
        <f t="shared" si="118"/>
        <v>79.7</v>
      </c>
      <c r="AS311" s="2">
        <f t="shared" si="119"/>
        <v>0</v>
      </c>
      <c r="AT311" s="2">
        <f>IFERROR(INDEX(Player_Model!$BC$2:$BC$596,MATCH($A311,Player_Model!$A$2:$A$596,0)),0)</f>
        <v>0</v>
      </c>
      <c r="AU311" s="2">
        <f>Table8[[#This Row],[Model Expected Points]]*Table8[[#This Row],[Fixture Adjustment]]</f>
        <v>0</v>
      </c>
      <c r="AV311" s="2">
        <f>Table8[[#This Row],[Fixture Adjusted Points / 90]]/Table8[[#This Row],[Price]]</f>
        <v>0</v>
      </c>
      <c r="AW311">
        <f t="shared" si="120"/>
        <v>94.9</v>
      </c>
      <c r="AX311">
        <f t="shared" si="121"/>
        <v>8.3333333333333329E-2</v>
      </c>
      <c r="AY311" s="2">
        <f t="shared" si="122"/>
        <v>0</v>
      </c>
      <c r="AZ311" s="5">
        <f t="shared" si="123"/>
        <v>1.0408391003460207</v>
      </c>
      <c r="BA311">
        <f>Table8[[#This Row],[Model Score2]]</f>
        <v>0</v>
      </c>
      <c r="BB311">
        <f>IFERROR(INDEX(Player_Model!$BG$2:$BG$596,MATCH($A311,Player_Model!$A$2:$A$596,0)),"")</f>
        <v>190</v>
      </c>
      <c r="BC311" t="str">
        <f t="shared" si="124"/>
        <v>AVOID</v>
      </c>
      <c r="BD311">
        <f>IF(H311=1,Table8[[#This Row],[Model Score]],-10000)</f>
        <v>0</v>
      </c>
      <c r="BE311">
        <f>IFERROR(INDEX(Player_Model!$BF$2:$BF$596,MATCH($A311,Player_Model!$A$2:$A$596,0)),"")</f>
        <v>253</v>
      </c>
      <c r="BF311">
        <f>IFERROR(INDEX(Player_Model!$BG$2:$BG$596,MATCH($A311,Player_Model!$A$2:$A$596,0)),"")</f>
        <v>190</v>
      </c>
      <c r="BG311">
        <f>IFERROR(INDEX(Player_Model!$BE$2:$BE$596,MATCH($A311,Player_Model!$A$2:$A$596,0)),0)</f>
        <v>0</v>
      </c>
    </row>
    <row r="312" spans="1:59" x14ac:dyDescent="0.25">
      <c r="A312" t="str">
        <f>tblPlayers[first_name]&amp;" "&amp;tblPlayers[second_name]</f>
        <v>Manuel Ángel Morán Ibáñez</v>
      </c>
      <c r="B312" t="str">
        <f>_xlfn.SWITCH(tblPlayers[element_type],1,"GK",2,"DEF",3,"MID",4,"FWD")</f>
        <v>MID</v>
      </c>
      <c r="C312">
        <f>tblPlayers[team]</f>
        <v>10</v>
      </c>
      <c r="D312" t="str">
        <f>INDEX(tblTeams[Column1.short_name],MATCH(C312,tblTeams[Column1.id],0))</f>
        <v>FUL</v>
      </c>
      <c r="E312" s="4">
        <f>INDEX(FPL_Raw_Data!$F:$F,MATCH(A312,FPL_Raw_Data!$AA:$AA,0))/10</f>
        <v>5</v>
      </c>
      <c r="F312" s="4" t="str">
        <f>tblPlayers[[#This Row],[status]]</f>
        <v>a</v>
      </c>
      <c r="G312" s="4" t="b">
        <f>tblPlayers[[#This Row],[can_select]]</f>
        <v>1</v>
      </c>
      <c r="H312">
        <f>IF(AND(Table8[[#This Row],[Availability Status]]="a",Table8[[#This Row],[Can Select]]=TRUE),1,0)</f>
        <v>1</v>
      </c>
      <c r="I312">
        <f>tblPlayers[minutes]</f>
        <v>0</v>
      </c>
      <c r="J312" s="2">
        <f>Table8[[#This Row],[Minutes]]/90</f>
        <v>0</v>
      </c>
      <c r="K312" s="5">
        <f>IFERROR(Z312/(FIXTURE_ANALYSIS!$B$1-1),0)</f>
        <v>0</v>
      </c>
      <c r="L312">
        <f>tblPlayers[total_points]</f>
        <v>0</v>
      </c>
      <c r="M312">
        <f>tblPlayers[points_per_game]</f>
        <v>0</v>
      </c>
      <c r="N312">
        <f>tblPlayers[form]</f>
        <v>0</v>
      </c>
      <c r="O312">
        <f>tblPlayers[expected_goals]</f>
        <v>0</v>
      </c>
      <c r="P312">
        <f>tblPlayers[expected_assists]</f>
        <v>0</v>
      </c>
      <c r="Q312">
        <f>tblPlayers[expected_goal_involvements]</f>
        <v>0</v>
      </c>
      <c r="R312" s="2">
        <f t="shared" si="100"/>
        <v>0</v>
      </c>
      <c r="S312" s="5">
        <f t="shared" si="101"/>
        <v>0</v>
      </c>
      <c r="T312" s="5">
        <f t="shared" si="102"/>
        <v>0</v>
      </c>
      <c r="U312" s="5">
        <f t="shared" si="103"/>
        <v>0</v>
      </c>
      <c r="V312" s="3">
        <f t="shared" si="104"/>
        <v>0</v>
      </c>
      <c r="W312" s="5">
        <f t="shared" si="105"/>
        <v>0</v>
      </c>
      <c r="X312" s="5">
        <f>IFERROR(IF(OR($B312="MID",$B312="FWD"),INDEX(FIXTURE_ANALYSIS!$Q:$Q,MATCH($D312,FIXTURE_ANALYSIS!$A:$A,0)),INDEX(FIXTURE_ANALYSIS!$R:$R,MATCH($D312,FIXTURE_ANALYSIS!$A:$A,0))),1)</f>
        <v>1.0408391003460207</v>
      </c>
      <c r="Y312" s="5">
        <f t="shared" si="106"/>
        <v>1.0408391003460207</v>
      </c>
      <c r="Z312" s="8">
        <f>INDEX(FPL_Raw_Data!$T:$T,MATCH(A312,FPL_Raw_Data!$AA:$AA,0))</f>
        <v>0</v>
      </c>
      <c r="AA312" s="8">
        <f>INDEX(FPL_Raw_Data!$S:$S,MATCH(A312,FPL_Raw_Data!$AA:$AA,0))</f>
        <v>0</v>
      </c>
      <c r="AB312" s="2">
        <f t="shared" si="107"/>
        <v>0</v>
      </c>
      <c r="AC312" s="2">
        <f>INDEX(FPL_Raw_Data!$Q:$Q,MATCH(A312,FPL_Raw_Data!$AA:$AA,0))</f>
        <v>0</v>
      </c>
      <c r="AD312" s="8">
        <f>INDEX(FPL_Raw_Data!$R:$R,MATCH(A312,FPL_Raw_Data!$AA:$AA,0))</f>
        <v>0</v>
      </c>
      <c r="AE312" s="8">
        <f>INDEX(FPL_Raw_Data!$N:$N,MATCH(A312,FPL_Raw_Data!$AA:$AA,0))</f>
        <v>0</v>
      </c>
      <c r="AF312" s="8">
        <f>INDEX(FPL_Raw_Data!$L:$L,MATCH(A312,FPL_Raw_Data!$AA:$AA,0))</f>
        <v>0</v>
      </c>
      <c r="AG312" s="2">
        <f>INDEX(FPL_Raw_Data!$M:$M,MATCH(A312,FPL_Raw_Data!$AA:$AA,0))</f>
        <v>0</v>
      </c>
      <c r="AH312" s="2">
        <f t="shared" si="108"/>
        <v>0</v>
      </c>
      <c r="AI312" s="2">
        <f t="shared" si="109"/>
        <v>0</v>
      </c>
      <c r="AJ312" s="2">
        <f t="shared" si="110"/>
        <v>0</v>
      </c>
      <c r="AK312" s="2">
        <f t="shared" si="111"/>
        <v>0</v>
      </c>
      <c r="AL312" s="2">
        <f t="shared" si="112"/>
        <v>0</v>
      </c>
      <c r="AM312" s="2">
        <f t="shared" si="113"/>
        <v>0</v>
      </c>
      <c r="AN312" s="2">
        <f t="shared" si="114"/>
        <v>0</v>
      </c>
      <c r="AO312" s="3">
        <f t="shared" si="115"/>
        <v>0.1</v>
      </c>
      <c r="AP312">
        <f t="shared" si="116"/>
        <v>0</v>
      </c>
      <c r="AQ312">
        <f t="shared" si="117"/>
        <v>0.1</v>
      </c>
      <c r="AR312">
        <f t="shared" si="118"/>
        <v>0</v>
      </c>
      <c r="AS312" s="2">
        <f t="shared" si="119"/>
        <v>0</v>
      </c>
      <c r="AT312" s="2">
        <f>IFERROR(INDEX(Player_Model!$BC$2:$BC$596,MATCH($A312,Player_Model!$A$2:$A$596,0)),0)</f>
        <v>0</v>
      </c>
      <c r="AU312" s="2">
        <f>Table8[[#This Row],[Model Expected Points]]*Table8[[#This Row],[Fixture Adjustment]]</f>
        <v>0</v>
      </c>
      <c r="AV312" s="2">
        <f>Table8[[#This Row],[Fixture Adjusted Points / 90]]/Table8[[#This Row],[Price]]</f>
        <v>0</v>
      </c>
      <c r="AW312">
        <f t="shared" si="120"/>
        <v>0.05</v>
      </c>
      <c r="AX312">
        <f t="shared" si="121"/>
        <v>0</v>
      </c>
      <c r="AY312" s="2">
        <f t="shared" si="122"/>
        <v>0</v>
      </c>
      <c r="AZ312" s="5">
        <f t="shared" si="123"/>
        <v>1.0408391003460207</v>
      </c>
      <c r="BA312">
        <f>Table8[[#This Row],[Model Score2]]</f>
        <v>0</v>
      </c>
      <c r="BB312">
        <f>IFERROR(INDEX(Player_Model!$BG$2:$BG$596,MATCH($A312,Player_Model!$A$2:$A$596,0)),"")</f>
        <v>191</v>
      </c>
      <c r="BC312" t="str">
        <f t="shared" si="124"/>
        <v>AVOID</v>
      </c>
      <c r="BD312">
        <f>IF(H312=1,Table8[[#This Row],[Model Score]],-10000)</f>
        <v>0</v>
      </c>
      <c r="BE312">
        <f>IFERROR(INDEX(Player_Model!$BF$2:$BF$596,MATCH($A312,Player_Model!$A$2:$A$596,0)),"")</f>
        <v>253</v>
      </c>
      <c r="BF312">
        <f>IFERROR(INDEX(Player_Model!$BG$2:$BG$596,MATCH($A312,Player_Model!$A$2:$A$596,0)),"")</f>
        <v>191</v>
      </c>
      <c r="BG312">
        <f>IFERROR(INDEX(Player_Model!$BE$2:$BE$596,MATCH($A312,Player_Model!$A$2:$A$596,0)),0)</f>
        <v>0</v>
      </c>
    </row>
    <row r="313" spans="1:59" x14ac:dyDescent="0.25">
      <c r="A313" t="str">
        <f>tblPlayers[first_name]&amp;" "&amp;tblPlayers[second_name]</f>
        <v>David Affengruber</v>
      </c>
      <c r="B313" t="str">
        <f>_xlfn.SWITCH(tblPlayers[element_type],1,"GK",2,"DEF",3,"MID",4,"FWD")</f>
        <v>DEF</v>
      </c>
      <c r="C313">
        <f>tblPlayers[team]</f>
        <v>10</v>
      </c>
      <c r="D313" t="str">
        <f>INDEX(tblTeams[Column1.short_name],MATCH(C313,tblTeams[Column1.id],0))</f>
        <v>FUL</v>
      </c>
      <c r="E313" s="4">
        <f>INDEX(FPL_Raw_Data!$F:$F,MATCH(A313,FPL_Raw_Data!$AA:$AA,0))/10</f>
        <v>4.5</v>
      </c>
      <c r="F313" s="4" t="str">
        <f>tblPlayers[[#This Row],[status]]</f>
        <v>a</v>
      </c>
      <c r="G313" s="4" t="b">
        <f>tblPlayers[[#This Row],[can_select]]</f>
        <v>1</v>
      </c>
      <c r="H313">
        <f>IF(AND(Table8[[#This Row],[Availability Status]]="a",Table8[[#This Row],[Can Select]]=TRUE),1,0)</f>
        <v>1</v>
      </c>
      <c r="I313">
        <f>tblPlayers[minutes]</f>
        <v>0</v>
      </c>
      <c r="J313" s="2">
        <f>Table8[[#This Row],[Minutes]]/90</f>
        <v>0</v>
      </c>
      <c r="K313" s="5">
        <f>IFERROR(Z313/(FIXTURE_ANALYSIS!$B$1-1),0)</f>
        <v>0</v>
      </c>
      <c r="L313">
        <f>tblPlayers[total_points]</f>
        <v>0</v>
      </c>
      <c r="M313">
        <f>tblPlayers[points_per_game]</f>
        <v>0</v>
      </c>
      <c r="N313">
        <f>tblPlayers[form]</f>
        <v>0</v>
      </c>
      <c r="O313">
        <f>tblPlayers[expected_goals]</f>
        <v>0</v>
      </c>
      <c r="P313">
        <f>tblPlayers[expected_assists]</f>
        <v>0</v>
      </c>
      <c r="Q313">
        <f>tblPlayers[expected_goal_involvements]</f>
        <v>0</v>
      </c>
      <c r="R313" s="2">
        <f t="shared" si="100"/>
        <v>0</v>
      </c>
      <c r="S313" s="5">
        <f t="shared" si="101"/>
        <v>0</v>
      </c>
      <c r="T313" s="5">
        <f t="shared" si="102"/>
        <v>0</v>
      </c>
      <c r="U313" s="5">
        <f t="shared" si="103"/>
        <v>0</v>
      </c>
      <c r="V313" s="3">
        <f t="shared" si="104"/>
        <v>0</v>
      </c>
      <c r="W313" s="5">
        <f t="shared" si="105"/>
        <v>0</v>
      </c>
      <c r="X313" s="5">
        <f>IFERROR(IF(OR($B313="MID",$B313="FWD"),INDEX(FIXTURE_ANALYSIS!$Q:$Q,MATCH($D313,FIXTURE_ANALYSIS!$A:$A,0)),INDEX(FIXTURE_ANALYSIS!$R:$R,MATCH($D313,FIXTURE_ANALYSIS!$A:$A,0))),1)</f>
        <v>0.85287356321839092</v>
      </c>
      <c r="Y313" s="5">
        <f t="shared" si="106"/>
        <v>0.85287356321839092</v>
      </c>
      <c r="Z313" s="8">
        <f>INDEX(FPL_Raw_Data!$T:$T,MATCH(A313,FPL_Raw_Data!$AA:$AA,0))</f>
        <v>0</v>
      </c>
      <c r="AA313" s="8">
        <f>INDEX(FPL_Raw_Data!$S:$S,MATCH(A313,FPL_Raw_Data!$AA:$AA,0))</f>
        <v>0</v>
      </c>
      <c r="AB313" s="2">
        <f t="shared" si="107"/>
        <v>0</v>
      </c>
      <c r="AC313" s="2">
        <f>INDEX(FPL_Raw_Data!$Q:$Q,MATCH(A313,FPL_Raw_Data!$AA:$AA,0))</f>
        <v>0</v>
      </c>
      <c r="AD313" s="8">
        <f>INDEX(FPL_Raw_Data!$R:$R,MATCH(A313,FPL_Raw_Data!$AA:$AA,0))</f>
        <v>0</v>
      </c>
      <c r="AE313" s="8">
        <f>INDEX(FPL_Raw_Data!$N:$N,MATCH(A313,FPL_Raw_Data!$AA:$AA,0))</f>
        <v>0</v>
      </c>
      <c r="AF313" s="8">
        <f>INDEX(FPL_Raw_Data!$L:$L,MATCH(A313,FPL_Raw_Data!$AA:$AA,0))</f>
        <v>0</v>
      </c>
      <c r="AG313" s="2">
        <f>INDEX(FPL_Raw_Data!$M:$M,MATCH(A313,FPL_Raw_Data!$AA:$AA,0))</f>
        <v>0</v>
      </c>
      <c r="AH313" s="2">
        <f t="shared" si="108"/>
        <v>0</v>
      </c>
      <c r="AI313" s="2">
        <f t="shared" si="109"/>
        <v>0</v>
      </c>
      <c r="AJ313" s="2">
        <f t="shared" si="110"/>
        <v>0</v>
      </c>
      <c r="AK313" s="2">
        <f t="shared" si="111"/>
        <v>0</v>
      </c>
      <c r="AL313" s="2">
        <f t="shared" si="112"/>
        <v>0</v>
      </c>
      <c r="AM313" s="2">
        <f t="shared" si="113"/>
        <v>0</v>
      </c>
      <c r="AN313" s="2">
        <f t="shared" si="114"/>
        <v>0</v>
      </c>
      <c r="AO313" s="3">
        <f t="shared" si="115"/>
        <v>0.1</v>
      </c>
      <c r="AP313">
        <f t="shared" si="116"/>
        <v>0</v>
      </c>
      <c r="AQ313">
        <f t="shared" si="117"/>
        <v>0.1</v>
      </c>
      <c r="AR313">
        <f t="shared" si="118"/>
        <v>0</v>
      </c>
      <c r="AS313" s="2">
        <f t="shared" si="119"/>
        <v>0</v>
      </c>
      <c r="AT313" s="2">
        <f>IFERROR(INDEX(Player_Model!$BC$2:$BC$596,MATCH($A313,Player_Model!$A$2:$A$596,0)),0)</f>
        <v>-0.99501915708812283</v>
      </c>
      <c r="AU313" s="2">
        <f>Table8[[#This Row],[Model Expected Points]]*Table8[[#This Row],[Fixture Adjustment]]</f>
        <v>-0.84862553397630713</v>
      </c>
      <c r="AV313" s="2">
        <f>Table8[[#This Row],[Fixture Adjusted Points / 90]]/Table8[[#This Row],[Price]]</f>
        <v>-0.18858345199473492</v>
      </c>
      <c r="AW313">
        <f t="shared" si="120"/>
        <v>0</v>
      </c>
      <c r="AX313">
        <f t="shared" si="121"/>
        <v>0.42643678160919546</v>
      </c>
      <c r="AY313" s="2">
        <f t="shared" si="122"/>
        <v>0</v>
      </c>
      <c r="AZ313" s="5">
        <f t="shared" si="123"/>
        <v>0.85287356321839092</v>
      </c>
      <c r="BA313">
        <f>Table8[[#This Row],[Model Score2]]</f>
        <v>-0.99501915708812283</v>
      </c>
      <c r="BB313">
        <f>IFERROR(INDEX(Player_Model!$BG$2:$BG$596,MATCH($A313,Player_Model!$A$2:$A$596,0)),"")</f>
        <v>177</v>
      </c>
      <c r="BC313" t="str">
        <f t="shared" si="124"/>
        <v>AVOID</v>
      </c>
      <c r="BD313">
        <f>IF(H313=1,Table8[[#This Row],[Model Score]],-10000)</f>
        <v>-0.99501915708812283</v>
      </c>
      <c r="BE313">
        <f>IFERROR(INDEX(Player_Model!$BF$2:$BF$596,MATCH($A313,Player_Model!$A$2:$A$596,0)),"")</f>
        <v>577</v>
      </c>
      <c r="BF313">
        <f>IFERROR(INDEX(Player_Model!$BG$2:$BG$596,MATCH($A313,Player_Model!$A$2:$A$596,0)),"")</f>
        <v>177</v>
      </c>
      <c r="BG313">
        <f>IFERROR(INDEX(Player_Model!$BE$2:$BE$596,MATCH($A313,Player_Model!$A$2:$A$596,0)),0)</f>
        <v>-0.99501915708812283</v>
      </c>
    </row>
    <row r="314" spans="1:59" x14ac:dyDescent="0.25">
      <c r="A314" t="str">
        <f>tblPlayers[first_name]&amp;" "&amp;tblPlayers[second_name]</f>
        <v>Tim Iroegbunam</v>
      </c>
      <c r="B314" t="str">
        <f>_xlfn.SWITCH(tblPlayers[element_type],1,"GK",2,"DEF",3,"MID",4,"FWD")</f>
        <v>MID</v>
      </c>
      <c r="C314">
        <f>tblPlayers[team]</f>
        <v>11</v>
      </c>
      <c r="D314" t="str">
        <f>INDEX(tblTeams[Column1.short_name],MATCH(C314,tblTeams[Column1.id],0))</f>
        <v>HUL</v>
      </c>
      <c r="E314" s="4">
        <f>INDEX(FPL_Raw_Data!$F:$F,MATCH(A314,FPL_Raw_Data!$AA:$AA,0))/10</f>
        <v>5</v>
      </c>
      <c r="F314" s="4" t="str">
        <f>tblPlayers[[#This Row],[status]]</f>
        <v>a</v>
      </c>
      <c r="G314" s="4" t="b">
        <f>tblPlayers[[#This Row],[can_select]]</f>
        <v>1</v>
      </c>
      <c r="H314">
        <f>IF(AND(Table8[[#This Row],[Availability Status]]="a",Table8[[#This Row],[Can Select]]=TRUE),1,0)</f>
        <v>1</v>
      </c>
      <c r="I314">
        <f>tblPlayers[minutes]</f>
        <v>4</v>
      </c>
      <c r="J314" s="2">
        <f>Table8[[#This Row],[Minutes]]/90</f>
        <v>4.4444444444444446E-2</v>
      </c>
      <c r="K314" s="5">
        <f>IFERROR(Z314/(FIXTURE_ANALYSIS!$B$1-1),0)</f>
        <v>0</v>
      </c>
      <c r="L314">
        <f>tblPlayers[total_points]</f>
        <v>1</v>
      </c>
      <c r="M314">
        <f>tblPlayers[points_per_game]</f>
        <v>1</v>
      </c>
      <c r="N314">
        <f>tblPlayers[form]</f>
        <v>0.3</v>
      </c>
      <c r="O314">
        <f>tblPlayers[expected_goals]</f>
        <v>0</v>
      </c>
      <c r="P314">
        <f>tblPlayers[expected_assists]</f>
        <v>0</v>
      </c>
      <c r="Q314">
        <f>tblPlayers[expected_goal_involvements]</f>
        <v>0</v>
      </c>
      <c r="R314" s="2">
        <f t="shared" si="100"/>
        <v>22.5</v>
      </c>
      <c r="S314" s="5">
        <f t="shared" si="101"/>
        <v>0</v>
      </c>
      <c r="T314" s="5">
        <f t="shared" si="102"/>
        <v>0</v>
      </c>
      <c r="U314" s="5">
        <f t="shared" si="103"/>
        <v>0</v>
      </c>
      <c r="V314" s="3">
        <f t="shared" si="104"/>
        <v>0.2</v>
      </c>
      <c r="W314" s="5">
        <f t="shared" si="105"/>
        <v>0</v>
      </c>
      <c r="X314" s="5">
        <f>IFERROR(IF(OR($B314="MID",$B314="FWD"),INDEX(FIXTURE_ANALYSIS!$Q:$Q,MATCH($D314,FIXTURE_ANALYSIS!$A:$A,0)),INDEX(FIXTURE_ANALYSIS!$R:$R,MATCH($D314,FIXTURE_ANALYSIS!$A:$A,0))),1)</f>
        <v>0.95496539792387547</v>
      </c>
      <c r="Y314" s="5">
        <f t="shared" si="106"/>
        <v>0.95496539792387547</v>
      </c>
      <c r="Z314" s="8">
        <f>INDEX(FPL_Raw_Data!$T:$T,MATCH(A314,FPL_Raw_Data!$AA:$AA,0))</f>
        <v>0</v>
      </c>
      <c r="AA314" s="8">
        <f>INDEX(FPL_Raw_Data!$S:$S,MATCH(A314,FPL_Raw_Data!$AA:$AA,0))</f>
        <v>0</v>
      </c>
      <c r="AB314" s="2">
        <f t="shared" si="107"/>
        <v>0</v>
      </c>
      <c r="AC314" s="2">
        <f>INDEX(FPL_Raw_Data!$Q:$Q,MATCH(A314,FPL_Raw_Data!$AA:$AA,0))</f>
        <v>0</v>
      </c>
      <c r="AD314" s="8">
        <f>INDEX(FPL_Raw_Data!$R:$R,MATCH(A314,FPL_Raw_Data!$AA:$AA,0))</f>
        <v>2</v>
      </c>
      <c r="AE314" s="8">
        <f>INDEX(FPL_Raw_Data!$N:$N,MATCH(A314,FPL_Raw_Data!$AA:$AA,0))</f>
        <v>0</v>
      </c>
      <c r="AF314" s="8">
        <f>INDEX(FPL_Raw_Data!$L:$L,MATCH(A314,FPL_Raw_Data!$AA:$AA,0))</f>
        <v>0</v>
      </c>
      <c r="AG314" s="2">
        <f>INDEX(FPL_Raw_Data!$M:$M,MATCH(A314,FPL_Raw_Data!$AA:$AA,0))</f>
        <v>0</v>
      </c>
      <c r="AH314" s="2">
        <f t="shared" si="108"/>
        <v>0</v>
      </c>
      <c r="AI314" s="2">
        <f t="shared" si="109"/>
        <v>0</v>
      </c>
      <c r="AJ314" s="2">
        <f t="shared" si="110"/>
        <v>0</v>
      </c>
      <c r="AK314" s="2">
        <f t="shared" si="111"/>
        <v>0</v>
      </c>
      <c r="AL314" s="2">
        <f t="shared" si="112"/>
        <v>0</v>
      </c>
      <c r="AM314" s="2">
        <f t="shared" si="113"/>
        <v>0</v>
      </c>
      <c r="AN314" s="2">
        <f t="shared" si="114"/>
        <v>0</v>
      </c>
      <c r="AO314" s="3">
        <f t="shared" si="115"/>
        <v>96.899999999999991</v>
      </c>
      <c r="AP314">
        <f t="shared" si="116"/>
        <v>0</v>
      </c>
      <c r="AQ314">
        <f t="shared" si="117"/>
        <v>44.4</v>
      </c>
      <c r="AR314">
        <f t="shared" si="118"/>
        <v>0</v>
      </c>
      <c r="AS314" s="2">
        <f t="shared" si="119"/>
        <v>0</v>
      </c>
      <c r="AT314" s="2">
        <f>IFERROR(INDEX(Player_Model!$BC$2:$BC$596,MATCH($A314,Player_Model!$A$2:$A$596,0)),0)</f>
        <v>0</v>
      </c>
      <c r="AU314" s="2">
        <f>Table8[[#This Row],[Model Expected Points]]*Table8[[#This Row],[Fixture Adjustment]]</f>
        <v>0</v>
      </c>
      <c r="AV314" s="2">
        <f>Table8[[#This Row],[Fixture Adjusted Points / 90]]/Table8[[#This Row],[Price]]</f>
        <v>0</v>
      </c>
      <c r="AW314">
        <f t="shared" si="120"/>
        <v>48.449999999999996</v>
      </c>
      <c r="AX314">
        <f t="shared" si="121"/>
        <v>0</v>
      </c>
      <c r="AY314" s="2">
        <f t="shared" si="122"/>
        <v>0</v>
      </c>
      <c r="AZ314" s="5">
        <f t="shared" si="123"/>
        <v>0.95496539792387547</v>
      </c>
      <c r="BA314">
        <f>Table8[[#This Row],[Model Score2]]</f>
        <v>0</v>
      </c>
      <c r="BB314">
        <f>IFERROR(INDEX(Player_Model!$BG$2:$BG$596,MATCH($A314,Player_Model!$A$2:$A$596,0)),"")</f>
        <v>192</v>
      </c>
      <c r="BC314" t="str">
        <f t="shared" si="124"/>
        <v>AVOID</v>
      </c>
      <c r="BD314">
        <f>IF(H314=1,Table8[[#This Row],[Model Score]],-10000)</f>
        <v>0</v>
      </c>
      <c r="BE314">
        <f>IFERROR(INDEX(Player_Model!$BF$2:$BF$596,MATCH($A314,Player_Model!$A$2:$A$596,0)),"")</f>
        <v>253</v>
      </c>
      <c r="BF314">
        <f>IFERROR(INDEX(Player_Model!$BG$2:$BG$596,MATCH($A314,Player_Model!$A$2:$A$596,0)),"")</f>
        <v>192</v>
      </c>
      <c r="BG314">
        <f>IFERROR(INDEX(Player_Model!$BE$2:$BE$596,MATCH($A314,Player_Model!$A$2:$A$596,0)),0)</f>
        <v>0</v>
      </c>
    </row>
    <row r="315" spans="1:59" x14ac:dyDescent="0.25">
      <c r="A315" t="str">
        <f>tblPlayers[first_name]&amp;" "&amp;tblPlayers[second_name]</f>
        <v>Dillon Phillips</v>
      </c>
      <c r="B315" t="str">
        <f>_xlfn.SWITCH(tblPlayers[element_type],1,"GK",2,"DEF",3,"MID",4,"FWD")</f>
        <v>GK</v>
      </c>
      <c r="C315">
        <f>tblPlayers[team]</f>
        <v>11</v>
      </c>
      <c r="D315" t="str">
        <f>INDEX(tblTeams[Column1.short_name],MATCH(C315,tblTeams[Column1.id],0))</f>
        <v>HUL</v>
      </c>
      <c r="E315" s="4">
        <f>INDEX(FPL_Raw_Data!$F:$F,MATCH(A315,FPL_Raw_Data!$AA:$AA,0))/10</f>
        <v>4</v>
      </c>
      <c r="F315" s="4" t="str">
        <f>tblPlayers[[#This Row],[status]]</f>
        <v>a</v>
      </c>
      <c r="G315" s="4" t="b">
        <f>tblPlayers[[#This Row],[can_select]]</f>
        <v>1</v>
      </c>
      <c r="H315">
        <f>IF(AND(Table8[[#This Row],[Availability Status]]="a",Table8[[#This Row],[Can Select]]=TRUE),1,0)</f>
        <v>1</v>
      </c>
      <c r="I315">
        <f>tblPlayers[minutes]</f>
        <v>0</v>
      </c>
      <c r="J315" s="2">
        <f>Table8[[#This Row],[Minutes]]/90</f>
        <v>0</v>
      </c>
      <c r="K315" s="5">
        <f>IFERROR(Z315/(FIXTURE_ANALYSIS!$B$1-1),0)</f>
        <v>0</v>
      </c>
      <c r="L315">
        <f>tblPlayers[total_points]</f>
        <v>0</v>
      </c>
      <c r="M315">
        <f>tblPlayers[points_per_game]</f>
        <v>0</v>
      </c>
      <c r="N315">
        <f>tblPlayers[form]</f>
        <v>0</v>
      </c>
      <c r="O315">
        <f>tblPlayers[expected_goals]</f>
        <v>0</v>
      </c>
      <c r="P315">
        <f>tblPlayers[expected_assists]</f>
        <v>0</v>
      </c>
      <c r="Q315">
        <f>tblPlayers[expected_goal_involvements]</f>
        <v>0</v>
      </c>
      <c r="R315" s="2">
        <f t="shared" si="100"/>
        <v>0</v>
      </c>
      <c r="S315" s="5">
        <f t="shared" si="101"/>
        <v>0</v>
      </c>
      <c r="T315" s="5">
        <f t="shared" si="102"/>
        <v>0</v>
      </c>
      <c r="U315" s="5">
        <f t="shared" si="103"/>
        <v>0</v>
      </c>
      <c r="V315" s="3">
        <f t="shared" si="104"/>
        <v>0</v>
      </c>
      <c r="W315" s="5">
        <f t="shared" si="105"/>
        <v>0</v>
      </c>
      <c r="X315" s="5">
        <f>IFERROR(IF(OR($B315="MID",$B315="FWD"),INDEX(FIXTURE_ANALYSIS!$Q:$Q,MATCH($D315,FIXTURE_ANALYSIS!$A:$A,0)),INDEX(FIXTURE_ANALYSIS!$R:$R,MATCH($D315,FIXTURE_ANALYSIS!$A:$A,0))),1)</f>
        <v>1.1999999999999997</v>
      </c>
      <c r="Y315" s="5">
        <f t="shared" si="106"/>
        <v>1.1999999999999997</v>
      </c>
      <c r="Z315" s="8">
        <f>INDEX(FPL_Raw_Data!$T:$T,MATCH(A315,FPL_Raw_Data!$AA:$AA,0))</f>
        <v>0</v>
      </c>
      <c r="AA315" s="8">
        <f>INDEX(FPL_Raw_Data!$S:$S,MATCH(A315,FPL_Raw_Data!$AA:$AA,0))</f>
        <v>0</v>
      </c>
      <c r="AB315" s="2">
        <f t="shared" si="107"/>
        <v>0</v>
      </c>
      <c r="AC315" s="2">
        <f>INDEX(FPL_Raw_Data!$Q:$Q,MATCH(A315,FPL_Raw_Data!$AA:$AA,0))</f>
        <v>0</v>
      </c>
      <c r="AD315" s="8">
        <f>INDEX(FPL_Raw_Data!$R:$R,MATCH(A315,FPL_Raw_Data!$AA:$AA,0))</f>
        <v>0</v>
      </c>
      <c r="AE315" s="8">
        <f>INDEX(FPL_Raw_Data!$N:$N,MATCH(A315,FPL_Raw_Data!$AA:$AA,0))</f>
        <v>0</v>
      </c>
      <c r="AF315" s="8">
        <f>INDEX(FPL_Raw_Data!$L:$L,MATCH(A315,FPL_Raw_Data!$AA:$AA,0))</f>
        <v>0</v>
      </c>
      <c r="AG315" s="2">
        <f>INDEX(FPL_Raw_Data!$M:$M,MATCH(A315,FPL_Raw_Data!$AA:$AA,0))</f>
        <v>0</v>
      </c>
      <c r="AH315" s="2">
        <f t="shared" si="108"/>
        <v>0</v>
      </c>
      <c r="AI315" s="2">
        <f t="shared" si="109"/>
        <v>0</v>
      </c>
      <c r="AJ315" s="2">
        <f t="shared" si="110"/>
        <v>0</v>
      </c>
      <c r="AK315" s="2">
        <f t="shared" si="111"/>
        <v>0</v>
      </c>
      <c r="AL315" s="2">
        <f t="shared" si="112"/>
        <v>0</v>
      </c>
      <c r="AM315" s="2">
        <f t="shared" si="113"/>
        <v>0</v>
      </c>
      <c r="AN315" s="2">
        <f t="shared" si="114"/>
        <v>0</v>
      </c>
      <c r="AO315" s="3">
        <f t="shared" si="115"/>
        <v>0.1</v>
      </c>
      <c r="AP315">
        <f t="shared" si="116"/>
        <v>0</v>
      </c>
      <c r="AQ315">
        <f t="shared" si="117"/>
        <v>0.1</v>
      </c>
      <c r="AR315">
        <f t="shared" si="118"/>
        <v>0</v>
      </c>
      <c r="AS315" s="2">
        <f t="shared" si="119"/>
        <v>0</v>
      </c>
      <c r="AT315" s="2">
        <f>IFERROR(INDEX(Player_Model!$BC$2:$BC$596,MATCH($A315,Player_Model!$A$2:$A$596,0)),0)</f>
        <v>0</v>
      </c>
      <c r="AU315" s="2">
        <f>Table8[[#This Row],[Model Expected Points]]*Table8[[#This Row],[Fixture Adjustment]]</f>
        <v>0</v>
      </c>
      <c r="AV315" s="2">
        <f>Table8[[#This Row],[Fixture Adjusted Points / 90]]/Table8[[#This Row],[Price]]</f>
        <v>0</v>
      </c>
      <c r="AW315">
        <f t="shared" si="120"/>
        <v>0</v>
      </c>
      <c r="AX315">
        <f t="shared" si="121"/>
        <v>0.59999999999999987</v>
      </c>
      <c r="AY315" s="2">
        <f t="shared" si="122"/>
        <v>0</v>
      </c>
      <c r="AZ315" s="5">
        <f t="shared" si="123"/>
        <v>1.1999999999999997</v>
      </c>
      <c r="BA315">
        <f>Table8[[#This Row],[Model Score2]]</f>
        <v>0</v>
      </c>
      <c r="BB315">
        <f>IFERROR(INDEX(Player_Model!$BG$2:$BG$596,MATCH($A315,Player_Model!$A$2:$A$596,0)),"")</f>
        <v>40</v>
      </c>
      <c r="BC315" t="str">
        <f t="shared" si="124"/>
        <v>AVOID</v>
      </c>
      <c r="BD315">
        <f>IF(H315=1,Table8[[#This Row],[Model Score]],-10000)</f>
        <v>0</v>
      </c>
      <c r="BE315">
        <f>IFERROR(INDEX(Player_Model!$BF$2:$BF$596,MATCH($A315,Player_Model!$A$2:$A$596,0)),"")</f>
        <v>253</v>
      </c>
      <c r="BF315">
        <f>IFERROR(INDEX(Player_Model!$BG$2:$BG$596,MATCH($A315,Player_Model!$A$2:$A$596,0)),"")</f>
        <v>40</v>
      </c>
      <c r="BG315">
        <f>IFERROR(INDEX(Player_Model!$BE$2:$BE$596,MATCH($A315,Player_Model!$A$2:$A$596,0)),0)</f>
        <v>0</v>
      </c>
    </row>
    <row r="316" spans="1:59" x14ac:dyDescent="0.25">
      <c r="A316" t="str">
        <f>tblPlayers[first_name]&amp;" "&amp;tblPlayers[second_name]</f>
        <v>Jack Butland</v>
      </c>
      <c r="B316" t="str">
        <f>_xlfn.SWITCH(tblPlayers[element_type],1,"GK",2,"DEF",3,"MID",4,"FWD")</f>
        <v>GK</v>
      </c>
      <c r="C316">
        <f>tblPlayers[team]</f>
        <v>11</v>
      </c>
      <c r="D316" t="str">
        <f>INDEX(tblTeams[Column1.short_name],MATCH(C316,tblTeams[Column1.id],0))</f>
        <v>HUL</v>
      </c>
      <c r="E316" s="4">
        <f>INDEX(FPL_Raw_Data!$F:$F,MATCH(A316,FPL_Raw_Data!$AA:$AA,0))/10</f>
        <v>4.5</v>
      </c>
      <c r="F316" s="4" t="str">
        <f>tblPlayers[[#This Row],[status]]</f>
        <v>i</v>
      </c>
      <c r="G316" s="4" t="b">
        <f>tblPlayers[[#This Row],[can_select]]</f>
        <v>1</v>
      </c>
      <c r="H316">
        <f>IF(AND(Table8[[#This Row],[Availability Status]]="a",Table8[[#This Row],[Can Select]]=TRUE),1,0)</f>
        <v>0</v>
      </c>
      <c r="I316">
        <f>tblPlayers[minutes]</f>
        <v>0</v>
      </c>
      <c r="J316" s="2">
        <f>Table8[[#This Row],[Minutes]]/90</f>
        <v>0</v>
      </c>
      <c r="K316" s="5">
        <f>IFERROR(Z316/(FIXTURE_ANALYSIS!$B$1-1),0)</f>
        <v>0</v>
      </c>
      <c r="L316">
        <f>tblPlayers[total_points]</f>
        <v>0</v>
      </c>
      <c r="M316">
        <f>tblPlayers[points_per_game]</f>
        <v>0</v>
      </c>
      <c r="N316">
        <f>tblPlayers[form]</f>
        <v>0</v>
      </c>
      <c r="O316">
        <f>tblPlayers[expected_goals]</f>
        <v>0</v>
      </c>
      <c r="P316">
        <f>tblPlayers[expected_assists]</f>
        <v>0</v>
      </c>
      <c r="Q316">
        <f>tblPlayers[expected_goal_involvements]</f>
        <v>0</v>
      </c>
      <c r="R316" s="2">
        <f t="shared" si="100"/>
        <v>0</v>
      </c>
      <c r="S316" s="5">
        <f t="shared" si="101"/>
        <v>0</v>
      </c>
      <c r="T316" s="5">
        <f t="shared" si="102"/>
        <v>0</v>
      </c>
      <c r="U316" s="5">
        <f t="shared" si="103"/>
        <v>0</v>
      </c>
      <c r="V316" s="3">
        <f t="shared" si="104"/>
        <v>0</v>
      </c>
      <c r="W316" s="5">
        <f t="shared" si="105"/>
        <v>0</v>
      </c>
      <c r="X316" s="5">
        <f>IFERROR(IF(OR($B316="MID",$B316="FWD"),INDEX(FIXTURE_ANALYSIS!$Q:$Q,MATCH($D316,FIXTURE_ANALYSIS!$A:$A,0)),INDEX(FIXTURE_ANALYSIS!$R:$R,MATCH($D316,FIXTURE_ANALYSIS!$A:$A,0))),1)</f>
        <v>1.1999999999999997</v>
      </c>
      <c r="Y316" s="5">
        <f t="shared" si="106"/>
        <v>1.1999999999999997</v>
      </c>
      <c r="Z316" s="8">
        <f>INDEX(FPL_Raw_Data!$T:$T,MATCH(A316,FPL_Raw_Data!$AA:$AA,0))</f>
        <v>0</v>
      </c>
      <c r="AA316" s="8">
        <f>INDEX(FPL_Raw_Data!$S:$S,MATCH(A316,FPL_Raw_Data!$AA:$AA,0))</f>
        <v>0</v>
      </c>
      <c r="AB316" s="2">
        <f t="shared" si="107"/>
        <v>0</v>
      </c>
      <c r="AC316" s="2">
        <f>INDEX(FPL_Raw_Data!$Q:$Q,MATCH(A316,FPL_Raw_Data!$AA:$AA,0))</f>
        <v>0</v>
      </c>
      <c r="AD316" s="8">
        <f>INDEX(FPL_Raw_Data!$R:$R,MATCH(A316,FPL_Raw_Data!$AA:$AA,0))</f>
        <v>0</v>
      </c>
      <c r="AE316" s="8">
        <f>INDEX(FPL_Raw_Data!$N:$N,MATCH(A316,FPL_Raw_Data!$AA:$AA,0))</f>
        <v>0</v>
      </c>
      <c r="AF316" s="8">
        <f>INDEX(FPL_Raw_Data!$L:$L,MATCH(A316,FPL_Raw_Data!$AA:$AA,0))</f>
        <v>0</v>
      </c>
      <c r="AG316" s="2">
        <f>INDEX(FPL_Raw_Data!$M:$M,MATCH(A316,FPL_Raw_Data!$AA:$AA,0))</f>
        <v>0</v>
      </c>
      <c r="AH316" s="2">
        <f t="shared" si="108"/>
        <v>0</v>
      </c>
      <c r="AI316" s="2">
        <f t="shared" si="109"/>
        <v>0</v>
      </c>
      <c r="AJ316" s="2">
        <f t="shared" si="110"/>
        <v>0</v>
      </c>
      <c r="AK316" s="2">
        <f t="shared" si="111"/>
        <v>0</v>
      </c>
      <c r="AL316" s="2">
        <f t="shared" si="112"/>
        <v>0</v>
      </c>
      <c r="AM316" s="2">
        <f t="shared" si="113"/>
        <v>0</v>
      </c>
      <c r="AN316" s="2">
        <f t="shared" si="114"/>
        <v>0</v>
      </c>
      <c r="AO316" s="3">
        <f t="shared" si="115"/>
        <v>0.1</v>
      </c>
      <c r="AP316">
        <f t="shared" si="116"/>
        <v>0</v>
      </c>
      <c r="AQ316">
        <f t="shared" si="117"/>
        <v>0.1</v>
      </c>
      <c r="AR316">
        <f t="shared" si="118"/>
        <v>0</v>
      </c>
      <c r="AS316" s="2">
        <f t="shared" si="119"/>
        <v>0</v>
      </c>
      <c r="AT316" s="2">
        <f>IFERROR(INDEX(Player_Model!$BC$2:$BC$596,MATCH($A316,Player_Model!$A$2:$A$596,0)),0)</f>
        <v>0</v>
      </c>
      <c r="AU316" s="2">
        <f>Table8[[#This Row],[Model Expected Points]]*Table8[[#This Row],[Fixture Adjustment]]</f>
        <v>0</v>
      </c>
      <c r="AV316" s="2">
        <f>Table8[[#This Row],[Fixture Adjusted Points / 90]]/Table8[[#This Row],[Price]]</f>
        <v>0</v>
      </c>
      <c r="AW316">
        <f t="shared" si="120"/>
        <v>0</v>
      </c>
      <c r="AX316">
        <f t="shared" si="121"/>
        <v>0.59999999999999987</v>
      </c>
      <c r="AY316" s="2">
        <f t="shared" si="122"/>
        <v>0</v>
      </c>
      <c r="AZ316" s="5">
        <f t="shared" si="123"/>
        <v>1.1999999999999997</v>
      </c>
      <c r="BA316">
        <f>Table8[[#This Row],[Model Score2]]</f>
        <v>0</v>
      </c>
      <c r="BB316">
        <f>IFERROR(INDEX(Player_Model!$BG$2:$BG$596,MATCH($A316,Player_Model!$A$2:$A$596,0)),"")</f>
        <v>41</v>
      </c>
      <c r="BC316" t="str">
        <f t="shared" si="124"/>
        <v>AVOID</v>
      </c>
      <c r="BD316">
        <f>IF(H316=1,Table8[[#This Row],[Model Score]],-10000)</f>
        <v>-10000</v>
      </c>
      <c r="BE316">
        <f>IFERROR(INDEX(Player_Model!$BF$2:$BF$596,MATCH($A316,Player_Model!$A$2:$A$596,0)),"")</f>
        <v>253</v>
      </c>
      <c r="BF316">
        <f>IFERROR(INDEX(Player_Model!$BG$2:$BG$596,MATCH($A316,Player_Model!$A$2:$A$596,0)),"")</f>
        <v>41</v>
      </c>
      <c r="BG316">
        <f>IFERROR(INDEX(Player_Model!$BE$2:$BE$596,MATCH($A316,Player_Model!$A$2:$A$596,0)),0)</f>
        <v>0</v>
      </c>
    </row>
    <row r="317" spans="1:59" x14ac:dyDescent="0.25">
      <c r="A317" t="str">
        <f>tblPlayers[first_name]&amp;" "&amp;tblPlayers[second_name]</f>
        <v>Harvey Cartwright</v>
      </c>
      <c r="B317" t="str">
        <f>_xlfn.SWITCH(tblPlayers[element_type],1,"GK",2,"DEF",3,"MID",4,"FWD")</f>
        <v>GK</v>
      </c>
      <c r="C317">
        <f>tblPlayers[team]</f>
        <v>11</v>
      </c>
      <c r="D317" t="str">
        <f>INDEX(tblTeams[Column1.short_name],MATCH(C317,tblTeams[Column1.id],0))</f>
        <v>HUL</v>
      </c>
      <c r="E317" s="4">
        <f>INDEX(FPL_Raw_Data!$F:$F,MATCH(A317,FPL_Raw_Data!$AA:$AA,0))/10</f>
        <v>4</v>
      </c>
      <c r="F317" s="4" t="str">
        <f>tblPlayers[[#This Row],[status]]</f>
        <v>u</v>
      </c>
      <c r="G317" s="4" t="b">
        <f>tblPlayers[[#This Row],[can_select]]</f>
        <v>0</v>
      </c>
      <c r="H317">
        <f>IF(AND(Table8[[#This Row],[Availability Status]]="a",Table8[[#This Row],[Can Select]]=TRUE),1,0)</f>
        <v>0</v>
      </c>
      <c r="I317">
        <f>tblPlayers[minutes]</f>
        <v>0</v>
      </c>
      <c r="J317" s="2">
        <f>Table8[[#This Row],[Minutes]]/90</f>
        <v>0</v>
      </c>
      <c r="K317" s="5">
        <f>IFERROR(Z317/(FIXTURE_ANALYSIS!$B$1-1),0)</f>
        <v>0</v>
      </c>
      <c r="L317">
        <f>tblPlayers[total_points]</f>
        <v>0</v>
      </c>
      <c r="M317">
        <f>tblPlayers[points_per_game]</f>
        <v>0</v>
      </c>
      <c r="N317">
        <f>tblPlayers[form]</f>
        <v>0</v>
      </c>
      <c r="O317">
        <f>tblPlayers[expected_goals]</f>
        <v>0</v>
      </c>
      <c r="P317">
        <f>tblPlayers[expected_assists]</f>
        <v>0</v>
      </c>
      <c r="Q317">
        <f>tblPlayers[expected_goal_involvements]</f>
        <v>0</v>
      </c>
      <c r="R317" s="2">
        <f t="shared" si="100"/>
        <v>0</v>
      </c>
      <c r="S317" s="5">
        <f t="shared" si="101"/>
        <v>0</v>
      </c>
      <c r="T317" s="5">
        <f t="shared" si="102"/>
        <v>0</v>
      </c>
      <c r="U317" s="5">
        <f t="shared" si="103"/>
        <v>0</v>
      </c>
      <c r="V317" s="3">
        <f t="shared" si="104"/>
        <v>0</v>
      </c>
      <c r="W317" s="5">
        <f t="shared" si="105"/>
        <v>0</v>
      </c>
      <c r="X317" s="5">
        <f>IFERROR(IF(OR($B317="MID",$B317="FWD"),INDEX(FIXTURE_ANALYSIS!$Q:$Q,MATCH($D317,FIXTURE_ANALYSIS!$A:$A,0)),INDEX(FIXTURE_ANALYSIS!$R:$R,MATCH($D317,FIXTURE_ANALYSIS!$A:$A,0))),1)</f>
        <v>1.1999999999999997</v>
      </c>
      <c r="Y317" s="5">
        <f t="shared" si="106"/>
        <v>1.1999999999999997</v>
      </c>
      <c r="Z317" s="8">
        <f>INDEX(FPL_Raw_Data!$T:$T,MATCH(A317,FPL_Raw_Data!$AA:$AA,0))</f>
        <v>0</v>
      </c>
      <c r="AA317" s="8">
        <f>INDEX(FPL_Raw_Data!$S:$S,MATCH(A317,FPL_Raw_Data!$AA:$AA,0))</f>
        <v>0</v>
      </c>
      <c r="AB317" s="2">
        <f t="shared" si="107"/>
        <v>0</v>
      </c>
      <c r="AC317" s="2">
        <f>INDEX(FPL_Raw_Data!$Q:$Q,MATCH(A317,FPL_Raw_Data!$AA:$AA,0))</f>
        <v>0</v>
      </c>
      <c r="AD317" s="8">
        <f>INDEX(FPL_Raw_Data!$R:$R,MATCH(A317,FPL_Raw_Data!$AA:$AA,0))</f>
        <v>0</v>
      </c>
      <c r="AE317" s="8">
        <f>INDEX(FPL_Raw_Data!$N:$N,MATCH(A317,FPL_Raw_Data!$AA:$AA,0))</f>
        <v>0</v>
      </c>
      <c r="AF317" s="8">
        <f>INDEX(FPL_Raw_Data!$L:$L,MATCH(A317,FPL_Raw_Data!$AA:$AA,0))</f>
        <v>0</v>
      </c>
      <c r="AG317" s="2">
        <f>INDEX(FPL_Raw_Data!$M:$M,MATCH(A317,FPL_Raw_Data!$AA:$AA,0))</f>
        <v>0</v>
      </c>
      <c r="AH317" s="2">
        <f t="shared" si="108"/>
        <v>0</v>
      </c>
      <c r="AI317" s="2">
        <f t="shared" si="109"/>
        <v>0</v>
      </c>
      <c r="AJ317" s="2">
        <f t="shared" si="110"/>
        <v>0</v>
      </c>
      <c r="AK317" s="2">
        <f t="shared" si="111"/>
        <v>0</v>
      </c>
      <c r="AL317" s="2">
        <f t="shared" si="112"/>
        <v>0</v>
      </c>
      <c r="AM317" s="2">
        <f t="shared" si="113"/>
        <v>0</v>
      </c>
      <c r="AN317" s="2">
        <f t="shared" si="114"/>
        <v>0</v>
      </c>
      <c r="AO317" s="3">
        <f t="shared" si="115"/>
        <v>0.1</v>
      </c>
      <c r="AP317">
        <f t="shared" si="116"/>
        <v>0</v>
      </c>
      <c r="AQ317">
        <f t="shared" si="117"/>
        <v>0.1</v>
      </c>
      <c r="AR317">
        <f t="shared" si="118"/>
        <v>0</v>
      </c>
      <c r="AS317" s="2">
        <f t="shared" si="119"/>
        <v>0</v>
      </c>
      <c r="AT317" s="2">
        <f>IFERROR(INDEX(Player_Model!$BC$2:$BC$596,MATCH($A317,Player_Model!$A$2:$A$596,0)),0)</f>
        <v>0</v>
      </c>
      <c r="AU317" s="2">
        <f>Table8[[#This Row],[Model Expected Points]]*Table8[[#This Row],[Fixture Adjustment]]</f>
        <v>0</v>
      </c>
      <c r="AV317" s="2">
        <f>Table8[[#This Row],[Fixture Adjusted Points / 90]]/Table8[[#This Row],[Price]]</f>
        <v>0</v>
      </c>
      <c r="AW317">
        <f t="shared" si="120"/>
        <v>0</v>
      </c>
      <c r="AX317">
        <f t="shared" si="121"/>
        <v>0.59999999999999987</v>
      </c>
      <c r="AY317" s="2">
        <f t="shared" si="122"/>
        <v>0</v>
      </c>
      <c r="AZ317" s="5">
        <f t="shared" si="123"/>
        <v>1.1999999999999997</v>
      </c>
      <c r="BA317">
        <f>Table8[[#This Row],[Model Score2]]</f>
        <v>0</v>
      </c>
      <c r="BB317">
        <f>IFERROR(INDEX(Player_Model!$BG$2:$BG$596,MATCH($A317,Player_Model!$A$2:$A$596,0)),"")</f>
        <v>42</v>
      </c>
      <c r="BC317" t="str">
        <f t="shared" si="124"/>
        <v>AVOID</v>
      </c>
      <c r="BD317">
        <f>IF(H317=1,Table8[[#This Row],[Model Score]],-10000)</f>
        <v>-10000</v>
      </c>
      <c r="BE317">
        <f>IFERROR(INDEX(Player_Model!$BF$2:$BF$596,MATCH($A317,Player_Model!$A$2:$A$596,0)),"")</f>
        <v>253</v>
      </c>
      <c r="BF317">
        <f>IFERROR(INDEX(Player_Model!$BG$2:$BG$596,MATCH($A317,Player_Model!$A$2:$A$596,0)),"")</f>
        <v>42</v>
      </c>
      <c r="BG317">
        <f>IFERROR(INDEX(Player_Model!$BE$2:$BE$596,MATCH($A317,Player_Model!$A$2:$A$596,0)),0)</f>
        <v>0</v>
      </c>
    </row>
    <row r="318" spans="1:59" x14ac:dyDescent="0.25">
      <c r="A318" t="str">
        <f>tblPlayers[first_name]&amp;" "&amp;tblPlayers[second_name]</f>
        <v>Thimothée Lo-Tutala</v>
      </c>
      <c r="B318" t="str">
        <f>_xlfn.SWITCH(tblPlayers[element_type],1,"GK",2,"DEF",3,"MID",4,"FWD")</f>
        <v>GK</v>
      </c>
      <c r="C318">
        <f>tblPlayers[team]</f>
        <v>11</v>
      </c>
      <c r="D318" t="str">
        <f>INDEX(tblTeams[Column1.short_name],MATCH(C318,tblTeams[Column1.id],0))</f>
        <v>HUL</v>
      </c>
      <c r="E318" s="4">
        <f>INDEX(FPL_Raw_Data!$F:$F,MATCH(A318,FPL_Raw_Data!$AA:$AA,0))/10</f>
        <v>4</v>
      </c>
      <c r="F318" s="4" t="str">
        <f>tblPlayers[[#This Row],[status]]</f>
        <v>u</v>
      </c>
      <c r="G318" s="4" t="b">
        <f>tblPlayers[[#This Row],[can_select]]</f>
        <v>0</v>
      </c>
      <c r="H318">
        <f>IF(AND(Table8[[#This Row],[Availability Status]]="a",Table8[[#This Row],[Can Select]]=TRUE),1,0)</f>
        <v>0</v>
      </c>
      <c r="I318">
        <f>tblPlayers[minutes]</f>
        <v>0</v>
      </c>
      <c r="J318" s="2">
        <f>Table8[[#This Row],[Minutes]]/90</f>
        <v>0</v>
      </c>
      <c r="K318" s="5">
        <f>IFERROR(Z318/(FIXTURE_ANALYSIS!$B$1-1),0)</f>
        <v>0</v>
      </c>
      <c r="L318">
        <f>tblPlayers[total_points]</f>
        <v>0</v>
      </c>
      <c r="M318">
        <f>tblPlayers[points_per_game]</f>
        <v>0</v>
      </c>
      <c r="N318">
        <f>tblPlayers[form]</f>
        <v>0</v>
      </c>
      <c r="O318">
        <f>tblPlayers[expected_goals]</f>
        <v>0</v>
      </c>
      <c r="P318">
        <f>tblPlayers[expected_assists]</f>
        <v>0</v>
      </c>
      <c r="Q318">
        <f>tblPlayers[expected_goal_involvements]</f>
        <v>0</v>
      </c>
      <c r="R318" s="2">
        <f t="shared" si="100"/>
        <v>0</v>
      </c>
      <c r="S318" s="5">
        <f t="shared" si="101"/>
        <v>0</v>
      </c>
      <c r="T318" s="5">
        <f t="shared" si="102"/>
        <v>0</v>
      </c>
      <c r="U318" s="5">
        <f t="shared" si="103"/>
        <v>0</v>
      </c>
      <c r="V318" s="3">
        <f t="shared" si="104"/>
        <v>0</v>
      </c>
      <c r="W318" s="5">
        <f t="shared" si="105"/>
        <v>0</v>
      </c>
      <c r="X318" s="5">
        <f>IFERROR(IF(OR($B318="MID",$B318="FWD"),INDEX(FIXTURE_ANALYSIS!$Q:$Q,MATCH($D318,FIXTURE_ANALYSIS!$A:$A,0)),INDEX(FIXTURE_ANALYSIS!$R:$R,MATCH($D318,FIXTURE_ANALYSIS!$A:$A,0))),1)</f>
        <v>1.1999999999999997</v>
      </c>
      <c r="Y318" s="5">
        <f t="shared" si="106"/>
        <v>1.1999999999999997</v>
      </c>
      <c r="Z318" s="8">
        <f>INDEX(FPL_Raw_Data!$T:$T,MATCH(A318,FPL_Raw_Data!$AA:$AA,0))</f>
        <v>0</v>
      </c>
      <c r="AA318" s="8">
        <f>INDEX(FPL_Raw_Data!$S:$S,MATCH(A318,FPL_Raw_Data!$AA:$AA,0))</f>
        <v>0</v>
      </c>
      <c r="AB318" s="2">
        <f t="shared" si="107"/>
        <v>0</v>
      </c>
      <c r="AC318" s="2">
        <f>INDEX(FPL_Raw_Data!$Q:$Q,MATCH(A318,FPL_Raw_Data!$AA:$AA,0))</f>
        <v>0</v>
      </c>
      <c r="AD318" s="8">
        <f>INDEX(FPL_Raw_Data!$R:$R,MATCH(A318,FPL_Raw_Data!$AA:$AA,0))</f>
        <v>0</v>
      </c>
      <c r="AE318" s="8">
        <f>INDEX(FPL_Raw_Data!$N:$N,MATCH(A318,FPL_Raw_Data!$AA:$AA,0))</f>
        <v>0</v>
      </c>
      <c r="AF318" s="8">
        <f>INDEX(FPL_Raw_Data!$L:$L,MATCH(A318,FPL_Raw_Data!$AA:$AA,0))</f>
        <v>0</v>
      </c>
      <c r="AG318" s="2">
        <f>INDEX(FPL_Raw_Data!$M:$M,MATCH(A318,FPL_Raw_Data!$AA:$AA,0))</f>
        <v>0</v>
      </c>
      <c r="AH318" s="2">
        <f t="shared" si="108"/>
        <v>0</v>
      </c>
      <c r="AI318" s="2">
        <f t="shared" si="109"/>
        <v>0</v>
      </c>
      <c r="AJ318" s="2">
        <f t="shared" si="110"/>
        <v>0</v>
      </c>
      <c r="AK318" s="2">
        <f t="shared" si="111"/>
        <v>0</v>
      </c>
      <c r="AL318" s="2">
        <f t="shared" si="112"/>
        <v>0</v>
      </c>
      <c r="AM318" s="2">
        <f t="shared" si="113"/>
        <v>0</v>
      </c>
      <c r="AN318" s="2">
        <f t="shared" si="114"/>
        <v>0</v>
      </c>
      <c r="AO318" s="3">
        <f t="shared" si="115"/>
        <v>0.1</v>
      </c>
      <c r="AP318">
        <f t="shared" si="116"/>
        <v>0</v>
      </c>
      <c r="AQ318">
        <f t="shared" si="117"/>
        <v>0.1</v>
      </c>
      <c r="AR318">
        <f t="shared" si="118"/>
        <v>0</v>
      </c>
      <c r="AS318" s="2">
        <f t="shared" si="119"/>
        <v>0</v>
      </c>
      <c r="AT318" s="2">
        <f>IFERROR(INDEX(Player_Model!$BC$2:$BC$596,MATCH($A318,Player_Model!$A$2:$A$596,0)),0)</f>
        <v>0</v>
      </c>
      <c r="AU318" s="2">
        <f>Table8[[#This Row],[Model Expected Points]]*Table8[[#This Row],[Fixture Adjustment]]</f>
        <v>0</v>
      </c>
      <c r="AV318" s="2">
        <f>Table8[[#This Row],[Fixture Adjusted Points / 90]]/Table8[[#This Row],[Price]]</f>
        <v>0</v>
      </c>
      <c r="AW318">
        <f t="shared" si="120"/>
        <v>0</v>
      </c>
      <c r="AX318">
        <f t="shared" si="121"/>
        <v>0.59999999999999987</v>
      </c>
      <c r="AY318" s="2">
        <f t="shared" si="122"/>
        <v>0</v>
      </c>
      <c r="AZ318" s="5">
        <f t="shared" si="123"/>
        <v>1.1999999999999997</v>
      </c>
      <c r="BA318">
        <f>Table8[[#This Row],[Model Score2]]</f>
        <v>0</v>
      </c>
      <c r="BB318">
        <f>IFERROR(INDEX(Player_Model!$BG$2:$BG$596,MATCH($A318,Player_Model!$A$2:$A$596,0)),"")</f>
        <v>43</v>
      </c>
      <c r="BC318" t="str">
        <f t="shared" si="124"/>
        <v>AVOID</v>
      </c>
      <c r="BD318">
        <f>IF(H318=1,Table8[[#This Row],[Model Score]],-10000)</f>
        <v>-10000</v>
      </c>
      <c r="BE318">
        <f>IFERROR(INDEX(Player_Model!$BF$2:$BF$596,MATCH($A318,Player_Model!$A$2:$A$596,0)),"")</f>
        <v>253</v>
      </c>
      <c r="BF318">
        <f>IFERROR(INDEX(Player_Model!$BG$2:$BG$596,MATCH($A318,Player_Model!$A$2:$A$596,0)),"")</f>
        <v>43</v>
      </c>
      <c r="BG318">
        <f>IFERROR(INDEX(Player_Model!$BE$2:$BE$596,MATCH($A318,Player_Model!$A$2:$A$596,0)),0)</f>
        <v>0</v>
      </c>
    </row>
    <row r="319" spans="1:59" x14ac:dyDescent="0.25">
      <c r="A319" t="str">
        <f>tblPlayers[first_name]&amp;" "&amp;tblPlayers[second_name]</f>
        <v>John Egan</v>
      </c>
      <c r="B319" t="str">
        <f>_xlfn.SWITCH(tblPlayers[element_type],1,"GK",2,"DEF",3,"MID",4,"FWD")</f>
        <v>DEF</v>
      </c>
      <c r="C319">
        <f>tblPlayers[team]</f>
        <v>11</v>
      </c>
      <c r="D319" t="str">
        <f>INDEX(tblTeams[Column1.short_name],MATCH(C319,tblTeams[Column1.id],0))</f>
        <v>HUL</v>
      </c>
      <c r="E319" s="4">
        <f>INDEX(FPL_Raw_Data!$F:$F,MATCH(A319,FPL_Raw_Data!$AA:$AA,0))/10</f>
        <v>4.0999999999999996</v>
      </c>
      <c r="F319" s="4" t="str">
        <f>tblPlayers[[#This Row],[status]]</f>
        <v>a</v>
      </c>
      <c r="G319" s="4" t="b">
        <f>tblPlayers[[#This Row],[can_select]]</f>
        <v>1</v>
      </c>
      <c r="H319">
        <f>IF(AND(Table8[[#This Row],[Availability Status]]="a",Table8[[#This Row],[Can Select]]=TRUE),1,0)</f>
        <v>1</v>
      </c>
      <c r="I319">
        <f>tblPlayers[minutes]</f>
        <v>270</v>
      </c>
      <c r="J319" s="2">
        <f>Table8[[#This Row],[Minutes]]/90</f>
        <v>3</v>
      </c>
      <c r="K319" s="5">
        <f>IFERROR(Z319/(FIXTURE_ANALYSIS!$B$1-1),0)</f>
        <v>1</v>
      </c>
      <c r="L319">
        <f>tblPlayers[total_points]</f>
        <v>23</v>
      </c>
      <c r="M319">
        <f>tblPlayers[points_per_game]</f>
        <v>7.7</v>
      </c>
      <c r="N319">
        <f>tblPlayers[form]</f>
        <v>7.7</v>
      </c>
      <c r="O319">
        <f>tblPlayers[expected_goals]</f>
        <v>0</v>
      </c>
      <c r="P319">
        <f>tblPlayers[expected_assists]</f>
        <v>0</v>
      </c>
      <c r="Q319">
        <f>tblPlayers[expected_goal_involvements]</f>
        <v>0</v>
      </c>
      <c r="R319" s="2">
        <f t="shared" si="100"/>
        <v>7.6666666666666661</v>
      </c>
      <c r="S319" s="5">
        <f t="shared" si="101"/>
        <v>0</v>
      </c>
      <c r="T319" s="5">
        <f t="shared" si="102"/>
        <v>0</v>
      </c>
      <c r="U319" s="5">
        <f t="shared" si="103"/>
        <v>0</v>
      </c>
      <c r="V319" s="3">
        <f t="shared" si="104"/>
        <v>5.6097560975609762</v>
      </c>
      <c r="W319" s="5">
        <f t="shared" si="105"/>
        <v>0</v>
      </c>
      <c r="X319" s="5">
        <f>IFERROR(IF(OR($B319="MID",$B319="FWD"),INDEX(FIXTURE_ANALYSIS!$Q:$Q,MATCH($D319,FIXTURE_ANALYSIS!$A:$A,0)),INDEX(FIXTURE_ANALYSIS!$R:$R,MATCH($D319,FIXTURE_ANALYSIS!$A:$A,0))),1)</f>
        <v>1.1999999999999997</v>
      </c>
      <c r="Y319" s="5">
        <f t="shared" si="106"/>
        <v>1.1999999999999997</v>
      </c>
      <c r="Z319" s="8">
        <f>INDEX(FPL_Raw_Data!$T:$T,MATCH(A319,FPL_Raw_Data!$AA:$AA,0))</f>
        <v>3</v>
      </c>
      <c r="AA319" s="8">
        <f>INDEX(FPL_Raw_Data!$S:$S,MATCH(A319,FPL_Raw_Data!$AA:$AA,0))</f>
        <v>41</v>
      </c>
      <c r="AB319" s="2">
        <f t="shared" si="107"/>
        <v>1</v>
      </c>
      <c r="AC319" s="2">
        <f>INDEX(FPL_Raw_Data!$Q:$Q,MATCH(A319,FPL_Raw_Data!$AA:$AA,0))</f>
        <v>1</v>
      </c>
      <c r="AD319" s="8">
        <f>INDEX(FPL_Raw_Data!$R:$R,MATCH(A319,FPL_Raw_Data!$AA:$AA,0))</f>
        <v>70</v>
      </c>
      <c r="AE319" s="8">
        <f>INDEX(FPL_Raw_Data!$N:$N,MATCH(A319,FPL_Raw_Data!$AA:$AA,0))</f>
        <v>3</v>
      </c>
      <c r="AF319" s="8">
        <f>INDEX(FPL_Raw_Data!$L:$L,MATCH(A319,FPL_Raw_Data!$AA:$AA,0))</f>
        <v>0</v>
      </c>
      <c r="AG319" s="2">
        <f>INDEX(FPL_Raw_Data!$M:$M,MATCH(A319,FPL_Raw_Data!$AA:$AA,0))</f>
        <v>0</v>
      </c>
      <c r="AH319" s="2">
        <f t="shared" si="108"/>
        <v>0</v>
      </c>
      <c r="AI319" s="2">
        <f t="shared" si="109"/>
        <v>0</v>
      </c>
      <c r="AJ319" s="2">
        <f t="shared" si="110"/>
        <v>2</v>
      </c>
      <c r="AK319" s="2">
        <f t="shared" si="111"/>
        <v>2</v>
      </c>
      <c r="AL319" s="2">
        <f t="shared" si="112"/>
        <v>1</v>
      </c>
      <c r="AM319" s="2">
        <f t="shared" si="113"/>
        <v>4</v>
      </c>
      <c r="AN319" s="2">
        <f t="shared" si="114"/>
        <v>0.33333333333333331</v>
      </c>
      <c r="AO319" s="3">
        <f t="shared" si="115"/>
        <v>88</v>
      </c>
      <c r="AP319">
        <f t="shared" si="116"/>
        <v>0</v>
      </c>
      <c r="AQ319">
        <f t="shared" si="117"/>
        <v>99.4</v>
      </c>
      <c r="AR319">
        <f t="shared" si="118"/>
        <v>0</v>
      </c>
      <c r="AS319" s="2">
        <f t="shared" si="119"/>
        <v>100</v>
      </c>
      <c r="AT319" s="2">
        <f>IFERROR(INDEX(Player_Model!$BC$2:$BC$596,MATCH($A319,Player_Model!$A$2:$A$596,0)),0)</f>
        <v>10.502854771784229</v>
      </c>
      <c r="AU319" s="2">
        <f>Table8[[#This Row],[Model Expected Points]]*Table8[[#This Row],[Fixture Adjustment]]</f>
        <v>12.603425726141072</v>
      </c>
      <c r="AV319" s="2">
        <f>Table8[[#This Row],[Fixture Adjusted Points / 90]]/Table8[[#This Row],[Price]]</f>
        <v>3.0740062746685544</v>
      </c>
      <c r="AW319">
        <f t="shared" si="120"/>
        <v>0</v>
      </c>
      <c r="AX319">
        <f t="shared" si="121"/>
        <v>1.0999999999999999</v>
      </c>
      <c r="AY319" s="2">
        <f t="shared" si="122"/>
        <v>100</v>
      </c>
      <c r="AZ319" s="5">
        <f t="shared" si="123"/>
        <v>1.1999999999999997</v>
      </c>
      <c r="BA319">
        <f>Table8[[#This Row],[Model Score2]]</f>
        <v>10.502854771784229</v>
      </c>
      <c r="BB319">
        <f>IFERROR(INDEX(Player_Model!$BG$2:$BG$596,MATCH($A319,Player_Model!$A$2:$A$596,0)),"")</f>
        <v>1</v>
      </c>
      <c r="BC319" t="str">
        <f t="shared" si="124"/>
        <v>TOP PICK</v>
      </c>
      <c r="BD319">
        <f>IF(H319=1,Table8[[#This Row],[Model Score]],-10000)</f>
        <v>10.502854771784229</v>
      </c>
      <c r="BE319">
        <f>IFERROR(INDEX(Player_Model!$BF$2:$BF$596,MATCH($A319,Player_Model!$A$2:$A$596,0)),"")</f>
        <v>1</v>
      </c>
      <c r="BF319">
        <f>IFERROR(INDEX(Player_Model!$BG$2:$BG$596,MATCH($A319,Player_Model!$A$2:$A$596,0)),"")</f>
        <v>1</v>
      </c>
      <c r="BG319">
        <f>IFERROR(INDEX(Player_Model!$BE$2:$BE$596,MATCH($A319,Player_Model!$A$2:$A$596,0)),0)</f>
        <v>10.502854771784229</v>
      </c>
    </row>
    <row r="320" spans="1:59" x14ac:dyDescent="0.25">
      <c r="A320" t="str">
        <f>tblPlayers[first_name]&amp;" "&amp;tblPlayers[second_name]</f>
        <v>Charlie Hughes</v>
      </c>
      <c r="B320" t="str">
        <f>_xlfn.SWITCH(tblPlayers[element_type],1,"GK",2,"DEF",3,"MID",4,"FWD")</f>
        <v>DEF</v>
      </c>
      <c r="C320">
        <f>tblPlayers[team]</f>
        <v>11</v>
      </c>
      <c r="D320" t="str">
        <f>INDEX(tblTeams[Column1.short_name],MATCH(C320,tblTeams[Column1.id],0))</f>
        <v>HUL</v>
      </c>
      <c r="E320" s="4">
        <f>INDEX(FPL_Raw_Data!$F:$F,MATCH(A320,FPL_Raw_Data!$AA:$AA,0))/10</f>
        <v>4</v>
      </c>
      <c r="F320" s="4" t="str">
        <f>tblPlayers[[#This Row],[status]]</f>
        <v>i</v>
      </c>
      <c r="G320" s="4" t="b">
        <f>tblPlayers[[#This Row],[can_select]]</f>
        <v>1</v>
      </c>
      <c r="H320">
        <f>IF(AND(Table8[[#This Row],[Availability Status]]="a",Table8[[#This Row],[Can Select]]=TRUE),1,0)</f>
        <v>0</v>
      </c>
      <c r="I320">
        <f>tblPlayers[minutes]</f>
        <v>0</v>
      </c>
      <c r="J320" s="2">
        <f>Table8[[#This Row],[Minutes]]/90</f>
        <v>0</v>
      </c>
      <c r="K320" s="5">
        <f>IFERROR(Z320/(FIXTURE_ANALYSIS!$B$1-1),0)</f>
        <v>0</v>
      </c>
      <c r="L320">
        <f>tblPlayers[total_points]</f>
        <v>0</v>
      </c>
      <c r="M320">
        <f>tblPlayers[points_per_game]</f>
        <v>0</v>
      </c>
      <c r="N320">
        <f>tblPlayers[form]</f>
        <v>0</v>
      </c>
      <c r="O320">
        <f>tblPlayers[expected_goals]</f>
        <v>0</v>
      </c>
      <c r="P320">
        <f>tblPlayers[expected_assists]</f>
        <v>0</v>
      </c>
      <c r="Q320">
        <f>tblPlayers[expected_goal_involvements]</f>
        <v>0</v>
      </c>
      <c r="R320" s="2">
        <f t="shared" si="100"/>
        <v>0</v>
      </c>
      <c r="S320" s="5">
        <f t="shared" si="101"/>
        <v>0</v>
      </c>
      <c r="T320" s="5">
        <f t="shared" si="102"/>
        <v>0</v>
      </c>
      <c r="U320" s="5">
        <f t="shared" si="103"/>
        <v>0</v>
      </c>
      <c r="V320" s="3">
        <f t="shared" si="104"/>
        <v>0</v>
      </c>
      <c r="W320" s="5">
        <f t="shared" si="105"/>
        <v>0</v>
      </c>
      <c r="X320" s="5">
        <f>IFERROR(IF(OR($B320="MID",$B320="FWD"),INDEX(FIXTURE_ANALYSIS!$Q:$Q,MATCH($D320,FIXTURE_ANALYSIS!$A:$A,0)),INDEX(FIXTURE_ANALYSIS!$R:$R,MATCH($D320,FIXTURE_ANALYSIS!$A:$A,0))),1)</f>
        <v>1.1999999999999997</v>
      </c>
      <c r="Y320" s="5">
        <f t="shared" si="106"/>
        <v>1.1999999999999997</v>
      </c>
      <c r="Z320" s="8">
        <f>INDEX(FPL_Raw_Data!$T:$T,MATCH(A320,FPL_Raw_Data!$AA:$AA,0))</f>
        <v>0</v>
      </c>
      <c r="AA320" s="8">
        <f>INDEX(FPL_Raw_Data!$S:$S,MATCH(A320,FPL_Raw_Data!$AA:$AA,0))</f>
        <v>0</v>
      </c>
      <c r="AB320" s="2">
        <f t="shared" si="107"/>
        <v>0</v>
      </c>
      <c r="AC320" s="2">
        <f>INDEX(FPL_Raw_Data!$Q:$Q,MATCH(A320,FPL_Raw_Data!$AA:$AA,0))</f>
        <v>0</v>
      </c>
      <c r="AD320" s="8">
        <f>INDEX(FPL_Raw_Data!$R:$R,MATCH(A320,FPL_Raw_Data!$AA:$AA,0))</f>
        <v>0</v>
      </c>
      <c r="AE320" s="8">
        <f>INDEX(FPL_Raw_Data!$N:$N,MATCH(A320,FPL_Raw_Data!$AA:$AA,0))</f>
        <v>0</v>
      </c>
      <c r="AF320" s="8">
        <f>INDEX(FPL_Raw_Data!$L:$L,MATCH(A320,FPL_Raw_Data!$AA:$AA,0))</f>
        <v>0</v>
      </c>
      <c r="AG320" s="2">
        <f>INDEX(FPL_Raw_Data!$M:$M,MATCH(A320,FPL_Raw_Data!$AA:$AA,0))</f>
        <v>0</v>
      </c>
      <c r="AH320" s="2">
        <f t="shared" si="108"/>
        <v>0</v>
      </c>
      <c r="AI320" s="2">
        <f t="shared" si="109"/>
        <v>0</v>
      </c>
      <c r="AJ320" s="2">
        <f t="shared" si="110"/>
        <v>0</v>
      </c>
      <c r="AK320" s="2">
        <f t="shared" si="111"/>
        <v>0</v>
      </c>
      <c r="AL320" s="2">
        <f t="shared" si="112"/>
        <v>0</v>
      </c>
      <c r="AM320" s="2">
        <f t="shared" si="113"/>
        <v>0</v>
      </c>
      <c r="AN320" s="2">
        <f t="shared" si="114"/>
        <v>0</v>
      </c>
      <c r="AO320" s="3">
        <f t="shared" si="115"/>
        <v>0.1</v>
      </c>
      <c r="AP320">
        <f t="shared" si="116"/>
        <v>0</v>
      </c>
      <c r="AQ320">
        <f t="shared" si="117"/>
        <v>0.1</v>
      </c>
      <c r="AR320">
        <f t="shared" si="118"/>
        <v>0</v>
      </c>
      <c r="AS320" s="2">
        <f t="shared" si="119"/>
        <v>0</v>
      </c>
      <c r="AT320" s="2">
        <f>IFERROR(INDEX(Player_Model!$BC$2:$BC$596,MATCH($A320,Player_Model!$A$2:$A$596,0)),0)</f>
        <v>0</v>
      </c>
      <c r="AU320" s="2">
        <f>Table8[[#This Row],[Model Expected Points]]*Table8[[#This Row],[Fixture Adjustment]]</f>
        <v>0</v>
      </c>
      <c r="AV320" s="2">
        <f>Table8[[#This Row],[Fixture Adjusted Points / 90]]/Table8[[#This Row],[Price]]</f>
        <v>0</v>
      </c>
      <c r="AW320">
        <f t="shared" si="120"/>
        <v>0</v>
      </c>
      <c r="AX320">
        <f t="shared" si="121"/>
        <v>0.59999999999999987</v>
      </c>
      <c r="AY320" s="2">
        <f t="shared" si="122"/>
        <v>0</v>
      </c>
      <c r="AZ320" s="5">
        <f t="shared" si="123"/>
        <v>1.1999999999999997</v>
      </c>
      <c r="BA320">
        <f>Table8[[#This Row],[Model Score2]]</f>
        <v>0</v>
      </c>
      <c r="BB320">
        <f>IFERROR(INDEX(Player_Model!$BG$2:$BG$596,MATCH($A320,Player_Model!$A$2:$A$596,0)),"")</f>
        <v>97</v>
      </c>
      <c r="BC320" t="str">
        <f t="shared" si="124"/>
        <v>AVOID</v>
      </c>
      <c r="BD320">
        <f>IF(H320=1,Table8[[#This Row],[Model Score]],-10000)</f>
        <v>-10000</v>
      </c>
      <c r="BE320">
        <f>IFERROR(INDEX(Player_Model!$BF$2:$BF$596,MATCH($A320,Player_Model!$A$2:$A$596,0)),"")</f>
        <v>253</v>
      </c>
      <c r="BF320">
        <f>IFERROR(INDEX(Player_Model!$BG$2:$BG$596,MATCH($A320,Player_Model!$A$2:$A$596,0)),"")</f>
        <v>97</v>
      </c>
      <c r="BG320">
        <f>IFERROR(INDEX(Player_Model!$BE$2:$BE$596,MATCH($A320,Player_Model!$A$2:$A$596,0)),0)</f>
        <v>0</v>
      </c>
    </row>
    <row r="321" spans="1:59" x14ac:dyDescent="0.25">
      <c r="A321" t="str">
        <f>tblPlayers[first_name]&amp;" "&amp;tblPlayers[second_name]</f>
        <v>Semi Ajayi</v>
      </c>
      <c r="B321" t="str">
        <f>_xlfn.SWITCH(tblPlayers[element_type],1,"GK",2,"DEF",3,"MID",4,"FWD")</f>
        <v>DEF</v>
      </c>
      <c r="C321">
        <f>tblPlayers[team]</f>
        <v>11</v>
      </c>
      <c r="D321" t="str">
        <f>INDEX(tblTeams[Column1.short_name],MATCH(C321,tblTeams[Column1.id],0))</f>
        <v>HUL</v>
      </c>
      <c r="E321" s="4">
        <f>INDEX(FPL_Raw_Data!$F:$F,MATCH(A321,FPL_Raw_Data!$AA:$AA,0))/10</f>
        <v>4.0999999999999996</v>
      </c>
      <c r="F321" s="4" t="str">
        <f>tblPlayers[[#This Row],[status]]</f>
        <v>a</v>
      </c>
      <c r="G321" s="4" t="b">
        <f>tblPlayers[[#This Row],[can_select]]</f>
        <v>1</v>
      </c>
      <c r="H321">
        <f>IF(AND(Table8[[#This Row],[Availability Status]]="a",Table8[[#This Row],[Can Select]]=TRUE),1,0)</f>
        <v>1</v>
      </c>
      <c r="I321">
        <f>tblPlayers[minutes]</f>
        <v>243</v>
      </c>
      <c r="J321" s="2">
        <f>Table8[[#This Row],[Minutes]]/90</f>
        <v>2.7</v>
      </c>
      <c r="K321" s="5">
        <f>IFERROR(Z321/(FIXTURE_ANALYSIS!$B$1-1),0)</f>
        <v>1</v>
      </c>
      <c r="L321">
        <f>tblPlayers[total_points]</f>
        <v>25</v>
      </c>
      <c r="M321">
        <f>tblPlayers[points_per_game]</f>
        <v>8.3000000000000007</v>
      </c>
      <c r="N321">
        <f>tblPlayers[form]</f>
        <v>8.3000000000000007</v>
      </c>
      <c r="O321">
        <f>tblPlayers[expected_goals]</f>
        <v>0.52</v>
      </c>
      <c r="P321">
        <f>tblPlayers[expected_assists]</f>
        <v>0</v>
      </c>
      <c r="Q321">
        <f>tblPlayers[expected_goal_involvements]</f>
        <v>0.52</v>
      </c>
      <c r="R321" s="2">
        <f t="shared" si="100"/>
        <v>9.2592592592592595</v>
      </c>
      <c r="S321" s="5">
        <f t="shared" si="101"/>
        <v>0.19259259259259259</v>
      </c>
      <c r="T321" s="5">
        <f t="shared" si="102"/>
        <v>0</v>
      </c>
      <c r="U321" s="5">
        <f t="shared" si="103"/>
        <v>0.19259259259259259</v>
      </c>
      <c r="V321" s="3">
        <f t="shared" si="104"/>
        <v>6.0975609756097562</v>
      </c>
      <c r="W321" s="5">
        <f t="shared" si="105"/>
        <v>0.12682926829268293</v>
      </c>
      <c r="X321" s="5">
        <f>IFERROR(IF(OR($B321="MID",$B321="FWD"),INDEX(FIXTURE_ANALYSIS!$Q:$Q,MATCH($D321,FIXTURE_ANALYSIS!$A:$A,0)),INDEX(FIXTURE_ANALYSIS!$R:$R,MATCH($D321,FIXTURE_ANALYSIS!$A:$A,0))),1)</f>
        <v>1.1999999999999997</v>
      </c>
      <c r="Y321" s="5">
        <f t="shared" si="106"/>
        <v>1.1999999999999997</v>
      </c>
      <c r="Z321" s="8">
        <f>INDEX(FPL_Raw_Data!$T:$T,MATCH(A321,FPL_Raw_Data!$AA:$AA,0))</f>
        <v>3</v>
      </c>
      <c r="AA321" s="8">
        <f>INDEX(FPL_Raw_Data!$S:$S,MATCH(A321,FPL_Raw_Data!$AA:$AA,0))</f>
        <v>20</v>
      </c>
      <c r="AB321" s="2">
        <f t="shared" si="107"/>
        <v>1</v>
      </c>
      <c r="AC321" s="2">
        <f>INDEX(FPL_Raw_Data!$Q:$Q,MATCH(A321,FPL_Raw_Data!$AA:$AA,0))</f>
        <v>2</v>
      </c>
      <c r="AD321" s="8">
        <f>INDEX(FPL_Raw_Data!$R:$R,MATCH(A321,FPL_Raw_Data!$AA:$AA,0))</f>
        <v>80</v>
      </c>
      <c r="AE321" s="8">
        <f>INDEX(FPL_Raw_Data!$N:$N,MATCH(A321,FPL_Raw_Data!$AA:$AA,0))</f>
        <v>3</v>
      </c>
      <c r="AF321" s="8">
        <f>INDEX(FPL_Raw_Data!$L:$L,MATCH(A321,FPL_Raw_Data!$AA:$AA,0))</f>
        <v>1</v>
      </c>
      <c r="AG321" s="2">
        <f>INDEX(FPL_Raw_Data!$M:$M,MATCH(A321,FPL_Raw_Data!$AA:$AA,0))</f>
        <v>0</v>
      </c>
      <c r="AH321" s="2">
        <f t="shared" si="108"/>
        <v>1.1555555555555554</v>
      </c>
      <c r="AI321" s="2">
        <f t="shared" si="109"/>
        <v>0</v>
      </c>
      <c r="AJ321" s="2">
        <f t="shared" si="110"/>
        <v>2</v>
      </c>
      <c r="AK321" s="2">
        <f t="shared" si="111"/>
        <v>2</v>
      </c>
      <c r="AL321" s="2">
        <f t="shared" si="112"/>
        <v>1</v>
      </c>
      <c r="AM321" s="2">
        <f t="shared" si="113"/>
        <v>4</v>
      </c>
      <c r="AN321" s="2">
        <f t="shared" si="114"/>
        <v>0.66666666666666663</v>
      </c>
      <c r="AO321" s="3">
        <f t="shared" si="115"/>
        <v>92.4</v>
      </c>
      <c r="AP321">
        <f t="shared" si="116"/>
        <v>75.7</v>
      </c>
      <c r="AQ321">
        <f t="shared" si="117"/>
        <v>100</v>
      </c>
      <c r="AR321">
        <f t="shared" si="118"/>
        <v>88.7</v>
      </c>
      <c r="AS321" s="2">
        <f t="shared" si="119"/>
        <v>100</v>
      </c>
      <c r="AT321" s="2">
        <f>IFERROR(INDEX(Player_Model!$BC$2:$BC$596,MATCH($A321,Player_Model!$A$2:$A$596,0)),0)</f>
        <v>10.364444444444441</v>
      </c>
      <c r="AU321" s="2">
        <f>Table8[[#This Row],[Model Expected Points]]*Table8[[#This Row],[Fixture Adjustment]]</f>
        <v>12.437333333333326</v>
      </c>
      <c r="AV321" s="2">
        <f>Table8[[#This Row],[Fixture Adjusted Points / 90]]/Table8[[#This Row],[Price]]</f>
        <v>3.033495934959348</v>
      </c>
      <c r="AW321">
        <f t="shared" si="120"/>
        <v>75.7</v>
      </c>
      <c r="AX321">
        <f t="shared" si="121"/>
        <v>1.0999999999999999</v>
      </c>
      <c r="AY321" s="2">
        <f t="shared" si="122"/>
        <v>100</v>
      </c>
      <c r="AZ321" s="5">
        <f t="shared" si="123"/>
        <v>1.1999999999999997</v>
      </c>
      <c r="BA321">
        <f>Table8[[#This Row],[Model Score2]]</f>
        <v>10.364444444444441</v>
      </c>
      <c r="BB321">
        <f>IFERROR(INDEX(Player_Model!$BG$2:$BG$596,MATCH($A321,Player_Model!$A$2:$A$596,0)),"")</f>
        <v>2</v>
      </c>
      <c r="BC321" t="str">
        <f t="shared" si="124"/>
        <v>STRONG PICK</v>
      </c>
      <c r="BD321">
        <f>IF(H321=1,Table8[[#This Row],[Model Score]],-10000)</f>
        <v>10.364444444444441</v>
      </c>
      <c r="BE321">
        <f>IFERROR(INDEX(Player_Model!$BF$2:$BF$596,MATCH($A321,Player_Model!$A$2:$A$596,0)),"")</f>
        <v>2</v>
      </c>
      <c r="BF321">
        <f>IFERROR(INDEX(Player_Model!$BG$2:$BG$596,MATCH($A321,Player_Model!$A$2:$A$596,0)),"")</f>
        <v>2</v>
      </c>
      <c r="BG321">
        <f>IFERROR(INDEX(Player_Model!$BE$2:$BE$596,MATCH($A321,Player_Model!$A$2:$A$596,0)),0)</f>
        <v>10.364444444444441</v>
      </c>
    </row>
    <row r="322" spans="1:59" x14ac:dyDescent="0.25">
      <c r="A322" t="str">
        <f>tblPlayers[first_name]&amp;" "&amp;tblPlayers[second_name]</f>
        <v>Lewie Coyle</v>
      </c>
      <c r="B322" t="str">
        <f>_xlfn.SWITCH(tblPlayers[element_type],1,"GK",2,"DEF",3,"MID",4,"FWD")</f>
        <v>DEF</v>
      </c>
      <c r="C322">
        <f>tblPlayers[team]</f>
        <v>11</v>
      </c>
      <c r="D322" t="str">
        <f>INDEX(tblTeams[Column1.short_name],MATCH(C322,tblTeams[Column1.id],0))</f>
        <v>HUL</v>
      </c>
      <c r="E322" s="4">
        <f>INDEX(FPL_Raw_Data!$F:$F,MATCH(A322,FPL_Raw_Data!$AA:$AA,0))/10</f>
        <v>4</v>
      </c>
      <c r="F322" s="4" t="str">
        <f>tblPlayers[[#This Row],[status]]</f>
        <v>a</v>
      </c>
      <c r="G322" s="4" t="b">
        <f>tblPlayers[[#This Row],[can_select]]</f>
        <v>1</v>
      </c>
      <c r="H322">
        <f>IF(AND(Table8[[#This Row],[Availability Status]]="a",Table8[[#This Row],[Can Select]]=TRUE),1,0)</f>
        <v>1</v>
      </c>
      <c r="I322">
        <f>tblPlayers[minutes]</f>
        <v>177</v>
      </c>
      <c r="J322" s="2">
        <f>Table8[[#This Row],[Minutes]]/90</f>
        <v>1.9666666666666666</v>
      </c>
      <c r="K322" s="5">
        <f>IFERROR(Z322/(FIXTURE_ANALYSIS!$B$1-1),0)</f>
        <v>1</v>
      </c>
      <c r="L322">
        <f>tblPlayers[total_points]</f>
        <v>12</v>
      </c>
      <c r="M322">
        <f>tblPlayers[points_per_game]</f>
        <v>4</v>
      </c>
      <c r="N322">
        <f>tblPlayers[form]</f>
        <v>4</v>
      </c>
      <c r="O322">
        <f>tblPlayers[expected_goals]</f>
        <v>0</v>
      </c>
      <c r="P322">
        <f>tblPlayers[expected_assists]</f>
        <v>0.02</v>
      </c>
      <c r="Q322">
        <f>tblPlayers[expected_goal_involvements]</f>
        <v>0.02</v>
      </c>
      <c r="R322" s="2">
        <f t="shared" ref="R322:R385" si="125">IF(I322=0,0,L322/I322*90)</f>
        <v>6.101694915254237</v>
      </c>
      <c r="S322" s="5">
        <f t="shared" ref="S322:S385" si="126">IF(I322=0,0,O322/I322*90)</f>
        <v>0</v>
      </c>
      <c r="T322" s="5">
        <f t="shared" ref="T322:T385" si="127">IF(I322=0,0,P322/I322*90)</f>
        <v>1.0169491525423728E-2</v>
      </c>
      <c r="U322" s="5">
        <f t="shared" ref="U322:U385" si="128">IF(I322=0,0,Q322/I322*90)</f>
        <v>1.0169491525423728E-2</v>
      </c>
      <c r="V322" s="3">
        <f t="shared" ref="V322:V385" si="129">IF(E322=0,0,L322/E322)</f>
        <v>3</v>
      </c>
      <c r="W322" s="5">
        <f t="shared" ref="W322:W385" si="130">IF(E322=0,0,Q322/E322)</f>
        <v>5.0000000000000001E-3</v>
      </c>
      <c r="X322" s="5">
        <f>IFERROR(IF(OR($B322="MID",$B322="FWD"),INDEX(FIXTURE_ANALYSIS!$Q:$Q,MATCH($D322,FIXTURE_ANALYSIS!$A:$A,0)),INDEX(FIXTURE_ANALYSIS!$R:$R,MATCH($D322,FIXTURE_ANALYSIS!$A:$A,0))),1)</f>
        <v>1.1999999999999997</v>
      </c>
      <c r="Y322" s="5">
        <f t="shared" ref="Y322:Y385" si="131">X322</f>
        <v>1.1999999999999997</v>
      </c>
      <c r="Z322" s="8">
        <f>INDEX(FPL_Raw_Data!$T:$T,MATCH(A322,FPL_Raw_Data!$AA:$AA,0))</f>
        <v>3</v>
      </c>
      <c r="AA322" s="8">
        <f>INDEX(FPL_Raw_Data!$S:$S,MATCH(A322,FPL_Raw_Data!$AA:$AA,0))</f>
        <v>6</v>
      </c>
      <c r="AB322" s="2">
        <f t="shared" ref="AB322:AB385" si="132">IF(B322="DEF",MIN(AA322/10,1),IF(OR(B322="MID",B322="FWD"),MIN(AA322/12,1),0))</f>
        <v>0.6</v>
      </c>
      <c r="AC322" s="2">
        <f>INDEX(FPL_Raw_Data!$Q:$Q,MATCH(A322,FPL_Raw_Data!$AA:$AA,0))</f>
        <v>0</v>
      </c>
      <c r="AD322" s="8">
        <f>INDEX(FPL_Raw_Data!$R:$R,MATCH(A322,FPL_Raw_Data!$AA:$AA,0))</f>
        <v>44</v>
      </c>
      <c r="AE322" s="8">
        <f>INDEX(FPL_Raw_Data!$N:$N,MATCH(A322,FPL_Raw_Data!$AA:$AA,0))</f>
        <v>2</v>
      </c>
      <c r="AF322" s="8">
        <f>INDEX(FPL_Raw_Data!$L:$L,MATCH(A322,FPL_Raw_Data!$AA:$AA,0))</f>
        <v>0</v>
      </c>
      <c r="AG322" s="2">
        <f>INDEX(FPL_Raw_Data!$M:$M,MATCH(A322,FPL_Raw_Data!$AA:$AA,0))</f>
        <v>0</v>
      </c>
      <c r="AH322" s="2">
        <f t="shared" ref="AH322:AH385" si="133">IF(B322="GK",S322*10,IF(B322="DEF",S322*6,IF(B322="MID",S322*5,S322*4)))</f>
        <v>0</v>
      </c>
      <c r="AI322" s="2">
        <f t="shared" ref="AI322:AI385" si="134">T322*3</f>
        <v>3.0508474576271184E-2</v>
      </c>
      <c r="AJ322" s="2">
        <f t="shared" ref="AJ322:AJ385" si="135">K322*2</f>
        <v>2</v>
      </c>
      <c r="AK322" s="2">
        <f t="shared" ref="AK322:AK385" si="136">AB322*2</f>
        <v>1.2</v>
      </c>
      <c r="AL322" s="2">
        <f t="shared" ref="AL322:AL385" si="137">IFERROR(AE322/Z322,0)</f>
        <v>0.66666666666666663</v>
      </c>
      <c r="AM322" s="2">
        <f t="shared" ref="AM322:AM385" si="138">IF(OR(B322="GK",B322="DEF"),AL322*4,IF(B322="MID",AL322*1,0))</f>
        <v>2.6666666666666665</v>
      </c>
      <c r="AN322" s="2">
        <f t="shared" ref="AN322:AN385" si="139">IFERROR(AC322/Z322,0)</f>
        <v>0</v>
      </c>
      <c r="AO322" s="3">
        <f t="shared" ref="AO322:AO385" si="140">IFERROR(_xlfn.PERCENTRANK.INC($R$2:$R$700,R322)*100,0)</f>
        <v>82.3</v>
      </c>
      <c r="AP322">
        <f t="shared" ref="AP322:AP385" si="141">IFERROR(_xlfn.PERCENTRANK.INC($U$2:$U$700,U322)*100,0)</f>
        <v>53.7</v>
      </c>
      <c r="AQ322">
        <f t="shared" ref="AQ322:AQ385" si="142">IFERROR(_xlfn.PERCENTRANK.INC($V$2:$V$700,V322)*100,0)</f>
        <v>94.899999999999991</v>
      </c>
      <c r="AR322">
        <f t="shared" ref="AR322:AR385" si="143">IFERROR(_xlfn.PERCENTRANK.INC($W$2:$W$700,W322)*100,0)</f>
        <v>56.000000000000007</v>
      </c>
      <c r="AS322" s="2">
        <f t="shared" ref="AS322:AS385" si="144">K322*100</f>
        <v>100</v>
      </c>
      <c r="AT322" s="2">
        <f>IFERROR(INDEX(Player_Model!$BC$2:$BC$596,MATCH($A322,Player_Model!$A$2:$A$596,0)),0)</f>
        <v>6.3688135593220325</v>
      </c>
      <c r="AU322" s="2">
        <f>Table8[[#This Row],[Model Expected Points]]*Table8[[#This Row],[Fixture Adjustment]]</f>
        <v>7.6425762711864369</v>
      </c>
      <c r="AV322" s="2">
        <f>Table8[[#This Row],[Fixture Adjusted Points / 90]]/Table8[[#This Row],[Price]]</f>
        <v>1.9106440677966092</v>
      </c>
      <c r="AW322">
        <f t="shared" ref="AW322:AW385" si="145">IF(OR(B322="MID",B322="FWD"),AVERAGE(AO322,AP322),IF(B322="DEF",AP322,0))</f>
        <v>53.7</v>
      </c>
      <c r="AX322">
        <f t="shared" ref="AX322:AX385" si="146">IF(B322="GK",AVERAGE(AS322,X322),IF(B322="DEF",AVERAGE(AB322,X322),IF(B322="MID",AB322,0)))</f>
        <v>0.89999999999999991</v>
      </c>
      <c r="AY322" s="2">
        <f t="shared" ref="AY322:AY385" si="147">AS322</f>
        <v>100</v>
      </c>
      <c r="AZ322" s="5">
        <f t="shared" ref="AZ322:AZ385" si="148">X322</f>
        <v>1.1999999999999997</v>
      </c>
      <c r="BA322">
        <f>Table8[[#This Row],[Model Score2]]</f>
        <v>6.3688135593220325</v>
      </c>
      <c r="BB322">
        <f>IFERROR(INDEX(Player_Model!$BG$2:$BG$596,MATCH($A322,Player_Model!$A$2:$A$596,0)),"")</f>
        <v>17</v>
      </c>
      <c r="BC322" t="str">
        <f t="shared" ref="BC322:BC385" si="149">IF(BB322=1,"TOP PICK",IF(BB322&lt;=5,"STRONG PICK",IF(BB322&lt;=10,"CONSIDER","AVOID")))</f>
        <v>AVOID</v>
      </c>
      <c r="BD322">
        <f>IF(H322=1,Table8[[#This Row],[Model Score]],-10000)</f>
        <v>6.3688135593220325</v>
      </c>
      <c r="BE322">
        <f>IFERROR(INDEX(Player_Model!$BF$2:$BF$596,MATCH($A322,Player_Model!$A$2:$A$596,0)),"")</f>
        <v>32</v>
      </c>
      <c r="BF322">
        <f>IFERROR(INDEX(Player_Model!$BG$2:$BG$596,MATCH($A322,Player_Model!$A$2:$A$596,0)),"")</f>
        <v>17</v>
      </c>
      <c r="BG322">
        <f>IFERROR(INDEX(Player_Model!$BE$2:$BE$596,MATCH($A322,Player_Model!$A$2:$A$596,0)),0)</f>
        <v>6.3688135593220325</v>
      </c>
    </row>
    <row r="323" spans="1:59" x14ac:dyDescent="0.25">
      <c r="A323" t="str">
        <f>tblPlayers[first_name]&amp;" "&amp;tblPlayers[second_name]</f>
        <v>Cody Drameh</v>
      </c>
      <c r="B323" t="str">
        <f>_xlfn.SWITCH(tblPlayers[element_type],1,"GK",2,"DEF",3,"MID",4,"FWD")</f>
        <v>DEF</v>
      </c>
      <c r="C323">
        <f>tblPlayers[team]</f>
        <v>11</v>
      </c>
      <c r="D323" t="str">
        <f>INDEX(tblTeams[Column1.short_name],MATCH(C323,tblTeams[Column1.id],0))</f>
        <v>HUL</v>
      </c>
      <c r="E323" s="4">
        <f>INDEX(FPL_Raw_Data!$F:$F,MATCH(A323,FPL_Raw_Data!$AA:$AA,0))/10</f>
        <v>4</v>
      </c>
      <c r="F323" s="4" t="str">
        <f>tblPlayers[[#This Row],[status]]</f>
        <v>u</v>
      </c>
      <c r="G323" s="4" t="b">
        <f>tblPlayers[[#This Row],[can_select]]</f>
        <v>0</v>
      </c>
      <c r="H323">
        <f>IF(AND(Table8[[#This Row],[Availability Status]]="a",Table8[[#This Row],[Can Select]]=TRUE),1,0)</f>
        <v>0</v>
      </c>
      <c r="I323">
        <f>tblPlayers[minutes]</f>
        <v>65</v>
      </c>
      <c r="J323" s="2">
        <f>Table8[[#This Row],[Minutes]]/90</f>
        <v>0.72222222222222221</v>
      </c>
      <c r="K323" s="5">
        <f>IFERROR(Z323/(FIXTURE_ANALYSIS!$B$1-1),0)</f>
        <v>0</v>
      </c>
      <c r="L323">
        <f>tblPlayers[total_points]</f>
        <v>2</v>
      </c>
      <c r="M323">
        <f>tblPlayers[points_per_game]</f>
        <v>1</v>
      </c>
      <c r="N323">
        <f>tblPlayers[form]</f>
        <v>0.7</v>
      </c>
      <c r="O323">
        <f>tblPlayers[expected_goals]</f>
        <v>0.05</v>
      </c>
      <c r="P323">
        <f>tblPlayers[expected_assists]</f>
        <v>0</v>
      </c>
      <c r="Q323">
        <f>tblPlayers[expected_goal_involvements]</f>
        <v>0.05</v>
      </c>
      <c r="R323" s="2">
        <f t="shared" si="125"/>
        <v>2.7692307692307692</v>
      </c>
      <c r="S323" s="5">
        <f t="shared" si="126"/>
        <v>6.9230769230769235E-2</v>
      </c>
      <c r="T323" s="5">
        <f t="shared" si="127"/>
        <v>0</v>
      </c>
      <c r="U323" s="5">
        <f t="shared" si="128"/>
        <v>6.9230769230769235E-2</v>
      </c>
      <c r="V323" s="3">
        <f t="shared" si="129"/>
        <v>0.5</v>
      </c>
      <c r="W323" s="5">
        <f t="shared" si="130"/>
        <v>1.2500000000000001E-2</v>
      </c>
      <c r="X323" s="5">
        <f>IFERROR(IF(OR($B323="MID",$B323="FWD"),INDEX(FIXTURE_ANALYSIS!$Q:$Q,MATCH($D323,FIXTURE_ANALYSIS!$A:$A,0)),INDEX(FIXTURE_ANALYSIS!$R:$R,MATCH($D323,FIXTURE_ANALYSIS!$A:$A,0))),1)</f>
        <v>1.1999999999999997</v>
      </c>
      <c r="Y323" s="5">
        <f t="shared" si="131"/>
        <v>1.1999999999999997</v>
      </c>
      <c r="Z323" s="8">
        <f>INDEX(FPL_Raw_Data!$T:$T,MATCH(A323,FPL_Raw_Data!$AA:$AA,0))</f>
        <v>0</v>
      </c>
      <c r="AA323" s="8">
        <f>INDEX(FPL_Raw_Data!$S:$S,MATCH(A323,FPL_Raw_Data!$AA:$AA,0))</f>
        <v>6</v>
      </c>
      <c r="AB323" s="2">
        <f t="shared" si="132"/>
        <v>0.6</v>
      </c>
      <c r="AC323" s="2">
        <f>INDEX(FPL_Raw_Data!$Q:$Q,MATCH(A323,FPL_Raw_Data!$AA:$AA,0))</f>
        <v>0</v>
      </c>
      <c r="AD323" s="8">
        <f>INDEX(FPL_Raw_Data!$R:$R,MATCH(A323,FPL_Raw_Data!$AA:$AA,0))</f>
        <v>8</v>
      </c>
      <c r="AE323" s="8">
        <f>INDEX(FPL_Raw_Data!$N:$N,MATCH(A323,FPL_Raw_Data!$AA:$AA,0))</f>
        <v>0</v>
      </c>
      <c r="AF323" s="8">
        <f>INDEX(FPL_Raw_Data!$L:$L,MATCH(A323,FPL_Raw_Data!$AA:$AA,0))</f>
        <v>0</v>
      </c>
      <c r="AG323" s="2">
        <f>INDEX(FPL_Raw_Data!$M:$M,MATCH(A323,FPL_Raw_Data!$AA:$AA,0))</f>
        <v>0</v>
      </c>
      <c r="AH323" s="2">
        <f t="shared" si="133"/>
        <v>0.41538461538461541</v>
      </c>
      <c r="AI323" s="2">
        <f t="shared" si="134"/>
        <v>0</v>
      </c>
      <c r="AJ323" s="2">
        <f t="shared" si="135"/>
        <v>0</v>
      </c>
      <c r="AK323" s="2">
        <f t="shared" si="136"/>
        <v>1.2</v>
      </c>
      <c r="AL323" s="2">
        <f t="shared" si="137"/>
        <v>0</v>
      </c>
      <c r="AM323" s="2">
        <f t="shared" si="138"/>
        <v>0</v>
      </c>
      <c r="AN323" s="2">
        <f t="shared" si="139"/>
        <v>0</v>
      </c>
      <c r="AO323" s="3">
        <f t="shared" si="140"/>
        <v>55.7</v>
      </c>
      <c r="AP323">
        <f t="shared" si="141"/>
        <v>65.100000000000009</v>
      </c>
      <c r="AQ323">
        <f t="shared" si="142"/>
        <v>58.199999999999996</v>
      </c>
      <c r="AR323">
        <f t="shared" si="143"/>
        <v>61.7</v>
      </c>
      <c r="AS323" s="2">
        <f t="shared" si="144"/>
        <v>0</v>
      </c>
      <c r="AT323" s="2">
        <f>IFERROR(INDEX(Player_Model!$BC$2:$BC$596,MATCH($A323,Player_Model!$A$2:$A$596,0)),0)</f>
        <v>0</v>
      </c>
      <c r="AU323" s="2">
        <f>Table8[[#This Row],[Model Expected Points]]*Table8[[#This Row],[Fixture Adjustment]]</f>
        <v>0</v>
      </c>
      <c r="AV323" s="2">
        <f>Table8[[#This Row],[Fixture Adjusted Points / 90]]/Table8[[#This Row],[Price]]</f>
        <v>0</v>
      </c>
      <c r="AW323">
        <f t="shared" si="145"/>
        <v>65.100000000000009</v>
      </c>
      <c r="AX323">
        <f t="shared" si="146"/>
        <v>0.89999999999999991</v>
      </c>
      <c r="AY323" s="2">
        <f t="shared" si="147"/>
        <v>0</v>
      </c>
      <c r="AZ323" s="5">
        <f t="shared" si="148"/>
        <v>1.1999999999999997</v>
      </c>
      <c r="BA323">
        <f>Table8[[#This Row],[Model Score2]]</f>
        <v>0</v>
      </c>
      <c r="BB323">
        <f>IFERROR(INDEX(Player_Model!$BG$2:$BG$596,MATCH($A323,Player_Model!$A$2:$A$596,0)),"")</f>
        <v>98</v>
      </c>
      <c r="BC323" t="str">
        <f t="shared" si="149"/>
        <v>AVOID</v>
      </c>
      <c r="BD323">
        <f>IF(H323=1,Table8[[#This Row],[Model Score]],-10000)</f>
        <v>-10000</v>
      </c>
      <c r="BE323">
        <f>IFERROR(INDEX(Player_Model!$BF$2:$BF$596,MATCH($A323,Player_Model!$A$2:$A$596,0)),"")</f>
        <v>253</v>
      </c>
      <c r="BF323">
        <f>IFERROR(INDEX(Player_Model!$BG$2:$BG$596,MATCH($A323,Player_Model!$A$2:$A$596,0)),"")</f>
        <v>98</v>
      </c>
      <c r="BG323">
        <f>IFERROR(INDEX(Player_Model!$BE$2:$BE$596,MATCH($A323,Player_Model!$A$2:$A$596,0)),0)</f>
        <v>0</v>
      </c>
    </row>
    <row r="324" spans="1:59" x14ac:dyDescent="0.25">
      <c r="A324" t="str">
        <f>tblPlayers[first_name]&amp;" "&amp;tblPlayers[second_name]</f>
        <v>Ryan Giles</v>
      </c>
      <c r="B324" t="str">
        <f>_xlfn.SWITCH(tblPlayers[element_type],1,"GK",2,"DEF",3,"MID",4,"FWD")</f>
        <v>DEF</v>
      </c>
      <c r="C324">
        <f>tblPlayers[team]</f>
        <v>11</v>
      </c>
      <c r="D324" t="str">
        <f>INDEX(tblTeams[Column1.short_name],MATCH(C324,tblTeams[Column1.id],0))</f>
        <v>HUL</v>
      </c>
      <c r="E324" s="4">
        <f>INDEX(FPL_Raw_Data!$F:$F,MATCH(A324,FPL_Raw_Data!$AA:$AA,0))/10</f>
        <v>4</v>
      </c>
      <c r="F324" s="4" t="str">
        <f>tblPlayers[[#This Row],[status]]</f>
        <v>a</v>
      </c>
      <c r="G324" s="4" t="b">
        <f>tblPlayers[[#This Row],[can_select]]</f>
        <v>1</v>
      </c>
      <c r="H324">
        <f>IF(AND(Table8[[#This Row],[Availability Status]]="a",Table8[[#This Row],[Can Select]]=TRUE),1,0)</f>
        <v>1</v>
      </c>
      <c r="I324">
        <f>tblPlayers[minutes]</f>
        <v>264</v>
      </c>
      <c r="J324" s="2">
        <f>Table8[[#This Row],[Minutes]]/90</f>
        <v>2.9333333333333331</v>
      </c>
      <c r="K324" s="5">
        <f>IFERROR(Z324/(FIXTURE_ANALYSIS!$B$1-1),0)</f>
        <v>1</v>
      </c>
      <c r="L324">
        <f>tblPlayers[total_points]</f>
        <v>20</v>
      </c>
      <c r="M324">
        <f>tblPlayers[points_per_game]</f>
        <v>6.7</v>
      </c>
      <c r="N324">
        <f>tblPlayers[form]</f>
        <v>6.7</v>
      </c>
      <c r="O324">
        <f>tblPlayers[expected_goals]</f>
        <v>0.02</v>
      </c>
      <c r="P324">
        <f>tblPlayers[expected_assists]</f>
        <v>0.18</v>
      </c>
      <c r="Q324">
        <f>tblPlayers[expected_goal_involvements]</f>
        <v>0.2</v>
      </c>
      <c r="R324" s="2">
        <f t="shared" si="125"/>
        <v>6.8181818181818183</v>
      </c>
      <c r="S324" s="5">
        <f t="shared" si="126"/>
        <v>6.8181818181818179E-3</v>
      </c>
      <c r="T324" s="5">
        <f t="shared" si="127"/>
        <v>6.1363636363636356E-2</v>
      </c>
      <c r="U324" s="5">
        <f t="shared" si="128"/>
        <v>6.8181818181818177E-2</v>
      </c>
      <c r="V324" s="3">
        <f t="shared" si="129"/>
        <v>5</v>
      </c>
      <c r="W324" s="5">
        <f t="shared" si="130"/>
        <v>0.05</v>
      </c>
      <c r="X324" s="5">
        <f>IFERROR(IF(OR($B324="MID",$B324="FWD"),INDEX(FIXTURE_ANALYSIS!$Q:$Q,MATCH($D324,FIXTURE_ANALYSIS!$A:$A,0)),INDEX(FIXTURE_ANALYSIS!$R:$R,MATCH($D324,FIXTURE_ANALYSIS!$A:$A,0))),1)</f>
        <v>1.1999999999999997</v>
      </c>
      <c r="Y324" s="5">
        <f t="shared" si="131"/>
        <v>1.1999999999999997</v>
      </c>
      <c r="Z324" s="8">
        <f>INDEX(FPL_Raw_Data!$T:$T,MATCH(A324,FPL_Raw_Data!$AA:$AA,0))</f>
        <v>3</v>
      </c>
      <c r="AA324" s="8">
        <f>INDEX(FPL_Raw_Data!$S:$S,MATCH(A324,FPL_Raw_Data!$AA:$AA,0))</f>
        <v>12</v>
      </c>
      <c r="AB324" s="2">
        <f t="shared" si="132"/>
        <v>1</v>
      </c>
      <c r="AC324" s="2">
        <f>INDEX(FPL_Raw_Data!$Q:$Q,MATCH(A324,FPL_Raw_Data!$AA:$AA,0))</f>
        <v>2</v>
      </c>
      <c r="AD324" s="8">
        <f>INDEX(FPL_Raw_Data!$R:$R,MATCH(A324,FPL_Raw_Data!$AA:$AA,0))</f>
        <v>75</v>
      </c>
      <c r="AE324" s="8">
        <f>INDEX(FPL_Raw_Data!$N:$N,MATCH(A324,FPL_Raw_Data!$AA:$AA,0))</f>
        <v>3</v>
      </c>
      <c r="AF324" s="8">
        <f>INDEX(FPL_Raw_Data!$L:$L,MATCH(A324,FPL_Raw_Data!$AA:$AA,0))</f>
        <v>0</v>
      </c>
      <c r="AG324" s="2">
        <f>INDEX(FPL_Raw_Data!$M:$M,MATCH(A324,FPL_Raw_Data!$AA:$AA,0))</f>
        <v>0</v>
      </c>
      <c r="AH324" s="2">
        <f t="shared" si="133"/>
        <v>4.0909090909090909E-2</v>
      </c>
      <c r="AI324" s="2">
        <f t="shared" si="134"/>
        <v>0.18409090909090908</v>
      </c>
      <c r="AJ324" s="2">
        <f t="shared" si="135"/>
        <v>2</v>
      </c>
      <c r="AK324" s="2">
        <f t="shared" si="136"/>
        <v>2</v>
      </c>
      <c r="AL324" s="2">
        <f t="shared" si="137"/>
        <v>1</v>
      </c>
      <c r="AM324" s="2">
        <f t="shared" si="138"/>
        <v>4</v>
      </c>
      <c r="AN324" s="2">
        <f t="shared" si="139"/>
        <v>0.66666666666666663</v>
      </c>
      <c r="AO324" s="3">
        <f t="shared" si="140"/>
        <v>85.3</v>
      </c>
      <c r="AP324">
        <f t="shared" si="141"/>
        <v>64.900000000000006</v>
      </c>
      <c r="AQ324">
        <f t="shared" si="142"/>
        <v>99.3</v>
      </c>
      <c r="AR324">
        <f t="shared" si="143"/>
        <v>75.900000000000006</v>
      </c>
      <c r="AS324" s="2">
        <f t="shared" si="144"/>
        <v>100</v>
      </c>
      <c r="AT324" s="2">
        <f>IFERROR(INDEX(Player_Model!$BC$2:$BC$596,MATCH($A324,Player_Model!$A$2:$A$596,0)),0)</f>
        <v>8.4818760131434807</v>
      </c>
      <c r="AU324" s="2">
        <f>Table8[[#This Row],[Model Expected Points]]*Table8[[#This Row],[Fixture Adjustment]]</f>
        <v>10.178251215772175</v>
      </c>
      <c r="AV324" s="2">
        <f>Table8[[#This Row],[Fixture Adjusted Points / 90]]/Table8[[#This Row],[Price]]</f>
        <v>2.5445628039430437</v>
      </c>
      <c r="AW324">
        <f t="shared" si="145"/>
        <v>64.900000000000006</v>
      </c>
      <c r="AX324">
        <f t="shared" si="146"/>
        <v>1.0999999999999999</v>
      </c>
      <c r="AY324" s="2">
        <f t="shared" si="147"/>
        <v>100</v>
      </c>
      <c r="AZ324" s="5">
        <f t="shared" si="148"/>
        <v>1.1999999999999997</v>
      </c>
      <c r="BA324">
        <f>Table8[[#This Row],[Model Score2]]</f>
        <v>8.4818760131434807</v>
      </c>
      <c r="BB324">
        <f>IFERROR(INDEX(Player_Model!$BG$2:$BG$596,MATCH($A324,Player_Model!$A$2:$A$596,0)),"")</f>
        <v>4</v>
      </c>
      <c r="BC324" t="str">
        <f t="shared" si="149"/>
        <v>STRONG PICK</v>
      </c>
      <c r="BD324">
        <f>IF(H324=1,Table8[[#This Row],[Model Score]],-10000)</f>
        <v>8.4818760131434807</v>
      </c>
      <c r="BE324">
        <f>IFERROR(INDEX(Player_Model!$BF$2:$BF$596,MATCH($A324,Player_Model!$A$2:$A$596,0)),"")</f>
        <v>4</v>
      </c>
      <c r="BF324">
        <f>IFERROR(INDEX(Player_Model!$BG$2:$BG$596,MATCH($A324,Player_Model!$A$2:$A$596,0)),"")</f>
        <v>4</v>
      </c>
      <c r="BG324">
        <f>IFERROR(INDEX(Player_Model!$BE$2:$BE$596,MATCH($A324,Player_Model!$A$2:$A$596,0)),0)</f>
        <v>8.4818760131434807</v>
      </c>
    </row>
    <row r="325" spans="1:59" x14ac:dyDescent="0.25">
      <c r="A325" t="str">
        <f>tblPlayers[first_name]&amp;" "&amp;tblPlayers[second_name]</f>
        <v>Matty Jacob</v>
      </c>
      <c r="B325" t="str">
        <f>_xlfn.SWITCH(tblPlayers[element_type],1,"GK",2,"DEF",3,"MID",4,"FWD")</f>
        <v>DEF</v>
      </c>
      <c r="C325">
        <f>tblPlayers[team]</f>
        <v>11</v>
      </c>
      <c r="D325" t="str">
        <f>INDEX(tblTeams[Column1.short_name],MATCH(C325,tblTeams[Column1.id],0))</f>
        <v>HUL</v>
      </c>
      <c r="E325" s="4">
        <f>INDEX(FPL_Raw_Data!$F:$F,MATCH(A325,FPL_Raw_Data!$AA:$AA,0))/10</f>
        <v>4</v>
      </c>
      <c r="F325" s="4" t="str">
        <f>tblPlayers[[#This Row],[status]]</f>
        <v>u</v>
      </c>
      <c r="G325" s="4" t="b">
        <f>tblPlayers[[#This Row],[can_select]]</f>
        <v>0</v>
      </c>
      <c r="H325">
        <f>IF(AND(Table8[[#This Row],[Availability Status]]="a",Table8[[#This Row],[Can Select]]=TRUE),1,0)</f>
        <v>0</v>
      </c>
      <c r="I325">
        <f>tblPlayers[minutes]</f>
        <v>0</v>
      </c>
      <c r="J325" s="2">
        <f>Table8[[#This Row],[Minutes]]/90</f>
        <v>0</v>
      </c>
      <c r="K325" s="5">
        <f>IFERROR(Z325/(FIXTURE_ANALYSIS!$B$1-1),0)</f>
        <v>0</v>
      </c>
      <c r="L325">
        <f>tblPlayers[total_points]</f>
        <v>0</v>
      </c>
      <c r="M325">
        <f>tblPlayers[points_per_game]</f>
        <v>0</v>
      </c>
      <c r="N325">
        <f>tblPlayers[form]</f>
        <v>0</v>
      </c>
      <c r="O325">
        <f>tblPlayers[expected_goals]</f>
        <v>0</v>
      </c>
      <c r="P325">
        <f>tblPlayers[expected_assists]</f>
        <v>0</v>
      </c>
      <c r="Q325">
        <f>tblPlayers[expected_goal_involvements]</f>
        <v>0</v>
      </c>
      <c r="R325" s="2">
        <f t="shared" si="125"/>
        <v>0</v>
      </c>
      <c r="S325" s="5">
        <f t="shared" si="126"/>
        <v>0</v>
      </c>
      <c r="T325" s="5">
        <f t="shared" si="127"/>
        <v>0</v>
      </c>
      <c r="U325" s="5">
        <f t="shared" si="128"/>
        <v>0</v>
      </c>
      <c r="V325" s="3">
        <f t="shared" si="129"/>
        <v>0</v>
      </c>
      <c r="W325" s="5">
        <f t="shared" si="130"/>
        <v>0</v>
      </c>
      <c r="X325" s="5">
        <f>IFERROR(IF(OR($B325="MID",$B325="FWD"),INDEX(FIXTURE_ANALYSIS!$Q:$Q,MATCH($D325,FIXTURE_ANALYSIS!$A:$A,0)),INDEX(FIXTURE_ANALYSIS!$R:$R,MATCH($D325,FIXTURE_ANALYSIS!$A:$A,0))),1)</f>
        <v>1.1999999999999997</v>
      </c>
      <c r="Y325" s="5">
        <f t="shared" si="131"/>
        <v>1.1999999999999997</v>
      </c>
      <c r="Z325" s="8">
        <f>INDEX(FPL_Raw_Data!$T:$T,MATCH(A325,FPL_Raw_Data!$AA:$AA,0))</f>
        <v>0</v>
      </c>
      <c r="AA325" s="8">
        <f>INDEX(FPL_Raw_Data!$S:$S,MATCH(A325,FPL_Raw_Data!$AA:$AA,0))</f>
        <v>0</v>
      </c>
      <c r="AB325" s="2">
        <f t="shared" si="132"/>
        <v>0</v>
      </c>
      <c r="AC325" s="2">
        <f>INDEX(FPL_Raw_Data!$Q:$Q,MATCH(A325,FPL_Raw_Data!$AA:$AA,0))</f>
        <v>0</v>
      </c>
      <c r="AD325" s="8">
        <f>INDEX(FPL_Raw_Data!$R:$R,MATCH(A325,FPL_Raw_Data!$AA:$AA,0))</f>
        <v>0</v>
      </c>
      <c r="AE325" s="8">
        <f>INDEX(FPL_Raw_Data!$N:$N,MATCH(A325,FPL_Raw_Data!$AA:$AA,0))</f>
        <v>0</v>
      </c>
      <c r="AF325" s="8">
        <f>INDEX(FPL_Raw_Data!$L:$L,MATCH(A325,FPL_Raw_Data!$AA:$AA,0))</f>
        <v>0</v>
      </c>
      <c r="AG325" s="2">
        <f>INDEX(FPL_Raw_Data!$M:$M,MATCH(A325,FPL_Raw_Data!$AA:$AA,0))</f>
        <v>0</v>
      </c>
      <c r="AH325" s="2">
        <f t="shared" si="133"/>
        <v>0</v>
      </c>
      <c r="AI325" s="2">
        <f t="shared" si="134"/>
        <v>0</v>
      </c>
      <c r="AJ325" s="2">
        <f t="shared" si="135"/>
        <v>0</v>
      </c>
      <c r="AK325" s="2">
        <f t="shared" si="136"/>
        <v>0</v>
      </c>
      <c r="AL325" s="2">
        <f t="shared" si="137"/>
        <v>0</v>
      </c>
      <c r="AM325" s="2">
        <f t="shared" si="138"/>
        <v>0</v>
      </c>
      <c r="AN325" s="2">
        <f t="shared" si="139"/>
        <v>0</v>
      </c>
      <c r="AO325" s="3">
        <f t="shared" si="140"/>
        <v>0.1</v>
      </c>
      <c r="AP325">
        <f t="shared" si="141"/>
        <v>0</v>
      </c>
      <c r="AQ325">
        <f t="shared" si="142"/>
        <v>0.1</v>
      </c>
      <c r="AR325">
        <f t="shared" si="143"/>
        <v>0</v>
      </c>
      <c r="AS325" s="2">
        <f t="shared" si="144"/>
        <v>0</v>
      </c>
      <c r="AT325" s="2">
        <f>IFERROR(INDEX(Player_Model!$BC$2:$BC$596,MATCH($A325,Player_Model!$A$2:$A$596,0)),0)</f>
        <v>0</v>
      </c>
      <c r="AU325" s="2">
        <f>Table8[[#This Row],[Model Expected Points]]*Table8[[#This Row],[Fixture Adjustment]]</f>
        <v>0</v>
      </c>
      <c r="AV325" s="2">
        <f>Table8[[#This Row],[Fixture Adjusted Points / 90]]/Table8[[#This Row],[Price]]</f>
        <v>0</v>
      </c>
      <c r="AW325">
        <f t="shared" si="145"/>
        <v>0</v>
      </c>
      <c r="AX325">
        <f t="shared" si="146"/>
        <v>0.59999999999999987</v>
      </c>
      <c r="AY325" s="2">
        <f t="shared" si="147"/>
        <v>0</v>
      </c>
      <c r="AZ325" s="5">
        <f t="shared" si="148"/>
        <v>1.1999999999999997</v>
      </c>
      <c r="BA325">
        <f>Table8[[#This Row],[Model Score2]]</f>
        <v>0</v>
      </c>
      <c r="BB325">
        <f>IFERROR(INDEX(Player_Model!$BG$2:$BG$596,MATCH($A325,Player_Model!$A$2:$A$596,0)),"")</f>
        <v>99</v>
      </c>
      <c r="BC325" t="str">
        <f t="shared" si="149"/>
        <v>AVOID</v>
      </c>
      <c r="BD325">
        <f>IF(H325=1,Table8[[#This Row],[Model Score]],-10000)</f>
        <v>-10000</v>
      </c>
      <c r="BE325">
        <f>IFERROR(INDEX(Player_Model!$BF$2:$BF$596,MATCH($A325,Player_Model!$A$2:$A$596,0)),"")</f>
        <v>253</v>
      </c>
      <c r="BF325">
        <f>IFERROR(INDEX(Player_Model!$BG$2:$BG$596,MATCH($A325,Player_Model!$A$2:$A$596,0)),"")</f>
        <v>99</v>
      </c>
      <c r="BG325">
        <f>IFERROR(INDEX(Player_Model!$BE$2:$BE$596,MATCH($A325,Player_Model!$A$2:$A$596,0)),0)</f>
        <v>0</v>
      </c>
    </row>
    <row r="326" spans="1:59" x14ac:dyDescent="0.25">
      <c r="A326" t="str">
        <f>tblPlayers[first_name]&amp;" "&amp;tblPlayers[second_name]</f>
        <v>Cathal McCarthy</v>
      </c>
      <c r="B326" t="str">
        <f>_xlfn.SWITCH(tblPlayers[element_type],1,"GK",2,"DEF",3,"MID",4,"FWD")</f>
        <v>DEF</v>
      </c>
      <c r="C326">
        <f>tblPlayers[team]</f>
        <v>11</v>
      </c>
      <c r="D326" t="str">
        <f>INDEX(tblTeams[Column1.short_name],MATCH(C326,tblTeams[Column1.id],0))</f>
        <v>HUL</v>
      </c>
      <c r="E326" s="4">
        <f>INDEX(FPL_Raw_Data!$F:$F,MATCH(A326,FPL_Raw_Data!$AA:$AA,0))/10</f>
        <v>4</v>
      </c>
      <c r="F326" s="4" t="str">
        <f>tblPlayers[[#This Row],[status]]</f>
        <v>a</v>
      </c>
      <c r="G326" s="4" t="b">
        <f>tblPlayers[[#This Row],[can_select]]</f>
        <v>1</v>
      </c>
      <c r="H326">
        <f>IF(AND(Table8[[#This Row],[Availability Status]]="a",Table8[[#This Row],[Can Select]]=TRUE),1,0)</f>
        <v>1</v>
      </c>
      <c r="I326">
        <f>tblPlayers[minutes]</f>
        <v>0</v>
      </c>
      <c r="J326" s="2">
        <f>Table8[[#This Row],[Minutes]]/90</f>
        <v>0</v>
      </c>
      <c r="K326" s="5">
        <f>IFERROR(Z326/(FIXTURE_ANALYSIS!$B$1-1),0)</f>
        <v>0</v>
      </c>
      <c r="L326">
        <f>tblPlayers[total_points]</f>
        <v>0</v>
      </c>
      <c r="M326">
        <f>tblPlayers[points_per_game]</f>
        <v>0</v>
      </c>
      <c r="N326">
        <f>tblPlayers[form]</f>
        <v>0</v>
      </c>
      <c r="O326">
        <f>tblPlayers[expected_goals]</f>
        <v>0</v>
      </c>
      <c r="P326">
        <f>tblPlayers[expected_assists]</f>
        <v>0</v>
      </c>
      <c r="Q326">
        <f>tblPlayers[expected_goal_involvements]</f>
        <v>0</v>
      </c>
      <c r="R326" s="2">
        <f t="shared" si="125"/>
        <v>0</v>
      </c>
      <c r="S326" s="5">
        <f t="shared" si="126"/>
        <v>0</v>
      </c>
      <c r="T326" s="5">
        <f t="shared" si="127"/>
        <v>0</v>
      </c>
      <c r="U326" s="5">
        <f t="shared" si="128"/>
        <v>0</v>
      </c>
      <c r="V326" s="3">
        <f t="shared" si="129"/>
        <v>0</v>
      </c>
      <c r="W326" s="5">
        <f t="shared" si="130"/>
        <v>0</v>
      </c>
      <c r="X326" s="5">
        <f>IFERROR(IF(OR($B326="MID",$B326="FWD"),INDEX(FIXTURE_ANALYSIS!$Q:$Q,MATCH($D326,FIXTURE_ANALYSIS!$A:$A,0)),INDEX(FIXTURE_ANALYSIS!$R:$R,MATCH($D326,FIXTURE_ANALYSIS!$A:$A,0))),1)</f>
        <v>1.1999999999999997</v>
      </c>
      <c r="Y326" s="5">
        <f t="shared" si="131"/>
        <v>1.1999999999999997</v>
      </c>
      <c r="Z326" s="8">
        <f>INDEX(FPL_Raw_Data!$T:$T,MATCH(A326,FPL_Raw_Data!$AA:$AA,0))</f>
        <v>0</v>
      </c>
      <c r="AA326" s="8">
        <f>INDEX(FPL_Raw_Data!$S:$S,MATCH(A326,FPL_Raw_Data!$AA:$AA,0))</f>
        <v>0</v>
      </c>
      <c r="AB326" s="2">
        <f t="shared" si="132"/>
        <v>0</v>
      </c>
      <c r="AC326" s="2">
        <f>INDEX(FPL_Raw_Data!$Q:$Q,MATCH(A326,FPL_Raw_Data!$AA:$AA,0))</f>
        <v>0</v>
      </c>
      <c r="AD326" s="8">
        <f>INDEX(FPL_Raw_Data!$R:$R,MATCH(A326,FPL_Raw_Data!$AA:$AA,0))</f>
        <v>0</v>
      </c>
      <c r="AE326" s="8">
        <f>INDEX(FPL_Raw_Data!$N:$N,MATCH(A326,FPL_Raw_Data!$AA:$AA,0))</f>
        <v>0</v>
      </c>
      <c r="AF326" s="8">
        <f>INDEX(FPL_Raw_Data!$L:$L,MATCH(A326,FPL_Raw_Data!$AA:$AA,0))</f>
        <v>0</v>
      </c>
      <c r="AG326" s="2">
        <f>INDEX(FPL_Raw_Data!$M:$M,MATCH(A326,FPL_Raw_Data!$AA:$AA,0))</f>
        <v>0</v>
      </c>
      <c r="AH326" s="2">
        <f t="shared" si="133"/>
        <v>0</v>
      </c>
      <c r="AI326" s="2">
        <f t="shared" si="134"/>
        <v>0</v>
      </c>
      <c r="AJ326" s="2">
        <f t="shared" si="135"/>
        <v>0</v>
      </c>
      <c r="AK326" s="2">
        <f t="shared" si="136"/>
        <v>0</v>
      </c>
      <c r="AL326" s="2">
        <f t="shared" si="137"/>
        <v>0</v>
      </c>
      <c r="AM326" s="2">
        <f t="shared" si="138"/>
        <v>0</v>
      </c>
      <c r="AN326" s="2">
        <f t="shared" si="139"/>
        <v>0</v>
      </c>
      <c r="AO326" s="3">
        <f t="shared" si="140"/>
        <v>0.1</v>
      </c>
      <c r="AP326">
        <f t="shared" si="141"/>
        <v>0</v>
      </c>
      <c r="AQ326">
        <f t="shared" si="142"/>
        <v>0.1</v>
      </c>
      <c r="AR326">
        <f t="shared" si="143"/>
        <v>0</v>
      </c>
      <c r="AS326" s="2">
        <f t="shared" si="144"/>
        <v>0</v>
      </c>
      <c r="AT326" s="2">
        <f>IFERROR(INDEX(Player_Model!$BC$2:$BC$596,MATCH($A326,Player_Model!$A$2:$A$596,0)),0)</f>
        <v>0</v>
      </c>
      <c r="AU326" s="2">
        <f>Table8[[#This Row],[Model Expected Points]]*Table8[[#This Row],[Fixture Adjustment]]</f>
        <v>0</v>
      </c>
      <c r="AV326" s="2">
        <f>Table8[[#This Row],[Fixture Adjusted Points / 90]]/Table8[[#This Row],[Price]]</f>
        <v>0</v>
      </c>
      <c r="AW326">
        <f t="shared" si="145"/>
        <v>0</v>
      </c>
      <c r="AX326">
        <f t="shared" si="146"/>
        <v>0.59999999999999987</v>
      </c>
      <c r="AY326" s="2">
        <f t="shared" si="147"/>
        <v>0</v>
      </c>
      <c r="AZ326" s="5">
        <f t="shared" si="148"/>
        <v>1.1999999999999997</v>
      </c>
      <c r="BA326">
        <f>Table8[[#This Row],[Model Score2]]</f>
        <v>0</v>
      </c>
      <c r="BB326">
        <f>IFERROR(INDEX(Player_Model!$BG$2:$BG$596,MATCH($A326,Player_Model!$A$2:$A$596,0)),"")</f>
        <v>100</v>
      </c>
      <c r="BC326" t="str">
        <f t="shared" si="149"/>
        <v>AVOID</v>
      </c>
      <c r="BD326">
        <f>IF(H326=1,Table8[[#This Row],[Model Score]],-10000)</f>
        <v>0</v>
      </c>
      <c r="BE326">
        <f>IFERROR(INDEX(Player_Model!$BF$2:$BF$596,MATCH($A326,Player_Model!$A$2:$A$596,0)),"")</f>
        <v>253</v>
      </c>
      <c r="BF326">
        <f>IFERROR(INDEX(Player_Model!$BG$2:$BG$596,MATCH($A326,Player_Model!$A$2:$A$596,0)),"")</f>
        <v>100</v>
      </c>
      <c r="BG326">
        <f>IFERROR(INDEX(Player_Model!$BE$2:$BE$596,MATCH($A326,Player_Model!$A$2:$A$596,0)),0)</f>
        <v>0</v>
      </c>
    </row>
    <row r="327" spans="1:59" x14ac:dyDescent="0.25">
      <c r="A327" t="str">
        <f>tblPlayers[first_name]&amp;" "&amp;tblPlayers[second_name]</f>
        <v>Paddy McNair</v>
      </c>
      <c r="B327" t="str">
        <f>_xlfn.SWITCH(tblPlayers[element_type],1,"GK",2,"DEF",3,"MID",4,"FWD")</f>
        <v>DEF</v>
      </c>
      <c r="C327">
        <f>tblPlayers[team]</f>
        <v>11</v>
      </c>
      <c r="D327" t="str">
        <f>INDEX(tblTeams[Column1.short_name],MATCH(C327,tblTeams[Column1.id],0))</f>
        <v>HUL</v>
      </c>
      <c r="E327" s="4">
        <f>INDEX(FPL_Raw_Data!$F:$F,MATCH(A327,FPL_Raw_Data!$AA:$AA,0))/10</f>
        <v>4</v>
      </c>
      <c r="F327" s="4" t="str">
        <f>tblPlayers[[#This Row],[status]]</f>
        <v>a</v>
      </c>
      <c r="G327" s="4" t="b">
        <f>tblPlayers[[#This Row],[can_select]]</f>
        <v>1</v>
      </c>
      <c r="H327">
        <f>IF(AND(Table8[[#This Row],[Availability Status]]="a",Table8[[#This Row],[Can Select]]=TRUE),1,0)</f>
        <v>1</v>
      </c>
      <c r="I327">
        <f>tblPlayers[minutes]</f>
        <v>26</v>
      </c>
      <c r="J327" s="2">
        <f>Table8[[#This Row],[Minutes]]/90</f>
        <v>0.28888888888888886</v>
      </c>
      <c r="K327" s="5">
        <f>IFERROR(Z327/(FIXTURE_ANALYSIS!$B$1-1),0)</f>
        <v>0</v>
      </c>
      <c r="L327">
        <f>tblPlayers[total_points]</f>
        <v>1</v>
      </c>
      <c r="M327">
        <f>tblPlayers[points_per_game]</f>
        <v>1</v>
      </c>
      <c r="N327">
        <f>tblPlayers[form]</f>
        <v>0.3</v>
      </c>
      <c r="O327">
        <f>tblPlayers[expected_goals]</f>
        <v>0</v>
      </c>
      <c r="P327">
        <f>tblPlayers[expected_assists]</f>
        <v>0</v>
      </c>
      <c r="Q327">
        <f>tblPlayers[expected_goal_involvements]</f>
        <v>0</v>
      </c>
      <c r="R327" s="2">
        <f t="shared" si="125"/>
        <v>3.4615384615384617</v>
      </c>
      <c r="S327" s="5">
        <f t="shared" si="126"/>
        <v>0</v>
      </c>
      <c r="T327" s="5">
        <f t="shared" si="127"/>
        <v>0</v>
      </c>
      <c r="U327" s="5">
        <f t="shared" si="128"/>
        <v>0</v>
      </c>
      <c r="V327" s="3">
        <f t="shared" si="129"/>
        <v>0.25</v>
      </c>
      <c r="W327" s="5">
        <f t="shared" si="130"/>
        <v>0</v>
      </c>
      <c r="X327" s="5">
        <f>IFERROR(IF(OR($B327="MID",$B327="FWD"),INDEX(FIXTURE_ANALYSIS!$Q:$Q,MATCH($D327,FIXTURE_ANALYSIS!$A:$A,0)),INDEX(FIXTURE_ANALYSIS!$R:$R,MATCH($D327,FIXTURE_ANALYSIS!$A:$A,0))),1)</f>
        <v>1.1999999999999997</v>
      </c>
      <c r="Y327" s="5">
        <f t="shared" si="131"/>
        <v>1.1999999999999997</v>
      </c>
      <c r="Z327" s="8">
        <f>INDEX(FPL_Raw_Data!$T:$T,MATCH(A327,FPL_Raw_Data!$AA:$AA,0))</f>
        <v>0</v>
      </c>
      <c r="AA327" s="8">
        <f>INDEX(FPL_Raw_Data!$S:$S,MATCH(A327,FPL_Raw_Data!$AA:$AA,0))</f>
        <v>2</v>
      </c>
      <c r="AB327" s="2">
        <f t="shared" si="132"/>
        <v>0.2</v>
      </c>
      <c r="AC327" s="2">
        <f>INDEX(FPL_Raw_Data!$Q:$Q,MATCH(A327,FPL_Raw_Data!$AA:$AA,0))</f>
        <v>0</v>
      </c>
      <c r="AD327" s="8">
        <f>INDEX(FPL_Raw_Data!$R:$R,MATCH(A327,FPL_Raw_Data!$AA:$AA,0))</f>
        <v>3</v>
      </c>
      <c r="AE327" s="8">
        <f>INDEX(FPL_Raw_Data!$N:$N,MATCH(A327,FPL_Raw_Data!$AA:$AA,0))</f>
        <v>0</v>
      </c>
      <c r="AF327" s="8">
        <f>INDEX(FPL_Raw_Data!$L:$L,MATCH(A327,FPL_Raw_Data!$AA:$AA,0))</f>
        <v>0</v>
      </c>
      <c r="AG327" s="2">
        <f>INDEX(FPL_Raw_Data!$M:$M,MATCH(A327,FPL_Raw_Data!$AA:$AA,0))</f>
        <v>0</v>
      </c>
      <c r="AH327" s="2">
        <f t="shared" si="133"/>
        <v>0</v>
      </c>
      <c r="AI327" s="2">
        <f t="shared" si="134"/>
        <v>0</v>
      </c>
      <c r="AJ327" s="2">
        <f t="shared" si="135"/>
        <v>0</v>
      </c>
      <c r="AK327" s="2">
        <f t="shared" si="136"/>
        <v>0.4</v>
      </c>
      <c r="AL327" s="2">
        <f t="shared" si="137"/>
        <v>0</v>
      </c>
      <c r="AM327" s="2">
        <f t="shared" si="138"/>
        <v>0</v>
      </c>
      <c r="AN327" s="2">
        <f t="shared" si="139"/>
        <v>0</v>
      </c>
      <c r="AO327" s="3">
        <f t="shared" si="140"/>
        <v>65.100000000000009</v>
      </c>
      <c r="AP327">
        <f t="shared" si="141"/>
        <v>0</v>
      </c>
      <c r="AQ327">
        <f t="shared" si="142"/>
        <v>49.1</v>
      </c>
      <c r="AR327">
        <f t="shared" si="143"/>
        <v>0</v>
      </c>
      <c r="AS327" s="2">
        <f t="shared" si="144"/>
        <v>0</v>
      </c>
      <c r="AT327" s="2">
        <f>IFERROR(INDEX(Player_Model!$BC$2:$BC$596,MATCH($A327,Player_Model!$A$2:$A$596,0)),0)</f>
        <v>0</v>
      </c>
      <c r="AU327" s="2">
        <f>Table8[[#This Row],[Model Expected Points]]*Table8[[#This Row],[Fixture Adjustment]]</f>
        <v>0</v>
      </c>
      <c r="AV327" s="2">
        <f>Table8[[#This Row],[Fixture Adjusted Points / 90]]/Table8[[#This Row],[Price]]</f>
        <v>0</v>
      </c>
      <c r="AW327">
        <f t="shared" si="145"/>
        <v>0</v>
      </c>
      <c r="AX327">
        <f t="shared" si="146"/>
        <v>0.69999999999999984</v>
      </c>
      <c r="AY327" s="2">
        <f t="shared" si="147"/>
        <v>0</v>
      </c>
      <c r="AZ327" s="5">
        <f t="shared" si="148"/>
        <v>1.1999999999999997</v>
      </c>
      <c r="BA327">
        <f>Table8[[#This Row],[Model Score2]]</f>
        <v>0</v>
      </c>
      <c r="BB327">
        <f>IFERROR(INDEX(Player_Model!$BG$2:$BG$596,MATCH($A327,Player_Model!$A$2:$A$596,0)),"")</f>
        <v>101</v>
      </c>
      <c r="BC327" t="str">
        <f t="shared" si="149"/>
        <v>AVOID</v>
      </c>
      <c r="BD327">
        <f>IF(H327=1,Table8[[#This Row],[Model Score]],-10000)</f>
        <v>0</v>
      </c>
      <c r="BE327">
        <f>IFERROR(INDEX(Player_Model!$BF$2:$BF$596,MATCH($A327,Player_Model!$A$2:$A$596,0)),"")</f>
        <v>253</v>
      </c>
      <c r="BF327">
        <f>IFERROR(INDEX(Player_Model!$BG$2:$BG$596,MATCH($A327,Player_Model!$A$2:$A$596,0)),"")</f>
        <v>101</v>
      </c>
      <c r="BG327">
        <f>IFERROR(INDEX(Player_Model!$BE$2:$BE$596,MATCH($A327,Player_Model!$A$2:$A$596,0)),0)</f>
        <v>0</v>
      </c>
    </row>
    <row r="328" spans="1:59" x14ac:dyDescent="0.25">
      <c r="A328" t="str">
        <f>tblPlayers[first_name]&amp;" "&amp;tblPlayers[second_name]</f>
        <v>Mohamed Belloumi</v>
      </c>
      <c r="B328" t="str">
        <f>_xlfn.SWITCH(tblPlayers[element_type],1,"GK",2,"DEF",3,"MID",4,"FWD")</f>
        <v>MID</v>
      </c>
      <c r="C328">
        <f>tblPlayers[team]</f>
        <v>11</v>
      </c>
      <c r="D328" t="str">
        <f>INDEX(tblTeams[Column1.short_name],MATCH(C328,tblTeams[Column1.id],0))</f>
        <v>HUL</v>
      </c>
      <c r="E328" s="4">
        <f>INDEX(FPL_Raw_Data!$F:$F,MATCH(A328,FPL_Raw_Data!$AA:$AA,0))/10</f>
        <v>5</v>
      </c>
      <c r="F328" s="4" t="str">
        <f>tblPlayers[[#This Row],[status]]</f>
        <v>a</v>
      </c>
      <c r="G328" s="4" t="b">
        <f>tblPlayers[[#This Row],[can_select]]</f>
        <v>1</v>
      </c>
      <c r="H328">
        <f>IF(AND(Table8[[#This Row],[Availability Status]]="a",Table8[[#This Row],[Can Select]]=TRUE),1,0)</f>
        <v>1</v>
      </c>
      <c r="I328">
        <f>tblPlayers[minutes]</f>
        <v>253</v>
      </c>
      <c r="J328" s="2">
        <f>Table8[[#This Row],[Minutes]]/90</f>
        <v>2.8111111111111109</v>
      </c>
      <c r="K328" s="5">
        <f>IFERROR(Z328/(FIXTURE_ANALYSIS!$B$1-1),0)</f>
        <v>1</v>
      </c>
      <c r="L328">
        <f>tblPlayers[total_points]</f>
        <v>14</v>
      </c>
      <c r="M328">
        <f>tblPlayers[points_per_game]</f>
        <v>4.7</v>
      </c>
      <c r="N328">
        <f>tblPlayers[form]</f>
        <v>4.7</v>
      </c>
      <c r="O328">
        <f>tblPlayers[expected_goals]</f>
        <v>0.2</v>
      </c>
      <c r="P328">
        <f>tblPlayers[expected_assists]</f>
        <v>0.06</v>
      </c>
      <c r="Q328">
        <f>tblPlayers[expected_goal_involvements]</f>
        <v>0.26</v>
      </c>
      <c r="R328" s="2">
        <f t="shared" si="125"/>
        <v>4.9802371541501973</v>
      </c>
      <c r="S328" s="5">
        <f t="shared" si="126"/>
        <v>7.1146245059288543E-2</v>
      </c>
      <c r="T328" s="5">
        <f t="shared" si="127"/>
        <v>2.1343873517786559E-2</v>
      </c>
      <c r="U328" s="5">
        <f t="shared" si="128"/>
        <v>9.2490118577075106E-2</v>
      </c>
      <c r="V328" s="3">
        <f t="shared" si="129"/>
        <v>2.8</v>
      </c>
      <c r="W328" s="5">
        <f t="shared" si="130"/>
        <v>5.2000000000000005E-2</v>
      </c>
      <c r="X328" s="5">
        <f>IFERROR(IF(OR($B328="MID",$B328="FWD"),INDEX(FIXTURE_ANALYSIS!$Q:$Q,MATCH($D328,FIXTURE_ANALYSIS!$A:$A,0)),INDEX(FIXTURE_ANALYSIS!$R:$R,MATCH($D328,FIXTURE_ANALYSIS!$A:$A,0))),1)</f>
        <v>0.95496539792387547</v>
      </c>
      <c r="Y328" s="5">
        <f t="shared" si="131"/>
        <v>0.95496539792387547</v>
      </c>
      <c r="Z328" s="8">
        <f>INDEX(FPL_Raw_Data!$T:$T,MATCH(A328,FPL_Raw_Data!$AA:$AA,0))</f>
        <v>3</v>
      </c>
      <c r="AA328" s="8">
        <f>INDEX(FPL_Raw_Data!$S:$S,MATCH(A328,FPL_Raw_Data!$AA:$AA,0))</f>
        <v>32</v>
      </c>
      <c r="AB328" s="2">
        <f t="shared" si="132"/>
        <v>1</v>
      </c>
      <c r="AC328" s="2">
        <f>INDEX(FPL_Raw_Data!$Q:$Q,MATCH(A328,FPL_Raw_Data!$AA:$AA,0))</f>
        <v>0</v>
      </c>
      <c r="AD328" s="8">
        <f>INDEX(FPL_Raw_Data!$R:$R,MATCH(A328,FPL_Raw_Data!$AA:$AA,0))</f>
        <v>46</v>
      </c>
      <c r="AE328" s="8">
        <f>INDEX(FPL_Raw_Data!$N:$N,MATCH(A328,FPL_Raw_Data!$AA:$AA,0))</f>
        <v>3</v>
      </c>
      <c r="AF328" s="8">
        <f>INDEX(FPL_Raw_Data!$L:$L,MATCH(A328,FPL_Raw_Data!$AA:$AA,0))</f>
        <v>0</v>
      </c>
      <c r="AG328" s="2">
        <f>INDEX(FPL_Raw_Data!$M:$M,MATCH(A328,FPL_Raw_Data!$AA:$AA,0))</f>
        <v>1</v>
      </c>
      <c r="AH328" s="2">
        <f t="shared" si="133"/>
        <v>0.35573122529644274</v>
      </c>
      <c r="AI328" s="2">
        <f t="shared" si="134"/>
        <v>6.4031620553359675E-2</v>
      </c>
      <c r="AJ328" s="2">
        <f t="shared" si="135"/>
        <v>2</v>
      </c>
      <c r="AK328" s="2">
        <f t="shared" si="136"/>
        <v>2</v>
      </c>
      <c r="AL328" s="2">
        <f t="shared" si="137"/>
        <v>1</v>
      </c>
      <c r="AM328" s="2">
        <f t="shared" si="138"/>
        <v>1</v>
      </c>
      <c r="AN328" s="2">
        <f t="shared" si="139"/>
        <v>0</v>
      </c>
      <c r="AO328" s="3">
        <f t="shared" si="140"/>
        <v>75.2</v>
      </c>
      <c r="AP328">
        <f t="shared" si="141"/>
        <v>67.300000000000011</v>
      </c>
      <c r="AQ328">
        <f t="shared" si="142"/>
        <v>93.600000000000009</v>
      </c>
      <c r="AR328">
        <f t="shared" si="143"/>
        <v>76.7</v>
      </c>
      <c r="AS328" s="2">
        <f t="shared" si="144"/>
        <v>100</v>
      </c>
      <c r="AT328" s="2">
        <f>IFERROR(INDEX(Player_Model!$BC$2:$BC$596,MATCH($A328,Player_Model!$A$2:$A$596,0)),0)</f>
        <v>5.0775472461944551</v>
      </c>
      <c r="AU328" s="2">
        <f>Table8[[#This Row],[Model Expected Points]]*Table8[[#This Row],[Fixture Adjustment]]</f>
        <v>4.8488819264393657</v>
      </c>
      <c r="AV328" s="2">
        <f>Table8[[#This Row],[Fixture Adjusted Points / 90]]/Table8[[#This Row],[Price]]</f>
        <v>0.96977638528787313</v>
      </c>
      <c r="AW328">
        <f t="shared" si="145"/>
        <v>71.25</v>
      </c>
      <c r="AX328">
        <f t="shared" si="146"/>
        <v>1</v>
      </c>
      <c r="AY328" s="2">
        <f t="shared" si="147"/>
        <v>100</v>
      </c>
      <c r="AZ328" s="5">
        <f t="shared" si="148"/>
        <v>0.95496539792387547</v>
      </c>
      <c r="BA328">
        <f>Table8[[#This Row],[Model Score2]]</f>
        <v>5.0775472461944551</v>
      </c>
      <c r="BB328">
        <f>IFERROR(INDEX(Player_Model!$BG$2:$BG$596,MATCH($A328,Player_Model!$A$2:$A$596,0)),"")</f>
        <v>41</v>
      </c>
      <c r="BC328" t="str">
        <f t="shared" si="149"/>
        <v>AVOID</v>
      </c>
      <c r="BD328">
        <f>IF(H328=1,Table8[[#This Row],[Model Score]],-10000)</f>
        <v>5.0775472461944551</v>
      </c>
      <c r="BE328">
        <f>IFERROR(INDEX(Player_Model!$BF$2:$BF$596,MATCH($A328,Player_Model!$A$2:$A$596,0)),"")</f>
        <v>87</v>
      </c>
      <c r="BF328">
        <f>IFERROR(INDEX(Player_Model!$BG$2:$BG$596,MATCH($A328,Player_Model!$A$2:$A$596,0)),"")</f>
        <v>41</v>
      </c>
      <c r="BG328">
        <f>IFERROR(INDEX(Player_Model!$BE$2:$BE$596,MATCH($A328,Player_Model!$A$2:$A$596,0)),0)</f>
        <v>5.0775472461944551</v>
      </c>
    </row>
    <row r="329" spans="1:59" x14ac:dyDescent="0.25">
      <c r="A329" t="str">
        <f>tblPlayers[first_name]&amp;" "&amp;tblPlayers[second_name]</f>
        <v>Liam Millar</v>
      </c>
      <c r="B329" t="str">
        <f>_xlfn.SWITCH(tblPlayers[element_type],1,"GK",2,"DEF",3,"MID",4,"FWD")</f>
        <v>MID</v>
      </c>
      <c r="C329">
        <f>tblPlayers[team]</f>
        <v>11</v>
      </c>
      <c r="D329" t="str">
        <f>INDEX(tblTeams[Column1.short_name],MATCH(C329,tblTeams[Column1.id],0))</f>
        <v>HUL</v>
      </c>
      <c r="E329" s="4">
        <f>INDEX(FPL_Raw_Data!$F:$F,MATCH(A329,FPL_Raw_Data!$AA:$AA,0))/10</f>
        <v>5</v>
      </c>
      <c r="F329" s="4" t="str">
        <f>tblPlayers[[#This Row],[status]]</f>
        <v>u</v>
      </c>
      <c r="G329" s="4" t="b">
        <f>tblPlayers[[#This Row],[can_select]]</f>
        <v>0</v>
      </c>
      <c r="H329">
        <f>IF(AND(Table8[[#This Row],[Availability Status]]="a",Table8[[#This Row],[Can Select]]=TRUE),1,0)</f>
        <v>0</v>
      </c>
      <c r="I329">
        <f>tblPlayers[minutes]</f>
        <v>50</v>
      </c>
      <c r="J329" s="2">
        <f>Table8[[#This Row],[Minutes]]/90</f>
        <v>0.55555555555555558</v>
      </c>
      <c r="K329" s="5">
        <f>IFERROR(Z329/(FIXTURE_ANALYSIS!$B$1-1),0)</f>
        <v>0</v>
      </c>
      <c r="L329">
        <f>tblPlayers[total_points]</f>
        <v>6</v>
      </c>
      <c r="M329">
        <f>tblPlayers[points_per_game]</f>
        <v>3</v>
      </c>
      <c r="N329">
        <f>tblPlayers[form]</f>
        <v>2</v>
      </c>
      <c r="O329">
        <f>tblPlayers[expected_goals]</f>
        <v>0.57999999999999996</v>
      </c>
      <c r="P329">
        <f>tblPlayers[expected_assists]</f>
        <v>0</v>
      </c>
      <c r="Q329">
        <f>tblPlayers[expected_goal_involvements]</f>
        <v>0.57999999999999996</v>
      </c>
      <c r="R329" s="2">
        <f t="shared" si="125"/>
        <v>10.799999999999999</v>
      </c>
      <c r="S329" s="5">
        <f t="shared" si="126"/>
        <v>1.044</v>
      </c>
      <c r="T329" s="5">
        <f t="shared" si="127"/>
        <v>0</v>
      </c>
      <c r="U329" s="5">
        <f t="shared" si="128"/>
        <v>1.044</v>
      </c>
      <c r="V329" s="3">
        <f t="shared" si="129"/>
        <v>1.2</v>
      </c>
      <c r="W329" s="5">
        <f t="shared" si="130"/>
        <v>0.11599999999999999</v>
      </c>
      <c r="X329" s="5">
        <f>IFERROR(IF(OR($B329="MID",$B329="FWD"),INDEX(FIXTURE_ANALYSIS!$Q:$Q,MATCH($D329,FIXTURE_ANALYSIS!$A:$A,0)),INDEX(FIXTURE_ANALYSIS!$R:$R,MATCH($D329,FIXTURE_ANALYSIS!$A:$A,0))),1)</f>
        <v>0.95496539792387547</v>
      </c>
      <c r="Y329" s="5">
        <f t="shared" si="131"/>
        <v>0.95496539792387547</v>
      </c>
      <c r="Z329" s="8">
        <f>INDEX(FPL_Raw_Data!$T:$T,MATCH(A329,FPL_Raw_Data!$AA:$AA,0))</f>
        <v>0</v>
      </c>
      <c r="AA329" s="8">
        <f>INDEX(FPL_Raw_Data!$S:$S,MATCH(A329,FPL_Raw_Data!$AA:$AA,0))</f>
        <v>4</v>
      </c>
      <c r="AB329" s="2">
        <f t="shared" si="132"/>
        <v>0.33333333333333331</v>
      </c>
      <c r="AC329" s="2">
        <f>INDEX(FPL_Raw_Data!$Q:$Q,MATCH(A329,FPL_Raw_Data!$AA:$AA,0))</f>
        <v>0</v>
      </c>
      <c r="AD329" s="8">
        <f>INDEX(FPL_Raw_Data!$R:$R,MATCH(A329,FPL_Raw_Data!$AA:$AA,0))</f>
        <v>26</v>
      </c>
      <c r="AE329" s="8">
        <f>INDEX(FPL_Raw_Data!$N:$N,MATCH(A329,FPL_Raw_Data!$AA:$AA,0))</f>
        <v>0</v>
      </c>
      <c r="AF329" s="8">
        <f>INDEX(FPL_Raw_Data!$L:$L,MATCH(A329,FPL_Raw_Data!$AA:$AA,0))</f>
        <v>1</v>
      </c>
      <c r="AG329" s="2">
        <f>INDEX(FPL_Raw_Data!$M:$M,MATCH(A329,FPL_Raw_Data!$AA:$AA,0))</f>
        <v>0</v>
      </c>
      <c r="AH329" s="2">
        <f t="shared" si="133"/>
        <v>5.2200000000000006</v>
      </c>
      <c r="AI329" s="2">
        <f t="shared" si="134"/>
        <v>0</v>
      </c>
      <c r="AJ329" s="2">
        <f t="shared" si="135"/>
        <v>0</v>
      </c>
      <c r="AK329" s="2">
        <f t="shared" si="136"/>
        <v>0.66666666666666663</v>
      </c>
      <c r="AL329" s="2">
        <f t="shared" si="137"/>
        <v>0</v>
      </c>
      <c r="AM329" s="2">
        <f t="shared" si="138"/>
        <v>0</v>
      </c>
      <c r="AN329" s="2">
        <f t="shared" si="139"/>
        <v>0</v>
      </c>
      <c r="AO329" s="3">
        <f t="shared" si="140"/>
        <v>93.4</v>
      </c>
      <c r="AP329">
        <f t="shared" si="141"/>
        <v>98.6</v>
      </c>
      <c r="AQ329">
        <f t="shared" si="142"/>
        <v>72.2</v>
      </c>
      <c r="AR329">
        <f t="shared" si="143"/>
        <v>86.7</v>
      </c>
      <c r="AS329" s="2">
        <f t="shared" si="144"/>
        <v>0</v>
      </c>
      <c r="AT329" s="2">
        <f>IFERROR(INDEX(Player_Model!$BC$2:$BC$596,MATCH($A329,Player_Model!$A$2:$A$596,0)),0)</f>
        <v>0</v>
      </c>
      <c r="AU329" s="2">
        <f>Table8[[#This Row],[Model Expected Points]]*Table8[[#This Row],[Fixture Adjustment]]</f>
        <v>0</v>
      </c>
      <c r="AV329" s="2">
        <f>Table8[[#This Row],[Fixture Adjusted Points / 90]]/Table8[[#This Row],[Price]]</f>
        <v>0</v>
      </c>
      <c r="AW329">
        <f t="shared" si="145"/>
        <v>96</v>
      </c>
      <c r="AX329">
        <f t="shared" si="146"/>
        <v>0.33333333333333331</v>
      </c>
      <c r="AY329" s="2">
        <f t="shared" si="147"/>
        <v>0</v>
      </c>
      <c r="AZ329" s="5">
        <f t="shared" si="148"/>
        <v>0.95496539792387547</v>
      </c>
      <c r="BA329">
        <f>Table8[[#This Row],[Model Score2]]</f>
        <v>0</v>
      </c>
      <c r="BB329">
        <f>IFERROR(INDEX(Player_Model!$BG$2:$BG$596,MATCH($A329,Player_Model!$A$2:$A$596,0)),"")</f>
        <v>193</v>
      </c>
      <c r="BC329" t="str">
        <f t="shared" si="149"/>
        <v>AVOID</v>
      </c>
      <c r="BD329">
        <f>IF(H329=1,Table8[[#This Row],[Model Score]],-10000)</f>
        <v>-10000</v>
      </c>
      <c r="BE329">
        <f>IFERROR(INDEX(Player_Model!$BF$2:$BF$596,MATCH($A329,Player_Model!$A$2:$A$596,0)),"")</f>
        <v>253</v>
      </c>
      <c r="BF329">
        <f>IFERROR(INDEX(Player_Model!$BG$2:$BG$596,MATCH($A329,Player_Model!$A$2:$A$596,0)),"")</f>
        <v>193</v>
      </c>
      <c r="BG329">
        <f>IFERROR(INDEX(Player_Model!$BE$2:$BE$596,MATCH($A329,Player_Model!$A$2:$A$596,0)),0)</f>
        <v>0</v>
      </c>
    </row>
    <row r="330" spans="1:59" x14ac:dyDescent="0.25">
      <c r="A330" t="str">
        <f>tblPlayers[first_name]&amp;" "&amp;tblPlayers[second_name]</f>
        <v>Kieran Dowell</v>
      </c>
      <c r="B330" t="str">
        <f>_xlfn.SWITCH(tblPlayers[element_type],1,"GK",2,"DEF",3,"MID",4,"FWD")</f>
        <v>MID</v>
      </c>
      <c r="C330">
        <f>tblPlayers[team]</f>
        <v>11</v>
      </c>
      <c r="D330" t="str">
        <f>INDEX(tblTeams[Column1.short_name],MATCH(C330,tblTeams[Column1.id],0))</f>
        <v>HUL</v>
      </c>
      <c r="E330" s="4">
        <f>INDEX(FPL_Raw_Data!$F:$F,MATCH(A330,FPL_Raw_Data!$AA:$AA,0))/10</f>
        <v>4.5</v>
      </c>
      <c r="F330" s="4" t="str">
        <f>tblPlayers[[#This Row],[status]]</f>
        <v>a</v>
      </c>
      <c r="G330" s="4" t="b">
        <f>tblPlayers[[#This Row],[can_select]]</f>
        <v>1</v>
      </c>
      <c r="H330">
        <f>IF(AND(Table8[[#This Row],[Availability Status]]="a",Table8[[#This Row],[Can Select]]=TRUE),1,0)</f>
        <v>1</v>
      </c>
      <c r="I330">
        <f>tblPlayers[minutes]</f>
        <v>0</v>
      </c>
      <c r="J330" s="2">
        <f>Table8[[#This Row],[Minutes]]/90</f>
        <v>0</v>
      </c>
      <c r="K330" s="5">
        <f>IFERROR(Z330/(FIXTURE_ANALYSIS!$B$1-1),0)</f>
        <v>0</v>
      </c>
      <c r="L330">
        <f>tblPlayers[total_points]</f>
        <v>0</v>
      </c>
      <c r="M330">
        <f>tblPlayers[points_per_game]</f>
        <v>0</v>
      </c>
      <c r="N330">
        <f>tblPlayers[form]</f>
        <v>0</v>
      </c>
      <c r="O330">
        <f>tblPlayers[expected_goals]</f>
        <v>0</v>
      </c>
      <c r="P330">
        <f>tblPlayers[expected_assists]</f>
        <v>0</v>
      </c>
      <c r="Q330">
        <f>tblPlayers[expected_goal_involvements]</f>
        <v>0</v>
      </c>
      <c r="R330" s="2">
        <f t="shared" si="125"/>
        <v>0</v>
      </c>
      <c r="S330" s="5">
        <f t="shared" si="126"/>
        <v>0</v>
      </c>
      <c r="T330" s="5">
        <f t="shared" si="127"/>
        <v>0</v>
      </c>
      <c r="U330" s="5">
        <f t="shared" si="128"/>
        <v>0</v>
      </c>
      <c r="V330" s="3">
        <f t="shared" si="129"/>
        <v>0</v>
      </c>
      <c r="W330" s="5">
        <f t="shared" si="130"/>
        <v>0</v>
      </c>
      <c r="X330" s="5">
        <f>IFERROR(IF(OR($B330="MID",$B330="FWD"),INDEX(FIXTURE_ANALYSIS!$Q:$Q,MATCH($D330,FIXTURE_ANALYSIS!$A:$A,0)),INDEX(FIXTURE_ANALYSIS!$R:$R,MATCH($D330,FIXTURE_ANALYSIS!$A:$A,0))),1)</f>
        <v>0.95496539792387547</v>
      </c>
      <c r="Y330" s="5">
        <f t="shared" si="131"/>
        <v>0.95496539792387547</v>
      </c>
      <c r="Z330" s="8">
        <f>INDEX(FPL_Raw_Data!$T:$T,MATCH(A330,FPL_Raw_Data!$AA:$AA,0))</f>
        <v>0</v>
      </c>
      <c r="AA330" s="8">
        <f>INDEX(FPL_Raw_Data!$S:$S,MATCH(A330,FPL_Raw_Data!$AA:$AA,0))</f>
        <v>0</v>
      </c>
      <c r="AB330" s="2">
        <f t="shared" si="132"/>
        <v>0</v>
      </c>
      <c r="AC330" s="2">
        <f>INDEX(FPL_Raw_Data!$Q:$Q,MATCH(A330,FPL_Raw_Data!$AA:$AA,0))</f>
        <v>0</v>
      </c>
      <c r="AD330" s="8">
        <f>INDEX(FPL_Raw_Data!$R:$R,MATCH(A330,FPL_Raw_Data!$AA:$AA,0))</f>
        <v>0</v>
      </c>
      <c r="AE330" s="8">
        <f>INDEX(FPL_Raw_Data!$N:$N,MATCH(A330,FPL_Raw_Data!$AA:$AA,0))</f>
        <v>0</v>
      </c>
      <c r="AF330" s="8">
        <f>INDEX(FPL_Raw_Data!$L:$L,MATCH(A330,FPL_Raw_Data!$AA:$AA,0))</f>
        <v>0</v>
      </c>
      <c r="AG330" s="2">
        <f>INDEX(FPL_Raw_Data!$M:$M,MATCH(A330,FPL_Raw_Data!$AA:$AA,0))</f>
        <v>0</v>
      </c>
      <c r="AH330" s="2">
        <f t="shared" si="133"/>
        <v>0</v>
      </c>
      <c r="AI330" s="2">
        <f t="shared" si="134"/>
        <v>0</v>
      </c>
      <c r="AJ330" s="2">
        <f t="shared" si="135"/>
        <v>0</v>
      </c>
      <c r="AK330" s="2">
        <f t="shared" si="136"/>
        <v>0</v>
      </c>
      <c r="AL330" s="2">
        <f t="shared" si="137"/>
        <v>0</v>
      </c>
      <c r="AM330" s="2">
        <f t="shared" si="138"/>
        <v>0</v>
      </c>
      <c r="AN330" s="2">
        <f t="shared" si="139"/>
        <v>0</v>
      </c>
      <c r="AO330" s="3">
        <f t="shared" si="140"/>
        <v>0.1</v>
      </c>
      <c r="AP330">
        <f t="shared" si="141"/>
        <v>0</v>
      </c>
      <c r="AQ330">
        <f t="shared" si="142"/>
        <v>0.1</v>
      </c>
      <c r="AR330">
        <f t="shared" si="143"/>
        <v>0</v>
      </c>
      <c r="AS330" s="2">
        <f t="shared" si="144"/>
        <v>0</v>
      </c>
      <c r="AT330" s="2">
        <f>IFERROR(INDEX(Player_Model!$BC$2:$BC$596,MATCH($A330,Player_Model!$A$2:$A$596,0)),0)</f>
        <v>0</v>
      </c>
      <c r="AU330" s="2">
        <f>Table8[[#This Row],[Model Expected Points]]*Table8[[#This Row],[Fixture Adjustment]]</f>
        <v>0</v>
      </c>
      <c r="AV330" s="2">
        <f>Table8[[#This Row],[Fixture Adjusted Points / 90]]/Table8[[#This Row],[Price]]</f>
        <v>0</v>
      </c>
      <c r="AW330">
        <f t="shared" si="145"/>
        <v>0.05</v>
      </c>
      <c r="AX330">
        <f t="shared" si="146"/>
        <v>0</v>
      </c>
      <c r="AY330" s="2">
        <f t="shared" si="147"/>
        <v>0</v>
      </c>
      <c r="AZ330" s="5">
        <f t="shared" si="148"/>
        <v>0.95496539792387547</v>
      </c>
      <c r="BA330">
        <f>Table8[[#This Row],[Model Score2]]</f>
        <v>0</v>
      </c>
      <c r="BB330">
        <f>IFERROR(INDEX(Player_Model!$BG$2:$BG$596,MATCH($A330,Player_Model!$A$2:$A$596,0)),"")</f>
        <v>194</v>
      </c>
      <c r="BC330" t="str">
        <f t="shared" si="149"/>
        <v>AVOID</v>
      </c>
      <c r="BD330">
        <f>IF(H330=1,Table8[[#This Row],[Model Score]],-10000)</f>
        <v>0</v>
      </c>
      <c r="BE330">
        <f>IFERROR(INDEX(Player_Model!$BF$2:$BF$596,MATCH($A330,Player_Model!$A$2:$A$596,0)),"")</f>
        <v>253</v>
      </c>
      <c r="BF330">
        <f>IFERROR(INDEX(Player_Model!$BG$2:$BG$596,MATCH($A330,Player_Model!$A$2:$A$596,0)),"")</f>
        <v>194</v>
      </c>
      <c r="BG330">
        <f>IFERROR(INDEX(Player_Model!$BE$2:$BE$596,MATCH($A330,Player_Model!$A$2:$A$596,0)),0)</f>
        <v>0</v>
      </c>
    </row>
    <row r="331" spans="1:59" x14ac:dyDescent="0.25">
      <c r="A331" t="str">
        <f>tblPlayers[first_name]&amp;" "&amp;tblPlayers[second_name]</f>
        <v>Matt Crooks</v>
      </c>
      <c r="B331" t="str">
        <f>_xlfn.SWITCH(tblPlayers[element_type],1,"GK",2,"DEF",3,"MID",4,"FWD")</f>
        <v>MID</v>
      </c>
      <c r="C331">
        <f>tblPlayers[team]</f>
        <v>11</v>
      </c>
      <c r="D331" t="str">
        <f>INDEX(tblTeams[Column1.short_name],MATCH(C331,tblTeams[Column1.id],0))</f>
        <v>HUL</v>
      </c>
      <c r="E331" s="4">
        <f>INDEX(FPL_Raw_Data!$F:$F,MATCH(A331,FPL_Raw_Data!$AA:$AA,0))/10</f>
        <v>4.5</v>
      </c>
      <c r="F331" s="4" t="str">
        <f>tblPlayers[[#This Row],[status]]</f>
        <v>d</v>
      </c>
      <c r="G331" s="4" t="b">
        <f>tblPlayers[[#This Row],[can_select]]</f>
        <v>1</v>
      </c>
      <c r="H331">
        <f>IF(AND(Table8[[#This Row],[Availability Status]]="a",Table8[[#This Row],[Can Select]]=TRUE),1,0)</f>
        <v>0</v>
      </c>
      <c r="I331">
        <f>tblPlayers[minutes]</f>
        <v>90</v>
      </c>
      <c r="J331" s="2">
        <f>Table8[[#This Row],[Minutes]]/90</f>
        <v>1</v>
      </c>
      <c r="K331" s="5">
        <f>IFERROR(Z331/(FIXTURE_ANALYSIS!$B$1-1),0)</f>
        <v>0.33333333333333331</v>
      </c>
      <c r="L331">
        <f>tblPlayers[total_points]</f>
        <v>2</v>
      </c>
      <c r="M331">
        <f>tblPlayers[points_per_game]</f>
        <v>2</v>
      </c>
      <c r="N331">
        <f>tblPlayers[form]</f>
        <v>0.7</v>
      </c>
      <c r="O331">
        <f>tblPlayers[expected_goals]</f>
        <v>0</v>
      </c>
      <c r="P331">
        <f>tblPlayers[expected_assists]</f>
        <v>0</v>
      </c>
      <c r="Q331">
        <f>tblPlayers[expected_goal_involvements]</f>
        <v>0</v>
      </c>
      <c r="R331" s="2">
        <f t="shared" si="125"/>
        <v>2</v>
      </c>
      <c r="S331" s="5">
        <f t="shared" si="126"/>
        <v>0</v>
      </c>
      <c r="T331" s="5">
        <f t="shared" si="127"/>
        <v>0</v>
      </c>
      <c r="U331" s="5">
        <f t="shared" si="128"/>
        <v>0</v>
      </c>
      <c r="V331" s="3">
        <f t="shared" si="129"/>
        <v>0.44444444444444442</v>
      </c>
      <c r="W331" s="5">
        <f t="shared" si="130"/>
        <v>0</v>
      </c>
      <c r="X331" s="5">
        <f>IFERROR(IF(OR($B331="MID",$B331="FWD"),INDEX(FIXTURE_ANALYSIS!$Q:$Q,MATCH($D331,FIXTURE_ANALYSIS!$A:$A,0)),INDEX(FIXTURE_ANALYSIS!$R:$R,MATCH($D331,FIXTURE_ANALYSIS!$A:$A,0))),1)</f>
        <v>0.95496539792387547</v>
      </c>
      <c r="Y331" s="5">
        <f t="shared" si="131"/>
        <v>0.95496539792387547</v>
      </c>
      <c r="Z331" s="8">
        <f>INDEX(FPL_Raw_Data!$T:$T,MATCH(A331,FPL_Raw_Data!$AA:$AA,0))</f>
        <v>1</v>
      </c>
      <c r="AA331" s="8">
        <f>INDEX(FPL_Raw_Data!$S:$S,MATCH(A331,FPL_Raw_Data!$AA:$AA,0))</f>
        <v>9</v>
      </c>
      <c r="AB331" s="2">
        <f t="shared" si="132"/>
        <v>0.75</v>
      </c>
      <c r="AC331" s="2">
        <f>INDEX(FPL_Raw_Data!$Q:$Q,MATCH(A331,FPL_Raw_Data!$AA:$AA,0))</f>
        <v>0</v>
      </c>
      <c r="AD331" s="8">
        <f>INDEX(FPL_Raw_Data!$R:$R,MATCH(A331,FPL_Raw_Data!$AA:$AA,0))</f>
        <v>9</v>
      </c>
      <c r="AE331" s="8">
        <f>INDEX(FPL_Raw_Data!$N:$N,MATCH(A331,FPL_Raw_Data!$AA:$AA,0))</f>
        <v>1</v>
      </c>
      <c r="AF331" s="8">
        <f>INDEX(FPL_Raw_Data!$L:$L,MATCH(A331,FPL_Raw_Data!$AA:$AA,0))</f>
        <v>0</v>
      </c>
      <c r="AG331" s="2">
        <f>INDEX(FPL_Raw_Data!$M:$M,MATCH(A331,FPL_Raw_Data!$AA:$AA,0))</f>
        <v>0</v>
      </c>
      <c r="AH331" s="2">
        <f t="shared" si="133"/>
        <v>0</v>
      </c>
      <c r="AI331" s="2">
        <f t="shared" si="134"/>
        <v>0</v>
      </c>
      <c r="AJ331" s="2">
        <f t="shared" si="135"/>
        <v>0.66666666666666663</v>
      </c>
      <c r="AK331" s="2">
        <f t="shared" si="136"/>
        <v>1.5</v>
      </c>
      <c r="AL331" s="2">
        <f t="shared" si="137"/>
        <v>1</v>
      </c>
      <c r="AM331" s="2">
        <f t="shared" si="138"/>
        <v>1</v>
      </c>
      <c r="AN331" s="2">
        <f t="shared" si="139"/>
        <v>0</v>
      </c>
      <c r="AO331" s="3">
        <f t="shared" si="140"/>
        <v>45.9</v>
      </c>
      <c r="AP331">
        <f t="shared" si="141"/>
        <v>0</v>
      </c>
      <c r="AQ331">
        <f t="shared" si="142"/>
        <v>56.000000000000007</v>
      </c>
      <c r="AR331">
        <f t="shared" si="143"/>
        <v>0</v>
      </c>
      <c r="AS331" s="2">
        <f t="shared" si="144"/>
        <v>33.333333333333329</v>
      </c>
      <c r="AT331" s="2">
        <f>IFERROR(INDEX(Player_Model!$BC$2:$BC$596,MATCH($A331,Player_Model!$A$2:$A$596,0)),0)</f>
        <v>4.2973442906574393</v>
      </c>
      <c r="AU331" s="2">
        <f>Table8[[#This Row],[Model Expected Points]]*Table8[[#This Row],[Fixture Adjustment]]</f>
        <v>4.1038151005435761</v>
      </c>
      <c r="AV331" s="2">
        <f>Table8[[#This Row],[Fixture Adjusted Points / 90]]/Table8[[#This Row],[Price]]</f>
        <v>0.91195891123190576</v>
      </c>
      <c r="AW331">
        <f t="shared" si="145"/>
        <v>22.95</v>
      </c>
      <c r="AX331">
        <f t="shared" si="146"/>
        <v>0.75</v>
      </c>
      <c r="AY331" s="2">
        <f t="shared" si="147"/>
        <v>33.333333333333329</v>
      </c>
      <c r="AZ331" s="5">
        <f t="shared" si="148"/>
        <v>0.95496539792387547</v>
      </c>
      <c r="BA331">
        <f>Table8[[#This Row],[Model Score2]]</f>
        <v>4.2973442906574393</v>
      </c>
      <c r="BB331">
        <f>IFERROR(INDEX(Player_Model!$BG$2:$BG$596,MATCH($A331,Player_Model!$A$2:$A$596,0)),"")</f>
        <v>67</v>
      </c>
      <c r="BC331" t="str">
        <f t="shared" si="149"/>
        <v>AVOID</v>
      </c>
      <c r="BD331">
        <f>IF(H331=1,Table8[[#This Row],[Model Score]],-10000)</f>
        <v>-10000</v>
      </c>
      <c r="BE331">
        <f>IFERROR(INDEX(Player_Model!$BF$2:$BF$596,MATCH($A331,Player_Model!$A$2:$A$596,0)),"")</f>
        <v>137</v>
      </c>
      <c r="BF331">
        <f>IFERROR(INDEX(Player_Model!$BG$2:$BG$596,MATCH($A331,Player_Model!$A$2:$A$596,0)),"")</f>
        <v>67</v>
      </c>
      <c r="BG331">
        <f>IFERROR(INDEX(Player_Model!$BE$2:$BE$596,MATCH($A331,Player_Model!$A$2:$A$596,0)),0)</f>
        <v>4.2973442906574393</v>
      </c>
    </row>
    <row r="332" spans="1:59" x14ac:dyDescent="0.25">
      <c r="A332" t="str">
        <f>tblPlayers[first_name]&amp;" "&amp;tblPlayers[second_name]</f>
        <v>Regan Slater</v>
      </c>
      <c r="B332" t="str">
        <f>_xlfn.SWITCH(tblPlayers[element_type],1,"GK",2,"DEF",3,"MID",4,"FWD")</f>
        <v>MID</v>
      </c>
      <c r="C332">
        <f>tblPlayers[team]</f>
        <v>11</v>
      </c>
      <c r="D332" t="str">
        <f>INDEX(tblTeams[Column1.short_name],MATCH(C332,tblTeams[Column1.id],0))</f>
        <v>HUL</v>
      </c>
      <c r="E332" s="4">
        <f>INDEX(FPL_Raw_Data!$F:$F,MATCH(A332,FPL_Raw_Data!$AA:$AA,0))/10</f>
        <v>4.5</v>
      </c>
      <c r="F332" s="4" t="str">
        <f>tblPlayers[[#This Row],[status]]</f>
        <v>a</v>
      </c>
      <c r="G332" s="4" t="b">
        <f>tblPlayers[[#This Row],[can_select]]</f>
        <v>1</v>
      </c>
      <c r="H332">
        <f>IF(AND(Table8[[#This Row],[Availability Status]]="a",Table8[[#This Row],[Can Select]]=TRUE),1,0)</f>
        <v>1</v>
      </c>
      <c r="I332">
        <f>tblPlayers[minutes]</f>
        <v>270</v>
      </c>
      <c r="J332" s="2">
        <f>Table8[[#This Row],[Minutes]]/90</f>
        <v>3</v>
      </c>
      <c r="K332" s="5">
        <f>IFERROR(Z332/(FIXTURE_ANALYSIS!$B$1-1),0)</f>
        <v>1</v>
      </c>
      <c r="L332">
        <f>tblPlayers[total_points]</f>
        <v>11</v>
      </c>
      <c r="M332">
        <f>tblPlayers[points_per_game]</f>
        <v>3.7</v>
      </c>
      <c r="N332">
        <f>tblPlayers[form]</f>
        <v>3.7</v>
      </c>
      <c r="O332">
        <f>tblPlayers[expected_goals]</f>
        <v>0.04</v>
      </c>
      <c r="P332">
        <f>tblPlayers[expected_assists]</f>
        <v>0.46</v>
      </c>
      <c r="Q332">
        <f>tblPlayers[expected_goal_involvements]</f>
        <v>0.5</v>
      </c>
      <c r="R332" s="2">
        <f t="shared" si="125"/>
        <v>3.666666666666667</v>
      </c>
      <c r="S332" s="5">
        <f t="shared" si="126"/>
        <v>1.3333333333333332E-2</v>
      </c>
      <c r="T332" s="5">
        <f t="shared" si="127"/>
        <v>0.15333333333333335</v>
      </c>
      <c r="U332" s="5">
        <f t="shared" si="128"/>
        <v>0.16666666666666669</v>
      </c>
      <c r="V332" s="3">
        <f t="shared" si="129"/>
        <v>2.4444444444444446</v>
      </c>
      <c r="W332" s="5">
        <f t="shared" si="130"/>
        <v>0.1111111111111111</v>
      </c>
      <c r="X332" s="5">
        <f>IFERROR(IF(OR($B332="MID",$B332="FWD"),INDEX(FIXTURE_ANALYSIS!$Q:$Q,MATCH($D332,FIXTURE_ANALYSIS!$A:$A,0)),INDEX(FIXTURE_ANALYSIS!$R:$R,MATCH($D332,FIXTURE_ANALYSIS!$A:$A,0))),1)</f>
        <v>0.95496539792387547</v>
      </c>
      <c r="Y332" s="5">
        <f t="shared" si="131"/>
        <v>0.95496539792387547</v>
      </c>
      <c r="Z332" s="8">
        <f>INDEX(FPL_Raw_Data!$T:$T,MATCH(A332,FPL_Raw_Data!$AA:$AA,0))</f>
        <v>3</v>
      </c>
      <c r="AA332" s="8">
        <f>INDEX(FPL_Raw_Data!$S:$S,MATCH(A332,FPL_Raw_Data!$AA:$AA,0))</f>
        <v>19</v>
      </c>
      <c r="AB332" s="2">
        <f t="shared" si="132"/>
        <v>1</v>
      </c>
      <c r="AC332" s="2">
        <f>INDEX(FPL_Raw_Data!$Q:$Q,MATCH(A332,FPL_Raw_Data!$AA:$AA,0))</f>
        <v>0</v>
      </c>
      <c r="AD332" s="8">
        <f>INDEX(FPL_Raw_Data!$R:$R,MATCH(A332,FPL_Raw_Data!$AA:$AA,0))</f>
        <v>36</v>
      </c>
      <c r="AE332" s="8">
        <f>INDEX(FPL_Raw_Data!$N:$N,MATCH(A332,FPL_Raw_Data!$AA:$AA,0))</f>
        <v>3</v>
      </c>
      <c r="AF332" s="8">
        <f>INDEX(FPL_Raw_Data!$L:$L,MATCH(A332,FPL_Raw_Data!$AA:$AA,0))</f>
        <v>0</v>
      </c>
      <c r="AG332" s="2">
        <f>INDEX(FPL_Raw_Data!$M:$M,MATCH(A332,FPL_Raw_Data!$AA:$AA,0))</f>
        <v>1</v>
      </c>
      <c r="AH332" s="2">
        <f t="shared" si="133"/>
        <v>6.6666666666666666E-2</v>
      </c>
      <c r="AI332" s="2">
        <f t="shared" si="134"/>
        <v>0.46000000000000008</v>
      </c>
      <c r="AJ332" s="2">
        <f t="shared" si="135"/>
        <v>2</v>
      </c>
      <c r="AK332" s="2">
        <f t="shared" si="136"/>
        <v>2</v>
      </c>
      <c r="AL332" s="2">
        <f t="shared" si="137"/>
        <v>1</v>
      </c>
      <c r="AM332" s="2">
        <f t="shared" si="138"/>
        <v>1</v>
      </c>
      <c r="AN332" s="2">
        <f t="shared" si="139"/>
        <v>0</v>
      </c>
      <c r="AO332" s="3">
        <f t="shared" si="140"/>
        <v>66.600000000000009</v>
      </c>
      <c r="AP332">
        <f t="shared" si="141"/>
        <v>73.900000000000006</v>
      </c>
      <c r="AQ332">
        <f t="shared" si="142"/>
        <v>91.2</v>
      </c>
      <c r="AR332">
        <f t="shared" si="143"/>
        <v>85.5</v>
      </c>
      <c r="AS332" s="2">
        <f t="shared" si="144"/>
        <v>100</v>
      </c>
      <c r="AT332" s="2">
        <f>IFERROR(INDEX(Player_Model!$BC$2:$BC$596,MATCH($A332,Player_Model!$A$2:$A$596,0)),0)</f>
        <v>4.3758636678200702</v>
      </c>
      <c r="AU332" s="2">
        <f>Table8[[#This Row],[Model Expected Points]]*Table8[[#This Row],[Fixture Adjustment]]</f>
        <v>4.1787983888004225</v>
      </c>
      <c r="AV332" s="2">
        <f>Table8[[#This Row],[Fixture Adjusted Points / 90]]/Table8[[#This Row],[Price]]</f>
        <v>0.92862186417787163</v>
      </c>
      <c r="AW332">
        <f t="shared" si="145"/>
        <v>70.25</v>
      </c>
      <c r="AX332">
        <f t="shared" si="146"/>
        <v>1</v>
      </c>
      <c r="AY332" s="2">
        <f t="shared" si="147"/>
        <v>100</v>
      </c>
      <c r="AZ332" s="5">
        <f t="shared" si="148"/>
        <v>0.95496539792387547</v>
      </c>
      <c r="BA332">
        <f>Table8[[#This Row],[Model Score2]]</f>
        <v>4.3758636678200702</v>
      </c>
      <c r="BB332">
        <f>IFERROR(INDEX(Player_Model!$BG$2:$BG$596,MATCH($A332,Player_Model!$A$2:$A$596,0)),"")</f>
        <v>65</v>
      </c>
      <c r="BC332" t="str">
        <f t="shared" si="149"/>
        <v>AVOID</v>
      </c>
      <c r="BD332">
        <f>IF(H332=1,Table8[[#This Row],[Model Score]],-10000)</f>
        <v>4.3758636678200702</v>
      </c>
      <c r="BE332">
        <f>IFERROR(INDEX(Player_Model!$BF$2:$BF$596,MATCH($A332,Player_Model!$A$2:$A$596,0)),"")</f>
        <v>132</v>
      </c>
      <c r="BF332">
        <f>IFERROR(INDEX(Player_Model!$BG$2:$BG$596,MATCH($A332,Player_Model!$A$2:$A$596,0)),"")</f>
        <v>65</v>
      </c>
      <c r="BG332">
        <f>IFERROR(INDEX(Player_Model!$BE$2:$BE$596,MATCH($A332,Player_Model!$A$2:$A$596,0)),0)</f>
        <v>4.3758636678200702</v>
      </c>
    </row>
    <row r="333" spans="1:59" x14ac:dyDescent="0.25">
      <c r="A333" t="str">
        <f>tblPlayers[first_name]&amp;" "&amp;tblPlayers[second_name]</f>
        <v>Eliot Matazo</v>
      </c>
      <c r="B333" t="str">
        <f>_xlfn.SWITCH(tblPlayers[element_type],1,"GK",2,"DEF",3,"MID",4,"FWD")</f>
        <v>MID</v>
      </c>
      <c r="C333">
        <f>tblPlayers[team]</f>
        <v>11</v>
      </c>
      <c r="D333" t="str">
        <f>INDEX(tblTeams[Column1.short_name],MATCH(C333,tblTeams[Column1.id],0))</f>
        <v>HUL</v>
      </c>
      <c r="E333" s="4">
        <f>INDEX(FPL_Raw_Data!$F:$F,MATCH(A333,FPL_Raw_Data!$AA:$AA,0))/10</f>
        <v>4.5</v>
      </c>
      <c r="F333" s="4" t="str">
        <f>tblPlayers[[#This Row],[status]]</f>
        <v>i</v>
      </c>
      <c r="G333" s="4" t="b">
        <f>tblPlayers[[#This Row],[can_select]]</f>
        <v>1</v>
      </c>
      <c r="H333">
        <f>IF(AND(Table8[[#This Row],[Availability Status]]="a",Table8[[#This Row],[Can Select]]=TRUE),1,0)</f>
        <v>0</v>
      </c>
      <c r="I333">
        <f>tblPlayers[minutes]</f>
        <v>0</v>
      </c>
      <c r="J333" s="2">
        <f>Table8[[#This Row],[Minutes]]/90</f>
        <v>0</v>
      </c>
      <c r="K333" s="5">
        <f>IFERROR(Z333/(FIXTURE_ANALYSIS!$B$1-1),0)</f>
        <v>0</v>
      </c>
      <c r="L333">
        <f>tblPlayers[total_points]</f>
        <v>0</v>
      </c>
      <c r="M333">
        <f>tblPlayers[points_per_game]</f>
        <v>0</v>
      </c>
      <c r="N333">
        <f>tblPlayers[form]</f>
        <v>0</v>
      </c>
      <c r="O333">
        <f>tblPlayers[expected_goals]</f>
        <v>0</v>
      </c>
      <c r="P333">
        <f>tblPlayers[expected_assists]</f>
        <v>0</v>
      </c>
      <c r="Q333">
        <f>tblPlayers[expected_goal_involvements]</f>
        <v>0</v>
      </c>
      <c r="R333" s="2">
        <f t="shared" si="125"/>
        <v>0</v>
      </c>
      <c r="S333" s="5">
        <f t="shared" si="126"/>
        <v>0</v>
      </c>
      <c r="T333" s="5">
        <f t="shared" si="127"/>
        <v>0</v>
      </c>
      <c r="U333" s="5">
        <f t="shared" si="128"/>
        <v>0</v>
      </c>
      <c r="V333" s="3">
        <f t="shared" si="129"/>
        <v>0</v>
      </c>
      <c r="W333" s="5">
        <f t="shared" si="130"/>
        <v>0</v>
      </c>
      <c r="X333" s="5">
        <f>IFERROR(IF(OR($B333="MID",$B333="FWD"),INDEX(FIXTURE_ANALYSIS!$Q:$Q,MATCH($D333,FIXTURE_ANALYSIS!$A:$A,0)),INDEX(FIXTURE_ANALYSIS!$R:$R,MATCH($D333,FIXTURE_ANALYSIS!$A:$A,0))),1)</f>
        <v>0.95496539792387547</v>
      </c>
      <c r="Y333" s="5">
        <f t="shared" si="131"/>
        <v>0.95496539792387547</v>
      </c>
      <c r="Z333" s="8">
        <f>INDEX(FPL_Raw_Data!$T:$T,MATCH(A333,FPL_Raw_Data!$AA:$AA,0))</f>
        <v>0</v>
      </c>
      <c r="AA333" s="8">
        <f>INDEX(FPL_Raw_Data!$S:$S,MATCH(A333,FPL_Raw_Data!$AA:$AA,0))</f>
        <v>0</v>
      </c>
      <c r="AB333" s="2">
        <f t="shared" si="132"/>
        <v>0</v>
      </c>
      <c r="AC333" s="2">
        <f>INDEX(FPL_Raw_Data!$Q:$Q,MATCH(A333,FPL_Raw_Data!$AA:$AA,0))</f>
        <v>0</v>
      </c>
      <c r="AD333" s="8">
        <f>INDEX(FPL_Raw_Data!$R:$R,MATCH(A333,FPL_Raw_Data!$AA:$AA,0))</f>
        <v>0</v>
      </c>
      <c r="AE333" s="8">
        <f>INDEX(FPL_Raw_Data!$N:$N,MATCH(A333,FPL_Raw_Data!$AA:$AA,0))</f>
        <v>0</v>
      </c>
      <c r="AF333" s="8">
        <f>INDEX(FPL_Raw_Data!$L:$L,MATCH(A333,FPL_Raw_Data!$AA:$AA,0))</f>
        <v>0</v>
      </c>
      <c r="AG333" s="2">
        <f>INDEX(FPL_Raw_Data!$M:$M,MATCH(A333,FPL_Raw_Data!$AA:$AA,0))</f>
        <v>0</v>
      </c>
      <c r="AH333" s="2">
        <f t="shared" si="133"/>
        <v>0</v>
      </c>
      <c r="AI333" s="2">
        <f t="shared" si="134"/>
        <v>0</v>
      </c>
      <c r="AJ333" s="2">
        <f t="shared" si="135"/>
        <v>0</v>
      </c>
      <c r="AK333" s="2">
        <f t="shared" si="136"/>
        <v>0</v>
      </c>
      <c r="AL333" s="2">
        <f t="shared" si="137"/>
        <v>0</v>
      </c>
      <c r="AM333" s="2">
        <f t="shared" si="138"/>
        <v>0</v>
      </c>
      <c r="AN333" s="2">
        <f t="shared" si="139"/>
        <v>0</v>
      </c>
      <c r="AO333" s="3">
        <f t="shared" si="140"/>
        <v>0.1</v>
      </c>
      <c r="AP333">
        <f t="shared" si="141"/>
        <v>0</v>
      </c>
      <c r="AQ333">
        <f t="shared" si="142"/>
        <v>0.1</v>
      </c>
      <c r="AR333">
        <f t="shared" si="143"/>
        <v>0</v>
      </c>
      <c r="AS333" s="2">
        <f t="shared" si="144"/>
        <v>0</v>
      </c>
      <c r="AT333" s="2">
        <f>IFERROR(INDEX(Player_Model!$BC$2:$BC$596,MATCH($A333,Player_Model!$A$2:$A$596,0)),0)</f>
        <v>0</v>
      </c>
      <c r="AU333" s="2">
        <f>Table8[[#This Row],[Model Expected Points]]*Table8[[#This Row],[Fixture Adjustment]]</f>
        <v>0</v>
      </c>
      <c r="AV333" s="2">
        <f>Table8[[#This Row],[Fixture Adjusted Points / 90]]/Table8[[#This Row],[Price]]</f>
        <v>0</v>
      </c>
      <c r="AW333">
        <f t="shared" si="145"/>
        <v>0.05</v>
      </c>
      <c r="AX333">
        <f t="shared" si="146"/>
        <v>0</v>
      </c>
      <c r="AY333" s="2">
        <f t="shared" si="147"/>
        <v>0</v>
      </c>
      <c r="AZ333" s="5">
        <f t="shared" si="148"/>
        <v>0.95496539792387547</v>
      </c>
      <c r="BA333">
        <f>Table8[[#This Row],[Model Score2]]</f>
        <v>0</v>
      </c>
      <c r="BB333">
        <f>IFERROR(INDEX(Player_Model!$BG$2:$BG$596,MATCH($A333,Player_Model!$A$2:$A$596,0)),"")</f>
        <v>195</v>
      </c>
      <c r="BC333" t="str">
        <f t="shared" si="149"/>
        <v>AVOID</v>
      </c>
      <c r="BD333">
        <f>IF(H333=1,Table8[[#This Row],[Model Score]],-10000)</f>
        <v>-10000</v>
      </c>
      <c r="BE333">
        <f>IFERROR(INDEX(Player_Model!$BF$2:$BF$596,MATCH($A333,Player_Model!$A$2:$A$596,0)),"")</f>
        <v>253</v>
      </c>
      <c r="BF333">
        <f>IFERROR(INDEX(Player_Model!$BG$2:$BG$596,MATCH($A333,Player_Model!$A$2:$A$596,0)),"")</f>
        <v>195</v>
      </c>
      <c r="BG333">
        <f>IFERROR(INDEX(Player_Model!$BE$2:$BE$596,MATCH($A333,Player_Model!$A$2:$A$596,0)),0)</f>
        <v>0</v>
      </c>
    </row>
    <row r="334" spans="1:59" x14ac:dyDescent="0.25">
      <c r="A334" t="str">
        <f>tblPlayers[first_name]&amp;" "&amp;tblPlayers[second_name]</f>
        <v>Abdülkadir Ömür</v>
      </c>
      <c r="B334" t="str">
        <f>_xlfn.SWITCH(tblPlayers[element_type],1,"GK",2,"DEF",3,"MID",4,"FWD")</f>
        <v>MID</v>
      </c>
      <c r="C334">
        <f>tblPlayers[team]</f>
        <v>11</v>
      </c>
      <c r="D334" t="str">
        <f>INDEX(tblTeams[Column1.short_name],MATCH(C334,tblTeams[Column1.id],0))</f>
        <v>HUL</v>
      </c>
      <c r="E334" s="4">
        <f>INDEX(FPL_Raw_Data!$F:$F,MATCH(A334,FPL_Raw_Data!$AA:$AA,0))/10</f>
        <v>4.9000000000000004</v>
      </c>
      <c r="F334" s="4" t="str">
        <f>tblPlayers[[#This Row],[status]]</f>
        <v>a</v>
      </c>
      <c r="G334" s="4" t="b">
        <f>tblPlayers[[#This Row],[can_select]]</f>
        <v>1</v>
      </c>
      <c r="H334">
        <f>IF(AND(Table8[[#This Row],[Availability Status]]="a",Table8[[#This Row],[Can Select]]=TRUE),1,0)</f>
        <v>1</v>
      </c>
      <c r="I334">
        <f>tblPlayers[minutes]</f>
        <v>0</v>
      </c>
      <c r="J334" s="2">
        <f>Table8[[#This Row],[Minutes]]/90</f>
        <v>0</v>
      </c>
      <c r="K334" s="5">
        <f>IFERROR(Z334/(FIXTURE_ANALYSIS!$B$1-1),0)</f>
        <v>0</v>
      </c>
      <c r="L334">
        <f>tblPlayers[total_points]</f>
        <v>0</v>
      </c>
      <c r="M334">
        <f>tblPlayers[points_per_game]</f>
        <v>0</v>
      </c>
      <c r="N334">
        <f>tblPlayers[form]</f>
        <v>0</v>
      </c>
      <c r="O334">
        <f>tblPlayers[expected_goals]</f>
        <v>0</v>
      </c>
      <c r="P334">
        <f>tblPlayers[expected_assists]</f>
        <v>0</v>
      </c>
      <c r="Q334">
        <f>tblPlayers[expected_goal_involvements]</f>
        <v>0</v>
      </c>
      <c r="R334" s="2">
        <f t="shared" si="125"/>
        <v>0</v>
      </c>
      <c r="S334" s="5">
        <f t="shared" si="126"/>
        <v>0</v>
      </c>
      <c r="T334" s="5">
        <f t="shared" si="127"/>
        <v>0</v>
      </c>
      <c r="U334" s="5">
        <f t="shared" si="128"/>
        <v>0</v>
      </c>
      <c r="V334" s="3">
        <f t="shared" si="129"/>
        <v>0</v>
      </c>
      <c r="W334" s="5">
        <f t="shared" si="130"/>
        <v>0</v>
      </c>
      <c r="X334" s="5">
        <f>IFERROR(IF(OR($B334="MID",$B334="FWD"),INDEX(FIXTURE_ANALYSIS!$Q:$Q,MATCH($D334,FIXTURE_ANALYSIS!$A:$A,0)),INDEX(FIXTURE_ANALYSIS!$R:$R,MATCH($D334,FIXTURE_ANALYSIS!$A:$A,0))),1)</f>
        <v>0.95496539792387547</v>
      </c>
      <c r="Y334" s="5">
        <f t="shared" si="131"/>
        <v>0.95496539792387547</v>
      </c>
      <c r="Z334" s="8">
        <f>INDEX(FPL_Raw_Data!$T:$T,MATCH(A334,FPL_Raw_Data!$AA:$AA,0))</f>
        <v>0</v>
      </c>
      <c r="AA334" s="8">
        <f>INDEX(FPL_Raw_Data!$S:$S,MATCH(A334,FPL_Raw_Data!$AA:$AA,0))</f>
        <v>0</v>
      </c>
      <c r="AB334" s="2">
        <f t="shared" si="132"/>
        <v>0</v>
      </c>
      <c r="AC334" s="2">
        <f>INDEX(FPL_Raw_Data!$Q:$Q,MATCH(A334,FPL_Raw_Data!$AA:$AA,0))</f>
        <v>0</v>
      </c>
      <c r="AD334" s="8">
        <f>INDEX(FPL_Raw_Data!$R:$R,MATCH(A334,FPL_Raw_Data!$AA:$AA,0))</f>
        <v>0</v>
      </c>
      <c r="AE334" s="8">
        <f>INDEX(FPL_Raw_Data!$N:$N,MATCH(A334,FPL_Raw_Data!$AA:$AA,0))</f>
        <v>0</v>
      </c>
      <c r="AF334" s="8">
        <f>INDEX(FPL_Raw_Data!$L:$L,MATCH(A334,FPL_Raw_Data!$AA:$AA,0))</f>
        <v>0</v>
      </c>
      <c r="AG334" s="2">
        <f>INDEX(FPL_Raw_Data!$M:$M,MATCH(A334,FPL_Raw_Data!$AA:$AA,0))</f>
        <v>0</v>
      </c>
      <c r="AH334" s="2">
        <f t="shared" si="133"/>
        <v>0</v>
      </c>
      <c r="AI334" s="2">
        <f t="shared" si="134"/>
        <v>0</v>
      </c>
      <c r="AJ334" s="2">
        <f t="shared" si="135"/>
        <v>0</v>
      </c>
      <c r="AK334" s="2">
        <f t="shared" si="136"/>
        <v>0</v>
      </c>
      <c r="AL334" s="2">
        <f t="shared" si="137"/>
        <v>0</v>
      </c>
      <c r="AM334" s="2">
        <f t="shared" si="138"/>
        <v>0</v>
      </c>
      <c r="AN334" s="2">
        <f t="shared" si="139"/>
        <v>0</v>
      </c>
      <c r="AO334" s="3">
        <f t="shared" si="140"/>
        <v>0.1</v>
      </c>
      <c r="AP334">
        <f t="shared" si="141"/>
        <v>0</v>
      </c>
      <c r="AQ334">
        <f t="shared" si="142"/>
        <v>0.1</v>
      </c>
      <c r="AR334">
        <f t="shared" si="143"/>
        <v>0</v>
      </c>
      <c r="AS334" s="2">
        <f t="shared" si="144"/>
        <v>0</v>
      </c>
      <c r="AT334" s="2">
        <f>IFERROR(INDEX(Player_Model!$BC$2:$BC$596,MATCH($A334,Player_Model!$A$2:$A$596,0)),0)</f>
        <v>0</v>
      </c>
      <c r="AU334" s="2">
        <f>Table8[[#This Row],[Model Expected Points]]*Table8[[#This Row],[Fixture Adjustment]]</f>
        <v>0</v>
      </c>
      <c r="AV334" s="2">
        <f>Table8[[#This Row],[Fixture Adjusted Points / 90]]/Table8[[#This Row],[Price]]</f>
        <v>0</v>
      </c>
      <c r="AW334">
        <f t="shared" si="145"/>
        <v>0.05</v>
      </c>
      <c r="AX334">
        <f t="shared" si="146"/>
        <v>0</v>
      </c>
      <c r="AY334" s="2">
        <f t="shared" si="147"/>
        <v>0</v>
      </c>
      <c r="AZ334" s="5">
        <f t="shared" si="148"/>
        <v>0.95496539792387547</v>
      </c>
      <c r="BA334">
        <f>Table8[[#This Row],[Model Score2]]</f>
        <v>0</v>
      </c>
      <c r="BB334">
        <f>IFERROR(INDEX(Player_Model!$BG$2:$BG$596,MATCH($A334,Player_Model!$A$2:$A$596,0)),"")</f>
        <v>196</v>
      </c>
      <c r="BC334" t="str">
        <f t="shared" si="149"/>
        <v>AVOID</v>
      </c>
      <c r="BD334">
        <f>IF(H334=1,Table8[[#This Row],[Model Score]],-10000)</f>
        <v>0</v>
      </c>
      <c r="BE334">
        <f>IFERROR(INDEX(Player_Model!$BF$2:$BF$596,MATCH($A334,Player_Model!$A$2:$A$596,0)),"")</f>
        <v>253</v>
      </c>
      <c r="BF334">
        <f>IFERROR(INDEX(Player_Model!$BG$2:$BG$596,MATCH($A334,Player_Model!$A$2:$A$596,0)),"")</f>
        <v>196</v>
      </c>
      <c r="BG334">
        <f>IFERROR(INDEX(Player_Model!$BE$2:$BE$596,MATCH($A334,Player_Model!$A$2:$A$596,0)),0)</f>
        <v>0</v>
      </c>
    </row>
    <row r="335" spans="1:59" x14ac:dyDescent="0.25">
      <c r="A335" t="str">
        <f>tblPlayers[first_name]&amp;" "&amp;tblPlayers[second_name]</f>
        <v>Abu Kamara</v>
      </c>
      <c r="B335" t="str">
        <f>_xlfn.SWITCH(tblPlayers[element_type],1,"GK",2,"DEF",3,"MID",4,"FWD")</f>
        <v>MID</v>
      </c>
      <c r="C335">
        <f>tblPlayers[team]</f>
        <v>11</v>
      </c>
      <c r="D335" t="str">
        <f>INDEX(tblTeams[Column1.short_name],MATCH(C335,tblTeams[Column1.id],0))</f>
        <v>HUL</v>
      </c>
      <c r="E335" s="4">
        <f>INDEX(FPL_Raw_Data!$F:$F,MATCH(A335,FPL_Raw_Data!$AA:$AA,0))/10</f>
        <v>5</v>
      </c>
      <c r="F335" s="4" t="str">
        <f>tblPlayers[[#This Row],[status]]</f>
        <v>u</v>
      </c>
      <c r="G335" s="4" t="b">
        <f>tblPlayers[[#This Row],[can_select]]</f>
        <v>0</v>
      </c>
      <c r="H335">
        <f>IF(AND(Table8[[#This Row],[Availability Status]]="a",Table8[[#This Row],[Can Select]]=TRUE),1,0)</f>
        <v>0</v>
      </c>
      <c r="I335">
        <f>tblPlayers[minutes]</f>
        <v>0</v>
      </c>
      <c r="J335" s="2">
        <f>Table8[[#This Row],[Minutes]]/90</f>
        <v>0</v>
      </c>
      <c r="K335" s="5">
        <f>IFERROR(Z335/(FIXTURE_ANALYSIS!$B$1-1),0)</f>
        <v>0</v>
      </c>
      <c r="L335">
        <f>tblPlayers[total_points]</f>
        <v>0</v>
      </c>
      <c r="M335">
        <f>tblPlayers[points_per_game]</f>
        <v>0</v>
      </c>
      <c r="N335">
        <f>tblPlayers[form]</f>
        <v>0</v>
      </c>
      <c r="O335">
        <f>tblPlayers[expected_goals]</f>
        <v>0</v>
      </c>
      <c r="P335">
        <f>tblPlayers[expected_assists]</f>
        <v>0</v>
      </c>
      <c r="Q335">
        <f>tblPlayers[expected_goal_involvements]</f>
        <v>0</v>
      </c>
      <c r="R335" s="2">
        <f t="shared" si="125"/>
        <v>0</v>
      </c>
      <c r="S335" s="5">
        <f t="shared" si="126"/>
        <v>0</v>
      </c>
      <c r="T335" s="5">
        <f t="shared" si="127"/>
        <v>0</v>
      </c>
      <c r="U335" s="5">
        <f t="shared" si="128"/>
        <v>0</v>
      </c>
      <c r="V335" s="3">
        <f t="shared" si="129"/>
        <v>0</v>
      </c>
      <c r="W335" s="5">
        <f t="shared" si="130"/>
        <v>0</v>
      </c>
      <c r="X335" s="5">
        <f>IFERROR(IF(OR($B335="MID",$B335="FWD"),INDEX(FIXTURE_ANALYSIS!$Q:$Q,MATCH($D335,FIXTURE_ANALYSIS!$A:$A,0)),INDEX(FIXTURE_ANALYSIS!$R:$R,MATCH($D335,FIXTURE_ANALYSIS!$A:$A,0))),1)</f>
        <v>0.95496539792387547</v>
      </c>
      <c r="Y335" s="5">
        <f t="shared" si="131"/>
        <v>0.95496539792387547</v>
      </c>
      <c r="Z335" s="8">
        <f>INDEX(FPL_Raw_Data!$T:$T,MATCH(A335,FPL_Raw_Data!$AA:$AA,0))</f>
        <v>0</v>
      </c>
      <c r="AA335" s="8">
        <f>INDEX(FPL_Raw_Data!$S:$S,MATCH(A335,FPL_Raw_Data!$AA:$AA,0))</f>
        <v>0</v>
      </c>
      <c r="AB335" s="2">
        <f t="shared" si="132"/>
        <v>0</v>
      </c>
      <c r="AC335" s="2">
        <f>INDEX(FPL_Raw_Data!$Q:$Q,MATCH(A335,FPL_Raw_Data!$AA:$AA,0))</f>
        <v>0</v>
      </c>
      <c r="AD335" s="8">
        <f>INDEX(FPL_Raw_Data!$R:$R,MATCH(A335,FPL_Raw_Data!$AA:$AA,0))</f>
        <v>0</v>
      </c>
      <c r="AE335" s="8">
        <f>INDEX(FPL_Raw_Data!$N:$N,MATCH(A335,FPL_Raw_Data!$AA:$AA,0))</f>
        <v>0</v>
      </c>
      <c r="AF335" s="8">
        <f>INDEX(FPL_Raw_Data!$L:$L,MATCH(A335,FPL_Raw_Data!$AA:$AA,0))</f>
        <v>0</v>
      </c>
      <c r="AG335" s="2">
        <f>INDEX(FPL_Raw_Data!$M:$M,MATCH(A335,FPL_Raw_Data!$AA:$AA,0))</f>
        <v>0</v>
      </c>
      <c r="AH335" s="2">
        <f t="shared" si="133"/>
        <v>0</v>
      </c>
      <c r="AI335" s="2">
        <f t="shared" si="134"/>
        <v>0</v>
      </c>
      <c r="AJ335" s="2">
        <f t="shared" si="135"/>
        <v>0</v>
      </c>
      <c r="AK335" s="2">
        <f t="shared" si="136"/>
        <v>0</v>
      </c>
      <c r="AL335" s="2">
        <f t="shared" si="137"/>
        <v>0</v>
      </c>
      <c r="AM335" s="2">
        <f t="shared" si="138"/>
        <v>0</v>
      </c>
      <c r="AN335" s="2">
        <f t="shared" si="139"/>
        <v>0</v>
      </c>
      <c r="AO335" s="3">
        <f t="shared" si="140"/>
        <v>0.1</v>
      </c>
      <c r="AP335">
        <f t="shared" si="141"/>
        <v>0</v>
      </c>
      <c r="AQ335">
        <f t="shared" si="142"/>
        <v>0.1</v>
      </c>
      <c r="AR335">
        <f t="shared" si="143"/>
        <v>0</v>
      </c>
      <c r="AS335" s="2">
        <f t="shared" si="144"/>
        <v>0</v>
      </c>
      <c r="AT335" s="2">
        <f>IFERROR(INDEX(Player_Model!$BC$2:$BC$596,MATCH($A335,Player_Model!$A$2:$A$596,0)),0)</f>
        <v>0</v>
      </c>
      <c r="AU335" s="2">
        <f>Table8[[#This Row],[Model Expected Points]]*Table8[[#This Row],[Fixture Adjustment]]</f>
        <v>0</v>
      </c>
      <c r="AV335" s="2">
        <f>Table8[[#This Row],[Fixture Adjusted Points / 90]]/Table8[[#This Row],[Price]]</f>
        <v>0</v>
      </c>
      <c r="AW335">
        <f t="shared" si="145"/>
        <v>0.05</v>
      </c>
      <c r="AX335">
        <f t="shared" si="146"/>
        <v>0</v>
      </c>
      <c r="AY335" s="2">
        <f t="shared" si="147"/>
        <v>0</v>
      </c>
      <c r="AZ335" s="5">
        <f t="shared" si="148"/>
        <v>0.95496539792387547</v>
      </c>
      <c r="BA335">
        <f>Table8[[#This Row],[Model Score2]]</f>
        <v>0</v>
      </c>
      <c r="BB335">
        <f>IFERROR(INDEX(Player_Model!$BG$2:$BG$596,MATCH($A335,Player_Model!$A$2:$A$596,0)),"")</f>
        <v>197</v>
      </c>
      <c r="BC335" t="str">
        <f t="shared" si="149"/>
        <v>AVOID</v>
      </c>
      <c r="BD335">
        <f>IF(H335=1,Table8[[#This Row],[Model Score]],-10000)</f>
        <v>-10000</v>
      </c>
      <c r="BE335">
        <f>IFERROR(INDEX(Player_Model!$BF$2:$BF$596,MATCH($A335,Player_Model!$A$2:$A$596,0)),"")</f>
        <v>253</v>
      </c>
      <c r="BF335">
        <f>IFERROR(INDEX(Player_Model!$BG$2:$BG$596,MATCH($A335,Player_Model!$A$2:$A$596,0)),"")</f>
        <v>197</v>
      </c>
      <c r="BG335">
        <f>IFERROR(INDEX(Player_Model!$BE$2:$BE$596,MATCH($A335,Player_Model!$A$2:$A$596,0)),0)</f>
        <v>0</v>
      </c>
    </row>
    <row r="336" spans="1:59" x14ac:dyDescent="0.25">
      <c r="A336" t="str">
        <f>tblPlayers[first_name]&amp;" "&amp;tblPlayers[second_name]</f>
        <v>Óscar Zambrano</v>
      </c>
      <c r="B336" t="str">
        <f>_xlfn.SWITCH(tblPlayers[element_type],1,"GK",2,"DEF",3,"MID",4,"FWD")</f>
        <v>MID</v>
      </c>
      <c r="C336">
        <f>tblPlayers[team]</f>
        <v>11</v>
      </c>
      <c r="D336" t="str">
        <f>INDEX(tblTeams[Column1.short_name],MATCH(C336,tblTeams[Column1.id],0))</f>
        <v>HUL</v>
      </c>
      <c r="E336" s="4">
        <f>INDEX(FPL_Raw_Data!$F:$F,MATCH(A336,FPL_Raw_Data!$AA:$AA,0))/10</f>
        <v>4.5</v>
      </c>
      <c r="F336" s="4" t="str">
        <f>tblPlayers[[#This Row],[status]]</f>
        <v>i</v>
      </c>
      <c r="G336" s="4" t="b">
        <f>tblPlayers[[#This Row],[can_select]]</f>
        <v>1</v>
      </c>
      <c r="H336">
        <f>IF(AND(Table8[[#This Row],[Availability Status]]="a",Table8[[#This Row],[Can Select]]=TRUE),1,0)</f>
        <v>0</v>
      </c>
      <c r="I336">
        <f>tblPlayers[minutes]</f>
        <v>0</v>
      </c>
      <c r="J336" s="2">
        <f>Table8[[#This Row],[Minutes]]/90</f>
        <v>0</v>
      </c>
      <c r="K336" s="5">
        <f>IFERROR(Z336/(FIXTURE_ANALYSIS!$B$1-1),0)</f>
        <v>0</v>
      </c>
      <c r="L336">
        <f>tblPlayers[total_points]</f>
        <v>0</v>
      </c>
      <c r="M336">
        <f>tblPlayers[points_per_game]</f>
        <v>0</v>
      </c>
      <c r="N336">
        <f>tblPlayers[form]</f>
        <v>0</v>
      </c>
      <c r="O336">
        <f>tblPlayers[expected_goals]</f>
        <v>0</v>
      </c>
      <c r="P336">
        <f>tblPlayers[expected_assists]</f>
        <v>0</v>
      </c>
      <c r="Q336">
        <f>tblPlayers[expected_goal_involvements]</f>
        <v>0</v>
      </c>
      <c r="R336" s="2">
        <f t="shared" si="125"/>
        <v>0</v>
      </c>
      <c r="S336" s="5">
        <f t="shared" si="126"/>
        <v>0</v>
      </c>
      <c r="T336" s="5">
        <f t="shared" si="127"/>
        <v>0</v>
      </c>
      <c r="U336" s="5">
        <f t="shared" si="128"/>
        <v>0</v>
      </c>
      <c r="V336" s="3">
        <f t="shared" si="129"/>
        <v>0</v>
      </c>
      <c r="W336" s="5">
        <f t="shared" si="130"/>
        <v>0</v>
      </c>
      <c r="X336" s="5">
        <f>IFERROR(IF(OR($B336="MID",$B336="FWD"),INDEX(FIXTURE_ANALYSIS!$Q:$Q,MATCH($D336,FIXTURE_ANALYSIS!$A:$A,0)),INDEX(FIXTURE_ANALYSIS!$R:$R,MATCH($D336,FIXTURE_ANALYSIS!$A:$A,0))),1)</f>
        <v>0.95496539792387547</v>
      </c>
      <c r="Y336" s="5">
        <f t="shared" si="131"/>
        <v>0.95496539792387547</v>
      </c>
      <c r="Z336" s="8">
        <f>INDEX(FPL_Raw_Data!$T:$T,MATCH(A336,FPL_Raw_Data!$AA:$AA,0))</f>
        <v>0</v>
      </c>
      <c r="AA336" s="8">
        <f>INDEX(FPL_Raw_Data!$S:$S,MATCH(A336,FPL_Raw_Data!$AA:$AA,0))</f>
        <v>0</v>
      </c>
      <c r="AB336" s="2">
        <f t="shared" si="132"/>
        <v>0</v>
      </c>
      <c r="AC336" s="2">
        <f>INDEX(FPL_Raw_Data!$Q:$Q,MATCH(A336,FPL_Raw_Data!$AA:$AA,0))</f>
        <v>0</v>
      </c>
      <c r="AD336" s="8">
        <f>INDEX(FPL_Raw_Data!$R:$R,MATCH(A336,FPL_Raw_Data!$AA:$AA,0))</f>
        <v>0</v>
      </c>
      <c r="AE336" s="8">
        <f>INDEX(FPL_Raw_Data!$N:$N,MATCH(A336,FPL_Raw_Data!$AA:$AA,0))</f>
        <v>0</v>
      </c>
      <c r="AF336" s="8">
        <f>INDEX(FPL_Raw_Data!$L:$L,MATCH(A336,FPL_Raw_Data!$AA:$AA,0))</f>
        <v>0</v>
      </c>
      <c r="AG336" s="2">
        <f>INDEX(FPL_Raw_Data!$M:$M,MATCH(A336,FPL_Raw_Data!$AA:$AA,0))</f>
        <v>0</v>
      </c>
      <c r="AH336" s="2">
        <f t="shared" si="133"/>
        <v>0</v>
      </c>
      <c r="AI336" s="2">
        <f t="shared" si="134"/>
        <v>0</v>
      </c>
      <c r="AJ336" s="2">
        <f t="shared" si="135"/>
        <v>0</v>
      </c>
      <c r="AK336" s="2">
        <f t="shared" si="136"/>
        <v>0</v>
      </c>
      <c r="AL336" s="2">
        <f t="shared" si="137"/>
        <v>0</v>
      </c>
      <c r="AM336" s="2">
        <f t="shared" si="138"/>
        <v>0</v>
      </c>
      <c r="AN336" s="2">
        <f t="shared" si="139"/>
        <v>0</v>
      </c>
      <c r="AO336" s="3">
        <f t="shared" si="140"/>
        <v>0.1</v>
      </c>
      <c r="AP336">
        <f t="shared" si="141"/>
        <v>0</v>
      </c>
      <c r="AQ336">
        <f t="shared" si="142"/>
        <v>0.1</v>
      </c>
      <c r="AR336">
        <f t="shared" si="143"/>
        <v>0</v>
      </c>
      <c r="AS336" s="2">
        <f t="shared" si="144"/>
        <v>0</v>
      </c>
      <c r="AT336" s="2">
        <f>IFERROR(INDEX(Player_Model!$BC$2:$BC$596,MATCH($A336,Player_Model!$A$2:$A$596,0)),0)</f>
        <v>0</v>
      </c>
      <c r="AU336" s="2">
        <f>Table8[[#This Row],[Model Expected Points]]*Table8[[#This Row],[Fixture Adjustment]]</f>
        <v>0</v>
      </c>
      <c r="AV336" s="2">
        <f>Table8[[#This Row],[Fixture Adjusted Points / 90]]/Table8[[#This Row],[Price]]</f>
        <v>0</v>
      </c>
      <c r="AW336">
        <f t="shared" si="145"/>
        <v>0.05</v>
      </c>
      <c r="AX336">
        <f t="shared" si="146"/>
        <v>0</v>
      </c>
      <c r="AY336" s="2">
        <f t="shared" si="147"/>
        <v>0</v>
      </c>
      <c r="AZ336" s="5">
        <f t="shared" si="148"/>
        <v>0.95496539792387547</v>
      </c>
      <c r="BA336">
        <f>Table8[[#This Row],[Model Score2]]</f>
        <v>0</v>
      </c>
      <c r="BB336">
        <f>IFERROR(INDEX(Player_Model!$BG$2:$BG$596,MATCH($A336,Player_Model!$A$2:$A$596,0)),"")</f>
        <v>198</v>
      </c>
      <c r="BC336" t="str">
        <f t="shared" si="149"/>
        <v>AVOID</v>
      </c>
      <c r="BD336">
        <f>IF(H336=1,Table8[[#This Row],[Model Score]],-10000)</f>
        <v>-10000</v>
      </c>
      <c r="BE336">
        <f>IFERROR(INDEX(Player_Model!$BF$2:$BF$596,MATCH($A336,Player_Model!$A$2:$A$596,0)),"")</f>
        <v>253</v>
      </c>
      <c r="BF336">
        <f>IFERROR(INDEX(Player_Model!$BG$2:$BG$596,MATCH($A336,Player_Model!$A$2:$A$596,0)),"")</f>
        <v>198</v>
      </c>
      <c r="BG336">
        <f>IFERROR(INDEX(Player_Model!$BE$2:$BE$596,MATCH($A336,Player_Model!$A$2:$A$596,0)),0)</f>
        <v>0</v>
      </c>
    </row>
    <row r="337" spans="1:59" x14ac:dyDescent="0.25">
      <c r="A337" t="str">
        <f>tblPlayers[first_name]&amp;" "&amp;tblPlayers[second_name]</f>
        <v>Oli McBurnie</v>
      </c>
      <c r="B337" t="str">
        <f>_xlfn.SWITCH(tblPlayers[element_type],1,"GK",2,"DEF",3,"MID",4,"FWD")</f>
        <v>FWD</v>
      </c>
      <c r="C337">
        <f>tblPlayers[team]</f>
        <v>11</v>
      </c>
      <c r="D337" t="str">
        <f>INDEX(tblTeams[Column1.short_name],MATCH(C337,tblTeams[Column1.id],0))</f>
        <v>HUL</v>
      </c>
      <c r="E337" s="4">
        <f>INDEX(FPL_Raw_Data!$F:$F,MATCH(A337,FPL_Raw_Data!$AA:$AA,0))/10</f>
        <v>5.5</v>
      </c>
      <c r="F337" s="4" t="str">
        <f>tblPlayers[[#This Row],[status]]</f>
        <v>a</v>
      </c>
      <c r="G337" s="4" t="b">
        <f>tblPlayers[[#This Row],[can_select]]</f>
        <v>1</v>
      </c>
      <c r="H337">
        <f>IF(AND(Table8[[#This Row],[Availability Status]]="a",Table8[[#This Row],[Can Select]]=TRUE),1,0)</f>
        <v>1</v>
      </c>
      <c r="I337">
        <f>tblPlayers[minutes]</f>
        <v>270</v>
      </c>
      <c r="J337" s="2">
        <f>Table8[[#This Row],[Minutes]]/90</f>
        <v>3</v>
      </c>
      <c r="K337" s="5">
        <f>IFERROR(Z337/(FIXTURE_ANALYSIS!$B$1-1),0)</f>
        <v>1</v>
      </c>
      <c r="L337">
        <f>tblPlayers[total_points]</f>
        <v>8</v>
      </c>
      <c r="M337">
        <f>tblPlayers[points_per_game]</f>
        <v>2.7</v>
      </c>
      <c r="N337">
        <f>tblPlayers[form]</f>
        <v>2.7</v>
      </c>
      <c r="O337">
        <f>tblPlayers[expected_goals]</f>
        <v>0.54</v>
      </c>
      <c r="P337">
        <f>tblPlayers[expected_assists]</f>
        <v>7.0000000000000007E-2</v>
      </c>
      <c r="Q337">
        <f>tblPlayers[expected_goal_involvements]</f>
        <v>0.61</v>
      </c>
      <c r="R337" s="2">
        <f t="shared" si="125"/>
        <v>2.666666666666667</v>
      </c>
      <c r="S337" s="5">
        <f t="shared" si="126"/>
        <v>0.18</v>
      </c>
      <c r="T337" s="5">
        <f t="shared" si="127"/>
        <v>2.3333333333333334E-2</v>
      </c>
      <c r="U337" s="5">
        <f t="shared" si="128"/>
        <v>0.20333333333333331</v>
      </c>
      <c r="V337" s="3">
        <f t="shared" si="129"/>
        <v>1.4545454545454546</v>
      </c>
      <c r="W337" s="5">
        <f t="shared" si="130"/>
        <v>0.1109090909090909</v>
      </c>
      <c r="X337" s="5">
        <f>IFERROR(IF(OR($B337="MID",$B337="FWD"),INDEX(FIXTURE_ANALYSIS!$Q:$Q,MATCH($D337,FIXTURE_ANALYSIS!$A:$A,0)),INDEX(FIXTURE_ANALYSIS!$R:$R,MATCH($D337,FIXTURE_ANALYSIS!$A:$A,0))),1)</f>
        <v>0.95496539792387547</v>
      </c>
      <c r="Y337" s="5">
        <f t="shared" si="131"/>
        <v>0.95496539792387547</v>
      </c>
      <c r="Z337" s="8">
        <f>INDEX(FPL_Raw_Data!$T:$T,MATCH(A337,FPL_Raw_Data!$AA:$AA,0))</f>
        <v>3</v>
      </c>
      <c r="AA337" s="8">
        <f>INDEX(FPL_Raw_Data!$S:$S,MATCH(A337,FPL_Raw_Data!$AA:$AA,0))</f>
        <v>12</v>
      </c>
      <c r="AB337" s="2">
        <f t="shared" si="132"/>
        <v>1</v>
      </c>
      <c r="AC337" s="2">
        <f>INDEX(FPL_Raw_Data!$Q:$Q,MATCH(A337,FPL_Raw_Data!$AA:$AA,0))</f>
        <v>0</v>
      </c>
      <c r="AD337" s="8">
        <f>INDEX(FPL_Raw_Data!$R:$R,MATCH(A337,FPL_Raw_Data!$AA:$AA,0))</f>
        <v>30</v>
      </c>
      <c r="AE337" s="8">
        <f>INDEX(FPL_Raw_Data!$N:$N,MATCH(A337,FPL_Raw_Data!$AA:$AA,0))</f>
        <v>3</v>
      </c>
      <c r="AF337" s="8">
        <f>INDEX(FPL_Raw_Data!$L:$L,MATCH(A337,FPL_Raw_Data!$AA:$AA,0))</f>
        <v>0</v>
      </c>
      <c r="AG337" s="2">
        <f>INDEX(FPL_Raw_Data!$M:$M,MATCH(A337,FPL_Raw_Data!$AA:$AA,0))</f>
        <v>1</v>
      </c>
      <c r="AH337" s="2">
        <f t="shared" si="133"/>
        <v>0.72</v>
      </c>
      <c r="AI337" s="2">
        <f t="shared" si="134"/>
        <v>7.0000000000000007E-2</v>
      </c>
      <c r="AJ337" s="2">
        <f t="shared" si="135"/>
        <v>2</v>
      </c>
      <c r="AK337" s="2">
        <f t="shared" si="136"/>
        <v>2</v>
      </c>
      <c r="AL337" s="2">
        <f t="shared" si="137"/>
        <v>1</v>
      </c>
      <c r="AM337" s="2">
        <f t="shared" si="138"/>
        <v>0</v>
      </c>
      <c r="AN337" s="2">
        <f t="shared" si="139"/>
        <v>0</v>
      </c>
      <c r="AO337" s="3">
        <f t="shared" si="140"/>
        <v>54.2</v>
      </c>
      <c r="AP337">
        <f t="shared" si="141"/>
        <v>76.400000000000006</v>
      </c>
      <c r="AQ337">
        <f t="shared" si="142"/>
        <v>77.2</v>
      </c>
      <c r="AR337">
        <f t="shared" si="143"/>
        <v>85.3</v>
      </c>
      <c r="AS337" s="2">
        <f t="shared" si="144"/>
        <v>100</v>
      </c>
      <c r="AT337" s="2">
        <f>IFERROR(INDEX(Player_Model!$BC$2:$BC$596,MATCH($A337,Player_Model!$A$2:$A$596,0)),0)</f>
        <v>3.3009970588235293</v>
      </c>
      <c r="AU337" s="2">
        <f>Table8[[#This Row],[Model Expected Points]]*Table8[[#This Row],[Fixture Adjustment]]</f>
        <v>3.1523379698249543</v>
      </c>
      <c r="AV337" s="2">
        <f>Table8[[#This Row],[Fixture Adjusted Points / 90]]/Table8[[#This Row],[Price]]</f>
        <v>0.57315235814999166</v>
      </c>
      <c r="AW337">
        <f t="shared" si="145"/>
        <v>65.300000000000011</v>
      </c>
      <c r="AX337">
        <f t="shared" si="146"/>
        <v>0</v>
      </c>
      <c r="AY337" s="2">
        <f t="shared" si="147"/>
        <v>100</v>
      </c>
      <c r="AZ337" s="5">
        <f t="shared" si="148"/>
        <v>0.95496539792387547</v>
      </c>
      <c r="BA337">
        <f>Table8[[#This Row],[Model Score2]]</f>
        <v>3.3009970588235293</v>
      </c>
      <c r="BB337">
        <f>IFERROR(INDEX(Player_Model!$BG$2:$BG$596,MATCH($A337,Player_Model!$A$2:$A$596,0)),"")</f>
        <v>18</v>
      </c>
      <c r="BC337" t="str">
        <f t="shared" si="149"/>
        <v>AVOID</v>
      </c>
      <c r="BD337">
        <f>IF(H337=1,Table8[[#This Row],[Model Score]],-10000)</f>
        <v>3.3009970588235293</v>
      </c>
      <c r="BE337">
        <f>IFERROR(INDEX(Player_Model!$BF$2:$BF$596,MATCH($A337,Player_Model!$A$2:$A$596,0)),"")</f>
        <v>186</v>
      </c>
      <c r="BF337">
        <f>IFERROR(INDEX(Player_Model!$BG$2:$BG$596,MATCH($A337,Player_Model!$A$2:$A$596,0)),"")</f>
        <v>18</v>
      </c>
      <c r="BG337">
        <f>IFERROR(INDEX(Player_Model!$BE$2:$BE$596,MATCH($A337,Player_Model!$A$2:$A$596,0)),0)</f>
        <v>3.3009970588235293</v>
      </c>
    </row>
    <row r="338" spans="1:59" x14ac:dyDescent="0.25">
      <c r="A338" t="str">
        <f>tblPlayers[first_name]&amp;" "&amp;tblPlayers[second_name]</f>
        <v>David Akintola</v>
      </c>
      <c r="B338" t="str">
        <f>_xlfn.SWITCH(tblPlayers[element_type],1,"GK",2,"DEF",3,"MID",4,"FWD")</f>
        <v>MID</v>
      </c>
      <c r="C338">
        <f>tblPlayers[team]</f>
        <v>11</v>
      </c>
      <c r="D338" t="str">
        <f>INDEX(tblTeams[Column1.short_name],MATCH(C338,tblTeams[Column1.id],0))</f>
        <v>HUL</v>
      </c>
      <c r="E338" s="4">
        <f>INDEX(FPL_Raw_Data!$F:$F,MATCH(A338,FPL_Raw_Data!$AA:$AA,0))/10</f>
        <v>5</v>
      </c>
      <c r="F338" s="4" t="str">
        <f>tblPlayers[[#This Row],[status]]</f>
        <v>a</v>
      </c>
      <c r="G338" s="4" t="b">
        <f>tblPlayers[[#This Row],[can_select]]</f>
        <v>1</v>
      </c>
      <c r="H338">
        <f>IF(AND(Table8[[#This Row],[Availability Status]]="a",Table8[[#This Row],[Can Select]]=TRUE),1,0)</f>
        <v>1</v>
      </c>
      <c r="I338">
        <f>tblPlayers[minutes]</f>
        <v>0</v>
      </c>
      <c r="J338" s="2">
        <f>Table8[[#This Row],[Minutes]]/90</f>
        <v>0</v>
      </c>
      <c r="K338" s="5">
        <f>IFERROR(Z338/(FIXTURE_ANALYSIS!$B$1-1),0)</f>
        <v>0</v>
      </c>
      <c r="L338">
        <f>tblPlayers[total_points]</f>
        <v>0</v>
      </c>
      <c r="M338">
        <f>tblPlayers[points_per_game]</f>
        <v>0</v>
      </c>
      <c r="N338">
        <f>tblPlayers[form]</f>
        <v>0</v>
      </c>
      <c r="O338">
        <f>tblPlayers[expected_goals]</f>
        <v>0</v>
      </c>
      <c r="P338">
        <f>tblPlayers[expected_assists]</f>
        <v>0</v>
      </c>
      <c r="Q338">
        <f>tblPlayers[expected_goal_involvements]</f>
        <v>0</v>
      </c>
      <c r="R338" s="2">
        <f t="shared" si="125"/>
        <v>0</v>
      </c>
      <c r="S338" s="5">
        <f t="shared" si="126"/>
        <v>0</v>
      </c>
      <c r="T338" s="5">
        <f t="shared" si="127"/>
        <v>0</v>
      </c>
      <c r="U338" s="5">
        <f t="shared" si="128"/>
        <v>0</v>
      </c>
      <c r="V338" s="3">
        <f t="shared" si="129"/>
        <v>0</v>
      </c>
      <c r="W338" s="5">
        <f t="shared" si="130"/>
        <v>0</v>
      </c>
      <c r="X338" s="5">
        <f>IFERROR(IF(OR($B338="MID",$B338="FWD"),INDEX(FIXTURE_ANALYSIS!$Q:$Q,MATCH($D338,FIXTURE_ANALYSIS!$A:$A,0)),INDEX(FIXTURE_ANALYSIS!$R:$R,MATCH($D338,FIXTURE_ANALYSIS!$A:$A,0))),1)</f>
        <v>0.95496539792387547</v>
      </c>
      <c r="Y338" s="5">
        <f t="shared" si="131"/>
        <v>0.95496539792387547</v>
      </c>
      <c r="Z338" s="8">
        <f>INDEX(FPL_Raw_Data!$T:$T,MATCH(A338,FPL_Raw_Data!$AA:$AA,0))</f>
        <v>0</v>
      </c>
      <c r="AA338" s="8">
        <f>INDEX(FPL_Raw_Data!$S:$S,MATCH(A338,FPL_Raw_Data!$AA:$AA,0))</f>
        <v>0</v>
      </c>
      <c r="AB338" s="2">
        <f t="shared" si="132"/>
        <v>0</v>
      </c>
      <c r="AC338" s="2">
        <f>INDEX(FPL_Raw_Data!$Q:$Q,MATCH(A338,FPL_Raw_Data!$AA:$AA,0))</f>
        <v>0</v>
      </c>
      <c r="AD338" s="8">
        <f>INDEX(FPL_Raw_Data!$R:$R,MATCH(A338,FPL_Raw_Data!$AA:$AA,0))</f>
        <v>0</v>
      </c>
      <c r="AE338" s="8">
        <f>INDEX(FPL_Raw_Data!$N:$N,MATCH(A338,FPL_Raw_Data!$AA:$AA,0))</f>
        <v>0</v>
      </c>
      <c r="AF338" s="8">
        <f>INDEX(FPL_Raw_Data!$L:$L,MATCH(A338,FPL_Raw_Data!$AA:$AA,0))</f>
        <v>0</v>
      </c>
      <c r="AG338" s="2">
        <f>INDEX(FPL_Raw_Data!$M:$M,MATCH(A338,FPL_Raw_Data!$AA:$AA,0))</f>
        <v>0</v>
      </c>
      <c r="AH338" s="2">
        <f t="shared" si="133"/>
        <v>0</v>
      </c>
      <c r="AI338" s="2">
        <f t="shared" si="134"/>
        <v>0</v>
      </c>
      <c r="AJ338" s="2">
        <f t="shared" si="135"/>
        <v>0</v>
      </c>
      <c r="AK338" s="2">
        <f t="shared" si="136"/>
        <v>0</v>
      </c>
      <c r="AL338" s="2">
        <f t="shared" si="137"/>
        <v>0</v>
      </c>
      <c r="AM338" s="2">
        <f t="shared" si="138"/>
        <v>0</v>
      </c>
      <c r="AN338" s="2">
        <f t="shared" si="139"/>
        <v>0</v>
      </c>
      <c r="AO338" s="3">
        <f t="shared" si="140"/>
        <v>0.1</v>
      </c>
      <c r="AP338">
        <f t="shared" si="141"/>
        <v>0</v>
      </c>
      <c r="AQ338">
        <f t="shared" si="142"/>
        <v>0.1</v>
      </c>
      <c r="AR338">
        <f t="shared" si="143"/>
        <v>0</v>
      </c>
      <c r="AS338" s="2">
        <f t="shared" si="144"/>
        <v>0</v>
      </c>
      <c r="AT338" s="2">
        <f>IFERROR(INDEX(Player_Model!$BC$2:$BC$596,MATCH($A338,Player_Model!$A$2:$A$596,0)),0)</f>
        <v>0</v>
      </c>
      <c r="AU338" s="2">
        <f>Table8[[#This Row],[Model Expected Points]]*Table8[[#This Row],[Fixture Adjustment]]</f>
        <v>0</v>
      </c>
      <c r="AV338" s="2">
        <f>Table8[[#This Row],[Fixture Adjusted Points / 90]]/Table8[[#This Row],[Price]]</f>
        <v>0</v>
      </c>
      <c r="AW338">
        <f t="shared" si="145"/>
        <v>0.05</v>
      </c>
      <c r="AX338">
        <f t="shared" si="146"/>
        <v>0</v>
      </c>
      <c r="AY338" s="2">
        <f t="shared" si="147"/>
        <v>0</v>
      </c>
      <c r="AZ338" s="5">
        <f t="shared" si="148"/>
        <v>0.95496539792387547</v>
      </c>
      <c r="BA338">
        <f>Table8[[#This Row],[Model Score2]]</f>
        <v>0</v>
      </c>
      <c r="BB338">
        <f>IFERROR(INDEX(Player_Model!$BG$2:$BG$596,MATCH($A338,Player_Model!$A$2:$A$596,0)),"")</f>
        <v>199</v>
      </c>
      <c r="BC338" t="str">
        <f t="shared" si="149"/>
        <v>AVOID</v>
      </c>
      <c r="BD338">
        <f>IF(H338=1,Table8[[#This Row],[Model Score]],-10000)</f>
        <v>0</v>
      </c>
      <c r="BE338">
        <f>IFERROR(INDEX(Player_Model!$BF$2:$BF$596,MATCH($A338,Player_Model!$A$2:$A$596,0)),"")</f>
        <v>253</v>
      </c>
      <c r="BF338">
        <f>IFERROR(INDEX(Player_Model!$BG$2:$BG$596,MATCH($A338,Player_Model!$A$2:$A$596,0)),"")</f>
        <v>199</v>
      </c>
      <c r="BG338">
        <f>IFERROR(INDEX(Player_Model!$BE$2:$BE$596,MATCH($A338,Player_Model!$A$2:$A$596,0)),0)</f>
        <v>0</v>
      </c>
    </row>
    <row r="339" spans="1:59" x14ac:dyDescent="0.25">
      <c r="A339" t="str">
        <f>tblPlayers[first_name]&amp;" "&amp;tblPlayers[second_name]</f>
        <v>Darko Gyabi</v>
      </c>
      <c r="B339" t="str">
        <f>_xlfn.SWITCH(tblPlayers[element_type],1,"GK",2,"DEF",3,"MID",4,"FWD")</f>
        <v>MID</v>
      </c>
      <c r="C339">
        <f>tblPlayers[team]</f>
        <v>11</v>
      </c>
      <c r="D339" t="str">
        <f>INDEX(tblTeams[Column1.short_name],MATCH(C339,tblTeams[Column1.id],0))</f>
        <v>HUL</v>
      </c>
      <c r="E339" s="4">
        <f>INDEX(FPL_Raw_Data!$F:$F,MATCH(A339,FPL_Raw_Data!$AA:$AA,0))/10</f>
        <v>4.5</v>
      </c>
      <c r="F339" s="4" t="str">
        <f>tblPlayers[[#This Row],[status]]</f>
        <v>i</v>
      </c>
      <c r="G339" s="4" t="b">
        <f>tblPlayers[[#This Row],[can_select]]</f>
        <v>1</v>
      </c>
      <c r="H339">
        <f>IF(AND(Table8[[#This Row],[Availability Status]]="a",Table8[[#This Row],[Can Select]]=TRUE),1,0)</f>
        <v>0</v>
      </c>
      <c r="I339">
        <f>tblPlayers[minutes]</f>
        <v>0</v>
      </c>
      <c r="J339" s="2">
        <f>Table8[[#This Row],[Minutes]]/90</f>
        <v>0</v>
      </c>
      <c r="K339" s="5">
        <f>IFERROR(Z339/(FIXTURE_ANALYSIS!$B$1-1),0)</f>
        <v>0</v>
      </c>
      <c r="L339">
        <f>tblPlayers[total_points]</f>
        <v>0</v>
      </c>
      <c r="M339">
        <f>tblPlayers[points_per_game]</f>
        <v>0</v>
      </c>
      <c r="N339">
        <f>tblPlayers[form]</f>
        <v>0</v>
      </c>
      <c r="O339">
        <f>tblPlayers[expected_goals]</f>
        <v>0</v>
      </c>
      <c r="P339">
        <f>tblPlayers[expected_assists]</f>
        <v>0</v>
      </c>
      <c r="Q339">
        <f>tblPlayers[expected_goal_involvements]</f>
        <v>0</v>
      </c>
      <c r="R339" s="2">
        <f t="shared" si="125"/>
        <v>0</v>
      </c>
      <c r="S339" s="5">
        <f t="shared" si="126"/>
        <v>0</v>
      </c>
      <c r="T339" s="5">
        <f t="shared" si="127"/>
        <v>0</v>
      </c>
      <c r="U339" s="5">
        <f t="shared" si="128"/>
        <v>0</v>
      </c>
      <c r="V339" s="3">
        <f t="shared" si="129"/>
        <v>0</v>
      </c>
      <c r="W339" s="5">
        <f t="shared" si="130"/>
        <v>0</v>
      </c>
      <c r="X339" s="5">
        <f>IFERROR(IF(OR($B339="MID",$B339="FWD"),INDEX(FIXTURE_ANALYSIS!$Q:$Q,MATCH($D339,FIXTURE_ANALYSIS!$A:$A,0)),INDEX(FIXTURE_ANALYSIS!$R:$R,MATCH($D339,FIXTURE_ANALYSIS!$A:$A,0))),1)</f>
        <v>0.95496539792387547</v>
      </c>
      <c r="Y339" s="5">
        <f t="shared" si="131"/>
        <v>0.95496539792387547</v>
      </c>
      <c r="Z339" s="8">
        <f>INDEX(FPL_Raw_Data!$T:$T,MATCH(A339,FPL_Raw_Data!$AA:$AA,0))</f>
        <v>0</v>
      </c>
      <c r="AA339" s="8">
        <f>INDEX(FPL_Raw_Data!$S:$S,MATCH(A339,FPL_Raw_Data!$AA:$AA,0))</f>
        <v>0</v>
      </c>
      <c r="AB339" s="2">
        <f t="shared" si="132"/>
        <v>0</v>
      </c>
      <c r="AC339" s="2">
        <f>INDEX(FPL_Raw_Data!$Q:$Q,MATCH(A339,FPL_Raw_Data!$AA:$AA,0))</f>
        <v>0</v>
      </c>
      <c r="AD339" s="8">
        <f>INDEX(FPL_Raw_Data!$R:$R,MATCH(A339,FPL_Raw_Data!$AA:$AA,0))</f>
        <v>0</v>
      </c>
      <c r="AE339" s="8">
        <f>INDEX(FPL_Raw_Data!$N:$N,MATCH(A339,FPL_Raw_Data!$AA:$AA,0))</f>
        <v>0</v>
      </c>
      <c r="AF339" s="8">
        <f>INDEX(FPL_Raw_Data!$L:$L,MATCH(A339,FPL_Raw_Data!$AA:$AA,0))</f>
        <v>0</v>
      </c>
      <c r="AG339" s="2">
        <f>INDEX(FPL_Raw_Data!$M:$M,MATCH(A339,FPL_Raw_Data!$AA:$AA,0))</f>
        <v>0</v>
      </c>
      <c r="AH339" s="2">
        <f t="shared" si="133"/>
        <v>0</v>
      </c>
      <c r="AI339" s="2">
        <f t="shared" si="134"/>
        <v>0</v>
      </c>
      <c r="AJ339" s="2">
        <f t="shared" si="135"/>
        <v>0</v>
      </c>
      <c r="AK339" s="2">
        <f t="shared" si="136"/>
        <v>0</v>
      </c>
      <c r="AL339" s="2">
        <f t="shared" si="137"/>
        <v>0</v>
      </c>
      <c r="AM339" s="2">
        <f t="shared" si="138"/>
        <v>0</v>
      </c>
      <c r="AN339" s="2">
        <f t="shared" si="139"/>
        <v>0</v>
      </c>
      <c r="AO339" s="3">
        <f t="shared" si="140"/>
        <v>0.1</v>
      </c>
      <c r="AP339">
        <f t="shared" si="141"/>
        <v>0</v>
      </c>
      <c r="AQ339">
        <f t="shared" si="142"/>
        <v>0.1</v>
      </c>
      <c r="AR339">
        <f t="shared" si="143"/>
        <v>0</v>
      </c>
      <c r="AS339" s="2">
        <f t="shared" si="144"/>
        <v>0</v>
      </c>
      <c r="AT339" s="2">
        <f>IFERROR(INDEX(Player_Model!$BC$2:$BC$596,MATCH($A339,Player_Model!$A$2:$A$596,0)),0)</f>
        <v>0</v>
      </c>
      <c r="AU339" s="2">
        <f>Table8[[#This Row],[Model Expected Points]]*Table8[[#This Row],[Fixture Adjustment]]</f>
        <v>0</v>
      </c>
      <c r="AV339" s="2">
        <f>Table8[[#This Row],[Fixture Adjusted Points / 90]]/Table8[[#This Row],[Price]]</f>
        <v>0</v>
      </c>
      <c r="AW339">
        <f t="shared" si="145"/>
        <v>0.05</v>
      </c>
      <c r="AX339">
        <f t="shared" si="146"/>
        <v>0</v>
      </c>
      <c r="AY339" s="2">
        <f t="shared" si="147"/>
        <v>0</v>
      </c>
      <c r="AZ339" s="5">
        <f t="shared" si="148"/>
        <v>0.95496539792387547</v>
      </c>
      <c r="BA339">
        <f>Table8[[#This Row],[Model Score2]]</f>
        <v>0</v>
      </c>
      <c r="BB339">
        <f>IFERROR(INDEX(Player_Model!$BG$2:$BG$596,MATCH($A339,Player_Model!$A$2:$A$596,0)),"")</f>
        <v>200</v>
      </c>
      <c r="BC339" t="str">
        <f t="shared" si="149"/>
        <v>AVOID</v>
      </c>
      <c r="BD339">
        <f>IF(H339=1,Table8[[#This Row],[Model Score]],-10000)</f>
        <v>-10000</v>
      </c>
      <c r="BE339">
        <f>IFERROR(INDEX(Player_Model!$BF$2:$BF$596,MATCH($A339,Player_Model!$A$2:$A$596,0)),"")</f>
        <v>253</v>
      </c>
      <c r="BF339">
        <f>IFERROR(INDEX(Player_Model!$BG$2:$BG$596,MATCH($A339,Player_Model!$A$2:$A$596,0)),"")</f>
        <v>200</v>
      </c>
      <c r="BG339">
        <f>IFERROR(INDEX(Player_Model!$BE$2:$BE$596,MATCH($A339,Player_Model!$A$2:$A$596,0)),0)</f>
        <v>0</v>
      </c>
    </row>
    <row r="340" spans="1:59" x14ac:dyDescent="0.25">
      <c r="A340" t="str">
        <f>tblPlayers[first_name]&amp;" "&amp;tblPlayers[second_name]</f>
        <v>Enis Destan</v>
      </c>
      <c r="B340" t="str">
        <f>_xlfn.SWITCH(tblPlayers[element_type],1,"GK",2,"DEF",3,"MID",4,"FWD")</f>
        <v>FWD</v>
      </c>
      <c r="C340">
        <f>tblPlayers[team]</f>
        <v>11</v>
      </c>
      <c r="D340" t="str">
        <f>INDEX(tblTeams[Column1.short_name],MATCH(C340,tblTeams[Column1.id],0))</f>
        <v>HUL</v>
      </c>
      <c r="E340" s="4">
        <f>INDEX(FPL_Raw_Data!$F:$F,MATCH(A340,FPL_Raw_Data!$AA:$AA,0))/10</f>
        <v>4.5</v>
      </c>
      <c r="F340" s="4" t="str">
        <f>tblPlayers[[#This Row],[status]]</f>
        <v>u</v>
      </c>
      <c r="G340" s="4" t="b">
        <f>tblPlayers[[#This Row],[can_select]]</f>
        <v>0</v>
      </c>
      <c r="H340">
        <f>IF(AND(Table8[[#This Row],[Availability Status]]="a",Table8[[#This Row],[Can Select]]=TRUE),1,0)</f>
        <v>0</v>
      </c>
      <c r="I340">
        <f>tblPlayers[minutes]</f>
        <v>0</v>
      </c>
      <c r="J340" s="2">
        <f>Table8[[#This Row],[Minutes]]/90</f>
        <v>0</v>
      </c>
      <c r="K340" s="5">
        <f>IFERROR(Z340/(FIXTURE_ANALYSIS!$B$1-1),0)</f>
        <v>0</v>
      </c>
      <c r="L340">
        <f>tblPlayers[total_points]</f>
        <v>0</v>
      </c>
      <c r="M340">
        <f>tblPlayers[points_per_game]</f>
        <v>0</v>
      </c>
      <c r="N340">
        <f>tblPlayers[form]</f>
        <v>0</v>
      </c>
      <c r="O340">
        <f>tblPlayers[expected_goals]</f>
        <v>0</v>
      </c>
      <c r="P340">
        <f>tblPlayers[expected_assists]</f>
        <v>0</v>
      </c>
      <c r="Q340">
        <f>tblPlayers[expected_goal_involvements]</f>
        <v>0</v>
      </c>
      <c r="R340" s="2">
        <f t="shared" si="125"/>
        <v>0</v>
      </c>
      <c r="S340" s="5">
        <f t="shared" si="126"/>
        <v>0</v>
      </c>
      <c r="T340" s="5">
        <f t="shared" si="127"/>
        <v>0</v>
      </c>
      <c r="U340" s="5">
        <f t="shared" si="128"/>
        <v>0</v>
      </c>
      <c r="V340" s="3">
        <f t="shared" si="129"/>
        <v>0</v>
      </c>
      <c r="W340" s="5">
        <f t="shared" si="130"/>
        <v>0</v>
      </c>
      <c r="X340" s="5">
        <f>IFERROR(IF(OR($B340="MID",$B340="FWD"),INDEX(FIXTURE_ANALYSIS!$Q:$Q,MATCH($D340,FIXTURE_ANALYSIS!$A:$A,0)),INDEX(FIXTURE_ANALYSIS!$R:$R,MATCH($D340,FIXTURE_ANALYSIS!$A:$A,0))),1)</f>
        <v>0.95496539792387547</v>
      </c>
      <c r="Y340" s="5">
        <f t="shared" si="131"/>
        <v>0.95496539792387547</v>
      </c>
      <c r="Z340" s="8">
        <f>INDEX(FPL_Raw_Data!$T:$T,MATCH(A340,FPL_Raw_Data!$AA:$AA,0))</f>
        <v>0</v>
      </c>
      <c r="AA340" s="8">
        <f>INDEX(FPL_Raw_Data!$S:$S,MATCH(A340,FPL_Raw_Data!$AA:$AA,0))</f>
        <v>0</v>
      </c>
      <c r="AB340" s="2">
        <f t="shared" si="132"/>
        <v>0</v>
      </c>
      <c r="AC340" s="2">
        <f>INDEX(FPL_Raw_Data!$Q:$Q,MATCH(A340,FPL_Raw_Data!$AA:$AA,0))</f>
        <v>0</v>
      </c>
      <c r="AD340" s="8">
        <f>INDEX(FPL_Raw_Data!$R:$R,MATCH(A340,FPL_Raw_Data!$AA:$AA,0))</f>
        <v>0</v>
      </c>
      <c r="AE340" s="8">
        <f>INDEX(FPL_Raw_Data!$N:$N,MATCH(A340,FPL_Raw_Data!$AA:$AA,0))</f>
        <v>0</v>
      </c>
      <c r="AF340" s="8">
        <f>INDEX(FPL_Raw_Data!$L:$L,MATCH(A340,FPL_Raw_Data!$AA:$AA,0))</f>
        <v>0</v>
      </c>
      <c r="AG340" s="2">
        <f>INDEX(FPL_Raw_Data!$M:$M,MATCH(A340,FPL_Raw_Data!$AA:$AA,0))</f>
        <v>0</v>
      </c>
      <c r="AH340" s="2">
        <f t="shared" si="133"/>
        <v>0</v>
      </c>
      <c r="AI340" s="2">
        <f t="shared" si="134"/>
        <v>0</v>
      </c>
      <c r="AJ340" s="2">
        <f t="shared" si="135"/>
        <v>0</v>
      </c>
      <c r="AK340" s="2">
        <f t="shared" si="136"/>
        <v>0</v>
      </c>
      <c r="AL340" s="2">
        <f t="shared" si="137"/>
        <v>0</v>
      </c>
      <c r="AM340" s="2">
        <f t="shared" si="138"/>
        <v>0</v>
      </c>
      <c r="AN340" s="2">
        <f t="shared" si="139"/>
        <v>0</v>
      </c>
      <c r="AO340" s="3">
        <f t="shared" si="140"/>
        <v>0.1</v>
      </c>
      <c r="AP340">
        <f t="shared" si="141"/>
        <v>0</v>
      </c>
      <c r="AQ340">
        <f t="shared" si="142"/>
        <v>0.1</v>
      </c>
      <c r="AR340">
        <f t="shared" si="143"/>
        <v>0</v>
      </c>
      <c r="AS340" s="2">
        <f t="shared" si="144"/>
        <v>0</v>
      </c>
      <c r="AT340" s="2">
        <f>IFERROR(INDEX(Player_Model!$BC$2:$BC$596,MATCH($A340,Player_Model!$A$2:$A$596,0)),0)</f>
        <v>0</v>
      </c>
      <c r="AU340" s="2">
        <f>Table8[[#This Row],[Model Expected Points]]*Table8[[#This Row],[Fixture Adjustment]]</f>
        <v>0</v>
      </c>
      <c r="AV340" s="2">
        <f>Table8[[#This Row],[Fixture Adjusted Points / 90]]/Table8[[#This Row],[Price]]</f>
        <v>0</v>
      </c>
      <c r="AW340">
        <f t="shared" si="145"/>
        <v>0.05</v>
      </c>
      <c r="AX340">
        <f t="shared" si="146"/>
        <v>0</v>
      </c>
      <c r="AY340" s="2">
        <f t="shared" si="147"/>
        <v>0</v>
      </c>
      <c r="AZ340" s="5">
        <f t="shared" si="148"/>
        <v>0.95496539792387547</v>
      </c>
      <c r="BA340">
        <f>Table8[[#This Row],[Model Score2]]</f>
        <v>0</v>
      </c>
      <c r="BB340">
        <f>IFERROR(INDEX(Player_Model!$BG$2:$BG$596,MATCH($A340,Player_Model!$A$2:$A$596,0)),"")</f>
        <v>51</v>
      </c>
      <c r="BC340" t="str">
        <f t="shared" si="149"/>
        <v>AVOID</v>
      </c>
      <c r="BD340">
        <f>IF(H340=1,Table8[[#This Row],[Model Score]],-10000)</f>
        <v>-10000</v>
      </c>
      <c r="BE340">
        <f>IFERROR(INDEX(Player_Model!$BF$2:$BF$596,MATCH($A340,Player_Model!$A$2:$A$596,0)),"")</f>
        <v>253</v>
      </c>
      <c r="BF340">
        <f>IFERROR(INDEX(Player_Model!$BG$2:$BG$596,MATCH($A340,Player_Model!$A$2:$A$596,0)),"")</f>
        <v>51</v>
      </c>
      <c r="BG340">
        <f>IFERROR(INDEX(Player_Model!$BE$2:$BE$596,MATCH($A340,Player_Model!$A$2:$A$596,0)),0)</f>
        <v>0</v>
      </c>
    </row>
    <row r="341" spans="1:59" x14ac:dyDescent="0.25">
      <c r="A341" t="str">
        <f>tblPlayers[first_name]&amp;" "&amp;tblPlayers[second_name]</f>
        <v>Mason Burstow</v>
      </c>
      <c r="B341" t="str">
        <f>_xlfn.SWITCH(tblPlayers[element_type],1,"GK",2,"DEF",3,"MID",4,"FWD")</f>
        <v>FWD</v>
      </c>
      <c r="C341">
        <f>tblPlayers[team]</f>
        <v>11</v>
      </c>
      <c r="D341" t="str">
        <f>INDEX(tblTeams[Column1.short_name],MATCH(C341,tblTeams[Column1.id],0))</f>
        <v>HUL</v>
      </c>
      <c r="E341" s="4">
        <f>INDEX(FPL_Raw_Data!$F:$F,MATCH(A341,FPL_Raw_Data!$AA:$AA,0))/10</f>
        <v>4.5</v>
      </c>
      <c r="F341" s="4" t="str">
        <f>tblPlayers[[#This Row],[status]]</f>
        <v>u</v>
      </c>
      <c r="G341" s="4" t="b">
        <f>tblPlayers[[#This Row],[can_select]]</f>
        <v>0</v>
      </c>
      <c r="H341">
        <f>IF(AND(Table8[[#This Row],[Availability Status]]="a",Table8[[#This Row],[Can Select]]=TRUE),1,0)</f>
        <v>0</v>
      </c>
      <c r="I341">
        <f>tblPlayers[minutes]</f>
        <v>0</v>
      </c>
      <c r="J341" s="2">
        <f>Table8[[#This Row],[Minutes]]/90</f>
        <v>0</v>
      </c>
      <c r="K341" s="5">
        <f>IFERROR(Z341/(FIXTURE_ANALYSIS!$B$1-1),0)</f>
        <v>0</v>
      </c>
      <c r="L341">
        <f>tblPlayers[total_points]</f>
        <v>0</v>
      </c>
      <c r="M341">
        <f>tblPlayers[points_per_game]</f>
        <v>0</v>
      </c>
      <c r="N341">
        <f>tblPlayers[form]</f>
        <v>0</v>
      </c>
      <c r="O341">
        <f>tblPlayers[expected_goals]</f>
        <v>0</v>
      </c>
      <c r="P341">
        <f>tblPlayers[expected_assists]</f>
        <v>0</v>
      </c>
      <c r="Q341">
        <f>tblPlayers[expected_goal_involvements]</f>
        <v>0</v>
      </c>
      <c r="R341" s="2">
        <f t="shared" si="125"/>
        <v>0</v>
      </c>
      <c r="S341" s="5">
        <f t="shared" si="126"/>
        <v>0</v>
      </c>
      <c r="T341" s="5">
        <f t="shared" si="127"/>
        <v>0</v>
      </c>
      <c r="U341" s="5">
        <f t="shared" si="128"/>
        <v>0</v>
      </c>
      <c r="V341" s="3">
        <f t="shared" si="129"/>
        <v>0</v>
      </c>
      <c r="W341" s="5">
        <f t="shared" si="130"/>
        <v>0</v>
      </c>
      <c r="X341" s="5">
        <f>IFERROR(IF(OR($B341="MID",$B341="FWD"),INDEX(FIXTURE_ANALYSIS!$Q:$Q,MATCH($D341,FIXTURE_ANALYSIS!$A:$A,0)),INDEX(FIXTURE_ANALYSIS!$R:$R,MATCH($D341,FIXTURE_ANALYSIS!$A:$A,0))),1)</f>
        <v>0.95496539792387547</v>
      </c>
      <c r="Y341" s="5">
        <f t="shared" si="131"/>
        <v>0.95496539792387547</v>
      </c>
      <c r="Z341" s="8">
        <f>INDEX(FPL_Raw_Data!$T:$T,MATCH(A341,FPL_Raw_Data!$AA:$AA,0))</f>
        <v>0</v>
      </c>
      <c r="AA341" s="8">
        <f>INDEX(FPL_Raw_Data!$S:$S,MATCH(A341,FPL_Raw_Data!$AA:$AA,0))</f>
        <v>0</v>
      </c>
      <c r="AB341" s="2">
        <f t="shared" si="132"/>
        <v>0</v>
      </c>
      <c r="AC341" s="2">
        <f>INDEX(FPL_Raw_Data!$Q:$Q,MATCH(A341,FPL_Raw_Data!$AA:$AA,0))</f>
        <v>0</v>
      </c>
      <c r="AD341" s="8">
        <f>INDEX(FPL_Raw_Data!$R:$R,MATCH(A341,FPL_Raw_Data!$AA:$AA,0))</f>
        <v>0</v>
      </c>
      <c r="AE341" s="8">
        <f>INDEX(FPL_Raw_Data!$N:$N,MATCH(A341,FPL_Raw_Data!$AA:$AA,0))</f>
        <v>0</v>
      </c>
      <c r="AF341" s="8">
        <f>INDEX(FPL_Raw_Data!$L:$L,MATCH(A341,FPL_Raw_Data!$AA:$AA,0))</f>
        <v>0</v>
      </c>
      <c r="AG341" s="2">
        <f>INDEX(FPL_Raw_Data!$M:$M,MATCH(A341,FPL_Raw_Data!$AA:$AA,0))</f>
        <v>0</v>
      </c>
      <c r="AH341" s="2">
        <f t="shared" si="133"/>
        <v>0</v>
      </c>
      <c r="AI341" s="2">
        <f t="shared" si="134"/>
        <v>0</v>
      </c>
      <c r="AJ341" s="2">
        <f t="shared" si="135"/>
        <v>0</v>
      </c>
      <c r="AK341" s="2">
        <f t="shared" si="136"/>
        <v>0</v>
      </c>
      <c r="AL341" s="2">
        <f t="shared" si="137"/>
        <v>0</v>
      </c>
      <c r="AM341" s="2">
        <f t="shared" si="138"/>
        <v>0</v>
      </c>
      <c r="AN341" s="2">
        <f t="shared" si="139"/>
        <v>0</v>
      </c>
      <c r="AO341" s="3">
        <f t="shared" si="140"/>
        <v>0.1</v>
      </c>
      <c r="AP341">
        <f t="shared" si="141"/>
        <v>0</v>
      </c>
      <c r="AQ341">
        <f t="shared" si="142"/>
        <v>0.1</v>
      </c>
      <c r="AR341">
        <f t="shared" si="143"/>
        <v>0</v>
      </c>
      <c r="AS341" s="2">
        <f t="shared" si="144"/>
        <v>0</v>
      </c>
      <c r="AT341" s="2">
        <f>IFERROR(INDEX(Player_Model!$BC$2:$BC$596,MATCH($A341,Player_Model!$A$2:$A$596,0)),0)</f>
        <v>0</v>
      </c>
      <c r="AU341" s="2">
        <f>Table8[[#This Row],[Model Expected Points]]*Table8[[#This Row],[Fixture Adjustment]]</f>
        <v>0</v>
      </c>
      <c r="AV341" s="2">
        <f>Table8[[#This Row],[Fixture Adjusted Points / 90]]/Table8[[#This Row],[Price]]</f>
        <v>0</v>
      </c>
      <c r="AW341">
        <f t="shared" si="145"/>
        <v>0.05</v>
      </c>
      <c r="AX341">
        <f t="shared" si="146"/>
        <v>0</v>
      </c>
      <c r="AY341" s="2">
        <f t="shared" si="147"/>
        <v>0</v>
      </c>
      <c r="AZ341" s="5">
        <f t="shared" si="148"/>
        <v>0.95496539792387547</v>
      </c>
      <c r="BA341">
        <f>Table8[[#This Row],[Model Score2]]</f>
        <v>0</v>
      </c>
      <c r="BB341">
        <f>IFERROR(INDEX(Player_Model!$BG$2:$BG$596,MATCH($A341,Player_Model!$A$2:$A$596,0)),"")</f>
        <v>52</v>
      </c>
      <c r="BC341" t="str">
        <f t="shared" si="149"/>
        <v>AVOID</v>
      </c>
      <c r="BD341">
        <f>IF(H341=1,Table8[[#This Row],[Model Score]],-10000)</f>
        <v>-10000</v>
      </c>
      <c r="BE341">
        <f>IFERROR(INDEX(Player_Model!$BF$2:$BF$596,MATCH($A341,Player_Model!$A$2:$A$596,0)),"")</f>
        <v>253</v>
      </c>
      <c r="BF341">
        <f>IFERROR(INDEX(Player_Model!$BG$2:$BG$596,MATCH($A341,Player_Model!$A$2:$A$596,0)),"")</f>
        <v>52</v>
      </c>
      <c r="BG341">
        <f>IFERROR(INDEX(Player_Model!$BE$2:$BE$596,MATCH($A341,Player_Model!$A$2:$A$596,0)),0)</f>
        <v>0</v>
      </c>
    </row>
    <row r="342" spans="1:59" x14ac:dyDescent="0.25">
      <c r="A342" t="str">
        <f>tblPlayers[first_name]&amp;" "&amp;tblPlayers[second_name]</f>
        <v>Joe Gelhardt</v>
      </c>
      <c r="B342" t="str">
        <f>_xlfn.SWITCH(tblPlayers[element_type],1,"GK",2,"DEF",3,"MID",4,"FWD")</f>
        <v>MID</v>
      </c>
      <c r="C342">
        <f>tblPlayers[team]</f>
        <v>11</v>
      </c>
      <c r="D342" t="str">
        <f>INDEX(tblTeams[Column1.short_name],MATCH(C342,tblTeams[Column1.id],0))</f>
        <v>HUL</v>
      </c>
      <c r="E342" s="4">
        <f>INDEX(FPL_Raw_Data!$F:$F,MATCH(A342,FPL_Raw_Data!$AA:$AA,0))/10</f>
        <v>5</v>
      </c>
      <c r="F342" s="4" t="str">
        <f>tblPlayers[[#This Row],[status]]</f>
        <v>a</v>
      </c>
      <c r="G342" s="4" t="b">
        <f>tblPlayers[[#This Row],[can_select]]</f>
        <v>1</v>
      </c>
      <c r="H342">
        <f>IF(AND(Table8[[#This Row],[Availability Status]]="a",Table8[[#This Row],[Can Select]]=TRUE),1,0)</f>
        <v>1</v>
      </c>
      <c r="I342">
        <f>tblPlayers[minutes]</f>
        <v>0</v>
      </c>
      <c r="J342" s="2">
        <f>Table8[[#This Row],[Minutes]]/90</f>
        <v>0</v>
      </c>
      <c r="K342" s="5">
        <f>IFERROR(Z342/(FIXTURE_ANALYSIS!$B$1-1),0)</f>
        <v>0</v>
      </c>
      <c r="L342">
        <f>tblPlayers[total_points]</f>
        <v>0</v>
      </c>
      <c r="M342">
        <f>tblPlayers[points_per_game]</f>
        <v>0</v>
      </c>
      <c r="N342">
        <f>tblPlayers[form]</f>
        <v>0</v>
      </c>
      <c r="O342">
        <f>tblPlayers[expected_goals]</f>
        <v>0</v>
      </c>
      <c r="P342">
        <f>tblPlayers[expected_assists]</f>
        <v>0</v>
      </c>
      <c r="Q342">
        <f>tblPlayers[expected_goal_involvements]</f>
        <v>0</v>
      </c>
      <c r="R342" s="2">
        <f t="shared" si="125"/>
        <v>0</v>
      </c>
      <c r="S342" s="5">
        <f t="shared" si="126"/>
        <v>0</v>
      </c>
      <c r="T342" s="5">
        <f t="shared" si="127"/>
        <v>0</v>
      </c>
      <c r="U342" s="5">
        <f t="shared" si="128"/>
        <v>0</v>
      </c>
      <c r="V342" s="3">
        <f t="shared" si="129"/>
        <v>0</v>
      </c>
      <c r="W342" s="5">
        <f t="shared" si="130"/>
        <v>0</v>
      </c>
      <c r="X342" s="5">
        <f>IFERROR(IF(OR($B342="MID",$B342="FWD"),INDEX(FIXTURE_ANALYSIS!$Q:$Q,MATCH($D342,FIXTURE_ANALYSIS!$A:$A,0)),INDEX(FIXTURE_ANALYSIS!$R:$R,MATCH($D342,FIXTURE_ANALYSIS!$A:$A,0))),1)</f>
        <v>0.95496539792387547</v>
      </c>
      <c r="Y342" s="5">
        <f t="shared" si="131"/>
        <v>0.95496539792387547</v>
      </c>
      <c r="Z342" s="8">
        <f>INDEX(FPL_Raw_Data!$T:$T,MATCH(A342,FPL_Raw_Data!$AA:$AA,0))</f>
        <v>0</v>
      </c>
      <c r="AA342" s="8">
        <f>INDEX(FPL_Raw_Data!$S:$S,MATCH(A342,FPL_Raw_Data!$AA:$AA,0))</f>
        <v>0</v>
      </c>
      <c r="AB342" s="2">
        <f t="shared" si="132"/>
        <v>0</v>
      </c>
      <c r="AC342" s="2">
        <f>INDEX(FPL_Raw_Data!$Q:$Q,MATCH(A342,FPL_Raw_Data!$AA:$AA,0))</f>
        <v>0</v>
      </c>
      <c r="AD342" s="8">
        <f>INDEX(FPL_Raw_Data!$R:$R,MATCH(A342,FPL_Raw_Data!$AA:$AA,0))</f>
        <v>0</v>
      </c>
      <c r="AE342" s="8">
        <f>INDEX(FPL_Raw_Data!$N:$N,MATCH(A342,FPL_Raw_Data!$AA:$AA,0))</f>
        <v>0</v>
      </c>
      <c r="AF342" s="8">
        <f>INDEX(FPL_Raw_Data!$L:$L,MATCH(A342,FPL_Raw_Data!$AA:$AA,0))</f>
        <v>0</v>
      </c>
      <c r="AG342" s="2">
        <f>INDEX(FPL_Raw_Data!$M:$M,MATCH(A342,FPL_Raw_Data!$AA:$AA,0))</f>
        <v>0</v>
      </c>
      <c r="AH342" s="2">
        <f t="shared" si="133"/>
        <v>0</v>
      </c>
      <c r="AI342" s="2">
        <f t="shared" si="134"/>
        <v>0</v>
      </c>
      <c r="AJ342" s="2">
        <f t="shared" si="135"/>
        <v>0</v>
      </c>
      <c r="AK342" s="2">
        <f t="shared" si="136"/>
        <v>0</v>
      </c>
      <c r="AL342" s="2">
        <f t="shared" si="137"/>
        <v>0</v>
      </c>
      <c r="AM342" s="2">
        <f t="shared" si="138"/>
        <v>0</v>
      </c>
      <c r="AN342" s="2">
        <f t="shared" si="139"/>
        <v>0</v>
      </c>
      <c r="AO342" s="3">
        <f t="shared" si="140"/>
        <v>0.1</v>
      </c>
      <c r="AP342">
        <f t="shared" si="141"/>
        <v>0</v>
      </c>
      <c r="AQ342">
        <f t="shared" si="142"/>
        <v>0.1</v>
      </c>
      <c r="AR342">
        <f t="shared" si="143"/>
        <v>0</v>
      </c>
      <c r="AS342" s="2">
        <f t="shared" si="144"/>
        <v>0</v>
      </c>
      <c r="AT342" s="2">
        <f>IFERROR(INDEX(Player_Model!$BC$2:$BC$596,MATCH($A342,Player_Model!$A$2:$A$596,0)),0)</f>
        <v>0</v>
      </c>
      <c r="AU342" s="2">
        <f>Table8[[#This Row],[Model Expected Points]]*Table8[[#This Row],[Fixture Adjustment]]</f>
        <v>0</v>
      </c>
      <c r="AV342" s="2">
        <f>Table8[[#This Row],[Fixture Adjusted Points / 90]]/Table8[[#This Row],[Price]]</f>
        <v>0</v>
      </c>
      <c r="AW342">
        <f t="shared" si="145"/>
        <v>0.05</v>
      </c>
      <c r="AX342">
        <f t="shared" si="146"/>
        <v>0</v>
      </c>
      <c r="AY342" s="2">
        <f t="shared" si="147"/>
        <v>0</v>
      </c>
      <c r="AZ342" s="5">
        <f t="shared" si="148"/>
        <v>0.95496539792387547</v>
      </c>
      <c r="BA342">
        <f>Table8[[#This Row],[Model Score2]]</f>
        <v>0</v>
      </c>
      <c r="BB342">
        <f>IFERROR(INDEX(Player_Model!$BG$2:$BG$596,MATCH($A342,Player_Model!$A$2:$A$596,0)),"")</f>
        <v>201</v>
      </c>
      <c r="BC342" t="str">
        <f t="shared" si="149"/>
        <v>AVOID</v>
      </c>
      <c r="BD342">
        <f>IF(H342=1,Table8[[#This Row],[Model Score]],-10000)</f>
        <v>0</v>
      </c>
      <c r="BE342">
        <f>IFERROR(INDEX(Player_Model!$BF$2:$BF$596,MATCH($A342,Player_Model!$A$2:$A$596,0)),"")</f>
        <v>253</v>
      </c>
      <c r="BF342">
        <f>IFERROR(INDEX(Player_Model!$BG$2:$BG$596,MATCH($A342,Player_Model!$A$2:$A$596,0)),"")</f>
        <v>201</v>
      </c>
      <c r="BG342">
        <f>IFERROR(INDEX(Player_Model!$BE$2:$BE$596,MATCH($A342,Player_Model!$A$2:$A$596,0)),0)</f>
        <v>0</v>
      </c>
    </row>
    <row r="343" spans="1:59" x14ac:dyDescent="0.25">
      <c r="A343" t="str">
        <f>tblPlayers[first_name]&amp;" "&amp;tblPlayers[second_name]</f>
        <v>Matt Targett</v>
      </c>
      <c r="B343" t="str">
        <f>_xlfn.SWITCH(tblPlayers[element_type],1,"GK",2,"DEF",3,"MID",4,"FWD")</f>
        <v>DEF</v>
      </c>
      <c r="C343">
        <f>tblPlayers[team]</f>
        <v>11</v>
      </c>
      <c r="D343" t="str">
        <f>INDEX(tblTeams[Column1.short_name],MATCH(C343,tblTeams[Column1.id],0))</f>
        <v>HUL</v>
      </c>
      <c r="E343" s="4">
        <f>INDEX(FPL_Raw_Data!$F:$F,MATCH(A343,FPL_Raw_Data!$AA:$AA,0))/10</f>
        <v>4</v>
      </c>
      <c r="F343" s="4" t="str">
        <f>tblPlayers[[#This Row],[status]]</f>
        <v>a</v>
      </c>
      <c r="G343" s="4" t="b">
        <f>tblPlayers[[#This Row],[can_select]]</f>
        <v>1</v>
      </c>
      <c r="H343">
        <f>IF(AND(Table8[[#This Row],[Availability Status]]="a",Table8[[#This Row],[Can Select]]=TRUE),1,0)</f>
        <v>1</v>
      </c>
      <c r="I343">
        <f>tblPlayers[minutes]</f>
        <v>5</v>
      </c>
      <c r="J343" s="2">
        <f>Table8[[#This Row],[Minutes]]/90</f>
        <v>5.5555555555555552E-2</v>
      </c>
      <c r="K343" s="5">
        <f>IFERROR(Z343/(FIXTURE_ANALYSIS!$B$1-1),0)</f>
        <v>0</v>
      </c>
      <c r="L343">
        <f>tblPlayers[total_points]</f>
        <v>1</v>
      </c>
      <c r="M343">
        <f>tblPlayers[points_per_game]</f>
        <v>1</v>
      </c>
      <c r="N343">
        <f>tblPlayers[form]</f>
        <v>0.3</v>
      </c>
      <c r="O343">
        <f>tblPlayers[expected_goals]</f>
        <v>0</v>
      </c>
      <c r="P343">
        <f>tblPlayers[expected_assists]</f>
        <v>0</v>
      </c>
      <c r="Q343">
        <f>tblPlayers[expected_goal_involvements]</f>
        <v>0</v>
      </c>
      <c r="R343" s="2">
        <f t="shared" si="125"/>
        <v>18</v>
      </c>
      <c r="S343" s="5">
        <f t="shared" si="126"/>
        <v>0</v>
      </c>
      <c r="T343" s="5">
        <f t="shared" si="127"/>
        <v>0</v>
      </c>
      <c r="U343" s="5">
        <f t="shared" si="128"/>
        <v>0</v>
      </c>
      <c r="V343" s="3">
        <f t="shared" si="129"/>
        <v>0.25</v>
      </c>
      <c r="W343" s="5">
        <f t="shared" si="130"/>
        <v>0</v>
      </c>
      <c r="X343" s="5">
        <f>IFERROR(IF(OR($B343="MID",$B343="FWD"),INDEX(FIXTURE_ANALYSIS!$Q:$Q,MATCH($D343,FIXTURE_ANALYSIS!$A:$A,0)),INDEX(FIXTURE_ANALYSIS!$R:$R,MATCH($D343,FIXTURE_ANALYSIS!$A:$A,0))),1)</f>
        <v>1.1999999999999997</v>
      </c>
      <c r="Y343" s="5">
        <f t="shared" si="131"/>
        <v>1.1999999999999997</v>
      </c>
      <c r="Z343" s="8">
        <f>INDEX(FPL_Raw_Data!$T:$T,MATCH(A343,FPL_Raw_Data!$AA:$AA,0))</f>
        <v>0</v>
      </c>
      <c r="AA343" s="8">
        <f>INDEX(FPL_Raw_Data!$S:$S,MATCH(A343,FPL_Raw_Data!$AA:$AA,0))</f>
        <v>0</v>
      </c>
      <c r="AB343" s="2">
        <f t="shared" si="132"/>
        <v>0</v>
      </c>
      <c r="AC343" s="2">
        <f>INDEX(FPL_Raw_Data!$Q:$Q,MATCH(A343,FPL_Raw_Data!$AA:$AA,0))</f>
        <v>0</v>
      </c>
      <c r="AD343" s="8">
        <f>INDEX(FPL_Raw_Data!$R:$R,MATCH(A343,FPL_Raw_Data!$AA:$AA,0))</f>
        <v>3</v>
      </c>
      <c r="AE343" s="8">
        <f>INDEX(FPL_Raw_Data!$N:$N,MATCH(A343,FPL_Raw_Data!$AA:$AA,0))</f>
        <v>0</v>
      </c>
      <c r="AF343" s="8">
        <f>INDEX(FPL_Raw_Data!$L:$L,MATCH(A343,FPL_Raw_Data!$AA:$AA,0))</f>
        <v>0</v>
      </c>
      <c r="AG343" s="2">
        <f>INDEX(FPL_Raw_Data!$M:$M,MATCH(A343,FPL_Raw_Data!$AA:$AA,0))</f>
        <v>0</v>
      </c>
      <c r="AH343" s="2">
        <f t="shared" si="133"/>
        <v>0</v>
      </c>
      <c r="AI343" s="2">
        <f t="shared" si="134"/>
        <v>0</v>
      </c>
      <c r="AJ343" s="2">
        <f t="shared" si="135"/>
        <v>0</v>
      </c>
      <c r="AK343" s="2">
        <f t="shared" si="136"/>
        <v>0</v>
      </c>
      <c r="AL343" s="2">
        <f t="shared" si="137"/>
        <v>0</v>
      </c>
      <c r="AM343" s="2">
        <f t="shared" si="138"/>
        <v>0</v>
      </c>
      <c r="AN343" s="2">
        <f t="shared" si="139"/>
        <v>0</v>
      </c>
      <c r="AO343" s="3">
        <f t="shared" si="140"/>
        <v>96.2</v>
      </c>
      <c r="AP343">
        <f t="shared" si="141"/>
        <v>0</v>
      </c>
      <c r="AQ343">
        <f t="shared" si="142"/>
        <v>49.1</v>
      </c>
      <c r="AR343">
        <f t="shared" si="143"/>
        <v>0</v>
      </c>
      <c r="AS343" s="2">
        <f t="shared" si="144"/>
        <v>0</v>
      </c>
      <c r="AT343" s="2">
        <f>IFERROR(INDEX(Player_Model!$BC$2:$BC$596,MATCH($A343,Player_Model!$A$2:$A$596,0)),0)</f>
        <v>0</v>
      </c>
      <c r="AU343" s="2">
        <f>Table8[[#This Row],[Model Expected Points]]*Table8[[#This Row],[Fixture Adjustment]]</f>
        <v>0</v>
      </c>
      <c r="AV343" s="2">
        <f>Table8[[#This Row],[Fixture Adjusted Points / 90]]/Table8[[#This Row],[Price]]</f>
        <v>0</v>
      </c>
      <c r="AW343">
        <f t="shared" si="145"/>
        <v>0</v>
      </c>
      <c r="AX343">
        <f t="shared" si="146"/>
        <v>0.59999999999999987</v>
      </c>
      <c r="AY343" s="2">
        <f t="shared" si="147"/>
        <v>0</v>
      </c>
      <c r="AZ343" s="5">
        <f t="shared" si="148"/>
        <v>1.1999999999999997</v>
      </c>
      <c r="BA343">
        <f>Table8[[#This Row],[Model Score2]]</f>
        <v>0</v>
      </c>
      <c r="BB343">
        <f>IFERROR(INDEX(Player_Model!$BG$2:$BG$596,MATCH($A343,Player_Model!$A$2:$A$596,0)),"")</f>
        <v>102</v>
      </c>
      <c r="BC343" t="str">
        <f t="shared" si="149"/>
        <v>AVOID</v>
      </c>
      <c r="BD343">
        <f>IF(H343=1,Table8[[#This Row],[Model Score]],-10000)</f>
        <v>0</v>
      </c>
      <c r="BE343">
        <f>IFERROR(INDEX(Player_Model!$BF$2:$BF$596,MATCH($A343,Player_Model!$A$2:$A$596,0)),"")</f>
        <v>253</v>
      </c>
      <c r="BF343">
        <f>IFERROR(INDEX(Player_Model!$BG$2:$BG$596,MATCH($A343,Player_Model!$A$2:$A$596,0)),"")</f>
        <v>102</v>
      </c>
      <c r="BG343">
        <f>IFERROR(INDEX(Player_Model!$BE$2:$BE$596,MATCH($A343,Player_Model!$A$2:$A$596,0)),0)</f>
        <v>0</v>
      </c>
    </row>
    <row r="344" spans="1:59" x14ac:dyDescent="0.25">
      <c r="A344" t="str">
        <f>tblPlayers[first_name]&amp;" "&amp;tblPlayers[second_name]</f>
        <v>Hidemasa Morita</v>
      </c>
      <c r="B344" t="str">
        <f>_xlfn.SWITCH(tblPlayers[element_type],1,"GK",2,"DEF",3,"MID",4,"FWD")</f>
        <v>MID</v>
      </c>
      <c r="C344">
        <f>tblPlayers[team]</f>
        <v>11</v>
      </c>
      <c r="D344" t="str">
        <f>INDEX(tblTeams[Column1.short_name],MATCH(C344,tblTeams[Column1.id],0))</f>
        <v>HUL</v>
      </c>
      <c r="E344" s="4">
        <f>INDEX(FPL_Raw_Data!$F:$F,MATCH(A344,FPL_Raw_Data!$AA:$AA,0))/10</f>
        <v>5</v>
      </c>
      <c r="F344" s="4" t="str">
        <f>tblPlayers[[#This Row],[status]]</f>
        <v>a</v>
      </c>
      <c r="G344" s="4" t="b">
        <f>tblPlayers[[#This Row],[can_select]]</f>
        <v>1</v>
      </c>
      <c r="H344">
        <f>IF(AND(Table8[[#This Row],[Availability Status]]="a",Table8[[#This Row],[Can Select]]=TRUE),1,0)</f>
        <v>1</v>
      </c>
      <c r="I344">
        <f>tblPlayers[minutes]</f>
        <v>45</v>
      </c>
      <c r="J344" s="2">
        <f>Table8[[#This Row],[Minutes]]/90</f>
        <v>0.5</v>
      </c>
      <c r="K344" s="5">
        <f>IFERROR(Z344/(FIXTURE_ANALYSIS!$B$1-1),0)</f>
        <v>0.33333333333333331</v>
      </c>
      <c r="L344">
        <f>tblPlayers[total_points]</f>
        <v>1</v>
      </c>
      <c r="M344">
        <f>tblPlayers[points_per_game]</f>
        <v>1</v>
      </c>
      <c r="N344">
        <f>tblPlayers[form]</f>
        <v>0.3</v>
      </c>
      <c r="O344">
        <f>tblPlayers[expected_goals]</f>
        <v>0</v>
      </c>
      <c r="P344">
        <f>tblPlayers[expected_assists]</f>
        <v>0</v>
      </c>
      <c r="Q344">
        <f>tblPlayers[expected_goal_involvements]</f>
        <v>0</v>
      </c>
      <c r="R344" s="2">
        <f t="shared" si="125"/>
        <v>2</v>
      </c>
      <c r="S344" s="5">
        <f t="shared" si="126"/>
        <v>0</v>
      </c>
      <c r="T344" s="5">
        <f t="shared" si="127"/>
        <v>0</v>
      </c>
      <c r="U344" s="5">
        <f t="shared" si="128"/>
        <v>0</v>
      </c>
      <c r="V344" s="3">
        <f t="shared" si="129"/>
        <v>0.2</v>
      </c>
      <c r="W344" s="5">
        <f t="shared" si="130"/>
        <v>0</v>
      </c>
      <c r="X344" s="5">
        <f>IFERROR(IF(OR($B344="MID",$B344="FWD"),INDEX(FIXTURE_ANALYSIS!$Q:$Q,MATCH($D344,FIXTURE_ANALYSIS!$A:$A,0)),INDEX(FIXTURE_ANALYSIS!$R:$R,MATCH($D344,FIXTURE_ANALYSIS!$A:$A,0))),1)</f>
        <v>0.95496539792387547</v>
      </c>
      <c r="Y344" s="5">
        <f t="shared" si="131"/>
        <v>0.95496539792387547</v>
      </c>
      <c r="Z344" s="8">
        <f>INDEX(FPL_Raw_Data!$T:$T,MATCH(A344,FPL_Raw_Data!$AA:$AA,0))</f>
        <v>1</v>
      </c>
      <c r="AA344" s="8">
        <f>INDEX(FPL_Raw_Data!$S:$S,MATCH(A344,FPL_Raw_Data!$AA:$AA,0))</f>
        <v>3</v>
      </c>
      <c r="AB344" s="2">
        <f t="shared" si="132"/>
        <v>0.25</v>
      </c>
      <c r="AC344" s="2">
        <f>INDEX(FPL_Raw_Data!$Q:$Q,MATCH(A344,FPL_Raw_Data!$AA:$AA,0))</f>
        <v>0</v>
      </c>
      <c r="AD344" s="8">
        <f>INDEX(FPL_Raw_Data!$R:$R,MATCH(A344,FPL_Raw_Data!$AA:$AA,0))</f>
        <v>6</v>
      </c>
      <c r="AE344" s="8">
        <f>INDEX(FPL_Raw_Data!$N:$N,MATCH(A344,FPL_Raw_Data!$AA:$AA,0))</f>
        <v>0</v>
      </c>
      <c r="AF344" s="8">
        <f>INDEX(FPL_Raw_Data!$L:$L,MATCH(A344,FPL_Raw_Data!$AA:$AA,0))</f>
        <v>0</v>
      </c>
      <c r="AG344" s="2">
        <f>INDEX(FPL_Raw_Data!$M:$M,MATCH(A344,FPL_Raw_Data!$AA:$AA,0))</f>
        <v>0</v>
      </c>
      <c r="AH344" s="2">
        <f t="shared" si="133"/>
        <v>0</v>
      </c>
      <c r="AI344" s="2">
        <f t="shared" si="134"/>
        <v>0</v>
      </c>
      <c r="AJ344" s="2">
        <f t="shared" si="135"/>
        <v>0.66666666666666663</v>
      </c>
      <c r="AK344" s="2">
        <f t="shared" si="136"/>
        <v>0.5</v>
      </c>
      <c r="AL344" s="2">
        <f t="shared" si="137"/>
        <v>0</v>
      </c>
      <c r="AM344" s="2">
        <f t="shared" si="138"/>
        <v>0</v>
      </c>
      <c r="AN344" s="2">
        <f t="shared" si="139"/>
        <v>0</v>
      </c>
      <c r="AO344" s="3">
        <f t="shared" si="140"/>
        <v>45.9</v>
      </c>
      <c r="AP344">
        <f t="shared" si="141"/>
        <v>0</v>
      </c>
      <c r="AQ344">
        <f t="shared" si="142"/>
        <v>44.4</v>
      </c>
      <c r="AR344">
        <f t="shared" si="143"/>
        <v>0</v>
      </c>
      <c r="AS344" s="2">
        <f t="shared" si="144"/>
        <v>33.333333333333329</v>
      </c>
      <c r="AT344" s="2">
        <f>IFERROR(INDEX(Player_Model!$BC$2:$BC$596,MATCH($A344,Player_Model!$A$2:$A$596,0)),0)</f>
        <v>2.8648961937716262</v>
      </c>
      <c r="AU344" s="2">
        <f>Table8[[#This Row],[Model Expected Points]]*Table8[[#This Row],[Fixture Adjustment]]</f>
        <v>2.7358767336957173</v>
      </c>
      <c r="AV344" s="2">
        <f>Table8[[#This Row],[Fixture Adjusted Points / 90]]/Table8[[#This Row],[Price]]</f>
        <v>0.54717534673914348</v>
      </c>
      <c r="AW344">
        <f t="shared" si="145"/>
        <v>22.95</v>
      </c>
      <c r="AX344">
        <f t="shared" si="146"/>
        <v>0.25</v>
      </c>
      <c r="AY344" s="2">
        <f t="shared" si="147"/>
        <v>33.333333333333329</v>
      </c>
      <c r="AZ344" s="5">
        <f t="shared" si="148"/>
        <v>0.95496539792387547</v>
      </c>
      <c r="BA344">
        <f>Table8[[#This Row],[Model Score2]]</f>
        <v>2.8648961937716262</v>
      </c>
      <c r="BB344">
        <f>IFERROR(INDEX(Player_Model!$BG$2:$BG$596,MATCH($A344,Player_Model!$A$2:$A$596,0)),"")</f>
        <v>108</v>
      </c>
      <c r="BC344" t="str">
        <f t="shared" si="149"/>
        <v>AVOID</v>
      </c>
      <c r="BD344">
        <f>IF(H344=1,Table8[[#This Row],[Model Score]],-10000)</f>
        <v>2.8648961937716262</v>
      </c>
      <c r="BE344">
        <f>IFERROR(INDEX(Player_Model!$BF$2:$BF$596,MATCH($A344,Player_Model!$A$2:$A$596,0)),"")</f>
        <v>207</v>
      </c>
      <c r="BF344">
        <f>IFERROR(INDEX(Player_Model!$BG$2:$BG$596,MATCH($A344,Player_Model!$A$2:$A$596,0)),"")</f>
        <v>108</v>
      </c>
      <c r="BG344">
        <f>IFERROR(INDEX(Player_Model!$BE$2:$BE$596,MATCH($A344,Player_Model!$A$2:$A$596,0)),0)</f>
        <v>2.8648961937716262</v>
      </c>
    </row>
    <row r="345" spans="1:59" x14ac:dyDescent="0.25">
      <c r="A345" t="str">
        <f>tblPlayers[first_name]&amp;" "&amp;tblPlayers[second_name]</f>
        <v>Konstantinos Tzolakis</v>
      </c>
      <c r="B345" t="str">
        <f>_xlfn.SWITCH(tblPlayers[element_type],1,"GK",2,"DEF",3,"MID",4,"FWD")</f>
        <v>GK</v>
      </c>
      <c r="C345">
        <f>tblPlayers[team]</f>
        <v>11</v>
      </c>
      <c r="D345" t="str">
        <f>INDEX(tblTeams[Column1.short_name],MATCH(C345,tblTeams[Column1.id],0))</f>
        <v>HUL</v>
      </c>
      <c r="E345" s="4">
        <f>INDEX(FPL_Raw_Data!$F:$F,MATCH(A345,FPL_Raw_Data!$AA:$AA,0))/10</f>
        <v>4.5999999999999996</v>
      </c>
      <c r="F345" s="4" t="str">
        <f>tblPlayers[[#This Row],[status]]</f>
        <v>a</v>
      </c>
      <c r="G345" s="4" t="b">
        <f>tblPlayers[[#This Row],[can_select]]</f>
        <v>1</v>
      </c>
      <c r="H345">
        <f>IF(AND(Table8[[#This Row],[Availability Status]]="a",Table8[[#This Row],[Can Select]]=TRUE),1,0)</f>
        <v>1</v>
      </c>
      <c r="I345">
        <f>tblPlayers[minutes]</f>
        <v>270</v>
      </c>
      <c r="J345" s="2">
        <f>Table8[[#This Row],[Minutes]]/90</f>
        <v>3</v>
      </c>
      <c r="K345" s="5">
        <f>IFERROR(Z345/(FIXTURE_ANALYSIS!$B$1-1),0)</f>
        <v>1</v>
      </c>
      <c r="L345">
        <f>tblPlayers[total_points]</f>
        <v>26</v>
      </c>
      <c r="M345">
        <f>tblPlayers[points_per_game]</f>
        <v>8.6999999999999993</v>
      </c>
      <c r="N345">
        <f>tblPlayers[form]</f>
        <v>8.6999999999999993</v>
      </c>
      <c r="O345">
        <f>tblPlayers[expected_goals]</f>
        <v>0</v>
      </c>
      <c r="P345">
        <f>tblPlayers[expected_assists]</f>
        <v>0</v>
      </c>
      <c r="Q345">
        <f>tblPlayers[expected_goal_involvements]</f>
        <v>0</v>
      </c>
      <c r="R345" s="2">
        <f t="shared" si="125"/>
        <v>8.6666666666666661</v>
      </c>
      <c r="S345" s="5">
        <f t="shared" si="126"/>
        <v>0</v>
      </c>
      <c r="T345" s="5">
        <f t="shared" si="127"/>
        <v>0</v>
      </c>
      <c r="U345" s="5">
        <f t="shared" si="128"/>
        <v>0</v>
      </c>
      <c r="V345" s="3">
        <f t="shared" si="129"/>
        <v>5.6521739130434785</v>
      </c>
      <c r="W345" s="5">
        <f t="shared" si="130"/>
        <v>0</v>
      </c>
      <c r="X345" s="5">
        <f>IFERROR(IF(OR($B345="MID",$B345="FWD"),INDEX(FIXTURE_ANALYSIS!$Q:$Q,MATCH($D345,FIXTURE_ANALYSIS!$A:$A,0)),INDEX(FIXTURE_ANALYSIS!$R:$R,MATCH($D345,FIXTURE_ANALYSIS!$A:$A,0))),1)</f>
        <v>1.1999999999999997</v>
      </c>
      <c r="Y345" s="5">
        <f t="shared" si="131"/>
        <v>1.1999999999999997</v>
      </c>
      <c r="Z345" s="8">
        <f>INDEX(FPL_Raw_Data!$T:$T,MATCH(A345,FPL_Raw_Data!$AA:$AA,0))</f>
        <v>3</v>
      </c>
      <c r="AA345" s="8">
        <f>INDEX(FPL_Raw_Data!$S:$S,MATCH(A345,FPL_Raw_Data!$AA:$AA,0))</f>
        <v>0</v>
      </c>
      <c r="AB345" s="2">
        <f t="shared" si="132"/>
        <v>0</v>
      </c>
      <c r="AC345" s="2">
        <f>INDEX(FPL_Raw_Data!$Q:$Q,MATCH(A345,FPL_Raw_Data!$AA:$AA,0))</f>
        <v>6</v>
      </c>
      <c r="AD345" s="8">
        <f>INDEX(FPL_Raw_Data!$R:$R,MATCH(A345,FPL_Raw_Data!$AA:$AA,0))</f>
        <v>98</v>
      </c>
      <c r="AE345" s="8">
        <f>INDEX(FPL_Raw_Data!$N:$N,MATCH(A345,FPL_Raw_Data!$AA:$AA,0))</f>
        <v>3</v>
      </c>
      <c r="AF345" s="8">
        <f>INDEX(FPL_Raw_Data!$L:$L,MATCH(A345,FPL_Raw_Data!$AA:$AA,0))</f>
        <v>0</v>
      </c>
      <c r="AG345" s="2">
        <f>INDEX(FPL_Raw_Data!$M:$M,MATCH(A345,FPL_Raw_Data!$AA:$AA,0))</f>
        <v>0</v>
      </c>
      <c r="AH345" s="2">
        <f t="shared" si="133"/>
        <v>0</v>
      </c>
      <c r="AI345" s="2">
        <f t="shared" si="134"/>
        <v>0</v>
      </c>
      <c r="AJ345" s="2">
        <f t="shared" si="135"/>
        <v>2</v>
      </c>
      <c r="AK345" s="2">
        <f t="shared" si="136"/>
        <v>0</v>
      </c>
      <c r="AL345" s="2">
        <f t="shared" si="137"/>
        <v>1</v>
      </c>
      <c r="AM345" s="2">
        <f t="shared" si="138"/>
        <v>4</v>
      </c>
      <c r="AN345" s="2">
        <f t="shared" si="139"/>
        <v>2</v>
      </c>
      <c r="AO345" s="3">
        <f t="shared" si="140"/>
        <v>91</v>
      </c>
      <c r="AP345">
        <f t="shared" si="141"/>
        <v>0</v>
      </c>
      <c r="AQ345">
        <f t="shared" si="142"/>
        <v>99.6</v>
      </c>
      <c r="AR345">
        <f t="shared" si="143"/>
        <v>0</v>
      </c>
      <c r="AS345" s="2">
        <f t="shared" si="144"/>
        <v>100</v>
      </c>
      <c r="AT345" s="2">
        <f>IFERROR(INDEX(Player_Model!$BC$2:$BC$596,MATCH($A345,Player_Model!$A$2:$A$596,0)),0)</f>
        <v>8.3999999999999986</v>
      </c>
      <c r="AU345" s="2">
        <f>Table8[[#This Row],[Model Expected Points]]*Table8[[#This Row],[Fixture Adjustment]]</f>
        <v>10.079999999999997</v>
      </c>
      <c r="AV345" s="2">
        <f>Table8[[#This Row],[Fixture Adjusted Points / 90]]/Table8[[#This Row],[Price]]</f>
        <v>2.1913043478260863</v>
      </c>
      <c r="AW345">
        <f t="shared" si="145"/>
        <v>0</v>
      </c>
      <c r="AX345">
        <f t="shared" si="146"/>
        <v>50.6</v>
      </c>
      <c r="AY345" s="2">
        <f t="shared" si="147"/>
        <v>100</v>
      </c>
      <c r="AZ345" s="5">
        <f t="shared" si="148"/>
        <v>1.1999999999999997</v>
      </c>
      <c r="BA345">
        <f>Table8[[#This Row],[Model Score2]]</f>
        <v>8.3999999999999986</v>
      </c>
      <c r="BB345">
        <f>IFERROR(INDEX(Player_Model!$BG$2:$BG$596,MATCH($A345,Player_Model!$A$2:$A$596,0)),"")</f>
        <v>1</v>
      </c>
      <c r="BC345" t="str">
        <f t="shared" si="149"/>
        <v>TOP PICK</v>
      </c>
      <c r="BD345">
        <f>IF(H345=1,Table8[[#This Row],[Model Score]],-10000)</f>
        <v>8.3999999999999986</v>
      </c>
      <c r="BE345">
        <f>IFERROR(INDEX(Player_Model!$BF$2:$BF$596,MATCH($A345,Player_Model!$A$2:$A$596,0)),"")</f>
        <v>5</v>
      </c>
      <c r="BF345">
        <f>IFERROR(INDEX(Player_Model!$BG$2:$BG$596,MATCH($A345,Player_Model!$A$2:$A$596,0)),"")</f>
        <v>1</v>
      </c>
      <c r="BG345">
        <f>IFERROR(INDEX(Player_Model!$BE$2:$BE$596,MATCH($A345,Player_Model!$A$2:$A$596,0)),0)</f>
        <v>8.3999999999999986</v>
      </c>
    </row>
    <row r="346" spans="1:59" x14ac:dyDescent="0.25">
      <c r="A346" t="str">
        <f>tblPlayers[first_name]&amp;" "&amp;tblPlayers[second_name]</f>
        <v>Jens Hjertø-Dahl</v>
      </c>
      <c r="B346" t="str">
        <f>_xlfn.SWITCH(tblPlayers[element_type],1,"GK",2,"DEF",3,"MID",4,"FWD")</f>
        <v>MID</v>
      </c>
      <c r="C346">
        <f>tblPlayers[team]</f>
        <v>11</v>
      </c>
      <c r="D346" t="str">
        <f>INDEX(tblTeams[Column1.short_name],MATCH(C346,tblTeams[Column1.id],0))</f>
        <v>HUL</v>
      </c>
      <c r="E346" s="4">
        <f>INDEX(FPL_Raw_Data!$F:$F,MATCH(A346,FPL_Raw_Data!$AA:$AA,0))/10</f>
        <v>4.9000000000000004</v>
      </c>
      <c r="F346" s="4" t="str">
        <f>tblPlayers[[#This Row],[status]]</f>
        <v>a</v>
      </c>
      <c r="G346" s="4" t="b">
        <f>tblPlayers[[#This Row],[can_select]]</f>
        <v>1</v>
      </c>
      <c r="H346">
        <f>IF(AND(Table8[[#This Row],[Availability Status]]="a",Table8[[#This Row],[Can Select]]=TRUE),1,0)</f>
        <v>1</v>
      </c>
      <c r="I346">
        <f>tblPlayers[minutes]</f>
        <v>8</v>
      </c>
      <c r="J346" s="2">
        <f>Table8[[#This Row],[Minutes]]/90</f>
        <v>8.8888888888888892E-2</v>
      </c>
      <c r="K346" s="5">
        <f>IFERROR(Z346/(FIXTURE_ANALYSIS!$B$1-1),0)</f>
        <v>0</v>
      </c>
      <c r="L346">
        <f>tblPlayers[total_points]</f>
        <v>1</v>
      </c>
      <c r="M346">
        <f>tblPlayers[points_per_game]</f>
        <v>1</v>
      </c>
      <c r="N346">
        <f>tblPlayers[form]</f>
        <v>0.3</v>
      </c>
      <c r="O346">
        <f>tblPlayers[expected_goals]</f>
        <v>0</v>
      </c>
      <c r="P346">
        <f>tblPlayers[expected_assists]</f>
        <v>0</v>
      </c>
      <c r="Q346">
        <f>tblPlayers[expected_goal_involvements]</f>
        <v>0</v>
      </c>
      <c r="R346" s="2">
        <f t="shared" si="125"/>
        <v>11.25</v>
      </c>
      <c r="S346" s="5">
        <f t="shared" si="126"/>
        <v>0</v>
      </c>
      <c r="T346" s="5">
        <f t="shared" si="127"/>
        <v>0</v>
      </c>
      <c r="U346" s="5">
        <f t="shared" si="128"/>
        <v>0</v>
      </c>
      <c r="V346" s="3">
        <f t="shared" si="129"/>
        <v>0.2040816326530612</v>
      </c>
      <c r="W346" s="5">
        <f t="shared" si="130"/>
        <v>0</v>
      </c>
      <c r="X346" s="5">
        <f>IFERROR(IF(OR($B346="MID",$B346="FWD"),INDEX(FIXTURE_ANALYSIS!$Q:$Q,MATCH($D346,FIXTURE_ANALYSIS!$A:$A,0)),INDEX(FIXTURE_ANALYSIS!$R:$R,MATCH($D346,FIXTURE_ANALYSIS!$A:$A,0))),1)</f>
        <v>0.95496539792387547</v>
      </c>
      <c r="Y346" s="5">
        <f t="shared" si="131"/>
        <v>0.95496539792387547</v>
      </c>
      <c r="Z346" s="8">
        <f>INDEX(FPL_Raw_Data!$T:$T,MATCH(A346,FPL_Raw_Data!$AA:$AA,0))</f>
        <v>0</v>
      </c>
      <c r="AA346" s="8">
        <f>INDEX(FPL_Raw_Data!$S:$S,MATCH(A346,FPL_Raw_Data!$AA:$AA,0))</f>
        <v>1</v>
      </c>
      <c r="AB346" s="2">
        <f t="shared" si="132"/>
        <v>8.3333333333333329E-2</v>
      </c>
      <c r="AC346" s="2">
        <f>INDEX(FPL_Raw_Data!$Q:$Q,MATCH(A346,FPL_Raw_Data!$AA:$AA,0))</f>
        <v>0</v>
      </c>
      <c r="AD346" s="8">
        <f>INDEX(FPL_Raw_Data!$R:$R,MATCH(A346,FPL_Raw_Data!$AA:$AA,0))</f>
        <v>4</v>
      </c>
      <c r="AE346" s="8">
        <f>INDEX(FPL_Raw_Data!$N:$N,MATCH(A346,FPL_Raw_Data!$AA:$AA,0))</f>
        <v>0</v>
      </c>
      <c r="AF346" s="8">
        <f>INDEX(FPL_Raw_Data!$L:$L,MATCH(A346,FPL_Raw_Data!$AA:$AA,0))</f>
        <v>0</v>
      </c>
      <c r="AG346" s="2">
        <f>INDEX(FPL_Raw_Data!$M:$M,MATCH(A346,FPL_Raw_Data!$AA:$AA,0))</f>
        <v>0</v>
      </c>
      <c r="AH346" s="2">
        <f t="shared" si="133"/>
        <v>0</v>
      </c>
      <c r="AI346" s="2">
        <f t="shared" si="134"/>
        <v>0</v>
      </c>
      <c r="AJ346" s="2">
        <f t="shared" si="135"/>
        <v>0</v>
      </c>
      <c r="AK346" s="2">
        <f t="shared" si="136"/>
        <v>0.16666666666666666</v>
      </c>
      <c r="AL346" s="2">
        <f t="shared" si="137"/>
        <v>0</v>
      </c>
      <c r="AM346" s="2">
        <f t="shared" si="138"/>
        <v>0</v>
      </c>
      <c r="AN346" s="2">
        <f t="shared" si="139"/>
        <v>0</v>
      </c>
      <c r="AO346" s="3">
        <f t="shared" si="140"/>
        <v>93.600000000000009</v>
      </c>
      <c r="AP346">
        <f t="shared" si="141"/>
        <v>0</v>
      </c>
      <c r="AQ346">
        <f t="shared" si="142"/>
        <v>46.2</v>
      </c>
      <c r="AR346">
        <f t="shared" si="143"/>
        <v>0</v>
      </c>
      <c r="AS346" s="2">
        <f t="shared" si="144"/>
        <v>0</v>
      </c>
      <c r="AT346" s="2">
        <f>IFERROR(INDEX(Player_Model!$BC$2:$BC$596,MATCH($A346,Player_Model!$A$2:$A$596,0)),0)</f>
        <v>0</v>
      </c>
      <c r="AU346" s="2">
        <f>Table8[[#This Row],[Model Expected Points]]*Table8[[#This Row],[Fixture Adjustment]]</f>
        <v>0</v>
      </c>
      <c r="AV346" s="2">
        <f>Table8[[#This Row],[Fixture Adjusted Points / 90]]/Table8[[#This Row],[Price]]</f>
        <v>0</v>
      </c>
      <c r="AW346">
        <f t="shared" si="145"/>
        <v>46.800000000000004</v>
      </c>
      <c r="AX346">
        <f t="shared" si="146"/>
        <v>8.3333333333333329E-2</v>
      </c>
      <c r="AY346" s="2">
        <f t="shared" si="147"/>
        <v>0</v>
      </c>
      <c r="AZ346" s="5">
        <f t="shared" si="148"/>
        <v>0.95496539792387547</v>
      </c>
      <c r="BA346">
        <f>Table8[[#This Row],[Model Score2]]</f>
        <v>0</v>
      </c>
      <c r="BB346">
        <f>IFERROR(INDEX(Player_Model!$BG$2:$BG$596,MATCH($A346,Player_Model!$A$2:$A$596,0)),"")</f>
        <v>202</v>
      </c>
      <c r="BC346" t="str">
        <f t="shared" si="149"/>
        <v>AVOID</v>
      </c>
      <c r="BD346">
        <f>IF(H346=1,Table8[[#This Row],[Model Score]],-10000)</f>
        <v>0</v>
      </c>
      <c r="BE346">
        <f>IFERROR(INDEX(Player_Model!$BF$2:$BF$596,MATCH($A346,Player_Model!$A$2:$A$596,0)),"")</f>
        <v>253</v>
      </c>
      <c r="BF346">
        <f>IFERROR(INDEX(Player_Model!$BG$2:$BG$596,MATCH($A346,Player_Model!$A$2:$A$596,0)),"")</f>
        <v>202</v>
      </c>
      <c r="BG346">
        <f>IFERROR(INDEX(Player_Model!$BE$2:$BE$596,MATCH($A346,Player_Model!$A$2:$A$596,0)),0)</f>
        <v>0</v>
      </c>
    </row>
    <row r="347" spans="1:59" x14ac:dyDescent="0.25">
      <c r="A347" t="str">
        <f>tblPlayers[first_name]&amp;" "&amp;tblPlayers[second_name]</f>
        <v>Elliot Stroud</v>
      </c>
      <c r="B347" t="str">
        <f>_xlfn.SWITCH(tblPlayers[element_type],1,"GK",2,"DEF",3,"MID",4,"FWD")</f>
        <v>MID</v>
      </c>
      <c r="C347">
        <f>tblPlayers[team]</f>
        <v>11</v>
      </c>
      <c r="D347" t="str">
        <f>INDEX(tblTeams[Column1.short_name],MATCH(C347,tblTeams[Column1.id],0))</f>
        <v>HUL</v>
      </c>
      <c r="E347" s="4">
        <f>INDEX(FPL_Raw_Data!$F:$F,MATCH(A347,FPL_Raw_Data!$AA:$AA,0))/10</f>
        <v>5</v>
      </c>
      <c r="F347" s="4" t="str">
        <f>tblPlayers[[#This Row],[status]]</f>
        <v>a</v>
      </c>
      <c r="G347" s="4" t="b">
        <f>tblPlayers[[#This Row],[can_select]]</f>
        <v>1</v>
      </c>
      <c r="H347">
        <f>IF(AND(Table8[[#This Row],[Availability Status]]="a",Table8[[#This Row],[Can Select]]=TRUE),1,0)</f>
        <v>1</v>
      </c>
      <c r="I347">
        <f>tblPlayers[minutes]</f>
        <v>190</v>
      </c>
      <c r="J347" s="2">
        <f>Table8[[#This Row],[Minutes]]/90</f>
        <v>2.1111111111111112</v>
      </c>
      <c r="K347" s="5">
        <f>IFERROR(Z347/(FIXTURE_ANALYSIS!$B$1-1),0)</f>
        <v>1</v>
      </c>
      <c r="L347">
        <f>tblPlayers[total_points]</f>
        <v>6</v>
      </c>
      <c r="M347">
        <f>tblPlayers[points_per_game]</f>
        <v>2</v>
      </c>
      <c r="N347">
        <f>tblPlayers[form]</f>
        <v>2</v>
      </c>
      <c r="O347">
        <f>tblPlayers[expected_goals]</f>
        <v>0.05</v>
      </c>
      <c r="P347">
        <f>tblPlayers[expected_assists]</f>
        <v>0.05</v>
      </c>
      <c r="Q347">
        <f>tblPlayers[expected_goal_involvements]</f>
        <v>0.1</v>
      </c>
      <c r="R347" s="2">
        <f t="shared" si="125"/>
        <v>2.8421052631578947</v>
      </c>
      <c r="S347" s="5">
        <f t="shared" si="126"/>
        <v>2.368421052631579E-2</v>
      </c>
      <c r="T347" s="5">
        <f t="shared" si="127"/>
        <v>2.368421052631579E-2</v>
      </c>
      <c r="U347" s="5">
        <f t="shared" si="128"/>
        <v>4.736842105263158E-2</v>
      </c>
      <c r="V347" s="3">
        <f t="shared" si="129"/>
        <v>1.2</v>
      </c>
      <c r="W347" s="5">
        <f t="shared" si="130"/>
        <v>0.02</v>
      </c>
      <c r="X347" s="5">
        <f>IFERROR(IF(OR($B347="MID",$B347="FWD"),INDEX(FIXTURE_ANALYSIS!$Q:$Q,MATCH($D347,FIXTURE_ANALYSIS!$A:$A,0)),INDEX(FIXTURE_ANALYSIS!$R:$R,MATCH($D347,FIXTURE_ANALYSIS!$A:$A,0))),1)</f>
        <v>0.95496539792387547</v>
      </c>
      <c r="Y347" s="5">
        <f t="shared" si="131"/>
        <v>0.95496539792387547</v>
      </c>
      <c r="Z347" s="8">
        <f>INDEX(FPL_Raw_Data!$T:$T,MATCH(A347,FPL_Raw_Data!$AA:$AA,0))</f>
        <v>3</v>
      </c>
      <c r="AA347" s="8">
        <f>INDEX(FPL_Raw_Data!$S:$S,MATCH(A347,FPL_Raw_Data!$AA:$AA,0))</f>
        <v>15</v>
      </c>
      <c r="AB347" s="2">
        <f t="shared" si="132"/>
        <v>1</v>
      </c>
      <c r="AC347" s="2">
        <f>INDEX(FPL_Raw_Data!$Q:$Q,MATCH(A347,FPL_Raw_Data!$AA:$AA,0))</f>
        <v>0</v>
      </c>
      <c r="AD347" s="8">
        <f>INDEX(FPL_Raw_Data!$R:$R,MATCH(A347,FPL_Raw_Data!$AA:$AA,0))</f>
        <v>14</v>
      </c>
      <c r="AE347" s="8">
        <f>INDEX(FPL_Raw_Data!$N:$N,MATCH(A347,FPL_Raw_Data!$AA:$AA,0))</f>
        <v>2</v>
      </c>
      <c r="AF347" s="8">
        <f>INDEX(FPL_Raw_Data!$L:$L,MATCH(A347,FPL_Raw_Data!$AA:$AA,0))</f>
        <v>0</v>
      </c>
      <c r="AG347" s="2">
        <f>INDEX(FPL_Raw_Data!$M:$M,MATCH(A347,FPL_Raw_Data!$AA:$AA,0))</f>
        <v>0</v>
      </c>
      <c r="AH347" s="2">
        <f t="shared" si="133"/>
        <v>0.11842105263157895</v>
      </c>
      <c r="AI347" s="2">
        <f t="shared" si="134"/>
        <v>7.1052631578947367E-2</v>
      </c>
      <c r="AJ347" s="2">
        <f t="shared" si="135"/>
        <v>2</v>
      </c>
      <c r="AK347" s="2">
        <f t="shared" si="136"/>
        <v>2</v>
      </c>
      <c r="AL347" s="2">
        <f t="shared" si="137"/>
        <v>0.66666666666666663</v>
      </c>
      <c r="AM347" s="2">
        <f t="shared" si="138"/>
        <v>0.66666666666666663</v>
      </c>
      <c r="AN347" s="2">
        <f t="shared" si="139"/>
        <v>0</v>
      </c>
      <c r="AO347" s="3">
        <f t="shared" si="140"/>
        <v>56.699999999999996</v>
      </c>
      <c r="AP347">
        <f t="shared" si="141"/>
        <v>60.9</v>
      </c>
      <c r="AQ347">
        <f t="shared" si="142"/>
        <v>72.2</v>
      </c>
      <c r="AR347">
        <f t="shared" si="143"/>
        <v>65.100000000000009</v>
      </c>
      <c r="AS347" s="2">
        <f t="shared" si="144"/>
        <v>100</v>
      </c>
      <c r="AT347" s="2">
        <f>IFERROR(INDEX(Player_Model!$BC$2:$BC$596,MATCH($A347,Player_Model!$A$2:$A$596,0)),0)</f>
        <v>3.8583952831906756</v>
      </c>
      <c r="AU347" s="2">
        <f>Table8[[#This Row],[Model Expected Points]]*Table8[[#This Row],[Fixture Adjustment]]</f>
        <v>3.6846339869597875</v>
      </c>
      <c r="AV347" s="2">
        <f>Table8[[#This Row],[Fixture Adjusted Points / 90]]/Table8[[#This Row],[Price]]</f>
        <v>0.73692679739195754</v>
      </c>
      <c r="AW347">
        <f t="shared" si="145"/>
        <v>58.8</v>
      </c>
      <c r="AX347">
        <f t="shared" si="146"/>
        <v>1</v>
      </c>
      <c r="AY347" s="2">
        <f t="shared" si="147"/>
        <v>100</v>
      </c>
      <c r="AZ347" s="5">
        <f t="shared" si="148"/>
        <v>0.95496539792387547</v>
      </c>
      <c r="BA347">
        <f>Table8[[#This Row],[Model Score2]]</f>
        <v>3.8583952831906756</v>
      </c>
      <c r="BB347">
        <f>IFERROR(INDEX(Player_Model!$BG$2:$BG$596,MATCH($A347,Player_Model!$A$2:$A$596,0)),"")</f>
        <v>82</v>
      </c>
      <c r="BC347" t="str">
        <f t="shared" si="149"/>
        <v>AVOID</v>
      </c>
      <c r="BD347">
        <f>IF(H347=1,Table8[[#This Row],[Model Score]],-10000)</f>
        <v>3.8583952831906756</v>
      </c>
      <c r="BE347">
        <f>IFERROR(INDEX(Player_Model!$BF$2:$BF$596,MATCH($A347,Player_Model!$A$2:$A$596,0)),"")</f>
        <v>163</v>
      </c>
      <c r="BF347">
        <f>IFERROR(INDEX(Player_Model!$BG$2:$BG$596,MATCH($A347,Player_Model!$A$2:$A$596,0)),"")</f>
        <v>82</v>
      </c>
      <c r="BG347">
        <f>IFERROR(INDEX(Player_Model!$BE$2:$BE$596,MATCH($A347,Player_Model!$A$2:$A$596,0)),0)</f>
        <v>3.8583952831906756</v>
      </c>
    </row>
    <row r="348" spans="1:59" x14ac:dyDescent="0.25">
      <c r="A348" t="str">
        <f>tblPlayers[first_name]&amp;" "&amp;tblPlayers[second_name]</f>
        <v>Lucas Herrington</v>
      </c>
      <c r="B348" t="str">
        <f>_xlfn.SWITCH(tblPlayers[element_type],1,"GK",2,"DEF",3,"MID",4,"FWD")</f>
        <v>DEF</v>
      </c>
      <c r="C348">
        <f>tblPlayers[team]</f>
        <v>11</v>
      </c>
      <c r="D348" t="str">
        <f>INDEX(tblTeams[Column1.short_name],MATCH(C348,tblTeams[Column1.id],0))</f>
        <v>HUL</v>
      </c>
      <c r="E348" s="4">
        <f>INDEX(FPL_Raw_Data!$F:$F,MATCH(A348,FPL_Raw_Data!$AA:$AA,0))/10</f>
        <v>4</v>
      </c>
      <c r="F348" s="4" t="str">
        <f>tblPlayers[[#This Row],[status]]</f>
        <v>a</v>
      </c>
      <c r="G348" s="4" t="b">
        <f>tblPlayers[[#This Row],[can_select]]</f>
        <v>1</v>
      </c>
      <c r="H348">
        <f>IF(AND(Table8[[#This Row],[Availability Status]]="a",Table8[[#This Row],[Can Select]]=TRUE),1,0)</f>
        <v>1</v>
      </c>
      <c r="I348">
        <f>tblPlayers[minutes]</f>
        <v>76</v>
      </c>
      <c r="J348" s="2">
        <f>Table8[[#This Row],[Minutes]]/90</f>
        <v>0.84444444444444444</v>
      </c>
      <c r="K348" s="5">
        <f>IFERROR(Z348/(FIXTURE_ANALYSIS!$B$1-1),0)</f>
        <v>0</v>
      </c>
      <c r="L348">
        <f>tblPlayers[total_points]</f>
        <v>3</v>
      </c>
      <c r="M348">
        <f>tblPlayers[points_per_game]</f>
        <v>1</v>
      </c>
      <c r="N348">
        <f>tblPlayers[form]</f>
        <v>1</v>
      </c>
      <c r="O348">
        <f>tblPlayers[expected_goals]</f>
        <v>0</v>
      </c>
      <c r="P348">
        <f>tblPlayers[expected_assists]</f>
        <v>0</v>
      </c>
      <c r="Q348">
        <f>tblPlayers[expected_goal_involvements]</f>
        <v>0</v>
      </c>
      <c r="R348" s="2">
        <f t="shared" si="125"/>
        <v>3.5526315789473681</v>
      </c>
      <c r="S348" s="5">
        <f t="shared" si="126"/>
        <v>0</v>
      </c>
      <c r="T348" s="5">
        <f t="shared" si="127"/>
        <v>0</v>
      </c>
      <c r="U348" s="5">
        <f t="shared" si="128"/>
        <v>0</v>
      </c>
      <c r="V348" s="3">
        <f t="shared" si="129"/>
        <v>0.75</v>
      </c>
      <c r="W348" s="5">
        <f t="shared" si="130"/>
        <v>0</v>
      </c>
      <c r="X348" s="5">
        <f>IFERROR(IF(OR($B348="MID",$B348="FWD"),INDEX(FIXTURE_ANALYSIS!$Q:$Q,MATCH($D348,FIXTURE_ANALYSIS!$A:$A,0)),INDEX(FIXTURE_ANALYSIS!$R:$R,MATCH($D348,FIXTURE_ANALYSIS!$A:$A,0))),1)</f>
        <v>1.1999999999999997</v>
      </c>
      <c r="Y348" s="5">
        <f t="shared" si="131"/>
        <v>1.1999999999999997</v>
      </c>
      <c r="Z348" s="8">
        <f>INDEX(FPL_Raw_Data!$T:$T,MATCH(A348,FPL_Raw_Data!$AA:$AA,0))</f>
        <v>0</v>
      </c>
      <c r="AA348" s="8">
        <f>INDEX(FPL_Raw_Data!$S:$S,MATCH(A348,FPL_Raw_Data!$AA:$AA,0))</f>
        <v>7</v>
      </c>
      <c r="AB348" s="2">
        <f t="shared" si="132"/>
        <v>0.7</v>
      </c>
      <c r="AC348" s="2">
        <f>INDEX(FPL_Raw_Data!$Q:$Q,MATCH(A348,FPL_Raw_Data!$AA:$AA,0))</f>
        <v>0</v>
      </c>
      <c r="AD348" s="8">
        <f>INDEX(FPL_Raw_Data!$R:$R,MATCH(A348,FPL_Raw_Data!$AA:$AA,0))</f>
        <v>9</v>
      </c>
      <c r="AE348" s="8">
        <f>INDEX(FPL_Raw_Data!$N:$N,MATCH(A348,FPL_Raw_Data!$AA:$AA,0))</f>
        <v>0</v>
      </c>
      <c r="AF348" s="8">
        <f>INDEX(FPL_Raw_Data!$L:$L,MATCH(A348,FPL_Raw_Data!$AA:$AA,0))</f>
        <v>0</v>
      </c>
      <c r="AG348" s="2">
        <f>INDEX(FPL_Raw_Data!$M:$M,MATCH(A348,FPL_Raw_Data!$AA:$AA,0))</f>
        <v>0</v>
      </c>
      <c r="AH348" s="2">
        <f t="shared" si="133"/>
        <v>0</v>
      </c>
      <c r="AI348" s="2">
        <f t="shared" si="134"/>
        <v>0</v>
      </c>
      <c r="AJ348" s="2">
        <f t="shared" si="135"/>
        <v>0</v>
      </c>
      <c r="AK348" s="2">
        <f t="shared" si="136"/>
        <v>1.4</v>
      </c>
      <c r="AL348" s="2">
        <f t="shared" si="137"/>
        <v>0</v>
      </c>
      <c r="AM348" s="2">
        <f t="shared" si="138"/>
        <v>0</v>
      </c>
      <c r="AN348" s="2">
        <f t="shared" si="139"/>
        <v>0</v>
      </c>
      <c r="AO348" s="3">
        <f t="shared" si="140"/>
        <v>65.900000000000006</v>
      </c>
      <c r="AP348">
        <f t="shared" si="141"/>
        <v>0</v>
      </c>
      <c r="AQ348">
        <f t="shared" si="142"/>
        <v>64.8</v>
      </c>
      <c r="AR348">
        <f t="shared" si="143"/>
        <v>0</v>
      </c>
      <c r="AS348" s="2">
        <f t="shared" si="144"/>
        <v>0</v>
      </c>
      <c r="AT348" s="2">
        <f>IFERROR(INDEX(Player_Model!$BC$2:$BC$596,MATCH($A348,Player_Model!$A$2:$A$596,0)),0)</f>
        <v>0</v>
      </c>
      <c r="AU348" s="2">
        <f>Table8[[#This Row],[Model Expected Points]]*Table8[[#This Row],[Fixture Adjustment]]</f>
        <v>0</v>
      </c>
      <c r="AV348" s="2">
        <f>Table8[[#This Row],[Fixture Adjusted Points / 90]]/Table8[[#This Row],[Price]]</f>
        <v>0</v>
      </c>
      <c r="AW348">
        <f t="shared" si="145"/>
        <v>0</v>
      </c>
      <c r="AX348">
        <f t="shared" si="146"/>
        <v>0.94999999999999984</v>
      </c>
      <c r="AY348" s="2">
        <f t="shared" si="147"/>
        <v>0</v>
      </c>
      <c r="AZ348" s="5">
        <f t="shared" si="148"/>
        <v>1.1999999999999997</v>
      </c>
      <c r="BA348">
        <f>Table8[[#This Row],[Model Score2]]</f>
        <v>0</v>
      </c>
      <c r="BB348">
        <f>IFERROR(INDEX(Player_Model!$BG$2:$BG$596,MATCH($A348,Player_Model!$A$2:$A$596,0)),"")</f>
        <v>103</v>
      </c>
      <c r="BC348" t="str">
        <f t="shared" si="149"/>
        <v>AVOID</v>
      </c>
      <c r="BD348">
        <f>IF(H348=1,Table8[[#This Row],[Model Score]],-10000)</f>
        <v>0</v>
      </c>
      <c r="BE348">
        <f>IFERROR(INDEX(Player_Model!$BF$2:$BF$596,MATCH($A348,Player_Model!$A$2:$A$596,0)),"")</f>
        <v>253</v>
      </c>
      <c r="BF348">
        <f>IFERROR(INDEX(Player_Model!$BG$2:$BG$596,MATCH($A348,Player_Model!$A$2:$A$596,0)),"")</f>
        <v>103</v>
      </c>
      <c r="BG348">
        <f>IFERROR(INDEX(Player_Model!$BE$2:$BE$596,MATCH($A348,Player_Model!$A$2:$A$596,0)),0)</f>
        <v>0</v>
      </c>
    </row>
    <row r="349" spans="1:59" x14ac:dyDescent="0.25">
      <c r="A349" t="str">
        <f>tblPlayers[first_name]&amp;" "&amp;tblPlayers[second_name]</f>
        <v>Nobel Mendy</v>
      </c>
      <c r="B349" t="str">
        <f>_xlfn.SWITCH(tblPlayers[element_type],1,"GK",2,"DEF",3,"MID",4,"FWD")</f>
        <v>DEF</v>
      </c>
      <c r="C349">
        <f>tblPlayers[team]</f>
        <v>11</v>
      </c>
      <c r="D349" t="str">
        <f>INDEX(tblTeams[Column1.short_name],MATCH(C349,tblTeams[Column1.id],0))</f>
        <v>HUL</v>
      </c>
      <c r="E349" s="4">
        <f>INDEX(FPL_Raw_Data!$F:$F,MATCH(A349,FPL_Raw_Data!$AA:$AA,0))/10</f>
        <v>4</v>
      </c>
      <c r="F349" s="4" t="str">
        <f>tblPlayers[[#This Row],[status]]</f>
        <v>a</v>
      </c>
      <c r="G349" s="4" t="b">
        <f>tblPlayers[[#This Row],[can_select]]</f>
        <v>1</v>
      </c>
      <c r="H349">
        <f>IF(AND(Table8[[#This Row],[Availability Status]]="a",Table8[[#This Row],[Can Select]]=TRUE),1,0)</f>
        <v>1</v>
      </c>
      <c r="I349">
        <f>tblPlayers[minutes]</f>
        <v>191</v>
      </c>
      <c r="J349" s="2">
        <f>Table8[[#This Row],[Minutes]]/90</f>
        <v>2.1222222222222222</v>
      </c>
      <c r="K349" s="5">
        <f>IFERROR(Z349/(FIXTURE_ANALYSIS!$B$1-1),0)</f>
        <v>1</v>
      </c>
      <c r="L349">
        <f>tblPlayers[total_points]</f>
        <v>24</v>
      </c>
      <c r="M349">
        <f>tblPlayers[points_per_game]</f>
        <v>8</v>
      </c>
      <c r="N349">
        <f>tblPlayers[form]</f>
        <v>8</v>
      </c>
      <c r="O349">
        <f>tblPlayers[expected_goals]</f>
        <v>0.32</v>
      </c>
      <c r="P349">
        <f>tblPlayers[expected_assists]</f>
        <v>0</v>
      </c>
      <c r="Q349">
        <f>tblPlayers[expected_goal_involvements]</f>
        <v>0.32</v>
      </c>
      <c r="R349" s="2">
        <f t="shared" si="125"/>
        <v>11.308900523560208</v>
      </c>
      <c r="S349" s="5">
        <f t="shared" si="126"/>
        <v>0.15078534031413612</v>
      </c>
      <c r="T349" s="5">
        <f t="shared" si="127"/>
        <v>0</v>
      </c>
      <c r="U349" s="5">
        <f t="shared" si="128"/>
        <v>0.15078534031413612</v>
      </c>
      <c r="V349" s="3">
        <f t="shared" si="129"/>
        <v>6</v>
      </c>
      <c r="W349" s="5">
        <f t="shared" si="130"/>
        <v>0.08</v>
      </c>
      <c r="X349" s="5">
        <f>IFERROR(IF(OR($B349="MID",$B349="FWD"),INDEX(FIXTURE_ANALYSIS!$Q:$Q,MATCH($D349,FIXTURE_ANALYSIS!$A:$A,0)),INDEX(FIXTURE_ANALYSIS!$R:$R,MATCH($D349,FIXTURE_ANALYSIS!$A:$A,0))),1)</f>
        <v>1.1999999999999997</v>
      </c>
      <c r="Y349" s="5">
        <f t="shared" si="131"/>
        <v>1.1999999999999997</v>
      </c>
      <c r="Z349" s="8">
        <f>INDEX(FPL_Raw_Data!$T:$T,MATCH(A349,FPL_Raw_Data!$AA:$AA,0))</f>
        <v>3</v>
      </c>
      <c r="AA349" s="8">
        <f>INDEX(FPL_Raw_Data!$S:$S,MATCH(A349,FPL_Raw_Data!$AA:$AA,0))</f>
        <v>32</v>
      </c>
      <c r="AB349" s="2">
        <f t="shared" si="132"/>
        <v>1</v>
      </c>
      <c r="AC349" s="2">
        <f>INDEX(FPL_Raw_Data!$Q:$Q,MATCH(A349,FPL_Raw_Data!$AA:$AA,0))</f>
        <v>1</v>
      </c>
      <c r="AD349" s="8">
        <f>INDEX(FPL_Raw_Data!$R:$R,MATCH(A349,FPL_Raw_Data!$AA:$AA,0))</f>
        <v>66</v>
      </c>
      <c r="AE349" s="8">
        <f>INDEX(FPL_Raw_Data!$N:$N,MATCH(A349,FPL_Raw_Data!$AA:$AA,0))</f>
        <v>2</v>
      </c>
      <c r="AF349" s="8">
        <f>INDEX(FPL_Raw_Data!$L:$L,MATCH(A349,FPL_Raw_Data!$AA:$AA,0))</f>
        <v>1</v>
      </c>
      <c r="AG349" s="2">
        <f>INDEX(FPL_Raw_Data!$M:$M,MATCH(A349,FPL_Raw_Data!$AA:$AA,0))</f>
        <v>0</v>
      </c>
      <c r="AH349" s="2">
        <f t="shared" si="133"/>
        <v>0.90471204188481669</v>
      </c>
      <c r="AI349" s="2">
        <f t="shared" si="134"/>
        <v>0</v>
      </c>
      <c r="AJ349" s="2">
        <f t="shared" si="135"/>
        <v>2</v>
      </c>
      <c r="AK349" s="2">
        <f t="shared" si="136"/>
        <v>2</v>
      </c>
      <c r="AL349" s="2">
        <f t="shared" si="137"/>
        <v>0.66666666666666663</v>
      </c>
      <c r="AM349" s="2">
        <f t="shared" si="138"/>
        <v>2.6666666666666665</v>
      </c>
      <c r="AN349" s="2">
        <f t="shared" si="139"/>
        <v>0.33333333333333331</v>
      </c>
      <c r="AO349" s="3">
        <f t="shared" si="140"/>
        <v>94.699999999999989</v>
      </c>
      <c r="AP349">
        <f t="shared" si="141"/>
        <v>72.3</v>
      </c>
      <c r="AQ349">
        <f t="shared" si="142"/>
        <v>99.8</v>
      </c>
      <c r="AR349">
        <f t="shared" si="143"/>
        <v>81.599999999999994</v>
      </c>
      <c r="AS349" s="2">
        <f t="shared" si="144"/>
        <v>100</v>
      </c>
      <c r="AT349" s="2">
        <f>IFERROR(INDEX(Player_Model!$BC$2:$BC$596,MATCH($A349,Player_Model!$A$2:$A$596,0)),0)</f>
        <v>10.304502617801047</v>
      </c>
      <c r="AU349" s="2">
        <f>Table8[[#This Row],[Model Expected Points]]*Table8[[#This Row],[Fixture Adjustment]]</f>
        <v>12.365403141361254</v>
      </c>
      <c r="AV349" s="2">
        <f>Table8[[#This Row],[Fixture Adjusted Points / 90]]/Table8[[#This Row],[Price]]</f>
        <v>3.0913507853403135</v>
      </c>
      <c r="AW349">
        <f t="shared" si="145"/>
        <v>72.3</v>
      </c>
      <c r="AX349">
        <f t="shared" si="146"/>
        <v>1.0999999999999999</v>
      </c>
      <c r="AY349" s="2">
        <f t="shared" si="147"/>
        <v>100</v>
      </c>
      <c r="AZ349" s="5">
        <f t="shared" si="148"/>
        <v>1.1999999999999997</v>
      </c>
      <c r="BA349">
        <f>Table8[[#This Row],[Model Score2]]</f>
        <v>10.304502617801047</v>
      </c>
      <c r="BB349">
        <f>IFERROR(INDEX(Player_Model!$BG$2:$BG$596,MATCH($A349,Player_Model!$A$2:$A$596,0)),"")</f>
        <v>3</v>
      </c>
      <c r="BC349" t="str">
        <f t="shared" si="149"/>
        <v>STRONG PICK</v>
      </c>
      <c r="BD349">
        <f>IF(H349=1,Table8[[#This Row],[Model Score]],-10000)</f>
        <v>10.304502617801047</v>
      </c>
      <c r="BE349">
        <f>IFERROR(INDEX(Player_Model!$BF$2:$BF$596,MATCH($A349,Player_Model!$A$2:$A$596,0)),"")</f>
        <v>3</v>
      </c>
      <c r="BF349">
        <f>IFERROR(INDEX(Player_Model!$BG$2:$BG$596,MATCH($A349,Player_Model!$A$2:$A$596,0)),"")</f>
        <v>3</v>
      </c>
      <c r="BG349">
        <f>IFERROR(INDEX(Player_Model!$BE$2:$BE$596,MATCH($A349,Player_Model!$A$2:$A$596,0)),0)</f>
        <v>10.304502617801047</v>
      </c>
    </row>
    <row r="350" spans="1:59" x14ac:dyDescent="0.25">
      <c r="A350" t="str">
        <f>tblPlayers[first_name]&amp;" "&amp;tblPlayers[second_name]</f>
        <v>Lucas Gourna-Douath</v>
      </c>
      <c r="B350" t="str">
        <f>_xlfn.SWITCH(tblPlayers[element_type],1,"GK",2,"DEF",3,"MID",4,"FWD")</f>
        <v>MID</v>
      </c>
      <c r="C350">
        <f>tblPlayers[team]</f>
        <v>11</v>
      </c>
      <c r="D350" t="str">
        <f>INDEX(tblTeams[Column1.short_name],MATCH(C350,tblTeams[Column1.id],0))</f>
        <v>HUL</v>
      </c>
      <c r="E350" s="4">
        <f>INDEX(FPL_Raw_Data!$F:$F,MATCH(A350,FPL_Raw_Data!$AA:$AA,0))/10</f>
        <v>5</v>
      </c>
      <c r="F350" s="4" t="str">
        <f>tblPlayers[[#This Row],[status]]</f>
        <v>a</v>
      </c>
      <c r="G350" s="4" t="b">
        <f>tblPlayers[[#This Row],[can_select]]</f>
        <v>1</v>
      </c>
      <c r="H350">
        <f>IF(AND(Table8[[#This Row],[Availability Status]]="a",Table8[[#This Row],[Can Select]]=TRUE),1,0)</f>
        <v>1</v>
      </c>
      <c r="I350">
        <f>tblPlayers[minutes]</f>
        <v>126</v>
      </c>
      <c r="J350" s="2">
        <f>Table8[[#This Row],[Minutes]]/90</f>
        <v>1.4</v>
      </c>
      <c r="K350" s="5">
        <f>IFERROR(Z350/(FIXTURE_ANALYSIS!$B$1-1),0)</f>
        <v>0.33333333333333331</v>
      </c>
      <c r="L350">
        <f>tblPlayers[total_points]</f>
        <v>3</v>
      </c>
      <c r="M350">
        <f>tblPlayers[points_per_game]</f>
        <v>1.5</v>
      </c>
      <c r="N350">
        <f>tblPlayers[form]</f>
        <v>1</v>
      </c>
      <c r="O350">
        <f>tblPlayers[expected_goals]</f>
        <v>0</v>
      </c>
      <c r="P350">
        <f>tblPlayers[expected_assists]</f>
        <v>0.02</v>
      </c>
      <c r="Q350">
        <f>tblPlayers[expected_goal_involvements]</f>
        <v>0.02</v>
      </c>
      <c r="R350" s="2">
        <f t="shared" si="125"/>
        <v>2.1428571428571428</v>
      </c>
      <c r="S350" s="5">
        <f t="shared" si="126"/>
        <v>0</v>
      </c>
      <c r="T350" s="5">
        <f t="shared" si="127"/>
        <v>1.4285714285714285E-2</v>
      </c>
      <c r="U350" s="5">
        <f t="shared" si="128"/>
        <v>1.4285714285714285E-2</v>
      </c>
      <c r="V350" s="3">
        <f t="shared" si="129"/>
        <v>0.6</v>
      </c>
      <c r="W350" s="5">
        <f t="shared" si="130"/>
        <v>4.0000000000000001E-3</v>
      </c>
      <c r="X350" s="5">
        <f>IFERROR(IF(OR($B350="MID",$B350="FWD"),INDEX(FIXTURE_ANALYSIS!$Q:$Q,MATCH($D350,FIXTURE_ANALYSIS!$A:$A,0)),INDEX(FIXTURE_ANALYSIS!$R:$R,MATCH($D350,FIXTURE_ANALYSIS!$A:$A,0))),1)</f>
        <v>0.95496539792387547</v>
      </c>
      <c r="Y350" s="5">
        <f t="shared" si="131"/>
        <v>0.95496539792387547</v>
      </c>
      <c r="Z350" s="8">
        <f>INDEX(FPL_Raw_Data!$T:$T,MATCH(A350,FPL_Raw_Data!$AA:$AA,0))</f>
        <v>1</v>
      </c>
      <c r="AA350" s="8">
        <f>INDEX(FPL_Raw_Data!$S:$S,MATCH(A350,FPL_Raw_Data!$AA:$AA,0))</f>
        <v>16</v>
      </c>
      <c r="AB350" s="2">
        <f t="shared" si="132"/>
        <v>1</v>
      </c>
      <c r="AC350" s="2">
        <f>INDEX(FPL_Raw_Data!$Q:$Q,MATCH(A350,FPL_Raw_Data!$AA:$AA,0))</f>
        <v>0</v>
      </c>
      <c r="AD350" s="8">
        <f>INDEX(FPL_Raw_Data!$R:$R,MATCH(A350,FPL_Raw_Data!$AA:$AA,0))</f>
        <v>13</v>
      </c>
      <c r="AE350" s="8">
        <f>INDEX(FPL_Raw_Data!$N:$N,MATCH(A350,FPL_Raw_Data!$AA:$AA,0))</f>
        <v>1</v>
      </c>
      <c r="AF350" s="8">
        <f>INDEX(FPL_Raw_Data!$L:$L,MATCH(A350,FPL_Raw_Data!$AA:$AA,0))</f>
        <v>0</v>
      </c>
      <c r="AG350" s="2">
        <f>INDEX(FPL_Raw_Data!$M:$M,MATCH(A350,FPL_Raw_Data!$AA:$AA,0))</f>
        <v>0</v>
      </c>
      <c r="AH350" s="2">
        <f t="shared" si="133"/>
        <v>0</v>
      </c>
      <c r="AI350" s="2">
        <f t="shared" si="134"/>
        <v>4.2857142857142858E-2</v>
      </c>
      <c r="AJ350" s="2">
        <f t="shared" si="135"/>
        <v>0.66666666666666663</v>
      </c>
      <c r="AK350" s="2">
        <f t="shared" si="136"/>
        <v>2</v>
      </c>
      <c r="AL350" s="2">
        <f t="shared" si="137"/>
        <v>1</v>
      </c>
      <c r="AM350" s="2">
        <f t="shared" si="138"/>
        <v>1</v>
      </c>
      <c r="AN350" s="2">
        <f t="shared" si="139"/>
        <v>0</v>
      </c>
      <c r="AO350" s="3">
        <f t="shared" si="140"/>
        <v>48.9</v>
      </c>
      <c r="AP350">
        <f t="shared" si="141"/>
        <v>54.2</v>
      </c>
      <c r="AQ350">
        <f t="shared" si="142"/>
        <v>60.699999999999996</v>
      </c>
      <c r="AR350">
        <f t="shared" si="143"/>
        <v>54.7</v>
      </c>
      <c r="AS350" s="2">
        <f t="shared" si="144"/>
        <v>33.333333333333329</v>
      </c>
      <c r="AT350" s="2">
        <f>IFERROR(INDEX(Player_Model!$BC$2:$BC$596,MATCH($A350,Player_Model!$A$2:$A$596,0)),0)</f>
        <v>3.3748607089894787</v>
      </c>
      <c r="AU350" s="2">
        <f>Table8[[#This Row],[Model Expected Points]]*Table8[[#This Row],[Fixture Adjustment]]</f>
        <v>3.22287519989779</v>
      </c>
      <c r="AV350" s="2">
        <f>Table8[[#This Row],[Fixture Adjusted Points / 90]]/Table8[[#This Row],[Price]]</f>
        <v>0.64457503997955801</v>
      </c>
      <c r="AW350">
        <f t="shared" si="145"/>
        <v>51.55</v>
      </c>
      <c r="AX350">
        <f t="shared" si="146"/>
        <v>1</v>
      </c>
      <c r="AY350" s="2">
        <f t="shared" si="147"/>
        <v>33.333333333333329</v>
      </c>
      <c r="AZ350" s="5">
        <f t="shared" si="148"/>
        <v>0.95496539792387547</v>
      </c>
      <c r="BA350">
        <f>Table8[[#This Row],[Model Score2]]</f>
        <v>3.3748607089894787</v>
      </c>
      <c r="BB350">
        <f>IFERROR(INDEX(Player_Model!$BG$2:$BG$596,MATCH($A350,Player_Model!$A$2:$A$596,0)),"")</f>
        <v>95</v>
      </c>
      <c r="BC350" t="str">
        <f t="shared" si="149"/>
        <v>AVOID</v>
      </c>
      <c r="BD350">
        <f>IF(H350=1,Table8[[#This Row],[Model Score]],-10000)</f>
        <v>3.3748607089894787</v>
      </c>
      <c r="BE350">
        <f>IFERROR(INDEX(Player_Model!$BF$2:$BF$596,MATCH($A350,Player_Model!$A$2:$A$596,0)),"")</f>
        <v>184</v>
      </c>
      <c r="BF350">
        <f>IFERROR(INDEX(Player_Model!$BG$2:$BG$596,MATCH($A350,Player_Model!$A$2:$A$596,0)),"")</f>
        <v>95</v>
      </c>
      <c r="BG350">
        <f>IFERROR(INDEX(Player_Model!$BE$2:$BE$596,MATCH($A350,Player_Model!$A$2:$A$596,0)),0)</f>
        <v>3.3748607089894787</v>
      </c>
    </row>
    <row r="351" spans="1:59" x14ac:dyDescent="0.25">
      <c r="A351" t="str">
        <f>tblPlayers[first_name]&amp;" "&amp;tblPlayers[second_name]</f>
        <v>Mohamed-Ali Cho</v>
      </c>
      <c r="B351" t="str">
        <f>_xlfn.SWITCH(tblPlayers[element_type],1,"GK",2,"DEF",3,"MID",4,"FWD")</f>
        <v>MID</v>
      </c>
      <c r="C351">
        <f>tblPlayers[team]</f>
        <v>11</v>
      </c>
      <c r="D351" t="str">
        <f>INDEX(tblTeams[Column1.short_name],MATCH(C351,tblTeams[Column1.id],0))</f>
        <v>HUL</v>
      </c>
      <c r="E351" s="4">
        <f>INDEX(FPL_Raw_Data!$F:$F,MATCH(A351,FPL_Raw_Data!$AA:$AA,0))/10</f>
        <v>5</v>
      </c>
      <c r="F351" s="4" t="str">
        <f>tblPlayers[[#This Row],[status]]</f>
        <v>a</v>
      </c>
      <c r="G351" s="4" t="b">
        <f>tblPlayers[[#This Row],[can_select]]</f>
        <v>1</v>
      </c>
      <c r="H351">
        <f>IF(AND(Table8[[#This Row],[Availability Status]]="a",Table8[[#This Row],[Can Select]]=TRUE),1,0)</f>
        <v>1</v>
      </c>
      <c r="I351">
        <f>tblPlayers[minutes]</f>
        <v>15</v>
      </c>
      <c r="J351" s="2">
        <f>Table8[[#This Row],[Minutes]]/90</f>
        <v>0.16666666666666666</v>
      </c>
      <c r="K351" s="5">
        <f>IFERROR(Z351/(FIXTURE_ANALYSIS!$B$1-1),0)</f>
        <v>0</v>
      </c>
      <c r="L351">
        <f>tblPlayers[total_points]</f>
        <v>2</v>
      </c>
      <c r="M351">
        <f>tblPlayers[points_per_game]</f>
        <v>1</v>
      </c>
      <c r="N351">
        <f>tblPlayers[form]</f>
        <v>1</v>
      </c>
      <c r="O351">
        <f>tblPlayers[expected_goals]</f>
        <v>0.05</v>
      </c>
      <c r="P351">
        <f>tblPlayers[expected_assists]</f>
        <v>0</v>
      </c>
      <c r="Q351">
        <f>tblPlayers[expected_goal_involvements]</f>
        <v>0.05</v>
      </c>
      <c r="R351" s="2">
        <f t="shared" si="125"/>
        <v>12</v>
      </c>
      <c r="S351" s="5">
        <f t="shared" si="126"/>
        <v>0.30000000000000004</v>
      </c>
      <c r="T351" s="5">
        <f t="shared" si="127"/>
        <v>0</v>
      </c>
      <c r="U351" s="5">
        <f t="shared" si="128"/>
        <v>0.30000000000000004</v>
      </c>
      <c r="V351" s="3">
        <f t="shared" si="129"/>
        <v>0.4</v>
      </c>
      <c r="W351" s="5">
        <f t="shared" si="130"/>
        <v>0.01</v>
      </c>
      <c r="X351" s="5">
        <f>IFERROR(IF(OR($B351="MID",$B351="FWD"),INDEX(FIXTURE_ANALYSIS!$Q:$Q,MATCH($D351,FIXTURE_ANALYSIS!$A:$A,0)),INDEX(FIXTURE_ANALYSIS!$R:$R,MATCH($D351,FIXTURE_ANALYSIS!$A:$A,0))),1)</f>
        <v>0.95496539792387547</v>
      </c>
      <c r="Y351" s="5">
        <f t="shared" si="131"/>
        <v>0.95496539792387547</v>
      </c>
      <c r="Z351" s="8">
        <f>INDEX(FPL_Raw_Data!$T:$T,MATCH(A351,FPL_Raw_Data!$AA:$AA,0))</f>
        <v>0</v>
      </c>
      <c r="AA351" s="8">
        <f>INDEX(FPL_Raw_Data!$S:$S,MATCH(A351,FPL_Raw_Data!$AA:$AA,0))</f>
        <v>0</v>
      </c>
      <c r="AB351" s="2">
        <f t="shared" si="132"/>
        <v>0</v>
      </c>
      <c r="AC351" s="2">
        <f>INDEX(FPL_Raw_Data!$Q:$Q,MATCH(A351,FPL_Raw_Data!$AA:$AA,0))</f>
        <v>0</v>
      </c>
      <c r="AD351" s="8">
        <f>INDEX(FPL_Raw_Data!$R:$R,MATCH(A351,FPL_Raw_Data!$AA:$AA,0))</f>
        <v>8</v>
      </c>
      <c r="AE351" s="8">
        <f>INDEX(FPL_Raw_Data!$N:$N,MATCH(A351,FPL_Raw_Data!$AA:$AA,0))</f>
        <v>0</v>
      </c>
      <c r="AF351" s="8">
        <f>INDEX(FPL_Raw_Data!$L:$L,MATCH(A351,FPL_Raw_Data!$AA:$AA,0))</f>
        <v>0</v>
      </c>
      <c r="AG351" s="2">
        <f>INDEX(FPL_Raw_Data!$M:$M,MATCH(A351,FPL_Raw_Data!$AA:$AA,0))</f>
        <v>0</v>
      </c>
      <c r="AH351" s="2">
        <f t="shared" si="133"/>
        <v>1.5000000000000002</v>
      </c>
      <c r="AI351" s="2">
        <f t="shared" si="134"/>
        <v>0</v>
      </c>
      <c r="AJ351" s="2">
        <f t="shared" si="135"/>
        <v>0</v>
      </c>
      <c r="AK351" s="2">
        <f t="shared" si="136"/>
        <v>0</v>
      </c>
      <c r="AL351" s="2">
        <f t="shared" si="137"/>
        <v>0</v>
      </c>
      <c r="AM351" s="2">
        <f t="shared" si="138"/>
        <v>0</v>
      </c>
      <c r="AN351" s="2">
        <f t="shared" si="139"/>
        <v>0</v>
      </c>
      <c r="AO351" s="3">
        <f t="shared" si="140"/>
        <v>95.199999999999989</v>
      </c>
      <c r="AP351">
        <f t="shared" si="141"/>
        <v>83.6</v>
      </c>
      <c r="AQ351">
        <f t="shared" si="142"/>
        <v>53.300000000000004</v>
      </c>
      <c r="AR351">
        <f t="shared" si="143"/>
        <v>60.099999999999994</v>
      </c>
      <c r="AS351" s="2">
        <f t="shared" si="144"/>
        <v>0</v>
      </c>
      <c r="AT351" s="2">
        <f>IFERROR(INDEX(Player_Model!$BC$2:$BC$596,MATCH($A351,Player_Model!$A$2:$A$596,0)),0)</f>
        <v>0</v>
      </c>
      <c r="AU351" s="2">
        <f>Table8[[#This Row],[Model Expected Points]]*Table8[[#This Row],[Fixture Adjustment]]</f>
        <v>0</v>
      </c>
      <c r="AV351" s="2">
        <f>Table8[[#This Row],[Fixture Adjusted Points / 90]]/Table8[[#This Row],[Price]]</f>
        <v>0</v>
      </c>
      <c r="AW351">
        <f t="shared" si="145"/>
        <v>89.399999999999991</v>
      </c>
      <c r="AX351">
        <f t="shared" si="146"/>
        <v>0</v>
      </c>
      <c r="AY351" s="2">
        <f t="shared" si="147"/>
        <v>0</v>
      </c>
      <c r="AZ351" s="5">
        <f t="shared" si="148"/>
        <v>0.95496539792387547</v>
      </c>
      <c r="BA351">
        <f>Table8[[#This Row],[Model Score2]]</f>
        <v>0</v>
      </c>
      <c r="BB351">
        <f>IFERROR(INDEX(Player_Model!$BG$2:$BG$596,MATCH($A351,Player_Model!$A$2:$A$596,0)),"")</f>
        <v>203</v>
      </c>
      <c r="BC351" t="str">
        <f t="shared" si="149"/>
        <v>AVOID</v>
      </c>
      <c r="BD351">
        <f>IF(H351=1,Table8[[#This Row],[Model Score]],-10000)</f>
        <v>0</v>
      </c>
      <c r="BE351">
        <f>IFERROR(INDEX(Player_Model!$BF$2:$BF$596,MATCH($A351,Player_Model!$A$2:$A$596,0)),"")</f>
        <v>253</v>
      </c>
      <c r="BF351">
        <f>IFERROR(INDEX(Player_Model!$BG$2:$BG$596,MATCH($A351,Player_Model!$A$2:$A$596,0)),"")</f>
        <v>203</v>
      </c>
      <c r="BG351">
        <f>IFERROR(INDEX(Player_Model!$BE$2:$BE$596,MATCH($A351,Player_Model!$A$2:$A$596,0)),0)</f>
        <v>0</v>
      </c>
    </row>
    <row r="352" spans="1:59" x14ac:dyDescent="0.25">
      <c r="A352" t="str">
        <f>tblPlayers[first_name]&amp;" "&amp;tblPlayers[second_name]</f>
        <v>Ilyas Ansah</v>
      </c>
      <c r="B352" t="str">
        <f>_xlfn.SWITCH(tblPlayers[element_type],1,"GK",2,"DEF",3,"MID",4,"FWD")</f>
        <v>FWD</v>
      </c>
      <c r="C352">
        <f>tblPlayers[team]</f>
        <v>11</v>
      </c>
      <c r="D352" t="str">
        <f>INDEX(tblTeams[Column1.short_name],MATCH(C352,tblTeams[Column1.id],0))</f>
        <v>HUL</v>
      </c>
      <c r="E352" s="4">
        <f>INDEX(FPL_Raw_Data!$F:$F,MATCH(A352,FPL_Raw_Data!$AA:$AA,0))/10</f>
        <v>5</v>
      </c>
      <c r="F352" s="4" t="str">
        <f>tblPlayers[[#This Row],[status]]</f>
        <v>a</v>
      </c>
      <c r="G352" s="4" t="b">
        <f>tblPlayers[[#This Row],[can_select]]</f>
        <v>1</v>
      </c>
      <c r="H352">
        <f>IF(AND(Table8[[#This Row],[Availability Status]]="a",Table8[[#This Row],[Can Select]]=TRUE),1,0)</f>
        <v>1</v>
      </c>
      <c r="I352">
        <f>tblPlayers[minutes]</f>
        <v>0</v>
      </c>
      <c r="J352" s="2">
        <f>Table8[[#This Row],[Minutes]]/90</f>
        <v>0</v>
      </c>
      <c r="K352" s="5">
        <f>IFERROR(Z352/(FIXTURE_ANALYSIS!$B$1-1),0)</f>
        <v>0</v>
      </c>
      <c r="L352">
        <f>tblPlayers[total_points]</f>
        <v>0</v>
      </c>
      <c r="M352">
        <f>tblPlayers[points_per_game]</f>
        <v>0</v>
      </c>
      <c r="N352">
        <f>tblPlayers[form]</f>
        <v>0</v>
      </c>
      <c r="O352">
        <f>tblPlayers[expected_goals]</f>
        <v>0</v>
      </c>
      <c r="P352">
        <f>tblPlayers[expected_assists]</f>
        <v>0</v>
      </c>
      <c r="Q352">
        <f>tblPlayers[expected_goal_involvements]</f>
        <v>0</v>
      </c>
      <c r="R352" s="2">
        <f t="shared" si="125"/>
        <v>0</v>
      </c>
      <c r="S352" s="5">
        <f t="shared" si="126"/>
        <v>0</v>
      </c>
      <c r="T352" s="5">
        <f t="shared" si="127"/>
        <v>0</v>
      </c>
      <c r="U352" s="5">
        <f t="shared" si="128"/>
        <v>0</v>
      </c>
      <c r="V352" s="3">
        <f t="shared" si="129"/>
        <v>0</v>
      </c>
      <c r="W352" s="5">
        <f t="shared" si="130"/>
        <v>0</v>
      </c>
      <c r="X352" s="5">
        <f>IFERROR(IF(OR($B352="MID",$B352="FWD"),INDEX(FIXTURE_ANALYSIS!$Q:$Q,MATCH($D352,FIXTURE_ANALYSIS!$A:$A,0)),INDEX(FIXTURE_ANALYSIS!$R:$R,MATCH($D352,FIXTURE_ANALYSIS!$A:$A,0))),1)</f>
        <v>0.95496539792387547</v>
      </c>
      <c r="Y352" s="5">
        <f t="shared" si="131"/>
        <v>0.95496539792387547</v>
      </c>
      <c r="Z352" s="8">
        <f>INDEX(FPL_Raw_Data!$T:$T,MATCH(A352,FPL_Raw_Data!$AA:$AA,0))</f>
        <v>0</v>
      </c>
      <c r="AA352" s="8">
        <f>INDEX(FPL_Raw_Data!$S:$S,MATCH(A352,FPL_Raw_Data!$AA:$AA,0))</f>
        <v>0</v>
      </c>
      <c r="AB352" s="2">
        <f t="shared" si="132"/>
        <v>0</v>
      </c>
      <c r="AC352" s="2">
        <f>INDEX(FPL_Raw_Data!$Q:$Q,MATCH(A352,FPL_Raw_Data!$AA:$AA,0))</f>
        <v>0</v>
      </c>
      <c r="AD352" s="8">
        <f>INDEX(FPL_Raw_Data!$R:$R,MATCH(A352,FPL_Raw_Data!$AA:$AA,0))</f>
        <v>0</v>
      </c>
      <c r="AE352" s="8">
        <f>INDEX(FPL_Raw_Data!$N:$N,MATCH(A352,FPL_Raw_Data!$AA:$AA,0))</f>
        <v>0</v>
      </c>
      <c r="AF352" s="8">
        <f>INDEX(FPL_Raw_Data!$L:$L,MATCH(A352,FPL_Raw_Data!$AA:$AA,0))</f>
        <v>0</v>
      </c>
      <c r="AG352" s="2">
        <f>INDEX(FPL_Raw_Data!$M:$M,MATCH(A352,FPL_Raw_Data!$AA:$AA,0))</f>
        <v>0</v>
      </c>
      <c r="AH352" s="2">
        <f t="shared" si="133"/>
        <v>0</v>
      </c>
      <c r="AI352" s="2">
        <f t="shared" si="134"/>
        <v>0</v>
      </c>
      <c r="AJ352" s="2">
        <f t="shared" si="135"/>
        <v>0</v>
      </c>
      <c r="AK352" s="2">
        <f t="shared" si="136"/>
        <v>0</v>
      </c>
      <c r="AL352" s="2">
        <f t="shared" si="137"/>
        <v>0</v>
      </c>
      <c r="AM352" s="2">
        <f t="shared" si="138"/>
        <v>0</v>
      </c>
      <c r="AN352" s="2">
        <f t="shared" si="139"/>
        <v>0</v>
      </c>
      <c r="AO352" s="3">
        <f t="shared" si="140"/>
        <v>0.1</v>
      </c>
      <c r="AP352">
        <f t="shared" si="141"/>
        <v>0</v>
      </c>
      <c r="AQ352">
        <f t="shared" si="142"/>
        <v>0.1</v>
      </c>
      <c r="AR352">
        <f t="shared" si="143"/>
        <v>0</v>
      </c>
      <c r="AS352" s="2">
        <f t="shared" si="144"/>
        <v>0</v>
      </c>
      <c r="AT352" s="2">
        <f>IFERROR(INDEX(Player_Model!$BC$2:$BC$596,MATCH($A352,Player_Model!$A$2:$A$596,0)),0)</f>
        <v>0</v>
      </c>
      <c r="AU352" s="2">
        <f>Table8[[#This Row],[Model Expected Points]]*Table8[[#This Row],[Fixture Adjustment]]</f>
        <v>0</v>
      </c>
      <c r="AV352" s="2">
        <f>Table8[[#This Row],[Fixture Adjusted Points / 90]]/Table8[[#This Row],[Price]]</f>
        <v>0</v>
      </c>
      <c r="AW352">
        <f t="shared" si="145"/>
        <v>0.05</v>
      </c>
      <c r="AX352">
        <f t="shared" si="146"/>
        <v>0</v>
      </c>
      <c r="AY352" s="2">
        <f t="shared" si="147"/>
        <v>0</v>
      </c>
      <c r="AZ352" s="5">
        <f t="shared" si="148"/>
        <v>0.95496539792387547</v>
      </c>
      <c r="BA352">
        <f>Table8[[#This Row],[Model Score2]]</f>
        <v>0</v>
      </c>
      <c r="BB352">
        <f>IFERROR(INDEX(Player_Model!$BG$2:$BG$596,MATCH($A352,Player_Model!$A$2:$A$596,0)),"")</f>
        <v>53</v>
      </c>
      <c r="BC352" t="str">
        <f t="shared" si="149"/>
        <v>AVOID</v>
      </c>
      <c r="BD352">
        <f>IF(H352=1,Table8[[#This Row],[Model Score]],-10000)</f>
        <v>0</v>
      </c>
      <c r="BE352">
        <f>IFERROR(INDEX(Player_Model!$BF$2:$BF$596,MATCH($A352,Player_Model!$A$2:$A$596,0)),"")</f>
        <v>253</v>
      </c>
      <c r="BF352">
        <f>IFERROR(INDEX(Player_Model!$BG$2:$BG$596,MATCH($A352,Player_Model!$A$2:$A$596,0)),"")</f>
        <v>53</v>
      </c>
      <c r="BG352">
        <f>IFERROR(INDEX(Player_Model!$BE$2:$BE$596,MATCH($A352,Player_Model!$A$2:$A$596,0)),0)</f>
        <v>0</v>
      </c>
    </row>
    <row r="353" spans="1:59" x14ac:dyDescent="0.25">
      <c r="A353" t="str">
        <f>tblPlayers[first_name]&amp;" "&amp;tblPlayers[second_name]</f>
        <v>Robinio Vaz</v>
      </c>
      <c r="B353" t="str">
        <f>_xlfn.SWITCH(tblPlayers[element_type],1,"GK",2,"DEF",3,"MID",4,"FWD")</f>
        <v>FWD</v>
      </c>
      <c r="C353">
        <f>tblPlayers[team]</f>
        <v>11</v>
      </c>
      <c r="D353" t="str">
        <f>INDEX(tblTeams[Column1.short_name],MATCH(C353,tblTeams[Column1.id],0))</f>
        <v>HUL</v>
      </c>
      <c r="E353" s="4">
        <f>INDEX(FPL_Raw_Data!$F:$F,MATCH(A353,FPL_Raw_Data!$AA:$AA,0))/10</f>
        <v>5</v>
      </c>
      <c r="F353" s="4" t="str">
        <f>tblPlayers[[#This Row],[status]]</f>
        <v>a</v>
      </c>
      <c r="G353" s="4" t="b">
        <f>tblPlayers[[#This Row],[can_select]]</f>
        <v>1</v>
      </c>
      <c r="H353">
        <f>IF(AND(Table8[[#This Row],[Availability Status]]="a",Table8[[#This Row],[Can Select]]=TRUE),1,0)</f>
        <v>1</v>
      </c>
      <c r="I353">
        <f>tblPlayers[minutes]</f>
        <v>0</v>
      </c>
      <c r="J353" s="2">
        <f>Table8[[#This Row],[Minutes]]/90</f>
        <v>0</v>
      </c>
      <c r="K353" s="5">
        <f>IFERROR(Z353/(FIXTURE_ANALYSIS!$B$1-1),0)</f>
        <v>0</v>
      </c>
      <c r="L353">
        <f>tblPlayers[total_points]</f>
        <v>0</v>
      </c>
      <c r="M353">
        <f>tblPlayers[points_per_game]</f>
        <v>0</v>
      </c>
      <c r="N353">
        <f>tblPlayers[form]</f>
        <v>0</v>
      </c>
      <c r="O353">
        <f>tblPlayers[expected_goals]</f>
        <v>0</v>
      </c>
      <c r="P353">
        <f>tblPlayers[expected_assists]</f>
        <v>0</v>
      </c>
      <c r="Q353">
        <f>tblPlayers[expected_goal_involvements]</f>
        <v>0</v>
      </c>
      <c r="R353" s="2">
        <f t="shared" si="125"/>
        <v>0</v>
      </c>
      <c r="S353" s="5">
        <f t="shared" si="126"/>
        <v>0</v>
      </c>
      <c r="T353" s="5">
        <f t="shared" si="127"/>
        <v>0</v>
      </c>
      <c r="U353" s="5">
        <f t="shared" si="128"/>
        <v>0</v>
      </c>
      <c r="V353" s="3">
        <f t="shared" si="129"/>
        <v>0</v>
      </c>
      <c r="W353" s="5">
        <f t="shared" si="130"/>
        <v>0</v>
      </c>
      <c r="X353" s="5">
        <f>IFERROR(IF(OR($B353="MID",$B353="FWD"),INDEX(FIXTURE_ANALYSIS!$Q:$Q,MATCH($D353,FIXTURE_ANALYSIS!$A:$A,0)),INDEX(FIXTURE_ANALYSIS!$R:$R,MATCH($D353,FIXTURE_ANALYSIS!$A:$A,0))),1)</f>
        <v>0.95496539792387547</v>
      </c>
      <c r="Y353" s="5">
        <f t="shared" si="131"/>
        <v>0.95496539792387547</v>
      </c>
      <c r="Z353" s="8">
        <f>INDEX(FPL_Raw_Data!$T:$T,MATCH(A353,FPL_Raw_Data!$AA:$AA,0))</f>
        <v>0</v>
      </c>
      <c r="AA353" s="8">
        <f>INDEX(FPL_Raw_Data!$S:$S,MATCH(A353,FPL_Raw_Data!$AA:$AA,0))</f>
        <v>0</v>
      </c>
      <c r="AB353" s="2">
        <f t="shared" si="132"/>
        <v>0</v>
      </c>
      <c r="AC353" s="2">
        <f>INDEX(FPL_Raw_Data!$Q:$Q,MATCH(A353,FPL_Raw_Data!$AA:$AA,0))</f>
        <v>0</v>
      </c>
      <c r="AD353" s="8">
        <f>INDEX(FPL_Raw_Data!$R:$R,MATCH(A353,FPL_Raw_Data!$AA:$AA,0))</f>
        <v>0</v>
      </c>
      <c r="AE353" s="8">
        <f>INDEX(FPL_Raw_Data!$N:$N,MATCH(A353,FPL_Raw_Data!$AA:$AA,0))</f>
        <v>0</v>
      </c>
      <c r="AF353" s="8">
        <f>INDEX(FPL_Raw_Data!$L:$L,MATCH(A353,FPL_Raw_Data!$AA:$AA,0))</f>
        <v>0</v>
      </c>
      <c r="AG353" s="2">
        <f>INDEX(FPL_Raw_Data!$M:$M,MATCH(A353,FPL_Raw_Data!$AA:$AA,0))</f>
        <v>0</v>
      </c>
      <c r="AH353" s="2">
        <f t="shared" si="133"/>
        <v>0</v>
      </c>
      <c r="AI353" s="2">
        <f t="shared" si="134"/>
        <v>0</v>
      </c>
      <c r="AJ353" s="2">
        <f t="shared" si="135"/>
        <v>0</v>
      </c>
      <c r="AK353" s="2">
        <f t="shared" si="136"/>
        <v>0</v>
      </c>
      <c r="AL353" s="2">
        <f t="shared" si="137"/>
        <v>0</v>
      </c>
      <c r="AM353" s="2">
        <f t="shared" si="138"/>
        <v>0</v>
      </c>
      <c r="AN353" s="2">
        <f t="shared" si="139"/>
        <v>0</v>
      </c>
      <c r="AO353" s="3">
        <f t="shared" si="140"/>
        <v>0.1</v>
      </c>
      <c r="AP353">
        <f t="shared" si="141"/>
        <v>0</v>
      </c>
      <c r="AQ353">
        <f t="shared" si="142"/>
        <v>0.1</v>
      </c>
      <c r="AR353">
        <f t="shared" si="143"/>
        <v>0</v>
      </c>
      <c r="AS353" s="2">
        <f t="shared" si="144"/>
        <v>0</v>
      </c>
      <c r="AT353" s="2">
        <f>IFERROR(INDEX(Player_Model!$BC$2:$BC$596,MATCH($A353,Player_Model!$A$2:$A$596,0)),0)</f>
        <v>0</v>
      </c>
      <c r="AU353" s="2">
        <f>Table8[[#This Row],[Model Expected Points]]*Table8[[#This Row],[Fixture Adjustment]]</f>
        <v>0</v>
      </c>
      <c r="AV353" s="2">
        <f>Table8[[#This Row],[Fixture Adjusted Points / 90]]/Table8[[#This Row],[Price]]</f>
        <v>0</v>
      </c>
      <c r="AW353">
        <f t="shared" si="145"/>
        <v>0.05</v>
      </c>
      <c r="AX353">
        <f t="shared" si="146"/>
        <v>0</v>
      </c>
      <c r="AY353" s="2">
        <f t="shared" si="147"/>
        <v>0</v>
      </c>
      <c r="AZ353" s="5">
        <f t="shared" si="148"/>
        <v>0.95496539792387547</v>
      </c>
      <c r="BA353">
        <f>Table8[[#This Row],[Model Score2]]</f>
        <v>0</v>
      </c>
      <c r="BB353">
        <f>IFERROR(INDEX(Player_Model!$BG$2:$BG$596,MATCH($A353,Player_Model!$A$2:$A$596,0)),"")</f>
        <v>54</v>
      </c>
      <c r="BC353" t="str">
        <f t="shared" si="149"/>
        <v>AVOID</v>
      </c>
      <c r="BD353">
        <f>IF(H353=1,Table8[[#This Row],[Model Score]],-10000)</f>
        <v>0</v>
      </c>
      <c r="BE353">
        <f>IFERROR(INDEX(Player_Model!$BF$2:$BF$596,MATCH($A353,Player_Model!$A$2:$A$596,0)),"")</f>
        <v>253</v>
      </c>
      <c r="BF353">
        <f>IFERROR(INDEX(Player_Model!$BG$2:$BG$596,MATCH($A353,Player_Model!$A$2:$A$596,0)),"")</f>
        <v>54</v>
      </c>
      <c r="BG353">
        <f>IFERROR(INDEX(Player_Model!$BE$2:$BE$596,MATCH($A353,Player_Model!$A$2:$A$596,0)),0)</f>
        <v>0</v>
      </c>
    </row>
    <row r="354" spans="1:59" x14ac:dyDescent="0.25">
      <c r="A354" t="str">
        <f>tblPlayers[first_name]&amp;" "&amp;tblPlayers[second_name]</f>
        <v>Brooke Norton-Cuffy</v>
      </c>
      <c r="B354" t="str">
        <f>_xlfn.SWITCH(tblPlayers[element_type],1,"GK",2,"DEF",3,"MID",4,"FWD")</f>
        <v>DEF</v>
      </c>
      <c r="C354">
        <f>tblPlayers[team]</f>
        <v>11</v>
      </c>
      <c r="D354" t="str">
        <f>INDEX(tblTeams[Column1.short_name],MATCH(C354,tblTeams[Column1.id],0))</f>
        <v>HUL</v>
      </c>
      <c r="E354" s="4">
        <f>INDEX(FPL_Raw_Data!$F:$F,MATCH(A354,FPL_Raw_Data!$AA:$AA,0))/10</f>
        <v>4</v>
      </c>
      <c r="F354" s="4" t="str">
        <f>tblPlayers[[#This Row],[status]]</f>
        <v>a</v>
      </c>
      <c r="G354" s="4" t="b">
        <f>tblPlayers[[#This Row],[can_select]]</f>
        <v>1</v>
      </c>
      <c r="H354">
        <f>IF(AND(Table8[[#This Row],[Availability Status]]="a",Table8[[#This Row],[Can Select]]=TRUE),1,0)</f>
        <v>1</v>
      </c>
      <c r="I354">
        <f>tblPlayers[minutes]</f>
        <v>26</v>
      </c>
      <c r="J354" s="2">
        <f>Table8[[#This Row],[Minutes]]/90</f>
        <v>0.28888888888888886</v>
      </c>
      <c r="K354" s="5">
        <f>IFERROR(Z354/(FIXTURE_ANALYSIS!$B$1-1),0)</f>
        <v>0</v>
      </c>
      <c r="L354">
        <f>tblPlayers[total_points]</f>
        <v>1</v>
      </c>
      <c r="M354">
        <f>tblPlayers[points_per_game]</f>
        <v>1</v>
      </c>
      <c r="N354">
        <f>tblPlayers[form]</f>
        <v>1</v>
      </c>
      <c r="O354">
        <f>tblPlayers[expected_goals]</f>
        <v>0</v>
      </c>
      <c r="P354">
        <f>tblPlayers[expected_assists]</f>
        <v>0</v>
      </c>
      <c r="Q354">
        <f>tblPlayers[expected_goal_involvements]</f>
        <v>0</v>
      </c>
      <c r="R354" s="2">
        <f t="shared" si="125"/>
        <v>3.4615384615384617</v>
      </c>
      <c r="S354" s="5">
        <f t="shared" si="126"/>
        <v>0</v>
      </c>
      <c r="T354" s="5">
        <f t="shared" si="127"/>
        <v>0</v>
      </c>
      <c r="U354" s="5">
        <f t="shared" si="128"/>
        <v>0</v>
      </c>
      <c r="V354" s="3">
        <f t="shared" si="129"/>
        <v>0.25</v>
      </c>
      <c r="W354" s="5">
        <f t="shared" si="130"/>
        <v>0</v>
      </c>
      <c r="X354" s="5">
        <f>IFERROR(IF(OR($B354="MID",$B354="FWD"),INDEX(FIXTURE_ANALYSIS!$Q:$Q,MATCH($D354,FIXTURE_ANALYSIS!$A:$A,0)),INDEX(FIXTURE_ANALYSIS!$R:$R,MATCH($D354,FIXTURE_ANALYSIS!$A:$A,0))),1)</f>
        <v>1.1999999999999997</v>
      </c>
      <c r="Y354" s="5">
        <f t="shared" si="131"/>
        <v>1.1999999999999997</v>
      </c>
      <c r="Z354" s="8">
        <f>INDEX(FPL_Raw_Data!$T:$T,MATCH(A354,FPL_Raw_Data!$AA:$AA,0))</f>
        <v>0</v>
      </c>
      <c r="AA354" s="8">
        <f>INDEX(FPL_Raw_Data!$S:$S,MATCH(A354,FPL_Raw_Data!$AA:$AA,0))</f>
        <v>1</v>
      </c>
      <c r="AB354" s="2">
        <f t="shared" si="132"/>
        <v>0.1</v>
      </c>
      <c r="AC354" s="2">
        <f>INDEX(FPL_Raw_Data!$Q:$Q,MATCH(A354,FPL_Raw_Data!$AA:$AA,0))</f>
        <v>0</v>
      </c>
      <c r="AD354" s="8">
        <f>INDEX(FPL_Raw_Data!$R:$R,MATCH(A354,FPL_Raw_Data!$AA:$AA,0))</f>
        <v>3</v>
      </c>
      <c r="AE354" s="8">
        <f>INDEX(FPL_Raw_Data!$N:$N,MATCH(A354,FPL_Raw_Data!$AA:$AA,0))</f>
        <v>0</v>
      </c>
      <c r="AF354" s="8">
        <f>INDEX(FPL_Raw_Data!$L:$L,MATCH(A354,FPL_Raw_Data!$AA:$AA,0))</f>
        <v>0</v>
      </c>
      <c r="AG354" s="2">
        <f>INDEX(FPL_Raw_Data!$M:$M,MATCH(A354,FPL_Raw_Data!$AA:$AA,0))</f>
        <v>0</v>
      </c>
      <c r="AH354" s="2">
        <f t="shared" si="133"/>
        <v>0</v>
      </c>
      <c r="AI354" s="2">
        <f t="shared" si="134"/>
        <v>0</v>
      </c>
      <c r="AJ354" s="2">
        <f t="shared" si="135"/>
        <v>0</v>
      </c>
      <c r="AK354" s="2">
        <f t="shared" si="136"/>
        <v>0.2</v>
      </c>
      <c r="AL354" s="2">
        <f t="shared" si="137"/>
        <v>0</v>
      </c>
      <c r="AM354" s="2">
        <f t="shared" si="138"/>
        <v>0</v>
      </c>
      <c r="AN354" s="2">
        <f t="shared" si="139"/>
        <v>0</v>
      </c>
      <c r="AO354" s="3">
        <f t="shared" si="140"/>
        <v>65.100000000000009</v>
      </c>
      <c r="AP354">
        <f t="shared" si="141"/>
        <v>0</v>
      </c>
      <c r="AQ354">
        <f t="shared" si="142"/>
        <v>49.1</v>
      </c>
      <c r="AR354">
        <f t="shared" si="143"/>
        <v>0</v>
      </c>
      <c r="AS354" s="2">
        <f t="shared" si="144"/>
        <v>0</v>
      </c>
      <c r="AT354" s="2">
        <f>IFERROR(INDEX(Player_Model!$BC$2:$BC$596,MATCH($A354,Player_Model!$A$2:$A$596,0)),0)</f>
        <v>0</v>
      </c>
      <c r="AU354" s="2">
        <f>Table8[[#This Row],[Model Expected Points]]*Table8[[#This Row],[Fixture Adjustment]]</f>
        <v>0</v>
      </c>
      <c r="AV354" s="2">
        <f>Table8[[#This Row],[Fixture Adjusted Points / 90]]/Table8[[#This Row],[Price]]</f>
        <v>0</v>
      </c>
      <c r="AW354">
        <f t="shared" si="145"/>
        <v>0</v>
      </c>
      <c r="AX354">
        <f t="shared" si="146"/>
        <v>0.64999999999999991</v>
      </c>
      <c r="AY354" s="2">
        <f t="shared" si="147"/>
        <v>0</v>
      </c>
      <c r="AZ354" s="5">
        <f t="shared" si="148"/>
        <v>1.1999999999999997</v>
      </c>
      <c r="BA354">
        <f>Table8[[#This Row],[Model Score2]]</f>
        <v>0</v>
      </c>
      <c r="BB354">
        <f>IFERROR(INDEX(Player_Model!$BG$2:$BG$596,MATCH($A354,Player_Model!$A$2:$A$596,0)),"")</f>
        <v>104</v>
      </c>
      <c r="BC354" t="str">
        <f t="shared" si="149"/>
        <v>AVOID</v>
      </c>
      <c r="BD354">
        <f>IF(H354=1,Table8[[#This Row],[Model Score]],-10000)</f>
        <v>0</v>
      </c>
      <c r="BE354">
        <f>IFERROR(INDEX(Player_Model!$BF$2:$BF$596,MATCH($A354,Player_Model!$A$2:$A$596,0)),"")</f>
        <v>253</v>
      </c>
      <c r="BF354">
        <f>IFERROR(INDEX(Player_Model!$BG$2:$BG$596,MATCH($A354,Player_Model!$A$2:$A$596,0)),"")</f>
        <v>104</v>
      </c>
      <c r="BG354">
        <f>IFERROR(INDEX(Player_Model!$BE$2:$BE$596,MATCH($A354,Player_Model!$A$2:$A$596,0)),0)</f>
        <v>0</v>
      </c>
    </row>
    <row r="355" spans="1:59" x14ac:dyDescent="0.25">
      <c r="A355" t="str">
        <f>tblPlayers[first_name]&amp;" "&amp;tblPlayers[second_name]</f>
        <v>Sorba Thomas</v>
      </c>
      <c r="B355" t="str">
        <f>_xlfn.SWITCH(tblPlayers[element_type],1,"GK",2,"DEF",3,"MID",4,"FWD")</f>
        <v>MID</v>
      </c>
      <c r="C355">
        <f>tblPlayers[team]</f>
        <v>11</v>
      </c>
      <c r="D355" t="str">
        <f>INDEX(tblTeams[Column1.short_name],MATCH(C355,tblTeams[Column1.id],0))</f>
        <v>HUL</v>
      </c>
      <c r="E355" s="4">
        <f>INDEX(FPL_Raw_Data!$F:$F,MATCH(A355,FPL_Raw_Data!$AA:$AA,0))/10</f>
        <v>5.5</v>
      </c>
      <c r="F355" s="4" t="str">
        <f>tblPlayers[[#This Row],[status]]</f>
        <v>a</v>
      </c>
      <c r="G355" s="4" t="b">
        <f>tblPlayers[[#This Row],[can_select]]</f>
        <v>1</v>
      </c>
      <c r="H355">
        <f>IF(AND(Table8[[#This Row],[Availability Status]]="a",Table8[[#This Row],[Can Select]]=TRUE),1,0)</f>
        <v>1</v>
      </c>
      <c r="I355">
        <f>tblPlayers[minutes]</f>
        <v>27</v>
      </c>
      <c r="J355" s="2">
        <f>Table8[[#This Row],[Minutes]]/90</f>
        <v>0.3</v>
      </c>
      <c r="K355" s="5">
        <f>IFERROR(Z355/(FIXTURE_ANALYSIS!$B$1-1),0)</f>
        <v>0</v>
      </c>
      <c r="L355">
        <f>tblPlayers[total_points]</f>
        <v>1</v>
      </c>
      <c r="M355">
        <f>tblPlayers[points_per_game]</f>
        <v>1</v>
      </c>
      <c r="N355">
        <f>tblPlayers[form]</f>
        <v>1</v>
      </c>
      <c r="O355">
        <f>tblPlayers[expected_goals]</f>
        <v>0</v>
      </c>
      <c r="P355">
        <f>tblPlayers[expected_assists]</f>
        <v>0.04</v>
      </c>
      <c r="Q355">
        <f>tblPlayers[expected_goal_involvements]</f>
        <v>0.04</v>
      </c>
      <c r="R355" s="2">
        <f t="shared" si="125"/>
        <v>3.333333333333333</v>
      </c>
      <c r="S355" s="5">
        <f t="shared" si="126"/>
        <v>0</v>
      </c>
      <c r="T355" s="5">
        <f t="shared" si="127"/>
        <v>0.13333333333333333</v>
      </c>
      <c r="U355" s="5">
        <f t="shared" si="128"/>
        <v>0.13333333333333333</v>
      </c>
      <c r="V355" s="3">
        <f t="shared" si="129"/>
        <v>0.18181818181818182</v>
      </c>
      <c r="W355" s="5">
        <f t="shared" si="130"/>
        <v>7.2727272727272727E-3</v>
      </c>
      <c r="X355" s="5">
        <f>IFERROR(IF(OR($B355="MID",$B355="FWD"),INDEX(FIXTURE_ANALYSIS!$Q:$Q,MATCH($D355,FIXTURE_ANALYSIS!$A:$A,0)),INDEX(FIXTURE_ANALYSIS!$R:$R,MATCH($D355,FIXTURE_ANALYSIS!$A:$A,0))),1)</f>
        <v>0.95496539792387547</v>
      </c>
      <c r="Y355" s="5">
        <f t="shared" si="131"/>
        <v>0.95496539792387547</v>
      </c>
      <c r="Z355" s="8">
        <f>INDEX(FPL_Raw_Data!$T:$T,MATCH(A355,FPL_Raw_Data!$AA:$AA,0))</f>
        <v>0</v>
      </c>
      <c r="AA355" s="8">
        <f>INDEX(FPL_Raw_Data!$S:$S,MATCH(A355,FPL_Raw_Data!$AA:$AA,0))</f>
        <v>1</v>
      </c>
      <c r="AB355" s="2">
        <f t="shared" si="132"/>
        <v>8.3333333333333329E-2</v>
      </c>
      <c r="AC355" s="2">
        <f>INDEX(FPL_Raw_Data!$Q:$Q,MATCH(A355,FPL_Raw_Data!$AA:$AA,0))</f>
        <v>0</v>
      </c>
      <c r="AD355" s="8">
        <f>INDEX(FPL_Raw_Data!$R:$R,MATCH(A355,FPL_Raw_Data!$AA:$AA,0))</f>
        <v>5</v>
      </c>
      <c r="AE355" s="8">
        <f>INDEX(FPL_Raw_Data!$N:$N,MATCH(A355,FPL_Raw_Data!$AA:$AA,0))</f>
        <v>0</v>
      </c>
      <c r="AF355" s="8">
        <f>INDEX(FPL_Raw_Data!$L:$L,MATCH(A355,FPL_Raw_Data!$AA:$AA,0))</f>
        <v>0</v>
      </c>
      <c r="AG355" s="2">
        <f>INDEX(FPL_Raw_Data!$M:$M,MATCH(A355,FPL_Raw_Data!$AA:$AA,0))</f>
        <v>0</v>
      </c>
      <c r="AH355" s="2">
        <f t="shared" si="133"/>
        <v>0</v>
      </c>
      <c r="AI355" s="2">
        <f t="shared" si="134"/>
        <v>0.4</v>
      </c>
      <c r="AJ355" s="2">
        <f t="shared" si="135"/>
        <v>0</v>
      </c>
      <c r="AK355" s="2">
        <f t="shared" si="136"/>
        <v>0.16666666666666666</v>
      </c>
      <c r="AL355" s="2">
        <f t="shared" si="137"/>
        <v>0</v>
      </c>
      <c r="AM355" s="2">
        <f t="shared" si="138"/>
        <v>0</v>
      </c>
      <c r="AN355" s="2">
        <f t="shared" si="139"/>
        <v>0</v>
      </c>
      <c r="AO355" s="3">
        <f t="shared" si="140"/>
        <v>62.2</v>
      </c>
      <c r="AP355">
        <f t="shared" si="141"/>
        <v>70.8</v>
      </c>
      <c r="AQ355">
        <f t="shared" si="142"/>
        <v>42.699999999999996</v>
      </c>
      <c r="AR355">
        <f t="shared" si="143"/>
        <v>58.199999999999996</v>
      </c>
      <c r="AS355" s="2">
        <f t="shared" si="144"/>
        <v>0</v>
      </c>
      <c r="AT355" s="2">
        <f>IFERROR(INDEX(Player_Model!$BC$2:$BC$596,MATCH($A355,Player_Model!$A$2:$A$596,0)),0)</f>
        <v>0</v>
      </c>
      <c r="AU355" s="2">
        <f>Table8[[#This Row],[Model Expected Points]]*Table8[[#This Row],[Fixture Adjustment]]</f>
        <v>0</v>
      </c>
      <c r="AV355" s="2">
        <f>Table8[[#This Row],[Fixture Adjusted Points / 90]]/Table8[[#This Row],[Price]]</f>
        <v>0</v>
      </c>
      <c r="AW355">
        <f t="shared" si="145"/>
        <v>66.5</v>
      </c>
      <c r="AX355">
        <f t="shared" si="146"/>
        <v>8.3333333333333329E-2</v>
      </c>
      <c r="AY355" s="2">
        <f t="shared" si="147"/>
        <v>0</v>
      </c>
      <c r="AZ355" s="5">
        <f t="shared" si="148"/>
        <v>0.95496539792387547</v>
      </c>
      <c r="BA355">
        <f>Table8[[#This Row],[Model Score2]]</f>
        <v>0</v>
      </c>
      <c r="BB355">
        <f>IFERROR(INDEX(Player_Model!$BG$2:$BG$596,MATCH($A355,Player_Model!$A$2:$A$596,0)),"")</f>
        <v>204</v>
      </c>
      <c r="BC355" t="str">
        <f t="shared" si="149"/>
        <v>AVOID</v>
      </c>
      <c r="BD355">
        <f>IF(H355=1,Table8[[#This Row],[Model Score]],-10000)</f>
        <v>0</v>
      </c>
      <c r="BE355">
        <f>IFERROR(INDEX(Player_Model!$BF$2:$BF$596,MATCH($A355,Player_Model!$A$2:$A$596,0)),"")</f>
        <v>253</v>
      </c>
      <c r="BF355">
        <f>IFERROR(INDEX(Player_Model!$BG$2:$BG$596,MATCH($A355,Player_Model!$A$2:$A$596,0)),"")</f>
        <v>204</v>
      </c>
      <c r="BG355">
        <f>IFERROR(INDEX(Player_Model!$BE$2:$BE$596,MATCH($A355,Player_Model!$A$2:$A$596,0)),0)</f>
        <v>0</v>
      </c>
    </row>
    <row r="356" spans="1:59" x14ac:dyDescent="0.25">
      <c r="A356" t="str">
        <f>tblPlayers[first_name]&amp;" "&amp;tblPlayers[second_name]</f>
        <v>Christos Mouzakitis</v>
      </c>
      <c r="B356" t="str">
        <f>_xlfn.SWITCH(tblPlayers[element_type],1,"GK",2,"DEF",3,"MID",4,"FWD")</f>
        <v>MID</v>
      </c>
      <c r="C356">
        <f>tblPlayers[team]</f>
        <v>11</v>
      </c>
      <c r="D356" t="str">
        <f>INDEX(tblTeams[Column1.short_name],MATCH(C356,tblTeams[Column1.id],0))</f>
        <v>HUL</v>
      </c>
      <c r="E356" s="4">
        <f>INDEX(FPL_Raw_Data!$F:$F,MATCH(A356,FPL_Raw_Data!$AA:$AA,0))/10</f>
        <v>5</v>
      </c>
      <c r="F356" s="4" t="str">
        <f>tblPlayers[[#This Row],[status]]</f>
        <v>a</v>
      </c>
      <c r="G356" s="4" t="b">
        <f>tblPlayers[[#This Row],[can_select]]</f>
        <v>1</v>
      </c>
      <c r="H356">
        <f>IF(AND(Table8[[#This Row],[Availability Status]]="a",Table8[[#This Row],[Can Select]]=TRUE),1,0)</f>
        <v>1</v>
      </c>
      <c r="I356">
        <f>tblPlayers[minutes]</f>
        <v>0</v>
      </c>
      <c r="J356" s="2">
        <f>Table8[[#This Row],[Minutes]]/90</f>
        <v>0</v>
      </c>
      <c r="K356" s="5">
        <f>IFERROR(Z356/(FIXTURE_ANALYSIS!$B$1-1),0)</f>
        <v>0</v>
      </c>
      <c r="L356">
        <f>tblPlayers[total_points]</f>
        <v>0</v>
      </c>
      <c r="M356">
        <f>tblPlayers[points_per_game]</f>
        <v>0</v>
      </c>
      <c r="N356">
        <f>tblPlayers[form]</f>
        <v>0</v>
      </c>
      <c r="O356">
        <f>tblPlayers[expected_goals]</f>
        <v>0</v>
      </c>
      <c r="P356">
        <f>tblPlayers[expected_assists]</f>
        <v>0</v>
      </c>
      <c r="Q356">
        <f>tblPlayers[expected_goal_involvements]</f>
        <v>0</v>
      </c>
      <c r="R356" s="2">
        <f t="shared" si="125"/>
        <v>0</v>
      </c>
      <c r="S356" s="5">
        <f t="shared" si="126"/>
        <v>0</v>
      </c>
      <c r="T356" s="5">
        <f t="shared" si="127"/>
        <v>0</v>
      </c>
      <c r="U356" s="5">
        <f t="shared" si="128"/>
        <v>0</v>
      </c>
      <c r="V356" s="3">
        <f t="shared" si="129"/>
        <v>0</v>
      </c>
      <c r="W356" s="5">
        <f t="shared" si="130"/>
        <v>0</v>
      </c>
      <c r="X356" s="5">
        <f>IFERROR(IF(OR($B356="MID",$B356="FWD"),INDEX(FIXTURE_ANALYSIS!$Q:$Q,MATCH($D356,FIXTURE_ANALYSIS!$A:$A,0)),INDEX(FIXTURE_ANALYSIS!$R:$R,MATCH($D356,FIXTURE_ANALYSIS!$A:$A,0))),1)</f>
        <v>0.95496539792387547</v>
      </c>
      <c r="Y356" s="5">
        <f t="shared" si="131"/>
        <v>0.95496539792387547</v>
      </c>
      <c r="Z356" s="8">
        <f>INDEX(FPL_Raw_Data!$T:$T,MATCH(A356,FPL_Raw_Data!$AA:$AA,0))</f>
        <v>0</v>
      </c>
      <c r="AA356" s="8">
        <f>INDEX(FPL_Raw_Data!$S:$S,MATCH(A356,FPL_Raw_Data!$AA:$AA,0))</f>
        <v>0</v>
      </c>
      <c r="AB356" s="2">
        <f t="shared" si="132"/>
        <v>0</v>
      </c>
      <c r="AC356" s="2">
        <f>INDEX(FPL_Raw_Data!$Q:$Q,MATCH(A356,FPL_Raw_Data!$AA:$AA,0))</f>
        <v>0</v>
      </c>
      <c r="AD356" s="8">
        <f>INDEX(FPL_Raw_Data!$R:$R,MATCH(A356,FPL_Raw_Data!$AA:$AA,0))</f>
        <v>0</v>
      </c>
      <c r="AE356" s="8">
        <f>INDEX(FPL_Raw_Data!$N:$N,MATCH(A356,FPL_Raw_Data!$AA:$AA,0))</f>
        <v>0</v>
      </c>
      <c r="AF356" s="8">
        <f>INDEX(FPL_Raw_Data!$L:$L,MATCH(A356,FPL_Raw_Data!$AA:$AA,0))</f>
        <v>0</v>
      </c>
      <c r="AG356" s="2">
        <f>INDEX(FPL_Raw_Data!$M:$M,MATCH(A356,FPL_Raw_Data!$AA:$AA,0))</f>
        <v>0</v>
      </c>
      <c r="AH356" s="2">
        <f t="shared" si="133"/>
        <v>0</v>
      </c>
      <c r="AI356" s="2">
        <f t="shared" si="134"/>
        <v>0</v>
      </c>
      <c r="AJ356" s="2">
        <f t="shared" si="135"/>
        <v>0</v>
      </c>
      <c r="AK356" s="2">
        <f t="shared" si="136"/>
        <v>0</v>
      </c>
      <c r="AL356" s="2">
        <f t="shared" si="137"/>
        <v>0</v>
      </c>
      <c r="AM356" s="2">
        <f t="shared" si="138"/>
        <v>0</v>
      </c>
      <c r="AN356" s="2">
        <f t="shared" si="139"/>
        <v>0</v>
      </c>
      <c r="AO356" s="3">
        <f t="shared" si="140"/>
        <v>0.1</v>
      </c>
      <c r="AP356">
        <f t="shared" si="141"/>
        <v>0</v>
      </c>
      <c r="AQ356">
        <f t="shared" si="142"/>
        <v>0.1</v>
      </c>
      <c r="AR356">
        <f t="shared" si="143"/>
        <v>0</v>
      </c>
      <c r="AS356" s="2">
        <f t="shared" si="144"/>
        <v>0</v>
      </c>
      <c r="AT356" s="2">
        <f>IFERROR(INDEX(Player_Model!$BC$2:$BC$596,MATCH($A356,Player_Model!$A$2:$A$596,0)),0)</f>
        <v>0</v>
      </c>
      <c r="AU356" s="2">
        <f>Table8[[#This Row],[Model Expected Points]]*Table8[[#This Row],[Fixture Adjustment]]</f>
        <v>0</v>
      </c>
      <c r="AV356" s="2">
        <f>Table8[[#This Row],[Fixture Adjusted Points / 90]]/Table8[[#This Row],[Price]]</f>
        <v>0</v>
      </c>
      <c r="AW356">
        <f t="shared" si="145"/>
        <v>0.05</v>
      </c>
      <c r="AX356">
        <f t="shared" si="146"/>
        <v>0</v>
      </c>
      <c r="AY356" s="2">
        <f t="shared" si="147"/>
        <v>0</v>
      </c>
      <c r="AZ356" s="5">
        <f t="shared" si="148"/>
        <v>0.95496539792387547</v>
      </c>
      <c r="BA356">
        <f>Table8[[#This Row],[Model Score2]]</f>
        <v>0</v>
      </c>
      <c r="BB356">
        <f>IFERROR(INDEX(Player_Model!$BG$2:$BG$596,MATCH($A356,Player_Model!$A$2:$A$596,0)),"")</f>
        <v>205</v>
      </c>
      <c r="BC356" t="str">
        <f t="shared" si="149"/>
        <v>AVOID</v>
      </c>
      <c r="BD356">
        <f>IF(H356=1,Table8[[#This Row],[Model Score]],-10000)</f>
        <v>0</v>
      </c>
      <c r="BE356">
        <f>IFERROR(INDEX(Player_Model!$BF$2:$BF$596,MATCH($A356,Player_Model!$A$2:$A$596,0)),"")</f>
        <v>253</v>
      </c>
      <c r="BF356">
        <f>IFERROR(INDEX(Player_Model!$BG$2:$BG$596,MATCH($A356,Player_Model!$A$2:$A$596,0)),"")</f>
        <v>205</v>
      </c>
      <c r="BG356">
        <f>IFERROR(INDEX(Player_Model!$BE$2:$BE$596,MATCH($A356,Player_Model!$A$2:$A$596,0)),0)</f>
        <v>0</v>
      </c>
    </row>
    <row r="357" spans="1:59" x14ac:dyDescent="0.25">
      <c r="A357" t="str">
        <f>tblPlayers[first_name]&amp;" "&amp;tblPlayers[second_name]</f>
        <v>Issa Diop</v>
      </c>
      <c r="B357" t="str">
        <f>_xlfn.SWITCH(tblPlayers[element_type],1,"GK",2,"DEF",3,"MID",4,"FWD")</f>
        <v>DEF</v>
      </c>
      <c r="C357">
        <f>tblPlayers[team]</f>
        <v>12</v>
      </c>
      <c r="D357" t="str">
        <f>INDEX(tblTeams[Column1.short_name],MATCH(C357,tblTeams[Column1.id],0))</f>
        <v>IPS</v>
      </c>
      <c r="E357" s="4">
        <f>INDEX(FPL_Raw_Data!$F:$F,MATCH(A357,FPL_Raw_Data!$AA:$AA,0))/10</f>
        <v>4</v>
      </c>
      <c r="F357" s="4" t="str">
        <f>tblPlayers[[#This Row],[status]]</f>
        <v>a</v>
      </c>
      <c r="G357" s="4" t="b">
        <f>tblPlayers[[#This Row],[can_select]]</f>
        <v>1</v>
      </c>
      <c r="H357">
        <f>IF(AND(Table8[[#This Row],[Availability Status]]="a",Table8[[#This Row],[Can Select]]=TRUE),1,0)</f>
        <v>1</v>
      </c>
      <c r="I357">
        <f>tblPlayers[minutes]</f>
        <v>270</v>
      </c>
      <c r="J357" s="2">
        <f>Table8[[#This Row],[Minutes]]/90</f>
        <v>3</v>
      </c>
      <c r="K357" s="5">
        <f>IFERROR(Z357/(FIXTURE_ANALYSIS!$B$1-1),0)</f>
        <v>1</v>
      </c>
      <c r="L357">
        <f>tblPlayers[total_points]</f>
        <v>7</v>
      </c>
      <c r="M357">
        <f>tblPlayers[points_per_game]</f>
        <v>2.2999999999999998</v>
      </c>
      <c r="N357">
        <f>tblPlayers[form]</f>
        <v>2.2999999999999998</v>
      </c>
      <c r="O357">
        <f>tblPlayers[expected_goals]</f>
        <v>0</v>
      </c>
      <c r="P357">
        <f>tblPlayers[expected_assists]</f>
        <v>0.02</v>
      </c>
      <c r="Q357">
        <f>tblPlayers[expected_goal_involvements]</f>
        <v>0.02</v>
      </c>
      <c r="R357" s="2">
        <f t="shared" si="125"/>
        <v>2.3333333333333335</v>
      </c>
      <c r="S357" s="5">
        <f t="shared" si="126"/>
        <v>0</v>
      </c>
      <c r="T357" s="5">
        <f t="shared" si="127"/>
        <v>6.6666666666666662E-3</v>
      </c>
      <c r="U357" s="5">
        <f t="shared" si="128"/>
        <v>6.6666666666666662E-3</v>
      </c>
      <c r="V357" s="3">
        <f t="shared" si="129"/>
        <v>1.75</v>
      </c>
      <c r="W357" s="5">
        <f t="shared" si="130"/>
        <v>5.0000000000000001E-3</v>
      </c>
      <c r="X357" s="5">
        <f>IFERROR(IF(OR($B357="MID",$B357="FWD"),INDEX(FIXTURE_ANALYSIS!$Q:$Q,MATCH($D357,FIXTURE_ANALYSIS!$A:$A,0)),INDEX(FIXTURE_ANALYSIS!$R:$R,MATCH($D357,FIXTURE_ANALYSIS!$A:$A,0))),1)</f>
        <v>0.81436734693877555</v>
      </c>
      <c r="Y357" s="5">
        <f t="shared" si="131"/>
        <v>0.81436734693877555</v>
      </c>
      <c r="Z357" s="8">
        <f>INDEX(FPL_Raw_Data!$T:$T,MATCH(A357,FPL_Raw_Data!$AA:$AA,0))</f>
        <v>3</v>
      </c>
      <c r="AA357" s="8">
        <f>INDEX(FPL_Raw_Data!$S:$S,MATCH(A357,FPL_Raw_Data!$AA:$AA,0))</f>
        <v>28</v>
      </c>
      <c r="AB357" s="2">
        <f t="shared" si="132"/>
        <v>1</v>
      </c>
      <c r="AC357" s="2">
        <f>INDEX(FPL_Raw_Data!$Q:$Q,MATCH(A357,FPL_Raw_Data!$AA:$AA,0))</f>
        <v>0</v>
      </c>
      <c r="AD357" s="8">
        <f>INDEX(FPL_Raw_Data!$R:$R,MATCH(A357,FPL_Raw_Data!$AA:$AA,0))</f>
        <v>24</v>
      </c>
      <c r="AE357" s="8">
        <f>INDEX(FPL_Raw_Data!$N:$N,MATCH(A357,FPL_Raw_Data!$AA:$AA,0))</f>
        <v>0</v>
      </c>
      <c r="AF357" s="8">
        <f>INDEX(FPL_Raw_Data!$L:$L,MATCH(A357,FPL_Raw_Data!$AA:$AA,0))</f>
        <v>0</v>
      </c>
      <c r="AG357" s="2">
        <f>INDEX(FPL_Raw_Data!$M:$M,MATCH(A357,FPL_Raw_Data!$AA:$AA,0))</f>
        <v>0</v>
      </c>
      <c r="AH357" s="2">
        <f t="shared" si="133"/>
        <v>0</v>
      </c>
      <c r="AI357" s="2">
        <f t="shared" si="134"/>
        <v>1.9999999999999997E-2</v>
      </c>
      <c r="AJ357" s="2">
        <f t="shared" si="135"/>
        <v>2</v>
      </c>
      <c r="AK357" s="2">
        <f t="shared" si="136"/>
        <v>2</v>
      </c>
      <c r="AL357" s="2">
        <f t="shared" si="137"/>
        <v>0</v>
      </c>
      <c r="AM357" s="2">
        <f t="shared" si="138"/>
        <v>0</v>
      </c>
      <c r="AN357" s="2">
        <f t="shared" si="139"/>
        <v>0</v>
      </c>
      <c r="AO357" s="3">
        <f t="shared" si="140"/>
        <v>50</v>
      </c>
      <c r="AP357">
        <f t="shared" si="141"/>
        <v>52.5</v>
      </c>
      <c r="AQ357">
        <f t="shared" si="142"/>
        <v>82.8</v>
      </c>
      <c r="AR357">
        <f t="shared" si="143"/>
        <v>56.000000000000007</v>
      </c>
      <c r="AS357" s="2">
        <f t="shared" si="144"/>
        <v>100</v>
      </c>
      <c r="AT357" s="2">
        <f>IFERROR(INDEX(Player_Model!$BC$2:$BC$596,MATCH($A357,Player_Model!$A$2:$A$596,0)),0)</f>
        <v>2.1083572808931468</v>
      </c>
      <c r="AU357" s="2">
        <f>Table8[[#This Row],[Model Expected Points]]*Table8[[#This Row],[Fixture Adjustment]]</f>
        <v>1.7169773252400027</v>
      </c>
      <c r="AV357" s="2">
        <f>Table8[[#This Row],[Fixture Adjusted Points / 90]]/Table8[[#This Row],[Price]]</f>
        <v>0.42924433131000067</v>
      </c>
      <c r="AW357">
        <f t="shared" si="145"/>
        <v>52.5</v>
      </c>
      <c r="AX357">
        <f t="shared" si="146"/>
        <v>0.90718367346938777</v>
      </c>
      <c r="AY357" s="2">
        <f t="shared" si="147"/>
        <v>100</v>
      </c>
      <c r="AZ357" s="5">
        <f t="shared" si="148"/>
        <v>0.81436734693877555</v>
      </c>
      <c r="BA357">
        <f>Table8[[#This Row],[Model Score2]]</f>
        <v>2.1083572808931468</v>
      </c>
      <c r="BB357">
        <f>IFERROR(INDEX(Player_Model!$BG$2:$BG$596,MATCH($A357,Player_Model!$A$2:$A$596,0)),"")</f>
        <v>85</v>
      </c>
      <c r="BC357" t="str">
        <f t="shared" si="149"/>
        <v>AVOID</v>
      </c>
      <c r="BD357">
        <f>IF(H357=1,Table8[[#This Row],[Model Score]],-10000)</f>
        <v>2.1083572808931468</v>
      </c>
      <c r="BE357">
        <f>IFERROR(INDEX(Player_Model!$BF$2:$BF$596,MATCH($A357,Player_Model!$A$2:$A$596,0)),"")</f>
        <v>240</v>
      </c>
      <c r="BF357">
        <f>IFERROR(INDEX(Player_Model!$BG$2:$BG$596,MATCH($A357,Player_Model!$A$2:$A$596,0)),"")</f>
        <v>85</v>
      </c>
      <c r="BG357">
        <f>IFERROR(INDEX(Player_Model!$BE$2:$BE$596,MATCH($A357,Player_Model!$A$2:$A$596,0)),0)</f>
        <v>2.1083572808931468</v>
      </c>
    </row>
    <row r="358" spans="1:59" x14ac:dyDescent="0.25">
      <c r="A358" t="str">
        <f>tblPlayers[first_name]&amp;" "&amp;tblPlayers[second_name]</f>
        <v>Saša Lukić</v>
      </c>
      <c r="B358" t="str">
        <f>_xlfn.SWITCH(tblPlayers[element_type],1,"GK",2,"DEF",3,"MID",4,"FWD")</f>
        <v>MID</v>
      </c>
      <c r="C358">
        <f>tblPlayers[team]</f>
        <v>12</v>
      </c>
      <c r="D358" t="str">
        <f>INDEX(tblTeams[Column1.short_name],MATCH(C358,tblTeams[Column1.id],0))</f>
        <v>IPS</v>
      </c>
      <c r="E358" s="4">
        <f>INDEX(FPL_Raw_Data!$F:$F,MATCH(A358,FPL_Raw_Data!$AA:$AA,0))/10</f>
        <v>5</v>
      </c>
      <c r="F358" s="4" t="str">
        <f>tblPlayers[[#This Row],[status]]</f>
        <v>a</v>
      </c>
      <c r="G358" s="4" t="b">
        <f>tblPlayers[[#This Row],[can_select]]</f>
        <v>1</v>
      </c>
      <c r="H358">
        <f>IF(AND(Table8[[#This Row],[Availability Status]]="a",Table8[[#This Row],[Can Select]]=TRUE),1,0)</f>
        <v>1</v>
      </c>
      <c r="I358">
        <f>tblPlayers[minutes]</f>
        <v>252</v>
      </c>
      <c r="J358" s="2">
        <f>Table8[[#This Row],[Minutes]]/90</f>
        <v>2.8</v>
      </c>
      <c r="K358" s="5">
        <f>IFERROR(Z358/(FIXTURE_ANALYSIS!$B$1-1),0)</f>
        <v>1</v>
      </c>
      <c r="L358">
        <f>tblPlayers[total_points]</f>
        <v>8</v>
      </c>
      <c r="M358">
        <f>tblPlayers[points_per_game]</f>
        <v>2.7</v>
      </c>
      <c r="N358">
        <f>tblPlayers[form]</f>
        <v>2.7</v>
      </c>
      <c r="O358">
        <f>tblPlayers[expected_goals]</f>
        <v>0.02</v>
      </c>
      <c r="P358">
        <f>tblPlayers[expected_assists]</f>
        <v>0.06</v>
      </c>
      <c r="Q358">
        <f>tblPlayers[expected_goal_involvements]</f>
        <v>0.08</v>
      </c>
      <c r="R358" s="2">
        <f t="shared" si="125"/>
        <v>2.8571428571428568</v>
      </c>
      <c r="S358" s="5">
        <f t="shared" si="126"/>
        <v>7.1428571428571426E-3</v>
      </c>
      <c r="T358" s="5">
        <f t="shared" si="127"/>
        <v>2.1428571428571429E-2</v>
      </c>
      <c r="U358" s="5">
        <f t="shared" si="128"/>
        <v>2.8571428571428571E-2</v>
      </c>
      <c r="V358" s="3">
        <f t="shared" si="129"/>
        <v>1.6</v>
      </c>
      <c r="W358" s="5">
        <f t="shared" si="130"/>
        <v>1.6E-2</v>
      </c>
      <c r="X358" s="5">
        <f>IFERROR(IF(OR($B358="MID",$B358="FWD"),INDEX(FIXTURE_ANALYSIS!$Q:$Q,MATCH($D358,FIXTURE_ANALYSIS!$A:$A,0)),INDEX(FIXTURE_ANALYSIS!$R:$R,MATCH($D358,FIXTURE_ANALYSIS!$A:$A,0))),1)</f>
        <v>1.0097491349480967</v>
      </c>
      <c r="Y358" s="5">
        <f t="shared" si="131"/>
        <v>1.0097491349480967</v>
      </c>
      <c r="Z358" s="8">
        <f>INDEX(FPL_Raw_Data!$T:$T,MATCH(A358,FPL_Raw_Data!$AA:$AA,0))</f>
        <v>3</v>
      </c>
      <c r="AA358" s="8">
        <f>INDEX(FPL_Raw_Data!$S:$S,MATCH(A358,FPL_Raw_Data!$AA:$AA,0))</f>
        <v>21</v>
      </c>
      <c r="AB358" s="2">
        <f t="shared" si="132"/>
        <v>1</v>
      </c>
      <c r="AC358" s="2">
        <f>INDEX(FPL_Raw_Data!$Q:$Q,MATCH(A358,FPL_Raw_Data!$AA:$AA,0))</f>
        <v>0</v>
      </c>
      <c r="AD358" s="8">
        <f>INDEX(FPL_Raw_Data!$R:$R,MATCH(A358,FPL_Raw_Data!$AA:$AA,0))</f>
        <v>46</v>
      </c>
      <c r="AE358" s="8">
        <f>INDEX(FPL_Raw_Data!$N:$N,MATCH(A358,FPL_Raw_Data!$AA:$AA,0))</f>
        <v>0</v>
      </c>
      <c r="AF358" s="8">
        <f>INDEX(FPL_Raw_Data!$L:$L,MATCH(A358,FPL_Raw_Data!$AA:$AA,0))</f>
        <v>0</v>
      </c>
      <c r="AG358" s="2">
        <f>INDEX(FPL_Raw_Data!$M:$M,MATCH(A358,FPL_Raw_Data!$AA:$AA,0))</f>
        <v>1</v>
      </c>
      <c r="AH358" s="2">
        <f t="shared" si="133"/>
        <v>3.5714285714285712E-2</v>
      </c>
      <c r="AI358" s="2">
        <f t="shared" si="134"/>
        <v>6.4285714285714279E-2</v>
      </c>
      <c r="AJ358" s="2">
        <f t="shared" si="135"/>
        <v>2</v>
      </c>
      <c r="AK358" s="2">
        <f t="shared" si="136"/>
        <v>2</v>
      </c>
      <c r="AL358" s="2">
        <f t="shared" si="137"/>
        <v>0</v>
      </c>
      <c r="AM358" s="2">
        <f t="shared" si="138"/>
        <v>0</v>
      </c>
      <c r="AN358" s="2">
        <f t="shared" si="139"/>
        <v>0</v>
      </c>
      <c r="AO358" s="3">
        <f t="shared" si="140"/>
        <v>56.999999999999993</v>
      </c>
      <c r="AP358">
        <f t="shared" si="141"/>
        <v>56.999999999999993</v>
      </c>
      <c r="AQ358">
        <f t="shared" si="142"/>
        <v>81.100000000000009</v>
      </c>
      <c r="AR358">
        <f t="shared" si="143"/>
        <v>63.800000000000004</v>
      </c>
      <c r="AS358" s="2">
        <f t="shared" si="144"/>
        <v>100</v>
      </c>
      <c r="AT358" s="2">
        <f>IFERROR(INDEX(Player_Model!$BC$2:$BC$596,MATCH($A358,Player_Model!$A$2:$A$596,0)),0)</f>
        <v>3.4790898142273221</v>
      </c>
      <c r="AU358" s="2">
        <f>Table8[[#This Row],[Model Expected Points]]*Table8[[#This Row],[Fixture Adjustment]]</f>
        <v>3.513007930322773</v>
      </c>
      <c r="AV358" s="2">
        <f>Table8[[#This Row],[Fixture Adjusted Points / 90]]/Table8[[#This Row],[Price]]</f>
        <v>0.70260158606455458</v>
      </c>
      <c r="AW358">
        <f t="shared" si="145"/>
        <v>56.999999999999993</v>
      </c>
      <c r="AX358">
        <f t="shared" si="146"/>
        <v>1</v>
      </c>
      <c r="AY358" s="2">
        <f t="shared" si="147"/>
        <v>100</v>
      </c>
      <c r="AZ358" s="5">
        <f t="shared" si="148"/>
        <v>1.0097491349480967</v>
      </c>
      <c r="BA358">
        <f>Table8[[#This Row],[Model Score2]]</f>
        <v>3.4790898142273221</v>
      </c>
      <c r="BB358">
        <f>IFERROR(INDEX(Player_Model!$BG$2:$BG$596,MATCH($A358,Player_Model!$A$2:$A$596,0)),"")</f>
        <v>91</v>
      </c>
      <c r="BC358" t="str">
        <f t="shared" si="149"/>
        <v>AVOID</v>
      </c>
      <c r="BD358">
        <f>IF(H358=1,Table8[[#This Row],[Model Score]],-10000)</f>
        <v>3.4790898142273221</v>
      </c>
      <c r="BE358">
        <f>IFERROR(INDEX(Player_Model!$BF$2:$BF$596,MATCH($A358,Player_Model!$A$2:$A$596,0)),"")</f>
        <v>177</v>
      </c>
      <c r="BF358">
        <f>IFERROR(INDEX(Player_Model!$BG$2:$BG$596,MATCH($A358,Player_Model!$A$2:$A$596,0)),"")</f>
        <v>91</v>
      </c>
      <c r="BG358">
        <f>IFERROR(INDEX(Player_Model!$BE$2:$BE$596,MATCH($A358,Player_Model!$A$2:$A$596,0)),0)</f>
        <v>3.4790898142273221</v>
      </c>
    </row>
    <row r="359" spans="1:59" x14ac:dyDescent="0.25">
      <c r="A359" t="str">
        <f>tblPlayers[first_name]&amp;" "&amp;tblPlayers[second_name]</f>
        <v>Christian Walton</v>
      </c>
      <c r="B359" t="str">
        <f>_xlfn.SWITCH(tblPlayers[element_type],1,"GK",2,"DEF",3,"MID",4,"FWD")</f>
        <v>GK</v>
      </c>
      <c r="C359">
        <f>tblPlayers[team]</f>
        <v>12</v>
      </c>
      <c r="D359" t="str">
        <f>INDEX(tblTeams[Column1.short_name],MATCH(C359,tblTeams[Column1.id],0))</f>
        <v>IPS</v>
      </c>
      <c r="E359" s="4">
        <f>INDEX(FPL_Raw_Data!$F:$F,MATCH(A359,FPL_Raw_Data!$AA:$AA,0))/10</f>
        <v>4.5</v>
      </c>
      <c r="F359" s="4" t="str">
        <f>tblPlayers[[#This Row],[status]]</f>
        <v>a</v>
      </c>
      <c r="G359" s="4" t="b">
        <f>tblPlayers[[#This Row],[can_select]]</f>
        <v>1</v>
      </c>
      <c r="H359">
        <f>IF(AND(Table8[[#This Row],[Availability Status]]="a",Table8[[#This Row],[Can Select]]=TRUE),1,0)</f>
        <v>1</v>
      </c>
      <c r="I359">
        <f>tblPlayers[minutes]</f>
        <v>0</v>
      </c>
      <c r="J359" s="2">
        <f>Table8[[#This Row],[Minutes]]/90</f>
        <v>0</v>
      </c>
      <c r="K359" s="5">
        <f>IFERROR(Z359/(FIXTURE_ANALYSIS!$B$1-1),0)</f>
        <v>0</v>
      </c>
      <c r="L359">
        <f>tblPlayers[total_points]</f>
        <v>0</v>
      </c>
      <c r="M359">
        <f>tblPlayers[points_per_game]</f>
        <v>0</v>
      </c>
      <c r="N359">
        <f>tblPlayers[form]</f>
        <v>0</v>
      </c>
      <c r="O359">
        <f>tblPlayers[expected_goals]</f>
        <v>0</v>
      </c>
      <c r="P359">
        <f>tblPlayers[expected_assists]</f>
        <v>0</v>
      </c>
      <c r="Q359">
        <f>tblPlayers[expected_goal_involvements]</f>
        <v>0</v>
      </c>
      <c r="R359" s="2">
        <f t="shared" si="125"/>
        <v>0</v>
      </c>
      <c r="S359" s="5">
        <f t="shared" si="126"/>
        <v>0</v>
      </c>
      <c r="T359" s="5">
        <f t="shared" si="127"/>
        <v>0</v>
      </c>
      <c r="U359" s="5">
        <f t="shared" si="128"/>
        <v>0</v>
      </c>
      <c r="V359" s="3">
        <f t="shared" si="129"/>
        <v>0</v>
      </c>
      <c r="W359" s="5">
        <f t="shared" si="130"/>
        <v>0</v>
      </c>
      <c r="X359" s="5">
        <f>IFERROR(IF(OR($B359="MID",$B359="FWD"),INDEX(FIXTURE_ANALYSIS!$Q:$Q,MATCH($D359,FIXTURE_ANALYSIS!$A:$A,0)),INDEX(FIXTURE_ANALYSIS!$R:$R,MATCH($D359,FIXTURE_ANALYSIS!$A:$A,0))),1)</f>
        <v>0.81436734693877555</v>
      </c>
      <c r="Y359" s="5">
        <f t="shared" si="131"/>
        <v>0.81436734693877555</v>
      </c>
      <c r="Z359" s="8">
        <f>INDEX(FPL_Raw_Data!$T:$T,MATCH(A359,FPL_Raw_Data!$AA:$AA,0))</f>
        <v>0</v>
      </c>
      <c r="AA359" s="8">
        <f>INDEX(FPL_Raw_Data!$S:$S,MATCH(A359,FPL_Raw_Data!$AA:$AA,0))</f>
        <v>0</v>
      </c>
      <c r="AB359" s="2">
        <f t="shared" si="132"/>
        <v>0</v>
      </c>
      <c r="AC359" s="2">
        <f>INDEX(FPL_Raw_Data!$Q:$Q,MATCH(A359,FPL_Raw_Data!$AA:$AA,0))</f>
        <v>0</v>
      </c>
      <c r="AD359" s="8">
        <f>INDEX(FPL_Raw_Data!$R:$R,MATCH(A359,FPL_Raw_Data!$AA:$AA,0))</f>
        <v>0</v>
      </c>
      <c r="AE359" s="8">
        <f>INDEX(FPL_Raw_Data!$N:$N,MATCH(A359,FPL_Raw_Data!$AA:$AA,0))</f>
        <v>0</v>
      </c>
      <c r="AF359" s="8">
        <f>INDEX(FPL_Raw_Data!$L:$L,MATCH(A359,FPL_Raw_Data!$AA:$AA,0))</f>
        <v>0</v>
      </c>
      <c r="AG359" s="2">
        <f>INDEX(FPL_Raw_Data!$M:$M,MATCH(A359,FPL_Raw_Data!$AA:$AA,0))</f>
        <v>0</v>
      </c>
      <c r="AH359" s="2">
        <f t="shared" si="133"/>
        <v>0</v>
      </c>
      <c r="AI359" s="2">
        <f t="shared" si="134"/>
        <v>0</v>
      </c>
      <c r="AJ359" s="2">
        <f t="shared" si="135"/>
        <v>0</v>
      </c>
      <c r="AK359" s="2">
        <f t="shared" si="136"/>
        <v>0</v>
      </c>
      <c r="AL359" s="2">
        <f t="shared" si="137"/>
        <v>0</v>
      </c>
      <c r="AM359" s="2">
        <f t="shared" si="138"/>
        <v>0</v>
      </c>
      <c r="AN359" s="2">
        <f t="shared" si="139"/>
        <v>0</v>
      </c>
      <c r="AO359" s="3">
        <f t="shared" si="140"/>
        <v>0.1</v>
      </c>
      <c r="AP359">
        <f t="shared" si="141"/>
        <v>0</v>
      </c>
      <c r="AQ359">
        <f t="shared" si="142"/>
        <v>0.1</v>
      </c>
      <c r="AR359">
        <f t="shared" si="143"/>
        <v>0</v>
      </c>
      <c r="AS359" s="2">
        <f t="shared" si="144"/>
        <v>0</v>
      </c>
      <c r="AT359" s="2">
        <f>IFERROR(INDEX(Player_Model!$BC$2:$BC$596,MATCH($A359,Player_Model!$A$2:$A$596,0)),0)</f>
        <v>0</v>
      </c>
      <c r="AU359" s="2">
        <f>Table8[[#This Row],[Model Expected Points]]*Table8[[#This Row],[Fixture Adjustment]]</f>
        <v>0</v>
      </c>
      <c r="AV359" s="2">
        <f>Table8[[#This Row],[Fixture Adjusted Points / 90]]/Table8[[#This Row],[Price]]</f>
        <v>0</v>
      </c>
      <c r="AW359">
        <f t="shared" si="145"/>
        <v>0</v>
      </c>
      <c r="AX359">
        <f t="shared" si="146"/>
        <v>0.40718367346938777</v>
      </c>
      <c r="AY359" s="2">
        <f t="shared" si="147"/>
        <v>0</v>
      </c>
      <c r="AZ359" s="5">
        <f t="shared" si="148"/>
        <v>0.81436734693877555</v>
      </c>
      <c r="BA359">
        <f>Table8[[#This Row],[Model Score2]]</f>
        <v>0</v>
      </c>
      <c r="BB359">
        <f>IFERROR(INDEX(Player_Model!$BG$2:$BG$596,MATCH($A359,Player_Model!$A$2:$A$596,0)),"")</f>
        <v>44</v>
      </c>
      <c r="BC359" t="str">
        <f t="shared" si="149"/>
        <v>AVOID</v>
      </c>
      <c r="BD359">
        <f>IF(H359=1,Table8[[#This Row],[Model Score]],-10000)</f>
        <v>0</v>
      </c>
      <c r="BE359">
        <f>IFERROR(INDEX(Player_Model!$BF$2:$BF$596,MATCH($A359,Player_Model!$A$2:$A$596,0)),"")</f>
        <v>253</v>
      </c>
      <c r="BF359">
        <f>IFERROR(INDEX(Player_Model!$BG$2:$BG$596,MATCH($A359,Player_Model!$A$2:$A$596,0)),"")</f>
        <v>44</v>
      </c>
      <c r="BG359">
        <f>IFERROR(INDEX(Player_Model!$BE$2:$BE$596,MATCH($A359,Player_Model!$A$2:$A$596,0)),0)</f>
        <v>0</v>
      </c>
    </row>
    <row r="360" spans="1:59" x14ac:dyDescent="0.25">
      <c r="A360" t="str">
        <f>tblPlayers[first_name]&amp;" "&amp;tblPlayers[second_name]</f>
        <v>Alex Palmer</v>
      </c>
      <c r="B360" t="str">
        <f>_xlfn.SWITCH(tblPlayers[element_type],1,"GK",2,"DEF",3,"MID",4,"FWD")</f>
        <v>GK</v>
      </c>
      <c r="C360">
        <f>tblPlayers[team]</f>
        <v>12</v>
      </c>
      <c r="D360" t="str">
        <f>INDEX(tblTeams[Column1.short_name],MATCH(C360,tblTeams[Column1.id],0))</f>
        <v>IPS</v>
      </c>
      <c r="E360" s="4">
        <f>INDEX(FPL_Raw_Data!$F:$F,MATCH(A360,FPL_Raw_Data!$AA:$AA,0))/10</f>
        <v>4</v>
      </c>
      <c r="F360" s="4" t="str">
        <f>tblPlayers[[#This Row],[status]]</f>
        <v>a</v>
      </c>
      <c r="G360" s="4" t="b">
        <f>tblPlayers[[#This Row],[can_select]]</f>
        <v>1</v>
      </c>
      <c r="H360">
        <f>IF(AND(Table8[[#This Row],[Availability Status]]="a",Table8[[#This Row],[Can Select]]=TRUE),1,0)</f>
        <v>1</v>
      </c>
      <c r="I360">
        <f>tblPlayers[minutes]</f>
        <v>0</v>
      </c>
      <c r="J360" s="2">
        <f>Table8[[#This Row],[Minutes]]/90</f>
        <v>0</v>
      </c>
      <c r="K360" s="5">
        <f>IFERROR(Z360/(FIXTURE_ANALYSIS!$B$1-1),0)</f>
        <v>0</v>
      </c>
      <c r="L360">
        <f>tblPlayers[total_points]</f>
        <v>0</v>
      </c>
      <c r="M360">
        <f>tblPlayers[points_per_game]</f>
        <v>0</v>
      </c>
      <c r="N360">
        <f>tblPlayers[form]</f>
        <v>0</v>
      </c>
      <c r="O360">
        <f>tblPlayers[expected_goals]</f>
        <v>0</v>
      </c>
      <c r="P360">
        <f>tblPlayers[expected_assists]</f>
        <v>0</v>
      </c>
      <c r="Q360">
        <f>tblPlayers[expected_goal_involvements]</f>
        <v>0</v>
      </c>
      <c r="R360" s="2">
        <f t="shared" si="125"/>
        <v>0</v>
      </c>
      <c r="S360" s="5">
        <f t="shared" si="126"/>
        <v>0</v>
      </c>
      <c r="T360" s="5">
        <f t="shared" si="127"/>
        <v>0</v>
      </c>
      <c r="U360" s="5">
        <f t="shared" si="128"/>
        <v>0</v>
      </c>
      <c r="V360" s="3">
        <f t="shared" si="129"/>
        <v>0</v>
      </c>
      <c r="W360" s="5">
        <f t="shared" si="130"/>
        <v>0</v>
      </c>
      <c r="X360" s="5">
        <f>IFERROR(IF(OR($B360="MID",$B360="FWD"),INDEX(FIXTURE_ANALYSIS!$Q:$Q,MATCH($D360,FIXTURE_ANALYSIS!$A:$A,0)),INDEX(FIXTURE_ANALYSIS!$R:$R,MATCH($D360,FIXTURE_ANALYSIS!$A:$A,0))),1)</f>
        <v>0.81436734693877555</v>
      </c>
      <c r="Y360" s="5">
        <f t="shared" si="131"/>
        <v>0.81436734693877555</v>
      </c>
      <c r="Z360" s="8">
        <f>INDEX(FPL_Raw_Data!$T:$T,MATCH(A360,FPL_Raw_Data!$AA:$AA,0))</f>
        <v>0</v>
      </c>
      <c r="AA360" s="8">
        <f>INDEX(FPL_Raw_Data!$S:$S,MATCH(A360,FPL_Raw_Data!$AA:$AA,0))</f>
        <v>0</v>
      </c>
      <c r="AB360" s="2">
        <f t="shared" si="132"/>
        <v>0</v>
      </c>
      <c r="AC360" s="2">
        <f>INDEX(FPL_Raw_Data!$Q:$Q,MATCH(A360,FPL_Raw_Data!$AA:$AA,0))</f>
        <v>0</v>
      </c>
      <c r="AD360" s="8">
        <f>INDEX(FPL_Raw_Data!$R:$R,MATCH(A360,FPL_Raw_Data!$AA:$AA,0))</f>
        <v>0</v>
      </c>
      <c r="AE360" s="8">
        <f>INDEX(FPL_Raw_Data!$N:$N,MATCH(A360,FPL_Raw_Data!$AA:$AA,0))</f>
        <v>0</v>
      </c>
      <c r="AF360" s="8">
        <f>INDEX(FPL_Raw_Data!$L:$L,MATCH(A360,FPL_Raw_Data!$AA:$AA,0))</f>
        <v>0</v>
      </c>
      <c r="AG360" s="2">
        <f>INDEX(FPL_Raw_Data!$M:$M,MATCH(A360,FPL_Raw_Data!$AA:$AA,0))</f>
        <v>0</v>
      </c>
      <c r="AH360" s="2">
        <f t="shared" si="133"/>
        <v>0</v>
      </c>
      <c r="AI360" s="2">
        <f t="shared" si="134"/>
        <v>0</v>
      </c>
      <c r="AJ360" s="2">
        <f t="shared" si="135"/>
        <v>0</v>
      </c>
      <c r="AK360" s="2">
        <f t="shared" si="136"/>
        <v>0</v>
      </c>
      <c r="AL360" s="2">
        <f t="shared" si="137"/>
        <v>0</v>
      </c>
      <c r="AM360" s="2">
        <f t="shared" si="138"/>
        <v>0</v>
      </c>
      <c r="AN360" s="2">
        <f t="shared" si="139"/>
        <v>0</v>
      </c>
      <c r="AO360" s="3">
        <f t="shared" si="140"/>
        <v>0.1</v>
      </c>
      <c r="AP360">
        <f t="shared" si="141"/>
        <v>0</v>
      </c>
      <c r="AQ360">
        <f t="shared" si="142"/>
        <v>0.1</v>
      </c>
      <c r="AR360">
        <f t="shared" si="143"/>
        <v>0</v>
      </c>
      <c r="AS360" s="2">
        <f t="shared" si="144"/>
        <v>0</v>
      </c>
      <c r="AT360" s="2">
        <f>IFERROR(INDEX(Player_Model!$BC$2:$BC$596,MATCH($A360,Player_Model!$A$2:$A$596,0)),0)</f>
        <v>0</v>
      </c>
      <c r="AU360" s="2">
        <f>Table8[[#This Row],[Model Expected Points]]*Table8[[#This Row],[Fixture Adjustment]]</f>
        <v>0</v>
      </c>
      <c r="AV360" s="2">
        <f>Table8[[#This Row],[Fixture Adjusted Points / 90]]/Table8[[#This Row],[Price]]</f>
        <v>0</v>
      </c>
      <c r="AW360">
        <f t="shared" si="145"/>
        <v>0</v>
      </c>
      <c r="AX360">
        <f t="shared" si="146"/>
        <v>0.40718367346938777</v>
      </c>
      <c r="AY360" s="2">
        <f t="shared" si="147"/>
        <v>0</v>
      </c>
      <c r="AZ360" s="5">
        <f t="shared" si="148"/>
        <v>0.81436734693877555</v>
      </c>
      <c r="BA360">
        <f>Table8[[#This Row],[Model Score2]]</f>
        <v>0</v>
      </c>
      <c r="BB360">
        <f>IFERROR(INDEX(Player_Model!$BG$2:$BG$596,MATCH($A360,Player_Model!$A$2:$A$596,0)),"")</f>
        <v>45</v>
      </c>
      <c r="BC360" t="str">
        <f t="shared" si="149"/>
        <v>AVOID</v>
      </c>
      <c r="BD360">
        <f>IF(H360=1,Table8[[#This Row],[Model Score]],-10000)</f>
        <v>0</v>
      </c>
      <c r="BE360">
        <f>IFERROR(INDEX(Player_Model!$BF$2:$BF$596,MATCH($A360,Player_Model!$A$2:$A$596,0)),"")</f>
        <v>253</v>
      </c>
      <c r="BF360">
        <f>IFERROR(INDEX(Player_Model!$BG$2:$BG$596,MATCH($A360,Player_Model!$A$2:$A$596,0)),"")</f>
        <v>45</v>
      </c>
      <c r="BG360">
        <f>IFERROR(INDEX(Player_Model!$BE$2:$BE$596,MATCH($A360,Player_Model!$A$2:$A$596,0)),0)</f>
        <v>0</v>
      </c>
    </row>
    <row r="361" spans="1:59" x14ac:dyDescent="0.25">
      <c r="A361" t="str">
        <f>tblPlayers[first_name]&amp;" "&amp;tblPlayers[second_name]</f>
        <v>David Button</v>
      </c>
      <c r="B361" t="str">
        <f>_xlfn.SWITCH(tblPlayers[element_type],1,"GK",2,"DEF",3,"MID",4,"FWD")</f>
        <v>GK</v>
      </c>
      <c r="C361">
        <f>tblPlayers[team]</f>
        <v>12</v>
      </c>
      <c r="D361" t="str">
        <f>INDEX(tblTeams[Column1.short_name],MATCH(C361,tblTeams[Column1.id],0))</f>
        <v>IPS</v>
      </c>
      <c r="E361" s="4">
        <f>INDEX(FPL_Raw_Data!$F:$F,MATCH(A361,FPL_Raw_Data!$AA:$AA,0))/10</f>
        <v>4</v>
      </c>
      <c r="F361" s="4" t="str">
        <f>tblPlayers[[#This Row],[status]]</f>
        <v>a</v>
      </c>
      <c r="G361" s="4" t="b">
        <f>tblPlayers[[#This Row],[can_select]]</f>
        <v>1</v>
      </c>
      <c r="H361">
        <f>IF(AND(Table8[[#This Row],[Availability Status]]="a",Table8[[#This Row],[Can Select]]=TRUE),1,0)</f>
        <v>1</v>
      </c>
      <c r="I361">
        <f>tblPlayers[minutes]</f>
        <v>0</v>
      </c>
      <c r="J361" s="2">
        <f>Table8[[#This Row],[Minutes]]/90</f>
        <v>0</v>
      </c>
      <c r="K361" s="5">
        <f>IFERROR(Z361/(FIXTURE_ANALYSIS!$B$1-1),0)</f>
        <v>0</v>
      </c>
      <c r="L361">
        <f>tblPlayers[total_points]</f>
        <v>0</v>
      </c>
      <c r="M361">
        <f>tblPlayers[points_per_game]</f>
        <v>0</v>
      </c>
      <c r="N361">
        <f>tblPlayers[form]</f>
        <v>0</v>
      </c>
      <c r="O361">
        <f>tblPlayers[expected_goals]</f>
        <v>0</v>
      </c>
      <c r="P361">
        <f>tblPlayers[expected_assists]</f>
        <v>0</v>
      </c>
      <c r="Q361">
        <f>tblPlayers[expected_goal_involvements]</f>
        <v>0</v>
      </c>
      <c r="R361" s="2">
        <f t="shared" si="125"/>
        <v>0</v>
      </c>
      <c r="S361" s="5">
        <f t="shared" si="126"/>
        <v>0</v>
      </c>
      <c r="T361" s="5">
        <f t="shared" si="127"/>
        <v>0</v>
      </c>
      <c r="U361" s="5">
        <f t="shared" si="128"/>
        <v>0</v>
      </c>
      <c r="V361" s="3">
        <f t="shared" si="129"/>
        <v>0</v>
      </c>
      <c r="W361" s="5">
        <f t="shared" si="130"/>
        <v>0</v>
      </c>
      <c r="X361" s="5">
        <f>IFERROR(IF(OR($B361="MID",$B361="FWD"),INDEX(FIXTURE_ANALYSIS!$Q:$Q,MATCH($D361,FIXTURE_ANALYSIS!$A:$A,0)),INDEX(FIXTURE_ANALYSIS!$R:$R,MATCH($D361,FIXTURE_ANALYSIS!$A:$A,0))),1)</f>
        <v>0.81436734693877555</v>
      </c>
      <c r="Y361" s="5">
        <f t="shared" si="131"/>
        <v>0.81436734693877555</v>
      </c>
      <c r="Z361" s="8">
        <f>INDEX(FPL_Raw_Data!$T:$T,MATCH(A361,FPL_Raw_Data!$AA:$AA,0))</f>
        <v>0</v>
      </c>
      <c r="AA361" s="8">
        <f>INDEX(FPL_Raw_Data!$S:$S,MATCH(A361,FPL_Raw_Data!$AA:$AA,0))</f>
        <v>0</v>
      </c>
      <c r="AB361" s="2">
        <f t="shared" si="132"/>
        <v>0</v>
      </c>
      <c r="AC361" s="2">
        <f>INDEX(FPL_Raw_Data!$Q:$Q,MATCH(A361,FPL_Raw_Data!$AA:$AA,0))</f>
        <v>0</v>
      </c>
      <c r="AD361" s="8">
        <f>INDEX(FPL_Raw_Data!$R:$R,MATCH(A361,FPL_Raw_Data!$AA:$AA,0))</f>
        <v>0</v>
      </c>
      <c r="AE361" s="8">
        <f>INDEX(FPL_Raw_Data!$N:$N,MATCH(A361,FPL_Raw_Data!$AA:$AA,0))</f>
        <v>0</v>
      </c>
      <c r="AF361" s="8">
        <f>INDEX(FPL_Raw_Data!$L:$L,MATCH(A361,FPL_Raw_Data!$AA:$AA,0))</f>
        <v>0</v>
      </c>
      <c r="AG361" s="2">
        <f>INDEX(FPL_Raw_Data!$M:$M,MATCH(A361,FPL_Raw_Data!$AA:$AA,0))</f>
        <v>0</v>
      </c>
      <c r="AH361" s="2">
        <f t="shared" si="133"/>
        <v>0</v>
      </c>
      <c r="AI361" s="2">
        <f t="shared" si="134"/>
        <v>0</v>
      </c>
      <c r="AJ361" s="2">
        <f t="shared" si="135"/>
        <v>0</v>
      </c>
      <c r="AK361" s="2">
        <f t="shared" si="136"/>
        <v>0</v>
      </c>
      <c r="AL361" s="2">
        <f t="shared" si="137"/>
        <v>0</v>
      </c>
      <c r="AM361" s="2">
        <f t="shared" si="138"/>
        <v>0</v>
      </c>
      <c r="AN361" s="2">
        <f t="shared" si="139"/>
        <v>0</v>
      </c>
      <c r="AO361" s="3">
        <f t="shared" si="140"/>
        <v>0.1</v>
      </c>
      <c r="AP361">
        <f t="shared" si="141"/>
        <v>0</v>
      </c>
      <c r="AQ361">
        <f t="shared" si="142"/>
        <v>0.1</v>
      </c>
      <c r="AR361">
        <f t="shared" si="143"/>
        <v>0</v>
      </c>
      <c r="AS361" s="2">
        <f t="shared" si="144"/>
        <v>0</v>
      </c>
      <c r="AT361" s="2">
        <f>IFERROR(INDEX(Player_Model!$BC$2:$BC$596,MATCH($A361,Player_Model!$A$2:$A$596,0)),0)</f>
        <v>0</v>
      </c>
      <c r="AU361" s="2">
        <f>Table8[[#This Row],[Model Expected Points]]*Table8[[#This Row],[Fixture Adjustment]]</f>
        <v>0</v>
      </c>
      <c r="AV361" s="2">
        <f>Table8[[#This Row],[Fixture Adjusted Points / 90]]/Table8[[#This Row],[Price]]</f>
        <v>0</v>
      </c>
      <c r="AW361">
        <f t="shared" si="145"/>
        <v>0</v>
      </c>
      <c r="AX361">
        <f t="shared" si="146"/>
        <v>0.40718367346938777</v>
      </c>
      <c r="AY361" s="2">
        <f t="shared" si="147"/>
        <v>0</v>
      </c>
      <c r="AZ361" s="5">
        <f t="shared" si="148"/>
        <v>0.81436734693877555</v>
      </c>
      <c r="BA361">
        <f>Table8[[#This Row],[Model Score2]]</f>
        <v>0</v>
      </c>
      <c r="BB361">
        <f>IFERROR(INDEX(Player_Model!$BG$2:$BG$596,MATCH($A361,Player_Model!$A$2:$A$596,0)),"")</f>
        <v>46</v>
      </c>
      <c r="BC361" t="str">
        <f t="shared" si="149"/>
        <v>AVOID</v>
      </c>
      <c r="BD361">
        <f>IF(H361=1,Table8[[#This Row],[Model Score]],-10000)</f>
        <v>0</v>
      </c>
      <c r="BE361">
        <f>IFERROR(INDEX(Player_Model!$BF$2:$BF$596,MATCH($A361,Player_Model!$A$2:$A$596,0)),"")</f>
        <v>253</v>
      </c>
      <c r="BF361">
        <f>IFERROR(INDEX(Player_Model!$BG$2:$BG$596,MATCH($A361,Player_Model!$A$2:$A$596,0)),"")</f>
        <v>46</v>
      </c>
      <c r="BG361">
        <f>IFERROR(INDEX(Player_Model!$BE$2:$BE$596,MATCH($A361,Player_Model!$A$2:$A$596,0)),0)</f>
        <v>0</v>
      </c>
    </row>
    <row r="362" spans="1:59" x14ac:dyDescent="0.25">
      <c r="A362" t="str">
        <f>tblPlayers[first_name]&amp;" "&amp;tblPlayers[second_name]</f>
        <v>Cédric Kipré</v>
      </c>
      <c r="B362" t="str">
        <f>_xlfn.SWITCH(tblPlayers[element_type],1,"GK",2,"DEF",3,"MID",4,"FWD")</f>
        <v>DEF</v>
      </c>
      <c r="C362">
        <f>tblPlayers[team]</f>
        <v>12</v>
      </c>
      <c r="D362" t="str">
        <f>INDEX(tblTeams[Column1.short_name],MATCH(C362,tblTeams[Column1.id],0))</f>
        <v>IPS</v>
      </c>
      <c r="E362" s="4">
        <f>INDEX(FPL_Raw_Data!$F:$F,MATCH(A362,FPL_Raw_Data!$AA:$AA,0))/10</f>
        <v>4</v>
      </c>
      <c r="F362" s="4" t="str">
        <f>tblPlayers[[#This Row],[status]]</f>
        <v>a</v>
      </c>
      <c r="G362" s="4" t="b">
        <f>tblPlayers[[#This Row],[can_select]]</f>
        <v>1</v>
      </c>
      <c r="H362">
        <f>IF(AND(Table8[[#This Row],[Availability Status]]="a",Table8[[#This Row],[Can Select]]=TRUE),1,0)</f>
        <v>1</v>
      </c>
      <c r="I362">
        <f>tblPlayers[minutes]</f>
        <v>0</v>
      </c>
      <c r="J362" s="2">
        <f>Table8[[#This Row],[Minutes]]/90</f>
        <v>0</v>
      </c>
      <c r="K362" s="5">
        <f>IFERROR(Z362/(FIXTURE_ANALYSIS!$B$1-1),0)</f>
        <v>0</v>
      </c>
      <c r="L362">
        <f>tblPlayers[total_points]</f>
        <v>0</v>
      </c>
      <c r="M362">
        <f>tblPlayers[points_per_game]</f>
        <v>0</v>
      </c>
      <c r="N362">
        <f>tblPlayers[form]</f>
        <v>0</v>
      </c>
      <c r="O362">
        <f>tblPlayers[expected_goals]</f>
        <v>0</v>
      </c>
      <c r="P362">
        <f>tblPlayers[expected_assists]</f>
        <v>0</v>
      </c>
      <c r="Q362">
        <f>tblPlayers[expected_goal_involvements]</f>
        <v>0</v>
      </c>
      <c r="R362" s="2">
        <f t="shared" si="125"/>
        <v>0</v>
      </c>
      <c r="S362" s="5">
        <f t="shared" si="126"/>
        <v>0</v>
      </c>
      <c r="T362" s="5">
        <f t="shared" si="127"/>
        <v>0</v>
      </c>
      <c r="U362" s="5">
        <f t="shared" si="128"/>
        <v>0</v>
      </c>
      <c r="V362" s="3">
        <f t="shared" si="129"/>
        <v>0</v>
      </c>
      <c r="W362" s="5">
        <f t="shared" si="130"/>
        <v>0</v>
      </c>
      <c r="X362" s="5">
        <f>IFERROR(IF(OR($B362="MID",$B362="FWD"),INDEX(FIXTURE_ANALYSIS!$Q:$Q,MATCH($D362,FIXTURE_ANALYSIS!$A:$A,0)),INDEX(FIXTURE_ANALYSIS!$R:$R,MATCH($D362,FIXTURE_ANALYSIS!$A:$A,0))),1)</f>
        <v>0.81436734693877555</v>
      </c>
      <c r="Y362" s="5">
        <f t="shared" si="131"/>
        <v>0.81436734693877555</v>
      </c>
      <c r="Z362" s="8">
        <f>INDEX(FPL_Raw_Data!$T:$T,MATCH(A362,FPL_Raw_Data!$AA:$AA,0))</f>
        <v>0</v>
      </c>
      <c r="AA362" s="8">
        <f>INDEX(FPL_Raw_Data!$S:$S,MATCH(A362,FPL_Raw_Data!$AA:$AA,0))</f>
        <v>0</v>
      </c>
      <c r="AB362" s="2">
        <f t="shared" si="132"/>
        <v>0</v>
      </c>
      <c r="AC362" s="2">
        <f>INDEX(FPL_Raw_Data!$Q:$Q,MATCH(A362,FPL_Raw_Data!$AA:$AA,0))</f>
        <v>0</v>
      </c>
      <c r="AD362" s="8">
        <f>INDEX(FPL_Raw_Data!$R:$R,MATCH(A362,FPL_Raw_Data!$AA:$AA,0))</f>
        <v>0</v>
      </c>
      <c r="AE362" s="8">
        <f>INDEX(FPL_Raw_Data!$N:$N,MATCH(A362,FPL_Raw_Data!$AA:$AA,0))</f>
        <v>0</v>
      </c>
      <c r="AF362" s="8">
        <f>INDEX(FPL_Raw_Data!$L:$L,MATCH(A362,FPL_Raw_Data!$AA:$AA,0))</f>
        <v>0</v>
      </c>
      <c r="AG362" s="2">
        <f>INDEX(FPL_Raw_Data!$M:$M,MATCH(A362,FPL_Raw_Data!$AA:$AA,0))</f>
        <v>0</v>
      </c>
      <c r="AH362" s="2">
        <f t="shared" si="133"/>
        <v>0</v>
      </c>
      <c r="AI362" s="2">
        <f t="shared" si="134"/>
        <v>0</v>
      </c>
      <c r="AJ362" s="2">
        <f t="shared" si="135"/>
        <v>0</v>
      </c>
      <c r="AK362" s="2">
        <f t="shared" si="136"/>
        <v>0</v>
      </c>
      <c r="AL362" s="2">
        <f t="shared" si="137"/>
        <v>0</v>
      </c>
      <c r="AM362" s="2">
        <f t="shared" si="138"/>
        <v>0</v>
      </c>
      <c r="AN362" s="2">
        <f t="shared" si="139"/>
        <v>0</v>
      </c>
      <c r="AO362" s="3">
        <f t="shared" si="140"/>
        <v>0.1</v>
      </c>
      <c r="AP362">
        <f t="shared" si="141"/>
        <v>0</v>
      </c>
      <c r="AQ362">
        <f t="shared" si="142"/>
        <v>0.1</v>
      </c>
      <c r="AR362">
        <f t="shared" si="143"/>
        <v>0</v>
      </c>
      <c r="AS362" s="2">
        <f t="shared" si="144"/>
        <v>0</v>
      </c>
      <c r="AT362" s="2">
        <f>IFERROR(INDEX(Player_Model!$BC$2:$BC$596,MATCH($A362,Player_Model!$A$2:$A$596,0)),0)</f>
        <v>-1.0858231292517007</v>
      </c>
      <c r="AU362" s="2">
        <f>Table8[[#This Row],[Model Expected Points]]*Table8[[#This Row],[Fixture Adjustment]]</f>
        <v>-0.8842589010134666</v>
      </c>
      <c r="AV362" s="2">
        <f>Table8[[#This Row],[Fixture Adjusted Points / 90]]/Table8[[#This Row],[Price]]</f>
        <v>-0.22106472525336665</v>
      </c>
      <c r="AW362">
        <f t="shared" si="145"/>
        <v>0</v>
      </c>
      <c r="AX362">
        <f t="shared" si="146"/>
        <v>0.40718367346938777</v>
      </c>
      <c r="AY362" s="2">
        <f t="shared" si="147"/>
        <v>0</v>
      </c>
      <c r="AZ362" s="5">
        <f t="shared" si="148"/>
        <v>0.81436734693877555</v>
      </c>
      <c r="BA362">
        <f>Table8[[#This Row],[Model Score2]]</f>
        <v>-1.0858231292517007</v>
      </c>
      <c r="BB362">
        <f>IFERROR(INDEX(Player_Model!$BG$2:$BG$596,MATCH($A362,Player_Model!$A$2:$A$596,0)),"")</f>
        <v>184</v>
      </c>
      <c r="BC362" t="str">
        <f t="shared" si="149"/>
        <v>AVOID</v>
      </c>
      <c r="BD362">
        <f>IF(H362=1,Table8[[#This Row],[Model Score]],-10000)</f>
        <v>-1.0858231292517007</v>
      </c>
      <c r="BE362">
        <f>IFERROR(INDEX(Player_Model!$BF$2:$BF$596,MATCH($A362,Player_Model!$A$2:$A$596,0)),"")</f>
        <v>587</v>
      </c>
      <c r="BF362">
        <f>IFERROR(INDEX(Player_Model!$BG$2:$BG$596,MATCH($A362,Player_Model!$A$2:$A$596,0)),"")</f>
        <v>184</v>
      </c>
      <c r="BG362">
        <f>IFERROR(INDEX(Player_Model!$BE$2:$BE$596,MATCH($A362,Player_Model!$A$2:$A$596,0)),0)</f>
        <v>-1.0858231292517007</v>
      </c>
    </row>
    <row r="363" spans="1:59" x14ac:dyDescent="0.25">
      <c r="A363" t="str">
        <f>tblPlayers[first_name]&amp;" "&amp;tblPlayers[second_name]</f>
        <v>Dara O'Shea</v>
      </c>
      <c r="B363" t="str">
        <f>_xlfn.SWITCH(tblPlayers[element_type],1,"GK",2,"DEF",3,"MID",4,"FWD")</f>
        <v>DEF</v>
      </c>
      <c r="C363">
        <f>tblPlayers[team]</f>
        <v>12</v>
      </c>
      <c r="D363" t="str">
        <f>INDEX(tblTeams[Column1.short_name],MATCH(C363,tblTeams[Column1.id],0))</f>
        <v>IPS</v>
      </c>
      <c r="E363" s="4">
        <f>INDEX(FPL_Raw_Data!$F:$F,MATCH(A363,FPL_Raw_Data!$AA:$AA,0))/10</f>
        <v>4</v>
      </c>
      <c r="F363" s="4" t="str">
        <f>tblPlayers[[#This Row],[status]]</f>
        <v>a</v>
      </c>
      <c r="G363" s="4" t="b">
        <f>tblPlayers[[#This Row],[can_select]]</f>
        <v>1</v>
      </c>
      <c r="H363">
        <f>IF(AND(Table8[[#This Row],[Availability Status]]="a",Table8[[#This Row],[Can Select]]=TRUE),1,0)</f>
        <v>1</v>
      </c>
      <c r="I363">
        <f>tblPlayers[minutes]</f>
        <v>270</v>
      </c>
      <c r="J363" s="2">
        <f>Table8[[#This Row],[Minutes]]/90</f>
        <v>3</v>
      </c>
      <c r="K363" s="5">
        <f>IFERROR(Z363/(FIXTURE_ANALYSIS!$B$1-1),0)</f>
        <v>1</v>
      </c>
      <c r="L363">
        <f>tblPlayers[total_points]</f>
        <v>7</v>
      </c>
      <c r="M363">
        <f>tblPlayers[points_per_game]</f>
        <v>2.2999999999999998</v>
      </c>
      <c r="N363">
        <f>tblPlayers[form]</f>
        <v>2.2999999999999998</v>
      </c>
      <c r="O363">
        <f>tblPlayers[expected_goals]</f>
        <v>7.0000000000000007E-2</v>
      </c>
      <c r="P363">
        <f>tblPlayers[expected_assists]</f>
        <v>0.18</v>
      </c>
      <c r="Q363">
        <f>tblPlayers[expected_goal_involvements]</f>
        <v>0.25</v>
      </c>
      <c r="R363" s="2">
        <f t="shared" si="125"/>
        <v>2.3333333333333335</v>
      </c>
      <c r="S363" s="5">
        <f t="shared" si="126"/>
        <v>2.3333333333333334E-2</v>
      </c>
      <c r="T363" s="5">
        <f t="shared" si="127"/>
        <v>0.06</v>
      </c>
      <c r="U363" s="5">
        <f t="shared" si="128"/>
        <v>8.3333333333333343E-2</v>
      </c>
      <c r="V363" s="3">
        <f t="shared" si="129"/>
        <v>1.75</v>
      </c>
      <c r="W363" s="5">
        <f t="shared" si="130"/>
        <v>6.25E-2</v>
      </c>
      <c r="X363" s="5">
        <f>IFERROR(IF(OR($B363="MID",$B363="FWD"),INDEX(FIXTURE_ANALYSIS!$Q:$Q,MATCH($D363,FIXTURE_ANALYSIS!$A:$A,0)),INDEX(FIXTURE_ANALYSIS!$R:$R,MATCH($D363,FIXTURE_ANALYSIS!$A:$A,0))),1)</f>
        <v>0.81436734693877555</v>
      </c>
      <c r="Y363" s="5">
        <f t="shared" si="131"/>
        <v>0.81436734693877555</v>
      </c>
      <c r="Z363" s="8">
        <f>INDEX(FPL_Raw_Data!$T:$T,MATCH(A363,FPL_Raw_Data!$AA:$AA,0))</f>
        <v>3</v>
      </c>
      <c r="AA363" s="8">
        <f>INDEX(FPL_Raw_Data!$S:$S,MATCH(A363,FPL_Raw_Data!$AA:$AA,0))</f>
        <v>30</v>
      </c>
      <c r="AB363" s="2">
        <f t="shared" si="132"/>
        <v>1</v>
      </c>
      <c r="AC363" s="2">
        <f>INDEX(FPL_Raw_Data!$Q:$Q,MATCH(A363,FPL_Raw_Data!$AA:$AA,0))</f>
        <v>0</v>
      </c>
      <c r="AD363" s="8">
        <f>INDEX(FPL_Raw_Data!$R:$R,MATCH(A363,FPL_Raw_Data!$AA:$AA,0))</f>
        <v>7</v>
      </c>
      <c r="AE363" s="8">
        <f>INDEX(FPL_Raw_Data!$N:$N,MATCH(A363,FPL_Raw_Data!$AA:$AA,0))</f>
        <v>0</v>
      </c>
      <c r="AF363" s="8">
        <f>INDEX(FPL_Raw_Data!$L:$L,MATCH(A363,FPL_Raw_Data!$AA:$AA,0))</f>
        <v>0</v>
      </c>
      <c r="AG363" s="2">
        <f>INDEX(FPL_Raw_Data!$M:$M,MATCH(A363,FPL_Raw_Data!$AA:$AA,0))</f>
        <v>0</v>
      </c>
      <c r="AH363" s="2">
        <f t="shared" si="133"/>
        <v>0.14000000000000001</v>
      </c>
      <c r="AI363" s="2">
        <f t="shared" si="134"/>
        <v>0.18</v>
      </c>
      <c r="AJ363" s="2">
        <f t="shared" si="135"/>
        <v>2</v>
      </c>
      <c r="AK363" s="2">
        <f t="shared" si="136"/>
        <v>2</v>
      </c>
      <c r="AL363" s="2">
        <f t="shared" si="137"/>
        <v>0</v>
      </c>
      <c r="AM363" s="2">
        <f t="shared" si="138"/>
        <v>0</v>
      </c>
      <c r="AN363" s="2">
        <f t="shared" si="139"/>
        <v>0</v>
      </c>
      <c r="AO363" s="3">
        <f t="shared" si="140"/>
        <v>50</v>
      </c>
      <c r="AP363">
        <f t="shared" si="141"/>
        <v>66.3</v>
      </c>
      <c r="AQ363">
        <f t="shared" si="142"/>
        <v>82.8</v>
      </c>
      <c r="AR363">
        <f t="shared" si="143"/>
        <v>78.600000000000009</v>
      </c>
      <c r="AS363" s="2">
        <f t="shared" si="144"/>
        <v>100</v>
      </c>
      <c r="AT363" s="2">
        <f>IFERROR(INDEX(Player_Model!$BC$2:$BC$596,MATCH($A363,Player_Model!$A$2:$A$596,0)),0)</f>
        <v>2.4271557697291906</v>
      </c>
      <c r="AU363" s="2">
        <f>Table8[[#This Row],[Model Expected Points]]*Table8[[#This Row],[Fixture Adjustment]]</f>
        <v>1.9765964048015026</v>
      </c>
      <c r="AV363" s="2">
        <f>Table8[[#This Row],[Fixture Adjusted Points / 90]]/Table8[[#This Row],[Price]]</f>
        <v>0.49414910120037564</v>
      </c>
      <c r="AW363">
        <f t="shared" si="145"/>
        <v>66.3</v>
      </c>
      <c r="AX363">
        <f t="shared" si="146"/>
        <v>0.90718367346938777</v>
      </c>
      <c r="AY363" s="2">
        <f t="shared" si="147"/>
        <v>100</v>
      </c>
      <c r="AZ363" s="5">
        <f t="shared" si="148"/>
        <v>0.81436734693877555</v>
      </c>
      <c r="BA363">
        <f>Table8[[#This Row],[Model Score2]]</f>
        <v>2.4271557697291906</v>
      </c>
      <c r="BB363">
        <f>IFERROR(INDEX(Player_Model!$BG$2:$BG$596,MATCH($A363,Player_Model!$A$2:$A$596,0)),"")</f>
        <v>76</v>
      </c>
      <c r="BC363" t="str">
        <f t="shared" si="149"/>
        <v>AVOID</v>
      </c>
      <c r="BD363">
        <f>IF(H363=1,Table8[[#This Row],[Model Score]],-10000)</f>
        <v>2.4271557697291906</v>
      </c>
      <c r="BE363">
        <f>IFERROR(INDEX(Player_Model!$BF$2:$BF$596,MATCH($A363,Player_Model!$A$2:$A$596,0)),"")</f>
        <v>230</v>
      </c>
      <c r="BF363">
        <f>IFERROR(INDEX(Player_Model!$BG$2:$BG$596,MATCH($A363,Player_Model!$A$2:$A$596,0)),"")</f>
        <v>76</v>
      </c>
      <c r="BG363">
        <f>IFERROR(INDEX(Player_Model!$BE$2:$BE$596,MATCH($A363,Player_Model!$A$2:$A$596,0)),0)</f>
        <v>2.4271557697291906</v>
      </c>
    </row>
    <row r="364" spans="1:59" x14ac:dyDescent="0.25">
      <c r="A364" t="str">
        <f>tblPlayers[first_name]&amp;" "&amp;tblPlayers[second_name]</f>
        <v>Leif Davis</v>
      </c>
      <c r="B364" t="str">
        <f>_xlfn.SWITCH(tblPlayers[element_type],1,"GK",2,"DEF",3,"MID",4,"FWD")</f>
        <v>DEF</v>
      </c>
      <c r="C364">
        <f>tblPlayers[team]</f>
        <v>12</v>
      </c>
      <c r="D364" t="str">
        <f>INDEX(tblTeams[Column1.short_name],MATCH(C364,tblTeams[Column1.id],0))</f>
        <v>IPS</v>
      </c>
      <c r="E364" s="4">
        <f>INDEX(FPL_Raw_Data!$F:$F,MATCH(A364,FPL_Raw_Data!$AA:$AA,0))/10</f>
        <v>4</v>
      </c>
      <c r="F364" s="4" t="str">
        <f>tblPlayers[[#This Row],[status]]</f>
        <v>a</v>
      </c>
      <c r="G364" s="4" t="b">
        <f>tblPlayers[[#This Row],[can_select]]</f>
        <v>1</v>
      </c>
      <c r="H364">
        <f>IF(AND(Table8[[#This Row],[Availability Status]]="a",Table8[[#This Row],[Can Select]]=TRUE),1,0)</f>
        <v>1</v>
      </c>
      <c r="I364">
        <f>tblPlayers[minutes]</f>
        <v>270</v>
      </c>
      <c r="J364" s="2">
        <f>Table8[[#This Row],[Minutes]]/90</f>
        <v>3</v>
      </c>
      <c r="K364" s="5">
        <f>IFERROR(Z364/(FIXTURE_ANALYSIS!$B$1-1),0)</f>
        <v>1</v>
      </c>
      <c r="L364">
        <f>tblPlayers[total_points]</f>
        <v>9</v>
      </c>
      <c r="M364">
        <f>tblPlayers[points_per_game]</f>
        <v>3</v>
      </c>
      <c r="N364">
        <f>tblPlayers[form]</f>
        <v>3</v>
      </c>
      <c r="O364">
        <f>tblPlayers[expected_goals]</f>
        <v>0.65</v>
      </c>
      <c r="P364">
        <f>tblPlayers[expected_assists]</f>
        <v>0.25</v>
      </c>
      <c r="Q364">
        <f>tblPlayers[expected_goal_involvements]</f>
        <v>0.9</v>
      </c>
      <c r="R364" s="2">
        <f t="shared" si="125"/>
        <v>3</v>
      </c>
      <c r="S364" s="5">
        <f t="shared" si="126"/>
        <v>0.21666666666666667</v>
      </c>
      <c r="T364" s="5">
        <f t="shared" si="127"/>
        <v>8.3333333333333343E-2</v>
      </c>
      <c r="U364" s="5">
        <f t="shared" si="128"/>
        <v>0.30000000000000004</v>
      </c>
      <c r="V364" s="3">
        <f t="shared" si="129"/>
        <v>2.25</v>
      </c>
      <c r="W364" s="5">
        <f t="shared" si="130"/>
        <v>0.22500000000000001</v>
      </c>
      <c r="X364" s="5">
        <f>IFERROR(IF(OR($B364="MID",$B364="FWD"),INDEX(FIXTURE_ANALYSIS!$Q:$Q,MATCH($D364,FIXTURE_ANALYSIS!$A:$A,0)),INDEX(FIXTURE_ANALYSIS!$R:$R,MATCH($D364,FIXTURE_ANALYSIS!$A:$A,0))),1)</f>
        <v>0.81436734693877555</v>
      </c>
      <c r="Y364" s="5">
        <f t="shared" si="131"/>
        <v>0.81436734693877555</v>
      </c>
      <c r="Z364" s="8">
        <f>INDEX(FPL_Raw_Data!$T:$T,MATCH(A364,FPL_Raw_Data!$AA:$AA,0))</f>
        <v>3</v>
      </c>
      <c r="AA364" s="8">
        <f>INDEX(FPL_Raw_Data!$S:$S,MATCH(A364,FPL_Raw_Data!$AA:$AA,0))</f>
        <v>17</v>
      </c>
      <c r="AB364" s="2">
        <f t="shared" si="132"/>
        <v>1</v>
      </c>
      <c r="AC364" s="2">
        <f>INDEX(FPL_Raw_Data!$Q:$Q,MATCH(A364,FPL_Raw_Data!$AA:$AA,0))</f>
        <v>0</v>
      </c>
      <c r="AD364" s="8">
        <f>INDEX(FPL_Raw_Data!$R:$R,MATCH(A364,FPL_Raw_Data!$AA:$AA,0))</f>
        <v>15</v>
      </c>
      <c r="AE364" s="8">
        <f>INDEX(FPL_Raw_Data!$N:$N,MATCH(A364,FPL_Raw_Data!$AA:$AA,0))</f>
        <v>0</v>
      </c>
      <c r="AF364" s="8">
        <f>INDEX(FPL_Raw_Data!$L:$L,MATCH(A364,FPL_Raw_Data!$AA:$AA,0))</f>
        <v>1</v>
      </c>
      <c r="AG364" s="2">
        <f>INDEX(FPL_Raw_Data!$M:$M,MATCH(A364,FPL_Raw_Data!$AA:$AA,0))</f>
        <v>0</v>
      </c>
      <c r="AH364" s="2">
        <f t="shared" si="133"/>
        <v>1.3</v>
      </c>
      <c r="AI364" s="2">
        <f t="shared" si="134"/>
        <v>0.25</v>
      </c>
      <c r="AJ364" s="2">
        <f t="shared" si="135"/>
        <v>2</v>
      </c>
      <c r="AK364" s="2">
        <f t="shared" si="136"/>
        <v>2</v>
      </c>
      <c r="AL364" s="2">
        <f t="shared" si="137"/>
        <v>0</v>
      </c>
      <c r="AM364" s="2">
        <f t="shared" si="138"/>
        <v>0</v>
      </c>
      <c r="AN364" s="2">
        <f t="shared" si="139"/>
        <v>0</v>
      </c>
      <c r="AO364" s="3">
        <f t="shared" si="140"/>
        <v>58.4</v>
      </c>
      <c r="AP364">
        <f t="shared" si="141"/>
        <v>83.6</v>
      </c>
      <c r="AQ364">
        <f t="shared" si="142"/>
        <v>89.5</v>
      </c>
      <c r="AR364">
        <f t="shared" si="143"/>
        <v>95.6</v>
      </c>
      <c r="AS364" s="2">
        <f t="shared" si="144"/>
        <v>100</v>
      </c>
      <c r="AT364" s="2">
        <f>IFERROR(INDEX(Player_Model!$BC$2:$BC$596,MATCH($A364,Player_Model!$A$2:$A$596,0)),0)</f>
        <v>2.6556305345420443</v>
      </c>
      <c r="AU364" s="2">
        <f>Table8[[#This Row],[Model Expected Points]]*Table8[[#This Row],[Fixture Adjustment]]</f>
        <v>2.1626587928646068</v>
      </c>
      <c r="AV364" s="2">
        <f>Table8[[#This Row],[Fixture Adjusted Points / 90]]/Table8[[#This Row],[Price]]</f>
        <v>0.54066469821615171</v>
      </c>
      <c r="AW364">
        <f t="shared" si="145"/>
        <v>83.6</v>
      </c>
      <c r="AX364">
        <f t="shared" si="146"/>
        <v>0.90718367346938777</v>
      </c>
      <c r="AY364" s="2">
        <f t="shared" si="147"/>
        <v>100</v>
      </c>
      <c r="AZ364" s="5">
        <f t="shared" si="148"/>
        <v>0.81436734693877555</v>
      </c>
      <c r="BA364">
        <f>Table8[[#This Row],[Model Score2]]</f>
        <v>2.6556305345420443</v>
      </c>
      <c r="BB364">
        <f>IFERROR(INDEX(Player_Model!$BG$2:$BG$596,MATCH($A364,Player_Model!$A$2:$A$596,0)),"")</f>
        <v>69</v>
      </c>
      <c r="BC364" t="str">
        <f t="shared" si="149"/>
        <v>AVOID</v>
      </c>
      <c r="BD364">
        <f>IF(H364=1,Table8[[#This Row],[Model Score]],-10000)</f>
        <v>2.6556305345420443</v>
      </c>
      <c r="BE364">
        <f>IFERROR(INDEX(Player_Model!$BF$2:$BF$596,MATCH($A364,Player_Model!$A$2:$A$596,0)),"")</f>
        <v>218</v>
      </c>
      <c r="BF364">
        <f>IFERROR(INDEX(Player_Model!$BG$2:$BG$596,MATCH($A364,Player_Model!$A$2:$A$596,0)),"")</f>
        <v>69</v>
      </c>
      <c r="BG364">
        <f>IFERROR(INDEX(Player_Model!$BE$2:$BE$596,MATCH($A364,Player_Model!$A$2:$A$596,0)),0)</f>
        <v>2.6556305345420443</v>
      </c>
    </row>
    <row r="365" spans="1:59" x14ac:dyDescent="0.25">
      <c r="A365" t="str">
        <f>tblPlayers[first_name]&amp;" "&amp;tblPlayers[second_name]</f>
        <v>Jacob Greaves</v>
      </c>
      <c r="B365" t="str">
        <f>_xlfn.SWITCH(tblPlayers[element_type],1,"GK",2,"DEF",3,"MID",4,"FWD")</f>
        <v>DEF</v>
      </c>
      <c r="C365">
        <f>tblPlayers[team]</f>
        <v>12</v>
      </c>
      <c r="D365" t="str">
        <f>INDEX(tblTeams[Column1.short_name],MATCH(C365,tblTeams[Column1.id],0))</f>
        <v>IPS</v>
      </c>
      <c r="E365" s="4">
        <f>INDEX(FPL_Raw_Data!$F:$F,MATCH(A365,FPL_Raw_Data!$AA:$AA,0))/10</f>
        <v>4</v>
      </c>
      <c r="F365" s="4" t="str">
        <f>tblPlayers[[#This Row],[status]]</f>
        <v>a</v>
      </c>
      <c r="G365" s="4" t="b">
        <f>tblPlayers[[#This Row],[can_select]]</f>
        <v>1</v>
      </c>
      <c r="H365">
        <f>IF(AND(Table8[[#This Row],[Availability Status]]="a",Table8[[#This Row],[Can Select]]=TRUE),1,0)</f>
        <v>1</v>
      </c>
      <c r="I365">
        <f>tblPlayers[minutes]</f>
        <v>270</v>
      </c>
      <c r="J365" s="2">
        <f>Table8[[#This Row],[Minutes]]/90</f>
        <v>3</v>
      </c>
      <c r="K365" s="5">
        <f>IFERROR(Z365/(FIXTURE_ANALYSIS!$B$1-1),0)</f>
        <v>1</v>
      </c>
      <c r="L365">
        <f>tblPlayers[total_points]</f>
        <v>2</v>
      </c>
      <c r="M365">
        <f>tblPlayers[points_per_game]</f>
        <v>0.7</v>
      </c>
      <c r="N365">
        <f>tblPlayers[form]</f>
        <v>0.7</v>
      </c>
      <c r="O365">
        <f>tblPlayers[expected_goals]</f>
        <v>0</v>
      </c>
      <c r="P365">
        <f>tblPlayers[expected_assists]</f>
        <v>0.05</v>
      </c>
      <c r="Q365">
        <f>tblPlayers[expected_goal_involvements]</f>
        <v>0.05</v>
      </c>
      <c r="R365" s="2">
        <f t="shared" si="125"/>
        <v>0.66666666666666674</v>
      </c>
      <c r="S365" s="5">
        <f t="shared" si="126"/>
        <v>0</v>
      </c>
      <c r="T365" s="5">
        <f t="shared" si="127"/>
        <v>1.666666666666667E-2</v>
      </c>
      <c r="U365" s="5">
        <f t="shared" si="128"/>
        <v>1.666666666666667E-2</v>
      </c>
      <c r="V365" s="3">
        <f t="shared" si="129"/>
        <v>0.5</v>
      </c>
      <c r="W365" s="5">
        <f t="shared" si="130"/>
        <v>1.2500000000000001E-2</v>
      </c>
      <c r="X365" s="5">
        <f>IFERROR(IF(OR($B365="MID",$B365="FWD"),INDEX(FIXTURE_ANALYSIS!$Q:$Q,MATCH($D365,FIXTURE_ANALYSIS!$A:$A,0)),INDEX(FIXTURE_ANALYSIS!$R:$R,MATCH($D365,FIXTURE_ANALYSIS!$A:$A,0))),1)</f>
        <v>0.81436734693877555</v>
      </c>
      <c r="Y365" s="5">
        <f t="shared" si="131"/>
        <v>0.81436734693877555</v>
      </c>
      <c r="Z365" s="8">
        <f>INDEX(FPL_Raw_Data!$T:$T,MATCH(A365,FPL_Raw_Data!$AA:$AA,0))</f>
        <v>3</v>
      </c>
      <c r="AA365" s="8">
        <f>INDEX(FPL_Raw_Data!$S:$S,MATCH(A365,FPL_Raw_Data!$AA:$AA,0))</f>
        <v>24</v>
      </c>
      <c r="AB365" s="2">
        <f t="shared" si="132"/>
        <v>1</v>
      </c>
      <c r="AC365" s="2">
        <f>INDEX(FPL_Raw_Data!$Q:$Q,MATCH(A365,FPL_Raw_Data!$AA:$AA,0))</f>
        <v>0</v>
      </c>
      <c r="AD365" s="8">
        <f>INDEX(FPL_Raw_Data!$R:$R,MATCH(A365,FPL_Raw_Data!$AA:$AA,0))</f>
        <v>5</v>
      </c>
      <c r="AE365" s="8">
        <f>INDEX(FPL_Raw_Data!$N:$N,MATCH(A365,FPL_Raw_Data!$AA:$AA,0))</f>
        <v>0</v>
      </c>
      <c r="AF365" s="8">
        <f>INDEX(FPL_Raw_Data!$L:$L,MATCH(A365,FPL_Raw_Data!$AA:$AA,0))</f>
        <v>0</v>
      </c>
      <c r="AG365" s="2">
        <f>INDEX(FPL_Raw_Data!$M:$M,MATCH(A365,FPL_Raw_Data!$AA:$AA,0))</f>
        <v>0</v>
      </c>
      <c r="AH365" s="2">
        <f t="shared" si="133"/>
        <v>0</v>
      </c>
      <c r="AI365" s="2">
        <f t="shared" si="134"/>
        <v>5.000000000000001E-2</v>
      </c>
      <c r="AJ365" s="2">
        <f t="shared" si="135"/>
        <v>2</v>
      </c>
      <c r="AK365" s="2">
        <f t="shared" si="136"/>
        <v>2</v>
      </c>
      <c r="AL365" s="2">
        <f t="shared" si="137"/>
        <v>0</v>
      </c>
      <c r="AM365" s="2">
        <f t="shared" si="138"/>
        <v>0</v>
      </c>
      <c r="AN365" s="2">
        <f t="shared" si="139"/>
        <v>0</v>
      </c>
      <c r="AO365" s="3">
        <f t="shared" si="140"/>
        <v>41.4</v>
      </c>
      <c r="AP365">
        <f t="shared" si="141"/>
        <v>54.500000000000007</v>
      </c>
      <c r="AQ365">
        <f t="shared" si="142"/>
        <v>58.199999999999996</v>
      </c>
      <c r="AR365">
        <f t="shared" si="143"/>
        <v>61.7</v>
      </c>
      <c r="AS365" s="2">
        <f t="shared" si="144"/>
        <v>100</v>
      </c>
      <c r="AT365" s="2">
        <f>IFERROR(INDEX(Player_Model!$BC$2:$BC$596,MATCH($A365,Player_Model!$A$2:$A$596,0)),0)</f>
        <v>1.9107661718728308</v>
      </c>
      <c r="AU365" s="2">
        <f>Table8[[#This Row],[Model Expected Points]]*Table8[[#This Row],[Fixture Adjustment]]</f>
        <v>1.5560655780084376</v>
      </c>
      <c r="AV365" s="2">
        <f>Table8[[#This Row],[Fixture Adjusted Points / 90]]/Table8[[#This Row],[Price]]</f>
        <v>0.3890163945021094</v>
      </c>
      <c r="AW365">
        <f t="shared" si="145"/>
        <v>54.500000000000007</v>
      </c>
      <c r="AX365">
        <f t="shared" si="146"/>
        <v>0.90718367346938777</v>
      </c>
      <c r="AY365" s="2">
        <f t="shared" si="147"/>
        <v>100</v>
      </c>
      <c r="AZ365" s="5">
        <f t="shared" si="148"/>
        <v>0.81436734693877555</v>
      </c>
      <c r="BA365">
        <f>Table8[[#This Row],[Model Score2]]</f>
        <v>1.9107661718728308</v>
      </c>
      <c r="BB365">
        <f>IFERROR(INDEX(Player_Model!$BG$2:$BG$596,MATCH($A365,Player_Model!$A$2:$A$596,0)),"")</f>
        <v>92</v>
      </c>
      <c r="BC365" t="str">
        <f t="shared" si="149"/>
        <v>AVOID</v>
      </c>
      <c r="BD365">
        <f>IF(H365=1,Table8[[#This Row],[Model Score]],-10000)</f>
        <v>1.9107661718728308</v>
      </c>
      <c r="BE365">
        <f>IFERROR(INDEX(Player_Model!$BF$2:$BF$596,MATCH($A365,Player_Model!$A$2:$A$596,0)),"")</f>
        <v>248</v>
      </c>
      <c r="BF365">
        <f>IFERROR(INDEX(Player_Model!$BG$2:$BG$596,MATCH($A365,Player_Model!$A$2:$A$596,0)),"")</f>
        <v>92</v>
      </c>
      <c r="BG365">
        <f>IFERROR(INDEX(Player_Model!$BE$2:$BE$596,MATCH($A365,Player_Model!$A$2:$A$596,0)),0)</f>
        <v>1.9107661718728308</v>
      </c>
    </row>
    <row r="366" spans="1:59" x14ac:dyDescent="0.25">
      <c r="A366" t="str">
        <f>tblPlayers[first_name]&amp;" "&amp;tblPlayers[second_name]</f>
        <v>Ben Johnson</v>
      </c>
      <c r="B366" t="str">
        <f>_xlfn.SWITCH(tblPlayers[element_type],1,"GK",2,"DEF",3,"MID",4,"FWD")</f>
        <v>DEF</v>
      </c>
      <c r="C366">
        <f>tblPlayers[team]</f>
        <v>12</v>
      </c>
      <c r="D366" t="str">
        <f>INDEX(tblTeams[Column1.short_name],MATCH(C366,tblTeams[Column1.id],0))</f>
        <v>IPS</v>
      </c>
      <c r="E366" s="4">
        <f>INDEX(FPL_Raw_Data!$F:$F,MATCH(A366,FPL_Raw_Data!$AA:$AA,0))/10</f>
        <v>4</v>
      </c>
      <c r="F366" s="4" t="str">
        <f>tblPlayers[[#This Row],[status]]</f>
        <v>u</v>
      </c>
      <c r="G366" s="4" t="b">
        <f>tblPlayers[[#This Row],[can_select]]</f>
        <v>0</v>
      </c>
      <c r="H366">
        <f>IF(AND(Table8[[#This Row],[Availability Status]]="a",Table8[[#This Row],[Can Select]]=TRUE),1,0)</f>
        <v>0</v>
      </c>
      <c r="I366">
        <f>tblPlayers[minutes]</f>
        <v>0</v>
      </c>
      <c r="J366" s="2">
        <f>Table8[[#This Row],[Minutes]]/90</f>
        <v>0</v>
      </c>
      <c r="K366" s="5">
        <f>IFERROR(Z366/(FIXTURE_ANALYSIS!$B$1-1),0)</f>
        <v>0</v>
      </c>
      <c r="L366">
        <f>tblPlayers[total_points]</f>
        <v>0</v>
      </c>
      <c r="M366">
        <f>tblPlayers[points_per_game]</f>
        <v>0</v>
      </c>
      <c r="N366">
        <f>tblPlayers[form]</f>
        <v>0</v>
      </c>
      <c r="O366">
        <f>tblPlayers[expected_goals]</f>
        <v>0</v>
      </c>
      <c r="P366">
        <f>tblPlayers[expected_assists]</f>
        <v>0</v>
      </c>
      <c r="Q366">
        <f>tblPlayers[expected_goal_involvements]</f>
        <v>0</v>
      </c>
      <c r="R366" s="2">
        <f t="shared" si="125"/>
        <v>0</v>
      </c>
      <c r="S366" s="5">
        <f t="shared" si="126"/>
        <v>0</v>
      </c>
      <c r="T366" s="5">
        <f t="shared" si="127"/>
        <v>0</v>
      </c>
      <c r="U366" s="5">
        <f t="shared" si="128"/>
        <v>0</v>
      </c>
      <c r="V366" s="3">
        <f t="shared" si="129"/>
        <v>0</v>
      </c>
      <c r="W366" s="5">
        <f t="shared" si="130"/>
        <v>0</v>
      </c>
      <c r="X366" s="5">
        <f>IFERROR(IF(OR($B366="MID",$B366="FWD"),INDEX(FIXTURE_ANALYSIS!$Q:$Q,MATCH($D366,FIXTURE_ANALYSIS!$A:$A,0)),INDEX(FIXTURE_ANALYSIS!$R:$R,MATCH($D366,FIXTURE_ANALYSIS!$A:$A,0))),1)</f>
        <v>0.81436734693877555</v>
      </c>
      <c r="Y366" s="5">
        <f t="shared" si="131"/>
        <v>0.81436734693877555</v>
      </c>
      <c r="Z366" s="8">
        <f>INDEX(FPL_Raw_Data!$T:$T,MATCH(A366,FPL_Raw_Data!$AA:$AA,0))</f>
        <v>0</v>
      </c>
      <c r="AA366" s="8">
        <f>INDEX(FPL_Raw_Data!$S:$S,MATCH(A366,FPL_Raw_Data!$AA:$AA,0))</f>
        <v>0</v>
      </c>
      <c r="AB366" s="2">
        <f t="shared" si="132"/>
        <v>0</v>
      </c>
      <c r="AC366" s="2">
        <f>INDEX(FPL_Raw_Data!$Q:$Q,MATCH(A366,FPL_Raw_Data!$AA:$AA,0))</f>
        <v>0</v>
      </c>
      <c r="AD366" s="8">
        <f>INDEX(FPL_Raw_Data!$R:$R,MATCH(A366,FPL_Raw_Data!$AA:$AA,0))</f>
        <v>0</v>
      </c>
      <c r="AE366" s="8">
        <f>INDEX(FPL_Raw_Data!$N:$N,MATCH(A366,FPL_Raw_Data!$AA:$AA,0))</f>
        <v>0</v>
      </c>
      <c r="AF366" s="8">
        <f>INDEX(FPL_Raw_Data!$L:$L,MATCH(A366,FPL_Raw_Data!$AA:$AA,0))</f>
        <v>0</v>
      </c>
      <c r="AG366" s="2">
        <f>INDEX(FPL_Raw_Data!$M:$M,MATCH(A366,FPL_Raw_Data!$AA:$AA,0))</f>
        <v>0</v>
      </c>
      <c r="AH366" s="2">
        <f t="shared" si="133"/>
        <v>0</v>
      </c>
      <c r="AI366" s="2">
        <f t="shared" si="134"/>
        <v>0</v>
      </c>
      <c r="AJ366" s="2">
        <f t="shared" si="135"/>
        <v>0</v>
      </c>
      <c r="AK366" s="2">
        <f t="shared" si="136"/>
        <v>0</v>
      </c>
      <c r="AL366" s="2">
        <f t="shared" si="137"/>
        <v>0</v>
      </c>
      <c r="AM366" s="2">
        <f t="shared" si="138"/>
        <v>0</v>
      </c>
      <c r="AN366" s="2">
        <f t="shared" si="139"/>
        <v>0</v>
      </c>
      <c r="AO366" s="3">
        <f t="shared" si="140"/>
        <v>0.1</v>
      </c>
      <c r="AP366">
        <f t="shared" si="141"/>
        <v>0</v>
      </c>
      <c r="AQ366">
        <f t="shared" si="142"/>
        <v>0.1</v>
      </c>
      <c r="AR366">
        <f t="shared" si="143"/>
        <v>0</v>
      </c>
      <c r="AS366" s="2">
        <f t="shared" si="144"/>
        <v>0</v>
      </c>
      <c r="AT366" s="2">
        <f>IFERROR(INDEX(Player_Model!$BC$2:$BC$596,MATCH($A366,Player_Model!$A$2:$A$596,0)),0)</f>
        <v>-1.0858231292517007</v>
      </c>
      <c r="AU366" s="2">
        <f>Table8[[#This Row],[Model Expected Points]]*Table8[[#This Row],[Fixture Adjustment]]</f>
        <v>-0.8842589010134666</v>
      </c>
      <c r="AV366" s="2">
        <f>Table8[[#This Row],[Fixture Adjusted Points / 90]]/Table8[[#This Row],[Price]]</f>
        <v>-0.22106472525336665</v>
      </c>
      <c r="AW366">
        <f t="shared" si="145"/>
        <v>0</v>
      </c>
      <c r="AX366">
        <f t="shared" si="146"/>
        <v>0.40718367346938777</v>
      </c>
      <c r="AY366" s="2">
        <f t="shared" si="147"/>
        <v>0</v>
      </c>
      <c r="AZ366" s="5">
        <f t="shared" si="148"/>
        <v>0.81436734693877555</v>
      </c>
      <c r="BA366">
        <f>Table8[[#This Row],[Model Score2]]</f>
        <v>-1.0858231292517007</v>
      </c>
      <c r="BB366">
        <f>IFERROR(INDEX(Player_Model!$BG$2:$BG$596,MATCH($A366,Player_Model!$A$2:$A$596,0)),"")</f>
        <v>185</v>
      </c>
      <c r="BC366" t="str">
        <f t="shared" si="149"/>
        <v>AVOID</v>
      </c>
      <c r="BD366">
        <f>IF(H366=1,Table8[[#This Row],[Model Score]],-10000)</f>
        <v>-10000</v>
      </c>
      <c r="BE366">
        <f>IFERROR(INDEX(Player_Model!$BF$2:$BF$596,MATCH($A366,Player_Model!$A$2:$A$596,0)),"")</f>
        <v>587</v>
      </c>
      <c r="BF366">
        <f>IFERROR(INDEX(Player_Model!$BG$2:$BG$596,MATCH($A366,Player_Model!$A$2:$A$596,0)),"")</f>
        <v>185</v>
      </c>
      <c r="BG366">
        <f>IFERROR(INDEX(Player_Model!$BE$2:$BE$596,MATCH($A366,Player_Model!$A$2:$A$596,0)),0)</f>
        <v>-1.0858231292517007</v>
      </c>
    </row>
    <row r="367" spans="1:59" x14ac:dyDescent="0.25">
      <c r="A367" t="str">
        <f>tblPlayers[first_name]&amp;" "&amp;tblPlayers[second_name]</f>
        <v>Darnell Furlong</v>
      </c>
      <c r="B367" t="str">
        <f>_xlfn.SWITCH(tblPlayers[element_type],1,"GK",2,"DEF",3,"MID",4,"FWD")</f>
        <v>DEF</v>
      </c>
      <c r="C367">
        <f>tblPlayers[team]</f>
        <v>12</v>
      </c>
      <c r="D367" t="str">
        <f>INDEX(tblTeams[Column1.short_name],MATCH(C367,tblTeams[Column1.id],0))</f>
        <v>IPS</v>
      </c>
      <c r="E367" s="4">
        <f>INDEX(FPL_Raw_Data!$F:$F,MATCH(A367,FPL_Raw_Data!$AA:$AA,0))/10</f>
        <v>4</v>
      </c>
      <c r="F367" s="4" t="str">
        <f>tblPlayers[[#This Row],[status]]</f>
        <v>a</v>
      </c>
      <c r="G367" s="4" t="b">
        <f>tblPlayers[[#This Row],[can_select]]</f>
        <v>1</v>
      </c>
      <c r="H367">
        <f>IF(AND(Table8[[#This Row],[Availability Status]]="a",Table8[[#This Row],[Can Select]]=TRUE),1,0)</f>
        <v>1</v>
      </c>
      <c r="I367">
        <f>tblPlayers[minutes]</f>
        <v>17</v>
      </c>
      <c r="J367" s="2">
        <f>Table8[[#This Row],[Minutes]]/90</f>
        <v>0.18888888888888888</v>
      </c>
      <c r="K367" s="5">
        <f>IFERROR(Z367/(FIXTURE_ANALYSIS!$B$1-1),0)</f>
        <v>0</v>
      </c>
      <c r="L367">
        <f>tblPlayers[total_points]</f>
        <v>1</v>
      </c>
      <c r="M367">
        <f>tblPlayers[points_per_game]</f>
        <v>1</v>
      </c>
      <c r="N367">
        <f>tblPlayers[form]</f>
        <v>0.3</v>
      </c>
      <c r="O367">
        <f>tblPlayers[expected_goals]</f>
        <v>0</v>
      </c>
      <c r="P367">
        <f>tblPlayers[expected_assists]</f>
        <v>0</v>
      </c>
      <c r="Q367">
        <f>tblPlayers[expected_goal_involvements]</f>
        <v>0</v>
      </c>
      <c r="R367" s="2">
        <f t="shared" si="125"/>
        <v>5.2941176470588234</v>
      </c>
      <c r="S367" s="5">
        <f t="shared" si="126"/>
        <v>0</v>
      </c>
      <c r="T367" s="5">
        <f t="shared" si="127"/>
        <v>0</v>
      </c>
      <c r="U367" s="5">
        <f t="shared" si="128"/>
        <v>0</v>
      </c>
      <c r="V367" s="3">
        <f t="shared" si="129"/>
        <v>0.25</v>
      </c>
      <c r="W367" s="5">
        <f t="shared" si="130"/>
        <v>0</v>
      </c>
      <c r="X367" s="5">
        <f>IFERROR(IF(OR($B367="MID",$B367="FWD"),INDEX(FIXTURE_ANALYSIS!$Q:$Q,MATCH($D367,FIXTURE_ANALYSIS!$A:$A,0)),INDEX(FIXTURE_ANALYSIS!$R:$R,MATCH($D367,FIXTURE_ANALYSIS!$A:$A,0))),1)</f>
        <v>0.81436734693877555</v>
      </c>
      <c r="Y367" s="5">
        <f t="shared" si="131"/>
        <v>0.81436734693877555</v>
      </c>
      <c r="Z367" s="8">
        <f>INDEX(FPL_Raw_Data!$T:$T,MATCH(A367,FPL_Raw_Data!$AA:$AA,0))</f>
        <v>0</v>
      </c>
      <c r="AA367" s="8">
        <f>INDEX(FPL_Raw_Data!$S:$S,MATCH(A367,FPL_Raw_Data!$AA:$AA,0))</f>
        <v>3</v>
      </c>
      <c r="AB367" s="2">
        <f t="shared" si="132"/>
        <v>0.3</v>
      </c>
      <c r="AC367" s="2">
        <f>INDEX(FPL_Raw_Data!$Q:$Q,MATCH(A367,FPL_Raw_Data!$AA:$AA,0))</f>
        <v>0</v>
      </c>
      <c r="AD367" s="8">
        <f>INDEX(FPL_Raw_Data!$R:$R,MATCH(A367,FPL_Raw_Data!$AA:$AA,0))</f>
        <v>-1</v>
      </c>
      <c r="AE367" s="8">
        <f>INDEX(FPL_Raw_Data!$N:$N,MATCH(A367,FPL_Raw_Data!$AA:$AA,0))</f>
        <v>0</v>
      </c>
      <c r="AF367" s="8">
        <f>INDEX(FPL_Raw_Data!$L:$L,MATCH(A367,FPL_Raw_Data!$AA:$AA,0))</f>
        <v>0</v>
      </c>
      <c r="AG367" s="2">
        <f>INDEX(FPL_Raw_Data!$M:$M,MATCH(A367,FPL_Raw_Data!$AA:$AA,0))</f>
        <v>0</v>
      </c>
      <c r="AH367" s="2">
        <f t="shared" si="133"/>
        <v>0</v>
      </c>
      <c r="AI367" s="2">
        <f t="shared" si="134"/>
        <v>0</v>
      </c>
      <c r="AJ367" s="2">
        <f t="shared" si="135"/>
        <v>0</v>
      </c>
      <c r="AK367" s="2">
        <f t="shared" si="136"/>
        <v>0.6</v>
      </c>
      <c r="AL367" s="2">
        <f t="shared" si="137"/>
        <v>0</v>
      </c>
      <c r="AM367" s="2">
        <f t="shared" si="138"/>
        <v>0</v>
      </c>
      <c r="AN367" s="2">
        <f t="shared" si="139"/>
        <v>0</v>
      </c>
      <c r="AO367" s="3">
        <f t="shared" si="140"/>
        <v>77.7</v>
      </c>
      <c r="AP367">
        <f t="shared" si="141"/>
        <v>0</v>
      </c>
      <c r="AQ367">
        <f t="shared" si="142"/>
        <v>49.1</v>
      </c>
      <c r="AR367">
        <f t="shared" si="143"/>
        <v>0</v>
      </c>
      <c r="AS367" s="2">
        <f t="shared" si="144"/>
        <v>0</v>
      </c>
      <c r="AT367" s="2">
        <f>IFERROR(INDEX(Player_Model!$BC$2:$BC$596,MATCH($A367,Player_Model!$A$2:$A$596,0)),0)</f>
        <v>-1.0858231292517007</v>
      </c>
      <c r="AU367" s="2">
        <f>Table8[[#This Row],[Model Expected Points]]*Table8[[#This Row],[Fixture Adjustment]]</f>
        <v>-0.8842589010134666</v>
      </c>
      <c r="AV367" s="2">
        <f>Table8[[#This Row],[Fixture Adjusted Points / 90]]/Table8[[#This Row],[Price]]</f>
        <v>-0.22106472525336665</v>
      </c>
      <c r="AW367">
        <f t="shared" si="145"/>
        <v>0</v>
      </c>
      <c r="AX367">
        <f t="shared" si="146"/>
        <v>0.5571836734693878</v>
      </c>
      <c r="AY367" s="2">
        <f t="shared" si="147"/>
        <v>0</v>
      </c>
      <c r="AZ367" s="5">
        <f t="shared" si="148"/>
        <v>0.81436734693877555</v>
      </c>
      <c r="BA367">
        <f>Table8[[#This Row],[Model Score2]]</f>
        <v>-1.0858231292517007</v>
      </c>
      <c r="BB367">
        <f>IFERROR(INDEX(Player_Model!$BG$2:$BG$596,MATCH($A367,Player_Model!$A$2:$A$596,0)),"")</f>
        <v>186</v>
      </c>
      <c r="BC367" t="str">
        <f t="shared" si="149"/>
        <v>AVOID</v>
      </c>
      <c r="BD367">
        <f>IF(H367=1,Table8[[#This Row],[Model Score]],-10000)</f>
        <v>-1.0858231292517007</v>
      </c>
      <c r="BE367">
        <f>IFERROR(INDEX(Player_Model!$BF$2:$BF$596,MATCH($A367,Player_Model!$A$2:$A$596,0)),"")</f>
        <v>587</v>
      </c>
      <c r="BF367">
        <f>IFERROR(INDEX(Player_Model!$BG$2:$BG$596,MATCH($A367,Player_Model!$A$2:$A$596,0)),"")</f>
        <v>186</v>
      </c>
      <c r="BG367">
        <f>IFERROR(INDEX(Player_Model!$BE$2:$BE$596,MATCH($A367,Player_Model!$A$2:$A$596,0)),0)</f>
        <v>-1.0858231292517007</v>
      </c>
    </row>
    <row r="368" spans="1:59" x14ac:dyDescent="0.25">
      <c r="A368" t="str">
        <f>tblPlayers[first_name]&amp;" "&amp;tblPlayers[second_name]</f>
        <v>Marcelino Núñez</v>
      </c>
      <c r="B368" t="str">
        <f>_xlfn.SWITCH(tblPlayers[element_type],1,"GK",2,"DEF",3,"MID",4,"FWD")</f>
        <v>MID</v>
      </c>
      <c r="C368">
        <f>tblPlayers[team]</f>
        <v>12</v>
      </c>
      <c r="D368" t="str">
        <f>INDEX(tblTeams[Column1.short_name],MATCH(C368,tblTeams[Column1.id],0))</f>
        <v>IPS</v>
      </c>
      <c r="E368" s="4">
        <f>INDEX(FPL_Raw_Data!$F:$F,MATCH(A368,FPL_Raw_Data!$AA:$AA,0))/10</f>
        <v>5</v>
      </c>
      <c r="F368" s="4" t="str">
        <f>tblPlayers[[#This Row],[status]]</f>
        <v>a</v>
      </c>
      <c r="G368" s="4" t="b">
        <f>tblPlayers[[#This Row],[can_select]]</f>
        <v>1</v>
      </c>
      <c r="H368">
        <f>IF(AND(Table8[[#This Row],[Availability Status]]="a",Table8[[#This Row],[Can Select]]=TRUE),1,0)</f>
        <v>1</v>
      </c>
      <c r="I368">
        <f>tblPlayers[minutes]</f>
        <v>140</v>
      </c>
      <c r="J368" s="2">
        <f>Table8[[#This Row],[Minutes]]/90</f>
        <v>1.5555555555555556</v>
      </c>
      <c r="K368" s="5">
        <f>IFERROR(Z368/(FIXTURE_ANALYSIS!$B$1-1),0)</f>
        <v>0.66666666666666663</v>
      </c>
      <c r="L368">
        <f>tblPlayers[total_points]</f>
        <v>6</v>
      </c>
      <c r="M368">
        <f>tblPlayers[points_per_game]</f>
        <v>3</v>
      </c>
      <c r="N368">
        <f>tblPlayers[form]</f>
        <v>2</v>
      </c>
      <c r="O368">
        <f>tblPlayers[expected_goals]</f>
        <v>0.03</v>
      </c>
      <c r="P368">
        <f>tblPlayers[expected_assists]</f>
        <v>0.05</v>
      </c>
      <c r="Q368">
        <f>tblPlayers[expected_goal_involvements]</f>
        <v>0.08</v>
      </c>
      <c r="R368" s="2">
        <f t="shared" si="125"/>
        <v>3.8571428571428572</v>
      </c>
      <c r="S368" s="5">
        <f t="shared" si="126"/>
        <v>1.9285714285714285E-2</v>
      </c>
      <c r="T368" s="5">
        <f t="shared" si="127"/>
        <v>3.214285714285714E-2</v>
      </c>
      <c r="U368" s="5">
        <f t="shared" si="128"/>
        <v>5.1428571428571435E-2</v>
      </c>
      <c r="V368" s="3">
        <f t="shared" si="129"/>
        <v>1.2</v>
      </c>
      <c r="W368" s="5">
        <f t="shared" si="130"/>
        <v>1.6E-2</v>
      </c>
      <c r="X368" s="5">
        <f>IFERROR(IF(OR($B368="MID",$B368="FWD"),INDEX(FIXTURE_ANALYSIS!$Q:$Q,MATCH($D368,FIXTURE_ANALYSIS!$A:$A,0)),INDEX(FIXTURE_ANALYSIS!$R:$R,MATCH($D368,FIXTURE_ANALYSIS!$A:$A,0))),1)</f>
        <v>1.0097491349480967</v>
      </c>
      <c r="Y368" s="5">
        <f t="shared" si="131"/>
        <v>1.0097491349480967</v>
      </c>
      <c r="Z368" s="8">
        <f>INDEX(FPL_Raw_Data!$T:$T,MATCH(A368,FPL_Raw_Data!$AA:$AA,0))</f>
        <v>2</v>
      </c>
      <c r="AA368" s="8">
        <f>INDEX(FPL_Raw_Data!$S:$S,MATCH(A368,FPL_Raw_Data!$AA:$AA,0))</f>
        <v>21</v>
      </c>
      <c r="AB368" s="2">
        <f t="shared" si="132"/>
        <v>1</v>
      </c>
      <c r="AC368" s="2">
        <f>INDEX(FPL_Raw_Data!$Q:$Q,MATCH(A368,FPL_Raw_Data!$AA:$AA,0))</f>
        <v>0</v>
      </c>
      <c r="AD368" s="8">
        <f>INDEX(FPL_Raw_Data!$R:$R,MATCH(A368,FPL_Raw_Data!$AA:$AA,0))</f>
        <v>32</v>
      </c>
      <c r="AE368" s="8">
        <f>INDEX(FPL_Raw_Data!$N:$N,MATCH(A368,FPL_Raw_Data!$AA:$AA,0))</f>
        <v>0</v>
      </c>
      <c r="AF368" s="8">
        <f>INDEX(FPL_Raw_Data!$L:$L,MATCH(A368,FPL_Raw_Data!$AA:$AA,0))</f>
        <v>0</v>
      </c>
      <c r="AG368" s="2">
        <f>INDEX(FPL_Raw_Data!$M:$M,MATCH(A368,FPL_Raw_Data!$AA:$AA,0))</f>
        <v>0</v>
      </c>
      <c r="AH368" s="2">
        <f t="shared" si="133"/>
        <v>9.6428571428571419E-2</v>
      </c>
      <c r="AI368" s="2">
        <f t="shared" si="134"/>
        <v>9.6428571428571419E-2</v>
      </c>
      <c r="AJ368" s="2">
        <f t="shared" si="135"/>
        <v>1.3333333333333333</v>
      </c>
      <c r="AK368" s="2">
        <f t="shared" si="136"/>
        <v>2</v>
      </c>
      <c r="AL368" s="2">
        <f t="shared" si="137"/>
        <v>0</v>
      </c>
      <c r="AM368" s="2">
        <f t="shared" si="138"/>
        <v>0</v>
      </c>
      <c r="AN368" s="2">
        <f t="shared" si="139"/>
        <v>0</v>
      </c>
      <c r="AO368" s="3">
        <f t="shared" si="140"/>
        <v>68.600000000000009</v>
      </c>
      <c r="AP368">
        <f t="shared" si="141"/>
        <v>62.1</v>
      </c>
      <c r="AQ368">
        <f t="shared" si="142"/>
        <v>72.2</v>
      </c>
      <c r="AR368">
        <f t="shared" si="143"/>
        <v>63.800000000000004</v>
      </c>
      <c r="AS368" s="2">
        <f t="shared" si="144"/>
        <v>66.666666666666657</v>
      </c>
      <c r="AT368" s="2">
        <f>IFERROR(INDEX(Player_Model!$BC$2:$BC$596,MATCH($A368,Player_Model!$A$2:$A$596,0)),0)</f>
        <v>4.4861711566979725</v>
      </c>
      <c r="AU368" s="2">
        <f>Table8[[#This Row],[Model Expected Points]]*Table8[[#This Row],[Fixture Adjustment]]</f>
        <v>4.5299074447048797</v>
      </c>
      <c r="AV368" s="2">
        <f>Table8[[#This Row],[Fixture Adjusted Points / 90]]/Table8[[#This Row],[Price]]</f>
        <v>0.90598148894097597</v>
      </c>
      <c r="AW368">
        <f t="shared" si="145"/>
        <v>65.350000000000009</v>
      </c>
      <c r="AX368">
        <f t="shared" si="146"/>
        <v>1</v>
      </c>
      <c r="AY368" s="2">
        <f t="shared" si="147"/>
        <v>66.666666666666657</v>
      </c>
      <c r="AZ368" s="5">
        <f t="shared" si="148"/>
        <v>1.0097491349480967</v>
      </c>
      <c r="BA368">
        <f>Table8[[#This Row],[Model Score2]]</f>
        <v>4.4861711566979725</v>
      </c>
      <c r="BB368">
        <f>IFERROR(INDEX(Player_Model!$BG$2:$BG$596,MATCH($A368,Player_Model!$A$2:$A$596,0)),"")</f>
        <v>59</v>
      </c>
      <c r="BC368" t="str">
        <f t="shared" si="149"/>
        <v>AVOID</v>
      </c>
      <c r="BD368">
        <f>IF(H368=1,Table8[[#This Row],[Model Score]],-10000)</f>
        <v>4.4861711566979725</v>
      </c>
      <c r="BE368">
        <f>IFERROR(INDEX(Player_Model!$BF$2:$BF$596,MATCH($A368,Player_Model!$A$2:$A$596,0)),"")</f>
        <v>124</v>
      </c>
      <c r="BF368">
        <f>IFERROR(INDEX(Player_Model!$BG$2:$BG$596,MATCH($A368,Player_Model!$A$2:$A$596,0)),"")</f>
        <v>59</v>
      </c>
      <c r="BG368">
        <f>IFERROR(INDEX(Player_Model!$BE$2:$BE$596,MATCH($A368,Player_Model!$A$2:$A$596,0)),0)</f>
        <v>4.4861711566979725</v>
      </c>
    </row>
    <row r="369" spans="1:59" x14ac:dyDescent="0.25">
      <c r="A369" t="str">
        <f>tblPlayers[first_name]&amp;" "&amp;tblPlayers[second_name]</f>
        <v>Azor Matusiwa</v>
      </c>
      <c r="B369" t="str">
        <f>_xlfn.SWITCH(tblPlayers[element_type],1,"GK",2,"DEF",3,"MID",4,"FWD")</f>
        <v>MID</v>
      </c>
      <c r="C369">
        <f>tblPlayers[team]</f>
        <v>12</v>
      </c>
      <c r="D369" t="str">
        <f>INDEX(tblTeams[Column1.short_name],MATCH(C369,tblTeams[Column1.id],0))</f>
        <v>IPS</v>
      </c>
      <c r="E369" s="4">
        <f>INDEX(FPL_Raw_Data!$F:$F,MATCH(A369,FPL_Raw_Data!$AA:$AA,0))/10</f>
        <v>5</v>
      </c>
      <c r="F369" s="4" t="str">
        <f>tblPlayers[[#This Row],[status]]</f>
        <v>i</v>
      </c>
      <c r="G369" s="4" t="b">
        <f>tblPlayers[[#This Row],[can_select]]</f>
        <v>1</v>
      </c>
      <c r="H369">
        <f>IF(AND(Table8[[#This Row],[Availability Status]]="a",Table8[[#This Row],[Can Select]]=TRUE),1,0)</f>
        <v>0</v>
      </c>
      <c r="I369">
        <f>tblPlayers[minutes]</f>
        <v>0</v>
      </c>
      <c r="J369" s="2">
        <f>Table8[[#This Row],[Minutes]]/90</f>
        <v>0</v>
      </c>
      <c r="K369" s="5">
        <f>IFERROR(Z369/(FIXTURE_ANALYSIS!$B$1-1),0)</f>
        <v>0</v>
      </c>
      <c r="L369">
        <f>tblPlayers[total_points]</f>
        <v>0</v>
      </c>
      <c r="M369">
        <f>tblPlayers[points_per_game]</f>
        <v>0</v>
      </c>
      <c r="N369">
        <f>tblPlayers[form]</f>
        <v>0</v>
      </c>
      <c r="O369">
        <f>tblPlayers[expected_goals]</f>
        <v>0</v>
      </c>
      <c r="P369">
        <f>tblPlayers[expected_assists]</f>
        <v>0</v>
      </c>
      <c r="Q369">
        <f>tblPlayers[expected_goal_involvements]</f>
        <v>0</v>
      </c>
      <c r="R369" s="2">
        <f t="shared" si="125"/>
        <v>0</v>
      </c>
      <c r="S369" s="5">
        <f t="shared" si="126"/>
        <v>0</v>
      </c>
      <c r="T369" s="5">
        <f t="shared" si="127"/>
        <v>0</v>
      </c>
      <c r="U369" s="5">
        <f t="shared" si="128"/>
        <v>0</v>
      </c>
      <c r="V369" s="3">
        <f t="shared" si="129"/>
        <v>0</v>
      </c>
      <c r="W369" s="5">
        <f t="shared" si="130"/>
        <v>0</v>
      </c>
      <c r="X369" s="5">
        <f>IFERROR(IF(OR($B369="MID",$B369="FWD"),INDEX(FIXTURE_ANALYSIS!$Q:$Q,MATCH($D369,FIXTURE_ANALYSIS!$A:$A,0)),INDEX(FIXTURE_ANALYSIS!$R:$R,MATCH($D369,FIXTURE_ANALYSIS!$A:$A,0))),1)</f>
        <v>1.0097491349480967</v>
      </c>
      <c r="Y369" s="5">
        <f t="shared" si="131"/>
        <v>1.0097491349480967</v>
      </c>
      <c r="Z369" s="8">
        <f>INDEX(FPL_Raw_Data!$T:$T,MATCH(A369,FPL_Raw_Data!$AA:$AA,0))</f>
        <v>0</v>
      </c>
      <c r="AA369" s="8">
        <f>INDEX(FPL_Raw_Data!$S:$S,MATCH(A369,FPL_Raw_Data!$AA:$AA,0))</f>
        <v>0</v>
      </c>
      <c r="AB369" s="2">
        <f t="shared" si="132"/>
        <v>0</v>
      </c>
      <c r="AC369" s="2">
        <f>INDEX(FPL_Raw_Data!$Q:$Q,MATCH(A369,FPL_Raw_Data!$AA:$AA,0))</f>
        <v>0</v>
      </c>
      <c r="AD369" s="8">
        <f>INDEX(FPL_Raw_Data!$R:$R,MATCH(A369,FPL_Raw_Data!$AA:$AA,0))</f>
        <v>0</v>
      </c>
      <c r="AE369" s="8">
        <f>INDEX(FPL_Raw_Data!$N:$N,MATCH(A369,FPL_Raw_Data!$AA:$AA,0))</f>
        <v>0</v>
      </c>
      <c r="AF369" s="8">
        <f>INDEX(FPL_Raw_Data!$L:$L,MATCH(A369,FPL_Raw_Data!$AA:$AA,0))</f>
        <v>0</v>
      </c>
      <c r="AG369" s="2">
        <f>INDEX(FPL_Raw_Data!$M:$M,MATCH(A369,FPL_Raw_Data!$AA:$AA,0))</f>
        <v>0</v>
      </c>
      <c r="AH369" s="2">
        <f t="shared" si="133"/>
        <v>0</v>
      </c>
      <c r="AI369" s="2">
        <f t="shared" si="134"/>
        <v>0</v>
      </c>
      <c r="AJ369" s="2">
        <f t="shared" si="135"/>
        <v>0</v>
      </c>
      <c r="AK369" s="2">
        <f t="shared" si="136"/>
        <v>0</v>
      </c>
      <c r="AL369" s="2">
        <f t="shared" si="137"/>
        <v>0</v>
      </c>
      <c r="AM369" s="2">
        <f t="shared" si="138"/>
        <v>0</v>
      </c>
      <c r="AN369" s="2">
        <f t="shared" si="139"/>
        <v>0</v>
      </c>
      <c r="AO369" s="3">
        <f t="shared" si="140"/>
        <v>0.1</v>
      </c>
      <c r="AP369">
        <f t="shared" si="141"/>
        <v>0</v>
      </c>
      <c r="AQ369">
        <f t="shared" si="142"/>
        <v>0.1</v>
      </c>
      <c r="AR369">
        <f t="shared" si="143"/>
        <v>0</v>
      </c>
      <c r="AS369" s="2">
        <f t="shared" si="144"/>
        <v>0</v>
      </c>
      <c r="AT369" s="2">
        <f>IFERROR(INDEX(Player_Model!$BC$2:$BC$596,MATCH($A369,Player_Model!$A$2:$A$596,0)),0)</f>
        <v>0</v>
      </c>
      <c r="AU369" s="2">
        <f>Table8[[#This Row],[Model Expected Points]]*Table8[[#This Row],[Fixture Adjustment]]</f>
        <v>0</v>
      </c>
      <c r="AV369" s="2">
        <f>Table8[[#This Row],[Fixture Adjusted Points / 90]]/Table8[[#This Row],[Price]]</f>
        <v>0</v>
      </c>
      <c r="AW369">
        <f t="shared" si="145"/>
        <v>0.05</v>
      </c>
      <c r="AX369">
        <f t="shared" si="146"/>
        <v>0</v>
      </c>
      <c r="AY369" s="2">
        <f t="shared" si="147"/>
        <v>0</v>
      </c>
      <c r="AZ369" s="5">
        <f t="shared" si="148"/>
        <v>1.0097491349480967</v>
      </c>
      <c r="BA369">
        <f>Table8[[#This Row],[Model Score2]]</f>
        <v>0</v>
      </c>
      <c r="BB369">
        <f>IFERROR(INDEX(Player_Model!$BG$2:$BG$596,MATCH($A369,Player_Model!$A$2:$A$596,0)),"")</f>
        <v>206</v>
      </c>
      <c r="BC369" t="str">
        <f t="shared" si="149"/>
        <v>AVOID</v>
      </c>
      <c r="BD369">
        <f>IF(H369=1,Table8[[#This Row],[Model Score]],-10000)</f>
        <v>-10000</v>
      </c>
      <c r="BE369">
        <f>IFERROR(INDEX(Player_Model!$BF$2:$BF$596,MATCH($A369,Player_Model!$A$2:$A$596,0)),"")</f>
        <v>253</v>
      </c>
      <c r="BF369">
        <f>IFERROR(INDEX(Player_Model!$BG$2:$BG$596,MATCH($A369,Player_Model!$A$2:$A$596,0)),"")</f>
        <v>206</v>
      </c>
      <c r="BG369">
        <f>IFERROR(INDEX(Player_Model!$BE$2:$BE$596,MATCH($A369,Player_Model!$A$2:$A$596,0)),0)</f>
        <v>0</v>
      </c>
    </row>
    <row r="370" spans="1:59" x14ac:dyDescent="0.25">
      <c r="A370" t="str">
        <f>tblPlayers[first_name]&amp;" "&amp;tblPlayers[second_name]</f>
        <v>Wes Burns</v>
      </c>
      <c r="B370" t="str">
        <f>_xlfn.SWITCH(tblPlayers[element_type],1,"GK",2,"DEF",3,"MID",4,"FWD")</f>
        <v>MID</v>
      </c>
      <c r="C370">
        <f>tblPlayers[team]</f>
        <v>12</v>
      </c>
      <c r="D370" t="str">
        <f>INDEX(tblTeams[Column1.short_name],MATCH(C370,tblTeams[Column1.id],0))</f>
        <v>IPS</v>
      </c>
      <c r="E370" s="4">
        <f>INDEX(FPL_Raw_Data!$F:$F,MATCH(A370,FPL_Raw_Data!$AA:$AA,0))/10</f>
        <v>5</v>
      </c>
      <c r="F370" s="4" t="str">
        <f>tblPlayers[[#This Row],[status]]</f>
        <v>u</v>
      </c>
      <c r="G370" s="4" t="b">
        <f>tblPlayers[[#This Row],[can_select]]</f>
        <v>0</v>
      </c>
      <c r="H370">
        <f>IF(AND(Table8[[#This Row],[Availability Status]]="a",Table8[[#This Row],[Can Select]]=TRUE),1,0)</f>
        <v>0</v>
      </c>
      <c r="I370">
        <f>tblPlayers[minutes]</f>
        <v>0</v>
      </c>
      <c r="J370" s="2">
        <f>Table8[[#This Row],[Minutes]]/90</f>
        <v>0</v>
      </c>
      <c r="K370" s="5">
        <f>IFERROR(Z370/(FIXTURE_ANALYSIS!$B$1-1),0)</f>
        <v>0</v>
      </c>
      <c r="L370">
        <f>tblPlayers[total_points]</f>
        <v>0</v>
      </c>
      <c r="M370">
        <f>tblPlayers[points_per_game]</f>
        <v>0</v>
      </c>
      <c r="N370">
        <f>tblPlayers[form]</f>
        <v>0</v>
      </c>
      <c r="O370">
        <f>tblPlayers[expected_goals]</f>
        <v>0</v>
      </c>
      <c r="P370">
        <f>tblPlayers[expected_assists]</f>
        <v>0</v>
      </c>
      <c r="Q370">
        <f>tblPlayers[expected_goal_involvements]</f>
        <v>0</v>
      </c>
      <c r="R370" s="2">
        <f t="shared" si="125"/>
        <v>0</v>
      </c>
      <c r="S370" s="5">
        <f t="shared" si="126"/>
        <v>0</v>
      </c>
      <c r="T370" s="5">
        <f t="shared" si="127"/>
        <v>0</v>
      </c>
      <c r="U370" s="5">
        <f t="shared" si="128"/>
        <v>0</v>
      </c>
      <c r="V370" s="3">
        <f t="shared" si="129"/>
        <v>0</v>
      </c>
      <c r="W370" s="5">
        <f t="shared" si="130"/>
        <v>0</v>
      </c>
      <c r="X370" s="5">
        <f>IFERROR(IF(OR($B370="MID",$B370="FWD"),INDEX(FIXTURE_ANALYSIS!$Q:$Q,MATCH($D370,FIXTURE_ANALYSIS!$A:$A,0)),INDEX(FIXTURE_ANALYSIS!$R:$R,MATCH($D370,FIXTURE_ANALYSIS!$A:$A,0))),1)</f>
        <v>1.0097491349480967</v>
      </c>
      <c r="Y370" s="5">
        <f t="shared" si="131"/>
        <v>1.0097491349480967</v>
      </c>
      <c r="Z370" s="8">
        <f>INDEX(FPL_Raw_Data!$T:$T,MATCH(A370,FPL_Raw_Data!$AA:$AA,0))</f>
        <v>0</v>
      </c>
      <c r="AA370" s="8">
        <f>INDEX(FPL_Raw_Data!$S:$S,MATCH(A370,FPL_Raw_Data!$AA:$AA,0))</f>
        <v>0</v>
      </c>
      <c r="AB370" s="2">
        <f t="shared" si="132"/>
        <v>0</v>
      </c>
      <c r="AC370" s="2">
        <f>INDEX(FPL_Raw_Data!$Q:$Q,MATCH(A370,FPL_Raw_Data!$AA:$AA,0))</f>
        <v>0</v>
      </c>
      <c r="AD370" s="8">
        <f>INDEX(FPL_Raw_Data!$R:$R,MATCH(A370,FPL_Raw_Data!$AA:$AA,0))</f>
        <v>0</v>
      </c>
      <c r="AE370" s="8">
        <f>INDEX(FPL_Raw_Data!$N:$N,MATCH(A370,FPL_Raw_Data!$AA:$AA,0))</f>
        <v>0</v>
      </c>
      <c r="AF370" s="8">
        <f>INDEX(FPL_Raw_Data!$L:$L,MATCH(A370,FPL_Raw_Data!$AA:$AA,0))</f>
        <v>0</v>
      </c>
      <c r="AG370" s="2">
        <f>INDEX(FPL_Raw_Data!$M:$M,MATCH(A370,FPL_Raw_Data!$AA:$AA,0))</f>
        <v>0</v>
      </c>
      <c r="AH370" s="2">
        <f t="shared" si="133"/>
        <v>0</v>
      </c>
      <c r="AI370" s="2">
        <f t="shared" si="134"/>
        <v>0</v>
      </c>
      <c r="AJ370" s="2">
        <f t="shared" si="135"/>
        <v>0</v>
      </c>
      <c r="AK370" s="2">
        <f t="shared" si="136"/>
        <v>0</v>
      </c>
      <c r="AL370" s="2">
        <f t="shared" si="137"/>
        <v>0</v>
      </c>
      <c r="AM370" s="2">
        <f t="shared" si="138"/>
        <v>0</v>
      </c>
      <c r="AN370" s="2">
        <f t="shared" si="139"/>
        <v>0</v>
      </c>
      <c r="AO370" s="3">
        <f t="shared" si="140"/>
        <v>0.1</v>
      </c>
      <c r="AP370">
        <f t="shared" si="141"/>
        <v>0</v>
      </c>
      <c r="AQ370">
        <f t="shared" si="142"/>
        <v>0.1</v>
      </c>
      <c r="AR370">
        <f t="shared" si="143"/>
        <v>0</v>
      </c>
      <c r="AS370" s="2">
        <f t="shared" si="144"/>
        <v>0</v>
      </c>
      <c r="AT370" s="2">
        <f>IFERROR(INDEX(Player_Model!$BC$2:$BC$596,MATCH($A370,Player_Model!$A$2:$A$596,0)),0)</f>
        <v>0</v>
      </c>
      <c r="AU370" s="2">
        <f>Table8[[#This Row],[Model Expected Points]]*Table8[[#This Row],[Fixture Adjustment]]</f>
        <v>0</v>
      </c>
      <c r="AV370" s="2">
        <f>Table8[[#This Row],[Fixture Adjusted Points / 90]]/Table8[[#This Row],[Price]]</f>
        <v>0</v>
      </c>
      <c r="AW370">
        <f t="shared" si="145"/>
        <v>0.05</v>
      </c>
      <c r="AX370">
        <f t="shared" si="146"/>
        <v>0</v>
      </c>
      <c r="AY370" s="2">
        <f t="shared" si="147"/>
        <v>0</v>
      </c>
      <c r="AZ370" s="5">
        <f t="shared" si="148"/>
        <v>1.0097491349480967</v>
      </c>
      <c r="BA370">
        <f>Table8[[#This Row],[Model Score2]]</f>
        <v>0</v>
      </c>
      <c r="BB370">
        <f>IFERROR(INDEX(Player_Model!$BG$2:$BG$596,MATCH($A370,Player_Model!$A$2:$A$596,0)),"")</f>
        <v>207</v>
      </c>
      <c r="BC370" t="str">
        <f t="shared" si="149"/>
        <v>AVOID</v>
      </c>
      <c r="BD370">
        <f>IF(H370=1,Table8[[#This Row],[Model Score]],-10000)</f>
        <v>-10000</v>
      </c>
      <c r="BE370">
        <f>IFERROR(INDEX(Player_Model!$BF$2:$BF$596,MATCH($A370,Player_Model!$A$2:$A$596,0)),"")</f>
        <v>253</v>
      </c>
      <c r="BF370">
        <f>IFERROR(INDEX(Player_Model!$BG$2:$BG$596,MATCH($A370,Player_Model!$A$2:$A$596,0)),"")</f>
        <v>207</v>
      </c>
      <c r="BG370">
        <f>IFERROR(INDEX(Player_Model!$BE$2:$BE$596,MATCH($A370,Player_Model!$A$2:$A$596,0)),0)</f>
        <v>0</v>
      </c>
    </row>
    <row r="371" spans="1:59" x14ac:dyDescent="0.25">
      <c r="A371" t="str">
        <f>tblPlayers[first_name]&amp;" "&amp;tblPlayers[second_name]</f>
        <v>Jack Taylor</v>
      </c>
      <c r="B371" t="str">
        <f>_xlfn.SWITCH(tblPlayers[element_type],1,"GK",2,"DEF",3,"MID",4,"FWD")</f>
        <v>MID</v>
      </c>
      <c r="C371">
        <f>tblPlayers[team]</f>
        <v>12</v>
      </c>
      <c r="D371" t="str">
        <f>INDEX(tblTeams[Column1.short_name],MATCH(C371,tblTeams[Column1.id],0))</f>
        <v>IPS</v>
      </c>
      <c r="E371" s="4">
        <f>INDEX(FPL_Raw_Data!$F:$F,MATCH(A371,FPL_Raw_Data!$AA:$AA,0))/10</f>
        <v>4.5</v>
      </c>
      <c r="F371" s="4" t="str">
        <f>tblPlayers[[#This Row],[status]]</f>
        <v>i</v>
      </c>
      <c r="G371" s="4" t="b">
        <f>tblPlayers[[#This Row],[can_select]]</f>
        <v>1</v>
      </c>
      <c r="H371">
        <f>IF(AND(Table8[[#This Row],[Availability Status]]="a",Table8[[#This Row],[Can Select]]=TRUE),1,0)</f>
        <v>0</v>
      </c>
      <c r="I371">
        <f>tblPlayers[minutes]</f>
        <v>0</v>
      </c>
      <c r="J371" s="2">
        <f>Table8[[#This Row],[Minutes]]/90</f>
        <v>0</v>
      </c>
      <c r="K371" s="5">
        <f>IFERROR(Z371/(FIXTURE_ANALYSIS!$B$1-1),0)</f>
        <v>0</v>
      </c>
      <c r="L371">
        <f>tblPlayers[total_points]</f>
        <v>0</v>
      </c>
      <c r="M371">
        <f>tblPlayers[points_per_game]</f>
        <v>0</v>
      </c>
      <c r="N371">
        <f>tblPlayers[form]</f>
        <v>0</v>
      </c>
      <c r="O371">
        <f>tblPlayers[expected_goals]</f>
        <v>0</v>
      </c>
      <c r="P371">
        <f>tblPlayers[expected_assists]</f>
        <v>0</v>
      </c>
      <c r="Q371">
        <f>tblPlayers[expected_goal_involvements]</f>
        <v>0</v>
      </c>
      <c r="R371" s="2">
        <f t="shared" si="125"/>
        <v>0</v>
      </c>
      <c r="S371" s="5">
        <f t="shared" si="126"/>
        <v>0</v>
      </c>
      <c r="T371" s="5">
        <f t="shared" si="127"/>
        <v>0</v>
      </c>
      <c r="U371" s="5">
        <f t="shared" si="128"/>
        <v>0</v>
      </c>
      <c r="V371" s="3">
        <f t="shared" si="129"/>
        <v>0</v>
      </c>
      <c r="W371" s="5">
        <f t="shared" si="130"/>
        <v>0</v>
      </c>
      <c r="X371" s="5">
        <f>IFERROR(IF(OR($B371="MID",$B371="FWD"),INDEX(FIXTURE_ANALYSIS!$Q:$Q,MATCH($D371,FIXTURE_ANALYSIS!$A:$A,0)),INDEX(FIXTURE_ANALYSIS!$R:$R,MATCH($D371,FIXTURE_ANALYSIS!$A:$A,0))),1)</f>
        <v>1.0097491349480967</v>
      </c>
      <c r="Y371" s="5">
        <f t="shared" si="131"/>
        <v>1.0097491349480967</v>
      </c>
      <c r="Z371" s="8">
        <f>INDEX(FPL_Raw_Data!$T:$T,MATCH(A371,FPL_Raw_Data!$AA:$AA,0))</f>
        <v>0</v>
      </c>
      <c r="AA371" s="8">
        <f>INDEX(FPL_Raw_Data!$S:$S,MATCH(A371,FPL_Raw_Data!$AA:$AA,0))</f>
        <v>0</v>
      </c>
      <c r="AB371" s="2">
        <f t="shared" si="132"/>
        <v>0</v>
      </c>
      <c r="AC371" s="2">
        <f>INDEX(FPL_Raw_Data!$Q:$Q,MATCH(A371,FPL_Raw_Data!$AA:$AA,0))</f>
        <v>0</v>
      </c>
      <c r="AD371" s="8">
        <f>INDEX(FPL_Raw_Data!$R:$R,MATCH(A371,FPL_Raw_Data!$AA:$AA,0))</f>
        <v>0</v>
      </c>
      <c r="AE371" s="8">
        <f>INDEX(FPL_Raw_Data!$N:$N,MATCH(A371,FPL_Raw_Data!$AA:$AA,0))</f>
        <v>0</v>
      </c>
      <c r="AF371" s="8">
        <f>INDEX(FPL_Raw_Data!$L:$L,MATCH(A371,FPL_Raw_Data!$AA:$AA,0))</f>
        <v>0</v>
      </c>
      <c r="AG371" s="2">
        <f>INDEX(FPL_Raw_Data!$M:$M,MATCH(A371,FPL_Raw_Data!$AA:$AA,0))</f>
        <v>0</v>
      </c>
      <c r="AH371" s="2">
        <f t="shared" si="133"/>
        <v>0</v>
      </c>
      <c r="AI371" s="2">
        <f t="shared" si="134"/>
        <v>0</v>
      </c>
      <c r="AJ371" s="2">
        <f t="shared" si="135"/>
        <v>0</v>
      </c>
      <c r="AK371" s="2">
        <f t="shared" si="136"/>
        <v>0</v>
      </c>
      <c r="AL371" s="2">
        <f t="shared" si="137"/>
        <v>0</v>
      </c>
      <c r="AM371" s="2">
        <f t="shared" si="138"/>
        <v>0</v>
      </c>
      <c r="AN371" s="2">
        <f t="shared" si="139"/>
        <v>0</v>
      </c>
      <c r="AO371" s="3">
        <f t="shared" si="140"/>
        <v>0.1</v>
      </c>
      <c r="AP371">
        <f t="shared" si="141"/>
        <v>0</v>
      </c>
      <c r="AQ371">
        <f t="shared" si="142"/>
        <v>0.1</v>
      </c>
      <c r="AR371">
        <f t="shared" si="143"/>
        <v>0</v>
      </c>
      <c r="AS371" s="2">
        <f t="shared" si="144"/>
        <v>0</v>
      </c>
      <c r="AT371" s="2">
        <f>IFERROR(INDEX(Player_Model!$BC$2:$BC$596,MATCH($A371,Player_Model!$A$2:$A$596,0)),0)</f>
        <v>0</v>
      </c>
      <c r="AU371" s="2">
        <f>Table8[[#This Row],[Model Expected Points]]*Table8[[#This Row],[Fixture Adjustment]]</f>
        <v>0</v>
      </c>
      <c r="AV371" s="2">
        <f>Table8[[#This Row],[Fixture Adjusted Points / 90]]/Table8[[#This Row],[Price]]</f>
        <v>0</v>
      </c>
      <c r="AW371">
        <f t="shared" si="145"/>
        <v>0.05</v>
      </c>
      <c r="AX371">
        <f t="shared" si="146"/>
        <v>0</v>
      </c>
      <c r="AY371" s="2">
        <f t="shared" si="147"/>
        <v>0</v>
      </c>
      <c r="AZ371" s="5">
        <f t="shared" si="148"/>
        <v>1.0097491349480967</v>
      </c>
      <c r="BA371">
        <f>Table8[[#This Row],[Model Score2]]</f>
        <v>0</v>
      </c>
      <c r="BB371">
        <f>IFERROR(INDEX(Player_Model!$BG$2:$BG$596,MATCH($A371,Player_Model!$A$2:$A$596,0)),"")</f>
        <v>208</v>
      </c>
      <c r="BC371" t="str">
        <f t="shared" si="149"/>
        <v>AVOID</v>
      </c>
      <c r="BD371">
        <f>IF(H371=1,Table8[[#This Row],[Model Score]],-10000)</f>
        <v>-10000</v>
      </c>
      <c r="BE371">
        <f>IFERROR(INDEX(Player_Model!$BF$2:$BF$596,MATCH($A371,Player_Model!$A$2:$A$596,0)),"")</f>
        <v>253</v>
      </c>
      <c r="BF371">
        <f>IFERROR(INDEX(Player_Model!$BG$2:$BG$596,MATCH($A371,Player_Model!$A$2:$A$596,0)),"")</f>
        <v>208</v>
      </c>
      <c r="BG371">
        <f>IFERROR(INDEX(Player_Model!$BE$2:$BE$596,MATCH($A371,Player_Model!$A$2:$A$596,0)),0)</f>
        <v>0</v>
      </c>
    </row>
    <row r="372" spans="1:59" x14ac:dyDescent="0.25">
      <c r="A372" t="str">
        <f>tblPlayers[first_name]&amp;" "&amp;tblPlayers[second_name]</f>
        <v>Jack Clarke</v>
      </c>
      <c r="B372" t="str">
        <f>_xlfn.SWITCH(tblPlayers[element_type],1,"GK",2,"DEF",3,"MID",4,"FWD")</f>
        <v>MID</v>
      </c>
      <c r="C372">
        <f>tblPlayers[team]</f>
        <v>12</v>
      </c>
      <c r="D372" t="str">
        <f>INDEX(tblTeams[Column1.short_name],MATCH(C372,tblTeams[Column1.id],0))</f>
        <v>IPS</v>
      </c>
      <c r="E372" s="4">
        <f>INDEX(FPL_Raw_Data!$F:$F,MATCH(A372,FPL_Raw_Data!$AA:$AA,0))/10</f>
        <v>5.5</v>
      </c>
      <c r="F372" s="4" t="str">
        <f>tblPlayers[[#This Row],[status]]</f>
        <v>a</v>
      </c>
      <c r="G372" s="4" t="b">
        <f>tblPlayers[[#This Row],[can_select]]</f>
        <v>1</v>
      </c>
      <c r="H372">
        <f>IF(AND(Table8[[#This Row],[Availability Status]]="a",Table8[[#This Row],[Can Select]]=TRUE),1,0)</f>
        <v>1</v>
      </c>
      <c r="I372">
        <f>tblPlayers[minutes]</f>
        <v>43</v>
      </c>
      <c r="J372" s="2">
        <f>Table8[[#This Row],[Minutes]]/90</f>
        <v>0.4777777777777778</v>
      </c>
      <c r="K372" s="5">
        <f>IFERROR(Z372/(FIXTURE_ANALYSIS!$B$1-1),0)</f>
        <v>0</v>
      </c>
      <c r="L372">
        <f>tblPlayers[total_points]</f>
        <v>8</v>
      </c>
      <c r="M372">
        <f>tblPlayers[points_per_game]</f>
        <v>4</v>
      </c>
      <c r="N372">
        <f>tblPlayers[form]</f>
        <v>2.7</v>
      </c>
      <c r="O372">
        <f>tblPlayers[expected_goals]</f>
        <v>0.15</v>
      </c>
      <c r="P372">
        <f>tblPlayers[expected_assists]</f>
        <v>0.02</v>
      </c>
      <c r="Q372">
        <f>tblPlayers[expected_goal_involvements]</f>
        <v>0.17</v>
      </c>
      <c r="R372" s="2">
        <f t="shared" si="125"/>
        <v>16.744186046511629</v>
      </c>
      <c r="S372" s="5">
        <f t="shared" si="126"/>
        <v>0.31395348837209303</v>
      </c>
      <c r="T372" s="5">
        <f t="shared" si="127"/>
        <v>4.1860465116279069E-2</v>
      </c>
      <c r="U372" s="5">
        <f t="shared" si="128"/>
        <v>0.35581395348837214</v>
      </c>
      <c r="V372" s="3">
        <f t="shared" si="129"/>
        <v>1.4545454545454546</v>
      </c>
      <c r="W372" s="5">
        <f t="shared" si="130"/>
        <v>3.090909090909091E-2</v>
      </c>
      <c r="X372" s="5">
        <f>IFERROR(IF(OR($B372="MID",$B372="FWD"),INDEX(FIXTURE_ANALYSIS!$Q:$Q,MATCH($D372,FIXTURE_ANALYSIS!$A:$A,0)),INDEX(FIXTURE_ANALYSIS!$R:$R,MATCH($D372,FIXTURE_ANALYSIS!$A:$A,0))),1)</f>
        <v>1.0097491349480967</v>
      </c>
      <c r="Y372" s="5">
        <f t="shared" si="131"/>
        <v>1.0097491349480967</v>
      </c>
      <c r="Z372" s="8">
        <f>INDEX(FPL_Raw_Data!$T:$T,MATCH(A372,FPL_Raw_Data!$AA:$AA,0))</f>
        <v>0</v>
      </c>
      <c r="AA372" s="8">
        <f>INDEX(FPL_Raw_Data!$S:$S,MATCH(A372,FPL_Raw_Data!$AA:$AA,0))</f>
        <v>4</v>
      </c>
      <c r="AB372" s="2">
        <f t="shared" si="132"/>
        <v>0.33333333333333331</v>
      </c>
      <c r="AC372" s="2">
        <f>INDEX(FPL_Raw_Data!$Q:$Q,MATCH(A372,FPL_Raw_Data!$AA:$AA,0))</f>
        <v>1</v>
      </c>
      <c r="AD372" s="8">
        <f>INDEX(FPL_Raw_Data!$R:$R,MATCH(A372,FPL_Raw_Data!$AA:$AA,0))</f>
        <v>30</v>
      </c>
      <c r="AE372" s="8">
        <f>INDEX(FPL_Raw_Data!$N:$N,MATCH(A372,FPL_Raw_Data!$AA:$AA,0))</f>
        <v>0</v>
      </c>
      <c r="AF372" s="8">
        <f>INDEX(FPL_Raw_Data!$L:$L,MATCH(A372,FPL_Raw_Data!$AA:$AA,0))</f>
        <v>1</v>
      </c>
      <c r="AG372" s="2">
        <f>INDEX(FPL_Raw_Data!$M:$M,MATCH(A372,FPL_Raw_Data!$AA:$AA,0))</f>
        <v>0</v>
      </c>
      <c r="AH372" s="2">
        <f t="shared" si="133"/>
        <v>1.5697674418604652</v>
      </c>
      <c r="AI372" s="2">
        <f t="shared" si="134"/>
        <v>0.12558139534883722</v>
      </c>
      <c r="AJ372" s="2">
        <f t="shared" si="135"/>
        <v>0</v>
      </c>
      <c r="AK372" s="2">
        <f t="shared" si="136"/>
        <v>0.66666666666666663</v>
      </c>
      <c r="AL372" s="2">
        <f t="shared" si="137"/>
        <v>0</v>
      </c>
      <c r="AM372" s="2">
        <f t="shared" si="138"/>
        <v>0</v>
      </c>
      <c r="AN372" s="2">
        <f t="shared" si="139"/>
        <v>0</v>
      </c>
      <c r="AO372" s="3">
        <f t="shared" si="140"/>
        <v>96.1</v>
      </c>
      <c r="AP372">
        <f t="shared" si="141"/>
        <v>87</v>
      </c>
      <c r="AQ372">
        <f t="shared" si="142"/>
        <v>77.2</v>
      </c>
      <c r="AR372">
        <f t="shared" si="143"/>
        <v>70.5</v>
      </c>
      <c r="AS372" s="2">
        <f t="shared" si="144"/>
        <v>0</v>
      </c>
      <c r="AT372" s="2">
        <f>IFERROR(INDEX(Player_Model!$BC$2:$BC$596,MATCH($A372,Player_Model!$A$2:$A$596,0)),0)</f>
        <v>0</v>
      </c>
      <c r="AU372" s="2">
        <f>Table8[[#This Row],[Model Expected Points]]*Table8[[#This Row],[Fixture Adjustment]]</f>
        <v>0</v>
      </c>
      <c r="AV372" s="2">
        <f>Table8[[#This Row],[Fixture Adjusted Points / 90]]/Table8[[#This Row],[Price]]</f>
        <v>0</v>
      </c>
      <c r="AW372">
        <f t="shared" si="145"/>
        <v>91.55</v>
      </c>
      <c r="AX372">
        <f t="shared" si="146"/>
        <v>0.33333333333333331</v>
      </c>
      <c r="AY372" s="2">
        <f t="shared" si="147"/>
        <v>0</v>
      </c>
      <c r="AZ372" s="5">
        <f t="shared" si="148"/>
        <v>1.0097491349480967</v>
      </c>
      <c r="BA372">
        <f>Table8[[#This Row],[Model Score2]]</f>
        <v>0</v>
      </c>
      <c r="BB372">
        <f>IFERROR(INDEX(Player_Model!$BG$2:$BG$596,MATCH($A372,Player_Model!$A$2:$A$596,0)),"")</f>
        <v>209</v>
      </c>
      <c r="BC372" t="str">
        <f t="shared" si="149"/>
        <v>AVOID</v>
      </c>
      <c r="BD372">
        <f>IF(H372=1,Table8[[#This Row],[Model Score]],-10000)</f>
        <v>0</v>
      </c>
      <c r="BE372">
        <f>IFERROR(INDEX(Player_Model!$BF$2:$BF$596,MATCH($A372,Player_Model!$A$2:$A$596,0)),"")</f>
        <v>253</v>
      </c>
      <c r="BF372">
        <f>IFERROR(INDEX(Player_Model!$BG$2:$BG$596,MATCH($A372,Player_Model!$A$2:$A$596,0)),"")</f>
        <v>209</v>
      </c>
      <c r="BG372">
        <f>IFERROR(INDEX(Player_Model!$BE$2:$BE$596,MATCH($A372,Player_Model!$A$2:$A$596,0)),0)</f>
        <v>0</v>
      </c>
    </row>
    <row r="373" spans="1:59" x14ac:dyDescent="0.25">
      <c r="A373" t="str">
        <f>tblPlayers[first_name]&amp;" "&amp;tblPlayers[second_name]</f>
        <v>Chiedozie Ogbene</v>
      </c>
      <c r="B373" t="str">
        <f>_xlfn.SWITCH(tblPlayers[element_type],1,"GK",2,"DEF",3,"MID",4,"FWD")</f>
        <v>MID</v>
      </c>
      <c r="C373">
        <f>tblPlayers[team]</f>
        <v>12</v>
      </c>
      <c r="D373" t="str">
        <f>INDEX(tblTeams[Column1.short_name],MATCH(C373,tblTeams[Column1.id],0))</f>
        <v>IPS</v>
      </c>
      <c r="E373" s="4">
        <f>INDEX(FPL_Raw_Data!$F:$F,MATCH(A373,FPL_Raw_Data!$AA:$AA,0))/10</f>
        <v>4.9000000000000004</v>
      </c>
      <c r="F373" s="4" t="str">
        <f>tblPlayers[[#This Row],[status]]</f>
        <v>u</v>
      </c>
      <c r="G373" s="4" t="b">
        <f>tblPlayers[[#This Row],[can_select]]</f>
        <v>0</v>
      </c>
      <c r="H373">
        <f>IF(AND(Table8[[#This Row],[Availability Status]]="a",Table8[[#This Row],[Can Select]]=TRUE),1,0)</f>
        <v>0</v>
      </c>
      <c r="I373">
        <f>tblPlayers[minutes]</f>
        <v>0</v>
      </c>
      <c r="J373" s="2">
        <f>Table8[[#This Row],[Minutes]]/90</f>
        <v>0</v>
      </c>
      <c r="K373" s="5">
        <f>IFERROR(Z373/(FIXTURE_ANALYSIS!$B$1-1),0)</f>
        <v>0</v>
      </c>
      <c r="L373">
        <f>tblPlayers[total_points]</f>
        <v>0</v>
      </c>
      <c r="M373">
        <f>tblPlayers[points_per_game]</f>
        <v>0</v>
      </c>
      <c r="N373">
        <f>tblPlayers[form]</f>
        <v>0</v>
      </c>
      <c r="O373">
        <f>tblPlayers[expected_goals]</f>
        <v>0</v>
      </c>
      <c r="P373">
        <f>tblPlayers[expected_assists]</f>
        <v>0</v>
      </c>
      <c r="Q373">
        <f>tblPlayers[expected_goal_involvements]</f>
        <v>0</v>
      </c>
      <c r="R373" s="2">
        <f t="shared" si="125"/>
        <v>0</v>
      </c>
      <c r="S373" s="5">
        <f t="shared" si="126"/>
        <v>0</v>
      </c>
      <c r="T373" s="5">
        <f t="shared" si="127"/>
        <v>0</v>
      </c>
      <c r="U373" s="5">
        <f t="shared" si="128"/>
        <v>0</v>
      </c>
      <c r="V373" s="3">
        <f t="shared" si="129"/>
        <v>0</v>
      </c>
      <c r="W373" s="5">
        <f t="shared" si="130"/>
        <v>0</v>
      </c>
      <c r="X373" s="5">
        <f>IFERROR(IF(OR($B373="MID",$B373="FWD"),INDEX(FIXTURE_ANALYSIS!$Q:$Q,MATCH($D373,FIXTURE_ANALYSIS!$A:$A,0)),INDEX(FIXTURE_ANALYSIS!$R:$R,MATCH($D373,FIXTURE_ANALYSIS!$A:$A,0))),1)</f>
        <v>1.0097491349480967</v>
      </c>
      <c r="Y373" s="5">
        <f t="shared" si="131"/>
        <v>1.0097491349480967</v>
      </c>
      <c r="Z373" s="8">
        <f>INDEX(FPL_Raw_Data!$T:$T,MATCH(A373,FPL_Raw_Data!$AA:$AA,0))</f>
        <v>0</v>
      </c>
      <c r="AA373" s="8">
        <f>INDEX(FPL_Raw_Data!$S:$S,MATCH(A373,FPL_Raw_Data!$AA:$AA,0))</f>
        <v>0</v>
      </c>
      <c r="AB373" s="2">
        <f t="shared" si="132"/>
        <v>0</v>
      </c>
      <c r="AC373" s="2">
        <f>INDEX(FPL_Raw_Data!$Q:$Q,MATCH(A373,FPL_Raw_Data!$AA:$AA,0))</f>
        <v>0</v>
      </c>
      <c r="AD373" s="8">
        <f>INDEX(FPL_Raw_Data!$R:$R,MATCH(A373,FPL_Raw_Data!$AA:$AA,0))</f>
        <v>0</v>
      </c>
      <c r="AE373" s="8">
        <f>INDEX(FPL_Raw_Data!$N:$N,MATCH(A373,FPL_Raw_Data!$AA:$AA,0))</f>
        <v>0</v>
      </c>
      <c r="AF373" s="8">
        <f>INDEX(FPL_Raw_Data!$L:$L,MATCH(A373,FPL_Raw_Data!$AA:$AA,0))</f>
        <v>0</v>
      </c>
      <c r="AG373" s="2">
        <f>INDEX(FPL_Raw_Data!$M:$M,MATCH(A373,FPL_Raw_Data!$AA:$AA,0))</f>
        <v>0</v>
      </c>
      <c r="AH373" s="2">
        <f t="shared" si="133"/>
        <v>0</v>
      </c>
      <c r="AI373" s="2">
        <f t="shared" si="134"/>
        <v>0</v>
      </c>
      <c r="AJ373" s="2">
        <f t="shared" si="135"/>
        <v>0</v>
      </c>
      <c r="AK373" s="2">
        <f t="shared" si="136"/>
        <v>0</v>
      </c>
      <c r="AL373" s="2">
        <f t="shared" si="137"/>
        <v>0</v>
      </c>
      <c r="AM373" s="2">
        <f t="shared" si="138"/>
        <v>0</v>
      </c>
      <c r="AN373" s="2">
        <f t="shared" si="139"/>
        <v>0</v>
      </c>
      <c r="AO373" s="3">
        <f t="shared" si="140"/>
        <v>0.1</v>
      </c>
      <c r="AP373">
        <f t="shared" si="141"/>
        <v>0</v>
      </c>
      <c r="AQ373">
        <f t="shared" si="142"/>
        <v>0.1</v>
      </c>
      <c r="AR373">
        <f t="shared" si="143"/>
        <v>0</v>
      </c>
      <c r="AS373" s="2">
        <f t="shared" si="144"/>
        <v>0</v>
      </c>
      <c r="AT373" s="2">
        <f>IFERROR(INDEX(Player_Model!$BC$2:$BC$596,MATCH($A373,Player_Model!$A$2:$A$596,0)),0)</f>
        <v>0</v>
      </c>
      <c r="AU373" s="2">
        <f>Table8[[#This Row],[Model Expected Points]]*Table8[[#This Row],[Fixture Adjustment]]</f>
        <v>0</v>
      </c>
      <c r="AV373" s="2">
        <f>Table8[[#This Row],[Fixture Adjusted Points / 90]]/Table8[[#This Row],[Price]]</f>
        <v>0</v>
      </c>
      <c r="AW373">
        <f t="shared" si="145"/>
        <v>0.05</v>
      </c>
      <c r="AX373">
        <f t="shared" si="146"/>
        <v>0</v>
      </c>
      <c r="AY373" s="2">
        <f t="shared" si="147"/>
        <v>0</v>
      </c>
      <c r="AZ373" s="5">
        <f t="shared" si="148"/>
        <v>1.0097491349480967</v>
      </c>
      <c r="BA373">
        <f>Table8[[#This Row],[Model Score2]]</f>
        <v>0</v>
      </c>
      <c r="BB373">
        <f>IFERROR(INDEX(Player_Model!$BG$2:$BG$596,MATCH($A373,Player_Model!$A$2:$A$596,0)),"")</f>
        <v>210</v>
      </c>
      <c r="BC373" t="str">
        <f t="shared" si="149"/>
        <v>AVOID</v>
      </c>
      <c r="BD373">
        <f>IF(H373=1,Table8[[#This Row],[Model Score]],-10000)</f>
        <v>-10000</v>
      </c>
      <c r="BE373">
        <f>IFERROR(INDEX(Player_Model!$BF$2:$BF$596,MATCH($A373,Player_Model!$A$2:$A$596,0)),"")</f>
        <v>253</v>
      </c>
      <c r="BF373">
        <f>IFERROR(INDEX(Player_Model!$BG$2:$BG$596,MATCH($A373,Player_Model!$A$2:$A$596,0)),"")</f>
        <v>210</v>
      </c>
      <c r="BG373">
        <f>IFERROR(INDEX(Player_Model!$BE$2:$BE$596,MATCH($A373,Player_Model!$A$2:$A$596,0)),0)</f>
        <v>0</v>
      </c>
    </row>
    <row r="374" spans="1:59" x14ac:dyDescent="0.25">
      <c r="A374" t="str">
        <f>tblPlayers[first_name]&amp;" "&amp;tblPlayers[second_name]</f>
        <v>Abdul Fatawu</v>
      </c>
      <c r="B374" t="str">
        <f>_xlfn.SWITCH(tblPlayers[element_type],1,"GK",2,"DEF",3,"MID",4,"FWD")</f>
        <v>MID</v>
      </c>
      <c r="C374">
        <f>tblPlayers[team]</f>
        <v>12</v>
      </c>
      <c r="D374" t="str">
        <f>INDEX(tblTeams[Column1.short_name],MATCH(C374,tblTeams[Column1.id],0))</f>
        <v>IPS</v>
      </c>
      <c r="E374" s="4">
        <f>INDEX(FPL_Raw_Data!$F:$F,MATCH(A374,FPL_Raw_Data!$AA:$AA,0))/10</f>
        <v>5.5</v>
      </c>
      <c r="F374" s="4" t="str">
        <f>tblPlayers[[#This Row],[status]]</f>
        <v>a</v>
      </c>
      <c r="G374" s="4" t="b">
        <f>tblPlayers[[#This Row],[can_select]]</f>
        <v>1</v>
      </c>
      <c r="H374">
        <f>IF(AND(Table8[[#This Row],[Availability Status]]="a",Table8[[#This Row],[Can Select]]=TRUE),1,0)</f>
        <v>1</v>
      </c>
      <c r="I374">
        <f>tblPlayers[minutes]</f>
        <v>225</v>
      </c>
      <c r="J374" s="2">
        <f>Table8[[#This Row],[Minutes]]/90</f>
        <v>2.5</v>
      </c>
      <c r="K374" s="5">
        <f>IFERROR(Z374/(FIXTURE_ANALYSIS!$B$1-1),0)</f>
        <v>1</v>
      </c>
      <c r="L374">
        <f>tblPlayers[total_points]</f>
        <v>8</v>
      </c>
      <c r="M374">
        <f>tblPlayers[points_per_game]</f>
        <v>2.7</v>
      </c>
      <c r="N374">
        <f>tblPlayers[form]</f>
        <v>2.7</v>
      </c>
      <c r="O374">
        <f>tblPlayers[expected_goals]</f>
        <v>0.03</v>
      </c>
      <c r="P374">
        <f>tblPlayers[expected_assists]</f>
        <v>0.78</v>
      </c>
      <c r="Q374">
        <f>tblPlayers[expected_goal_involvements]</f>
        <v>0.81</v>
      </c>
      <c r="R374" s="2">
        <f t="shared" si="125"/>
        <v>3.2</v>
      </c>
      <c r="S374" s="5">
        <f t="shared" si="126"/>
        <v>1.2E-2</v>
      </c>
      <c r="T374" s="5">
        <f t="shared" si="127"/>
        <v>0.312</v>
      </c>
      <c r="U374" s="5">
        <f t="shared" si="128"/>
        <v>0.32400000000000001</v>
      </c>
      <c r="V374" s="3">
        <f t="shared" si="129"/>
        <v>1.4545454545454546</v>
      </c>
      <c r="W374" s="5">
        <f t="shared" si="130"/>
        <v>0.14727272727272728</v>
      </c>
      <c r="X374" s="5">
        <f>IFERROR(IF(OR($B374="MID",$B374="FWD"),INDEX(FIXTURE_ANALYSIS!$Q:$Q,MATCH($D374,FIXTURE_ANALYSIS!$A:$A,0)),INDEX(FIXTURE_ANALYSIS!$R:$R,MATCH($D374,FIXTURE_ANALYSIS!$A:$A,0))),1)</f>
        <v>1.0097491349480967</v>
      </c>
      <c r="Y374" s="5">
        <f t="shared" si="131"/>
        <v>1.0097491349480967</v>
      </c>
      <c r="Z374" s="8">
        <f>INDEX(FPL_Raw_Data!$T:$T,MATCH(A374,FPL_Raw_Data!$AA:$AA,0))</f>
        <v>3</v>
      </c>
      <c r="AA374" s="8">
        <f>INDEX(FPL_Raw_Data!$S:$S,MATCH(A374,FPL_Raw_Data!$AA:$AA,0))</f>
        <v>17</v>
      </c>
      <c r="AB374" s="2">
        <f t="shared" si="132"/>
        <v>1</v>
      </c>
      <c r="AC374" s="2">
        <f>INDEX(FPL_Raw_Data!$Q:$Q,MATCH(A374,FPL_Raw_Data!$AA:$AA,0))</f>
        <v>0</v>
      </c>
      <c r="AD374" s="8">
        <f>INDEX(FPL_Raw_Data!$R:$R,MATCH(A374,FPL_Raw_Data!$AA:$AA,0))</f>
        <v>61</v>
      </c>
      <c r="AE374" s="8">
        <f>INDEX(FPL_Raw_Data!$N:$N,MATCH(A374,FPL_Raw_Data!$AA:$AA,0))</f>
        <v>0</v>
      </c>
      <c r="AF374" s="8">
        <f>INDEX(FPL_Raw_Data!$L:$L,MATCH(A374,FPL_Raw_Data!$AA:$AA,0))</f>
        <v>0</v>
      </c>
      <c r="AG374" s="2">
        <f>INDEX(FPL_Raw_Data!$M:$M,MATCH(A374,FPL_Raw_Data!$AA:$AA,0))</f>
        <v>1</v>
      </c>
      <c r="AH374" s="2">
        <f t="shared" si="133"/>
        <v>0.06</v>
      </c>
      <c r="AI374" s="2">
        <f t="shared" si="134"/>
        <v>0.93599999999999994</v>
      </c>
      <c r="AJ374" s="2">
        <f t="shared" si="135"/>
        <v>2</v>
      </c>
      <c r="AK374" s="2">
        <f t="shared" si="136"/>
        <v>2</v>
      </c>
      <c r="AL374" s="2">
        <f t="shared" si="137"/>
        <v>0</v>
      </c>
      <c r="AM374" s="2">
        <f t="shared" si="138"/>
        <v>0</v>
      </c>
      <c r="AN374" s="2">
        <f t="shared" si="139"/>
        <v>0</v>
      </c>
      <c r="AO374" s="3">
        <f t="shared" si="140"/>
        <v>61.7</v>
      </c>
      <c r="AP374">
        <f t="shared" si="141"/>
        <v>85</v>
      </c>
      <c r="AQ374">
        <f t="shared" si="142"/>
        <v>77.2</v>
      </c>
      <c r="AR374">
        <f t="shared" si="143"/>
        <v>91.4</v>
      </c>
      <c r="AS374" s="2">
        <f t="shared" si="144"/>
        <v>100</v>
      </c>
      <c r="AT374" s="2">
        <f>IFERROR(INDEX(Player_Model!$BC$2:$BC$596,MATCH($A374,Player_Model!$A$2:$A$596,0)),0)</f>
        <v>4.1670506110780705</v>
      </c>
      <c r="AU374" s="2">
        <f>Table8[[#This Row],[Model Expected Points]]*Table8[[#This Row],[Fixture Adjustment]]</f>
        <v>4.2076757498210196</v>
      </c>
      <c r="AV374" s="2">
        <f>Table8[[#This Row],[Fixture Adjusted Points / 90]]/Table8[[#This Row],[Price]]</f>
        <v>0.76503195451291262</v>
      </c>
      <c r="AW374">
        <f t="shared" si="145"/>
        <v>73.349999999999994</v>
      </c>
      <c r="AX374">
        <f t="shared" si="146"/>
        <v>1</v>
      </c>
      <c r="AY374" s="2">
        <f t="shared" si="147"/>
        <v>100</v>
      </c>
      <c r="AZ374" s="5">
        <f t="shared" si="148"/>
        <v>1.0097491349480967</v>
      </c>
      <c r="BA374">
        <f>Table8[[#This Row],[Model Score2]]</f>
        <v>4.1670506110780705</v>
      </c>
      <c r="BB374">
        <f>IFERROR(INDEX(Player_Model!$BG$2:$BG$596,MATCH($A374,Player_Model!$A$2:$A$596,0)),"")</f>
        <v>70</v>
      </c>
      <c r="BC374" t="str">
        <f t="shared" si="149"/>
        <v>AVOID</v>
      </c>
      <c r="BD374">
        <f>IF(H374=1,Table8[[#This Row],[Model Score]],-10000)</f>
        <v>4.1670506110780705</v>
      </c>
      <c r="BE374">
        <f>IFERROR(INDEX(Player_Model!$BF$2:$BF$596,MATCH($A374,Player_Model!$A$2:$A$596,0)),"")</f>
        <v>144</v>
      </c>
      <c r="BF374">
        <f>IFERROR(INDEX(Player_Model!$BG$2:$BG$596,MATCH($A374,Player_Model!$A$2:$A$596,0)),"")</f>
        <v>70</v>
      </c>
      <c r="BG374">
        <f>IFERROR(INDEX(Player_Model!$BE$2:$BE$596,MATCH($A374,Player_Model!$A$2:$A$596,0)),0)</f>
        <v>4.1670506110780705</v>
      </c>
    </row>
    <row r="375" spans="1:59" x14ac:dyDescent="0.25">
      <c r="A375" t="str">
        <f>tblPlayers[first_name]&amp;" "&amp;tblPlayers[second_name]</f>
        <v>Emersonn Correia da Silva</v>
      </c>
      <c r="B375" t="str">
        <f>_xlfn.SWITCH(tblPlayers[element_type],1,"GK",2,"DEF",3,"MID",4,"FWD")</f>
        <v>FWD</v>
      </c>
      <c r="C375">
        <f>tblPlayers[team]</f>
        <v>12</v>
      </c>
      <c r="D375" t="str">
        <f>INDEX(tblTeams[Column1.short_name],MATCH(C375,tblTeams[Column1.id],0))</f>
        <v>IPS</v>
      </c>
      <c r="E375" s="4">
        <f>INDEX(FPL_Raw_Data!$F:$F,MATCH(A375,FPL_Raw_Data!$AA:$AA,0))/10</f>
        <v>5.5</v>
      </c>
      <c r="F375" s="4" t="str">
        <f>tblPlayers[[#This Row],[status]]</f>
        <v>a</v>
      </c>
      <c r="G375" s="4" t="b">
        <f>tblPlayers[[#This Row],[can_select]]</f>
        <v>1</v>
      </c>
      <c r="H375">
        <f>IF(AND(Table8[[#This Row],[Availability Status]]="a",Table8[[#This Row],[Can Select]]=TRUE),1,0)</f>
        <v>1</v>
      </c>
      <c r="I375">
        <f>tblPlayers[minutes]</f>
        <v>175</v>
      </c>
      <c r="J375" s="2">
        <f>Table8[[#This Row],[Minutes]]/90</f>
        <v>1.9444444444444444</v>
      </c>
      <c r="K375" s="5">
        <f>IFERROR(Z375/(FIXTURE_ANALYSIS!$B$1-1),0)</f>
        <v>1</v>
      </c>
      <c r="L375">
        <f>tblPlayers[total_points]</f>
        <v>12</v>
      </c>
      <c r="M375">
        <f>tblPlayers[points_per_game]</f>
        <v>4</v>
      </c>
      <c r="N375">
        <f>tblPlayers[form]</f>
        <v>4</v>
      </c>
      <c r="O375">
        <f>tblPlayers[expected_goals]</f>
        <v>1.04</v>
      </c>
      <c r="P375">
        <f>tblPlayers[expected_assists]</f>
        <v>0.06</v>
      </c>
      <c r="Q375">
        <f>tblPlayers[expected_goal_involvements]</f>
        <v>1.1000000000000001</v>
      </c>
      <c r="R375" s="2">
        <f t="shared" si="125"/>
        <v>6.1714285714285717</v>
      </c>
      <c r="S375" s="5">
        <f t="shared" si="126"/>
        <v>0.53485714285714292</v>
      </c>
      <c r="T375" s="5">
        <f t="shared" si="127"/>
        <v>3.0857142857142857E-2</v>
      </c>
      <c r="U375" s="5">
        <f t="shared" si="128"/>
        <v>0.56571428571428573</v>
      </c>
      <c r="V375" s="3">
        <f t="shared" si="129"/>
        <v>2.1818181818181817</v>
      </c>
      <c r="W375" s="5">
        <f t="shared" si="130"/>
        <v>0.2</v>
      </c>
      <c r="X375" s="5">
        <f>IFERROR(IF(OR($B375="MID",$B375="FWD"),INDEX(FIXTURE_ANALYSIS!$Q:$Q,MATCH($D375,FIXTURE_ANALYSIS!$A:$A,0)),INDEX(FIXTURE_ANALYSIS!$R:$R,MATCH($D375,FIXTURE_ANALYSIS!$A:$A,0))),1)</f>
        <v>1.0097491349480967</v>
      </c>
      <c r="Y375" s="5">
        <f t="shared" si="131"/>
        <v>1.0097491349480967</v>
      </c>
      <c r="Z375" s="8">
        <f>INDEX(FPL_Raw_Data!$T:$T,MATCH(A375,FPL_Raw_Data!$AA:$AA,0))</f>
        <v>3</v>
      </c>
      <c r="AA375" s="8">
        <f>INDEX(FPL_Raw_Data!$S:$S,MATCH(A375,FPL_Raw_Data!$AA:$AA,0))</f>
        <v>7</v>
      </c>
      <c r="AB375" s="2">
        <f t="shared" si="132"/>
        <v>0.58333333333333337</v>
      </c>
      <c r="AC375" s="2">
        <f>INDEX(FPL_Raw_Data!$Q:$Q,MATCH(A375,FPL_Raw_Data!$AA:$AA,0))</f>
        <v>3</v>
      </c>
      <c r="AD375" s="8">
        <f>INDEX(FPL_Raw_Data!$R:$R,MATCH(A375,FPL_Raw_Data!$AA:$AA,0))</f>
        <v>56</v>
      </c>
      <c r="AE375" s="8">
        <f>INDEX(FPL_Raw_Data!$N:$N,MATCH(A375,FPL_Raw_Data!$AA:$AA,0))</f>
        <v>0</v>
      </c>
      <c r="AF375" s="8">
        <f>INDEX(FPL_Raw_Data!$L:$L,MATCH(A375,FPL_Raw_Data!$AA:$AA,0))</f>
        <v>1</v>
      </c>
      <c r="AG375" s="2">
        <f>INDEX(FPL_Raw_Data!$M:$M,MATCH(A375,FPL_Raw_Data!$AA:$AA,0))</f>
        <v>0</v>
      </c>
      <c r="AH375" s="2">
        <f t="shared" si="133"/>
        <v>2.1394285714285717</v>
      </c>
      <c r="AI375" s="2">
        <f t="shared" si="134"/>
        <v>9.2571428571428568E-2</v>
      </c>
      <c r="AJ375" s="2">
        <f t="shared" si="135"/>
        <v>2</v>
      </c>
      <c r="AK375" s="2">
        <f t="shared" si="136"/>
        <v>1.1666666666666667</v>
      </c>
      <c r="AL375" s="2">
        <f t="shared" si="137"/>
        <v>0</v>
      </c>
      <c r="AM375" s="2">
        <f t="shared" si="138"/>
        <v>0</v>
      </c>
      <c r="AN375" s="2">
        <f t="shared" si="139"/>
        <v>1</v>
      </c>
      <c r="AO375" s="3">
        <f t="shared" si="140"/>
        <v>82.399999999999991</v>
      </c>
      <c r="AP375">
        <f t="shared" si="141"/>
        <v>93.899999999999991</v>
      </c>
      <c r="AQ375">
        <f t="shared" si="142"/>
        <v>87.8</v>
      </c>
      <c r="AR375">
        <f t="shared" si="143"/>
        <v>94.6</v>
      </c>
      <c r="AS375" s="2">
        <f t="shared" si="144"/>
        <v>100</v>
      </c>
      <c r="AT375" s="2">
        <f>IFERROR(INDEX(Player_Model!$BC$2:$BC$596,MATCH($A375,Player_Model!$A$2:$A$596,0)),0)</f>
        <v>4.8791078200692031</v>
      </c>
      <c r="AU375" s="2">
        <f>Table8[[#This Row],[Model Expected Points]]*Table8[[#This Row],[Fixture Adjustment]]</f>
        <v>4.9266749006333717</v>
      </c>
      <c r="AV375" s="2">
        <f>Table8[[#This Row],[Fixture Adjusted Points / 90]]/Table8[[#This Row],[Price]]</f>
        <v>0.89575907284243117</v>
      </c>
      <c r="AW375">
        <f t="shared" si="145"/>
        <v>88.149999999999991</v>
      </c>
      <c r="AX375">
        <f t="shared" si="146"/>
        <v>0</v>
      </c>
      <c r="AY375" s="2">
        <f t="shared" si="147"/>
        <v>100</v>
      </c>
      <c r="AZ375" s="5">
        <f t="shared" si="148"/>
        <v>1.0097491349480967</v>
      </c>
      <c r="BA375">
        <f>Table8[[#This Row],[Model Score2]]</f>
        <v>4.8791078200692031</v>
      </c>
      <c r="BB375">
        <f>IFERROR(INDEX(Player_Model!$BG$2:$BG$596,MATCH($A375,Player_Model!$A$2:$A$596,0)),"")</f>
        <v>12</v>
      </c>
      <c r="BC375" t="str">
        <f t="shared" si="149"/>
        <v>AVOID</v>
      </c>
      <c r="BD375">
        <f>IF(H375=1,Table8[[#This Row],[Model Score]],-10000)</f>
        <v>4.8791078200692031</v>
      </c>
      <c r="BE375">
        <f>IFERROR(INDEX(Player_Model!$BF$2:$BF$596,MATCH($A375,Player_Model!$A$2:$A$596,0)),"")</f>
        <v>101</v>
      </c>
      <c r="BF375">
        <f>IFERROR(INDEX(Player_Model!$BG$2:$BG$596,MATCH($A375,Player_Model!$A$2:$A$596,0)),"")</f>
        <v>12</v>
      </c>
      <c r="BG375">
        <f>IFERROR(INDEX(Player_Model!$BE$2:$BE$596,MATCH($A375,Player_Model!$A$2:$A$596,0)),0)</f>
        <v>4.8791078200692031</v>
      </c>
    </row>
    <row r="376" spans="1:59" x14ac:dyDescent="0.25">
      <c r="A376" t="str">
        <f>tblPlayers[first_name]&amp;" "&amp;tblPlayers[second_name]</f>
        <v>George Hirst</v>
      </c>
      <c r="B376" t="str">
        <f>_xlfn.SWITCH(tblPlayers[element_type],1,"GK",2,"DEF",3,"MID",4,"FWD")</f>
        <v>FWD</v>
      </c>
      <c r="C376">
        <f>tblPlayers[team]</f>
        <v>12</v>
      </c>
      <c r="D376" t="str">
        <f>INDEX(tblTeams[Column1.short_name],MATCH(C376,tblTeams[Column1.id],0))</f>
        <v>IPS</v>
      </c>
      <c r="E376" s="4">
        <f>INDEX(FPL_Raw_Data!$F:$F,MATCH(A376,FPL_Raw_Data!$AA:$AA,0))/10</f>
        <v>5</v>
      </c>
      <c r="F376" s="4" t="str">
        <f>tblPlayers[[#This Row],[status]]</f>
        <v>u</v>
      </c>
      <c r="G376" s="4" t="b">
        <f>tblPlayers[[#This Row],[can_select]]</f>
        <v>0</v>
      </c>
      <c r="H376">
        <f>IF(AND(Table8[[#This Row],[Availability Status]]="a",Table8[[#This Row],[Can Select]]=TRUE),1,0)</f>
        <v>0</v>
      </c>
      <c r="I376">
        <f>tblPlayers[minutes]</f>
        <v>0</v>
      </c>
      <c r="J376" s="2">
        <f>Table8[[#This Row],[Minutes]]/90</f>
        <v>0</v>
      </c>
      <c r="K376" s="5">
        <f>IFERROR(Z376/(FIXTURE_ANALYSIS!$B$1-1),0)</f>
        <v>0</v>
      </c>
      <c r="L376">
        <f>tblPlayers[total_points]</f>
        <v>0</v>
      </c>
      <c r="M376">
        <f>tblPlayers[points_per_game]</f>
        <v>0</v>
      </c>
      <c r="N376">
        <f>tblPlayers[form]</f>
        <v>0</v>
      </c>
      <c r="O376">
        <f>tblPlayers[expected_goals]</f>
        <v>0</v>
      </c>
      <c r="P376">
        <f>tblPlayers[expected_assists]</f>
        <v>0</v>
      </c>
      <c r="Q376">
        <f>tblPlayers[expected_goal_involvements]</f>
        <v>0</v>
      </c>
      <c r="R376" s="2">
        <f t="shared" si="125"/>
        <v>0</v>
      </c>
      <c r="S376" s="5">
        <f t="shared" si="126"/>
        <v>0</v>
      </c>
      <c r="T376" s="5">
        <f t="shared" si="127"/>
        <v>0</v>
      </c>
      <c r="U376" s="5">
        <f t="shared" si="128"/>
        <v>0</v>
      </c>
      <c r="V376" s="3">
        <f t="shared" si="129"/>
        <v>0</v>
      </c>
      <c r="W376" s="5">
        <f t="shared" si="130"/>
        <v>0</v>
      </c>
      <c r="X376" s="5">
        <f>IFERROR(IF(OR($B376="MID",$B376="FWD"),INDEX(FIXTURE_ANALYSIS!$Q:$Q,MATCH($D376,FIXTURE_ANALYSIS!$A:$A,0)),INDEX(FIXTURE_ANALYSIS!$R:$R,MATCH($D376,FIXTURE_ANALYSIS!$A:$A,0))),1)</f>
        <v>1.0097491349480967</v>
      </c>
      <c r="Y376" s="5">
        <f t="shared" si="131"/>
        <v>1.0097491349480967</v>
      </c>
      <c r="Z376" s="8">
        <f>INDEX(FPL_Raw_Data!$T:$T,MATCH(A376,FPL_Raw_Data!$AA:$AA,0))</f>
        <v>0</v>
      </c>
      <c r="AA376" s="8">
        <f>INDEX(FPL_Raw_Data!$S:$S,MATCH(A376,FPL_Raw_Data!$AA:$AA,0))</f>
        <v>0</v>
      </c>
      <c r="AB376" s="2">
        <f t="shared" si="132"/>
        <v>0</v>
      </c>
      <c r="AC376" s="2">
        <f>INDEX(FPL_Raw_Data!$Q:$Q,MATCH(A376,FPL_Raw_Data!$AA:$AA,0))</f>
        <v>0</v>
      </c>
      <c r="AD376" s="8">
        <f>INDEX(FPL_Raw_Data!$R:$R,MATCH(A376,FPL_Raw_Data!$AA:$AA,0))</f>
        <v>0</v>
      </c>
      <c r="AE376" s="8">
        <f>INDEX(FPL_Raw_Data!$N:$N,MATCH(A376,FPL_Raw_Data!$AA:$AA,0))</f>
        <v>0</v>
      </c>
      <c r="AF376" s="8">
        <f>INDEX(FPL_Raw_Data!$L:$L,MATCH(A376,FPL_Raw_Data!$AA:$AA,0))</f>
        <v>0</v>
      </c>
      <c r="AG376" s="2">
        <f>INDEX(FPL_Raw_Data!$M:$M,MATCH(A376,FPL_Raw_Data!$AA:$AA,0))</f>
        <v>0</v>
      </c>
      <c r="AH376" s="2">
        <f t="shared" si="133"/>
        <v>0</v>
      </c>
      <c r="AI376" s="2">
        <f t="shared" si="134"/>
        <v>0</v>
      </c>
      <c r="AJ376" s="2">
        <f t="shared" si="135"/>
        <v>0</v>
      </c>
      <c r="AK376" s="2">
        <f t="shared" si="136"/>
        <v>0</v>
      </c>
      <c r="AL376" s="2">
        <f t="shared" si="137"/>
        <v>0</v>
      </c>
      <c r="AM376" s="2">
        <f t="shared" si="138"/>
        <v>0</v>
      </c>
      <c r="AN376" s="2">
        <f t="shared" si="139"/>
        <v>0</v>
      </c>
      <c r="AO376" s="3">
        <f t="shared" si="140"/>
        <v>0.1</v>
      </c>
      <c r="AP376">
        <f t="shared" si="141"/>
        <v>0</v>
      </c>
      <c r="AQ376">
        <f t="shared" si="142"/>
        <v>0.1</v>
      </c>
      <c r="AR376">
        <f t="shared" si="143"/>
        <v>0</v>
      </c>
      <c r="AS376" s="2">
        <f t="shared" si="144"/>
        <v>0</v>
      </c>
      <c r="AT376" s="2">
        <f>IFERROR(INDEX(Player_Model!$BC$2:$BC$596,MATCH($A376,Player_Model!$A$2:$A$596,0)),0)</f>
        <v>0</v>
      </c>
      <c r="AU376" s="2">
        <f>Table8[[#This Row],[Model Expected Points]]*Table8[[#This Row],[Fixture Adjustment]]</f>
        <v>0</v>
      </c>
      <c r="AV376" s="2">
        <f>Table8[[#This Row],[Fixture Adjusted Points / 90]]/Table8[[#This Row],[Price]]</f>
        <v>0</v>
      </c>
      <c r="AW376">
        <f t="shared" si="145"/>
        <v>0.05</v>
      </c>
      <c r="AX376">
        <f t="shared" si="146"/>
        <v>0</v>
      </c>
      <c r="AY376" s="2">
        <f t="shared" si="147"/>
        <v>0</v>
      </c>
      <c r="AZ376" s="5">
        <f t="shared" si="148"/>
        <v>1.0097491349480967</v>
      </c>
      <c r="BA376">
        <f>Table8[[#This Row],[Model Score2]]</f>
        <v>0</v>
      </c>
      <c r="BB376">
        <f>IFERROR(INDEX(Player_Model!$BG$2:$BG$596,MATCH($A376,Player_Model!$A$2:$A$596,0)),"")</f>
        <v>55</v>
      </c>
      <c r="BC376" t="str">
        <f t="shared" si="149"/>
        <v>AVOID</v>
      </c>
      <c r="BD376">
        <f>IF(H376=1,Table8[[#This Row],[Model Score]],-10000)</f>
        <v>-10000</v>
      </c>
      <c r="BE376">
        <f>IFERROR(INDEX(Player_Model!$BF$2:$BF$596,MATCH($A376,Player_Model!$A$2:$A$596,0)),"")</f>
        <v>253</v>
      </c>
      <c r="BF376">
        <f>IFERROR(INDEX(Player_Model!$BG$2:$BG$596,MATCH($A376,Player_Model!$A$2:$A$596,0)),"")</f>
        <v>55</v>
      </c>
      <c r="BG376">
        <f>IFERROR(INDEX(Player_Model!$BE$2:$BE$596,MATCH($A376,Player_Model!$A$2:$A$596,0)),0)</f>
        <v>0</v>
      </c>
    </row>
    <row r="377" spans="1:59" x14ac:dyDescent="0.25">
      <c r="A377" t="str">
        <f>tblPlayers[first_name]&amp;" "&amp;tblPlayers[second_name]</f>
        <v>Jaden Philogene</v>
      </c>
      <c r="B377" t="str">
        <f>_xlfn.SWITCH(tblPlayers[element_type],1,"GK",2,"DEF",3,"MID",4,"FWD")</f>
        <v>MID</v>
      </c>
      <c r="C377">
        <f>tblPlayers[team]</f>
        <v>12</v>
      </c>
      <c r="D377" t="str">
        <f>INDEX(tblTeams[Column1.short_name],MATCH(C377,tblTeams[Column1.id],0))</f>
        <v>IPS</v>
      </c>
      <c r="E377" s="4">
        <f>INDEX(FPL_Raw_Data!$F:$F,MATCH(A377,FPL_Raw_Data!$AA:$AA,0))/10</f>
        <v>5.4</v>
      </c>
      <c r="F377" s="4" t="str">
        <f>tblPlayers[[#This Row],[status]]</f>
        <v>i</v>
      </c>
      <c r="G377" s="4" t="b">
        <f>tblPlayers[[#This Row],[can_select]]</f>
        <v>1</v>
      </c>
      <c r="H377">
        <f>IF(AND(Table8[[#This Row],[Availability Status]]="a",Table8[[#This Row],[Can Select]]=TRUE),1,0)</f>
        <v>0</v>
      </c>
      <c r="I377">
        <f>tblPlayers[minutes]</f>
        <v>0</v>
      </c>
      <c r="J377" s="2">
        <f>Table8[[#This Row],[Minutes]]/90</f>
        <v>0</v>
      </c>
      <c r="K377" s="5">
        <f>IFERROR(Z377/(FIXTURE_ANALYSIS!$B$1-1),0)</f>
        <v>0</v>
      </c>
      <c r="L377">
        <f>tblPlayers[total_points]</f>
        <v>0</v>
      </c>
      <c r="M377">
        <f>tblPlayers[points_per_game]</f>
        <v>0</v>
      </c>
      <c r="N377">
        <f>tblPlayers[form]</f>
        <v>0</v>
      </c>
      <c r="O377">
        <f>tblPlayers[expected_goals]</f>
        <v>0</v>
      </c>
      <c r="P377">
        <f>tblPlayers[expected_assists]</f>
        <v>0</v>
      </c>
      <c r="Q377">
        <f>tblPlayers[expected_goal_involvements]</f>
        <v>0</v>
      </c>
      <c r="R377" s="2">
        <f t="shared" si="125"/>
        <v>0</v>
      </c>
      <c r="S377" s="5">
        <f t="shared" si="126"/>
        <v>0</v>
      </c>
      <c r="T377" s="5">
        <f t="shared" si="127"/>
        <v>0</v>
      </c>
      <c r="U377" s="5">
        <f t="shared" si="128"/>
        <v>0</v>
      </c>
      <c r="V377" s="3">
        <f t="shared" si="129"/>
        <v>0</v>
      </c>
      <c r="W377" s="5">
        <f t="shared" si="130"/>
        <v>0</v>
      </c>
      <c r="X377" s="5">
        <f>IFERROR(IF(OR($B377="MID",$B377="FWD"),INDEX(FIXTURE_ANALYSIS!$Q:$Q,MATCH($D377,FIXTURE_ANALYSIS!$A:$A,0)),INDEX(FIXTURE_ANALYSIS!$R:$R,MATCH($D377,FIXTURE_ANALYSIS!$A:$A,0))),1)</f>
        <v>1.0097491349480967</v>
      </c>
      <c r="Y377" s="5">
        <f t="shared" si="131"/>
        <v>1.0097491349480967</v>
      </c>
      <c r="Z377" s="8">
        <f>INDEX(FPL_Raw_Data!$T:$T,MATCH(A377,FPL_Raw_Data!$AA:$AA,0))</f>
        <v>0</v>
      </c>
      <c r="AA377" s="8">
        <f>INDEX(FPL_Raw_Data!$S:$S,MATCH(A377,FPL_Raw_Data!$AA:$AA,0))</f>
        <v>0</v>
      </c>
      <c r="AB377" s="2">
        <f t="shared" si="132"/>
        <v>0</v>
      </c>
      <c r="AC377" s="2">
        <f>INDEX(FPL_Raw_Data!$Q:$Q,MATCH(A377,FPL_Raw_Data!$AA:$AA,0))</f>
        <v>0</v>
      </c>
      <c r="AD377" s="8">
        <f>INDEX(FPL_Raw_Data!$R:$R,MATCH(A377,FPL_Raw_Data!$AA:$AA,0))</f>
        <v>0</v>
      </c>
      <c r="AE377" s="8">
        <f>INDEX(FPL_Raw_Data!$N:$N,MATCH(A377,FPL_Raw_Data!$AA:$AA,0))</f>
        <v>0</v>
      </c>
      <c r="AF377" s="8">
        <f>INDEX(FPL_Raw_Data!$L:$L,MATCH(A377,FPL_Raw_Data!$AA:$AA,0))</f>
        <v>0</v>
      </c>
      <c r="AG377" s="2">
        <f>INDEX(FPL_Raw_Data!$M:$M,MATCH(A377,FPL_Raw_Data!$AA:$AA,0))</f>
        <v>0</v>
      </c>
      <c r="AH377" s="2">
        <f t="shared" si="133"/>
        <v>0</v>
      </c>
      <c r="AI377" s="2">
        <f t="shared" si="134"/>
        <v>0</v>
      </c>
      <c r="AJ377" s="2">
        <f t="shared" si="135"/>
        <v>0</v>
      </c>
      <c r="AK377" s="2">
        <f t="shared" si="136"/>
        <v>0</v>
      </c>
      <c r="AL377" s="2">
        <f t="shared" si="137"/>
        <v>0</v>
      </c>
      <c r="AM377" s="2">
        <f t="shared" si="138"/>
        <v>0</v>
      </c>
      <c r="AN377" s="2">
        <f t="shared" si="139"/>
        <v>0</v>
      </c>
      <c r="AO377" s="3">
        <f t="shared" si="140"/>
        <v>0.1</v>
      </c>
      <c r="AP377">
        <f t="shared" si="141"/>
        <v>0</v>
      </c>
      <c r="AQ377">
        <f t="shared" si="142"/>
        <v>0.1</v>
      </c>
      <c r="AR377">
        <f t="shared" si="143"/>
        <v>0</v>
      </c>
      <c r="AS377" s="2">
        <f t="shared" si="144"/>
        <v>0</v>
      </c>
      <c r="AT377" s="2">
        <f>IFERROR(INDEX(Player_Model!$BC$2:$BC$596,MATCH($A377,Player_Model!$A$2:$A$596,0)),0)</f>
        <v>0</v>
      </c>
      <c r="AU377" s="2">
        <f>Table8[[#This Row],[Model Expected Points]]*Table8[[#This Row],[Fixture Adjustment]]</f>
        <v>0</v>
      </c>
      <c r="AV377" s="2">
        <f>Table8[[#This Row],[Fixture Adjusted Points / 90]]/Table8[[#This Row],[Price]]</f>
        <v>0</v>
      </c>
      <c r="AW377">
        <f t="shared" si="145"/>
        <v>0.05</v>
      </c>
      <c r="AX377">
        <f t="shared" si="146"/>
        <v>0</v>
      </c>
      <c r="AY377" s="2">
        <f t="shared" si="147"/>
        <v>0</v>
      </c>
      <c r="AZ377" s="5">
        <f t="shared" si="148"/>
        <v>1.0097491349480967</v>
      </c>
      <c r="BA377">
        <f>Table8[[#This Row],[Model Score2]]</f>
        <v>0</v>
      </c>
      <c r="BB377">
        <f>IFERROR(INDEX(Player_Model!$BG$2:$BG$596,MATCH($A377,Player_Model!$A$2:$A$596,0)),"")</f>
        <v>211</v>
      </c>
      <c r="BC377" t="str">
        <f t="shared" si="149"/>
        <v>AVOID</v>
      </c>
      <c r="BD377">
        <f>IF(H377=1,Table8[[#This Row],[Model Score]],-10000)</f>
        <v>-10000</v>
      </c>
      <c r="BE377">
        <f>IFERROR(INDEX(Player_Model!$BF$2:$BF$596,MATCH($A377,Player_Model!$A$2:$A$596,0)),"")</f>
        <v>253</v>
      </c>
      <c r="BF377">
        <f>IFERROR(INDEX(Player_Model!$BG$2:$BG$596,MATCH($A377,Player_Model!$A$2:$A$596,0)),"")</f>
        <v>211</v>
      </c>
      <c r="BG377">
        <f>IFERROR(INDEX(Player_Model!$BE$2:$BE$596,MATCH($A377,Player_Model!$A$2:$A$596,0)),0)</f>
        <v>0</v>
      </c>
    </row>
    <row r="378" spans="1:59" x14ac:dyDescent="0.25">
      <c r="A378" t="str">
        <f>tblPlayers[first_name]&amp;" "&amp;tblPlayers[second_name]</f>
        <v>Sam Szmodics</v>
      </c>
      <c r="B378" t="str">
        <f>_xlfn.SWITCH(tblPlayers[element_type],1,"GK",2,"DEF",3,"MID",4,"FWD")</f>
        <v>MID</v>
      </c>
      <c r="C378">
        <f>tblPlayers[team]</f>
        <v>12</v>
      </c>
      <c r="D378" t="str">
        <f>INDEX(tblTeams[Column1.short_name],MATCH(C378,tblTeams[Column1.id],0))</f>
        <v>IPS</v>
      </c>
      <c r="E378" s="4">
        <f>INDEX(FPL_Raw_Data!$F:$F,MATCH(A378,FPL_Raw_Data!$AA:$AA,0))/10</f>
        <v>5</v>
      </c>
      <c r="F378" s="4" t="str">
        <f>tblPlayers[[#This Row],[status]]</f>
        <v>u</v>
      </c>
      <c r="G378" s="4" t="b">
        <f>tblPlayers[[#This Row],[can_select]]</f>
        <v>0</v>
      </c>
      <c r="H378">
        <f>IF(AND(Table8[[#This Row],[Availability Status]]="a",Table8[[#This Row],[Can Select]]=TRUE),1,0)</f>
        <v>0</v>
      </c>
      <c r="I378">
        <f>tblPlayers[minutes]</f>
        <v>0</v>
      </c>
      <c r="J378" s="2">
        <f>Table8[[#This Row],[Minutes]]/90</f>
        <v>0</v>
      </c>
      <c r="K378" s="5">
        <f>IFERROR(Z378/(FIXTURE_ANALYSIS!$B$1-1),0)</f>
        <v>0</v>
      </c>
      <c r="L378">
        <f>tblPlayers[total_points]</f>
        <v>0</v>
      </c>
      <c r="M378">
        <f>tblPlayers[points_per_game]</f>
        <v>0</v>
      </c>
      <c r="N378">
        <f>tblPlayers[form]</f>
        <v>0</v>
      </c>
      <c r="O378">
        <f>tblPlayers[expected_goals]</f>
        <v>0</v>
      </c>
      <c r="P378">
        <f>tblPlayers[expected_assists]</f>
        <v>0</v>
      </c>
      <c r="Q378">
        <f>tblPlayers[expected_goal_involvements]</f>
        <v>0</v>
      </c>
      <c r="R378" s="2">
        <f t="shared" si="125"/>
        <v>0</v>
      </c>
      <c r="S378" s="5">
        <f t="shared" si="126"/>
        <v>0</v>
      </c>
      <c r="T378" s="5">
        <f t="shared" si="127"/>
        <v>0</v>
      </c>
      <c r="U378" s="5">
        <f t="shared" si="128"/>
        <v>0</v>
      </c>
      <c r="V378" s="3">
        <f t="shared" si="129"/>
        <v>0</v>
      </c>
      <c r="W378" s="5">
        <f t="shared" si="130"/>
        <v>0</v>
      </c>
      <c r="X378" s="5">
        <f>IFERROR(IF(OR($B378="MID",$B378="FWD"),INDEX(FIXTURE_ANALYSIS!$Q:$Q,MATCH($D378,FIXTURE_ANALYSIS!$A:$A,0)),INDEX(FIXTURE_ANALYSIS!$R:$R,MATCH($D378,FIXTURE_ANALYSIS!$A:$A,0))),1)</f>
        <v>1.0097491349480967</v>
      </c>
      <c r="Y378" s="5">
        <f t="shared" si="131"/>
        <v>1.0097491349480967</v>
      </c>
      <c r="Z378" s="8">
        <f>INDEX(FPL_Raw_Data!$T:$T,MATCH(A378,FPL_Raw_Data!$AA:$AA,0))</f>
        <v>0</v>
      </c>
      <c r="AA378" s="8">
        <f>INDEX(FPL_Raw_Data!$S:$S,MATCH(A378,FPL_Raw_Data!$AA:$AA,0))</f>
        <v>0</v>
      </c>
      <c r="AB378" s="2">
        <f t="shared" si="132"/>
        <v>0</v>
      </c>
      <c r="AC378" s="2">
        <f>INDEX(FPL_Raw_Data!$Q:$Q,MATCH(A378,FPL_Raw_Data!$AA:$AA,0))</f>
        <v>0</v>
      </c>
      <c r="AD378" s="8">
        <f>INDEX(FPL_Raw_Data!$R:$R,MATCH(A378,FPL_Raw_Data!$AA:$AA,0))</f>
        <v>0</v>
      </c>
      <c r="AE378" s="8">
        <f>INDEX(FPL_Raw_Data!$N:$N,MATCH(A378,FPL_Raw_Data!$AA:$AA,0))</f>
        <v>0</v>
      </c>
      <c r="AF378" s="8">
        <f>INDEX(FPL_Raw_Data!$L:$L,MATCH(A378,FPL_Raw_Data!$AA:$AA,0))</f>
        <v>0</v>
      </c>
      <c r="AG378" s="2">
        <f>INDEX(FPL_Raw_Data!$M:$M,MATCH(A378,FPL_Raw_Data!$AA:$AA,0))</f>
        <v>0</v>
      </c>
      <c r="AH378" s="2">
        <f t="shared" si="133"/>
        <v>0</v>
      </c>
      <c r="AI378" s="2">
        <f t="shared" si="134"/>
        <v>0</v>
      </c>
      <c r="AJ378" s="2">
        <f t="shared" si="135"/>
        <v>0</v>
      </c>
      <c r="AK378" s="2">
        <f t="shared" si="136"/>
        <v>0</v>
      </c>
      <c r="AL378" s="2">
        <f t="shared" si="137"/>
        <v>0</v>
      </c>
      <c r="AM378" s="2">
        <f t="shared" si="138"/>
        <v>0</v>
      </c>
      <c r="AN378" s="2">
        <f t="shared" si="139"/>
        <v>0</v>
      </c>
      <c r="AO378" s="3">
        <f t="shared" si="140"/>
        <v>0.1</v>
      </c>
      <c r="AP378">
        <f t="shared" si="141"/>
        <v>0</v>
      </c>
      <c r="AQ378">
        <f t="shared" si="142"/>
        <v>0.1</v>
      </c>
      <c r="AR378">
        <f t="shared" si="143"/>
        <v>0</v>
      </c>
      <c r="AS378" s="2">
        <f t="shared" si="144"/>
        <v>0</v>
      </c>
      <c r="AT378" s="2">
        <f>IFERROR(INDEX(Player_Model!$BC$2:$BC$596,MATCH($A378,Player_Model!$A$2:$A$596,0)),0)</f>
        <v>0</v>
      </c>
      <c r="AU378" s="2">
        <f>Table8[[#This Row],[Model Expected Points]]*Table8[[#This Row],[Fixture Adjustment]]</f>
        <v>0</v>
      </c>
      <c r="AV378" s="2">
        <f>Table8[[#This Row],[Fixture Adjusted Points / 90]]/Table8[[#This Row],[Price]]</f>
        <v>0</v>
      </c>
      <c r="AW378">
        <f t="shared" si="145"/>
        <v>0.05</v>
      </c>
      <c r="AX378">
        <f t="shared" si="146"/>
        <v>0</v>
      </c>
      <c r="AY378" s="2">
        <f t="shared" si="147"/>
        <v>0</v>
      </c>
      <c r="AZ378" s="5">
        <f t="shared" si="148"/>
        <v>1.0097491349480967</v>
      </c>
      <c r="BA378">
        <f>Table8[[#This Row],[Model Score2]]</f>
        <v>0</v>
      </c>
      <c r="BB378">
        <f>IFERROR(INDEX(Player_Model!$BG$2:$BG$596,MATCH($A378,Player_Model!$A$2:$A$596,0)),"")</f>
        <v>212</v>
      </c>
      <c r="BC378" t="str">
        <f t="shared" si="149"/>
        <v>AVOID</v>
      </c>
      <c r="BD378">
        <f>IF(H378=1,Table8[[#This Row],[Model Score]],-10000)</f>
        <v>-10000</v>
      </c>
      <c r="BE378">
        <f>IFERROR(INDEX(Player_Model!$BF$2:$BF$596,MATCH($A378,Player_Model!$A$2:$A$596,0)),"")</f>
        <v>253</v>
      </c>
      <c r="BF378">
        <f>IFERROR(INDEX(Player_Model!$BG$2:$BG$596,MATCH($A378,Player_Model!$A$2:$A$596,0)),"")</f>
        <v>212</v>
      </c>
      <c r="BG378">
        <f>IFERROR(INDEX(Player_Model!$BE$2:$BE$596,MATCH($A378,Player_Model!$A$2:$A$596,0)),0)</f>
        <v>0</v>
      </c>
    </row>
    <row r="379" spans="1:59" x14ac:dyDescent="0.25">
      <c r="A379" t="str">
        <f>tblPlayers[first_name]&amp;" "&amp;tblPlayers[second_name]</f>
        <v>Chuba Akpom</v>
      </c>
      <c r="B379" t="str">
        <f>_xlfn.SWITCH(tblPlayers[element_type],1,"GK",2,"DEF",3,"MID",4,"FWD")</f>
        <v>FWD</v>
      </c>
      <c r="C379">
        <f>tblPlayers[team]</f>
        <v>12</v>
      </c>
      <c r="D379" t="str">
        <f>INDEX(tblTeams[Column1.short_name],MATCH(C379,tblTeams[Column1.id],0))</f>
        <v>IPS</v>
      </c>
      <c r="E379" s="4">
        <f>INDEX(FPL_Raw_Data!$F:$F,MATCH(A379,FPL_Raw_Data!$AA:$AA,0))/10</f>
        <v>5</v>
      </c>
      <c r="F379" s="4" t="str">
        <f>tblPlayers[[#This Row],[status]]</f>
        <v>a</v>
      </c>
      <c r="G379" s="4" t="b">
        <f>tblPlayers[[#This Row],[can_select]]</f>
        <v>1</v>
      </c>
      <c r="H379">
        <f>IF(AND(Table8[[#This Row],[Availability Status]]="a",Table8[[#This Row],[Can Select]]=TRUE),1,0)</f>
        <v>1</v>
      </c>
      <c r="I379">
        <f>tblPlayers[minutes]</f>
        <v>69</v>
      </c>
      <c r="J379" s="2">
        <f>Table8[[#This Row],[Minutes]]/90</f>
        <v>0.76666666666666672</v>
      </c>
      <c r="K379" s="5">
        <f>IFERROR(Z379/(FIXTURE_ANALYSIS!$B$1-1),0)</f>
        <v>0</v>
      </c>
      <c r="L379">
        <f>tblPlayers[total_points]</f>
        <v>6</v>
      </c>
      <c r="M379">
        <f>tblPlayers[points_per_game]</f>
        <v>3</v>
      </c>
      <c r="N379">
        <f>tblPlayers[form]</f>
        <v>2</v>
      </c>
      <c r="O379">
        <f>tblPlayers[expected_goals]</f>
        <v>0.97</v>
      </c>
      <c r="P379">
        <f>tblPlayers[expected_assists]</f>
        <v>0</v>
      </c>
      <c r="Q379">
        <f>tblPlayers[expected_goal_involvements]</f>
        <v>0.97</v>
      </c>
      <c r="R379" s="2">
        <f t="shared" si="125"/>
        <v>7.8260869565217392</v>
      </c>
      <c r="S379" s="5">
        <f t="shared" si="126"/>
        <v>1.2652173913043478</v>
      </c>
      <c r="T379" s="5">
        <f t="shared" si="127"/>
        <v>0</v>
      </c>
      <c r="U379" s="5">
        <f t="shared" si="128"/>
        <v>1.2652173913043478</v>
      </c>
      <c r="V379" s="3">
        <f t="shared" si="129"/>
        <v>1.2</v>
      </c>
      <c r="W379" s="5">
        <f t="shared" si="130"/>
        <v>0.19400000000000001</v>
      </c>
      <c r="X379" s="5">
        <f>IFERROR(IF(OR($B379="MID",$B379="FWD"),INDEX(FIXTURE_ANALYSIS!$Q:$Q,MATCH($D379,FIXTURE_ANALYSIS!$A:$A,0)),INDEX(FIXTURE_ANALYSIS!$R:$R,MATCH($D379,FIXTURE_ANALYSIS!$A:$A,0))),1)</f>
        <v>1.0097491349480967</v>
      </c>
      <c r="Y379" s="5">
        <f t="shared" si="131"/>
        <v>1.0097491349480967</v>
      </c>
      <c r="Z379" s="8">
        <f>INDEX(FPL_Raw_Data!$T:$T,MATCH(A379,FPL_Raw_Data!$AA:$AA,0))</f>
        <v>0</v>
      </c>
      <c r="AA379" s="8">
        <f>INDEX(FPL_Raw_Data!$S:$S,MATCH(A379,FPL_Raw_Data!$AA:$AA,0))</f>
        <v>3</v>
      </c>
      <c r="AB379" s="2">
        <f t="shared" si="132"/>
        <v>0.25</v>
      </c>
      <c r="AC379" s="2">
        <f>INDEX(FPL_Raw_Data!$Q:$Q,MATCH(A379,FPL_Raw_Data!$AA:$AA,0))</f>
        <v>0</v>
      </c>
      <c r="AD379" s="8">
        <f>INDEX(FPL_Raw_Data!$R:$R,MATCH(A379,FPL_Raw_Data!$AA:$AA,0))</f>
        <v>33</v>
      </c>
      <c r="AE379" s="8">
        <f>INDEX(FPL_Raw_Data!$N:$N,MATCH(A379,FPL_Raw_Data!$AA:$AA,0))</f>
        <v>0</v>
      </c>
      <c r="AF379" s="8">
        <f>INDEX(FPL_Raw_Data!$L:$L,MATCH(A379,FPL_Raw_Data!$AA:$AA,0))</f>
        <v>1</v>
      </c>
      <c r="AG379" s="2">
        <f>INDEX(FPL_Raw_Data!$M:$M,MATCH(A379,FPL_Raw_Data!$AA:$AA,0))</f>
        <v>0</v>
      </c>
      <c r="AH379" s="2">
        <f t="shared" si="133"/>
        <v>5.0608695652173914</v>
      </c>
      <c r="AI379" s="2">
        <f t="shared" si="134"/>
        <v>0</v>
      </c>
      <c r="AJ379" s="2">
        <f t="shared" si="135"/>
        <v>0</v>
      </c>
      <c r="AK379" s="2">
        <f t="shared" si="136"/>
        <v>0.5</v>
      </c>
      <c r="AL379" s="2">
        <f t="shared" si="137"/>
        <v>0</v>
      </c>
      <c r="AM379" s="2">
        <f t="shared" si="138"/>
        <v>0</v>
      </c>
      <c r="AN379" s="2">
        <f t="shared" si="139"/>
        <v>0</v>
      </c>
      <c r="AO379" s="3">
        <f t="shared" si="140"/>
        <v>88.7</v>
      </c>
      <c r="AP379">
        <f t="shared" si="141"/>
        <v>99.3</v>
      </c>
      <c r="AQ379">
        <f t="shared" si="142"/>
        <v>72.2</v>
      </c>
      <c r="AR379">
        <f t="shared" si="143"/>
        <v>94.1</v>
      </c>
      <c r="AS379" s="2">
        <f t="shared" si="144"/>
        <v>0</v>
      </c>
      <c r="AT379" s="2">
        <f>IFERROR(INDEX(Player_Model!$BC$2:$BC$596,MATCH($A379,Player_Model!$A$2:$A$596,0)),0)</f>
        <v>0</v>
      </c>
      <c r="AU379" s="2">
        <f>Table8[[#This Row],[Model Expected Points]]*Table8[[#This Row],[Fixture Adjustment]]</f>
        <v>0</v>
      </c>
      <c r="AV379" s="2">
        <f>Table8[[#This Row],[Fixture Adjusted Points / 90]]/Table8[[#This Row],[Price]]</f>
        <v>0</v>
      </c>
      <c r="AW379">
        <f t="shared" si="145"/>
        <v>94</v>
      </c>
      <c r="AX379">
        <f t="shared" si="146"/>
        <v>0</v>
      </c>
      <c r="AY379" s="2">
        <f t="shared" si="147"/>
        <v>0</v>
      </c>
      <c r="AZ379" s="5">
        <f t="shared" si="148"/>
        <v>1.0097491349480967</v>
      </c>
      <c r="BA379">
        <f>Table8[[#This Row],[Model Score2]]</f>
        <v>0</v>
      </c>
      <c r="BB379">
        <f>IFERROR(INDEX(Player_Model!$BG$2:$BG$596,MATCH($A379,Player_Model!$A$2:$A$596,0)),"")</f>
        <v>56</v>
      </c>
      <c r="BC379" t="str">
        <f t="shared" si="149"/>
        <v>AVOID</v>
      </c>
      <c r="BD379">
        <f>IF(H379=1,Table8[[#This Row],[Model Score]],-10000)</f>
        <v>0</v>
      </c>
      <c r="BE379">
        <f>IFERROR(INDEX(Player_Model!$BF$2:$BF$596,MATCH($A379,Player_Model!$A$2:$A$596,0)),"")</f>
        <v>253</v>
      </c>
      <c r="BF379">
        <f>IFERROR(INDEX(Player_Model!$BG$2:$BG$596,MATCH($A379,Player_Model!$A$2:$A$596,0)),"")</f>
        <v>56</v>
      </c>
      <c r="BG379">
        <f>IFERROR(INDEX(Player_Model!$BE$2:$BE$596,MATCH($A379,Player_Model!$A$2:$A$596,0)),0)</f>
        <v>0</v>
      </c>
    </row>
    <row r="380" spans="1:59" x14ac:dyDescent="0.25">
      <c r="A380" t="str">
        <f>tblPlayers[first_name]&amp;" "&amp;tblPlayers[second_name]</f>
        <v>Sindre Walle Egeli</v>
      </c>
      <c r="B380" t="str">
        <f>_xlfn.SWITCH(tblPlayers[element_type],1,"GK",2,"DEF",3,"MID",4,"FWD")</f>
        <v>FWD</v>
      </c>
      <c r="C380">
        <f>tblPlayers[team]</f>
        <v>12</v>
      </c>
      <c r="D380" t="str">
        <f>INDEX(tblTeams[Column1.short_name],MATCH(C380,tblTeams[Column1.id],0))</f>
        <v>IPS</v>
      </c>
      <c r="E380" s="4">
        <f>INDEX(FPL_Raw_Data!$F:$F,MATCH(A380,FPL_Raw_Data!$AA:$AA,0))/10</f>
        <v>4.5</v>
      </c>
      <c r="F380" s="4" t="str">
        <f>tblPlayers[[#This Row],[status]]</f>
        <v>a</v>
      </c>
      <c r="G380" s="4" t="b">
        <f>tblPlayers[[#This Row],[can_select]]</f>
        <v>1</v>
      </c>
      <c r="H380">
        <f>IF(AND(Table8[[#This Row],[Availability Status]]="a",Table8[[#This Row],[Can Select]]=TRUE),1,0)</f>
        <v>1</v>
      </c>
      <c r="I380">
        <f>tblPlayers[minutes]</f>
        <v>10</v>
      </c>
      <c r="J380" s="2">
        <f>Table8[[#This Row],[Minutes]]/90</f>
        <v>0.1111111111111111</v>
      </c>
      <c r="K380" s="5">
        <f>IFERROR(Z380/(FIXTURE_ANALYSIS!$B$1-1),0)</f>
        <v>0</v>
      </c>
      <c r="L380">
        <f>tblPlayers[total_points]</f>
        <v>1</v>
      </c>
      <c r="M380">
        <f>tblPlayers[points_per_game]</f>
        <v>1</v>
      </c>
      <c r="N380">
        <f>tblPlayers[form]</f>
        <v>0.3</v>
      </c>
      <c r="O380">
        <f>tblPlayers[expected_goals]</f>
        <v>0</v>
      </c>
      <c r="P380">
        <f>tblPlayers[expected_assists]</f>
        <v>0</v>
      </c>
      <c r="Q380">
        <f>tblPlayers[expected_goal_involvements]</f>
        <v>0</v>
      </c>
      <c r="R380" s="2">
        <f t="shared" si="125"/>
        <v>9</v>
      </c>
      <c r="S380" s="5">
        <f t="shared" si="126"/>
        <v>0</v>
      </c>
      <c r="T380" s="5">
        <f t="shared" si="127"/>
        <v>0</v>
      </c>
      <c r="U380" s="5">
        <f t="shared" si="128"/>
        <v>0</v>
      </c>
      <c r="V380" s="3">
        <f t="shared" si="129"/>
        <v>0.22222222222222221</v>
      </c>
      <c r="W380" s="5">
        <f t="shared" si="130"/>
        <v>0</v>
      </c>
      <c r="X380" s="5">
        <f>IFERROR(IF(OR($B380="MID",$B380="FWD"),INDEX(FIXTURE_ANALYSIS!$Q:$Q,MATCH($D380,FIXTURE_ANALYSIS!$A:$A,0)),INDEX(FIXTURE_ANALYSIS!$R:$R,MATCH($D380,FIXTURE_ANALYSIS!$A:$A,0))),1)</f>
        <v>1.0097491349480967</v>
      </c>
      <c r="Y380" s="5">
        <f t="shared" si="131"/>
        <v>1.0097491349480967</v>
      </c>
      <c r="Z380" s="8">
        <f>INDEX(FPL_Raw_Data!$T:$T,MATCH(A380,FPL_Raw_Data!$AA:$AA,0))</f>
        <v>0</v>
      </c>
      <c r="AA380" s="8">
        <f>INDEX(FPL_Raw_Data!$S:$S,MATCH(A380,FPL_Raw_Data!$AA:$AA,0))</f>
        <v>0</v>
      </c>
      <c r="AB380" s="2">
        <f t="shared" si="132"/>
        <v>0</v>
      </c>
      <c r="AC380" s="2">
        <f>INDEX(FPL_Raw_Data!$Q:$Q,MATCH(A380,FPL_Raw_Data!$AA:$AA,0))</f>
        <v>0</v>
      </c>
      <c r="AD380" s="8">
        <f>INDEX(FPL_Raw_Data!$R:$R,MATCH(A380,FPL_Raw_Data!$AA:$AA,0))</f>
        <v>3</v>
      </c>
      <c r="AE380" s="8">
        <f>INDEX(FPL_Raw_Data!$N:$N,MATCH(A380,FPL_Raw_Data!$AA:$AA,0))</f>
        <v>0</v>
      </c>
      <c r="AF380" s="8">
        <f>INDEX(FPL_Raw_Data!$L:$L,MATCH(A380,FPL_Raw_Data!$AA:$AA,0))</f>
        <v>0</v>
      </c>
      <c r="AG380" s="2">
        <f>INDEX(FPL_Raw_Data!$M:$M,MATCH(A380,FPL_Raw_Data!$AA:$AA,0))</f>
        <v>0</v>
      </c>
      <c r="AH380" s="2">
        <f t="shared" si="133"/>
        <v>0</v>
      </c>
      <c r="AI380" s="2">
        <f t="shared" si="134"/>
        <v>0</v>
      </c>
      <c r="AJ380" s="2">
        <f t="shared" si="135"/>
        <v>0</v>
      </c>
      <c r="AK380" s="2">
        <f t="shared" si="136"/>
        <v>0</v>
      </c>
      <c r="AL380" s="2">
        <f t="shared" si="137"/>
        <v>0</v>
      </c>
      <c r="AM380" s="2">
        <f t="shared" si="138"/>
        <v>0</v>
      </c>
      <c r="AN380" s="2">
        <f t="shared" si="139"/>
        <v>0</v>
      </c>
      <c r="AO380" s="3">
        <f t="shared" si="140"/>
        <v>91.4</v>
      </c>
      <c r="AP380">
        <f t="shared" si="141"/>
        <v>0</v>
      </c>
      <c r="AQ380">
        <f t="shared" si="142"/>
        <v>47.8</v>
      </c>
      <c r="AR380">
        <f t="shared" si="143"/>
        <v>0</v>
      </c>
      <c r="AS380" s="2">
        <f t="shared" si="144"/>
        <v>0</v>
      </c>
      <c r="AT380" s="2">
        <f>IFERROR(INDEX(Player_Model!$BC$2:$BC$596,MATCH($A380,Player_Model!$A$2:$A$596,0)),0)</f>
        <v>0</v>
      </c>
      <c r="AU380" s="2">
        <f>Table8[[#This Row],[Model Expected Points]]*Table8[[#This Row],[Fixture Adjustment]]</f>
        <v>0</v>
      </c>
      <c r="AV380" s="2">
        <f>Table8[[#This Row],[Fixture Adjusted Points / 90]]/Table8[[#This Row],[Price]]</f>
        <v>0</v>
      </c>
      <c r="AW380">
        <f t="shared" si="145"/>
        <v>45.7</v>
      </c>
      <c r="AX380">
        <f t="shared" si="146"/>
        <v>0</v>
      </c>
      <c r="AY380" s="2">
        <f t="shared" si="147"/>
        <v>0</v>
      </c>
      <c r="AZ380" s="5">
        <f t="shared" si="148"/>
        <v>1.0097491349480967</v>
      </c>
      <c r="BA380">
        <f>Table8[[#This Row],[Model Score2]]</f>
        <v>0</v>
      </c>
      <c r="BB380">
        <f>IFERROR(INDEX(Player_Model!$BG$2:$BG$596,MATCH($A380,Player_Model!$A$2:$A$596,0)),"")</f>
        <v>57</v>
      </c>
      <c r="BC380" t="str">
        <f t="shared" si="149"/>
        <v>AVOID</v>
      </c>
      <c r="BD380">
        <f>IF(H380=1,Table8[[#This Row],[Model Score]],-10000)</f>
        <v>0</v>
      </c>
      <c r="BE380">
        <f>IFERROR(INDEX(Player_Model!$BF$2:$BF$596,MATCH($A380,Player_Model!$A$2:$A$596,0)),"")</f>
        <v>253</v>
      </c>
      <c r="BF380">
        <f>IFERROR(INDEX(Player_Model!$BG$2:$BG$596,MATCH($A380,Player_Model!$A$2:$A$596,0)),"")</f>
        <v>57</v>
      </c>
      <c r="BG380">
        <f>IFERROR(INDEX(Player_Model!$BE$2:$BE$596,MATCH($A380,Player_Model!$A$2:$A$596,0)),0)</f>
        <v>0</v>
      </c>
    </row>
    <row r="381" spans="1:59" x14ac:dyDescent="0.25">
      <c r="A381" t="str">
        <f>tblPlayers[first_name]&amp;" "&amp;tblPlayers[second_name]</f>
        <v>Ali Al-Hamadi</v>
      </c>
      <c r="B381" t="str">
        <f>_xlfn.SWITCH(tblPlayers[element_type],1,"GK",2,"DEF",3,"MID",4,"FWD")</f>
        <v>FWD</v>
      </c>
      <c r="C381">
        <f>tblPlayers[team]</f>
        <v>12</v>
      </c>
      <c r="D381" t="str">
        <f>INDEX(tblTeams[Column1.short_name],MATCH(C381,tblTeams[Column1.id],0))</f>
        <v>IPS</v>
      </c>
      <c r="E381" s="4">
        <f>INDEX(FPL_Raw_Data!$F:$F,MATCH(A381,FPL_Raw_Data!$AA:$AA,0))/10</f>
        <v>5</v>
      </c>
      <c r="F381" s="4" t="str">
        <f>tblPlayers[[#This Row],[status]]</f>
        <v>u</v>
      </c>
      <c r="G381" s="4" t="b">
        <f>tblPlayers[[#This Row],[can_select]]</f>
        <v>0</v>
      </c>
      <c r="H381">
        <f>IF(AND(Table8[[#This Row],[Availability Status]]="a",Table8[[#This Row],[Can Select]]=TRUE),1,0)</f>
        <v>0</v>
      </c>
      <c r="I381">
        <f>tblPlayers[minutes]</f>
        <v>0</v>
      </c>
      <c r="J381" s="2">
        <f>Table8[[#This Row],[Minutes]]/90</f>
        <v>0</v>
      </c>
      <c r="K381" s="5">
        <f>IFERROR(Z381/(FIXTURE_ANALYSIS!$B$1-1),0)</f>
        <v>0</v>
      </c>
      <c r="L381">
        <f>tblPlayers[total_points]</f>
        <v>0</v>
      </c>
      <c r="M381">
        <f>tblPlayers[points_per_game]</f>
        <v>0</v>
      </c>
      <c r="N381">
        <f>tblPlayers[form]</f>
        <v>0</v>
      </c>
      <c r="O381">
        <f>tblPlayers[expected_goals]</f>
        <v>0</v>
      </c>
      <c r="P381">
        <f>tblPlayers[expected_assists]</f>
        <v>0</v>
      </c>
      <c r="Q381">
        <f>tblPlayers[expected_goal_involvements]</f>
        <v>0</v>
      </c>
      <c r="R381" s="2">
        <f t="shared" si="125"/>
        <v>0</v>
      </c>
      <c r="S381" s="5">
        <f t="shared" si="126"/>
        <v>0</v>
      </c>
      <c r="T381" s="5">
        <f t="shared" si="127"/>
        <v>0</v>
      </c>
      <c r="U381" s="5">
        <f t="shared" si="128"/>
        <v>0</v>
      </c>
      <c r="V381" s="3">
        <f t="shared" si="129"/>
        <v>0</v>
      </c>
      <c r="W381" s="5">
        <f t="shared" si="130"/>
        <v>0</v>
      </c>
      <c r="X381" s="5">
        <f>IFERROR(IF(OR($B381="MID",$B381="FWD"),INDEX(FIXTURE_ANALYSIS!$Q:$Q,MATCH($D381,FIXTURE_ANALYSIS!$A:$A,0)),INDEX(FIXTURE_ANALYSIS!$R:$R,MATCH($D381,FIXTURE_ANALYSIS!$A:$A,0))),1)</f>
        <v>1.0097491349480967</v>
      </c>
      <c r="Y381" s="5">
        <f t="shared" si="131"/>
        <v>1.0097491349480967</v>
      </c>
      <c r="Z381" s="8">
        <f>INDEX(FPL_Raw_Data!$T:$T,MATCH(A381,FPL_Raw_Data!$AA:$AA,0))</f>
        <v>0</v>
      </c>
      <c r="AA381" s="8">
        <f>INDEX(FPL_Raw_Data!$S:$S,MATCH(A381,FPL_Raw_Data!$AA:$AA,0))</f>
        <v>0</v>
      </c>
      <c r="AB381" s="2">
        <f t="shared" si="132"/>
        <v>0</v>
      </c>
      <c r="AC381" s="2">
        <f>INDEX(FPL_Raw_Data!$Q:$Q,MATCH(A381,FPL_Raw_Data!$AA:$AA,0))</f>
        <v>0</v>
      </c>
      <c r="AD381" s="8">
        <f>INDEX(FPL_Raw_Data!$R:$R,MATCH(A381,FPL_Raw_Data!$AA:$AA,0))</f>
        <v>0</v>
      </c>
      <c r="AE381" s="8">
        <f>INDEX(FPL_Raw_Data!$N:$N,MATCH(A381,FPL_Raw_Data!$AA:$AA,0))</f>
        <v>0</v>
      </c>
      <c r="AF381" s="8">
        <f>INDEX(FPL_Raw_Data!$L:$L,MATCH(A381,FPL_Raw_Data!$AA:$AA,0))</f>
        <v>0</v>
      </c>
      <c r="AG381" s="2">
        <f>INDEX(FPL_Raw_Data!$M:$M,MATCH(A381,FPL_Raw_Data!$AA:$AA,0))</f>
        <v>0</v>
      </c>
      <c r="AH381" s="2">
        <f t="shared" si="133"/>
        <v>0</v>
      </c>
      <c r="AI381" s="2">
        <f t="shared" si="134"/>
        <v>0</v>
      </c>
      <c r="AJ381" s="2">
        <f t="shared" si="135"/>
        <v>0</v>
      </c>
      <c r="AK381" s="2">
        <f t="shared" si="136"/>
        <v>0</v>
      </c>
      <c r="AL381" s="2">
        <f t="shared" si="137"/>
        <v>0</v>
      </c>
      <c r="AM381" s="2">
        <f t="shared" si="138"/>
        <v>0</v>
      </c>
      <c r="AN381" s="2">
        <f t="shared" si="139"/>
        <v>0</v>
      </c>
      <c r="AO381" s="3">
        <f t="shared" si="140"/>
        <v>0.1</v>
      </c>
      <c r="AP381">
        <f t="shared" si="141"/>
        <v>0</v>
      </c>
      <c r="AQ381">
        <f t="shared" si="142"/>
        <v>0.1</v>
      </c>
      <c r="AR381">
        <f t="shared" si="143"/>
        <v>0</v>
      </c>
      <c r="AS381" s="2">
        <f t="shared" si="144"/>
        <v>0</v>
      </c>
      <c r="AT381" s="2">
        <f>IFERROR(INDEX(Player_Model!$BC$2:$BC$596,MATCH($A381,Player_Model!$A$2:$A$596,0)),0)</f>
        <v>0</v>
      </c>
      <c r="AU381" s="2">
        <f>Table8[[#This Row],[Model Expected Points]]*Table8[[#This Row],[Fixture Adjustment]]</f>
        <v>0</v>
      </c>
      <c r="AV381" s="2">
        <f>Table8[[#This Row],[Fixture Adjusted Points / 90]]/Table8[[#This Row],[Price]]</f>
        <v>0</v>
      </c>
      <c r="AW381">
        <f t="shared" si="145"/>
        <v>0.05</v>
      </c>
      <c r="AX381">
        <f t="shared" si="146"/>
        <v>0</v>
      </c>
      <c r="AY381" s="2">
        <f t="shared" si="147"/>
        <v>0</v>
      </c>
      <c r="AZ381" s="5">
        <f t="shared" si="148"/>
        <v>1.0097491349480967</v>
      </c>
      <c r="BA381">
        <f>Table8[[#This Row],[Model Score2]]</f>
        <v>0</v>
      </c>
      <c r="BB381">
        <f>IFERROR(INDEX(Player_Model!$BG$2:$BG$596,MATCH($A381,Player_Model!$A$2:$A$596,0)),"")</f>
        <v>58</v>
      </c>
      <c r="BC381" t="str">
        <f t="shared" si="149"/>
        <v>AVOID</v>
      </c>
      <c r="BD381">
        <f>IF(H381=1,Table8[[#This Row],[Model Score]],-10000)</f>
        <v>-10000</v>
      </c>
      <c r="BE381">
        <f>IFERROR(INDEX(Player_Model!$BF$2:$BF$596,MATCH($A381,Player_Model!$A$2:$A$596,0)),"")</f>
        <v>253</v>
      </c>
      <c r="BF381">
        <f>IFERROR(INDEX(Player_Model!$BG$2:$BG$596,MATCH($A381,Player_Model!$A$2:$A$596,0)),"")</f>
        <v>58</v>
      </c>
      <c r="BG381">
        <f>IFERROR(INDEX(Player_Model!$BE$2:$BE$596,MATCH($A381,Player_Model!$A$2:$A$596,0)),0)</f>
        <v>0</v>
      </c>
    </row>
    <row r="382" spans="1:59" x14ac:dyDescent="0.25">
      <c r="A382" t="str">
        <f>tblPlayers[first_name]&amp;" "&amp;tblPlayers[second_name]</f>
        <v>Kasey McAteer</v>
      </c>
      <c r="B382" t="str">
        <f>_xlfn.SWITCH(tblPlayers[element_type],1,"GK",2,"DEF",3,"MID",4,"FWD")</f>
        <v>MID</v>
      </c>
      <c r="C382">
        <f>tblPlayers[team]</f>
        <v>12</v>
      </c>
      <c r="D382" t="str">
        <f>INDEX(tblTeams[Column1.short_name],MATCH(C382,tblTeams[Column1.id],0))</f>
        <v>IPS</v>
      </c>
      <c r="E382" s="4">
        <f>INDEX(FPL_Raw_Data!$F:$F,MATCH(A382,FPL_Raw_Data!$AA:$AA,0))/10</f>
        <v>4.5</v>
      </c>
      <c r="F382" s="4" t="str">
        <f>tblPlayers[[#This Row],[status]]</f>
        <v>a</v>
      </c>
      <c r="G382" s="4" t="b">
        <f>tblPlayers[[#This Row],[can_select]]</f>
        <v>1</v>
      </c>
      <c r="H382">
        <f>IF(AND(Table8[[#This Row],[Availability Status]]="a",Table8[[#This Row],[Can Select]]=TRUE),1,0)</f>
        <v>1</v>
      </c>
      <c r="I382">
        <f>tblPlayers[minutes]</f>
        <v>42</v>
      </c>
      <c r="J382" s="2">
        <f>Table8[[#This Row],[Minutes]]/90</f>
        <v>0.46666666666666667</v>
      </c>
      <c r="K382" s="5">
        <f>IFERROR(Z382/(FIXTURE_ANALYSIS!$B$1-1),0)</f>
        <v>0</v>
      </c>
      <c r="L382">
        <f>tblPlayers[total_points]</f>
        <v>3</v>
      </c>
      <c r="M382">
        <f>tblPlayers[points_per_game]</f>
        <v>1</v>
      </c>
      <c r="N382">
        <f>tblPlayers[form]</f>
        <v>1</v>
      </c>
      <c r="O382">
        <f>tblPlayers[expected_goals]</f>
        <v>0.05</v>
      </c>
      <c r="P382">
        <f>tblPlayers[expected_assists]</f>
        <v>0</v>
      </c>
      <c r="Q382">
        <f>tblPlayers[expected_goal_involvements]</f>
        <v>0.05</v>
      </c>
      <c r="R382" s="2">
        <f t="shared" si="125"/>
        <v>6.4285714285714279</v>
      </c>
      <c r="S382" s="5">
        <f t="shared" si="126"/>
        <v>0.10714285714285715</v>
      </c>
      <c r="T382" s="5">
        <f t="shared" si="127"/>
        <v>0</v>
      </c>
      <c r="U382" s="5">
        <f t="shared" si="128"/>
        <v>0.10714285714285715</v>
      </c>
      <c r="V382" s="3">
        <f t="shared" si="129"/>
        <v>0.66666666666666663</v>
      </c>
      <c r="W382" s="5">
        <f t="shared" si="130"/>
        <v>1.1111111111111112E-2</v>
      </c>
      <c r="X382" s="5">
        <f>IFERROR(IF(OR($B382="MID",$B382="FWD"),INDEX(FIXTURE_ANALYSIS!$Q:$Q,MATCH($D382,FIXTURE_ANALYSIS!$A:$A,0)),INDEX(FIXTURE_ANALYSIS!$R:$R,MATCH($D382,FIXTURE_ANALYSIS!$A:$A,0))),1)</f>
        <v>1.0097491349480967</v>
      </c>
      <c r="Y382" s="5">
        <f t="shared" si="131"/>
        <v>1.0097491349480967</v>
      </c>
      <c r="Z382" s="8">
        <f>INDEX(FPL_Raw_Data!$T:$T,MATCH(A382,FPL_Raw_Data!$AA:$AA,0))</f>
        <v>0</v>
      </c>
      <c r="AA382" s="8">
        <f>INDEX(FPL_Raw_Data!$S:$S,MATCH(A382,FPL_Raw_Data!$AA:$AA,0))</f>
        <v>5</v>
      </c>
      <c r="AB382" s="2">
        <f t="shared" si="132"/>
        <v>0.41666666666666669</v>
      </c>
      <c r="AC382" s="2">
        <f>INDEX(FPL_Raw_Data!$Q:$Q,MATCH(A382,FPL_Raw_Data!$AA:$AA,0))</f>
        <v>0</v>
      </c>
      <c r="AD382" s="8">
        <f>INDEX(FPL_Raw_Data!$R:$R,MATCH(A382,FPL_Raw_Data!$AA:$AA,0))</f>
        <v>12</v>
      </c>
      <c r="AE382" s="8">
        <f>INDEX(FPL_Raw_Data!$N:$N,MATCH(A382,FPL_Raw_Data!$AA:$AA,0))</f>
        <v>0</v>
      </c>
      <c r="AF382" s="8">
        <f>INDEX(FPL_Raw_Data!$L:$L,MATCH(A382,FPL_Raw_Data!$AA:$AA,0))</f>
        <v>0</v>
      </c>
      <c r="AG382" s="2">
        <f>INDEX(FPL_Raw_Data!$M:$M,MATCH(A382,FPL_Raw_Data!$AA:$AA,0))</f>
        <v>0</v>
      </c>
      <c r="AH382" s="2">
        <f t="shared" si="133"/>
        <v>0.53571428571428581</v>
      </c>
      <c r="AI382" s="2">
        <f t="shared" si="134"/>
        <v>0</v>
      </c>
      <c r="AJ382" s="2">
        <f t="shared" si="135"/>
        <v>0</v>
      </c>
      <c r="AK382" s="2">
        <f t="shared" si="136"/>
        <v>0.83333333333333337</v>
      </c>
      <c r="AL382" s="2">
        <f t="shared" si="137"/>
        <v>0</v>
      </c>
      <c r="AM382" s="2">
        <f t="shared" si="138"/>
        <v>0</v>
      </c>
      <c r="AN382" s="2">
        <f t="shared" si="139"/>
        <v>0</v>
      </c>
      <c r="AO382" s="3">
        <f t="shared" si="140"/>
        <v>83.1</v>
      </c>
      <c r="AP382">
        <f t="shared" si="141"/>
        <v>68.8</v>
      </c>
      <c r="AQ382">
        <f t="shared" si="142"/>
        <v>62.2</v>
      </c>
      <c r="AR382">
        <f t="shared" si="143"/>
        <v>61.199999999999996</v>
      </c>
      <c r="AS382" s="2">
        <f t="shared" si="144"/>
        <v>0</v>
      </c>
      <c r="AT382" s="2">
        <f>IFERROR(INDEX(Player_Model!$BC$2:$BC$596,MATCH($A382,Player_Model!$A$2:$A$596,0)),0)</f>
        <v>0</v>
      </c>
      <c r="AU382" s="2">
        <f>Table8[[#This Row],[Model Expected Points]]*Table8[[#This Row],[Fixture Adjustment]]</f>
        <v>0</v>
      </c>
      <c r="AV382" s="2">
        <f>Table8[[#This Row],[Fixture Adjusted Points / 90]]/Table8[[#This Row],[Price]]</f>
        <v>0</v>
      </c>
      <c r="AW382">
        <f t="shared" si="145"/>
        <v>75.949999999999989</v>
      </c>
      <c r="AX382">
        <f t="shared" si="146"/>
        <v>0.41666666666666669</v>
      </c>
      <c r="AY382" s="2">
        <f t="shared" si="147"/>
        <v>0</v>
      </c>
      <c r="AZ382" s="5">
        <f t="shared" si="148"/>
        <v>1.0097491349480967</v>
      </c>
      <c r="BA382">
        <f>Table8[[#This Row],[Model Score2]]</f>
        <v>0</v>
      </c>
      <c r="BB382">
        <f>IFERROR(INDEX(Player_Model!$BG$2:$BG$596,MATCH($A382,Player_Model!$A$2:$A$596,0)),"")</f>
        <v>213</v>
      </c>
      <c r="BC382" t="str">
        <f t="shared" si="149"/>
        <v>AVOID</v>
      </c>
      <c r="BD382">
        <f>IF(H382=1,Table8[[#This Row],[Model Score]],-10000)</f>
        <v>0</v>
      </c>
      <c r="BE382">
        <f>IFERROR(INDEX(Player_Model!$BF$2:$BF$596,MATCH($A382,Player_Model!$A$2:$A$596,0)),"")</f>
        <v>253</v>
      </c>
      <c r="BF382">
        <f>IFERROR(INDEX(Player_Model!$BG$2:$BG$596,MATCH($A382,Player_Model!$A$2:$A$596,0)),"")</f>
        <v>213</v>
      </c>
      <c r="BG382">
        <f>IFERROR(INDEX(Player_Model!$BE$2:$BE$596,MATCH($A382,Player_Model!$A$2:$A$596,0)),0)</f>
        <v>0</v>
      </c>
    </row>
    <row r="383" spans="1:59" x14ac:dyDescent="0.25">
      <c r="A383" t="str">
        <f>tblPlayers[first_name]&amp;" "&amp;tblPlayers[second_name]</f>
        <v>Anis Mehmeti</v>
      </c>
      <c r="B383" t="str">
        <f>_xlfn.SWITCH(tblPlayers[element_type],1,"GK",2,"DEF",3,"MID",4,"FWD")</f>
        <v>MID</v>
      </c>
      <c r="C383">
        <f>tblPlayers[team]</f>
        <v>12</v>
      </c>
      <c r="D383" t="str">
        <f>INDEX(tblTeams[Column1.short_name],MATCH(C383,tblTeams[Column1.id],0))</f>
        <v>IPS</v>
      </c>
      <c r="E383" s="4">
        <f>INDEX(FPL_Raw_Data!$F:$F,MATCH(A383,FPL_Raw_Data!$AA:$AA,0))/10</f>
        <v>4.9000000000000004</v>
      </c>
      <c r="F383" s="4" t="str">
        <f>tblPlayers[[#This Row],[status]]</f>
        <v>a</v>
      </c>
      <c r="G383" s="4" t="b">
        <f>tblPlayers[[#This Row],[can_select]]</f>
        <v>1</v>
      </c>
      <c r="H383">
        <f>IF(AND(Table8[[#This Row],[Availability Status]]="a",Table8[[#This Row],[Can Select]]=TRUE),1,0)</f>
        <v>1</v>
      </c>
      <c r="I383">
        <f>tblPlayers[minutes]</f>
        <v>0</v>
      </c>
      <c r="J383" s="2">
        <f>Table8[[#This Row],[Minutes]]/90</f>
        <v>0</v>
      </c>
      <c r="K383" s="5">
        <f>IFERROR(Z383/(FIXTURE_ANALYSIS!$B$1-1),0)</f>
        <v>0</v>
      </c>
      <c r="L383">
        <f>tblPlayers[total_points]</f>
        <v>0</v>
      </c>
      <c r="M383">
        <f>tblPlayers[points_per_game]</f>
        <v>0</v>
      </c>
      <c r="N383">
        <f>tblPlayers[form]</f>
        <v>0</v>
      </c>
      <c r="O383">
        <f>tblPlayers[expected_goals]</f>
        <v>0</v>
      </c>
      <c r="P383">
        <f>tblPlayers[expected_assists]</f>
        <v>0</v>
      </c>
      <c r="Q383">
        <f>tblPlayers[expected_goal_involvements]</f>
        <v>0</v>
      </c>
      <c r="R383" s="2">
        <f t="shared" si="125"/>
        <v>0</v>
      </c>
      <c r="S383" s="5">
        <f t="shared" si="126"/>
        <v>0</v>
      </c>
      <c r="T383" s="5">
        <f t="shared" si="127"/>
        <v>0</v>
      </c>
      <c r="U383" s="5">
        <f t="shared" si="128"/>
        <v>0</v>
      </c>
      <c r="V383" s="3">
        <f t="shared" si="129"/>
        <v>0</v>
      </c>
      <c r="W383" s="5">
        <f t="shared" si="130"/>
        <v>0</v>
      </c>
      <c r="X383" s="5">
        <f>IFERROR(IF(OR($B383="MID",$B383="FWD"),INDEX(FIXTURE_ANALYSIS!$Q:$Q,MATCH($D383,FIXTURE_ANALYSIS!$A:$A,0)),INDEX(FIXTURE_ANALYSIS!$R:$R,MATCH($D383,FIXTURE_ANALYSIS!$A:$A,0))),1)</f>
        <v>1.0097491349480967</v>
      </c>
      <c r="Y383" s="5">
        <f t="shared" si="131"/>
        <v>1.0097491349480967</v>
      </c>
      <c r="Z383" s="8">
        <f>INDEX(FPL_Raw_Data!$T:$T,MATCH(A383,FPL_Raw_Data!$AA:$AA,0))</f>
        <v>0</v>
      </c>
      <c r="AA383" s="8">
        <f>INDEX(FPL_Raw_Data!$S:$S,MATCH(A383,FPL_Raw_Data!$AA:$AA,0))</f>
        <v>0</v>
      </c>
      <c r="AB383" s="2">
        <f t="shared" si="132"/>
        <v>0</v>
      </c>
      <c r="AC383" s="2">
        <f>INDEX(FPL_Raw_Data!$Q:$Q,MATCH(A383,FPL_Raw_Data!$AA:$AA,0))</f>
        <v>0</v>
      </c>
      <c r="AD383" s="8">
        <f>INDEX(FPL_Raw_Data!$R:$R,MATCH(A383,FPL_Raw_Data!$AA:$AA,0))</f>
        <v>0</v>
      </c>
      <c r="AE383" s="8">
        <f>INDEX(FPL_Raw_Data!$N:$N,MATCH(A383,FPL_Raw_Data!$AA:$AA,0))</f>
        <v>0</v>
      </c>
      <c r="AF383" s="8">
        <f>INDEX(FPL_Raw_Data!$L:$L,MATCH(A383,FPL_Raw_Data!$AA:$AA,0))</f>
        <v>0</v>
      </c>
      <c r="AG383" s="2">
        <f>INDEX(FPL_Raw_Data!$M:$M,MATCH(A383,FPL_Raw_Data!$AA:$AA,0))</f>
        <v>0</v>
      </c>
      <c r="AH383" s="2">
        <f t="shared" si="133"/>
        <v>0</v>
      </c>
      <c r="AI383" s="2">
        <f t="shared" si="134"/>
        <v>0</v>
      </c>
      <c r="AJ383" s="2">
        <f t="shared" si="135"/>
        <v>0</v>
      </c>
      <c r="AK383" s="2">
        <f t="shared" si="136"/>
        <v>0</v>
      </c>
      <c r="AL383" s="2">
        <f t="shared" si="137"/>
        <v>0</v>
      </c>
      <c r="AM383" s="2">
        <f t="shared" si="138"/>
        <v>0</v>
      </c>
      <c r="AN383" s="2">
        <f t="shared" si="139"/>
        <v>0</v>
      </c>
      <c r="AO383" s="3">
        <f t="shared" si="140"/>
        <v>0.1</v>
      </c>
      <c r="AP383">
        <f t="shared" si="141"/>
        <v>0</v>
      </c>
      <c r="AQ383">
        <f t="shared" si="142"/>
        <v>0.1</v>
      </c>
      <c r="AR383">
        <f t="shared" si="143"/>
        <v>0</v>
      </c>
      <c r="AS383" s="2">
        <f t="shared" si="144"/>
        <v>0</v>
      </c>
      <c r="AT383" s="2">
        <f>IFERROR(INDEX(Player_Model!$BC$2:$BC$596,MATCH($A383,Player_Model!$A$2:$A$596,0)),0)</f>
        <v>0</v>
      </c>
      <c r="AU383" s="2">
        <f>Table8[[#This Row],[Model Expected Points]]*Table8[[#This Row],[Fixture Adjustment]]</f>
        <v>0</v>
      </c>
      <c r="AV383" s="2">
        <f>Table8[[#This Row],[Fixture Adjusted Points / 90]]/Table8[[#This Row],[Price]]</f>
        <v>0</v>
      </c>
      <c r="AW383">
        <f t="shared" si="145"/>
        <v>0.05</v>
      </c>
      <c r="AX383">
        <f t="shared" si="146"/>
        <v>0</v>
      </c>
      <c r="AY383" s="2">
        <f t="shared" si="147"/>
        <v>0</v>
      </c>
      <c r="AZ383" s="5">
        <f t="shared" si="148"/>
        <v>1.0097491349480967</v>
      </c>
      <c r="BA383">
        <f>Table8[[#This Row],[Model Score2]]</f>
        <v>0</v>
      </c>
      <c r="BB383">
        <f>IFERROR(INDEX(Player_Model!$BG$2:$BG$596,MATCH($A383,Player_Model!$A$2:$A$596,0)),"")</f>
        <v>214</v>
      </c>
      <c r="BC383" t="str">
        <f t="shared" si="149"/>
        <v>AVOID</v>
      </c>
      <c r="BD383">
        <f>IF(H383=1,Table8[[#This Row],[Model Score]],-10000)</f>
        <v>0</v>
      </c>
      <c r="BE383">
        <f>IFERROR(INDEX(Player_Model!$BF$2:$BF$596,MATCH($A383,Player_Model!$A$2:$A$596,0)),"")</f>
        <v>253</v>
      </c>
      <c r="BF383">
        <f>IFERROR(INDEX(Player_Model!$BG$2:$BG$596,MATCH($A383,Player_Model!$A$2:$A$596,0)),"")</f>
        <v>214</v>
      </c>
      <c r="BG383">
        <f>IFERROR(INDEX(Player_Model!$BE$2:$BE$596,MATCH($A383,Player_Model!$A$2:$A$596,0)),0)</f>
        <v>0</v>
      </c>
    </row>
    <row r="384" spans="1:59" x14ac:dyDescent="0.25">
      <c r="A384" t="str">
        <f>tblPlayers[first_name]&amp;" "&amp;tblPlayers[second_name]</f>
        <v>Kayne van Oevelen</v>
      </c>
      <c r="B384" t="str">
        <f>_xlfn.SWITCH(tblPlayers[element_type],1,"GK",2,"DEF",3,"MID",4,"FWD")</f>
        <v>GK</v>
      </c>
      <c r="C384">
        <f>tblPlayers[team]</f>
        <v>12</v>
      </c>
      <c r="D384" t="str">
        <f>INDEX(tblTeams[Column1.short_name],MATCH(C384,tblTeams[Column1.id],0))</f>
        <v>IPS</v>
      </c>
      <c r="E384" s="4">
        <f>INDEX(FPL_Raw_Data!$F:$F,MATCH(A384,FPL_Raw_Data!$AA:$AA,0))/10</f>
        <v>4.5</v>
      </c>
      <c r="F384" s="4" t="str">
        <f>tblPlayers[[#This Row],[status]]</f>
        <v>u</v>
      </c>
      <c r="G384" s="4" t="b">
        <f>tblPlayers[[#This Row],[can_select]]</f>
        <v>0</v>
      </c>
      <c r="H384">
        <f>IF(AND(Table8[[#This Row],[Availability Status]]="a",Table8[[#This Row],[Can Select]]=TRUE),1,0)</f>
        <v>0</v>
      </c>
      <c r="I384">
        <f>tblPlayers[minutes]</f>
        <v>0</v>
      </c>
      <c r="J384" s="2">
        <f>Table8[[#This Row],[Minutes]]/90</f>
        <v>0</v>
      </c>
      <c r="K384" s="5">
        <f>IFERROR(Z384/(FIXTURE_ANALYSIS!$B$1-1),0)</f>
        <v>0</v>
      </c>
      <c r="L384">
        <f>tblPlayers[total_points]</f>
        <v>0</v>
      </c>
      <c r="M384">
        <f>tblPlayers[points_per_game]</f>
        <v>0</v>
      </c>
      <c r="N384">
        <f>tblPlayers[form]</f>
        <v>0</v>
      </c>
      <c r="O384">
        <f>tblPlayers[expected_goals]</f>
        <v>0</v>
      </c>
      <c r="P384">
        <f>tblPlayers[expected_assists]</f>
        <v>0</v>
      </c>
      <c r="Q384">
        <f>tblPlayers[expected_goal_involvements]</f>
        <v>0</v>
      </c>
      <c r="R384" s="2">
        <f t="shared" si="125"/>
        <v>0</v>
      </c>
      <c r="S384" s="5">
        <f t="shared" si="126"/>
        <v>0</v>
      </c>
      <c r="T384" s="5">
        <f t="shared" si="127"/>
        <v>0</v>
      </c>
      <c r="U384" s="5">
        <f t="shared" si="128"/>
        <v>0</v>
      </c>
      <c r="V384" s="3">
        <f t="shared" si="129"/>
        <v>0</v>
      </c>
      <c r="W384" s="5">
        <f t="shared" si="130"/>
        <v>0</v>
      </c>
      <c r="X384" s="5">
        <f>IFERROR(IF(OR($B384="MID",$B384="FWD"),INDEX(FIXTURE_ANALYSIS!$Q:$Q,MATCH($D384,FIXTURE_ANALYSIS!$A:$A,0)),INDEX(FIXTURE_ANALYSIS!$R:$R,MATCH($D384,FIXTURE_ANALYSIS!$A:$A,0))),1)</f>
        <v>0.81436734693877555</v>
      </c>
      <c r="Y384" s="5">
        <f t="shared" si="131"/>
        <v>0.81436734693877555</v>
      </c>
      <c r="Z384" s="8">
        <f>INDEX(FPL_Raw_Data!$T:$T,MATCH(A384,FPL_Raw_Data!$AA:$AA,0))</f>
        <v>0</v>
      </c>
      <c r="AA384" s="8">
        <f>INDEX(FPL_Raw_Data!$S:$S,MATCH(A384,FPL_Raw_Data!$AA:$AA,0))</f>
        <v>0</v>
      </c>
      <c r="AB384" s="2">
        <f t="shared" si="132"/>
        <v>0</v>
      </c>
      <c r="AC384" s="2">
        <f>INDEX(FPL_Raw_Data!$Q:$Q,MATCH(A384,FPL_Raw_Data!$AA:$AA,0))</f>
        <v>0</v>
      </c>
      <c r="AD384" s="8">
        <f>INDEX(FPL_Raw_Data!$R:$R,MATCH(A384,FPL_Raw_Data!$AA:$AA,0))</f>
        <v>0</v>
      </c>
      <c r="AE384" s="8">
        <f>INDEX(FPL_Raw_Data!$N:$N,MATCH(A384,FPL_Raw_Data!$AA:$AA,0))</f>
        <v>0</v>
      </c>
      <c r="AF384" s="8">
        <f>INDEX(FPL_Raw_Data!$L:$L,MATCH(A384,FPL_Raw_Data!$AA:$AA,0))</f>
        <v>0</v>
      </c>
      <c r="AG384" s="2">
        <f>INDEX(FPL_Raw_Data!$M:$M,MATCH(A384,FPL_Raw_Data!$AA:$AA,0))</f>
        <v>0</v>
      </c>
      <c r="AH384" s="2">
        <f t="shared" si="133"/>
        <v>0</v>
      </c>
      <c r="AI384" s="2">
        <f t="shared" si="134"/>
        <v>0</v>
      </c>
      <c r="AJ384" s="2">
        <f t="shared" si="135"/>
        <v>0</v>
      </c>
      <c r="AK384" s="2">
        <f t="shared" si="136"/>
        <v>0</v>
      </c>
      <c r="AL384" s="2">
        <f t="shared" si="137"/>
        <v>0</v>
      </c>
      <c r="AM384" s="2">
        <f t="shared" si="138"/>
        <v>0</v>
      </c>
      <c r="AN384" s="2">
        <f t="shared" si="139"/>
        <v>0</v>
      </c>
      <c r="AO384" s="3">
        <f t="shared" si="140"/>
        <v>0.1</v>
      </c>
      <c r="AP384">
        <f t="shared" si="141"/>
        <v>0</v>
      </c>
      <c r="AQ384">
        <f t="shared" si="142"/>
        <v>0.1</v>
      </c>
      <c r="AR384">
        <f t="shared" si="143"/>
        <v>0</v>
      </c>
      <c r="AS384" s="2">
        <f t="shared" si="144"/>
        <v>0</v>
      </c>
      <c r="AT384" s="2">
        <f>IFERROR(INDEX(Player_Model!$BC$2:$BC$596,MATCH($A384,Player_Model!$A$2:$A$596,0)),0)</f>
        <v>0</v>
      </c>
      <c r="AU384" s="2">
        <f>Table8[[#This Row],[Model Expected Points]]*Table8[[#This Row],[Fixture Adjustment]]</f>
        <v>0</v>
      </c>
      <c r="AV384" s="2">
        <f>Table8[[#This Row],[Fixture Adjusted Points / 90]]/Table8[[#This Row],[Price]]</f>
        <v>0</v>
      </c>
      <c r="AW384">
        <f t="shared" si="145"/>
        <v>0</v>
      </c>
      <c r="AX384">
        <f t="shared" si="146"/>
        <v>0.40718367346938777</v>
      </c>
      <c r="AY384" s="2">
        <f t="shared" si="147"/>
        <v>0</v>
      </c>
      <c r="AZ384" s="5">
        <f t="shared" si="148"/>
        <v>0.81436734693877555</v>
      </c>
      <c r="BA384">
        <f>Table8[[#This Row],[Model Score2]]</f>
        <v>0</v>
      </c>
      <c r="BB384">
        <f>IFERROR(INDEX(Player_Model!$BG$2:$BG$596,MATCH($A384,Player_Model!$A$2:$A$596,0)),"")</f>
        <v>47</v>
      </c>
      <c r="BC384" t="str">
        <f t="shared" si="149"/>
        <v>AVOID</v>
      </c>
      <c r="BD384">
        <f>IF(H384=1,Table8[[#This Row],[Model Score]],-10000)</f>
        <v>-10000</v>
      </c>
      <c r="BE384">
        <f>IFERROR(INDEX(Player_Model!$BF$2:$BF$596,MATCH($A384,Player_Model!$A$2:$A$596,0)),"")</f>
        <v>253</v>
      </c>
      <c r="BF384">
        <f>IFERROR(INDEX(Player_Model!$BG$2:$BG$596,MATCH($A384,Player_Model!$A$2:$A$596,0)),"")</f>
        <v>47</v>
      </c>
      <c r="BG384">
        <f>IFERROR(INDEX(Player_Model!$BE$2:$BE$596,MATCH($A384,Player_Model!$A$2:$A$596,0)),0)</f>
        <v>0</v>
      </c>
    </row>
    <row r="385" spans="1:59" x14ac:dyDescent="0.25">
      <c r="A385" t="str">
        <f>tblPlayers[first_name]&amp;" "&amp;tblPlayers[second_name]</f>
        <v>Daizen Maeda</v>
      </c>
      <c r="B385" t="str">
        <f>_xlfn.SWITCH(tblPlayers[element_type],1,"GK",2,"DEF",3,"MID",4,"FWD")</f>
        <v>MID</v>
      </c>
      <c r="C385">
        <f>tblPlayers[team]</f>
        <v>12</v>
      </c>
      <c r="D385" t="str">
        <f>INDEX(tblTeams[Column1.short_name],MATCH(C385,tblTeams[Column1.id],0))</f>
        <v>IPS</v>
      </c>
      <c r="E385" s="4">
        <f>INDEX(FPL_Raw_Data!$F:$F,MATCH(A385,FPL_Raw_Data!$AA:$AA,0))/10</f>
        <v>5.4</v>
      </c>
      <c r="F385" s="4" t="str">
        <f>tblPlayers[[#This Row],[status]]</f>
        <v>a</v>
      </c>
      <c r="G385" s="4" t="b">
        <f>tblPlayers[[#This Row],[can_select]]</f>
        <v>1</v>
      </c>
      <c r="H385">
        <f>IF(AND(Table8[[#This Row],[Availability Status]]="a",Table8[[#This Row],[Can Select]]=TRUE),1,0)</f>
        <v>1</v>
      </c>
      <c r="I385">
        <f>tblPlayers[minutes]</f>
        <v>216</v>
      </c>
      <c r="J385" s="2">
        <f>Table8[[#This Row],[Minutes]]/90</f>
        <v>2.4</v>
      </c>
      <c r="K385" s="5">
        <f>IFERROR(Z385/(FIXTURE_ANALYSIS!$B$1-1),0)</f>
        <v>1</v>
      </c>
      <c r="L385">
        <f>tblPlayers[total_points]</f>
        <v>6</v>
      </c>
      <c r="M385">
        <f>tblPlayers[points_per_game]</f>
        <v>2</v>
      </c>
      <c r="N385">
        <f>tblPlayers[form]</f>
        <v>2</v>
      </c>
      <c r="O385">
        <f>tblPlayers[expected_goals]</f>
        <v>0.71</v>
      </c>
      <c r="P385">
        <f>tblPlayers[expected_assists]</f>
        <v>0.01</v>
      </c>
      <c r="Q385">
        <f>tblPlayers[expected_goal_involvements]</f>
        <v>0.72</v>
      </c>
      <c r="R385" s="2">
        <f t="shared" si="125"/>
        <v>2.5</v>
      </c>
      <c r="S385" s="5">
        <f t="shared" si="126"/>
        <v>0.29583333333333328</v>
      </c>
      <c r="T385" s="5">
        <f t="shared" si="127"/>
        <v>4.1666666666666666E-3</v>
      </c>
      <c r="U385" s="5">
        <f t="shared" si="128"/>
        <v>0.3</v>
      </c>
      <c r="V385" s="3">
        <f t="shared" si="129"/>
        <v>1.1111111111111109</v>
      </c>
      <c r="W385" s="5">
        <f t="shared" si="130"/>
        <v>0.13333333333333333</v>
      </c>
      <c r="X385" s="5">
        <f>IFERROR(IF(OR($B385="MID",$B385="FWD"),INDEX(FIXTURE_ANALYSIS!$Q:$Q,MATCH($D385,FIXTURE_ANALYSIS!$A:$A,0)),INDEX(FIXTURE_ANALYSIS!$R:$R,MATCH($D385,FIXTURE_ANALYSIS!$A:$A,0))),1)</f>
        <v>1.0097491349480967</v>
      </c>
      <c r="Y385" s="5">
        <f t="shared" si="131"/>
        <v>1.0097491349480967</v>
      </c>
      <c r="Z385" s="8">
        <f>INDEX(FPL_Raw_Data!$T:$T,MATCH(A385,FPL_Raw_Data!$AA:$AA,0))</f>
        <v>3</v>
      </c>
      <c r="AA385" s="8">
        <f>INDEX(FPL_Raw_Data!$S:$S,MATCH(A385,FPL_Raw_Data!$AA:$AA,0))</f>
        <v>19</v>
      </c>
      <c r="AB385" s="2">
        <f t="shared" si="132"/>
        <v>1</v>
      </c>
      <c r="AC385" s="2">
        <f>INDEX(FPL_Raw_Data!$Q:$Q,MATCH(A385,FPL_Raw_Data!$AA:$AA,0))</f>
        <v>0</v>
      </c>
      <c r="AD385" s="8">
        <f>INDEX(FPL_Raw_Data!$R:$R,MATCH(A385,FPL_Raw_Data!$AA:$AA,0))</f>
        <v>26</v>
      </c>
      <c r="AE385" s="8">
        <f>INDEX(FPL_Raw_Data!$N:$N,MATCH(A385,FPL_Raw_Data!$AA:$AA,0))</f>
        <v>0</v>
      </c>
      <c r="AF385" s="8">
        <f>INDEX(FPL_Raw_Data!$L:$L,MATCH(A385,FPL_Raw_Data!$AA:$AA,0))</f>
        <v>0</v>
      </c>
      <c r="AG385" s="2">
        <f>INDEX(FPL_Raw_Data!$M:$M,MATCH(A385,FPL_Raw_Data!$AA:$AA,0))</f>
        <v>0</v>
      </c>
      <c r="AH385" s="2">
        <f t="shared" si="133"/>
        <v>1.4791666666666665</v>
      </c>
      <c r="AI385" s="2">
        <f t="shared" si="134"/>
        <v>1.2500000000000001E-2</v>
      </c>
      <c r="AJ385" s="2">
        <f t="shared" si="135"/>
        <v>2</v>
      </c>
      <c r="AK385" s="2">
        <f t="shared" si="136"/>
        <v>2</v>
      </c>
      <c r="AL385" s="2">
        <f t="shared" si="137"/>
        <v>0</v>
      </c>
      <c r="AM385" s="2">
        <f t="shared" si="138"/>
        <v>0</v>
      </c>
      <c r="AN385" s="2">
        <f t="shared" si="139"/>
        <v>0</v>
      </c>
      <c r="AO385" s="3">
        <f t="shared" si="140"/>
        <v>52.800000000000004</v>
      </c>
      <c r="AP385">
        <f t="shared" si="141"/>
        <v>83.5</v>
      </c>
      <c r="AQ385">
        <f t="shared" si="142"/>
        <v>70.7</v>
      </c>
      <c r="AR385">
        <f t="shared" si="143"/>
        <v>89.3</v>
      </c>
      <c r="AS385" s="2">
        <f t="shared" si="144"/>
        <v>100</v>
      </c>
      <c r="AT385" s="2">
        <f>IFERROR(INDEX(Player_Model!$BC$2:$BC$596,MATCH($A385,Player_Model!$A$2:$A$596,0)),0)</f>
        <v>4.8580152825836205</v>
      </c>
      <c r="AU385" s="2">
        <f>Table8[[#This Row],[Model Expected Points]]*Table8[[#This Row],[Fixture Adjustment]]</f>
        <v>4.9053767291534447</v>
      </c>
      <c r="AV385" s="2">
        <f>Table8[[#This Row],[Fixture Adjusted Points / 90]]/Table8[[#This Row],[Price]]</f>
        <v>0.90840309799137864</v>
      </c>
      <c r="AW385">
        <f t="shared" si="145"/>
        <v>68.150000000000006</v>
      </c>
      <c r="AX385">
        <f t="shared" si="146"/>
        <v>1</v>
      </c>
      <c r="AY385" s="2">
        <f t="shared" si="147"/>
        <v>100</v>
      </c>
      <c r="AZ385" s="5">
        <f t="shared" si="148"/>
        <v>1.0097491349480967</v>
      </c>
      <c r="BA385">
        <f>Table8[[#This Row],[Model Score2]]</f>
        <v>4.8580152825836205</v>
      </c>
      <c r="BB385">
        <f>IFERROR(INDEX(Player_Model!$BG$2:$BG$596,MATCH($A385,Player_Model!$A$2:$A$596,0)),"")</f>
        <v>48</v>
      </c>
      <c r="BC385" t="str">
        <f t="shared" si="149"/>
        <v>AVOID</v>
      </c>
      <c r="BD385">
        <f>IF(H385=1,Table8[[#This Row],[Model Score]],-10000)</f>
        <v>4.8580152825836205</v>
      </c>
      <c r="BE385">
        <f>IFERROR(INDEX(Player_Model!$BF$2:$BF$596,MATCH($A385,Player_Model!$A$2:$A$596,0)),"")</f>
        <v>105</v>
      </c>
      <c r="BF385">
        <f>IFERROR(INDEX(Player_Model!$BG$2:$BG$596,MATCH($A385,Player_Model!$A$2:$A$596,0)),"")</f>
        <v>48</v>
      </c>
      <c r="BG385">
        <f>IFERROR(INDEX(Player_Model!$BE$2:$BE$596,MATCH($A385,Player_Model!$A$2:$A$596,0)),0)</f>
        <v>4.8580152825836205</v>
      </c>
    </row>
    <row r="386" spans="1:59" x14ac:dyDescent="0.25">
      <c r="A386" t="str">
        <f>tblPlayers[first_name]&amp;" "&amp;tblPlayers[second_name]</f>
        <v>Kjell Scherpen</v>
      </c>
      <c r="B386" t="str">
        <f>_xlfn.SWITCH(tblPlayers[element_type],1,"GK",2,"DEF",3,"MID",4,"FWD")</f>
        <v>GK</v>
      </c>
      <c r="C386">
        <f>tblPlayers[team]</f>
        <v>12</v>
      </c>
      <c r="D386" t="str">
        <f>INDEX(tblTeams[Column1.short_name],MATCH(C386,tblTeams[Column1.id],0))</f>
        <v>IPS</v>
      </c>
      <c r="E386" s="4">
        <f>INDEX(FPL_Raw_Data!$F:$F,MATCH(A386,FPL_Raw_Data!$AA:$AA,0))/10</f>
        <v>4.5</v>
      </c>
      <c r="F386" s="4" t="str">
        <f>tblPlayers[[#This Row],[status]]</f>
        <v>a</v>
      </c>
      <c r="G386" s="4" t="b">
        <f>tblPlayers[[#This Row],[can_select]]</f>
        <v>1</v>
      </c>
      <c r="H386">
        <f>IF(AND(Table8[[#This Row],[Availability Status]]="a",Table8[[#This Row],[Can Select]]=TRUE),1,0)</f>
        <v>1</v>
      </c>
      <c r="I386">
        <f>tblPlayers[minutes]</f>
        <v>270</v>
      </c>
      <c r="J386" s="2">
        <f>Table8[[#This Row],[Minutes]]/90</f>
        <v>3</v>
      </c>
      <c r="K386" s="5">
        <f>IFERROR(Z386/(FIXTURE_ANALYSIS!$B$1-1),0)</f>
        <v>1</v>
      </c>
      <c r="L386">
        <f>tblPlayers[total_points]</f>
        <v>6</v>
      </c>
      <c r="M386">
        <f>tblPlayers[points_per_game]</f>
        <v>2</v>
      </c>
      <c r="N386">
        <f>tblPlayers[form]</f>
        <v>2</v>
      </c>
      <c r="O386">
        <f>tblPlayers[expected_goals]</f>
        <v>0</v>
      </c>
      <c r="P386">
        <f>tblPlayers[expected_assists]</f>
        <v>0.01</v>
      </c>
      <c r="Q386">
        <f>tblPlayers[expected_goal_involvements]</f>
        <v>0.01</v>
      </c>
      <c r="R386" s="2">
        <f t="shared" ref="R386:R449" si="150">IF(I386=0,0,L386/I386*90)</f>
        <v>2</v>
      </c>
      <c r="S386" s="5">
        <f t="shared" ref="S386:S449" si="151">IF(I386=0,0,O386/I386*90)</f>
        <v>0</v>
      </c>
      <c r="T386" s="5">
        <f t="shared" ref="T386:T449" si="152">IF(I386=0,0,P386/I386*90)</f>
        <v>3.3333333333333331E-3</v>
      </c>
      <c r="U386" s="5">
        <f t="shared" ref="U386:U449" si="153">IF(I386=0,0,Q386/I386*90)</f>
        <v>3.3333333333333331E-3</v>
      </c>
      <c r="V386" s="3">
        <f t="shared" ref="V386:V449" si="154">IF(E386=0,0,L386/E386)</f>
        <v>1.3333333333333333</v>
      </c>
      <c r="W386" s="5">
        <f t="shared" ref="W386:W449" si="155">IF(E386=0,0,Q386/E386)</f>
        <v>2.2222222222222222E-3</v>
      </c>
      <c r="X386" s="5">
        <f>IFERROR(IF(OR($B386="MID",$B386="FWD"),INDEX(FIXTURE_ANALYSIS!$Q:$Q,MATCH($D386,FIXTURE_ANALYSIS!$A:$A,0)),INDEX(FIXTURE_ANALYSIS!$R:$R,MATCH($D386,FIXTURE_ANALYSIS!$A:$A,0))),1)</f>
        <v>0.81436734693877555</v>
      </c>
      <c r="Y386" s="5">
        <f t="shared" ref="Y386:Y449" si="156">X386</f>
        <v>0.81436734693877555</v>
      </c>
      <c r="Z386" s="8">
        <f>INDEX(FPL_Raw_Data!$T:$T,MATCH(A386,FPL_Raw_Data!$AA:$AA,0))</f>
        <v>3</v>
      </c>
      <c r="AA386" s="8">
        <f>INDEX(FPL_Raw_Data!$S:$S,MATCH(A386,FPL_Raw_Data!$AA:$AA,0))</f>
        <v>0</v>
      </c>
      <c r="AB386" s="2">
        <f t="shared" ref="AB386:AB449" si="157">IF(B386="DEF",MIN(AA386/10,1),IF(OR(B386="MID",B386="FWD"),MIN(AA386/12,1),0))</f>
        <v>0</v>
      </c>
      <c r="AC386" s="2">
        <f>INDEX(FPL_Raw_Data!$Q:$Q,MATCH(A386,FPL_Raw_Data!$AA:$AA,0))</f>
        <v>0</v>
      </c>
      <c r="AD386" s="8">
        <f>INDEX(FPL_Raw_Data!$R:$R,MATCH(A386,FPL_Raw_Data!$AA:$AA,0))</f>
        <v>34</v>
      </c>
      <c r="AE386" s="8">
        <f>INDEX(FPL_Raw_Data!$N:$N,MATCH(A386,FPL_Raw_Data!$AA:$AA,0))</f>
        <v>0</v>
      </c>
      <c r="AF386" s="8">
        <f>INDEX(FPL_Raw_Data!$L:$L,MATCH(A386,FPL_Raw_Data!$AA:$AA,0))</f>
        <v>0</v>
      </c>
      <c r="AG386" s="2">
        <f>INDEX(FPL_Raw_Data!$M:$M,MATCH(A386,FPL_Raw_Data!$AA:$AA,0))</f>
        <v>0</v>
      </c>
      <c r="AH386" s="2">
        <f t="shared" ref="AH386:AH449" si="158">IF(B386="GK",S386*10,IF(B386="DEF",S386*6,IF(B386="MID",S386*5,S386*4)))</f>
        <v>0</v>
      </c>
      <c r="AI386" s="2">
        <f t="shared" ref="AI386:AI449" si="159">T386*3</f>
        <v>9.9999999999999985E-3</v>
      </c>
      <c r="AJ386" s="2">
        <f t="shared" ref="AJ386:AJ449" si="160">K386*2</f>
        <v>2</v>
      </c>
      <c r="AK386" s="2">
        <f t="shared" ref="AK386:AK449" si="161">AB386*2</f>
        <v>0</v>
      </c>
      <c r="AL386" s="2">
        <f t="shared" ref="AL386:AL449" si="162">IFERROR(AE386/Z386,0)</f>
        <v>0</v>
      </c>
      <c r="AM386" s="2">
        <f t="shared" ref="AM386:AM449" si="163">IF(OR(B386="GK",B386="DEF"),AL386*4,IF(B386="MID",AL386*1,0))</f>
        <v>0</v>
      </c>
      <c r="AN386" s="2">
        <f t="shared" ref="AN386:AN449" si="164">IFERROR(AC386/Z386,0)</f>
        <v>0</v>
      </c>
      <c r="AO386" s="3">
        <f t="shared" ref="AO386:AO449" si="165">IFERROR(_xlfn.PERCENTRANK.INC($R$2:$R$700,R386)*100,0)</f>
        <v>45.9</v>
      </c>
      <c r="AP386">
        <f t="shared" ref="AP386:AP449" si="166">IFERROR(_xlfn.PERCENTRANK.INC($U$2:$U$700,U386)*100,0)</f>
        <v>50.8</v>
      </c>
      <c r="AQ386">
        <f t="shared" ref="AQ386:AQ449" si="167">IFERROR(_xlfn.PERCENTRANK.INC($V$2:$V$700,V386)*100,0)</f>
        <v>74.900000000000006</v>
      </c>
      <c r="AR386">
        <f t="shared" ref="AR386:AR449" si="168">IFERROR(_xlfn.PERCENTRANK.INC($W$2:$W$700,W386)*100,0)</f>
        <v>52.800000000000004</v>
      </c>
      <c r="AS386" s="2">
        <f t="shared" ref="AS386:AS449" si="169">K386*100</f>
        <v>100</v>
      </c>
      <c r="AT386" s="2">
        <f>IFERROR(INDEX(Player_Model!$BC$2:$BC$596,MATCH($A386,Player_Model!$A$2:$A$596,0)),0)</f>
        <v>2.8123723900226758</v>
      </c>
      <c r="AU386" s="2">
        <f>Table8[[#This Row],[Model Expected Points]]*Table8[[#This Row],[Fixture Adjustment]]</f>
        <v>2.2903042418666297</v>
      </c>
      <c r="AV386" s="2">
        <f>Table8[[#This Row],[Fixture Adjusted Points / 90]]/Table8[[#This Row],[Price]]</f>
        <v>0.50895649819258437</v>
      </c>
      <c r="AW386">
        <f t="shared" ref="AW386:AW449" si="170">IF(OR(B386="MID",B386="FWD"),AVERAGE(AO386,AP386),IF(B386="DEF",AP386,0))</f>
        <v>0</v>
      </c>
      <c r="AX386">
        <f t="shared" ref="AX386:AX449" si="171">IF(B386="GK",AVERAGE(AS386,X386),IF(B386="DEF",AVERAGE(AB386,X386),IF(B386="MID",AB386,0)))</f>
        <v>50.40718367346939</v>
      </c>
      <c r="AY386" s="2">
        <f t="shared" ref="AY386:AY449" si="172">AS386</f>
        <v>100</v>
      </c>
      <c r="AZ386" s="5">
        <f t="shared" ref="AZ386:AZ449" si="173">X386</f>
        <v>0.81436734693877555</v>
      </c>
      <c r="BA386">
        <f>Table8[[#This Row],[Model Score2]]</f>
        <v>2.8123723900226758</v>
      </c>
      <c r="BB386">
        <f>IFERROR(INDEX(Player_Model!$BG$2:$BG$596,MATCH($A386,Player_Model!$A$2:$A$596,0)),"")</f>
        <v>16</v>
      </c>
      <c r="BC386" t="str">
        <f t="shared" ref="BC386:BC449" si="174">IF(BB386=1,"TOP PICK",IF(BB386&lt;=5,"STRONG PICK",IF(BB386&lt;=10,"CONSIDER","AVOID")))</f>
        <v>AVOID</v>
      </c>
      <c r="BD386">
        <f>IF(H386=1,Table8[[#This Row],[Model Score]],-10000)</f>
        <v>2.8123723900226758</v>
      </c>
      <c r="BE386">
        <f>IFERROR(INDEX(Player_Model!$BF$2:$BF$596,MATCH($A386,Player_Model!$A$2:$A$596,0)),"")</f>
        <v>211</v>
      </c>
      <c r="BF386">
        <f>IFERROR(INDEX(Player_Model!$BG$2:$BG$596,MATCH($A386,Player_Model!$A$2:$A$596,0)),"")</f>
        <v>16</v>
      </c>
      <c r="BG386">
        <f>IFERROR(INDEX(Player_Model!$BE$2:$BE$596,MATCH($A386,Player_Model!$A$2:$A$596,0)),0)</f>
        <v>2.8123723900226758</v>
      </c>
    </row>
    <row r="387" spans="1:59" x14ac:dyDescent="0.25">
      <c r="A387" t="str">
        <f>tblPlayers[first_name]&amp;" "&amp;tblPlayers[second_name]</f>
        <v>Florentino Ibrain Morris Luís</v>
      </c>
      <c r="B387" t="str">
        <f>_xlfn.SWITCH(tblPlayers[element_type],1,"GK",2,"DEF",3,"MID",4,"FWD")</f>
        <v>MID</v>
      </c>
      <c r="C387">
        <f>tblPlayers[team]</f>
        <v>12</v>
      </c>
      <c r="D387" t="str">
        <f>INDEX(tblTeams[Column1.short_name],MATCH(C387,tblTeams[Column1.id],0))</f>
        <v>IPS</v>
      </c>
      <c r="E387" s="4">
        <f>INDEX(FPL_Raw_Data!$F:$F,MATCH(A387,FPL_Raw_Data!$AA:$AA,0))/10</f>
        <v>4.9000000000000004</v>
      </c>
      <c r="F387" s="4" t="str">
        <f>tblPlayers[[#This Row],[status]]</f>
        <v>a</v>
      </c>
      <c r="G387" s="4" t="b">
        <f>tblPlayers[[#This Row],[can_select]]</f>
        <v>1</v>
      </c>
      <c r="H387">
        <f>IF(AND(Table8[[#This Row],[Availability Status]]="a",Table8[[#This Row],[Can Select]]=TRUE),1,0)</f>
        <v>1</v>
      </c>
      <c r="I387">
        <f>tblPlayers[minutes]</f>
        <v>0</v>
      </c>
      <c r="J387" s="2">
        <f>Table8[[#This Row],[Minutes]]/90</f>
        <v>0</v>
      </c>
      <c r="K387" s="5">
        <f>IFERROR(Z387/(FIXTURE_ANALYSIS!$B$1-1),0)</f>
        <v>0</v>
      </c>
      <c r="L387">
        <f>tblPlayers[total_points]</f>
        <v>0</v>
      </c>
      <c r="M387">
        <f>tblPlayers[points_per_game]</f>
        <v>0</v>
      </c>
      <c r="N387">
        <f>tblPlayers[form]</f>
        <v>0</v>
      </c>
      <c r="O387">
        <f>tblPlayers[expected_goals]</f>
        <v>0</v>
      </c>
      <c r="P387">
        <f>tblPlayers[expected_assists]</f>
        <v>0</v>
      </c>
      <c r="Q387">
        <f>tblPlayers[expected_goal_involvements]</f>
        <v>0</v>
      </c>
      <c r="R387" s="2">
        <f t="shared" si="150"/>
        <v>0</v>
      </c>
      <c r="S387" s="5">
        <f t="shared" si="151"/>
        <v>0</v>
      </c>
      <c r="T387" s="5">
        <f t="shared" si="152"/>
        <v>0</v>
      </c>
      <c r="U387" s="5">
        <f t="shared" si="153"/>
        <v>0</v>
      </c>
      <c r="V387" s="3">
        <f t="shared" si="154"/>
        <v>0</v>
      </c>
      <c r="W387" s="5">
        <f t="shared" si="155"/>
        <v>0</v>
      </c>
      <c r="X387" s="5">
        <f>IFERROR(IF(OR($B387="MID",$B387="FWD"),INDEX(FIXTURE_ANALYSIS!$Q:$Q,MATCH($D387,FIXTURE_ANALYSIS!$A:$A,0)),INDEX(FIXTURE_ANALYSIS!$R:$R,MATCH($D387,FIXTURE_ANALYSIS!$A:$A,0))),1)</f>
        <v>1.0097491349480967</v>
      </c>
      <c r="Y387" s="5">
        <f t="shared" si="156"/>
        <v>1.0097491349480967</v>
      </c>
      <c r="Z387" s="8">
        <f>INDEX(FPL_Raw_Data!$T:$T,MATCH(A387,FPL_Raw_Data!$AA:$AA,0))</f>
        <v>0</v>
      </c>
      <c r="AA387" s="8">
        <f>INDEX(FPL_Raw_Data!$S:$S,MATCH(A387,FPL_Raw_Data!$AA:$AA,0))</f>
        <v>0</v>
      </c>
      <c r="AB387" s="2">
        <f t="shared" si="157"/>
        <v>0</v>
      </c>
      <c r="AC387" s="2">
        <f>INDEX(FPL_Raw_Data!$Q:$Q,MATCH(A387,FPL_Raw_Data!$AA:$AA,0))</f>
        <v>0</v>
      </c>
      <c r="AD387" s="8">
        <f>INDEX(FPL_Raw_Data!$R:$R,MATCH(A387,FPL_Raw_Data!$AA:$AA,0))</f>
        <v>0</v>
      </c>
      <c r="AE387" s="8">
        <f>INDEX(FPL_Raw_Data!$N:$N,MATCH(A387,FPL_Raw_Data!$AA:$AA,0))</f>
        <v>0</v>
      </c>
      <c r="AF387" s="8">
        <f>INDEX(FPL_Raw_Data!$L:$L,MATCH(A387,FPL_Raw_Data!$AA:$AA,0))</f>
        <v>0</v>
      </c>
      <c r="AG387" s="2">
        <f>INDEX(FPL_Raw_Data!$M:$M,MATCH(A387,FPL_Raw_Data!$AA:$AA,0))</f>
        <v>0</v>
      </c>
      <c r="AH387" s="2">
        <f t="shared" si="158"/>
        <v>0</v>
      </c>
      <c r="AI387" s="2">
        <f t="shared" si="159"/>
        <v>0</v>
      </c>
      <c r="AJ387" s="2">
        <f t="shared" si="160"/>
        <v>0</v>
      </c>
      <c r="AK387" s="2">
        <f t="shared" si="161"/>
        <v>0</v>
      </c>
      <c r="AL387" s="2">
        <f t="shared" si="162"/>
        <v>0</v>
      </c>
      <c r="AM387" s="2">
        <f t="shared" si="163"/>
        <v>0</v>
      </c>
      <c r="AN387" s="2">
        <f t="shared" si="164"/>
        <v>0</v>
      </c>
      <c r="AO387" s="3">
        <f t="shared" si="165"/>
        <v>0.1</v>
      </c>
      <c r="AP387">
        <f t="shared" si="166"/>
        <v>0</v>
      </c>
      <c r="AQ387">
        <f t="shared" si="167"/>
        <v>0.1</v>
      </c>
      <c r="AR387">
        <f t="shared" si="168"/>
        <v>0</v>
      </c>
      <c r="AS387" s="2">
        <f t="shared" si="169"/>
        <v>0</v>
      </c>
      <c r="AT387" s="2">
        <f>IFERROR(INDEX(Player_Model!$BC$2:$BC$596,MATCH($A387,Player_Model!$A$2:$A$596,0)),0)</f>
        <v>0</v>
      </c>
      <c r="AU387" s="2">
        <f>Table8[[#This Row],[Model Expected Points]]*Table8[[#This Row],[Fixture Adjustment]]</f>
        <v>0</v>
      </c>
      <c r="AV387" s="2">
        <f>Table8[[#This Row],[Fixture Adjusted Points / 90]]/Table8[[#This Row],[Price]]</f>
        <v>0</v>
      </c>
      <c r="AW387">
        <f t="shared" si="170"/>
        <v>0.05</v>
      </c>
      <c r="AX387">
        <f t="shared" si="171"/>
        <v>0</v>
      </c>
      <c r="AY387" s="2">
        <f t="shared" si="172"/>
        <v>0</v>
      </c>
      <c r="AZ387" s="5">
        <f t="shared" si="173"/>
        <v>1.0097491349480967</v>
      </c>
      <c r="BA387">
        <f>Table8[[#This Row],[Model Score2]]</f>
        <v>0</v>
      </c>
      <c r="BB387">
        <f>IFERROR(INDEX(Player_Model!$BG$2:$BG$596,MATCH($A387,Player_Model!$A$2:$A$596,0)),"")</f>
        <v>215</v>
      </c>
      <c r="BC387" t="str">
        <f t="shared" si="174"/>
        <v>AVOID</v>
      </c>
      <c r="BD387">
        <f>IF(H387=1,Table8[[#This Row],[Model Score]],-10000)</f>
        <v>0</v>
      </c>
      <c r="BE387">
        <f>IFERROR(INDEX(Player_Model!$BF$2:$BF$596,MATCH($A387,Player_Model!$A$2:$A$596,0)),"")</f>
        <v>253</v>
      </c>
      <c r="BF387">
        <f>IFERROR(INDEX(Player_Model!$BG$2:$BG$596,MATCH($A387,Player_Model!$A$2:$A$596,0)),"")</f>
        <v>215</v>
      </c>
      <c r="BG387">
        <f>IFERROR(INDEX(Player_Model!$BE$2:$BE$596,MATCH($A387,Player_Model!$A$2:$A$596,0)),0)</f>
        <v>0</v>
      </c>
    </row>
    <row r="388" spans="1:59" x14ac:dyDescent="0.25">
      <c r="A388" t="str">
        <f>tblPlayers[first_name]&amp;" "&amp;tblPlayers[second_name]</f>
        <v>Julio Enciso</v>
      </c>
      <c r="B388" t="str">
        <f>_xlfn.SWITCH(tblPlayers[element_type],1,"GK",2,"DEF",3,"MID",4,"FWD")</f>
        <v>MID</v>
      </c>
      <c r="C388">
        <f>tblPlayers[team]</f>
        <v>12</v>
      </c>
      <c r="D388" t="str">
        <f>INDEX(tblTeams[Column1.short_name],MATCH(C388,tblTeams[Column1.id],0))</f>
        <v>IPS</v>
      </c>
      <c r="E388" s="4">
        <f>INDEX(FPL_Raw_Data!$F:$F,MATCH(A388,FPL_Raw_Data!$AA:$AA,0))/10</f>
        <v>5.5</v>
      </c>
      <c r="F388" s="4" t="str">
        <f>tblPlayers[[#This Row],[status]]</f>
        <v>a</v>
      </c>
      <c r="G388" s="4" t="b">
        <f>tblPlayers[[#This Row],[can_select]]</f>
        <v>1</v>
      </c>
      <c r="H388">
        <f>IF(AND(Table8[[#This Row],[Availability Status]]="a",Table8[[#This Row],[Can Select]]=TRUE),1,0)</f>
        <v>1</v>
      </c>
      <c r="I388">
        <f>tblPlayers[minutes]</f>
        <v>250</v>
      </c>
      <c r="J388" s="2">
        <f>Table8[[#This Row],[Minutes]]/90</f>
        <v>2.7777777777777777</v>
      </c>
      <c r="K388" s="5">
        <f>IFERROR(Z388/(FIXTURE_ANALYSIS!$B$1-1),0)</f>
        <v>1</v>
      </c>
      <c r="L388">
        <f>tblPlayers[total_points]</f>
        <v>11</v>
      </c>
      <c r="M388">
        <f>tblPlayers[points_per_game]</f>
        <v>3.7</v>
      </c>
      <c r="N388">
        <f>tblPlayers[form]</f>
        <v>3.7</v>
      </c>
      <c r="O388">
        <f>tblPlayers[expected_goals]</f>
        <v>0.87</v>
      </c>
      <c r="P388">
        <f>tblPlayers[expected_assists]</f>
        <v>0.64</v>
      </c>
      <c r="Q388">
        <f>tblPlayers[expected_goal_involvements]</f>
        <v>1.51</v>
      </c>
      <c r="R388" s="2">
        <f t="shared" si="150"/>
        <v>3.96</v>
      </c>
      <c r="S388" s="5">
        <f t="shared" si="151"/>
        <v>0.31319999999999998</v>
      </c>
      <c r="T388" s="5">
        <f t="shared" si="152"/>
        <v>0.23040000000000002</v>
      </c>
      <c r="U388" s="5">
        <f t="shared" si="153"/>
        <v>0.54359999999999997</v>
      </c>
      <c r="V388" s="3">
        <f t="shared" si="154"/>
        <v>2</v>
      </c>
      <c r="W388" s="5">
        <f t="shared" si="155"/>
        <v>0.27454545454545454</v>
      </c>
      <c r="X388" s="5">
        <f>IFERROR(IF(OR($B388="MID",$B388="FWD"),INDEX(FIXTURE_ANALYSIS!$Q:$Q,MATCH($D388,FIXTURE_ANALYSIS!$A:$A,0)),INDEX(FIXTURE_ANALYSIS!$R:$R,MATCH($D388,FIXTURE_ANALYSIS!$A:$A,0))),1)</f>
        <v>1.0097491349480967</v>
      </c>
      <c r="Y388" s="5">
        <f t="shared" si="156"/>
        <v>1.0097491349480967</v>
      </c>
      <c r="Z388" s="8">
        <f>INDEX(FPL_Raw_Data!$T:$T,MATCH(A388,FPL_Raw_Data!$AA:$AA,0))</f>
        <v>3</v>
      </c>
      <c r="AA388" s="8">
        <f>INDEX(FPL_Raw_Data!$S:$S,MATCH(A388,FPL_Raw_Data!$AA:$AA,0))</f>
        <v>21</v>
      </c>
      <c r="AB388" s="2">
        <f t="shared" si="157"/>
        <v>1</v>
      </c>
      <c r="AC388" s="2">
        <f>INDEX(FPL_Raw_Data!$Q:$Q,MATCH(A388,FPL_Raw_Data!$AA:$AA,0))</f>
        <v>0</v>
      </c>
      <c r="AD388" s="8">
        <f>INDEX(FPL_Raw_Data!$R:$R,MATCH(A388,FPL_Raw_Data!$AA:$AA,0))</f>
        <v>65</v>
      </c>
      <c r="AE388" s="8">
        <f>INDEX(FPL_Raw_Data!$N:$N,MATCH(A388,FPL_Raw_Data!$AA:$AA,0))</f>
        <v>0</v>
      </c>
      <c r="AF388" s="8">
        <f>INDEX(FPL_Raw_Data!$L:$L,MATCH(A388,FPL_Raw_Data!$AA:$AA,0))</f>
        <v>0</v>
      </c>
      <c r="AG388" s="2">
        <f>INDEX(FPL_Raw_Data!$M:$M,MATCH(A388,FPL_Raw_Data!$AA:$AA,0))</f>
        <v>2</v>
      </c>
      <c r="AH388" s="2">
        <f t="shared" si="158"/>
        <v>1.5659999999999998</v>
      </c>
      <c r="AI388" s="2">
        <f t="shared" si="159"/>
        <v>0.69120000000000004</v>
      </c>
      <c r="AJ388" s="2">
        <f t="shared" si="160"/>
        <v>2</v>
      </c>
      <c r="AK388" s="2">
        <f t="shared" si="161"/>
        <v>2</v>
      </c>
      <c r="AL388" s="2">
        <f t="shared" si="162"/>
        <v>0</v>
      </c>
      <c r="AM388" s="2">
        <f t="shared" si="163"/>
        <v>0</v>
      </c>
      <c r="AN388" s="2">
        <f t="shared" si="164"/>
        <v>0</v>
      </c>
      <c r="AO388" s="3">
        <f t="shared" si="165"/>
        <v>69.099999999999994</v>
      </c>
      <c r="AP388">
        <f t="shared" si="166"/>
        <v>92.9</v>
      </c>
      <c r="AQ388">
        <f t="shared" si="167"/>
        <v>85.5</v>
      </c>
      <c r="AR388">
        <f t="shared" si="168"/>
        <v>97.899999999999991</v>
      </c>
      <c r="AS388" s="2">
        <f t="shared" si="169"/>
        <v>100</v>
      </c>
      <c r="AT388" s="2">
        <f>IFERROR(INDEX(Player_Model!$BC$2:$BC$596,MATCH($A388,Player_Model!$A$2:$A$596,0)),0)</f>
        <v>5.4722542332494486</v>
      </c>
      <c r="AU388" s="2">
        <f>Table8[[#This Row],[Model Expected Points]]*Table8[[#This Row],[Fixture Adjustment]]</f>
        <v>5.5256039782396913</v>
      </c>
      <c r="AV388" s="2">
        <f>Table8[[#This Row],[Fixture Adjusted Points / 90]]/Table8[[#This Row],[Price]]</f>
        <v>1.004655268770853</v>
      </c>
      <c r="AW388">
        <f t="shared" si="170"/>
        <v>81</v>
      </c>
      <c r="AX388">
        <f t="shared" si="171"/>
        <v>1</v>
      </c>
      <c r="AY388" s="2">
        <f t="shared" si="172"/>
        <v>100</v>
      </c>
      <c r="AZ388" s="5">
        <f t="shared" si="173"/>
        <v>1.0097491349480967</v>
      </c>
      <c r="BA388">
        <f>Table8[[#This Row],[Model Score2]]</f>
        <v>5.4722542332494486</v>
      </c>
      <c r="BB388">
        <f>IFERROR(INDEX(Player_Model!$BG$2:$BG$596,MATCH($A388,Player_Model!$A$2:$A$596,0)),"")</f>
        <v>29</v>
      </c>
      <c r="BC388" t="str">
        <f t="shared" si="174"/>
        <v>AVOID</v>
      </c>
      <c r="BD388">
        <f>IF(H388=1,Table8[[#This Row],[Model Score]],-10000)</f>
        <v>5.4722542332494486</v>
      </c>
      <c r="BE388">
        <f>IFERROR(INDEX(Player_Model!$BF$2:$BF$596,MATCH($A388,Player_Model!$A$2:$A$596,0)),"")</f>
        <v>67</v>
      </c>
      <c r="BF388">
        <f>IFERROR(INDEX(Player_Model!$BG$2:$BG$596,MATCH($A388,Player_Model!$A$2:$A$596,0)),"")</f>
        <v>29</v>
      </c>
      <c r="BG388">
        <f>IFERROR(INDEX(Player_Model!$BE$2:$BE$596,MATCH($A388,Player_Model!$A$2:$A$596,0)),0)</f>
        <v>5.4722542332494486</v>
      </c>
    </row>
    <row r="389" spans="1:59" x14ac:dyDescent="0.25">
      <c r="A389" t="str">
        <f>tblPlayers[first_name]&amp;" "&amp;tblPlayers[second_name]</f>
        <v>Abdoul Ouattara</v>
      </c>
      <c r="B389" t="str">
        <f>_xlfn.SWITCH(tblPlayers[element_type],1,"GK",2,"DEF",3,"MID",4,"FWD")</f>
        <v>DEF</v>
      </c>
      <c r="C389">
        <f>tblPlayers[team]</f>
        <v>12</v>
      </c>
      <c r="D389" t="str">
        <f>INDEX(tblTeams[Column1.short_name],MATCH(C389,tblTeams[Column1.id],0))</f>
        <v>IPS</v>
      </c>
      <c r="E389" s="4">
        <f>INDEX(FPL_Raw_Data!$F:$F,MATCH(A389,FPL_Raw_Data!$AA:$AA,0))/10</f>
        <v>4</v>
      </c>
      <c r="F389" s="4" t="str">
        <f>tblPlayers[[#This Row],[status]]</f>
        <v>a</v>
      </c>
      <c r="G389" s="4" t="b">
        <f>tblPlayers[[#This Row],[can_select]]</f>
        <v>1</v>
      </c>
      <c r="H389">
        <f>IF(AND(Table8[[#This Row],[Availability Status]]="a",Table8[[#This Row],[Can Select]]=TRUE),1,0)</f>
        <v>1</v>
      </c>
      <c r="I389">
        <f>tblPlayers[minutes]</f>
        <v>39</v>
      </c>
      <c r="J389" s="2">
        <f>Table8[[#This Row],[Minutes]]/90</f>
        <v>0.43333333333333335</v>
      </c>
      <c r="K389" s="5">
        <f>IFERROR(Z389/(FIXTURE_ANALYSIS!$B$1-1),0)</f>
        <v>0</v>
      </c>
      <c r="L389">
        <f>tblPlayers[total_points]</f>
        <v>3</v>
      </c>
      <c r="M389">
        <f>tblPlayers[points_per_game]</f>
        <v>1</v>
      </c>
      <c r="N389">
        <f>tblPlayers[form]</f>
        <v>1</v>
      </c>
      <c r="O389">
        <f>tblPlayers[expected_goals]</f>
        <v>0</v>
      </c>
      <c r="P389">
        <f>tblPlayers[expected_assists]</f>
        <v>0.02</v>
      </c>
      <c r="Q389">
        <f>tblPlayers[expected_goal_involvements]</f>
        <v>0.02</v>
      </c>
      <c r="R389" s="2">
        <f t="shared" si="150"/>
        <v>6.9230769230769234</v>
      </c>
      <c r="S389" s="5">
        <f t="shared" si="151"/>
        <v>0</v>
      </c>
      <c r="T389" s="5">
        <f t="shared" si="152"/>
        <v>4.6153846153846156E-2</v>
      </c>
      <c r="U389" s="5">
        <f t="shared" si="153"/>
        <v>4.6153846153846156E-2</v>
      </c>
      <c r="V389" s="3">
        <f t="shared" si="154"/>
        <v>0.75</v>
      </c>
      <c r="W389" s="5">
        <f t="shared" si="155"/>
        <v>5.0000000000000001E-3</v>
      </c>
      <c r="X389" s="5">
        <f>IFERROR(IF(OR($B389="MID",$B389="FWD"),INDEX(FIXTURE_ANALYSIS!$Q:$Q,MATCH($D389,FIXTURE_ANALYSIS!$A:$A,0)),INDEX(FIXTURE_ANALYSIS!$R:$R,MATCH($D389,FIXTURE_ANALYSIS!$A:$A,0))),1)</f>
        <v>0.81436734693877555</v>
      </c>
      <c r="Y389" s="5">
        <f t="shared" si="156"/>
        <v>0.81436734693877555</v>
      </c>
      <c r="Z389" s="8">
        <f>INDEX(FPL_Raw_Data!$T:$T,MATCH(A389,FPL_Raw_Data!$AA:$AA,0))</f>
        <v>0</v>
      </c>
      <c r="AA389" s="8">
        <f>INDEX(FPL_Raw_Data!$S:$S,MATCH(A389,FPL_Raw_Data!$AA:$AA,0))</f>
        <v>2</v>
      </c>
      <c r="AB389" s="2">
        <f t="shared" si="157"/>
        <v>0.2</v>
      </c>
      <c r="AC389" s="2">
        <f>INDEX(FPL_Raw_Data!$Q:$Q,MATCH(A389,FPL_Raw_Data!$AA:$AA,0))</f>
        <v>0</v>
      </c>
      <c r="AD389" s="8">
        <f>INDEX(FPL_Raw_Data!$R:$R,MATCH(A389,FPL_Raw_Data!$AA:$AA,0))</f>
        <v>7</v>
      </c>
      <c r="AE389" s="8">
        <f>INDEX(FPL_Raw_Data!$N:$N,MATCH(A389,FPL_Raw_Data!$AA:$AA,0))</f>
        <v>0</v>
      </c>
      <c r="AF389" s="8">
        <f>INDEX(FPL_Raw_Data!$L:$L,MATCH(A389,FPL_Raw_Data!$AA:$AA,0))</f>
        <v>0</v>
      </c>
      <c r="AG389" s="2">
        <f>INDEX(FPL_Raw_Data!$M:$M,MATCH(A389,FPL_Raw_Data!$AA:$AA,0))</f>
        <v>0</v>
      </c>
      <c r="AH389" s="2">
        <f t="shared" si="158"/>
        <v>0</v>
      </c>
      <c r="AI389" s="2">
        <f t="shared" si="159"/>
        <v>0.13846153846153847</v>
      </c>
      <c r="AJ389" s="2">
        <f t="shared" si="160"/>
        <v>0</v>
      </c>
      <c r="AK389" s="2">
        <f t="shared" si="161"/>
        <v>0.4</v>
      </c>
      <c r="AL389" s="2">
        <f t="shared" si="162"/>
        <v>0</v>
      </c>
      <c r="AM389" s="2">
        <f t="shared" si="163"/>
        <v>0</v>
      </c>
      <c r="AN389" s="2">
        <f t="shared" si="164"/>
        <v>0</v>
      </c>
      <c r="AO389" s="3">
        <f t="shared" si="165"/>
        <v>85.5</v>
      </c>
      <c r="AP389">
        <f t="shared" si="166"/>
        <v>60.199999999999996</v>
      </c>
      <c r="AQ389">
        <f t="shared" si="167"/>
        <v>64.8</v>
      </c>
      <c r="AR389">
        <f t="shared" si="168"/>
        <v>56.000000000000007</v>
      </c>
      <c r="AS389" s="2">
        <f t="shared" si="169"/>
        <v>0</v>
      </c>
      <c r="AT389" s="2">
        <f>IFERROR(INDEX(Player_Model!$BC$2:$BC$596,MATCH($A389,Player_Model!$A$2:$A$596,0)),0)</f>
        <v>-1.0858231292517007</v>
      </c>
      <c r="AU389" s="2">
        <f>Table8[[#This Row],[Model Expected Points]]*Table8[[#This Row],[Fixture Adjustment]]</f>
        <v>-0.8842589010134666</v>
      </c>
      <c r="AV389" s="2">
        <f>Table8[[#This Row],[Fixture Adjusted Points / 90]]/Table8[[#This Row],[Price]]</f>
        <v>-0.22106472525336665</v>
      </c>
      <c r="AW389">
        <f t="shared" si="170"/>
        <v>60.199999999999996</v>
      </c>
      <c r="AX389">
        <f t="shared" si="171"/>
        <v>0.50718367346938775</v>
      </c>
      <c r="AY389" s="2">
        <f t="shared" si="172"/>
        <v>0</v>
      </c>
      <c r="AZ389" s="5">
        <f t="shared" si="173"/>
        <v>0.81436734693877555</v>
      </c>
      <c r="BA389">
        <f>Table8[[#This Row],[Model Score2]]</f>
        <v>-1.0858231292517007</v>
      </c>
      <c r="BB389">
        <f>IFERROR(INDEX(Player_Model!$BG$2:$BG$596,MATCH($A389,Player_Model!$A$2:$A$596,0)),"")</f>
        <v>187</v>
      </c>
      <c r="BC389" t="str">
        <f t="shared" si="174"/>
        <v>AVOID</v>
      </c>
      <c r="BD389">
        <f>IF(H389=1,Table8[[#This Row],[Model Score]],-10000)</f>
        <v>-1.0858231292517007</v>
      </c>
      <c r="BE389">
        <f>IFERROR(INDEX(Player_Model!$BF$2:$BF$596,MATCH($A389,Player_Model!$A$2:$A$596,0)),"")</f>
        <v>587</v>
      </c>
      <c r="BF389">
        <f>IFERROR(INDEX(Player_Model!$BG$2:$BG$596,MATCH($A389,Player_Model!$A$2:$A$596,0)),"")</f>
        <v>187</v>
      </c>
      <c r="BG389">
        <f>IFERROR(INDEX(Player_Model!$BE$2:$BE$596,MATCH($A389,Player_Model!$A$2:$A$596,0)),0)</f>
        <v>-1.0858231292517007</v>
      </c>
    </row>
    <row r="390" spans="1:59" x14ac:dyDescent="0.25">
      <c r="A390" t="str">
        <f>tblPlayers[first_name]&amp;" "&amp;tblPlayers[second_name]</f>
        <v>Cameron Humphreys</v>
      </c>
      <c r="B390" t="str">
        <f>_xlfn.SWITCH(tblPlayers[element_type],1,"GK",2,"DEF",3,"MID",4,"FWD")</f>
        <v>MID</v>
      </c>
      <c r="C390">
        <f>tblPlayers[team]</f>
        <v>12</v>
      </c>
      <c r="D390" t="str">
        <f>INDEX(tblTeams[Column1.short_name],MATCH(C390,tblTeams[Column1.id],0))</f>
        <v>IPS</v>
      </c>
      <c r="E390" s="4">
        <f>INDEX(FPL_Raw_Data!$F:$F,MATCH(A390,FPL_Raw_Data!$AA:$AA,0))/10</f>
        <v>4.5</v>
      </c>
      <c r="F390" s="4" t="str">
        <f>tblPlayers[[#This Row],[status]]</f>
        <v>u</v>
      </c>
      <c r="G390" s="4" t="b">
        <f>tblPlayers[[#This Row],[can_select]]</f>
        <v>0</v>
      </c>
      <c r="H390">
        <f>IF(AND(Table8[[#This Row],[Availability Status]]="a",Table8[[#This Row],[Can Select]]=TRUE),1,0)</f>
        <v>0</v>
      </c>
      <c r="I390">
        <f>tblPlayers[minutes]</f>
        <v>0</v>
      </c>
      <c r="J390" s="2">
        <f>Table8[[#This Row],[Minutes]]/90</f>
        <v>0</v>
      </c>
      <c r="K390" s="5">
        <f>IFERROR(Z390/(FIXTURE_ANALYSIS!$B$1-1),0)</f>
        <v>0</v>
      </c>
      <c r="L390">
        <f>tblPlayers[total_points]</f>
        <v>0</v>
      </c>
      <c r="M390">
        <f>tblPlayers[points_per_game]</f>
        <v>0</v>
      </c>
      <c r="N390">
        <f>tblPlayers[form]</f>
        <v>0</v>
      </c>
      <c r="O390">
        <f>tblPlayers[expected_goals]</f>
        <v>0</v>
      </c>
      <c r="P390">
        <f>tblPlayers[expected_assists]</f>
        <v>0</v>
      </c>
      <c r="Q390">
        <f>tblPlayers[expected_goal_involvements]</f>
        <v>0</v>
      </c>
      <c r="R390" s="2">
        <f t="shared" si="150"/>
        <v>0</v>
      </c>
      <c r="S390" s="5">
        <f t="shared" si="151"/>
        <v>0</v>
      </c>
      <c r="T390" s="5">
        <f t="shared" si="152"/>
        <v>0</v>
      </c>
      <c r="U390" s="5">
        <f t="shared" si="153"/>
        <v>0</v>
      </c>
      <c r="V390" s="3">
        <f t="shared" si="154"/>
        <v>0</v>
      </c>
      <c r="W390" s="5">
        <f t="shared" si="155"/>
        <v>0</v>
      </c>
      <c r="X390" s="5">
        <f>IFERROR(IF(OR($B390="MID",$B390="FWD"),INDEX(FIXTURE_ANALYSIS!$Q:$Q,MATCH($D390,FIXTURE_ANALYSIS!$A:$A,0)),INDEX(FIXTURE_ANALYSIS!$R:$R,MATCH($D390,FIXTURE_ANALYSIS!$A:$A,0))),1)</f>
        <v>1.0097491349480967</v>
      </c>
      <c r="Y390" s="5">
        <f t="shared" si="156"/>
        <v>1.0097491349480967</v>
      </c>
      <c r="Z390" s="8">
        <f>INDEX(FPL_Raw_Data!$T:$T,MATCH(A390,FPL_Raw_Data!$AA:$AA,0))</f>
        <v>0</v>
      </c>
      <c r="AA390" s="8">
        <f>INDEX(FPL_Raw_Data!$S:$S,MATCH(A390,FPL_Raw_Data!$AA:$AA,0))</f>
        <v>0</v>
      </c>
      <c r="AB390" s="2">
        <f t="shared" si="157"/>
        <v>0</v>
      </c>
      <c r="AC390" s="2">
        <f>INDEX(FPL_Raw_Data!$Q:$Q,MATCH(A390,FPL_Raw_Data!$AA:$AA,0))</f>
        <v>0</v>
      </c>
      <c r="AD390" s="8">
        <f>INDEX(FPL_Raw_Data!$R:$R,MATCH(A390,FPL_Raw_Data!$AA:$AA,0))</f>
        <v>0</v>
      </c>
      <c r="AE390" s="8">
        <f>INDEX(FPL_Raw_Data!$N:$N,MATCH(A390,FPL_Raw_Data!$AA:$AA,0))</f>
        <v>0</v>
      </c>
      <c r="AF390" s="8">
        <f>INDEX(FPL_Raw_Data!$L:$L,MATCH(A390,FPL_Raw_Data!$AA:$AA,0))</f>
        <v>0</v>
      </c>
      <c r="AG390" s="2">
        <f>INDEX(FPL_Raw_Data!$M:$M,MATCH(A390,FPL_Raw_Data!$AA:$AA,0))</f>
        <v>0</v>
      </c>
      <c r="AH390" s="2">
        <f t="shared" si="158"/>
        <v>0</v>
      </c>
      <c r="AI390" s="2">
        <f t="shared" si="159"/>
        <v>0</v>
      </c>
      <c r="AJ390" s="2">
        <f t="shared" si="160"/>
        <v>0</v>
      </c>
      <c r="AK390" s="2">
        <f t="shared" si="161"/>
        <v>0</v>
      </c>
      <c r="AL390" s="2">
        <f t="shared" si="162"/>
        <v>0</v>
      </c>
      <c r="AM390" s="2">
        <f t="shared" si="163"/>
        <v>0</v>
      </c>
      <c r="AN390" s="2">
        <f t="shared" si="164"/>
        <v>0</v>
      </c>
      <c r="AO390" s="3">
        <f t="shared" si="165"/>
        <v>0.1</v>
      </c>
      <c r="AP390">
        <f t="shared" si="166"/>
        <v>0</v>
      </c>
      <c r="AQ390">
        <f t="shared" si="167"/>
        <v>0.1</v>
      </c>
      <c r="AR390">
        <f t="shared" si="168"/>
        <v>0</v>
      </c>
      <c r="AS390" s="2">
        <f t="shared" si="169"/>
        <v>0</v>
      </c>
      <c r="AT390" s="2">
        <f>IFERROR(INDEX(Player_Model!$BC$2:$BC$596,MATCH($A390,Player_Model!$A$2:$A$596,0)),0)</f>
        <v>0</v>
      </c>
      <c r="AU390" s="2">
        <f>Table8[[#This Row],[Model Expected Points]]*Table8[[#This Row],[Fixture Adjustment]]</f>
        <v>0</v>
      </c>
      <c r="AV390" s="2">
        <f>Table8[[#This Row],[Fixture Adjusted Points / 90]]/Table8[[#This Row],[Price]]</f>
        <v>0</v>
      </c>
      <c r="AW390">
        <f t="shared" si="170"/>
        <v>0.05</v>
      </c>
      <c r="AX390">
        <f t="shared" si="171"/>
        <v>0</v>
      </c>
      <c r="AY390" s="2">
        <f t="shared" si="172"/>
        <v>0</v>
      </c>
      <c r="AZ390" s="5">
        <f t="shared" si="173"/>
        <v>1.0097491349480967</v>
      </c>
      <c r="BA390">
        <f>Table8[[#This Row],[Model Score2]]</f>
        <v>0</v>
      </c>
      <c r="BB390">
        <f>IFERROR(INDEX(Player_Model!$BG$2:$BG$596,MATCH($A390,Player_Model!$A$2:$A$596,0)),"")</f>
        <v>216</v>
      </c>
      <c r="BC390" t="str">
        <f t="shared" si="174"/>
        <v>AVOID</v>
      </c>
      <c r="BD390">
        <f>IF(H390=1,Table8[[#This Row],[Model Score]],-10000)</f>
        <v>-10000</v>
      </c>
      <c r="BE390">
        <f>IFERROR(INDEX(Player_Model!$BF$2:$BF$596,MATCH($A390,Player_Model!$A$2:$A$596,0)),"")</f>
        <v>253</v>
      </c>
      <c r="BF390">
        <f>IFERROR(INDEX(Player_Model!$BG$2:$BG$596,MATCH($A390,Player_Model!$A$2:$A$596,0)),"")</f>
        <v>216</v>
      </c>
      <c r="BG390">
        <f>IFERROR(INDEX(Player_Model!$BE$2:$BE$596,MATCH($A390,Player_Model!$A$2:$A$596,0)),0)</f>
        <v>0</v>
      </c>
    </row>
    <row r="391" spans="1:59" x14ac:dyDescent="0.25">
      <c r="A391" t="str">
        <f>tblPlayers[first_name]&amp;" "&amp;tblPlayers[second_name]</f>
        <v>Exequiel Palacios</v>
      </c>
      <c r="B391" t="str">
        <f>_xlfn.SWITCH(tblPlayers[element_type],1,"GK",2,"DEF",3,"MID",4,"FWD")</f>
        <v>MID</v>
      </c>
      <c r="C391">
        <f>tblPlayers[team]</f>
        <v>12</v>
      </c>
      <c r="D391" t="str">
        <f>INDEX(tblTeams[Column1.short_name],MATCH(C391,tblTeams[Column1.id],0))</f>
        <v>IPS</v>
      </c>
      <c r="E391" s="4">
        <f>INDEX(FPL_Raw_Data!$F:$F,MATCH(A391,FPL_Raw_Data!$AA:$AA,0))/10</f>
        <v>5</v>
      </c>
      <c r="F391" s="4" t="str">
        <f>tblPlayers[[#This Row],[status]]</f>
        <v>a</v>
      </c>
      <c r="G391" s="4" t="b">
        <f>tblPlayers[[#This Row],[can_select]]</f>
        <v>1</v>
      </c>
      <c r="H391">
        <f>IF(AND(Table8[[#This Row],[Availability Status]]="a",Table8[[#This Row],[Can Select]]=TRUE),1,0)</f>
        <v>1</v>
      </c>
      <c r="I391">
        <f>tblPlayers[minutes]</f>
        <v>105</v>
      </c>
      <c r="J391" s="2">
        <f>Table8[[#This Row],[Minutes]]/90</f>
        <v>1.1666666666666667</v>
      </c>
      <c r="K391" s="5">
        <f>IFERROR(Z391/(FIXTURE_ANALYSIS!$B$1-1),0)</f>
        <v>0.33333333333333331</v>
      </c>
      <c r="L391">
        <f>tblPlayers[total_points]</f>
        <v>5</v>
      </c>
      <c r="M391">
        <f>tblPlayers[points_per_game]</f>
        <v>2.5</v>
      </c>
      <c r="N391">
        <f>tblPlayers[form]</f>
        <v>2.5</v>
      </c>
      <c r="O391">
        <f>tblPlayers[expected_goals]</f>
        <v>0</v>
      </c>
      <c r="P391">
        <f>tblPlayers[expected_assists]</f>
        <v>0.03</v>
      </c>
      <c r="Q391">
        <f>tblPlayers[expected_goal_involvements]</f>
        <v>0.03</v>
      </c>
      <c r="R391" s="2">
        <f t="shared" si="150"/>
        <v>4.2857142857142856</v>
      </c>
      <c r="S391" s="5">
        <f t="shared" si="151"/>
        <v>0</v>
      </c>
      <c r="T391" s="5">
        <f t="shared" si="152"/>
        <v>2.571428571428571E-2</v>
      </c>
      <c r="U391" s="5">
        <f t="shared" si="153"/>
        <v>2.571428571428571E-2</v>
      </c>
      <c r="V391" s="3">
        <f t="shared" si="154"/>
        <v>1</v>
      </c>
      <c r="W391" s="5">
        <f t="shared" si="155"/>
        <v>6.0000000000000001E-3</v>
      </c>
      <c r="X391" s="5">
        <f>IFERROR(IF(OR($B391="MID",$B391="FWD"),INDEX(FIXTURE_ANALYSIS!$Q:$Q,MATCH($D391,FIXTURE_ANALYSIS!$A:$A,0)),INDEX(FIXTURE_ANALYSIS!$R:$R,MATCH($D391,FIXTURE_ANALYSIS!$A:$A,0))),1)</f>
        <v>1.0097491349480967</v>
      </c>
      <c r="Y391" s="5">
        <f t="shared" si="156"/>
        <v>1.0097491349480967</v>
      </c>
      <c r="Z391" s="8">
        <f>INDEX(FPL_Raw_Data!$T:$T,MATCH(A391,FPL_Raw_Data!$AA:$AA,0))</f>
        <v>1</v>
      </c>
      <c r="AA391" s="8">
        <f>INDEX(FPL_Raw_Data!$S:$S,MATCH(A391,FPL_Raw_Data!$AA:$AA,0))</f>
        <v>25</v>
      </c>
      <c r="AB391" s="2">
        <f t="shared" si="157"/>
        <v>1</v>
      </c>
      <c r="AC391" s="2">
        <f>INDEX(FPL_Raw_Data!$Q:$Q,MATCH(A391,FPL_Raw_Data!$AA:$AA,0))</f>
        <v>0</v>
      </c>
      <c r="AD391" s="8">
        <f>INDEX(FPL_Raw_Data!$R:$R,MATCH(A391,FPL_Raw_Data!$AA:$AA,0))</f>
        <v>35</v>
      </c>
      <c r="AE391" s="8">
        <f>INDEX(FPL_Raw_Data!$N:$N,MATCH(A391,FPL_Raw_Data!$AA:$AA,0))</f>
        <v>0</v>
      </c>
      <c r="AF391" s="8">
        <f>INDEX(FPL_Raw_Data!$L:$L,MATCH(A391,FPL_Raw_Data!$AA:$AA,0))</f>
        <v>0</v>
      </c>
      <c r="AG391" s="2">
        <f>INDEX(FPL_Raw_Data!$M:$M,MATCH(A391,FPL_Raw_Data!$AA:$AA,0))</f>
        <v>0</v>
      </c>
      <c r="AH391" s="2">
        <f t="shared" si="158"/>
        <v>0</v>
      </c>
      <c r="AI391" s="2">
        <f t="shared" si="159"/>
        <v>7.7142857142857124E-2</v>
      </c>
      <c r="AJ391" s="2">
        <f t="shared" si="160"/>
        <v>0.66666666666666663</v>
      </c>
      <c r="AK391" s="2">
        <f t="shared" si="161"/>
        <v>2</v>
      </c>
      <c r="AL391" s="2">
        <f t="shared" si="162"/>
        <v>0</v>
      </c>
      <c r="AM391" s="2">
        <f t="shared" si="163"/>
        <v>0</v>
      </c>
      <c r="AN391" s="2">
        <f t="shared" si="164"/>
        <v>0</v>
      </c>
      <c r="AO391" s="3">
        <f t="shared" si="165"/>
        <v>70.8</v>
      </c>
      <c r="AP391">
        <f t="shared" si="166"/>
        <v>56.699999999999996</v>
      </c>
      <c r="AQ391">
        <f t="shared" si="167"/>
        <v>68.600000000000009</v>
      </c>
      <c r="AR391">
        <f t="shared" si="168"/>
        <v>56.999999999999993</v>
      </c>
      <c r="AS391" s="2">
        <f t="shared" si="169"/>
        <v>33.333333333333329</v>
      </c>
      <c r="AT391" s="2">
        <f>IFERROR(INDEX(Player_Model!$BC$2:$BC$596,MATCH($A391,Player_Model!$A$2:$A$596,0)),0)</f>
        <v>4.8888343831650296</v>
      </c>
      <c r="AU391" s="2">
        <f>Table8[[#This Row],[Model Expected Points]]*Table8[[#This Row],[Fixture Adjustment]]</f>
        <v>4.936496289305401</v>
      </c>
      <c r="AV391" s="2">
        <f>Table8[[#This Row],[Fixture Adjusted Points / 90]]/Table8[[#This Row],[Price]]</f>
        <v>0.98729925786108019</v>
      </c>
      <c r="AW391">
        <f t="shared" si="170"/>
        <v>63.75</v>
      </c>
      <c r="AX391">
        <f t="shared" si="171"/>
        <v>1</v>
      </c>
      <c r="AY391" s="2">
        <f t="shared" si="172"/>
        <v>33.333333333333329</v>
      </c>
      <c r="AZ391" s="5">
        <f t="shared" si="173"/>
        <v>1.0097491349480967</v>
      </c>
      <c r="BA391">
        <f>Table8[[#This Row],[Model Score2]]</f>
        <v>4.8888343831650296</v>
      </c>
      <c r="BB391">
        <f>IFERROR(INDEX(Player_Model!$BG$2:$BG$596,MATCH($A391,Player_Model!$A$2:$A$596,0)),"")</f>
        <v>47</v>
      </c>
      <c r="BC391" t="str">
        <f t="shared" si="174"/>
        <v>AVOID</v>
      </c>
      <c r="BD391">
        <f>IF(H391=1,Table8[[#This Row],[Model Score]],-10000)</f>
        <v>4.8888343831650296</v>
      </c>
      <c r="BE391">
        <f>IFERROR(INDEX(Player_Model!$BF$2:$BF$596,MATCH($A391,Player_Model!$A$2:$A$596,0)),"")</f>
        <v>100</v>
      </c>
      <c r="BF391">
        <f>IFERROR(INDEX(Player_Model!$BG$2:$BG$596,MATCH($A391,Player_Model!$A$2:$A$596,0)),"")</f>
        <v>47</v>
      </c>
      <c r="BG391">
        <f>IFERROR(INDEX(Player_Model!$BE$2:$BE$596,MATCH($A391,Player_Model!$A$2:$A$596,0)),0)</f>
        <v>4.8888343831650296</v>
      </c>
    </row>
    <row r="392" spans="1:59" x14ac:dyDescent="0.25">
      <c r="A392" t="str">
        <f>tblPlayers[first_name]&amp;" "&amp;tblPlayers[second_name]</f>
        <v>Zian Flemming</v>
      </c>
      <c r="B392" t="str">
        <f>_xlfn.SWITCH(tblPlayers[element_type],1,"GK",2,"DEF",3,"MID",4,"FWD")</f>
        <v>FWD</v>
      </c>
      <c r="C392">
        <f>tblPlayers[team]</f>
        <v>12</v>
      </c>
      <c r="D392" t="str">
        <f>INDEX(tblTeams[Column1.short_name],MATCH(C392,tblTeams[Column1.id],0))</f>
        <v>IPS</v>
      </c>
      <c r="E392" s="4">
        <f>INDEX(FPL_Raw_Data!$F:$F,MATCH(A392,FPL_Raw_Data!$AA:$AA,0))/10</f>
        <v>5.5</v>
      </c>
      <c r="F392" s="4" t="str">
        <f>tblPlayers[[#This Row],[status]]</f>
        <v>a</v>
      </c>
      <c r="G392" s="4" t="b">
        <f>tblPlayers[[#This Row],[can_select]]</f>
        <v>1</v>
      </c>
      <c r="H392">
        <f>IF(AND(Table8[[#This Row],[Availability Status]]="a",Table8[[#This Row],[Can Select]]=TRUE),1,0)</f>
        <v>1</v>
      </c>
      <c r="I392">
        <f>tblPlayers[minutes]</f>
        <v>24</v>
      </c>
      <c r="J392" s="2">
        <f>Table8[[#This Row],[Minutes]]/90</f>
        <v>0.26666666666666666</v>
      </c>
      <c r="K392" s="5">
        <f>IFERROR(Z392/(FIXTURE_ANALYSIS!$B$1-1),0)</f>
        <v>0</v>
      </c>
      <c r="L392">
        <f>tblPlayers[total_points]</f>
        <v>1</v>
      </c>
      <c r="M392">
        <f>tblPlayers[points_per_game]</f>
        <v>1</v>
      </c>
      <c r="N392">
        <f>tblPlayers[form]</f>
        <v>1</v>
      </c>
      <c r="O392">
        <f>tblPlayers[expected_goals]</f>
        <v>0.02</v>
      </c>
      <c r="P392">
        <f>tblPlayers[expected_assists]</f>
        <v>0.01</v>
      </c>
      <c r="Q392">
        <f>tblPlayers[expected_goal_involvements]</f>
        <v>0.03</v>
      </c>
      <c r="R392" s="2">
        <f t="shared" si="150"/>
        <v>3.75</v>
      </c>
      <c r="S392" s="5">
        <f t="shared" si="151"/>
        <v>7.5000000000000011E-2</v>
      </c>
      <c r="T392" s="5">
        <f t="shared" si="152"/>
        <v>3.7500000000000006E-2</v>
      </c>
      <c r="U392" s="5">
        <f t="shared" si="153"/>
        <v>0.1125</v>
      </c>
      <c r="V392" s="3">
        <f t="shared" si="154"/>
        <v>0.18181818181818182</v>
      </c>
      <c r="W392" s="5">
        <f t="shared" si="155"/>
        <v>5.4545454545454541E-3</v>
      </c>
      <c r="X392" s="5">
        <f>IFERROR(IF(OR($B392="MID",$B392="FWD"),INDEX(FIXTURE_ANALYSIS!$Q:$Q,MATCH($D392,FIXTURE_ANALYSIS!$A:$A,0)),INDEX(FIXTURE_ANALYSIS!$R:$R,MATCH($D392,FIXTURE_ANALYSIS!$A:$A,0))),1)</f>
        <v>1.0097491349480967</v>
      </c>
      <c r="Y392" s="5">
        <f t="shared" si="156"/>
        <v>1.0097491349480967</v>
      </c>
      <c r="Z392" s="8">
        <f>INDEX(FPL_Raw_Data!$T:$T,MATCH(A392,FPL_Raw_Data!$AA:$AA,0))</f>
        <v>0</v>
      </c>
      <c r="AA392" s="8">
        <f>INDEX(FPL_Raw_Data!$S:$S,MATCH(A392,FPL_Raw_Data!$AA:$AA,0))</f>
        <v>0</v>
      </c>
      <c r="AB392" s="2">
        <f t="shared" si="157"/>
        <v>0</v>
      </c>
      <c r="AC392" s="2">
        <f>INDEX(FPL_Raw_Data!$Q:$Q,MATCH(A392,FPL_Raw_Data!$AA:$AA,0))</f>
        <v>0</v>
      </c>
      <c r="AD392" s="8">
        <f>INDEX(FPL_Raw_Data!$R:$R,MATCH(A392,FPL_Raw_Data!$AA:$AA,0))</f>
        <v>4</v>
      </c>
      <c r="AE392" s="8">
        <f>INDEX(FPL_Raw_Data!$N:$N,MATCH(A392,FPL_Raw_Data!$AA:$AA,0))</f>
        <v>0</v>
      </c>
      <c r="AF392" s="8">
        <f>INDEX(FPL_Raw_Data!$L:$L,MATCH(A392,FPL_Raw_Data!$AA:$AA,0))</f>
        <v>0</v>
      </c>
      <c r="AG392" s="2">
        <f>INDEX(FPL_Raw_Data!$M:$M,MATCH(A392,FPL_Raw_Data!$AA:$AA,0))</f>
        <v>0</v>
      </c>
      <c r="AH392" s="2">
        <f t="shared" si="158"/>
        <v>0.30000000000000004</v>
      </c>
      <c r="AI392" s="2">
        <f t="shared" si="159"/>
        <v>0.11250000000000002</v>
      </c>
      <c r="AJ392" s="2">
        <f t="shared" si="160"/>
        <v>0</v>
      </c>
      <c r="AK392" s="2">
        <f t="shared" si="161"/>
        <v>0</v>
      </c>
      <c r="AL392" s="2">
        <f t="shared" si="162"/>
        <v>0</v>
      </c>
      <c r="AM392" s="2">
        <f t="shared" si="163"/>
        <v>0</v>
      </c>
      <c r="AN392" s="2">
        <f t="shared" si="164"/>
        <v>0</v>
      </c>
      <c r="AO392" s="3">
        <f t="shared" si="165"/>
        <v>68</v>
      </c>
      <c r="AP392">
        <f t="shared" si="166"/>
        <v>69.5</v>
      </c>
      <c r="AQ392">
        <f t="shared" si="167"/>
        <v>42.699999999999996</v>
      </c>
      <c r="AR392">
        <f t="shared" si="168"/>
        <v>56.699999999999996</v>
      </c>
      <c r="AS392" s="2">
        <f t="shared" si="169"/>
        <v>0</v>
      </c>
      <c r="AT392" s="2">
        <f>IFERROR(INDEX(Player_Model!$BC$2:$BC$596,MATCH($A392,Player_Model!$A$2:$A$596,0)),0)</f>
        <v>0</v>
      </c>
      <c r="AU392" s="2">
        <f>Table8[[#This Row],[Model Expected Points]]*Table8[[#This Row],[Fixture Adjustment]]</f>
        <v>0</v>
      </c>
      <c r="AV392" s="2">
        <f>Table8[[#This Row],[Fixture Adjusted Points / 90]]/Table8[[#This Row],[Price]]</f>
        <v>0</v>
      </c>
      <c r="AW392">
        <f t="shared" si="170"/>
        <v>68.75</v>
      </c>
      <c r="AX392">
        <f t="shared" si="171"/>
        <v>0</v>
      </c>
      <c r="AY392" s="2">
        <f t="shared" si="172"/>
        <v>0</v>
      </c>
      <c r="AZ392" s="5">
        <f t="shared" si="173"/>
        <v>1.0097491349480967</v>
      </c>
      <c r="BA392">
        <f>Table8[[#This Row],[Model Score2]]</f>
        <v>0</v>
      </c>
      <c r="BB392">
        <f>IFERROR(INDEX(Player_Model!$BG$2:$BG$596,MATCH($A392,Player_Model!$A$2:$A$596,0)),"")</f>
        <v>59</v>
      </c>
      <c r="BC392" t="str">
        <f t="shared" si="174"/>
        <v>AVOID</v>
      </c>
      <c r="BD392">
        <f>IF(H392=1,Table8[[#This Row],[Model Score]],-10000)</f>
        <v>0</v>
      </c>
      <c r="BE392">
        <f>IFERROR(INDEX(Player_Model!$BF$2:$BF$596,MATCH($A392,Player_Model!$A$2:$A$596,0)),"")</f>
        <v>253</v>
      </c>
      <c r="BF392">
        <f>IFERROR(INDEX(Player_Model!$BG$2:$BG$596,MATCH($A392,Player_Model!$A$2:$A$596,0)),"")</f>
        <v>59</v>
      </c>
      <c r="BG392">
        <f>IFERROR(INDEX(Player_Model!$BE$2:$BE$596,MATCH($A392,Player_Model!$A$2:$A$596,0)),0)</f>
        <v>0</v>
      </c>
    </row>
    <row r="393" spans="1:59" x14ac:dyDescent="0.25">
      <c r="A393" t="str">
        <f>tblPlayers[first_name]&amp;" "&amp;tblPlayers[second_name]</f>
        <v>Harry Wilson</v>
      </c>
      <c r="B393" t="str">
        <f>_xlfn.SWITCH(tblPlayers[element_type],1,"GK",2,"DEF",3,"MID",4,"FWD")</f>
        <v>MID</v>
      </c>
      <c r="C393">
        <f>tblPlayers[team]</f>
        <v>13</v>
      </c>
      <c r="D393" t="str">
        <f>INDEX(tblTeams[Column1.short_name],MATCH(C393,tblTeams[Column1.id],0))</f>
        <v>LEE</v>
      </c>
      <c r="E393" s="4">
        <f>INDEX(FPL_Raw_Data!$F:$F,MATCH(A393,FPL_Raw_Data!$AA:$AA,0))/10</f>
        <v>6.4</v>
      </c>
      <c r="F393" s="4" t="str">
        <f>tblPlayers[[#This Row],[status]]</f>
        <v>a</v>
      </c>
      <c r="G393" s="4" t="b">
        <f>tblPlayers[[#This Row],[can_select]]</f>
        <v>1</v>
      </c>
      <c r="H393">
        <f>IF(AND(Table8[[#This Row],[Availability Status]]="a",Table8[[#This Row],[Can Select]]=TRUE),1,0)</f>
        <v>1</v>
      </c>
      <c r="I393">
        <f>tblPlayers[minutes]</f>
        <v>127</v>
      </c>
      <c r="J393" s="2">
        <f>Table8[[#This Row],[Minutes]]/90</f>
        <v>1.4111111111111112</v>
      </c>
      <c r="K393" s="5">
        <f>IFERROR(Z393/(FIXTURE_ANALYSIS!$B$1-1),0)</f>
        <v>0.33333333333333331</v>
      </c>
      <c r="L393">
        <f>tblPlayers[total_points]</f>
        <v>4</v>
      </c>
      <c r="M393">
        <f>tblPlayers[points_per_game]</f>
        <v>1.3</v>
      </c>
      <c r="N393">
        <f>tblPlayers[form]</f>
        <v>1.3</v>
      </c>
      <c r="O393">
        <f>tblPlayers[expected_goals]</f>
        <v>0.01</v>
      </c>
      <c r="P393">
        <f>tblPlayers[expected_assists]</f>
        <v>0.06</v>
      </c>
      <c r="Q393">
        <f>tblPlayers[expected_goal_involvements]</f>
        <v>7.0000000000000007E-2</v>
      </c>
      <c r="R393" s="2">
        <f t="shared" si="150"/>
        <v>2.8346456692913384</v>
      </c>
      <c r="S393" s="5">
        <f t="shared" si="151"/>
        <v>7.0866141732283464E-3</v>
      </c>
      <c r="T393" s="5">
        <f t="shared" si="152"/>
        <v>4.2519685039370078E-2</v>
      </c>
      <c r="U393" s="5">
        <f t="shared" si="153"/>
        <v>4.9606299212598425E-2</v>
      </c>
      <c r="V393" s="3">
        <f t="shared" si="154"/>
        <v>0.625</v>
      </c>
      <c r="W393" s="5">
        <f t="shared" si="155"/>
        <v>1.0937500000000001E-2</v>
      </c>
      <c r="X393" s="5">
        <f>IFERROR(IF(OR($B393="MID",$B393="FWD"),INDEX(FIXTURE_ANALYSIS!$Q:$Q,MATCH($D393,FIXTURE_ANALYSIS!$A:$A,0)),INDEX(FIXTURE_ANALYSIS!$R:$R,MATCH($D393,FIXTURE_ANALYSIS!$A:$A,0))),1)</f>
        <v>0.9426384083044983</v>
      </c>
      <c r="Y393" s="5">
        <f t="shared" si="156"/>
        <v>0.9426384083044983</v>
      </c>
      <c r="Z393" s="8">
        <f>INDEX(FPL_Raw_Data!$T:$T,MATCH(A393,FPL_Raw_Data!$AA:$AA,0))</f>
        <v>1</v>
      </c>
      <c r="AA393" s="8">
        <f>INDEX(FPL_Raw_Data!$S:$S,MATCH(A393,FPL_Raw_Data!$AA:$AA,0))</f>
        <v>9</v>
      </c>
      <c r="AB393" s="2">
        <f t="shared" si="157"/>
        <v>0.75</v>
      </c>
      <c r="AC393" s="2">
        <f>INDEX(FPL_Raw_Data!$Q:$Q,MATCH(A393,FPL_Raw_Data!$AA:$AA,0))</f>
        <v>0</v>
      </c>
      <c r="AD393" s="8">
        <f>INDEX(FPL_Raw_Data!$R:$R,MATCH(A393,FPL_Raw_Data!$AA:$AA,0))</f>
        <v>15</v>
      </c>
      <c r="AE393" s="8">
        <f>INDEX(FPL_Raw_Data!$N:$N,MATCH(A393,FPL_Raw_Data!$AA:$AA,0))</f>
        <v>1</v>
      </c>
      <c r="AF393" s="8">
        <f>INDEX(FPL_Raw_Data!$L:$L,MATCH(A393,FPL_Raw_Data!$AA:$AA,0))</f>
        <v>0</v>
      </c>
      <c r="AG393" s="2">
        <f>INDEX(FPL_Raw_Data!$M:$M,MATCH(A393,FPL_Raw_Data!$AA:$AA,0))</f>
        <v>0</v>
      </c>
      <c r="AH393" s="2">
        <f t="shared" si="158"/>
        <v>3.5433070866141732E-2</v>
      </c>
      <c r="AI393" s="2">
        <f t="shared" si="159"/>
        <v>0.12755905511811022</v>
      </c>
      <c r="AJ393" s="2">
        <f t="shared" si="160"/>
        <v>0.66666666666666663</v>
      </c>
      <c r="AK393" s="2">
        <f t="shared" si="161"/>
        <v>1.5</v>
      </c>
      <c r="AL393" s="2">
        <f t="shared" si="162"/>
        <v>1</v>
      </c>
      <c r="AM393" s="2">
        <f t="shared" si="163"/>
        <v>1</v>
      </c>
      <c r="AN393" s="2">
        <f t="shared" si="164"/>
        <v>0</v>
      </c>
      <c r="AO393" s="3">
        <f t="shared" si="165"/>
        <v>56.499999999999993</v>
      </c>
      <c r="AP393">
        <f t="shared" si="166"/>
        <v>61.4</v>
      </c>
      <c r="AQ393">
        <f t="shared" si="167"/>
        <v>62.1</v>
      </c>
      <c r="AR393">
        <f t="shared" si="168"/>
        <v>60.9</v>
      </c>
      <c r="AS393" s="2">
        <f t="shared" si="169"/>
        <v>33.333333333333329</v>
      </c>
      <c r="AT393" s="2">
        <f>IFERROR(INDEX(Player_Model!$BC$2:$BC$596,MATCH($A393,Player_Model!$A$2:$A$596,0)),0)</f>
        <v>3.3739343149898535</v>
      </c>
      <c r="AU393" s="2">
        <f>Table8[[#This Row],[Model Expected Points]]*Table8[[#This Row],[Fixture Adjustment]]</f>
        <v>3.1804000724059631</v>
      </c>
      <c r="AV393" s="2">
        <f>Table8[[#This Row],[Fixture Adjusted Points / 90]]/Table8[[#This Row],[Price]]</f>
        <v>0.49693751131343172</v>
      </c>
      <c r="AW393">
        <f t="shared" si="170"/>
        <v>58.949999999999996</v>
      </c>
      <c r="AX393">
        <f t="shared" si="171"/>
        <v>0.75</v>
      </c>
      <c r="AY393" s="2">
        <f t="shared" si="172"/>
        <v>33.333333333333329</v>
      </c>
      <c r="AZ393" s="5">
        <f t="shared" si="173"/>
        <v>0.9426384083044983</v>
      </c>
      <c r="BA393">
        <f>Table8[[#This Row],[Model Score2]]</f>
        <v>3.3739343149898535</v>
      </c>
      <c r="BB393">
        <f>IFERROR(INDEX(Player_Model!$BG$2:$BG$596,MATCH($A393,Player_Model!$A$2:$A$596,0)),"")</f>
        <v>96</v>
      </c>
      <c r="BC393" t="str">
        <f t="shared" si="174"/>
        <v>AVOID</v>
      </c>
      <c r="BD393">
        <f>IF(H393=1,Table8[[#This Row],[Model Score]],-10000)</f>
        <v>3.3739343149898535</v>
      </c>
      <c r="BE393">
        <f>IFERROR(INDEX(Player_Model!$BF$2:$BF$596,MATCH($A393,Player_Model!$A$2:$A$596,0)),"")</f>
        <v>185</v>
      </c>
      <c r="BF393">
        <f>IFERROR(INDEX(Player_Model!$BG$2:$BG$596,MATCH($A393,Player_Model!$A$2:$A$596,0)),"")</f>
        <v>96</v>
      </c>
      <c r="BG393">
        <f>IFERROR(INDEX(Player_Model!$BE$2:$BE$596,MATCH($A393,Player_Model!$A$2:$A$596,0)),0)</f>
        <v>3.3739343149898535</v>
      </c>
    </row>
    <row r="394" spans="1:59" x14ac:dyDescent="0.25">
      <c r="A394" t="str">
        <f>tblPlayers[first_name]&amp;" "&amp;tblPlayers[second_name]</f>
        <v>Lucas Estella Perri</v>
      </c>
      <c r="B394" t="str">
        <f>_xlfn.SWITCH(tblPlayers[element_type],1,"GK",2,"DEF",3,"MID",4,"FWD")</f>
        <v>GK</v>
      </c>
      <c r="C394">
        <f>tblPlayers[team]</f>
        <v>13</v>
      </c>
      <c r="D394" t="str">
        <f>INDEX(tblTeams[Column1.short_name],MATCH(C394,tblTeams[Column1.id],0))</f>
        <v>LEE</v>
      </c>
      <c r="E394" s="4">
        <f>INDEX(FPL_Raw_Data!$F:$F,MATCH(A394,FPL_Raw_Data!$AA:$AA,0))/10</f>
        <v>4.5</v>
      </c>
      <c r="F394" s="4" t="str">
        <f>tblPlayers[[#This Row],[status]]</f>
        <v>u</v>
      </c>
      <c r="G394" s="4" t="b">
        <f>tblPlayers[[#This Row],[can_select]]</f>
        <v>0</v>
      </c>
      <c r="H394">
        <f>IF(AND(Table8[[#This Row],[Availability Status]]="a",Table8[[#This Row],[Can Select]]=TRUE),1,0)</f>
        <v>0</v>
      </c>
      <c r="I394">
        <f>tblPlayers[minutes]</f>
        <v>0</v>
      </c>
      <c r="J394" s="2">
        <f>Table8[[#This Row],[Minutes]]/90</f>
        <v>0</v>
      </c>
      <c r="K394" s="5">
        <f>IFERROR(Z394/(FIXTURE_ANALYSIS!$B$1-1),0)</f>
        <v>0</v>
      </c>
      <c r="L394">
        <f>tblPlayers[total_points]</f>
        <v>0</v>
      </c>
      <c r="M394">
        <f>tblPlayers[points_per_game]</f>
        <v>0</v>
      </c>
      <c r="N394">
        <f>tblPlayers[form]</f>
        <v>0</v>
      </c>
      <c r="O394">
        <f>tblPlayers[expected_goals]</f>
        <v>0</v>
      </c>
      <c r="P394">
        <f>tblPlayers[expected_assists]</f>
        <v>0</v>
      </c>
      <c r="Q394">
        <f>tblPlayers[expected_goal_involvements]</f>
        <v>0</v>
      </c>
      <c r="R394" s="2">
        <f t="shared" si="150"/>
        <v>0</v>
      </c>
      <c r="S394" s="5">
        <f t="shared" si="151"/>
        <v>0</v>
      </c>
      <c r="T394" s="5">
        <f t="shared" si="152"/>
        <v>0</v>
      </c>
      <c r="U394" s="5">
        <f t="shared" si="153"/>
        <v>0</v>
      </c>
      <c r="V394" s="3">
        <f t="shared" si="154"/>
        <v>0</v>
      </c>
      <c r="W394" s="5">
        <f t="shared" si="155"/>
        <v>0</v>
      </c>
      <c r="X394" s="5">
        <f>IFERROR(IF(OR($B394="MID",$B394="FWD"),INDEX(FIXTURE_ANALYSIS!$Q:$Q,MATCH($D394,FIXTURE_ANALYSIS!$A:$A,0)),INDEX(FIXTURE_ANALYSIS!$R:$R,MATCH($D394,FIXTURE_ANALYSIS!$A:$A,0))),1)</f>
        <v>1.1380357723577235</v>
      </c>
      <c r="Y394" s="5">
        <f t="shared" si="156"/>
        <v>1.1380357723577235</v>
      </c>
      <c r="Z394" s="8">
        <f>INDEX(FPL_Raw_Data!$T:$T,MATCH(A394,FPL_Raw_Data!$AA:$AA,0))</f>
        <v>0</v>
      </c>
      <c r="AA394" s="8">
        <f>INDEX(FPL_Raw_Data!$S:$S,MATCH(A394,FPL_Raw_Data!$AA:$AA,0))</f>
        <v>0</v>
      </c>
      <c r="AB394" s="2">
        <f t="shared" si="157"/>
        <v>0</v>
      </c>
      <c r="AC394" s="2">
        <f>INDEX(FPL_Raw_Data!$Q:$Q,MATCH(A394,FPL_Raw_Data!$AA:$AA,0))</f>
        <v>0</v>
      </c>
      <c r="AD394" s="8">
        <f>INDEX(FPL_Raw_Data!$R:$R,MATCH(A394,FPL_Raw_Data!$AA:$AA,0))</f>
        <v>0</v>
      </c>
      <c r="AE394" s="8">
        <f>INDEX(FPL_Raw_Data!$N:$N,MATCH(A394,FPL_Raw_Data!$AA:$AA,0))</f>
        <v>0</v>
      </c>
      <c r="AF394" s="8">
        <f>INDEX(FPL_Raw_Data!$L:$L,MATCH(A394,FPL_Raw_Data!$AA:$AA,0))</f>
        <v>0</v>
      </c>
      <c r="AG394" s="2">
        <f>INDEX(FPL_Raw_Data!$M:$M,MATCH(A394,FPL_Raw_Data!$AA:$AA,0))</f>
        <v>0</v>
      </c>
      <c r="AH394" s="2">
        <f t="shared" si="158"/>
        <v>0</v>
      </c>
      <c r="AI394" s="2">
        <f t="shared" si="159"/>
        <v>0</v>
      </c>
      <c r="AJ394" s="2">
        <f t="shared" si="160"/>
        <v>0</v>
      </c>
      <c r="AK394" s="2">
        <f t="shared" si="161"/>
        <v>0</v>
      </c>
      <c r="AL394" s="2">
        <f t="shared" si="162"/>
        <v>0</v>
      </c>
      <c r="AM394" s="2">
        <f t="shared" si="163"/>
        <v>0</v>
      </c>
      <c r="AN394" s="2">
        <f t="shared" si="164"/>
        <v>0</v>
      </c>
      <c r="AO394" s="3">
        <f t="shared" si="165"/>
        <v>0.1</v>
      </c>
      <c r="AP394">
        <f t="shared" si="166"/>
        <v>0</v>
      </c>
      <c r="AQ394">
        <f t="shared" si="167"/>
        <v>0.1</v>
      </c>
      <c r="AR394">
        <f t="shared" si="168"/>
        <v>0</v>
      </c>
      <c r="AS394" s="2">
        <f t="shared" si="169"/>
        <v>0</v>
      </c>
      <c r="AT394" s="2">
        <f>IFERROR(INDEX(Player_Model!$BC$2:$BC$596,MATCH($A394,Player_Model!$A$2:$A$596,0)),0)</f>
        <v>0</v>
      </c>
      <c r="AU394" s="2">
        <f>Table8[[#This Row],[Model Expected Points]]*Table8[[#This Row],[Fixture Adjustment]]</f>
        <v>0</v>
      </c>
      <c r="AV394" s="2">
        <f>Table8[[#This Row],[Fixture Adjusted Points / 90]]/Table8[[#This Row],[Price]]</f>
        <v>0</v>
      </c>
      <c r="AW394">
        <f t="shared" si="170"/>
        <v>0</v>
      </c>
      <c r="AX394">
        <f t="shared" si="171"/>
        <v>0.56901788617886173</v>
      </c>
      <c r="AY394" s="2">
        <f t="shared" si="172"/>
        <v>0</v>
      </c>
      <c r="AZ394" s="5">
        <f t="shared" si="173"/>
        <v>1.1380357723577235</v>
      </c>
      <c r="BA394">
        <f>Table8[[#This Row],[Model Score2]]</f>
        <v>0</v>
      </c>
      <c r="BB394">
        <f>IFERROR(INDEX(Player_Model!$BG$2:$BG$596,MATCH($A394,Player_Model!$A$2:$A$596,0)),"")</f>
        <v>48</v>
      </c>
      <c r="BC394" t="str">
        <f t="shared" si="174"/>
        <v>AVOID</v>
      </c>
      <c r="BD394">
        <f>IF(H394=1,Table8[[#This Row],[Model Score]],-10000)</f>
        <v>-10000</v>
      </c>
      <c r="BE394">
        <f>IFERROR(INDEX(Player_Model!$BF$2:$BF$596,MATCH($A394,Player_Model!$A$2:$A$596,0)),"")</f>
        <v>253</v>
      </c>
      <c r="BF394">
        <f>IFERROR(INDEX(Player_Model!$BG$2:$BG$596,MATCH($A394,Player_Model!$A$2:$A$596,0)),"")</f>
        <v>48</v>
      </c>
      <c r="BG394">
        <f>IFERROR(INDEX(Player_Model!$BE$2:$BE$596,MATCH($A394,Player_Model!$A$2:$A$596,0)),0)</f>
        <v>0</v>
      </c>
    </row>
    <row r="395" spans="1:59" x14ac:dyDescent="0.25">
      <c r="A395" t="str">
        <f>tblPlayers[first_name]&amp;" "&amp;tblPlayers[second_name]</f>
        <v>Jaka Bijol</v>
      </c>
      <c r="B395" t="str">
        <f>_xlfn.SWITCH(tblPlayers[element_type],1,"GK",2,"DEF",3,"MID",4,"FWD")</f>
        <v>DEF</v>
      </c>
      <c r="C395">
        <f>tblPlayers[team]</f>
        <v>13</v>
      </c>
      <c r="D395" t="str">
        <f>INDEX(tblTeams[Column1.short_name],MATCH(C395,tblTeams[Column1.id],0))</f>
        <v>LEE</v>
      </c>
      <c r="E395" s="4">
        <f>INDEX(FPL_Raw_Data!$F:$F,MATCH(A395,FPL_Raw_Data!$AA:$AA,0))/10</f>
        <v>5</v>
      </c>
      <c r="F395" s="4" t="str">
        <f>tblPlayers[[#This Row],[status]]</f>
        <v>a</v>
      </c>
      <c r="G395" s="4" t="b">
        <f>tblPlayers[[#This Row],[can_select]]</f>
        <v>1</v>
      </c>
      <c r="H395">
        <f>IF(AND(Table8[[#This Row],[Availability Status]]="a",Table8[[#This Row],[Can Select]]=TRUE),1,0)</f>
        <v>1</v>
      </c>
      <c r="I395">
        <f>tblPlayers[minutes]</f>
        <v>164</v>
      </c>
      <c r="J395" s="2">
        <f>Table8[[#This Row],[Minutes]]/90</f>
        <v>1.8222222222222222</v>
      </c>
      <c r="K395" s="5">
        <f>IFERROR(Z395/(FIXTURE_ANALYSIS!$B$1-1),0)</f>
        <v>0.66666666666666663</v>
      </c>
      <c r="L395">
        <f>tblPlayers[total_points]</f>
        <v>12</v>
      </c>
      <c r="M395">
        <f>tblPlayers[points_per_game]</f>
        <v>4</v>
      </c>
      <c r="N395">
        <f>tblPlayers[form]</f>
        <v>4</v>
      </c>
      <c r="O395">
        <f>tblPlayers[expected_goals]</f>
        <v>0.11</v>
      </c>
      <c r="P395">
        <f>tblPlayers[expected_assists]</f>
        <v>0</v>
      </c>
      <c r="Q395">
        <f>tblPlayers[expected_goal_involvements]</f>
        <v>0.11</v>
      </c>
      <c r="R395" s="2">
        <f t="shared" si="150"/>
        <v>6.5853658536585362</v>
      </c>
      <c r="S395" s="5">
        <f t="shared" si="151"/>
        <v>6.036585365853659E-2</v>
      </c>
      <c r="T395" s="5">
        <f t="shared" si="152"/>
        <v>0</v>
      </c>
      <c r="U395" s="5">
        <f t="shared" si="153"/>
        <v>6.036585365853659E-2</v>
      </c>
      <c r="V395" s="3">
        <f t="shared" si="154"/>
        <v>2.4</v>
      </c>
      <c r="W395" s="5">
        <f t="shared" si="155"/>
        <v>2.1999999999999999E-2</v>
      </c>
      <c r="X395" s="5">
        <f>IFERROR(IF(OR($B395="MID",$B395="FWD"),INDEX(FIXTURE_ANALYSIS!$Q:$Q,MATCH($D395,FIXTURE_ANALYSIS!$A:$A,0)),INDEX(FIXTURE_ANALYSIS!$R:$R,MATCH($D395,FIXTURE_ANALYSIS!$A:$A,0))),1)</f>
        <v>1.1380357723577235</v>
      </c>
      <c r="Y395" s="5">
        <f t="shared" si="156"/>
        <v>1.1380357723577235</v>
      </c>
      <c r="Z395" s="8">
        <f>INDEX(FPL_Raw_Data!$T:$T,MATCH(A395,FPL_Raw_Data!$AA:$AA,0))</f>
        <v>2</v>
      </c>
      <c r="AA395" s="8">
        <f>INDEX(FPL_Raw_Data!$S:$S,MATCH(A395,FPL_Raw_Data!$AA:$AA,0))</f>
        <v>21</v>
      </c>
      <c r="AB395" s="2">
        <f t="shared" si="157"/>
        <v>1</v>
      </c>
      <c r="AC395" s="2">
        <f>INDEX(FPL_Raw_Data!$Q:$Q,MATCH(A395,FPL_Raw_Data!$AA:$AA,0))</f>
        <v>2</v>
      </c>
      <c r="AD395" s="8">
        <f>INDEX(FPL_Raw_Data!$R:$R,MATCH(A395,FPL_Raw_Data!$AA:$AA,0))</f>
        <v>29</v>
      </c>
      <c r="AE395" s="8">
        <f>INDEX(FPL_Raw_Data!$N:$N,MATCH(A395,FPL_Raw_Data!$AA:$AA,0))</f>
        <v>1</v>
      </c>
      <c r="AF395" s="8">
        <f>INDEX(FPL_Raw_Data!$L:$L,MATCH(A395,FPL_Raw_Data!$AA:$AA,0))</f>
        <v>0</v>
      </c>
      <c r="AG395" s="2">
        <f>INDEX(FPL_Raw_Data!$M:$M,MATCH(A395,FPL_Raw_Data!$AA:$AA,0))</f>
        <v>0</v>
      </c>
      <c r="AH395" s="2">
        <f t="shared" si="158"/>
        <v>0.36219512195121956</v>
      </c>
      <c r="AI395" s="2">
        <f t="shared" si="159"/>
        <v>0</v>
      </c>
      <c r="AJ395" s="2">
        <f t="shared" si="160"/>
        <v>1.3333333333333333</v>
      </c>
      <c r="AK395" s="2">
        <f t="shared" si="161"/>
        <v>2</v>
      </c>
      <c r="AL395" s="2">
        <f t="shared" si="162"/>
        <v>0.5</v>
      </c>
      <c r="AM395" s="2">
        <f t="shared" si="163"/>
        <v>2</v>
      </c>
      <c r="AN395" s="2">
        <f t="shared" si="164"/>
        <v>1</v>
      </c>
      <c r="AO395" s="3">
        <f t="shared" si="165"/>
        <v>84.3</v>
      </c>
      <c r="AP395">
        <f t="shared" si="166"/>
        <v>62.9</v>
      </c>
      <c r="AQ395">
        <f t="shared" si="167"/>
        <v>90.9</v>
      </c>
      <c r="AR395">
        <f t="shared" si="168"/>
        <v>67.300000000000011</v>
      </c>
      <c r="AS395" s="2">
        <f t="shared" si="169"/>
        <v>66.666666666666657</v>
      </c>
      <c r="AT395" s="2">
        <f>IFERROR(INDEX(Player_Model!$BC$2:$BC$596,MATCH($A395,Player_Model!$A$2:$A$596,0)),0)</f>
        <v>7.2093001516891455</v>
      </c>
      <c r="AU395" s="2">
        <f>Table8[[#This Row],[Model Expected Points]]*Table8[[#This Row],[Fixture Adjustment]]</f>
        <v>8.2044414662862089</v>
      </c>
      <c r="AV395" s="2">
        <f>Table8[[#This Row],[Fixture Adjusted Points / 90]]/Table8[[#This Row],[Price]]</f>
        <v>1.6408882932572417</v>
      </c>
      <c r="AW395">
        <f t="shared" si="170"/>
        <v>62.9</v>
      </c>
      <c r="AX395">
        <f t="shared" si="171"/>
        <v>1.0690178861788617</v>
      </c>
      <c r="AY395" s="2">
        <f t="shared" si="172"/>
        <v>66.666666666666657</v>
      </c>
      <c r="AZ395" s="5">
        <f t="shared" si="173"/>
        <v>1.1380357723577235</v>
      </c>
      <c r="BA395">
        <f>Table8[[#This Row],[Model Score2]]</f>
        <v>7.2093001516891455</v>
      </c>
      <c r="BB395">
        <f>IFERROR(INDEX(Player_Model!$BG$2:$BG$596,MATCH($A395,Player_Model!$A$2:$A$596,0)),"")</f>
        <v>10</v>
      </c>
      <c r="BC395" t="str">
        <f t="shared" si="174"/>
        <v>CONSIDER</v>
      </c>
      <c r="BD395">
        <f>IF(H395=1,Table8[[#This Row],[Model Score]],-10000)</f>
        <v>7.2093001516891455</v>
      </c>
      <c r="BE395">
        <f>IFERROR(INDEX(Player_Model!$BF$2:$BF$596,MATCH($A395,Player_Model!$A$2:$A$596,0)),"")</f>
        <v>19</v>
      </c>
      <c r="BF395">
        <f>IFERROR(INDEX(Player_Model!$BG$2:$BG$596,MATCH($A395,Player_Model!$A$2:$A$596,0)),"")</f>
        <v>10</v>
      </c>
      <c r="BG395">
        <f>IFERROR(INDEX(Player_Model!$BE$2:$BE$596,MATCH($A395,Player_Model!$A$2:$A$596,0)),0)</f>
        <v>7.2093001516891455</v>
      </c>
    </row>
    <row r="396" spans="1:59" x14ac:dyDescent="0.25">
      <c r="A396" t="str">
        <f>tblPlayers[first_name]&amp;" "&amp;tblPlayers[second_name]</f>
        <v>Joe Rodon</v>
      </c>
      <c r="B396" t="str">
        <f>_xlfn.SWITCH(tblPlayers[element_type],1,"GK",2,"DEF",3,"MID",4,"FWD")</f>
        <v>DEF</v>
      </c>
      <c r="C396">
        <f>tblPlayers[team]</f>
        <v>13</v>
      </c>
      <c r="D396" t="str">
        <f>INDEX(tblTeams[Column1.short_name],MATCH(C396,tblTeams[Column1.id],0))</f>
        <v>LEE</v>
      </c>
      <c r="E396" s="4">
        <f>INDEX(FPL_Raw_Data!$F:$F,MATCH(A396,FPL_Raw_Data!$AA:$AA,0))/10</f>
        <v>4.4000000000000004</v>
      </c>
      <c r="F396" s="4" t="str">
        <f>tblPlayers[[#This Row],[status]]</f>
        <v>i</v>
      </c>
      <c r="G396" s="4" t="b">
        <f>tblPlayers[[#This Row],[can_select]]</f>
        <v>1</v>
      </c>
      <c r="H396">
        <f>IF(AND(Table8[[#This Row],[Availability Status]]="a",Table8[[#This Row],[Can Select]]=TRUE),1,0)</f>
        <v>0</v>
      </c>
      <c r="I396">
        <f>tblPlayers[minutes]</f>
        <v>123</v>
      </c>
      <c r="J396" s="2">
        <f>Table8[[#This Row],[Minutes]]/90</f>
        <v>1.3666666666666667</v>
      </c>
      <c r="K396" s="5">
        <f>IFERROR(Z396/(FIXTURE_ANALYSIS!$B$1-1),0)</f>
        <v>0.66666666666666663</v>
      </c>
      <c r="L396">
        <f>tblPlayers[total_points]</f>
        <v>7</v>
      </c>
      <c r="M396">
        <f>tblPlayers[points_per_game]</f>
        <v>3.5</v>
      </c>
      <c r="N396">
        <f>tblPlayers[form]</f>
        <v>2.2999999999999998</v>
      </c>
      <c r="O396">
        <f>tblPlayers[expected_goals]</f>
        <v>0.03</v>
      </c>
      <c r="P396">
        <f>tblPlayers[expected_assists]</f>
        <v>0.06</v>
      </c>
      <c r="Q396">
        <f>tblPlayers[expected_goal_involvements]</f>
        <v>0.09</v>
      </c>
      <c r="R396" s="2">
        <f t="shared" si="150"/>
        <v>5.1219512195121952</v>
      </c>
      <c r="S396" s="5">
        <f t="shared" si="151"/>
        <v>2.1951219512195121E-2</v>
      </c>
      <c r="T396" s="5">
        <f t="shared" si="152"/>
        <v>4.3902439024390241E-2</v>
      </c>
      <c r="U396" s="5">
        <f t="shared" si="153"/>
        <v>6.5853658536585369E-2</v>
      </c>
      <c r="V396" s="3">
        <f t="shared" si="154"/>
        <v>1.5909090909090908</v>
      </c>
      <c r="W396" s="5">
        <f t="shared" si="155"/>
        <v>2.0454545454545451E-2</v>
      </c>
      <c r="X396" s="5">
        <f>IFERROR(IF(OR($B396="MID",$B396="FWD"),INDEX(FIXTURE_ANALYSIS!$Q:$Q,MATCH($D396,FIXTURE_ANALYSIS!$A:$A,0)),INDEX(FIXTURE_ANALYSIS!$R:$R,MATCH($D396,FIXTURE_ANALYSIS!$A:$A,0))),1)</f>
        <v>1.1380357723577235</v>
      </c>
      <c r="Y396" s="5">
        <f t="shared" si="156"/>
        <v>1.1380357723577235</v>
      </c>
      <c r="Z396" s="8">
        <f>INDEX(FPL_Raw_Data!$T:$T,MATCH(A396,FPL_Raw_Data!$AA:$AA,0))</f>
        <v>2</v>
      </c>
      <c r="AA396" s="8">
        <f>INDEX(FPL_Raw_Data!$S:$S,MATCH(A396,FPL_Raw_Data!$AA:$AA,0))</f>
        <v>11</v>
      </c>
      <c r="AB396" s="2">
        <f t="shared" si="157"/>
        <v>1</v>
      </c>
      <c r="AC396" s="2">
        <f>INDEX(FPL_Raw_Data!$Q:$Q,MATCH(A396,FPL_Raw_Data!$AA:$AA,0))</f>
        <v>0</v>
      </c>
      <c r="AD396" s="8">
        <f>INDEX(FPL_Raw_Data!$R:$R,MATCH(A396,FPL_Raw_Data!$AA:$AA,0))</f>
        <v>25</v>
      </c>
      <c r="AE396" s="8">
        <f>INDEX(FPL_Raw_Data!$N:$N,MATCH(A396,FPL_Raw_Data!$AA:$AA,0))</f>
        <v>1</v>
      </c>
      <c r="AF396" s="8">
        <f>INDEX(FPL_Raw_Data!$L:$L,MATCH(A396,FPL_Raw_Data!$AA:$AA,0))</f>
        <v>0</v>
      </c>
      <c r="AG396" s="2">
        <f>INDEX(FPL_Raw_Data!$M:$M,MATCH(A396,FPL_Raw_Data!$AA:$AA,0))</f>
        <v>0</v>
      </c>
      <c r="AH396" s="2">
        <f t="shared" si="158"/>
        <v>0.13170731707317074</v>
      </c>
      <c r="AI396" s="2">
        <f t="shared" si="159"/>
        <v>0.13170731707317074</v>
      </c>
      <c r="AJ396" s="2">
        <f t="shared" si="160"/>
        <v>1.3333333333333333</v>
      </c>
      <c r="AK396" s="2">
        <f t="shared" si="161"/>
        <v>2</v>
      </c>
      <c r="AL396" s="2">
        <f t="shared" si="162"/>
        <v>0.5</v>
      </c>
      <c r="AM396" s="2">
        <f t="shared" si="163"/>
        <v>2</v>
      </c>
      <c r="AN396" s="2">
        <f t="shared" si="164"/>
        <v>0</v>
      </c>
      <c r="AO396" s="3">
        <f t="shared" si="165"/>
        <v>76.900000000000006</v>
      </c>
      <c r="AP396">
        <f t="shared" si="166"/>
        <v>64.099999999999994</v>
      </c>
      <c r="AQ396">
        <f t="shared" si="167"/>
        <v>80.800000000000011</v>
      </c>
      <c r="AR396">
        <f t="shared" si="168"/>
        <v>66.8</v>
      </c>
      <c r="AS396" s="2">
        <f t="shared" si="169"/>
        <v>66.666666666666657</v>
      </c>
      <c r="AT396" s="2">
        <f>IFERROR(INDEX(Player_Model!$BC$2:$BC$596,MATCH($A396,Player_Model!$A$2:$A$596,0)),0)</f>
        <v>6.2750552301936668</v>
      </c>
      <c r="AU396" s="2">
        <f>Table8[[#This Row],[Model Expected Points]]*Table8[[#This Row],[Fixture Adjustment]]</f>
        <v>7.1412373254808221</v>
      </c>
      <c r="AV396" s="2">
        <f>Table8[[#This Row],[Fixture Adjusted Points / 90]]/Table8[[#This Row],[Price]]</f>
        <v>1.6230084830638232</v>
      </c>
      <c r="AW396">
        <f t="shared" si="170"/>
        <v>64.099999999999994</v>
      </c>
      <c r="AX396">
        <f t="shared" si="171"/>
        <v>1.0690178861788617</v>
      </c>
      <c r="AY396" s="2">
        <f t="shared" si="172"/>
        <v>66.666666666666657</v>
      </c>
      <c r="AZ396" s="5">
        <f t="shared" si="173"/>
        <v>1.1380357723577235</v>
      </c>
      <c r="BA396">
        <f>Table8[[#This Row],[Model Score2]]</f>
        <v>6.2750552301936668</v>
      </c>
      <c r="BB396">
        <f>IFERROR(INDEX(Player_Model!$BG$2:$BG$596,MATCH($A396,Player_Model!$A$2:$A$596,0)),"")</f>
        <v>18</v>
      </c>
      <c r="BC396" t="str">
        <f t="shared" si="174"/>
        <v>AVOID</v>
      </c>
      <c r="BD396">
        <f>IF(H396=1,Table8[[#This Row],[Model Score]],-10000)</f>
        <v>-10000</v>
      </c>
      <c r="BE396">
        <f>IFERROR(INDEX(Player_Model!$BF$2:$BF$596,MATCH($A396,Player_Model!$A$2:$A$596,0)),"")</f>
        <v>35</v>
      </c>
      <c r="BF396">
        <f>IFERROR(INDEX(Player_Model!$BG$2:$BG$596,MATCH($A396,Player_Model!$A$2:$A$596,0)),"")</f>
        <v>18</v>
      </c>
      <c r="BG396">
        <f>IFERROR(INDEX(Player_Model!$BE$2:$BE$596,MATCH($A396,Player_Model!$A$2:$A$596,0)),0)</f>
        <v>6.2750552301936668</v>
      </c>
    </row>
    <row r="397" spans="1:59" x14ac:dyDescent="0.25">
      <c r="A397" t="str">
        <f>tblPlayers[first_name]&amp;" "&amp;tblPlayers[second_name]</f>
        <v>Jayden Bogle</v>
      </c>
      <c r="B397" t="str">
        <f>_xlfn.SWITCH(tblPlayers[element_type],1,"GK",2,"DEF",3,"MID",4,"FWD")</f>
        <v>DEF</v>
      </c>
      <c r="C397">
        <f>tblPlayers[team]</f>
        <v>13</v>
      </c>
      <c r="D397" t="str">
        <f>INDEX(tblTeams[Column1.short_name],MATCH(C397,tblTeams[Column1.id],0))</f>
        <v>LEE</v>
      </c>
      <c r="E397" s="4">
        <f>INDEX(FPL_Raw_Data!$F:$F,MATCH(A397,FPL_Raw_Data!$AA:$AA,0))/10</f>
        <v>4.5</v>
      </c>
      <c r="F397" s="4" t="str">
        <f>tblPlayers[[#This Row],[status]]</f>
        <v>a</v>
      </c>
      <c r="G397" s="4" t="b">
        <f>tblPlayers[[#This Row],[can_select]]</f>
        <v>1</v>
      </c>
      <c r="H397">
        <f>IF(AND(Table8[[#This Row],[Availability Status]]="a",Table8[[#This Row],[Can Select]]=TRUE),1,0)</f>
        <v>1</v>
      </c>
      <c r="I397">
        <f>tblPlayers[minutes]</f>
        <v>217</v>
      </c>
      <c r="J397" s="2">
        <f>Table8[[#This Row],[Minutes]]/90</f>
        <v>2.411111111111111</v>
      </c>
      <c r="K397" s="5">
        <f>IFERROR(Z397/(FIXTURE_ANALYSIS!$B$1-1),0)</f>
        <v>1</v>
      </c>
      <c r="L397">
        <f>tblPlayers[total_points]</f>
        <v>22</v>
      </c>
      <c r="M397">
        <f>tblPlayers[points_per_game]</f>
        <v>7.3</v>
      </c>
      <c r="N397">
        <f>tblPlayers[form]</f>
        <v>7.3</v>
      </c>
      <c r="O397">
        <f>tblPlayers[expected_goals]</f>
        <v>0.9</v>
      </c>
      <c r="P397">
        <f>tblPlayers[expected_assists]</f>
        <v>0.03</v>
      </c>
      <c r="Q397">
        <f>tblPlayers[expected_goal_involvements]</f>
        <v>0.93</v>
      </c>
      <c r="R397" s="2">
        <f t="shared" si="150"/>
        <v>9.1244239631336406</v>
      </c>
      <c r="S397" s="5">
        <f t="shared" si="151"/>
        <v>0.37327188940092171</v>
      </c>
      <c r="T397" s="5">
        <f t="shared" si="152"/>
        <v>1.2442396313364055E-2</v>
      </c>
      <c r="U397" s="5">
        <f t="shared" si="153"/>
        <v>0.38571428571428573</v>
      </c>
      <c r="V397" s="3">
        <f t="shared" si="154"/>
        <v>4.8888888888888893</v>
      </c>
      <c r="W397" s="5">
        <f t="shared" si="155"/>
        <v>0.20666666666666667</v>
      </c>
      <c r="X397" s="5">
        <f>IFERROR(IF(OR($B397="MID",$B397="FWD"),INDEX(FIXTURE_ANALYSIS!$Q:$Q,MATCH($D397,FIXTURE_ANALYSIS!$A:$A,0)),INDEX(FIXTURE_ANALYSIS!$R:$R,MATCH($D397,FIXTURE_ANALYSIS!$A:$A,0))),1)</f>
        <v>1.1380357723577235</v>
      </c>
      <c r="Y397" s="5">
        <f t="shared" si="156"/>
        <v>1.1380357723577235</v>
      </c>
      <c r="Z397" s="8">
        <f>INDEX(FPL_Raw_Data!$T:$T,MATCH(A397,FPL_Raw_Data!$AA:$AA,0))</f>
        <v>3</v>
      </c>
      <c r="AA397" s="8">
        <f>INDEX(FPL_Raw_Data!$S:$S,MATCH(A397,FPL_Raw_Data!$AA:$AA,0))</f>
        <v>12</v>
      </c>
      <c r="AB397" s="2">
        <f t="shared" si="157"/>
        <v>1</v>
      </c>
      <c r="AC397" s="2">
        <f>INDEX(FPL_Raw_Data!$Q:$Q,MATCH(A397,FPL_Raw_Data!$AA:$AA,0))</f>
        <v>3</v>
      </c>
      <c r="AD397" s="8">
        <f>INDEX(FPL_Raw_Data!$R:$R,MATCH(A397,FPL_Raw_Data!$AA:$AA,0))</f>
        <v>63</v>
      </c>
      <c r="AE397" s="8">
        <f>INDEX(FPL_Raw_Data!$N:$N,MATCH(A397,FPL_Raw_Data!$AA:$AA,0))</f>
        <v>2</v>
      </c>
      <c r="AF397" s="8">
        <f>INDEX(FPL_Raw_Data!$L:$L,MATCH(A397,FPL_Raw_Data!$AA:$AA,0))</f>
        <v>1</v>
      </c>
      <c r="AG397" s="2">
        <f>INDEX(FPL_Raw_Data!$M:$M,MATCH(A397,FPL_Raw_Data!$AA:$AA,0))</f>
        <v>0</v>
      </c>
      <c r="AH397" s="2">
        <f t="shared" si="158"/>
        <v>2.2396313364055302</v>
      </c>
      <c r="AI397" s="2">
        <f t="shared" si="159"/>
        <v>3.7327188940092168E-2</v>
      </c>
      <c r="AJ397" s="2">
        <f t="shared" si="160"/>
        <v>2</v>
      </c>
      <c r="AK397" s="2">
        <f t="shared" si="161"/>
        <v>2</v>
      </c>
      <c r="AL397" s="2">
        <f t="shared" si="162"/>
        <v>0.66666666666666663</v>
      </c>
      <c r="AM397" s="2">
        <f t="shared" si="163"/>
        <v>2.6666666666666665</v>
      </c>
      <c r="AN397" s="2">
        <f t="shared" si="164"/>
        <v>1</v>
      </c>
      <c r="AO397" s="3">
        <f t="shared" si="165"/>
        <v>92</v>
      </c>
      <c r="AP397">
        <f t="shared" si="166"/>
        <v>88.2</v>
      </c>
      <c r="AQ397">
        <f t="shared" si="167"/>
        <v>99.1</v>
      </c>
      <c r="AR397">
        <f t="shared" si="168"/>
        <v>94.699999999999989</v>
      </c>
      <c r="AS397" s="2">
        <f t="shared" si="169"/>
        <v>100</v>
      </c>
      <c r="AT397" s="2">
        <f>IFERROR(INDEX(Player_Model!$BC$2:$BC$596,MATCH($A397,Player_Model!$A$2:$A$596,0)),0)</f>
        <v>8.1476382682193957</v>
      </c>
      <c r="AU397" s="2">
        <f>Table8[[#This Row],[Model Expected Points]]*Table8[[#This Row],[Fixture Adjustment]]</f>
        <v>9.2723038094644039</v>
      </c>
      <c r="AV397" s="2">
        <f>Table8[[#This Row],[Fixture Adjusted Points / 90]]/Table8[[#This Row],[Price]]</f>
        <v>2.0605119576587563</v>
      </c>
      <c r="AW397">
        <f t="shared" si="170"/>
        <v>88.2</v>
      </c>
      <c r="AX397">
        <f t="shared" si="171"/>
        <v>1.0690178861788617</v>
      </c>
      <c r="AY397" s="2">
        <f t="shared" si="172"/>
        <v>100</v>
      </c>
      <c r="AZ397" s="5">
        <f t="shared" si="173"/>
        <v>1.1380357723577235</v>
      </c>
      <c r="BA397">
        <f>Table8[[#This Row],[Model Score2]]</f>
        <v>8.1476382682193957</v>
      </c>
      <c r="BB397">
        <f>IFERROR(INDEX(Player_Model!$BG$2:$BG$596,MATCH($A397,Player_Model!$A$2:$A$596,0)),"")</f>
        <v>7</v>
      </c>
      <c r="BC397" t="str">
        <f t="shared" si="174"/>
        <v>CONSIDER</v>
      </c>
      <c r="BD397">
        <f>IF(H397=1,Table8[[#This Row],[Model Score]],-10000)</f>
        <v>8.1476382682193957</v>
      </c>
      <c r="BE397">
        <f>IFERROR(INDEX(Player_Model!$BF$2:$BF$596,MATCH($A397,Player_Model!$A$2:$A$596,0)),"")</f>
        <v>8</v>
      </c>
      <c r="BF397">
        <f>IFERROR(INDEX(Player_Model!$BG$2:$BG$596,MATCH($A397,Player_Model!$A$2:$A$596,0)),"")</f>
        <v>7</v>
      </c>
      <c r="BG397">
        <f>IFERROR(INDEX(Player_Model!$BE$2:$BE$596,MATCH($A397,Player_Model!$A$2:$A$596,0)),0)</f>
        <v>8.1476382682193957</v>
      </c>
    </row>
    <row r="398" spans="1:59" x14ac:dyDescent="0.25">
      <c r="A398" t="str">
        <f>tblPlayers[first_name]&amp;" "&amp;tblPlayers[second_name]</f>
        <v>Gabriel Gudmundsson</v>
      </c>
      <c r="B398" t="str">
        <f>_xlfn.SWITCH(tblPlayers[element_type],1,"GK",2,"DEF",3,"MID",4,"FWD")</f>
        <v>DEF</v>
      </c>
      <c r="C398">
        <f>tblPlayers[team]</f>
        <v>13</v>
      </c>
      <c r="D398" t="str">
        <f>INDEX(tblTeams[Column1.short_name],MATCH(C398,tblTeams[Column1.id],0))</f>
        <v>LEE</v>
      </c>
      <c r="E398" s="4">
        <f>INDEX(FPL_Raw_Data!$F:$F,MATCH(A398,FPL_Raw_Data!$AA:$AA,0))/10</f>
        <v>4.5</v>
      </c>
      <c r="F398" s="4" t="str">
        <f>tblPlayers[[#This Row],[status]]</f>
        <v>a</v>
      </c>
      <c r="G398" s="4" t="b">
        <f>tblPlayers[[#This Row],[can_select]]</f>
        <v>1</v>
      </c>
      <c r="H398">
        <f>IF(AND(Table8[[#This Row],[Availability Status]]="a",Table8[[#This Row],[Can Select]]=TRUE),1,0)</f>
        <v>1</v>
      </c>
      <c r="I398">
        <f>tblPlayers[minutes]</f>
        <v>90</v>
      </c>
      <c r="J398" s="2">
        <f>Table8[[#This Row],[Minutes]]/90</f>
        <v>1</v>
      </c>
      <c r="K398" s="5">
        <f>IFERROR(Z398/(FIXTURE_ANALYSIS!$B$1-1),0)</f>
        <v>0.33333333333333331</v>
      </c>
      <c r="L398">
        <f>tblPlayers[total_points]</f>
        <v>2</v>
      </c>
      <c r="M398">
        <f>tblPlayers[points_per_game]</f>
        <v>2</v>
      </c>
      <c r="N398">
        <f>tblPlayers[form]</f>
        <v>0.7</v>
      </c>
      <c r="O398">
        <f>tblPlayers[expected_goals]</f>
        <v>0</v>
      </c>
      <c r="P398">
        <f>tblPlayers[expected_assists]</f>
        <v>0</v>
      </c>
      <c r="Q398">
        <f>tblPlayers[expected_goal_involvements]</f>
        <v>0</v>
      </c>
      <c r="R398" s="2">
        <f t="shared" si="150"/>
        <v>2</v>
      </c>
      <c r="S398" s="5">
        <f t="shared" si="151"/>
        <v>0</v>
      </c>
      <c r="T398" s="5">
        <f t="shared" si="152"/>
        <v>0</v>
      </c>
      <c r="U398" s="5">
        <f t="shared" si="153"/>
        <v>0</v>
      </c>
      <c r="V398" s="3">
        <f t="shared" si="154"/>
        <v>0.44444444444444442</v>
      </c>
      <c r="W398" s="5">
        <f t="shared" si="155"/>
        <v>0</v>
      </c>
      <c r="X398" s="5">
        <f>IFERROR(IF(OR($B398="MID",$B398="FWD"),INDEX(FIXTURE_ANALYSIS!$Q:$Q,MATCH($D398,FIXTURE_ANALYSIS!$A:$A,0)),INDEX(FIXTURE_ANALYSIS!$R:$R,MATCH($D398,FIXTURE_ANALYSIS!$A:$A,0))),1)</f>
        <v>1.1380357723577235</v>
      </c>
      <c r="Y398" s="5">
        <f t="shared" si="156"/>
        <v>1.1380357723577235</v>
      </c>
      <c r="Z398" s="8">
        <f>INDEX(FPL_Raw_Data!$T:$T,MATCH(A398,FPL_Raw_Data!$AA:$AA,0))</f>
        <v>1</v>
      </c>
      <c r="AA398" s="8">
        <f>INDEX(FPL_Raw_Data!$S:$S,MATCH(A398,FPL_Raw_Data!$AA:$AA,0))</f>
        <v>5</v>
      </c>
      <c r="AB398" s="2">
        <f t="shared" si="157"/>
        <v>0.5</v>
      </c>
      <c r="AC398" s="2">
        <f>INDEX(FPL_Raw_Data!$Q:$Q,MATCH(A398,FPL_Raw_Data!$AA:$AA,0))</f>
        <v>0</v>
      </c>
      <c r="AD398" s="8">
        <f>INDEX(FPL_Raw_Data!$R:$R,MATCH(A398,FPL_Raw_Data!$AA:$AA,0))</f>
        <v>9</v>
      </c>
      <c r="AE398" s="8">
        <f>INDEX(FPL_Raw_Data!$N:$N,MATCH(A398,FPL_Raw_Data!$AA:$AA,0))</f>
        <v>0</v>
      </c>
      <c r="AF398" s="8">
        <f>INDEX(FPL_Raw_Data!$L:$L,MATCH(A398,FPL_Raw_Data!$AA:$AA,0))</f>
        <v>0</v>
      </c>
      <c r="AG398" s="2">
        <f>INDEX(FPL_Raw_Data!$M:$M,MATCH(A398,FPL_Raw_Data!$AA:$AA,0))</f>
        <v>0</v>
      </c>
      <c r="AH398" s="2">
        <f t="shared" si="158"/>
        <v>0</v>
      </c>
      <c r="AI398" s="2">
        <f t="shared" si="159"/>
        <v>0</v>
      </c>
      <c r="AJ398" s="2">
        <f t="shared" si="160"/>
        <v>0.66666666666666663</v>
      </c>
      <c r="AK398" s="2">
        <f t="shared" si="161"/>
        <v>1</v>
      </c>
      <c r="AL398" s="2">
        <f t="shared" si="162"/>
        <v>0</v>
      </c>
      <c r="AM398" s="2">
        <f t="shared" si="163"/>
        <v>0</v>
      </c>
      <c r="AN398" s="2">
        <f t="shared" si="164"/>
        <v>0</v>
      </c>
      <c r="AO398" s="3">
        <f t="shared" si="165"/>
        <v>45.9</v>
      </c>
      <c r="AP398">
        <f t="shared" si="166"/>
        <v>0</v>
      </c>
      <c r="AQ398">
        <f t="shared" si="167"/>
        <v>56.000000000000007</v>
      </c>
      <c r="AR398">
        <f t="shared" si="168"/>
        <v>0</v>
      </c>
      <c r="AS398" s="2">
        <f t="shared" si="169"/>
        <v>33.333333333333329</v>
      </c>
      <c r="AT398" s="2">
        <f>IFERROR(INDEX(Player_Model!$BC$2:$BC$596,MATCH($A398,Player_Model!$A$2:$A$596,0)),0)</f>
        <v>3.4499314920687771</v>
      </c>
      <c r="AU398" s="2">
        <f>Table8[[#This Row],[Model Expected Points]]*Table8[[#This Row],[Fixture Adjustment]]</f>
        <v>3.926145450157724</v>
      </c>
      <c r="AV398" s="2">
        <f>Table8[[#This Row],[Fixture Adjusted Points / 90]]/Table8[[#This Row],[Price]]</f>
        <v>0.87247676670171648</v>
      </c>
      <c r="AW398">
        <f t="shared" si="170"/>
        <v>0</v>
      </c>
      <c r="AX398">
        <f t="shared" si="171"/>
        <v>0.81901788617886173</v>
      </c>
      <c r="AY398" s="2">
        <f t="shared" si="172"/>
        <v>33.333333333333329</v>
      </c>
      <c r="AZ398" s="5">
        <f t="shared" si="173"/>
        <v>1.1380357723577235</v>
      </c>
      <c r="BA398">
        <f>Table8[[#This Row],[Model Score2]]</f>
        <v>3.4499314920687771</v>
      </c>
      <c r="BB398">
        <f>IFERROR(INDEX(Player_Model!$BG$2:$BG$596,MATCH($A398,Player_Model!$A$2:$A$596,0)),"")</f>
        <v>58</v>
      </c>
      <c r="BC398" t="str">
        <f t="shared" si="174"/>
        <v>AVOID</v>
      </c>
      <c r="BD398">
        <f>IF(H398=1,Table8[[#This Row],[Model Score]],-10000)</f>
        <v>3.4499314920687771</v>
      </c>
      <c r="BE398">
        <f>IFERROR(INDEX(Player_Model!$BF$2:$BF$596,MATCH($A398,Player_Model!$A$2:$A$596,0)),"")</f>
        <v>180</v>
      </c>
      <c r="BF398">
        <f>IFERROR(INDEX(Player_Model!$BG$2:$BG$596,MATCH($A398,Player_Model!$A$2:$A$596,0)),"")</f>
        <v>58</v>
      </c>
      <c r="BG398">
        <f>IFERROR(INDEX(Player_Model!$BE$2:$BE$596,MATCH($A398,Player_Model!$A$2:$A$596,0)),0)</f>
        <v>3.4499314920687771</v>
      </c>
    </row>
    <row r="399" spans="1:59" x14ac:dyDescent="0.25">
      <c r="A399" t="str">
        <f>tblPlayers[first_name]&amp;" "&amp;tblPlayers[second_name]</f>
        <v>James Justin</v>
      </c>
      <c r="B399" t="str">
        <f>_xlfn.SWITCH(tblPlayers[element_type],1,"GK",2,"DEF",3,"MID",4,"FWD")</f>
        <v>DEF</v>
      </c>
      <c r="C399">
        <f>tblPlayers[team]</f>
        <v>13</v>
      </c>
      <c r="D399" t="str">
        <f>INDEX(tblTeams[Column1.short_name],MATCH(C399,tblTeams[Column1.id],0))</f>
        <v>LEE</v>
      </c>
      <c r="E399" s="4">
        <f>INDEX(FPL_Raw_Data!$F:$F,MATCH(A399,FPL_Raw_Data!$AA:$AA,0))/10</f>
        <v>4.5</v>
      </c>
      <c r="F399" s="4" t="str">
        <f>tblPlayers[[#This Row],[status]]</f>
        <v>a</v>
      </c>
      <c r="G399" s="4" t="b">
        <f>tblPlayers[[#This Row],[can_select]]</f>
        <v>1</v>
      </c>
      <c r="H399">
        <f>IF(AND(Table8[[#This Row],[Availability Status]]="a",Table8[[#This Row],[Can Select]]=TRUE),1,0)</f>
        <v>1</v>
      </c>
      <c r="I399">
        <f>tblPlayers[minutes]</f>
        <v>270</v>
      </c>
      <c r="J399" s="2">
        <f>Table8[[#This Row],[Minutes]]/90</f>
        <v>3</v>
      </c>
      <c r="K399" s="5">
        <f>IFERROR(Z399/(FIXTURE_ANALYSIS!$B$1-1),0)</f>
        <v>1</v>
      </c>
      <c r="L399">
        <f>tblPlayers[total_points]</f>
        <v>16</v>
      </c>
      <c r="M399">
        <f>tblPlayers[points_per_game]</f>
        <v>5.3</v>
      </c>
      <c r="N399">
        <f>tblPlayers[form]</f>
        <v>5.3</v>
      </c>
      <c r="O399">
        <f>tblPlayers[expected_goals]</f>
        <v>0.17</v>
      </c>
      <c r="P399">
        <f>tblPlayers[expected_assists]</f>
        <v>0.02</v>
      </c>
      <c r="Q399">
        <f>tblPlayers[expected_goal_involvements]</f>
        <v>0.19</v>
      </c>
      <c r="R399" s="2">
        <f t="shared" si="150"/>
        <v>5.3333333333333339</v>
      </c>
      <c r="S399" s="5">
        <f t="shared" si="151"/>
        <v>5.6666666666666678E-2</v>
      </c>
      <c r="T399" s="5">
        <f t="shared" si="152"/>
        <v>6.6666666666666662E-3</v>
      </c>
      <c r="U399" s="5">
        <f t="shared" si="153"/>
        <v>6.3333333333333325E-2</v>
      </c>
      <c r="V399" s="3">
        <f t="shared" si="154"/>
        <v>3.5555555555555554</v>
      </c>
      <c r="W399" s="5">
        <f t="shared" si="155"/>
        <v>4.2222222222222223E-2</v>
      </c>
      <c r="X399" s="5">
        <f>IFERROR(IF(OR($B399="MID",$B399="FWD"),INDEX(FIXTURE_ANALYSIS!$Q:$Q,MATCH($D399,FIXTURE_ANALYSIS!$A:$A,0)),INDEX(FIXTURE_ANALYSIS!$R:$R,MATCH($D399,FIXTURE_ANALYSIS!$A:$A,0))),1)</f>
        <v>1.1380357723577235</v>
      </c>
      <c r="Y399" s="5">
        <f t="shared" si="156"/>
        <v>1.1380357723577235</v>
      </c>
      <c r="Z399" s="8">
        <f>INDEX(FPL_Raw_Data!$T:$T,MATCH(A399,FPL_Raw_Data!$AA:$AA,0))</f>
        <v>3</v>
      </c>
      <c r="AA399" s="8">
        <f>INDEX(FPL_Raw_Data!$S:$S,MATCH(A399,FPL_Raw_Data!$AA:$AA,0))</f>
        <v>30</v>
      </c>
      <c r="AB399" s="2">
        <f t="shared" si="157"/>
        <v>1</v>
      </c>
      <c r="AC399" s="2">
        <f>INDEX(FPL_Raw_Data!$Q:$Q,MATCH(A399,FPL_Raw_Data!$AA:$AA,0))</f>
        <v>2</v>
      </c>
      <c r="AD399" s="8">
        <f>INDEX(FPL_Raw_Data!$R:$R,MATCH(A399,FPL_Raw_Data!$AA:$AA,0))</f>
        <v>49</v>
      </c>
      <c r="AE399" s="8">
        <f>INDEX(FPL_Raw_Data!$N:$N,MATCH(A399,FPL_Raw_Data!$AA:$AA,0))</f>
        <v>1</v>
      </c>
      <c r="AF399" s="8">
        <f>INDEX(FPL_Raw_Data!$L:$L,MATCH(A399,FPL_Raw_Data!$AA:$AA,0))</f>
        <v>0</v>
      </c>
      <c r="AG399" s="2">
        <f>INDEX(FPL_Raw_Data!$M:$M,MATCH(A399,FPL_Raw_Data!$AA:$AA,0))</f>
        <v>0</v>
      </c>
      <c r="AH399" s="2">
        <f t="shared" si="158"/>
        <v>0.34000000000000008</v>
      </c>
      <c r="AI399" s="2">
        <f t="shared" si="159"/>
        <v>1.9999999999999997E-2</v>
      </c>
      <c r="AJ399" s="2">
        <f t="shared" si="160"/>
        <v>2</v>
      </c>
      <c r="AK399" s="2">
        <f t="shared" si="161"/>
        <v>2</v>
      </c>
      <c r="AL399" s="2">
        <f t="shared" si="162"/>
        <v>0.33333333333333331</v>
      </c>
      <c r="AM399" s="2">
        <f t="shared" si="163"/>
        <v>1.3333333333333333</v>
      </c>
      <c r="AN399" s="2">
        <f t="shared" si="164"/>
        <v>0.66666666666666663</v>
      </c>
      <c r="AO399" s="3">
        <f t="shared" si="165"/>
        <v>77.900000000000006</v>
      </c>
      <c r="AP399">
        <f t="shared" si="166"/>
        <v>63.1</v>
      </c>
      <c r="AQ399">
        <f t="shared" si="167"/>
        <v>97.1</v>
      </c>
      <c r="AR399">
        <f t="shared" si="168"/>
        <v>73.7</v>
      </c>
      <c r="AS399" s="2">
        <f t="shared" si="169"/>
        <v>100</v>
      </c>
      <c r="AT399" s="2">
        <f>IFERROR(INDEX(Player_Model!$BC$2:$BC$596,MATCH($A399,Player_Model!$A$2:$A$596,0)),0)</f>
        <v>6.122599976951884</v>
      </c>
      <c r="AU399" s="2">
        <f>Table8[[#This Row],[Model Expected Points]]*Table8[[#This Row],[Fixture Adjustment]]</f>
        <v>6.9677377936078173</v>
      </c>
      <c r="AV399" s="2">
        <f>Table8[[#This Row],[Fixture Adjusted Points / 90]]/Table8[[#This Row],[Price]]</f>
        <v>1.5483861763572928</v>
      </c>
      <c r="AW399">
        <f t="shared" si="170"/>
        <v>63.1</v>
      </c>
      <c r="AX399">
        <f t="shared" si="171"/>
        <v>1.0690178861788617</v>
      </c>
      <c r="AY399" s="2">
        <f t="shared" si="172"/>
        <v>100</v>
      </c>
      <c r="AZ399" s="5">
        <f t="shared" si="173"/>
        <v>1.1380357723577235</v>
      </c>
      <c r="BA399">
        <f>Table8[[#This Row],[Model Score2]]</f>
        <v>6.122599976951884</v>
      </c>
      <c r="BB399">
        <f>IFERROR(INDEX(Player_Model!$BG$2:$BG$596,MATCH($A399,Player_Model!$A$2:$A$596,0)),"")</f>
        <v>20</v>
      </c>
      <c r="BC399" t="str">
        <f t="shared" si="174"/>
        <v>AVOID</v>
      </c>
      <c r="BD399">
        <f>IF(H399=1,Table8[[#This Row],[Model Score]],-10000)</f>
        <v>6.122599976951884</v>
      </c>
      <c r="BE399">
        <f>IFERROR(INDEX(Player_Model!$BF$2:$BF$596,MATCH($A399,Player_Model!$A$2:$A$596,0)),"")</f>
        <v>41</v>
      </c>
      <c r="BF399">
        <f>IFERROR(INDEX(Player_Model!$BG$2:$BG$596,MATCH($A399,Player_Model!$A$2:$A$596,0)),"")</f>
        <v>20</v>
      </c>
      <c r="BG399">
        <f>IFERROR(INDEX(Player_Model!$BE$2:$BE$596,MATCH($A399,Player_Model!$A$2:$A$596,0)),0)</f>
        <v>6.122599976951884</v>
      </c>
    </row>
    <row r="400" spans="1:59" x14ac:dyDescent="0.25">
      <c r="A400" t="str">
        <f>tblPlayers[first_name]&amp;" "&amp;tblPlayers[second_name]</f>
        <v>Sebastiaan Bornauw</v>
      </c>
      <c r="B400" t="str">
        <f>_xlfn.SWITCH(tblPlayers[element_type],1,"GK",2,"DEF",3,"MID",4,"FWD")</f>
        <v>DEF</v>
      </c>
      <c r="C400">
        <f>tblPlayers[team]</f>
        <v>13</v>
      </c>
      <c r="D400" t="str">
        <f>INDEX(tblTeams[Column1.short_name],MATCH(C400,tblTeams[Column1.id],0))</f>
        <v>LEE</v>
      </c>
      <c r="E400" s="4">
        <f>INDEX(FPL_Raw_Data!$F:$F,MATCH(A400,FPL_Raw_Data!$AA:$AA,0))/10</f>
        <v>4.5</v>
      </c>
      <c r="F400" s="4" t="str">
        <f>tblPlayers[[#This Row],[status]]</f>
        <v>u</v>
      </c>
      <c r="G400" s="4" t="b">
        <f>tblPlayers[[#This Row],[can_select]]</f>
        <v>0</v>
      </c>
      <c r="H400">
        <f>IF(AND(Table8[[#This Row],[Availability Status]]="a",Table8[[#This Row],[Can Select]]=TRUE),1,0)</f>
        <v>0</v>
      </c>
      <c r="I400">
        <f>tblPlayers[minutes]</f>
        <v>0</v>
      </c>
      <c r="J400" s="2">
        <f>Table8[[#This Row],[Minutes]]/90</f>
        <v>0</v>
      </c>
      <c r="K400" s="5">
        <f>IFERROR(Z400/(FIXTURE_ANALYSIS!$B$1-1),0)</f>
        <v>0</v>
      </c>
      <c r="L400">
        <f>tblPlayers[total_points]</f>
        <v>0</v>
      </c>
      <c r="M400">
        <f>tblPlayers[points_per_game]</f>
        <v>0</v>
      </c>
      <c r="N400">
        <f>tblPlayers[form]</f>
        <v>0</v>
      </c>
      <c r="O400">
        <f>tblPlayers[expected_goals]</f>
        <v>0</v>
      </c>
      <c r="P400">
        <f>tblPlayers[expected_assists]</f>
        <v>0</v>
      </c>
      <c r="Q400">
        <f>tblPlayers[expected_goal_involvements]</f>
        <v>0</v>
      </c>
      <c r="R400" s="2">
        <f t="shared" si="150"/>
        <v>0</v>
      </c>
      <c r="S400" s="5">
        <f t="shared" si="151"/>
        <v>0</v>
      </c>
      <c r="T400" s="5">
        <f t="shared" si="152"/>
        <v>0</v>
      </c>
      <c r="U400" s="5">
        <f t="shared" si="153"/>
        <v>0</v>
      </c>
      <c r="V400" s="3">
        <f t="shared" si="154"/>
        <v>0</v>
      </c>
      <c r="W400" s="5">
        <f t="shared" si="155"/>
        <v>0</v>
      </c>
      <c r="X400" s="5">
        <f>IFERROR(IF(OR($B400="MID",$B400="FWD"),INDEX(FIXTURE_ANALYSIS!$Q:$Q,MATCH($D400,FIXTURE_ANALYSIS!$A:$A,0)),INDEX(FIXTURE_ANALYSIS!$R:$R,MATCH($D400,FIXTURE_ANALYSIS!$A:$A,0))),1)</f>
        <v>1.1380357723577235</v>
      </c>
      <c r="Y400" s="5">
        <f t="shared" si="156"/>
        <v>1.1380357723577235</v>
      </c>
      <c r="Z400" s="8">
        <f>INDEX(FPL_Raw_Data!$T:$T,MATCH(A400,FPL_Raw_Data!$AA:$AA,0))</f>
        <v>0</v>
      </c>
      <c r="AA400" s="8">
        <f>INDEX(FPL_Raw_Data!$S:$S,MATCH(A400,FPL_Raw_Data!$AA:$AA,0))</f>
        <v>0</v>
      </c>
      <c r="AB400" s="2">
        <f t="shared" si="157"/>
        <v>0</v>
      </c>
      <c r="AC400" s="2">
        <f>INDEX(FPL_Raw_Data!$Q:$Q,MATCH(A400,FPL_Raw_Data!$AA:$AA,0))</f>
        <v>0</v>
      </c>
      <c r="AD400" s="8">
        <f>INDEX(FPL_Raw_Data!$R:$R,MATCH(A400,FPL_Raw_Data!$AA:$AA,0))</f>
        <v>0</v>
      </c>
      <c r="AE400" s="8">
        <f>INDEX(FPL_Raw_Data!$N:$N,MATCH(A400,FPL_Raw_Data!$AA:$AA,0))</f>
        <v>0</v>
      </c>
      <c r="AF400" s="8">
        <f>INDEX(FPL_Raw_Data!$L:$L,MATCH(A400,FPL_Raw_Data!$AA:$AA,0))</f>
        <v>0</v>
      </c>
      <c r="AG400" s="2">
        <f>INDEX(FPL_Raw_Data!$M:$M,MATCH(A400,FPL_Raw_Data!$AA:$AA,0))</f>
        <v>0</v>
      </c>
      <c r="AH400" s="2">
        <f t="shared" si="158"/>
        <v>0</v>
      </c>
      <c r="AI400" s="2">
        <f t="shared" si="159"/>
        <v>0</v>
      </c>
      <c r="AJ400" s="2">
        <f t="shared" si="160"/>
        <v>0</v>
      </c>
      <c r="AK400" s="2">
        <f t="shared" si="161"/>
        <v>0</v>
      </c>
      <c r="AL400" s="2">
        <f t="shared" si="162"/>
        <v>0</v>
      </c>
      <c r="AM400" s="2">
        <f t="shared" si="163"/>
        <v>0</v>
      </c>
      <c r="AN400" s="2">
        <f t="shared" si="164"/>
        <v>0</v>
      </c>
      <c r="AO400" s="3">
        <f t="shared" si="165"/>
        <v>0.1</v>
      </c>
      <c r="AP400">
        <f t="shared" si="166"/>
        <v>0</v>
      </c>
      <c r="AQ400">
        <f t="shared" si="167"/>
        <v>0.1</v>
      </c>
      <c r="AR400">
        <f t="shared" si="168"/>
        <v>0</v>
      </c>
      <c r="AS400" s="2">
        <f t="shared" si="169"/>
        <v>0</v>
      </c>
      <c r="AT400" s="2">
        <f>IFERROR(INDEX(Player_Model!$BC$2:$BC$596,MATCH($A400,Player_Model!$A$2:$A$596,0)),0)</f>
        <v>-0.37934525745257447</v>
      </c>
      <c r="AU400" s="2">
        <f>Table8[[#This Row],[Model Expected Points]]*Table8[[#This Row],[Fixture Adjustment]]</f>
        <v>-0.43170847305528004</v>
      </c>
      <c r="AV400" s="2">
        <f>Table8[[#This Row],[Fixture Adjusted Points / 90]]/Table8[[#This Row],[Price]]</f>
        <v>-9.5935216234506682E-2</v>
      </c>
      <c r="AW400">
        <f t="shared" si="170"/>
        <v>0</v>
      </c>
      <c r="AX400">
        <f t="shared" si="171"/>
        <v>0.56901788617886173</v>
      </c>
      <c r="AY400" s="2">
        <f t="shared" si="172"/>
        <v>0</v>
      </c>
      <c r="AZ400" s="5">
        <f t="shared" si="173"/>
        <v>1.1380357723577235</v>
      </c>
      <c r="BA400">
        <f>Table8[[#This Row],[Model Score2]]</f>
        <v>-0.37934525745257447</v>
      </c>
      <c r="BB400">
        <f>IFERROR(INDEX(Player_Model!$BG$2:$BG$596,MATCH($A400,Player_Model!$A$2:$A$596,0)),"")</f>
        <v>119</v>
      </c>
      <c r="BC400" t="str">
        <f t="shared" si="174"/>
        <v>AVOID</v>
      </c>
      <c r="BD400">
        <f>IF(H400=1,Table8[[#This Row],[Model Score]],-10000)</f>
        <v>-10000</v>
      </c>
      <c r="BE400">
        <f>IFERROR(INDEX(Player_Model!$BF$2:$BF$596,MATCH($A400,Player_Model!$A$2:$A$596,0)),"")</f>
        <v>522</v>
      </c>
      <c r="BF400">
        <f>IFERROR(INDEX(Player_Model!$BG$2:$BG$596,MATCH($A400,Player_Model!$A$2:$A$596,0)),"")</f>
        <v>119</v>
      </c>
      <c r="BG400">
        <f>IFERROR(INDEX(Player_Model!$BE$2:$BE$596,MATCH($A400,Player_Model!$A$2:$A$596,0)),0)</f>
        <v>-0.37934525745257447</v>
      </c>
    </row>
    <row r="401" spans="1:59" x14ac:dyDescent="0.25">
      <c r="A401" t="str">
        <f>tblPlayers[first_name]&amp;" "&amp;tblPlayers[second_name]</f>
        <v>Tarik Muharemović</v>
      </c>
      <c r="B401" t="str">
        <f>_xlfn.SWITCH(tblPlayers[element_type],1,"GK",2,"DEF",3,"MID",4,"FWD")</f>
        <v>DEF</v>
      </c>
      <c r="C401">
        <f>tblPlayers[team]</f>
        <v>13</v>
      </c>
      <c r="D401" t="str">
        <f>INDEX(tblTeams[Column1.short_name],MATCH(C401,tblTeams[Column1.id],0))</f>
        <v>LEE</v>
      </c>
      <c r="E401" s="4">
        <f>INDEX(FPL_Raw_Data!$F:$F,MATCH(A401,FPL_Raw_Data!$AA:$AA,0))/10</f>
        <v>5</v>
      </c>
      <c r="F401" s="4" t="str">
        <f>tblPlayers[[#This Row],[status]]</f>
        <v>a</v>
      </c>
      <c r="G401" s="4" t="b">
        <f>tblPlayers[[#This Row],[can_select]]</f>
        <v>1</v>
      </c>
      <c r="H401">
        <f>IF(AND(Table8[[#This Row],[Availability Status]]="a",Table8[[#This Row],[Can Select]]=TRUE),1,0)</f>
        <v>1</v>
      </c>
      <c r="I401">
        <f>tblPlayers[minutes]</f>
        <v>270</v>
      </c>
      <c r="J401" s="2">
        <f>Table8[[#This Row],[Minutes]]/90</f>
        <v>3</v>
      </c>
      <c r="K401" s="5">
        <f>IFERROR(Z401/(FIXTURE_ANALYSIS!$B$1-1),0)</f>
        <v>1</v>
      </c>
      <c r="L401">
        <f>tblPlayers[total_points]</f>
        <v>14</v>
      </c>
      <c r="M401">
        <f>tblPlayers[points_per_game]</f>
        <v>4.7</v>
      </c>
      <c r="N401">
        <f>tblPlayers[form]</f>
        <v>4.7</v>
      </c>
      <c r="O401">
        <f>tblPlayers[expected_goals]</f>
        <v>0.09</v>
      </c>
      <c r="P401">
        <f>tblPlayers[expected_assists]</f>
        <v>0.02</v>
      </c>
      <c r="Q401">
        <f>tblPlayers[expected_goal_involvements]</f>
        <v>0.11</v>
      </c>
      <c r="R401" s="2">
        <f t="shared" si="150"/>
        <v>4.666666666666667</v>
      </c>
      <c r="S401" s="5">
        <f t="shared" si="151"/>
        <v>0.03</v>
      </c>
      <c r="T401" s="5">
        <f t="shared" si="152"/>
        <v>6.6666666666666662E-3</v>
      </c>
      <c r="U401" s="5">
        <f t="shared" si="153"/>
        <v>3.6666666666666667E-2</v>
      </c>
      <c r="V401" s="3">
        <f t="shared" si="154"/>
        <v>2.8</v>
      </c>
      <c r="W401" s="5">
        <f t="shared" si="155"/>
        <v>2.1999999999999999E-2</v>
      </c>
      <c r="X401" s="5">
        <f>IFERROR(IF(OR($B401="MID",$B401="FWD"),INDEX(FIXTURE_ANALYSIS!$Q:$Q,MATCH($D401,FIXTURE_ANALYSIS!$A:$A,0)),INDEX(FIXTURE_ANALYSIS!$R:$R,MATCH($D401,FIXTURE_ANALYSIS!$A:$A,0))),1)</f>
        <v>1.1380357723577235</v>
      </c>
      <c r="Y401" s="5">
        <f t="shared" si="156"/>
        <v>1.1380357723577235</v>
      </c>
      <c r="Z401" s="8">
        <f>INDEX(FPL_Raw_Data!$T:$T,MATCH(A401,FPL_Raw_Data!$AA:$AA,0))</f>
        <v>3</v>
      </c>
      <c r="AA401" s="8">
        <f>INDEX(FPL_Raw_Data!$S:$S,MATCH(A401,FPL_Raw_Data!$AA:$AA,0))</f>
        <v>39</v>
      </c>
      <c r="AB401" s="2">
        <f t="shared" si="157"/>
        <v>1</v>
      </c>
      <c r="AC401" s="2">
        <f>INDEX(FPL_Raw_Data!$Q:$Q,MATCH(A401,FPL_Raw_Data!$AA:$AA,0))</f>
        <v>0</v>
      </c>
      <c r="AD401" s="8">
        <f>INDEX(FPL_Raw_Data!$R:$R,MATCH(A401,FPL_Raw_Data!$AA:$AA,0))</f>
        <v>52</v>
      </c>
      <c r="AE401" s="8">
        <f>INDEX(FPL_Raw_Data!$N:$N,MATCH(A401,FPL_Raw_Data!$AA:$AA,0))</f>
        <v>1</v>
      </c>
      <c r="AF401" s="8">
        <f>INDEX(FPL_Raw_Data!$L:$L,MATCH(A401,FPL_Raw_Data!$AA:$AA,0))</f>
        <v>0</v>
      </c>
      <c r="AG401" s="2">
        <f>INDEX(FPL_Raw_Data!$M:$M,MATCH(A401,FPL_Raw_Data!$AA:$AA,0))</f>
        <v>0</v>
      </c>
      <c r="AH401" s="2">
        <f t="shared" si="158"/>
        <v>0.18</v>
      </c>
      <c r="AI401" s="2">
        <f t="shared" si="159"/>
        <v>1.9999999999999997E-2</v>
      </c>
      <c r="AJ401" s="2">
        <f t="shared" si="160"/>
        <v>2</v>
      </c>
      <c r="AK401" s="2">
        <f t="shared" si="161"/>
        <v>2</v>
      </c>
      <c r="AL401" s="2">
        <f t="shared" si="162"/>
        <v>0.33333333333333331</v>
      </c>
      <c r="AM401" s="2">
        <f t="shared" si="163"/>
        <v>1.3333333333333333</v>
      </c>
      <c r="AN401" s="2">
        <f t="shared" si="164"/>
        <v>0</v>
      </c>
      <c r="AO401" s="3">
        <f t="shared" si="165"/>
        <v>73.7</v>
      </c>
      <c r="AP401">
        <f t="shared" si="166"/>
        <v>58.699999999999996</v>
      </c>
      <c r="AQ401">
        <f t="shared" si="167"/>
        <v>93.600000000000009</v>
      </c>
      <c r="AR401">
        <f t="shared" si="168"/>
        <v>67.300000000000011</v>
      </c>
      <c r="AS401" s="2">
        <f t="shared" si="169"/>
        <v>100</v>
      </c>
      <c r="AT401" s="2">
        <f>IFERROR(INDEX(Player_Model!$BC$2:$BC$596,MATCH($A401,Player_Model!$A$2:$A$596,0)),0)</f>
        <v>6.600607479674796</v>
      </c>
      <c r="AU401" s="2">
        <f>Table8[[#This Row],[Model Expected Points]]*Table8[[#This Row],[Fixture Adjustment]]</f>
        <v>7.5117274311618729</v>
      </c>
      <c r="AV401" s="2">
        <f>Table8[[#This Row],[Fixture Adjusted Points / 90]]/Table8[[#This Row],[Price]]</f>
        <v>1.5023454862323746</v>
      </c>
      <c r="AW401">
        <f t="shared" si="170"/>
        <v>58.699999999999996</v>
      </c>
      <c r="AX401">
        <f t="shared" si="171"/>
        <v>1.0690178861788617</v>
      </c>
      <c r="AY401" s="2">
        <f t="shared" si="172"/>
        <v>100</v>
      </c>
      <c r="AZ401" s="5">
        <f t="shared" si="173"/>
        <v>1.1380357723577235</v>
      </c>
      <c r="BA401">
        <f>Table8[[#This Row],[Model Score2]]</f>
        <v>6.600607479674796</v>
      </c>
      <c r="BB401">
        <f>IFERROR(INDEX(Player_Model!$BG$2:$BG$596,MATCH($A401,Player_Model!$A$2:$A$596,0)),"")</f>
        <v>13</v>
      </c>
      <c r="BC401" t="str">
        <f t="shared" si="174"/>
        <v>AVOID</v>
      </c>
      <c r="BD401">
        <f>IF(H401=1,Table8[[#This Row],[Model Score]],-10000)</f>
        <v>6.600607479674796</v>
      </c>
      <c r="BE401">
        <f>IFERROR(INDEX(Player_Model!$BF$2:$BF$596,MATCH($A401,Player_Model!$A$2:$A$596,0)),"")</f>
        <v>28</v>
      </c>
      <c r="BF401">
        <f>IFERROR(INDEX(Player_Model!$BG$2:$BG$596,MATCH($A401,Player_Model!$A$2:$A$596,0)),"")</f>
        <v>13</v>
      </c>
      <c r="BG401">
        <f>IFERROR(INDEX(Player_Model!$BE$2:$BE$596,MATCH($A401,Player_Model!$A$2:$A$596,0)),0)</f>
        <v>6.600607479674796</v>
      </c>
    </row>
    <row r="402" spans="1:59" x14ac:dyDescent="0.25">
      <c r="A402" t="str">
        <f>tblPlayers[first_name]&amp;" "&amp;tblPlayers[second_name]</f>
        <v>Anton Stach</v>
      </c>
      <c r="B402" t="str">
        <f>_xlfn.SWITCH(tblPlayers[element_type],1,"GK",2,"DEF",3,"MID",4,"FWD")</f>
        <v>MID</v>
      </c>
      <c r="C402">
        <f>tblPlayers[team]</f>
        <v>13</v>
      </c>
      <c r="D402" t="str">
        <f>INDEX(tblTeams[Column1.short_name],MATCH(C402,tblTeams[Column1.id],0))</f>
        <v>LEE</v>
      </c>
      <c r="E402" s="4">
        <f>INDEX(FPL_Raw_Data!$F:$F,MATCH(A402,FPL_Raw_Data!$AA:$AA,0))/10</f>
        <v>6</v>
      </c>
      <c r="F402" s="4" t="str">
        <f>tblPlayers[[#This Row],[status]]</f>
        <v>a</v>
      </c>
      <c r="G402" s="4" t="b">
        <f>tblPlayers[[#This Row],[can_select]]</f>
        <v>1</v>
      </c>
      <c r="H402">
        <f>IF(AND(Table8[[#This Row],[Availability Status]]="a",Table8[[#This Row],[Can Select]]=TRUE),1,0)</f>
        <v>1</v>
      </c>
      <c r="I402">
        <f>tblPlayers[minutes]</f>
        <v>270</v>
      </c>
      <c r="J402" s="2">
        <f>Table8[[#This Row],[Minutes]]/90</f>
        <v>3</v>
      </c>
      <c r="K402" s="5">
        <f>IFERROR(Z402/(FIXTURE_ANALYSIS!$B$1-1),0)</f>
        <v>1</v>
      </c>
      <c r="L402">
        <f>tblPlayers[total_points]</f>
        <v>19</v>
      </c>
      <c r="M402">
        <f>tblPlayers[points_per_game]</f>
        <v>6.3</v>
      </c>
      <c r="N402">
        <f>tblPlayers[form]</f>
        <v>6.3</v>
      </c>
      <c r="O402">
        <f>tblPlayers[expected_goals]</f>
        <v>0.49</v>
      </c>
      <c r="P402">
        <f>tblPlayers[expected_assists]</f>
        <v>0.16</v>
      </c>
      <c r="Q402">
        <f>tblPlayers[expected_goal_involvements]</f>
        <v>0.65</v>
      </c>
      <c r="R402" s="2">
        <f t="shared" si="150"/>
        <v>6.3333333333333339</v>
      </c>
      <c r="S402" s="5">
        <f t="shared" si="151"/>
        <v>0.16333333333333333</v>
      </c>
      <c r="T402" s="5">
        <f t="shared" si="152"/>
        <v>5.333333333333333E-2</v>
      </c>
      <c r="U402" s="5">
        <f t="shared" si="153"/>
        <v>0.21666666666666667</v>
      </c>
      <c r="V402" s="3">
        <f t="shared" si="154"/>
        <v>3.1666666666666665</v>
      </c>
      <c r="W402" s="5">
        <f t="shared" si="155"/>
        <v>0.10833333333333334</v>
      </c>
      <c r="X402" s="5">
        <f>IFERROR(IF(OR($B402="MID",$B402="FWD"),INDEX(FIXTURE_ANALYSIS!$Q:$Q,MATCH($D402,FIXTURE_ANALYSIS!$A:$A,0)),INDEX(FIXTURE_ANALYSIS!$R:$R,MATCH($D402,FIXTURE_ANALYSIS!$A:$A,0))),1)</f>
        <v>0.9426384083044983</v>
      </c>
      <c r="Y402" s="5">
        <f t="shared" si="156"/>
        <v>0.9426384083044983</v>
      </c>
      <c r="Z402" s="8">
        <f>INDEX(FPL_Raw_Data!$T:$T,MATCH(A402,FPL_Raw_Data!$AA:$AA,0))</f>
        <v>3</v>
      </c>
      <c r="AA402" s="8">
        <f>INDEX(FPL_Raw_Data!$S:$S,MATCH(A402,FPL_Raw_Data!$AA:$AA,0))</f>
        <v>38</v>
      </c>
      <c r="AB402" s="2">
        <f t="shared" si="157"/>
        <v>1</v>
      </c>
      <c r="AC402" s="2">
        <f>INDEX(FPL_Raw_Data!$Q:$Q,MATCH(A402,FPL_Raw_Data!$AA:$AA,0))</f>
        <v>3</v>
      </c>
      <c r="AD402" s="8">
        <f>INDEX(FPL_Raw_Data!$R:$R,MATCH(A402,FPL_Raw_Data!$AA:$AA,0))</f>
        <v>57</v>
      </c>
      <c r="AE402" s="8">
        <f>INDEX(FPL_Raw_Data!$N:$N,MATCH(A402,FPL_Raw_Data!$AA:$AA,0))</f>
        <v>1</v>
      </c>
      <c r="AF402" s="8">
        <f>INDEX(FPL_Raw_Data!$L:$L,MATCH(A402,FPL_Raw_Data!$AA:$AA,0))</f>
        <v>1</v>
      </c>
      <c r="AG402" s="2">
        <f>INDEX(FPL_Raw_Data!$M:$M,MATCH(A402,FPL_Raw_Data!$AA:$AA,0))</f>
        <v>0</v>
      </c>
      <c r="AH402" s="2">
        <f t="shared" si="158"/>
        <v>0.81666666666666665</v>
      </c>
      <c r="AI402" s="2">
        <f t="shared" si="159"/>
        <v>0.15999999999999998</v>
      </c>
      <c r="AJ402" s="2">
        <f t="shared" si="160"/>
        <v>2</v>
      </c>
      <c r="AK402" s="2">
        <f t="shared" si="161"/>
        <v>2</v>
      </c>
      <c r="AL402" s="2">
        <f t="shared" si="162"/>
        <v>0.33333333333333331</v>
      </c>
      <c r="AM402" s="2">
        <f t="shared" si="163"/>
        <v>0.33333333333333331</v>
      </c>
      <c r="AN402" s="2">
        <f t="shared" si="164"/>
        <v>1</v>
      </c>
      <c r="AO402" s="3">
        <f t="shared" si="165"/>
        <v>82.6</v>
      </c>
      <c r="AP402">
        <f t="shared" si="166"/>
        <v>77.7</v>
      </c>
      <c r="AQ402">
        <f t="shared" si="167"/>
        <v>95.6</v>
      </c>
      <c r="AR402">
        <f t="shared" si="168"/>
        <v>85.1</v>
      </c>
      <c r="AS402" s="2">
        <f t="shared" si="169"/>
        <v>100</v>
      </c>
      <c r="AT402" s="2">
        <f>IFERROR(INDEX(Player_Model!$BC$2:$BC$596,MATCH($A402,Player_Model!$A$2:$A$596,0)),0)</f>
        <v>5.1176749948598372</v>
      </c>
      <c r="AU402" s="2">
        <f>Table8[[#This Row],[Model Expected Points]]*Table8[[#This Row],[Fixture Adjustment]]</f>
        <v>4.8241170113744083</v>
      </c>
      <c r="AV402" s="2">
        <f>Table8[[#This Row],[Fixture Adjusted Points / 90]]/Table8[[#This Row],[Price]]</f>
        <v>0.80401950189573468</v>
      </c>
      <c r="AW402">
        <f t="shared" si="170"/>
        <v>80.150000000000006</v>
      </c>
      <c r="AX402">
        <f t="shared" si="171"/>
        <v>1</v>
      </c>
      <c r="AY402" s="2">
        <f t="shared" si="172"/>
        <v>100</v>
      </c>
      <c r="AZ402" s="5">
        <f t="shared" si="173"/>
        <v>0.9426384083044983</v>
      </c>
      <c r="BA402">
        <f>Table8[[#This Row],[Model Score2]]</f>
        <v>5.1176749948598372</v>
      </c>
      <c r="BB402">
        <f>IFERROR(INDEX(Player_Model!$BG$2:$BG$596,MATCH($A402,Player_Model!$A$2:$A$596,0)),"")</f>
        <v>40</v>
      </c>
      <c r="BC402" t="str">
        <f t="shared" si="174"/>
        <v>AVOID</v>
      </c>
      <c r="BD402">
        <f>IF(H402=1,Table8[[#This Row],[Model Score]],-10000)</f>
        <v>5.1176749948598372</v>
      </c>
      <c r="BE402">
        <f>IFERROR(INDEX(Player_Model!$BF$2:$BF$596,MATCH($A402,Player_Model!$A$2:$A$596,0)),"")</f>
        <v>86</v>
      </c>
      <c r="BF402">
        <f>IFERROR(INDEX(Player_Model!$BG$2:$BG$596,MATCH($A402,Player_Model!$A$2:$A$596,0)),"")</f>
        <v>40</v>
      </c>
      <c r="BG402">
        <f>IFERROR(INDEX(Player_Model!$BE$2:$BE$596,MATCH($A402,Player_Model!$A$2:$A$596,0)),0)</f>
        <v>5.1176749948598372</v>
      </c>
    </row>
    <row r="403" spans="1:59" x14ac:dyDescent="0.25">
      <c r="A403" t="str">
        <f>tblPlayers[first_name]&amp;" "&amp;tblPlayers[second_name]</f>
        <v>Noah Okafor</v>
      </c>
      <c r="B403" t="str">
        <f>_xlfn.SWITCH(tblPlayers[element_type],1,"GK",2,"DEF",3,"MID",4,"FWD")</f>
        <v>MID</v>
      </c>
      <c r="C403">
        <f>tblPlayers[team]</f>
        <v>13</v>
      </c>
      <c r="D403" t="str">
        <f>INDEX(tblTeams[Column1.short_name],MATCH(C403,tblTeams[Column1.id],0))</f>
        <v>LEE</v>
      </c>
      <c r="E403" s="4">
        <f>INDEX(FPL_Raw_Data!$F:$F,MATCH(A403,FPL_Raw_Data!$AA:$AA,0))/10</f>
        <v>5.9</v>
      </c>
      <c r="F403" s="4" t="str">
        <f>tblPlayers[[#This Row],[status]]</f>
        <v>a</v>
      </c>
      <c r="G403" s="4" t="b">
        <f>tblPlayers[[#This Row],[can_select]]</f>
        <v>1</v>
      </c>
      <c r="H403">
        <f>IF(AND(Table8[[#This Row],[Availability Status]]="a",Table8[[#This Row],[Can Select]]=TRUE),1,0)</f>
        <v>1</v>
      </c>
      <c r="I403">
        <f>tblPlayers[minutes]</f>
        <v>153</v>
      </c>
      <c r="J403" s="2">
        <f>Table8[[#This Row],[Minutes]]/90</f>
        <v>1.7</v>
      </c>
      <c r="K403" s="5">
        <f>IFERROR(Z403/(FIXTURE_ANALYSIS!$B$1-1),0)</f>
        <v>0.66666666666666663</v>
      </c>
      <c r="L403">
        <f>tblPlayers[total_points]</f>
        <v>6</v>
      </c>
      <c r="M403">
        <f>tblPlayers[points_per_game]</f>
        <v>2</v>
      </c>
      <c r="N403">
        <f>tblPlayers[form]</f>
        <v>2</v>
      </c>
      <c r="O403">
        <f>tblPlayers[expected_goals]</f>
        <v>0.08</v>
      </c>
      <c r="P403">
        <f>tblPlayers[expected_assists]</f>
        <v>0.18</v>
      </c>
      <c r="Q403">
        <f>tblPlayers[expected_goal_involvements]</f>
        <v>0.26</v>
      </c>
      <c r="R403" s="2">
        <f t="shared" si="150"/>
        <v>3.5294117647058822</v>
      </c>
      <c r="S403" s="5">
        <f t="shared" si="151"/>
        <v>4.7058823529411771E-2</v>
      </c>
      <c r="T403" s="5">
        <f t="shared" si="152"/>
        <v>0.10588235294117646</v>
      </c>
      <c r="U403" s="5">
        <f t="shared" si="153"/>
        <v>0.15294117647058825</v>
      </c>
      <c r="V403" s="3">
        <f t="shared" si="154"/>
        <v>1.0169491525423728</v>
      </c>
      <c r="W403" s="5">
        <f t="shared" si="155"/>
        <v>4.4067796610169491E-2</v>
      </c>
      <c r="X403" s="5">
        <f>IFERROR(IF(OR($B403="MID",$B403="FWD"),INDEX(FIXTURE_ANALYSIS!$Q:$Q,MATCH($D403,FIXTURE_ANALYSIS!$A:$A,0)),INDEX(FIXTURE_ANALYSIS!$R:$R,MATCH($D403,FIXTURE_ANALYSIS!$A:$A,0))),1)</f>
        <v>0.9426384083044983</v>
      </c>
      <c r="Y403" s="5">
        <f t="shared" si="156"/>
        <v>0.9426384083044983</v>
      </c>
      <c r="Z403" s="8">
        <f>INDEX(FPL_Raw_Data!$T:$T,MATCH(A403,FPL_Raw_Data!$AA:$AA,0))</f>
        <v>2</v>
      </c>
      <c r="AA403" s="8">
        <f>INDEX(FPL_Raw_Data!$S:$S,MATCH(A403,FPL_Raw_Data!$AA:$AA,0))</f>
        <v>7</v>
      </c>
      <c r="AB403" s="2">
        <f t="shared" si="157"/>
        <v>0.58333333333333337</v>
      </c>
      <c r="AC403" s="2">
        <f>INDEX(FPL_Raw_Data!$Q:$Q,MATCH(A403,FPL_Raw_Data!$AA:$AA,0))</f>
        <v>0</v>
      </c>
      <c r="AD403" s="8">
        <f>INDEX(FPL_Raw_Data!$R:$R,MATCH(A403,FPL_Raw_Data!$AA:$AA,0))</f>
        <v>30</v>
      </c>
      <c r="AE403" s="8">
        <f>INDEX(FPL_Raw_Data!$N:$N,MATCH(A403,FPL_Raw_Data!$AA:$AA,0))</f>
        <v>1</v>
      </c>
      <c r="AF403" s="8">
        <f>INDEX(FPL_Raw_Data!$L:$L,MATCH(A403,FPL_Raw_Data!$AA:$AA,0))</f>
        <v>0</v>
      </c>
      <c r="AG403" s="2">
        <f>INDEX(FPL_Raw_Data!$M:$M,MATCH(A403,FPL_Raw_Data!$AA:$AA,0))</f>
        <v>0</v>
      </c>
      <c r="AH403" s="2">
        <f t="shared" si="158"/>
        <v>0.23529411764705885</v>
      </c>
      <c r="AI403" s="2">
        <f t="shared" si="159"/>
        <v>0.31764705882352939</v>
      </c>
      <c r="AJ403" s="2">
        <f t="shared" si="160"/>
        <v>1.3333333333333333</v>
      </c>
      <c r="AK403" s="2">
        <f t="shared" si="161"/>
        <v>1.1666666666666667</v>
      </c>
      <c r="AL403" s="2">
        <f t="shared" si="162"/>
        <v>0.5</v>
      </c>
      <c r="AM403" s="2">
        <f t="shared" si="163"/>
        <v>0.5</v>
      </c>
      <c r="AN403" s="2">
        <f t="shared" si="164"/>
        <v>0</v>
      </c>
      <c r="AO403" s="3">
        <f t="shared" si="165"/>
        <v>65.600000000000009</v>
      </c>
      <c r="AP403">
        <f t="shared" si="166"/>
        <v>72.5</v>
      </c>
      <c r="AQ403">
        <f t="shared" si="167"/>
        <v>69.8</v>
      </c>
      <c r="AR403">
        <f t="shared" si="168"/>
        <v>74.2</v>
      </c>
      <c r="AS403" s="2">
        <f t="shared" si="169"/>
        <v>66.666666666666657</v>
      </c>
      <c r="AT403" s="2">
        <f>IFERROR(INDEX(Player_Model!$BC$2:$BC$596,MATCH($A403,Player_Model!$A$2:$A$596,0)),0)</f>
        <v>4.07798323127997</v>
      </c>
      <c r="AU403" s="2">
        <f>Table8[[#This Row],[Model Expected Points]]*Table8[[#This Row],[Fixture Adjustment]]</f>
        <v>3.8440636222261855</v>
      </c>
      <c r="AV403" s="2">
        <f>Table8[[#This Row],[Fixture Adjusted Points / 90]]/Table8[[#This Row],[Price]]</f>
        <v>0.65153620715698057</v>
      </c>
      <c r="AW403">
        <f t="shared" si="170"/>
        <v>69.050000000000011</v>
      </c>
      <c r="AX403">
        <f t="shared" si="171"/>
        <v>0.58333333333333337</v>
      </c>
      <c r="AY403" s="2">
        <f t="shared" si="172"/>
        <v>66.666666666666657</v>
      </c>
      <c r="AZ403" s="5">
        <f t="shared" si="173"/>
        <v>0.9426384083044983</v>
      </c>
      <c r="BA403">
        <f>Table8[[#This Row],[Model Score2]]</f>
        <v>4.07798323127997</v>
      </c>
      <c r="BB403">
        <f>IFERROR(INDEX(Player_Model!$BG$2:$BG$596,MATCH($A403,Player_Model!$A$2:$A$596,0)),"")</f>
        <v>74</v>
      </c>
      <c r="BC403" t="str">
        <f t="shared" si="174"/>
        <v>AVOID</v>
      </c>
      <c r="BD403">
        <f>IF(H403=1,Table8[[#This Row],[Model Score]],-10000)</f>
        <v>4.07798323127997</v>
      </c>
      <c r="BE403">
        <f>IFERROR(INDEX(Player_Model!$BF$2:$BF$596,MATCH($A403,Player_Model!$A$2:$A$596,0)),"")</f>
        <v>150</v>
      </c>
      <c r="BF403">
        <f>IFERROR(INDEX(Player_Model!$BG$2:$BG$596,MATCH($A403,Player_Model!$A$2:$A$596,0)),"")</f>
        <v>74</v>
      </c>
      <c r="BG403">
        <f>IFERROR(INDEX(Player_Model!$BE$2:$BE$596,MATCH($A403,Player_Model!$A$2:$A$596,0)),0)</f>
        <v>4.07798323127997</v>
      </c>
    </row>
    <row r="404" spans="1:59" x14ac:dyDescent="0.25">
      <c r="A404" t="str">
        <f>tblPlayers[first_name]&amp;" "&amp;tblPlayers[second_name]</f>
        <v>Brenden Aaronson</v>
      </c>
      <c r="B404" t="str">
        <f>_xlfn.SWITCH(tblPlayers[element_type],1,"GK",2,"DEF",3,"MID",4,"FWD")</f>
        <v>MID</v>
      </c>
      <c r="C404">
        <f>tblPlayers[team]</f>
        <v>13</v>
      </c>
      <c r="D404" t="str">
        <f>INDEX(tblTeams[Column1.short_name],MATCH(C404,tblTeams[Column1.id],0))</f>
        <v>LEE</v>
      </c>
      <c r="E404" s="4">
        <f>INDEX(FPL_Raw_Data!$F:$F,MATCH(A404,FPL_Raw_Data!$AA:$AA,0))/10</f>
        <v>5.4</v>
      </c>
      <c r="F404" s="4" t="str">
        <f>tblPlayers[[#This Row],[status]]</f>
        <v>a</v>
      </c>
      <c r="G404" s="4" t="b">
        <f>tblPlayers[[#This Row],[can_select]]</f>
        <v>1</v>
      </c>
      <c r="H404">
        <f>IF(AND(Table8[[#This Row],[Availability Status]]="a",Table8[[#This Row],[Can Select]]=TRUE),1,0)</f>
        <v>1</v>
      </c>
      <c r="I404">
        <f>tblPlayers[minutes]</f>
        <v>154</v>
      </c>
      <c r="J404" s="2">
        <f>Table8[[#This Row],[Minutes]]/90</f>
        <v>1.711111111111111</v>
      </c>
      <c r="K404" s="5">
        <f>IFERROR(Z404/(FIXTURE_ANALYSIS!$B$1-1),0)</f>
        <v>0.66666666666666663</v>
      </c>
      <c r="L404">
        <f>tblPlayers[total_points]</f>
        <v>5</v>
      </c>
      <c r="M404">
        <f>tblPlayers[points_per_game]</f>
        <v>1.7</v>
      </c>
      <c r="N404">
        <f>tblPlayers[form]</f>
        <v>1.7</v>
      </c>
      <c r="O404">
        <f>tblPlayers[expected_goals]</f>
        <v>0.01</v>
      </c>
      <c r="P404">
        <f>tblPlayers[expected_assists]</f>
        <v>0.02</v>
      </c>
      <c r="Q404">
        <f>tblPlayers[expected_goal_involvements]</f>
        <v>0.03</v>
      </c>
      <c r="R404" s="2">
        <f t="shared" si="150"/>
        <v>2.9220779220779218</v>
      </c>
      <c r="S404" s="5">
        <f t="shared" si="151"/>
        <v>5.8441558441558444E-3</v>
      </c>
      <c r="T404" s="5">
        <f t="shared" si="152"/>
        <v>1.1688311688311689E-2</v>
      </c>
      <c r="U404" s="5">
        <f t="shared" si="153"/>
        <v>1.7532467532467531E-2</v>
      </c>
      <c r="V404" s="3">
        <f t="shared" si="154"/>
        <v>0.92592592592592582</v>
      </c>
      <c r="W404" s="5">
        <f t="shared" si="155"/>
        <v>5.5555555555555549E-3</v>
      </c>
      <c r="X404" s="5">
        <f>IFERROR(IF(OR($B404="MID",$B404="FWD"),INDEX(FIXTURE_ANALYSIS!$Q:$Q,MATCH($D404,FIXTURE_ANALYSIS!$A:$A,0)),INDEX(FIXTURE_ANALYSIS!$R:$R,MATCH($D404,FIXTURE_ANALYSIS!$A:$A,0))),1)</f>
        <v>0.9426384083044983</v>
      </c>
      <c r="Y404" s="5">
        <f t="shared" si="156"/>
        <v>0.9426384083044983</v>
      </c>
      <c r="Z404" s="8">
        <f>INDEX(FPL_Raw_Data!$T:$T,MATCH(A404,FPL_Raw_Data!$AA:$AA,0))</f>
        <v>2</v>
      </c>
      <c r="AA404" s="8">
        <f>INDEX(FPL_Raw_Data!$S:$S,MATCH(A404,FPL_Raw_Data!$AA:$AA,0))</f>
        <v>10</v>
      </c>
      <c r="AB404" s="2">
        <f t="shared" si="157"/>
        <v>0.83333333333333337</v>
      </c>
      <c r="AC404" s="2">
        <f>INDEX(FPL_Raw_Data!$Q:$Q,MATCH(A404,FPL_Raw_Data!$AA:$AA,0))</f>
        <v>0</v>
      </c>
      <c r="AD404" s="8">
        <f>INDEX(FPL_Raw_Data!$R:$R,MATCH(A404,FPL_Raw_Data!$AA:$AA,0))</f>
        <v>27</v>
      </c>
      <c r="AE404" s="8">
        <f>INDEX(FPL_Raw_Data!$N:$N,MATCH(A404,FPL_Raw_Data!$AA:$AA,0))</f>
        <v>1</v>
      </c>
      <c r="AF404" s="8">
        <f>INDEX(FPL_Raw_Data!$L:$L,MATCH(A404,FPL_Raw_Data!$AA:$AA,0))</f>
        <v>0</v>
      </c>
      <c r="AG404" s="2">
        <f>INDEX(FPL_Raw_Data!$M:$M,MATCH(A404,FPL_Raw_Data!$AA:$AA,0))</f>
        <v>0</v>
      </c>
      <c r="AH404" s="2">
        <f t="shared" si="158"/>
        <v>2.9220779220779224E-2</v>
      </c>
      <c r="AI404" s="2">
        <f t="shared" si="159"/>
        <v>3.5064935064935063E-2</v>
      </c>
      <c r="AJ404" s="2">
        <f t="shared" si="160"/>
        <v>1.3333333333333333</v>
      </c>
      <c r="AK404" s="2">
        <f t="shared" si="161"/>
        <v>1.6666666666666667</v>
      </c>
      <c r="AL404" s="2">
        <f t="shared" si="162"/>
        <v>0.5</v>
      </c>
      <c r="AM404" s="2">
        <f t="shared" si="163"/>
        <v>0.5</v>
      </c>
      <c r="AN404" s="2">
        <f t="shared" si="164"/>
        <v>0</v>
      </c>
      <c r="AO404" s="3">
        <f t="shared" si="165"/>
        <v>57.499999999999993</v>
      </c>
      <c r="AP404">
        <f t="shared" si="166"/>
        <v>54.7</v>
      </c>
      <c r="AQ404">
        <f t="shared" si="167"/>
        <v>67.800000000000011</v>
      </c>
      <c r="AR404">
        <f t="shared" si="168"/>
        <v>56.899999999999991</v>
      </c>
      <c r="AS404" s="2">
        <f t="shared" si="169"/>
        <v>66.666666666666657</v>
      </c>
      <c r="AT404" s="2">
        <f>IFERROR(INDEX(Player_Model!$BC$2:$BC$596,MATCH($A404,Player_Model!$A$2:$A$596,0)),0)</f>
        <v>3.869789173949771</v>
      </c>
      <c r="AU404" s="2">
        <f>Table8[[#This Row],[Model Expected Points]]*Table8[[#This Row],[Fixture Adjustment]]</f>
        <v>3.6478119074059916</v>
      </c>
      <c r="AV404" s="2">
        <f>Table8[[#This Row],[Fixture Adjusted Points / 90]]/Table8[[#This Row],[Price]]</f>
        <v>0.67552072359370208</v>
      </c>
      <c r="AW404">
        <f t="shared" si="170"/>
        <v>56.099999999999994</v>
      </c>
      <c r="AX404">
        <f t="shared" si="171"/>
        <v>0.83333333333333337</v>
      </c>
      <c r="AY404" s="2">
        <f t="shared" si="172"/>
        <v>66.666666666666657</v>
      </c>
      <c r="AZ404" s="5">
        <f t="shared" si="173"/>
        <v>0.9426384083044983</v>
      </c>
      <c r="BA404">
        <f>Table8[[#This Row],[Model Score2]]</f>
        <v>3.869789173949771</v>
      </c>
      <c r="BB404">
        <f>IFERROR(INDEX(Player_Model!$BG$2:$BG$596,MATCH($A404,Player_Model!$A$2:$A$596,0)),"")</f>
        <v>81</v>
      </c>
      <c r="BC404" t="str">
        <f t="shared" si="174"/>
        <v>AVOID</v>
      </c>
      <c r="BD404">
        <f>IF(H404=1,Table8[[#This Row],[Model Score]],-10000)</f>
        <v>3.869789173949771</v>
      </c>
      <c r="BE404">
        <f>IFERROR(INDEX(Player_Model!$BF$2:$BF$596,MATCH($A404,Player_Model!$A$2:$A$596,0)),"")</f>
        <v>162</v>
      </c>
      <c r="BF404">
        <f>IFERROR(INDEX(Player_Model!$BG$2:$BG$596,MATCH($A404,Player_Model!$A$2:$A$596,0)),"")</f>
        <v>81</v>
      </c>
      <c r="BG404">
        <f>IFERROR(INDEX(Player_Model!$BE$2:$BE$596,MATCH($A404,Player_Model!$A$2:$A$596,0)),0)</f>
        <v>3.869789173949771</v>
      </c>
    </row>
    <row r="405" spans="1:59" x14ac:dyDescent="0.25">
      <c r="A405" t="str">
        <f>tblPlayers[first_name]&amp;" "&amp;tblPlayers[second_name]</f>
        <v>Ethan Ampadu</v>
      </c>
      <c r="B405" t="str">
        <f>_xlfn.SWITCH(tblPlayers[element_type],1,"GK",2,"DEF",3,"MID",4,"FWD")</f>
        <v>MID</v>
      </c>
      <c r="C405">
        <f>tblPlayers[team]</f>
        <v>13</v>
      </c>
      <c r="D405" t="str">
        <f>INDEX(tblTeams[Column1.short_name],MATCH(C405,tblTeams[Column1.id],0))</f>
        <v>LEE</v>
      </c>
      <c r="E405" s="4">
        <f>INDEX(FPL_Raw_Data!$F:$F,MATCH(A405,FPL_Raw_Data!$AA:$AA,0))/10</f>
        <v>5.5</v>
      </c>
      <c r="F405" s="4" t="str">
        <f>tblPlayers[[#This Row],[status]]</f>
        <v>a</v>
      </c>
      <c r="G405" s="4" t="b">
        <f>tblPlayers[[#This Row],[can_select]]</f>
        <v>1</v>
      </c>
      <c r="H405">
        <f>IF(AND(Table8[[#This Row],[Availability Status]]="a",Table8[[#This Row],[Can Select]]=TRUE),1,0)</f>
        <v>1</v>
      </c>
      <c r="I405">
        <f>tblPlayers[minutes]</f>
        <v>270</v>
      </c>
      <c r="J405" s="2">
        <f>Table8[[#This Row],[Minutes]]/90</f>
        <v>3</v>
      </c>
      <c r="K405" s="5">
        <f>IFERROR(Z405/(FIXTURE_ANALYSIS!$B$1-1),0)</f>
        <v>1</v>
      </c>
      <c r="L405">
        <f>tblPlayers[total_points]</f>
        <v>9</v>
      </c>
      <c r="M405">
        <f>tblPlayers[points_per_game]</f>
        <v>3</v>
      </c>
      <c r="N405">
        <f>tblPlayers[form]</f>
        <v>3</v>
      </c>
      <c r="O405">
        <f>tblPlayers[expected_goals]</f>
        <v>0.01</v>
      </c>
      <c r="P405">
        <f>tblPlayers[expected_assists]</f>
        <v>0.14000000000000001</v>
      </c>
      <c r="Q405">
        <f>tblPlayers[expected_goal_involvements]</f>
        <v>0.15</v>
      </c>
      <c r="R405" s="2">
        <f t="shared" si="150"/>
        <v>3</v>
      </c>
      <c r="S405" s="5">
        <f t="shared" si="151"/>
        <v>3.3333333333333331E-3</v>
      </c>
      <c r="T405" s="5">
        <f t="shared" si="152"/>
        <v>4.6666666666666669E-2</v>
      </c>
      <c r="U405" s="5">
        <f t="shared" si="153"/>
        <v>0.05</v>
      </c>
      <c r="V405" s="3">
        <f t="shared" si="154"/>
        <v>1.6363636363636365</v>
      </c>
      <c r="W405" s="5">
        <f t="shared" si="155"/>
        <v>2.7272727272727271E-2</v>
      </c>
      <c r="X405" s="5">
        <f>IFERROR(IF(OR($B405="MID",$B405="FWD"),INDEX(FIXTURE_ANALYSIS!$Q:$Q,MATCH($D405,FIXTURE_ANALYSIS!$A:$A,0)),INDEX(FIXTURE_ANALYSIS!$R:$R,MATCH($D405,FIXTURE_ANALYSIS!$A:$A,0))),1)</f>
        <v>0.9426384083044983</v>
      </c>
      <c r="Y405" s="5">
        <f t="shared" si="156"/>
        <v>0.9426384083044983</v>
      </c>
      <c r="Z405" s="8">
        <f>INDEX(FPL_Raw_Data!$T:$T,MATCH(A405,FPL_Raw_Data!$AA:$AA,0))</f>
        <v>3</v>
      </c>
      <c r="AA405" s="8">
        <f>INDEX(FPL_Raw_Data!$S:$S,MATCH(A405,FPL_Raw_Data!$AA:$AA,0))</f>
        <v>34</v>
      </c>
      <c r="AB405" s="2">
        <f t="shared" si="157"/>
        <v>1</v>
      </c>
      <c r="AC405" s="2">
        <f>INDEX(FPL_Raw_Data!$Q:$Q,MATCH(A405,FPL_Raw_Data!$AA:$AA,0))</f>
        <v>0</v>
      </c>
      <c r="AD405" s="8">
        <f>INDEX(FPL_Raw_Data!$R:$R,MATCH(A405,FPL_Raw_Data!$AA:$AA,0))</f>
        <v>43</v>
      </c>
      <c r="AE405" s="8">
        <f>INDEX(FPL_Raw_Data!$N:$N,MATCH(A405,FPL_Raw_Data!$AA:$AA,0))</f>
        <v>1</v>
      </c>
      <c r="AF405" s="8">
        <f>INDEX(FPL_Raw_Data!$L:$L,MATCH(A405,FPL_Raw_Data!$AA:$AA,0))</f>
        <v>0</v>
      </c>
      <c r="AG405" s="2">
        <f>INDEX(FPL_Raw_Data!$M:$M,MATCH(A405,FPL_Raw_Data!$AA:$AA,0))</f>
        <v>0</v>
      </c>
      <c r="AH405" s="2">
        <f t="shared" si="158"/>
        <v>1.6666666666666666E-2</v>
      </c>
      <c r="AI405" s="2">
        <f t="shared" si="159"/>
        <v>0.14000000000000001</v>
      </c>
      <c r="AJ405" s="2">
        <f t="shared" si="160"/>
        <v>2</v>
      </c>
      <c r="AK405" s="2">
        <f t="shared" si="161"/>
        <v>2</v>
      </c>
      <c r="AL405" s="2">
        <f t="shared" si="162"/>
        <v>0.33333333333333331</v>
      </c>
      <c r="AM405" s="2">
        <f t="shared" si="163"/>
        <v>0.33333333333333331</v>
      </c>
      <c r="AN405" s="2">
        <f t="shared" si="164"/>
        <v>0</v>
      </c>
      <c r="AO405" s="3">
        <f t="shared" si="165"/>
        <v>58.4</v>
      </c>
      <c r="AP405">
        <f t="shared" si="166"/>
        <v>61.6</v>
      </c>
      <c r="AQ405">
        <f t="shared" si="167"/>
        <v>81.599999999999994</v>
      </c>
      <c r="AR405">
        <f t="shared" si="168"/>
        <v>69.8</v>
      </c>
      <c r="AS405" s="2">
        <f t="shared" si="169"/>
        <v>100</v>
      </c>
      <c r="AT405" s="2">
        <f>IFERROR(INDEX(Player_Model!$BC$2:$BC$596,MATCH($A405,Player_Model!$A$2:$A$596,0)),0)</f>
        <v>4.1497582785041853</v>
      </c>
      <c r="AU405" s="2">
        <f>Table8[[#This Row],[Model Expected Points]]*Table8[[#This Row],[Fixture Adjustment]]</f>
        <v>3.9117215384976003</v>
      </c>
      <c r="AV405" s="2">
        <f>Table8[[#This Row],[Fixture Adjusted Points / 90]]/Table8[[#This Row],[Price]]</f>
        <v>0.71122209790865465</v>
      </c>
      <c r="AW405">
        <f t="shared" si="170"/>
        <v>60</v>
      </c>
      <c r="AX405">
        <f t="shared" si="171"/>
        <v>1</v>
      </c>
      <c r="AY405" s="2">
        <f t="shared" si="172"/>
        <v>100</v>
      </c>
      <c r="AZ405" s="5">
        <f t="shared" si="173"/>
        <v>0.9426384083044983</v>
      </c>
      <c r="BA405">
        <f>Table8[[#This Row],[Model Score2]]</f>
        <v>4.1497582785041853</v>
      </c>
      <c r="BB405">
        <f>IFERROR(INDEX(Player_Model!$BG$2:$BG$596,MATCH($A405,Player_Model!$A$2:$A$596,0)),"")</f>
        <v>73</v>
      </c>
      <c r="BC405" t="str">
        <f t="shared" si="174"/>
        <v>AVOID</v>
      </c>
      <c r="BD405">
        <f>IF(H405=1,Table8[[#This Row],[Model Score]],-10000)</f>
        <v>4.1497582785041853</v>
      </c>
      <c r="BE405">
        <f>IFERROR(INDEX(Player_Model!$BF$2:$BF$596,MATCH($A405,Player_Model!$A$2:$A$596,0)),"")</f>
        <v>148</v>
      </c>
      <c r="BF405">
        <f>IFERROR(INDEX(Player_Model!$BG$2:$BG$596,MATCH($A405,Player_Model!$A$2:$A$596,0)),"")</f>
        <v>73</v>
      </c>
      <c r="BG405">
        <f>IFERROR(INDEX(Player_Model!$BE$2:$BE$596,MATCH($A405,Player_Model!$A$2:$A$596,0)),0)</f>
        <v>4.1497582785041853</v>
      </c>
    </row>
    <row r="406" spans="1:59" x14ac:dyDescent="0.25">
      <c r="A406" t="str">
        <f>tblPlayers[first_name]&amp;" "&amp;tblPlayers[second_name]</f>
        <v>Sean Longstaff</v>
      </c>
      <c r="B406" t="str">
        <f>_xlfn.SWITCH(tblPlayers[element_type],1,"GK",2,"DEF",3,"MID",4,"FWD")</f>
        <v>MID</v>
      </c>
      <c r="C406">
        <f>tblPlayers[team]</f>
        <v>13</v>
      </c>
      <c r="D406" t="str">
        <f>INDEX(tblTeams[Column1.short_name],MATCH(C406,tblTeams[Column1.id],0))</f>
        <v>LEE</v>
      </c>
      <c r="E406" s="4">
        <f>INDEX(FPL_Raw_Data!$F:$F,MATCH(A406,FPL_Raw_Data!$AA:$AA,0))/10</f>
        <v>4.9000000000000004</v>
      </c>
      <c r="F406" s="4" t="str">
        <f>tblPlayers[[#This Row],[status]]</f>
        <v>a</v>
      </c>
      <c r="G406" s="4" t="b">
        <f>tblPlayers[[#This Row],[can_select]]</f>
        <v>1</v>
      </c>
      <c r="H406">
        <f>IF(AND(Table8[[#This Row],[Availability Status]]="a",Table8[[#This Row],[Can Select]]=TRUE),1,0)</f>
        <v>1</v>
      </c>
      <c r="I406">
        <f>tblPlayers[minutes]</f>
        <v>8</v>
      </c>
      <c r="J406" s="2">
        <f>Table8[[#This Row],[Minutes]]/90</f>
        <v>8.8888888888888892E-2</v>
      </c>
      <c r="K406" s="5">
        <f>IFERROR(Z406/(FIXTURE_ANALYSIS!$B$1-1),0)</f>
        <v>0</v>
      </c>
      <c r="L406">
        <f>tblPlayers[total_points]</f>
        <v>1</v>
      </c>
      <c r="M406">
        <f>tblPlayers[points_per_game]</f>
        <v>1</v>
      </c>
      <c r="N406">
        <f>tblPlayers[form]</f>
        <v>0.3</v>
      </c>
      <c r="O406">
        <f>tblPlayers[expected_goals]</f>
        <v>0</v>
      </c>
      <c r="P406">
        <f>tblPlayers[expected_assists]</f>
        <v>0</v>
      </c>
      <c r="Q406">
        <f>tblPlayers[expected_goal_involvements]</f>
        <v>0</v>
      </c>
      <c r="R406" s="2">
        <f t="shared" si="150"/>
        <v>11.25</v>
      </c>
      <c r="S406" s="5">
        <f t="shared" si="151"/>
        <v>0</v>
      </c>
      <c r="T406" s="5">
        <f t="shared" si="152"/>
        <v>0</v>
      </c>
      <c r="U406" s="5">
        <f t="shared" si="153"/>
        <v>0</v>
      </c>
      <c r="V406" s="3">
        <f t="shared" si="154"/>
        <v>0.2040816326530612</v>
      </c>
      <c r="W406" s="5">
        <f t="shared" si="155"/>
        <v>0</v>
      </c>
      <c r="X406" s="5">
        <f>IFERROR(IF(OR($B406="MID",$B406="FWD"),INDEX(FIXTURE_ANALYSIS!$Q:$Q,MATCH($D406,FIXTURE_ANALYSIS!$A:$A,0)),INDEX(FIXTURE_ANALYSIS!$R:$R,MATCH($D406,FIXTURE_ANALYSIS!$A:$A,0))),1)</f>
        <v>0.9426384083044983</v>
      </c>
      <c r="Y406" s="5">
        <f t="shared" si="156"/>
        <v>0.9426384083044983</v>
      </c>
      <c r="Z406" s="8">
        <f>INDEX(FPL_Raw_Data!$T:$T,MATCH(A406,FPL_Raw_Data!$AA:$AA,0))</f>
        <v>0</v>
      </c>
      <c r="AA406" s="8">
        <f>INDEX(FPL_Raw_Data!$S:$S,MATCH(A406,FPL_Raw_Data!$AA:$AA,0))</f>
        <v>0</v>
      </c>
      <c r="AB406" s="2">
        <f t="shared" si="157"/>
        <v>0</v>
      </c>
      <c r="AC406" s="2">
        <f>INDEX(FPL_Raw_Data!$Q:$Q,MATCH(A406,FPL_Raw_Data!$AA:$AA,0))</f>
        <v>0</v>
      </c>
      <c r="AD406" s="8">
        <f>INDEX(FPL_Raw_Data!$R:$R,MATCH(A406,FPL_Raw_Data!$AA:$AA,0))</f>
        <v>3</v>
      </c>
      <c r="AE406" s="8">
        <f>INDEX(FPL_Raw_Data!$N:$N,MATCH(A406,FPL_Raw_Data!$AA:$AA,0))</f>
        <v>0</v>
      </c>
      <c r="AF406" s="8">
        <f>INDEX(FPL_Raw_Data!$L:$L,MATCH(A406,FPL_Raw_Data!$AA:$AA,0))</f>
        <v>0</v>
      </c>
      <c r="AG406" s="2">
        <f>INDEX(FPL_Raw_Data!$M:$M,MATCH(A406,FPL_Raw_Data!$AA:$AA,0))</f>
        <v>0</v>
      </c>
      <c r="AH406" s="2">
        <f t="shared" si="158"/>
        <v>0</v>
      </c>
      <c r="AI406" s="2">
        <f t="shared" si="159"/>
        <v>0</v>
      </c>
      <c r="AJ406" s="2">
        <f t="shared" si="160"/>
        <v>0</v>
      </c>
      <c r="AK406" s="2">
        <f t="shared" si="161"/>
        <v>0</v>
      </c>
      <c r="AL406" s="2">
        <f t="shared" si="162"/>
        <v>0</v>
      </c>
      <c r="AM406" s="2">
        <f t="shared" si="163"/>
        <v>0</v>
      </c>
      <c r="AN406" s="2">
        <f t="shared" si="164"/>
        <v>0</v>
      </c>
      <c r="AO406" s="3">
        <f t="shared" si="165"/>
        <v>93.600000000000009</v>
      </c>
      <c r="AP406">
        <f t="shared" si="166"/>
        <v>0</v>
      </c>
      <c r="AQ406">
        <f t="shared" si="167"/>
        <v>46.2</v>
      </c>
      <c r="AR406">
        <f t="shared" si="168"/>
        <v>0</v>
      </c>
      <c r="AS406" s="2">
        <f t="shared" si="169"/>
        <v>0</v>
      </c>
      <c r="AT406" s="2">
        <f>IFERROR(INDEX(Player_Model!$BC$2:$BC$596,MATCH($A406,Player_Model!$A$2:$A$596,0)),0)</f>
        <v>0</v>
      </c>
      <c r="AU406" s="2">
        <f>Table8[[#This Row],[Model Expected Points]]*Table8[[#This Row],[Fixture Adjustment]]</f>
        <v>0</v>
      </c>
      <c r="AV406" s="2">
        <f>Table8[[#This Row],[Fixture Adjusted Points / 90]]/Table8[[#This Row],[Price]]</f>
        <v>0</v>
      </c>
      <c r="AW406">
        <f t="shared" si="170"/>
        <v>46.800000000000004</v>
      </c>
      <c r="AX406">
        <f t="shared" si="171"/>
        <v>0</v>
      </c>
      <c r="AY406" s="2">
        <f t="shared" si="172"/>
        <v>0</v>
      </c>
      <c r="AZ406" s="5">
        <f t="shared" si="173"/>
        <v>0.9426384083044983</v>
      </c>
      <c r="BA406">
        <f>Table8[[#This Row],[Model Score2]]</f>
        <v>0</v>
      </c>
      <c r="BB406">
        <f>IFERROR(INDEX(Player_Model!$BG$2:$BG$596,MATCH($A406,Player_Model!$A$2:$A$596,0)),"")</f>
        <v>217</v>
      </c>
      <c r="BC406" t="str">
        <f t="shared" si="174"/>
        <v>AVOID</v>
      </c>
      <c r="BD406">
        <f>IF(H406=1,Table8[[#This Row],[Model Score]],-10000)</f>
        <v>0</v>
      </c>
      <c r="BE406">
        <f>IFERROR(INDEX(Player_Model!$BF$2:$BF$596,MATCH($A406,Player_Model!$A$2:$A$596,0)),"")</f>
        <v>253</v>
      </c>
      <c r="BF406">
        <f>IFERROR(INDEX(Player_Model!$BG$2:$BG$596,MATCH($A406,Player_Model!$A$2:$A$596,0)),"")</f>
        <v>217</v>
      </c>
      <c r="BG406">
        <f>IFERROR(INDEX(Player_Model!$BE$2:$BE$596,MATCH($A406,Player_Model!$A$2:$A$596,0)),0)</f>
        <v>0</v>
      </c>
    </row>
    <row r="407" spans="1:59" x14ac:dyDescent="0.25">
      <c r="A407" t="str">
        <f>tblPlayers[first_name]&amp;" "&amp;tblPlayers[second_name]</f>
        <v>Wilfried Gnonto</v>
      </c>
      <c r="B407" t="str">
        <f>_xlfn.SWITCH(tblPlayers[element_type],1,"GK",2,"DEF",3,"MID",4,"FWD")</f>
        <v>MID</v>
      </c>
      <c r="C407">
        <f>tblPlayers[team]</f>
        <v>13</v>
      </c>
      <c r="D407" t="str">
        <f>INDEX(tblTeams[Column1.short_name],MATCH(C407,tblTeams[Column1.id],0))</f>
        <v>LEE</v>
      </c>
      <c r="E407" s="4">
        <f>INDEX(FPL_Raw_Data!$F:$F,MATCH(A407,FPL_Raw_Data!$AA:$AA,0))/10</f>
        <v>5</v>
      </c>
      <c r="F407" s="4" t="str">
        <f>tblPlayers[[#This Row],[status]]</f>
        <v>u</v>
      </c>
      <c r="G407" s="4" t="b">
        <f>tblPlayers[[#This Row],[can_select]]</f>
        <v>0</v>
      </c>
      <c r="H407">
        <f>IF(AND(Table8[[#This Row],[Availability Status]]="a",Table8[[#This Row],[Can Select]]=TRUE),1,0)</f>
        <v>0</v>
      </c>
      <c r="I407">
        <f>tblPlayers[minutes]</f>
        <v>0</v>
      </c>
      <c r="J407" s="2">
        <f>Table8[[#This Row],[Minutes]]/90</f>
        <v>0</v>
      </c>
      <c r="K407" s="5">
        <f>IFERROR(Z407/(FIXTURE_ANALYSIS!$B$1-1),0)</f>
        <v>0</v>
      </c>
      <c r="L407">
        <f>tblPlayers[total_points]</f>
        <v>0</v>
      </c>
      <c r="M407">
        <f>tblPlayers[points_per_game]</f>
        <v>0</v>
      </c>
      <c r="N407">
        <f>tblPlayers[form]</f>
        <v>0</v>
      </c>
      <c r="O407">
        <f>tblPlayers[expected_goals]</f>
        <v>0</v>
      </c>
      <c r="P407">
        <f>tblPlayers[expected_assists]</f>
        <v>0</v>
      </c>
      <c r="Q407">
        <f>tblPlayers[expected_goal_involvements]</f>
        <v>0</v>
      </c>
      <c r="R407" s="2">
        <f t="shared" si="150"/>
        <v>0</v>
      </c>
      <c r="S407" s="5">
        <f t="shared" si="151"/>
        <v>0</v>
      </c>
      <c r="T407" s="5">
        <f t="shared" si="152"/>
        <v>0</v>
      </c>
      <c r="U407" s="5">
        <f t="shared" si="153"/>
        <v>0</v>
      </c>
      <c r="V407" s="3">
        <f t="shared" si="154"/>
        <v>0</v>
      </c>
      <c r="W407" s="5">
        <f t="shared" si="155"/>
        <v>0</v>
      </c>
      <c r="X407" s="5">
        <f>IFERROR(IF(OR($B407="MID",$B407="FWD"),INDEX(FIXTURE_ANALYSIS!$Q:$Q,MATCH($D407,FIXTURE_ANALYSIS!$A:$A,0)),INDEX(FIXTURE_ANALYSIS!$R:$R,MATCH($D407,FIXTURE_ANALYSIS!$A:$A,0))),1)</f>
        <v>0.9426384083044983</v>
      </c>
      <c r="Y407" s="5">
        <f t="shared" si="156"/>
        <v>0.9426384083044983</v>
      </c>
      <c r="Z407" s="8">
        <f>INDEX(FPL_Raw_Data!$T:$T,MATCH(A407,FPL_Raw_Data!$AA:$AA,0))</f>
        <v>0</v>
      </c>
      <c r="AA407" s="8">
        <f>INDEX(FPL_Raw_Data!$S:$S,MATCH(A407,FPL_Raw_Data!$AA:$AA,0))</f>
        <v>0</v>
      </c>
      <c r="AB407" s="2">
        <f t="shared" si="157"/>
        <v>0</v>
      </c>
      <c r="AC407" s="2">
        <f>INDEX(FPL_Raw_Data!$Q:$Q,MATCH(A407,FPL_Raw_Data!$AA:$AA,0))</f>
        <v>0</v>
      </c>
      <c r="AD407" s="8">
        <f>INDEX(FPL_Raw_Data!$R:$R,MATCH(A407,FPL_Raw_Data!$AA:$AA,0))</f>
        <v>0</v>
      </c>
      <c r="AE407" s="8">
        <f>INDEX(FPL_Raw_Data!$N:$N,MATCH(A407,FPL_Raw_Data!$AA:$AA,0))</f>
        <v>0</v>
      </c>
      <c r="AF407" s="8">
        <f>INDEX(FPL_Raw_Data!$L:$L,MATCH(A407,FPL_Raw_Data!$AA:$AA,0))</f>
        <v>0</v>
      </c>
      <c r="AG407" s="2">
        <f>INDEX(FPL_Raw_Data!$M:$M,MATCH(A407,FPL_Raw_Data!$AA:$AA,0))</f>
        <v>0</v>
      </c>
      <c r="AH407" s="2">
        <f t="shared" si="158"/>
        <v>0</v>
      </c>
      <c r="AI407" s="2">
        <f t="shared" si="159"/>
        <v>0</v>
      </c>
      <c r="AJ407" s="2">
        <f t="shared" si="160"/>
        <v>0</v>
      </c>
      <c r="AK407" s="2">
        <f t="shared" si="161"/>
        <v>0</v>
      </c>
      <c r="AL407" s="2">
        <f t="shared" si="162"/>
        <v>0</v>
      </c>
      <c r="AM407" s="2">
        <f t="shared" si="163"/>
        <v>0</v>
      </c>
      <c r="AN407" s="2">
        <f t="shared" si="164"/>
        <v>0</v>
      </c>
      <c r="AO407" s="3">
        <f t="shared" si="165"/>
        <v>0.1</v>
      </c>
      <c r="AP407">
        <f t="shared" si="166"/>
        <v>0</v>
      </c>
      <c r="AQ407">
        <f t="shared" si="167"/>
        <v>0.1</v>
      </c>
      <c r="AR407">
        <f t="shared" si="168"/>
        <v>0</v>
      </c>
      <c r="AS407" s="2">
        <f t="shared" si="169"/>
        <v>0</v>
      </c>
      <c r="AT407" s="2">
        <f>IFERROR(INDEX(Player_Model!$BC$2:$BC$596,MATCH($A407,Player_Model!$A$2:$A$596,0)),0)</f>
        <v>0</v>
      </c>
      <c r="AU407" s="2">
        <f>Table8[[#This Row],[Model Expected Points]]*Table8[[#This Row],[Fixture Adjustment]]</f>
        <v>0</v>
      </c>
      <c r="AV407" s="2">
        <f>Table8[[#This Row],[Fixture Adjusted Points / 90]]/Table8[[#This Row],[Price]]</f>
        <v>0</v>
      </c>
      <c r="AW407">
        <f t="shared" si="170"/>
        <v>0.05</v>
      </c>
      <c r="AX407">
        <f t="shared" si="171"/>
        <v>0</v>
      </c>
      <c r="AY407" s="2">
        <f t="shared" si="172"/>
        <v>0</v>
      </c>
      <c r="AZ407" s="5">
        <f t="shared" si="173"/>
        <v>0.9426384083044983</v>
      </c>
      <c r="BA407">
        <f>Table8[[#This Row],[Model Score2]]</f>
        <v>0</v>
      </c>
      <c r="BB407">
        <f>IFERROR(INDEX(Player_Model!$BG$2:$BG$596,MATCH($A407,Player_Model!$A$2:$A$596,0)),"")</f>
        <v>218</v>
      </c>
      <c r="BC407" t="str">
        <f t="shared" si="174"/>
        <v>AVOID</v>
      </c>
      <c r="BD407">
        <f>IF(H407=1,Table8[[#This Row],[Model Score]],-10000)</f>
        <v>-10000</v>
      </c>
      <c r="BE407">
        <f>IFERROR(INDEX(Player_Model!$BF$2:$BF$596,MATCH($A407,Player_Model!$A$2:$A$596,0)),"")</f>
        <v>253</v>
      </c>
      <c r="BF407">
        <f>IFERROR(INDEX(Player_Model!$BG$2:$BG$596,MATCH($A407,Player_Model!$A$2:$A$596,0)),"")</f>
        <v>218</v>
      </c>
      <c r="BG407">
        <f>IFERROR(INDEX(Player_Model!$BE$2:$BE$596,MATCH($A407,Player_Model!$A$2:$A$596,0)),0)</f>
        <v>0</v>
      </c>
    </row>
    <row r="408" spans="1:59" x14ac:dyDescent="0.25">
      <c r="A408" t="str">
        <f>tblPlayers[first_name]&amp;" "&amp;tblPlayers[second_name]</f>
        <v>Jack Harrison</v>
      </c>
      <c r="B408" t="str">
        <f>_xlfn.SWITCH(tblPlayers[element_type],1,"GK",2,"DEF",3,"MID",4,"FWD")</f>
        <v>MID</v>
      </c>
      <c r="C408">
        <f>tblPlayers[team]</f>
        <v>13</v>
      </c>
      <c r="D408" t="str">
        <f>INDEX(tblTeams[Column1.short_name],MATCH(C408,tblTeams[Column1.id],0))</f>
        <v>LEE</v>
      </c>
      <c r="E408" s="4">
        <f>INDEX(FPL_Raw_Data!$F:$F,MATCH(A408,FPL_Raw_Data!$AA:$AA,0))/10</f>
        <v>5</v>
      </c>
      <c r="F408" s="4" t="str">
        <f>tblPlayers[[#This Row],[status]]</f>
        <v>u</v>
      </c>
      <c r="G408" s="4" t="b">
        <f>tblPlayers[[#This Row],[can_select]]</f>
        <v>0</v>
      </c>
      <c r="H408">
        <f>IF(AND(Table8[[#This Row],[Availability Status]]="a",Table8[[#This Row],[Can Select]]=TRUE),1,0)</f>
        <v>0</v>
      </c>
      <c r="I408">
        <f>tblPlayers[minutes]</f>
        <v>0</v>
      </c>
      <c r="J408" s="2">
        <f>Table8[[#This Row],[Minutes]]/90</f>
        <v>0</v>
      </c>
      <c r="K408" s="5">
        <f>IFERROR(Z408/(FIXTURE_ANALYSIS!$B$1-1),0)</f>
        <v>0</v>
      </c>
      <c r="L408">
        <f>tblPlayers[total_points]</f>
        <v>0</v>
      </c>
      <c r="M408">
        <f>tblPlayers[points_per_game]</f>
        <v>0</v>
      </c>
      <c r="N408">
        <f>tblPlayers[form]</f>
        <v>0</v>
      </c>
      <c r="O408">
        <f>tblPlayers[expected_goals]</f>
        <v>0</v>
      </c>
      <c r="P408">
        <f>tblPlayers[expected_assists]</f>
        <v>0</v>
      </c>
      <c r="Q408">
        <f>tblPlayers[expected_goal_involvements]</f>
        <v>0</v>
      </c>
      <c r="R408" s="2">
        <f t="shared" si="150"/>
        <v>0</v>
      </c>
      <c r="S408" s="5">
        <f t="shared" si="151"/>
        <v>0</v>
      </c>
      <c r="T408" s="5">
        <f t="shared" si="152"/>
        <v>0</v>
      </c>
      <c r="U408" s="5">
        <f t="shared" si="153"/>
        <v>0</v>
      </c>
      <c r="V408" s="3">
        <f t="shared" si="154"/>
        <v>0</v>
      </c>
      <c r="W408" s="5">
        <f t="shared" si="155"/>
        <v>0</v>
      </c>
      <c r="X408" s="5">
        <f>IFERROR(IF(OR($B408="MID",$B408="FWD"),INDEX(FIXTURE_ANALYSIS!$Q:$Q,MATCH($D408,FIXTURE_ANALYSIS!$A:$A,0)),INDEX(FIXTURE_ANALYSIS!$R:$R,MATCH($D408,FIXTURE_ANALYSIS!$A:$A,0))),1)</f>
        <v>0.9426384083044983</v>
      </c>
      <c r="Y408" s="5">
        <f t="shared" si="156"/>
        <v>0.9426384083044983</v>
      </c>
      <c r="Z408" s="8">
        <f>INDEX(FPL_Raw_Data!$T:$T,MATCH(A408,FPL_Raw_Data!$AA:$AA,0))</f>
        <v>0</v>
      </c>
      <c r="AA408" s="8">
        <f>INDEX(FPL_Raw_Data!$S:$S,MATCH(A408,FPL_Raw_Data!$AA:$AA,0))</f>
        <v>0</v>
      </c>
      <c r="AB408" s="2">
        <f t="shared" si="157"/>
        <v>0</v>
      </c>
      <c r="AC408" s="2">
        <f>INDEX(FPL_Raw_Data!$Q:$Q,MATCH(A408,FPL_Raw_Data!$AA:$AA,0))</f>
        <v>0</v>
      </c>
      <c r="AD408" s="8">
        <f>INDEX(FPL_Raw_Data!$R:$R,MATCH(A408,FPL_Raw_Data!$AA:$AA,0))</f>
        <v>0</v>
      </c>
      <c r="AE408" s="8">
        <f>INDEX(FPL_Raw_Data!$N:$N,MATCH(A408,FPL_Raw_Data!$AA:$AA,0))</f>
        <v>0</v>
      </c>
      <c r="AF408" s="8">
        <f>INDEX(FPL_Raw_Data!$L:$L,MATCH(A408,FPL_Raw_Data!$AA:$AA,0))</f>
        <v>0</v>
      </c>
      <c r="AG408" s="2">
        <f>INDEX(FPL_Raw_Data!$M:$M,MATCH(A408,FPL_Raw_Data!$AA:$AA,0))</f>
        <v>0</v>
      </c>
      <c r="AH408" s="2">
        <f t="shared" si="158"/>
        <v>0</v>
      </c>
      <c r="AI408" s="2">
        <f t="shared" si="159"/>
        <v>0</v>
      </c>
      <c r="AJ408" s="2">
        <f t="shared" si="160"/>
        <v>0</v>
      </c>
      <c r="AK408" s="2">
        <f t="shared" si="161"/>
        <v>0</v>
      </c>
      <c r="AL408" s="2">
        <f t="shared" si="162"/>
        <v>0</v>
      </c>
      <c r="AM408" s="2">
        <f t="shared" si="163"/>
        <v>0</v>
      </c>
      <c r="AN408" s="2">
        <f t="shared" si="164"/>
        <v>0</v>
      </c>
      <c r="AO408" s="3">
        <f t="shared" si="165"/>
        <v>0.1</v>
      </c>
      <c r="AP408">
        <f t="shared" si="166"/>
        <v>0</v>
      </c>
      <c r="AQ408">
        <f t="shared" si="167"/>
        <v>0.1</v>
      </c>
      <c r="AR408">
        <f t="shared" si="168"/>
        <v>0</v>
      </c>
      <c r="AS408" s="2">
        <f t="shared" si="169"/>
        <v>0</v>
      </c>
      <c r="AT408" s="2">
        <f>IFERROR(INDEX(Player_Model!$BC$2:$BC$596,MATCH($A408,Player_Model!$A$2:$A$596,0)),0)</f>
        <v>0</v>
      </c>
      <c r="AU408" s="2">
        <f>Table8[[#This Row],[Model Expected Points]]*Table8[[#This Row],[Fixture Adjustment]]</f>
        <v>0</v>
      </c>
      <c r="AV408" s="2">
        <f>Table8[[#This Row],[Fixture Adjusted Points / 90]]/Table8[[#This Row],[Price]]</f>
        <v>0</v>
      </c>
      <c r="AW408">
        <f t="shared" si="170"/>
        <v>0.05</v>
      </c>
      <c r="AX408">
        <f t="shared" si="171"/>
        <v>0</v>
      </c>
      <c r="AY408" s="2">
        <f t="shared" si="172"/>
        <v>0</v>
      </c>
      <c r="AZ408" s="5">
        <f t="shared" si="173"/>
        <v>0.9426384083044983</v>
      </c>
      <c r="BA408">
        <f>Table8[[#This Row],[Model Score2]]</f>
        <v>0</v>
      </c>
      <c r="BB408">
        <f>IFERROR(INDEX(Player_Model!$BG$2:$BG$596,MATCH($A408,Player_Model!$A$2:$A$596,0)),"")</f>
        <v>219</v>
      </c>
      <c r="BC408" t="str">
        <f t="shared" si="174"/>
        <v>AVOID</v>
      </c>
      <c r="BD408">
        <f>IF(H408=1,Table8[[#This Row],[Model Score]],-10000)</f>
        <v>-10000</v>
      </c>
      <c r="BE408">
        <f>IFERROR(INDEX(Player_Model!$BF$2:$BF$596,MATCH($A408,Player_Model!$A$2:$A$596,0)),"")</f>
        <v>253</v>
      </c>
      <c r="BF408">
        <f>IFERROR(INDEX(Player_Model!$BG$2:$BG$596,MATCH($A408,Player_Model!$A$2:$A$596,0)),"")</f>
        <v>219</v>
      </c>
      <c r="BG408">
        <f>IFERROR(INDEX(Player_Model!$BE$2:$BE$596,MATCH($A408,Player_Model!$A$2:$A$596,0)),0)</f>
        <v>0</v>
      </c>
    </row>
    <row r="409" spans="1:59" x14ac:dyDescent="0.25">
      <c r="A409" t="str">
        <f>tblPlayers[first_name]&amp;" "&amp;tblPlayers[second_name]</f>
        <v>Daniel James</v>
      </c>
      <c r="B409" t="str">
        <f>_xlfn.SWITCH(tblPlayers[element_type],1,"GK",2,"DEF",3,"MID",4,"FWD")</f>
        <v>MID</v>
      </c>
      <c r="C409">
        <f>tblPlayers[team]</f>
        <v>13</v>
      </c>
      <c r="D409" t="str">
        <f>INDEX(tblTeams[Column1.short_name],MATCH(C409,tblTeams[Column1.id],0))</f>
        <v>LEE</v>
      </c>
      <c r="E409" s="4">
        <f>INDEX(FPL_Raw_Data!$F:$F,MATCH(A409,FPL_Raw_Data!$AA:$AA,0))/10</f>
        <v>5</v>
      </c>
      <c r="F409" s="4" t="str">
        <f>tblPlayers[[#This Row],[status]]</f>
        <v>a</v>
      </c>
      <c r="G409" s="4" t="b">
        <f>tblPlayers[[#This Row],[can_select]]</f>
        <v>1</v>
      </c>
      <c r="H409">
        <f>IF(AND(Table8[[#This Row],[Availability Status]]="a",Table8[[#This Row],[Can Select]]=TRUE),1,0)</f>
        <v>1</v>
      </c>
      <c r="I409">
        <f>tblPlayers[minutes]</f>
        <v>22</v>
      </c>
      <c r="J409" s="2">
        <f>Table8[[#This Row],[Minutes]]/90</f>
        <v>0.24444444444444444</v>
      </c>
      <c r="K409" s="5">
        <f>IFERROR(Z409/(FIXTURE_ANALYSIS!$B$1-1),0)</f>
        <v>0</v>
      </c>
      <c r="L409">
        <f>tblPlayers[total_points]</f>
        <v>1</v>
      </c>
      <c r="M409">
        <f>tblPlayers[points_per_game]</f>
        <v>1</v>
      </c>
      <c r="N409">
        <f>tblPlayers[form]</f>
        <v>0.3</v>
      </c>
      <c r="O409">
        <f>tblPlayers[expected_goals]</f>
        <v>0.24</v>
      </c>
      <c r="P409">
        <f>tblPlayers[expected_assists]</f>
        <v>0.01</v>
      </c>
      <c r="Q409">
        <f>tblPlayers[expected_goal_involvements]</f>
        <v>0.25</v>
      </c>
      <c r="R409" s="2">
        <f t="shared" si="150"/>
        <v>4.0909090909090908</v>
      </c>
      <c r="S409" s="5">
        <f t="shared" si="151"/>
        <v>0.9818181818181817</v>
      </c>
      <c r="T409" s="5">
        <f t="shared" si="152"/>
        <v>4.0909090909090909E-2</v>
      </c>
      <c r="U409" s="5">
        <f t="shared" si="153"/>
        <v>1.0227272727272727</v>
      </c>
      <c r="V409" s="3">
        <f t="shared" si="154"/>
        <v>0.2</v>
      </c>
      <c r="W409" s="5">
        <f t="shared" si="155"/>
        <v>0.05</v>
      </c>
      <c r="X409" s="5">
        <f>IFERROR(IF(OR($B409="MID",$B409="FWD"),INDEX(FIXTURE_ANALYSIS!$Q:$Q,MATCH($D409,FIXTURE_ANALYSIS!$A:$A,0)),INDEX(FIXTURE_ANALYSIS!$R:$R,MATCH($D409,FIXTURE_ANALYSIS!$A:$A,0))),1)</f>
        <v>0.9426384083044983</v>
      </c>
      <c r="Y409" s="5">
        <f t="shared" si="156"/>
        <v>0.9426384083044983</v>
      </c>
      <c r="Z409" s="8">
        <f>INDEX(FPL_Raw_Data!$T:$T,MATCH(A409,FPL_Raw_Data!$AA:$AA,0))</f>
        <v>0</v>
      </c>
      <c r="AA409" s="8">
        <f>INDEX(FPL_Raw_Data!$S:$S,MATCH(A409,FPL_Raw_Data!$AA:$AA,0))</f>
        <v>2</v>
      </c>
      <c r="AB409" s="2">
        <f t="shared" si="157"/>
        <v>0.16666666666666666</v>
      </c>
      <c r="AC409" s="2">
        <f>INDEX(FPL_Raw_Data!$Q:$Q,MATCH(A409,FPL_Raw_Data!$AA:$AA,0))</f>
        <v>0</v>
      </c>
      <c r="AD409" s="8">
        <f>INDEX(FPL_Raw_Data!$R:$R,MATCH(A409,FPL_Raw_Data!$AA:$AA,0))</f>
        <v>2</v>
      </c>
      <c r="AE409" s="8">
        <f>INDEX(FPL_Raw_Data!$N:$N,MATCH(A409,FPL_Raw_Data!$AA:$AA,0))</f>
        <v>0</v>
      </c>
      <c r="AF409" s="8">
        <f>INDEX(FPL_Raw_Data!$L:$L,MATCH(A409,FPL_Raw_Data!$AA:$AA,0))</f>
        <v>0</v>
      </c>
      <c r="AG409" s="2">
        <f>INDEX(FPL_Raw_Data!$M:$M,MATCH(A409,FPL_Raw_Data!$AA:$AA,0))</f>
        <v>0</v>
      </c>
      <c r="AH409" s="2">
        <f t="shared" si="158"/>
        <v>4.9090909090909083</v>
      </c>
      <c r="AI409" s="2">
        <f t="shared" si="159"/>
        <v>0.12272727272727273</v>
      </c>
      <c r="AJ409" s="2">
        <f t="shared" si="160"/>
        <v>0</v>
      </c>
      <c r="AK409" s="2">
        <f t="shared" si="161"/>
        <v>0.33333333333333331</v>
      </c>
      <c r="AL409" s="2">
        <f t="shared" si="162"/>
        <v>0</v>
      </c>
      <c r="AM409" s="2">
        <f t="shared" si="163"/>
        <v>0</v>
      </c>
      <c r="AN409" s="2">
        <f t="shared" si="164"/>
        <v>0</v>
      </c>
      <c r="AO409" s="3">
        <f t="shared" si="165"/>
        <v>70.199999999999989</v>
      </c>
      <c r="AP409">
        <f t="shared" si="166"/>
        <v>98.3</v>
      </c>
      <c r="AQ409">
        <f t="shared" si="167"/>
        <v>44.4</v>
      </c>
      <c r="AR409">
        <f t="shared" si="168"/>
        <v>75.900000000000006</v>
      </c>
      <c r="AS409" s="2">
        <f t="shared" si="169"/>
        <v>0</v>
      </c>
      <c r="AT409" s="2">
        <f>IFERROR(INDEX(Player_Model!$BC$2:$BC$596,MATCH($A409,Player_Model!$A$2:$A$596,0)),0)</f>
        <v>0</v>
      </c>
      <c r="AU409" s="2">
        <f>Table8[[#This Row],[Model Expected Points]]*Table8[[#This Row],[Fixture Adjustment]]</f>
        <v>0</v>
      </c>
      <c r="AV409" s="2">
        <f>Table8[[#This Row],[Fixture Adjusted Points / 90]]/Table8[[#This Row],[Price]]</f>
        <v>0</v>
      </c>
      <c r="AW409">
        <f t="shared" si="170"/>
        <v>84.25</v>
      </c>
      <c r="AX409">
        <f t="shared" si="171"/>
        <v>0.16666666666666666</v>
      </c>
      <c r="AY409" s="2">
        <f t="shared" si="172"/>
        <v>0</v>
      </c>
      <c r="AZ409" s="5">
        <f t="shared" si="173"/>
        <v>0.9426384083044983</v>
      </c>
      <c r="BA409">
        <f>Table8[[#This Row],[Model Score2]]</f>
        <v>0</v>
      </c>
      <c r="BB409">
        <f>IFERROR(INDEX(Player_Model!$BG$2:$BG$596,MATCH($A409,Player_Model!$A$2:$A$596,0)),"")</f>
        <v>220</v>
      </c>
      <c r="BC409" t="str">
        <f t="shared" si="174"/>
        <v>AVOID</v>
      </c>
      <c r="BD409">
        <f>IF(H409=1,Table8[[#This Row],[Model Score]],-10000)</f>
        <v>0</v>
      </c>
      <c r="BE409">
        <f>IFERROR(INDEX(Player_Model!$BF$2:$BF$596,MATCH($A409,Player_Model!$A$2:$A$596,0)),"")</f>
        <v>253</v>
      </c>
      <c r="BF409">
        <f>IFERROR(INDEX(Player_Model!$BG$2:$BG$596,MATCH($A409,Player_Model!$A$2:$A$596,0)),"")</f>
        <v>220</v>
      </c>
      <c r="BG409">
        <f>IFERROR(INDEX(Player_Model!$BE$2:$BE$596,MATCH($A409,Player_Model!$A$2:$A$596,0)),0)</f>
        <v>0</v>
      </c>
    </row>
    <row r="410" spans="1:59" x14ac:dyDescent="0.25">
      <c r="A410" t="str">
        <f>tblPlayers[first_name]&amp;" "&amp;tblPlayers[second_name]</f>
        <v>Ilia Gruev</v>
      </c>
      <c r="B410" t="str">
        <f>_xlfn.SWITCH(tblPlayers[element_type],1,"GK",2,"DEF",3,"MID",4,"FWD")</f>
        <v>MID</v>
      </c>
      <c r="C410">
        <f>tblPlayers[team]</f>
        <v>13</v>
      </c>
      <c r="D410" t="str">
        <f>INDEX(tblTeams[Column1.short_name],MATCH(C410,tblTeams[Column1.id],0))</f>
        <v>LEE</v>
      </c>
      <c r="E410" s="4">
        <f>INDEX(FPL_Raw_Data!$F:$F,MATCH(A410,FPL_Raw_Data!$AA:$AA,0))/10</f>
        <v>5</v>
      </c>
      <c r="F410" s="4" t="str">
        <f>tblPlayers[[#This Row],[status]]</f>
        <v>d</v>
      </c>
      <c r="G410" s="4" t="b">
        <f>tblPlayers[[#This Row],[can_select]]</f>
        <v>1</v>
      </c>
      <c r="H410">
        <f>IF(AND(Table8[[#This Row],[Availability Status]]="a",Table8[[#This Row],[Can Select]]=TRUE),1,0)</f>
        <v>0</v>
      </c>
      <c r="I410">
        <f>tblPlayers[minutes]</f>
        <v>0</v>
      </c>
      <c r="J410" s="2">
        <f>Table8[[#This Row],[Minutes]]/90</f>
        <v>0</v>
      </c>
      <c r="K410" s="5">
        <f>IFERROR(Z410/(FIXTURE_ANALYSIS!$B$1-1),0)</f>
        <v>0</v>
      </c>
      <c r="L410">
        <f>tblPlayers[total_points]</f>
        <v>0</v>
      </c>
      <c r="M410">
        <f>tblPlayers[points_per_game]</f>
        <v>0</v>
      </c>
      <c r="N410">
        <f>tblPlayers[form]</f>
        <v>0</v>
      </c>
      <c r="O410">
        <f>tblPlayers[expected_goals]</f>
        <v>0</v>
      </c>
      <c r="P410">
        <f>tblPlayers[expected_assists]</f>
        <v>0</v>
      </c>
      <c r="Q410">
        <f>tblPlayers[expected_goal_involvements]</f>
        <v>0</v>
      </c>
      <c r="R410" s="2">
        <f t="shared" si="150"/>
        <v>0</v>
      </c>
      <c r="S410" s="5">
        <f t="shared" si="151"/>
        <v>0</v>
      </c>
      <c r="T410" s="5">
        <f t="shared" si="152"/>
        <v>0</v>
      </c>
      <c r="U410" s="5">
        <f t="shared" si="153"/>
        <v>0</v>
      </c>
      <c r="V410" s="3">
        <f t="shared" si="154"/>
        <v>0</v>
      </c>
      <c r="W410" s="5">
        <f t="shared" si="155"/>
        <v>0</v>
      </c>
      <c r="X410" s="5">
        <f>IFERROR(IF(OR($B410="MID",$B410="FWD"),INDEX(FIXTURE_ANALYSIS!$Q:$Q,MATCH($D410,FIXTURE_ANALYSIS!$A:$A,0)),INDEX(FIXTURE_ANALYSIS!$R:$R,MATCH($D410,FIXTURE_ANALYSIS!$A:$A,0))),1)</f>
        <v>0.9426384083044983</v>
      </c>
      <c r="Y410" s="5">
        <f t="shared" si="156"/>
        <v>0.9426384083044983</v>
      </c>
      <c r="Z410" s="8">
        <f>INDEX(FPL_Raw_Data!$T:$T,MATCH(A410,FPL_Raw_Data!$AA:$AA,0))</f>
        <v>0</v>
      </c>
      <c r="AA410" s="8">
        <f>INDEX(FPL_Raw_Data!$S:$S,MATCH(A410,FPL_Raw_Data!$AA:$AA,0))</f>
        <v>0</v>
      </c>
      <c r="AB410" s="2">
        <f t="shared" si="157"/>
        <v>0</v>
      </c>
      <c r="AC410" s="2">
        <f>INDEX(FPL_Raw_Data!$Q:$Q,MATCH(A410,FPL_Raw_Data!$AA:$AA,0))</f>
        <v>0</v>
      </c>
      <c r="AD410" s="8">
        <f>INDEX(FPL_Raw_Data!$R:$R,MATCH(A410,FPL_Raw_Data!$AA:$AA,0))</f>
        <v>0</v>
      </c>
      <c r="AE410" s="8">
        <f>INDEX(FPL_Raw_Data!$N:$N,MATCH(A410,FPL_Raw_Data!$AA:$AA,0))</f>
        <v>0</v>
      </c>
      <c r="AF410" s="8">
        <f>INDEX(FPL_Raw_Data!$L:$L,MATCH(A410,FPL_Raw_Data!$AA:$AA,0))</f>
        <v>0</v>
      </c>
      <c r="AG410" s="2">
        <f>INDEX(FPL_Raw_Data!$M:$M,MATCH(A410,FPL_Raw_Data!$AA:$AA,0))</f>
        <v>0</v>
      </c>
      <c r="AH410" s="2">
        <f t="shared" si="158"/>
        <v>0</v>
      </c>
      <c r="AI410" s="2">
        <f t="shared" si="159"/>
        <v>0</v>
      </c>
      <c r="AJ410" s="2">
        <f t="shared" si="160"/>
        <v>0</v>
      </c>
      <c r="AK410" s="2">
        <f t="shared" si="161"/>
        <v>0</v>
      </c>
      <c r="AL410" s="2">
        <f t="shared" si="162"/>
        <v>0</v>
      </c>
      <c r="AM410" s="2">
        <f t="shared" si="163"/>
        <v>0</v>
      </c>
      <c r="AN410" s="2">
        <f t="shared" si="164"/>
        <v>0</v>
      </c>
      <c r="AO410" s="3">
        <f t="shared" si="165"/>
        <v>0.1</v>
      </c>
      <c r="AP410">
        <f t="shared" si="166"/>
        <v>0</v>
      </c>
      <c r="AQ410">
        <f t="shared" si="167"/>
        <v>0.1</v>
      </c>
      <c r="AR410">
        <f t="shared" si="168"/>
        <v>0</v>
      </c>
      <c r="AS410" s="2">
        <f t="shared" si="169"/>
        <v>0</v>
      </c>
      <c r="AT410" s="2">
        <f>IFERROR(INDEX(Player_Model!$BC$2:$BC$596,MATCH($A410,Player_Model!$A$2:$A$596,0)),0)</f>
        <v>0</v>
      </c>
      <c r="AU410" s="2">
        <f>Table8[[#This Row],[Model Expected Points]]*Table8[[#This Row],[Fixture Adjustment]]</f>
        <v>0</v>
      </c>
      <c r="AV410" s="2">
        <f>Table8[[#This Row],[Fixture Adjusted Points / 90]]/Table8[[#This Row],[Price]]</f>
        <v>0</v>
      </c>
      <c r="AW410">
        <f t="shared" si="170"/>
        <v>0.05</v>
      </c>
      <c r="AX410">
        <f t="shared" si="171"/>
        <v>0</v>
      </c>
      <c r="AY410" s="2">
        <f t="shared" si="172"/>
        <v>0</v>
      </c>
      <c r="AZ410" s="5">
        <f t="shared" si="173"/>
        <v>0.9426384083044983</v>
      </c>
      <c r="BA410">
        <f>Table8[[#This Row],[Model Score2]]</f>
        <v>0</v>
      </c>
      <c r="BB410">
        <f>IFERROR(INDEX(Player_Model!$BG$2:$BG$596,MATCH($A410,Player_Model!$A$2:$A$596,0)),"")</f>
        <v>221</v>
      </c>
      <c r="BC410" t="str">
        <f t="shared" si="174"/>
        <v>AVOID</v>
      </c>
      <c r="BD410">
        <f>IF(H410=1,Table8[[#This Row],[Model Score]],-10000)</f>
        <v>-10000</v>
      </c>
      <c r="BE410">
        <f>IFERROR(INDEX(Player_Model!$BF$2:$BF$596,MATCH($A410,Player_Model!$A$2:$A$596,0)),"")</f>
        <v>253</v>
      </c>
      <c r="BF410">
        <f>IFERROR(INDEX(Player_Model!$BG$2:$BG$596,MATCH($A410,Player_Model!$A$2:$A$596,0)),"")</f>
        <v>221</v>
      </c>
      <c r="BG410">
        <f>IFERROR(INDEX(Player_Model!$BE$2:$BE$596,MATCH($A410,Player_Model!$A$2:$A$596,0)),0)</f>
        <v>0</v>
      </c>
    </row>
    <row r="411" spans="1:59" x14ac:dyDescent="0.25">
      <c r="A411" t="str">
        <f>tblPlayers[first_name]&amp;" "&amp;tblPlayers[second_name]</f>
        <v>Tanaka Ao</v>
      </c>
      <c r="B411" t="str">
        <f>_xlfn.SWITCH(tblPlayers[element_type],1,"GK",2,"DEF",3,"MID",4,"FWD")</f>
        <v>MID</v>
      </c>
      <c r="C411">
        <f>tblPlayers[team]</f>
        <v>13</v>
      </c>
      <c r="D411" t="str">
        <f>INDEX(tblTeams[Column1.short_name],MATCH(C411,tblTeams[Column1.id],0))</f>
        <v>LEE</v>
      </c>
      <c r="E411" s="4">
        <f>INDEX(FPL_Raw_Data!$F:$F,MATCH(A411,FPL_Raw_Data!$AA:$AA,0))/10</f>
        <v>4.9000000000000004</v>
      </c>
      <c r="F411" s="4" t="str">
        <f>tblPlayers[[#This Row],[status]]</f>
        <v>a</v>
      </c>
      <c r="G411" s="4" t="b">
        <f>tblPlayers[[#This Row],[can_select]]</f>
        <v>1</v>
      </c>
      <c r="H411">
        <f>IF(AND(Table8[[#This Row],[Availability Status]]="a",Table8[[#This Row],[Can Select]]=TRUE),1,0)</f>
        <v>1</v>
      </c>
      <c r="I411">
        <f>tblPlayers[minutes]</f>
        <v>117</v>
      </c>
      <c r="J411" s="2">
        <f>Table8[[#This Row],[Minutes]]/90</f>
        <v>1.3</v>
      </c>
      <c r="K411" s="5">
        <f>IFERROR(Z411/(FIXTURE_ANALYSIS!$B$1-1),0)</f>
        <v>0.33333333333333331</v>
      </c>
      <c r="L411">
        <f>tblPlayers[total_points]</f>
        <v>6</v>
      </c>
      <c r="M411">
        <f>tblPlayers[points_per_game]</f>
        <v>3</v>
      </c>
      <c r="N411">
        <f>tblPlayers[form]</f>
        <v>2</v>
      </c>
      <c r="O411">
        <f>tblPlayers[expected_goals]</f>
        <v>0.53</v>
      </c>
      <c r="P411">
        <f>tblPlayers[expected_assists]</f>
        <v>0.02</v>
      </c>
      <c r="Q411">
        <f>tblPlayers[expected_goal_involvements]</f>
        <v>0.55000000000000004</v>
      </c>
      <c r="R411" s="2">
        <f t="shared" si="150"/>
        <v>4.615384615384615</v>
      </c>
      <c r="S411" s="5">
        <f t="shared" si="151"/>
        <v>0.40769230769230769</v>
      </c>
      <c r="T411" s="5">
        <f t="shared" si="152"/>
        <v>1.5384615384615385E-2</v>
      </c>
      <c r="U411" s="5">
        <f t="shared" si="153"/>
        <v>0.42307692307692313</v>
      </c>
      <c r="V411" s="3">
        <f t="shared" si="154"/>
        <v>1.2244897959183672</v>
      </c>
      <c r="W411" s="5">
        <f t="shared" si="155"/>
        <v>0.11224489795918367</v>
      </c>
      <c r="X411" s="5">
        <f>IFERROR(IF(OR($B411="MID",$B411="FWD"),INDEX(FIXTURE_ANALYSIS!$Q:$Q,MATCH($D411,FIXTURE_ANALYSIS!$A:$A,0)),INDEX(FIXTURE_ANALYSIS!$R:$R,MATCH($D411,FIXTURE_ANALYSIS!$A:$A,0))),1)</f>
        <v>0.9426384083044983</v>
      </c>
      <c r="Y411" s="5">
        <f t="shared" si="156"/>
        <v>0.9426384083044983</v>
      </c>
      <c r="Z411" s="8">
        <f>INDEX(FPL_Raw_Data!$T:$T,MATCH(A411,FPL_Raw_Data!$AA:$AA,0))</f>
        <v>1</v>
      </c>
      <c r="AA411" s="8">
        <f>INDEX(FPL_Raw_Data!$S:$S,MATCH(A411,FPL_Raw_Data!$AA:$AA,0))</f>
        <v>19</v>
      </c>
      <c r="AB411" s="2">
        <f t="shared" si="157"/>
        <v>1</v>
      </c>
      <c r="AC411" s="2">
        <f>INDEX(FPL_Raw_Data!$Q:$Q,MATCH(A411,FPL_Raw_Data!$AA:$AA,0))</f>
        <v>0</v>
      </c>
      <c r="AD411" s="8">
        <f>INDEX(FPL_Raw_Data!$R:$R,MATCH(A411,FPL_Raw_Data!$AA:$AA,0))</f>
        <v>24</v>
      </c>
      <c r="AE411" s="8">
        <f>INDEX(FPL_Raw_Data!$N:$N,MATCH(A411,FPL_Raw_Data!$AA:$AA,0))</f>
        <v>0</v>
      </c>
      <c r="AF411" s="8">
        <f>INDEX(FPL_Raw_Data!$L:$L,MATCH(A411,FPL_Raw_Data!$AA:$AA,0))</f>
        <v>0</v>
      </c>
      <c r="AG411" s="2">
        <f>INDEX(FPL_Raw_Data!$M:$M,MATCH(A411,FPL_Raw_Data!$AA:$AA,0))</f>
        <v>1</v>
      </c>
      <c r="AH411" s="2">
        <f t="shared" si="158"/>
        <v>2.0384615384615383</v>
      </c>
      <c r="AI411" s="2">
        <f t="shared" si="159"/>
        <v>4.6153846153846156E-2</v>
      </c>
      <c r="AJ411" s="2">
        <f t="shared" si="160"/>
        <v>0.66666666666666663</v>
      </c>
      <c r="AK411" s="2">
        <f t="shared" si="161"/>
        <v>2</v>
      </c>
      <c r="AL411" s="2">
        <f t="shared" si="162"/>
        <v>0</v>
      </c>
      <c r="AM411" s="2">
        <f t="shared" si="163"/>
        <v>0</v>
      </c>
      <c r="AN411" s="2">
        <f t="shared" si="164"/>
        <v>0</v>
      </c>
      <c r="AO411" s="3">
        <f t="shared" si="165"/>
        <v>73.5</v>
      </c>
      <c r="AP411">
        <f t="shared" si="166"/>
        <v>89.2</v>
      </c>
      <c r="AQ411">
        <f t="shared" si="167"/>
        <v>73.900000000000006</v>
      </c>
      <c r="AR411">
        <f t="shared" si="168"/>
        <v>85.8</v>
      </c>
      <c r="AS411" s="2">
        <f t="shared" si="169"/>
        <v>33.333333333333329</v>
      </c>
      <c r="AT411" s="2">
        <f>IFERROR(INDEX(Player_Model!$BC$2:$BC$596,MATCH($A411,Player_Model!$A$2:$A$596,0)),0)</f>
        <v>4.1523146705076623</v>
      </c>
      <c r="AU411" s="2">
        <f>Table8[[#This Row],[Model Expected Points]]*Table8[[#This Row],[Fixture Adjustment]]</f>
        <v>3.9141312917867603</v>
      </c>
      <c r="AV411" s="2">
        <f>Table8[[#This Row],[Fixture Adjusted Points / 90]]/Table8[[#This Row],[Price]]</f>
        <v>0.79880230444627753</v>
      </c>
      <c r="AW411">
        <f t="shared" si="170"/>
        <v>81.349999999999994</v>
      </c>
      <c r="AX411">
        <f t="shared" si="171"/>
        <v>1</v>
      </c>
      <c r="AY411" s="2">
        <f t="shared" si="172"/>
        <v>33.333333333333329</v>
      </c>
      <c r="AZ411" s="5">
        <f t="shared" si="173"/>
        <v>0.9426384083044983</v>
      </c>
      <c r="BA411">
        <f>Table8[[#This Row],[Model Score2]]</f>
        <v>4.1523146705076623</v>
      </c>
      <c r="BB411">
        <f>IFERROR(INDEX(Player_Model!$BG$2:$BG$596,MATCH($A411,Player_Model!$A$2:$A$596,0)),"")</f>
        <v>71</v>
      </c>
      <c r="BC411" t="str">
        <f t="shared" si="174"/>
        <v>AVOID</v>
      </c>
      <c r="BD411">
        <f>IF(H411=1,Table8[[#This Row],[Model Score]],-10000)</f>
        <v>4.1523146705076623</v>
      </c>
      <c r="BE411">
        <f>IFERROR(INDEX(Player_Model!$BF$2:$BF$596,MATCH($A411,Player_Model!$A$2:$A$596,0)),"")</f>
        <v>146</v>
      </c>
      <c r="BF411">
        <f>IFERROR(INDEX(Player_Model!$BG$2:$BG$596,MATCH($A411,Player_Model!$A$2:$A$596,0)),"")</f>
        <v>71</v>
      </c>
      <c r="BG411">
        <f>IFERROR(INDEX(Player_Model!$BE$2:$BE$596,MATCH($A411,Player_Model!$A$2:$A$596,0)),0)</f>
        <v>4.1523146705076623</v>
      </c>
    </row>
    <row r="412" spans="1:59" x14ac:dyDescent="0.25">
      <c r="A412" t="str">
        <f>tblPlayers[first_name]&amp;" "&amp;tblPlayers[second_name]</f>
        <v>Dominic Calvert-Lewin</v>
      </c>
      <c r="B412" t="str">
        <f>_xlfn.SWITCH(tblPlayers[element_type],1,"GK",2,"DEF",3,"MID",4,"FWD")</f>
        <v>FWD</v>
      </c>
      <c r="C412">
        <f>tblPlayers[team]</f>
        <v>13</v>
      </c>
      <c r="D412" t="str">
        <f>INDEX(tblTeams[Column1.short_name],MATCH(C412,tblTeams[Column1.id],0))</f>
        <v>LEE</v>
      </c>
      <c r="E412" s="4">
        <f>INDEX(FPL_Raw_Data!$F:$F,MATCH(A412,FPL_Raw_Data!$AA:$AA,0))/10</f>
        <v>6</v>
      </c>
      <c r="F412" s="4" t="str">
        <f>tblPlayers[[#This Row],[status]]</f>
        <v>a</v>
      </c>
      <c r="G412" s="4" t="b">
        <f>tblPlayers[[#This Row],[can_select]]</f>
        <v>1</v>
      </c>
      <c r="H412">
        <f>IF(AND(Table8[[#This Row],[Availability Status]]="a",Table8[[#This Row],[Can Select]]=TRUE),1,0)</f>
        <v>1</v>
      </c>
      <c r="I412">
        <f>tblPlayers[minutes]</f>
        <v>252</v>
      </c>
      <c r="J412" s="2">
        <f>Table8[[#This Row],[Minutes]]/90</f>
        <v>2.8</v>
      </c>
      <c r="K412" s="5">
        <f>IFERROR(Z412/(FIXTURE_ANALYSIS!$B$1-1),0)</f>
        <v>1</v>
      </c>
      <c r="L412">
        <f>tblPlayers[total_points]</f>
        <v>10</v>
      </c>
      <c r="M412">
        <f>tblPlayers[points_per_game]</f>
        <v>3.3</v>
      </c>
      <c r="N412">
        <f>tblPlayers[form]</f>
        <v>3.3</v>
      </c>
      <c r="O412">
        <f>tblPlayers[expected_goals]</f>
        <v>1.61</v>
      </c>
      <c r="P412">
        <f>tblPlayers[expected_assists]</f>
        <v>0.08</v>
      </c>
      <c r="Q412">
        <f>tblPlayers[expected_goal_involvements]</f>
        <v>1.69</v>
      </c>
      <c r="R412" s="2">
        <f t="shared" si="150"/>
        <v>3.5714285714285712</v>
      </c>
      <c r="S412" s="5">
        <f t="shared" si="151"/>
        <v>0.57500000000000007</v>
      </c>
      <c r="T412" s="5">
        <f t="shared" si="152"/>
        <v>2.8571428571428571E-2</v>
      </c>
      <c r="U412" s="5">
        <f t="shared" si="153"/>
        <v>0.60357142857142854</v>
      </c>
      <c r="V412" s="3">
        <f t="shared" si="154"/>
        <v>1.6666666666666667</v>
      </c>
      <c r="W412" s="5">
        <f t="shared" si="155"/>
        <v>0.28166666666666668</v>
      </c>
      <c r="X412" s="5">
        <f>IFERROR(IF(OR($B412="MID",$B412="FWD"),INDEX(FIXTURE_ANALYSIS!$Q:$Q,MATCH($D412,FIXTURE_ANALYSIS!$A:$A,0)),INDEX(FIXTURE_ANALYSIS!$R:$R,MATCH($D412,FIXTURE_ANALYSIS!$A:$A,0))),1)</f>
        <v>0.9426384083044983</v>
      </c>
      <c r="Y412" s="5">
        <f t="shared" si="156"/>
        <v>0.9426384083044983</v>
      </c>
      <c r="Z412" s="8">
        <f>INDEX(FPL_Raw_Data!$T:$T,MATCH(A412,FPL_Raw_Data!$AA:$AA,0))</f>
        <v>3</v>
      </c>
      <c r="AA412" s="8">
        <f>INDEX(FPL_Raw_Data!$S:$S,MATCH(A412,FPL_Raw_Data!$AA:$AA,0))</f>
        <v>9</v>
      </c>
      <c r="AB412" s="2">
        <f t="shared" si="157"/>
        <v>0.75</v>
      </c>
      <c r="AC412" s="2">
        <f>INDEX(FPL_Raw_Data!$Q:$Q,MATCH(A412,FPL_Raw_Data!$AA:$AA,0))</f>
        <v>2</v>
      </c>
      <c r="AD412" s="8">
        <f>INDEX(FPL_Raw_Data!$R:$R,MATCH(A412,FPL_Raw_Data!$AA:$AA,0))</f>
        <v>29</v>
      </c>
      <c r="AE412" s="8">
        <f>INDEX(FPL_Raw_Data!$N:$N,MATCH(A412,FPL_Raw_Data!$AA:$AA,0))</f>
        <v>1</v>
      </c>
      <c r="AF412" s="8">
        <f>INDEX(FPL_Raw_Data!$L:$L,MATCH(A412,FPL_Raw_Data!$AA:$AA,0))</f>
        <v>1</v>
      </c>
      <c r="AG412" s="2">
        <f>INDEX(FPL_Raw_Data!$M:$M,MATCH(A412,FPL_Raw_Data!$AA:$AA,0))</f>
        <v>0</v>
      </c>
      <c r="AH412" s="2">
        <f t="shared" si="158"/>
        <v>2.3000000000000003</v>
      </c>
      <c r="AI412" s="2">
        <f t="shared" si="159"/>
        <v>8.5714285714285715E-2</v>
      </c>
      <c r="AJ412" s="2">
        <f t="shared" si="160"/>
        <v>2</v>
      </c>
      <c r="AK412" s="2">
        <f t="shared" si="161"/>
        <v>1.5</v>
      </c>
      <c r="AL412" s="2">
        <f t="shared" si="162"/>
        <v>0.33333333333333331</v>
      </c>
      <c r="AM412" s="2">
        <f t="shared" si="163"/>
        <v>0</v>
      </c>
      <c r="AN412" s="2">
        <f t="shared" si="164"/>
        <v>0.66666666666666663</v>
      </c>
      <c r="AO412" s="3">
        <f t="shared" si="165"/>
        <v>66.3</v>
      </c>
      <c r="AP412">
        <f t="shared" si="166"/>
        <v>94.6</v>
      </c>
      <c r="AQ412">
        <f t="shared" si="167"/>
        <v>82.3</v>
      </c>
      <c r="AR412">
        <f t="shared" si="168"/>
        <v>98.3</v>
      </c>
      <c r="AS412" s="2">
        <f t="shared" si="169"/>
        <v>100</v>
      </c>
      <c r="AT412" s="2">
        <f>IFERROR(INDEX(Player_Model!$BC$2:$BC$596,MATCH($A412,Player_Model!$A$2:$A$596,0)),0)</f>
        <v>4.5842002973110718</v>
      </c>
      <c r="AU412" s="2">
        <f>Table8[[#This Row],[Model Expected Points]]*Table8[[#This Row],[Fixture Adjustment]]</f>
        <v>4.3212432716063169</v>
      </c>
      <c r="AV412" s="2">
        <f>Table8[[#This Row],[Fixture Adjusted Points / 90]]/Table8[[#This Row],[Price]]</f>
        <v>0.72020721193438619</v>
      </c>
      <c r="AW412">
        <f t="shared" si="170"/>
        <v>80.449999999999989</v>
      </c>
      <c r="AX412">
        <f t="shared" si="171"/>
        <v>0</v>
      </c>
      <c r="AY412" s="2">
        <f t="shared" si="172"/>
        <v>100</v>
      </c>
      <c r="AZ412" s="5">
        <f t="shared" si="173"/>
        <v>0.9426384083044983</v>
      </c>
      <c r="BA412">
        <f>Table8[[#This Row],[Model Score2]]</f>
        <v>4.5842002973110718</v>
      </c>
      <c r="BB412">
        <f>IFERROR(INDEX(Player_Model!$BG$2:$BG$596,MATCH($A412,Player_Model!$A$2:$A$596,0)),"")</f>
        <v>14</v>
      </c>
      <c r="BC412" t="str">
        <f t="shared" si="174"/>
        <v>AVOID</v>
      </c>
      <c r="BD412">
        <f>IF(H412=1,Table8[[#This Row],[Model Score]],-10000)</f>
        <v>4.5842002973110718</v>
      </c>
      <c r="BE412">
        <f>IFERROR(INDEX(Player_Model!$BF$2:$BF$596,MATCH($A412,Player_Model!$A$2:$A$596,0)),"")</f>
        <v>121</v>
      </c>
      <c r="BF412">
        <f>IFERROR(INDEX(Player_Model!$BG$2:$BG$596,MATCH($A412,Player_Model!$A$2:$A$596,0)),"")</f>
        <v>14</v>
      </c>
      <c r="BG412">
        <f>IFERROR(INDEX(Player_Model!$BE$2:$BE$596,MATCH($A412,Player_Model!$A$2:$A$596,0)),0)</f>
        <v>4.5842002973110718</v>
      </c>
    </row>
    <row r="413" spans="1:59" x14ac:dyDescent="0.25">
      <c r="A413" t="str">
        <f>tblPlayers[first_name]&amp;" "&amp;tblPlayers[second_name]</f>
        <v>Lukas Nmecha</v>
      </c>
      <c r="B413" t="str">
        <f>_xlfn.SWITCH(tblPlayers[element_type],1,"GK",2,"DEF",3,"MID",4,"FWD")</f>
        <v>FWD</v>
      </c>
      <c r="C413">
        <f>tblPlayers[team]</f>
        <v>13</v>
      </c>
      <c r="D413" t="str">
        <f>INDEX(tblTeams[Column1.short_name],MATCH(C413,tblTeams[Column1.id],0))</f>
        <v>LEE</v>
      </c>
      <c r="E413" s="4">
        <f>INDEX(FPL_Raw_Data!$F:$F,MATCH(A413,FPL_Raw_Data!$AA:$AA,0))/10</f>
        <v>5.4</v>
      </c>
      <c r="F413" s="4" t="str">
        <f>tblPlayers[[#This Row],[status]]</f>
        <v>a</v>
      </c>
      <c r="G413" s="4" t="b">
        <f>tblPlayers[[#This Row],[can_select]]</f>
        <v>1</v>
      </c>
      <c r="H413">
        <f>IF(AND(Table8[[#This Row],[Availability Status]]="a",Table8[[#This Row],[Can Select]]=TRUE),1,0)</f>
        <v>1</v>
      </c>
      <c r="I413">
        <f>tblPlayers[minutes]</f>
        <v>38</v>
      </c>
      <c r="J413" s="2">
        <f>Table8[[#This Row],[Minutes]]/90</f>
        <v>0.42222222222222222</v>
      </c>
      <c r="K413" s="5">
        <f>IFERROR(Z413/(FIXTURE_ANALYSIS!$B$1-1),0)</f>
        <v>0</v>
      </c>
      <c r="L413">
        <f>tblPlayers[total_points]</f>
        <v>5</v>
      </c>
      <c r="M413">
        <f>tblPlayers[points_per_game]</f>
        <v>2.5</v>
      </c>
      <c r="N413">
        <f>tblPlayers[form]</f>
        <v>1.7</v>
      </c>
      <c r="O413">
        <f>tblPlayers[expected_goals]</f>
        <v>0.27</v>
      </c>
      <c r="P413">
        <f>tblPlayers[expected_assists]</f>
        <v>0.14000000000000001</v>
      </c>
      <c r="Q413">
        <f>tblPlayers[expected_goal_involvements]</f>
        <v>0.41</v>
      </c>
      <c r="R413" s="2">
        <f t="shared" si="150"/>
        <v>11.842105263157894</v>
      </c>
      <c r="S413" s="5">
        <f t="shared" si="151"/>
        <v>0.63947368421052631</v>
      </c>
      <c r="T413" s="5">
        <f t="shared" si="152"/>
        <v>0.33157894736842108</v>
      </c>
      <c r="U413" s="5">
        <f t="shared" si="153"/>
        <v>0.97105263157894728</v>
      </c>
      <c r="V413" s="3">
        <f t="shared" si="154"/>
        <v>0.92592592592592582</v>
      </c>
      <c r="W413" s="5">
        <f t="shared" si="155"/>
        <v>7.5925925925925911E-2</v>
      </c>
      <c r="X413" s="5">
        <f>IFERROR(IF(OR($B413="MID",$B413="FWD"),INDEX(FIXTURE_ANALYSIS!$Q:$Q,MATCH($D413,FIXTURE_ANALYSIS!$A:$A,0)),INDEX(FIXTURE_ANALYSIS!$R:$R,MATCH($D413,FIXTURE_ANALYSIS!$A:$A,0))),1)</f>
        <v>0.9426384083044983</v>
      </c>
      <c r="Y413" s="5">
        <f t="shared" si="156"/>
        <v>0.9426384083044983</v>
      </c>
      <c r="Z413" s="8">
        <f>INDEX(FPL_Raw_Data!$T:$T,MATCH(A413,FPL_Raw_Data!$AA:$AA,0))</f>
        <v>0</v>
      </c>
      <c r="AA413" s="8">
        <f>INDEX(FPL_Raw_Data!$S:$S,MATCH(A413,FPL_Raw_Data!$AA:$AA,0))</f>
        <v>1</v>
      </c>
      <c r="AB413" s="2">
        <f t="shared" si="157"/>
        <v>8.3333333333333329E-2</v>
      </c>
      <c r="AC413" s="2">
        <f>INDEX(FPL_Raw_Data!$Q:$Q,MATCH(A413,FPL_Raw_Data!$AA:$AA,0))</f>
        <v>0</v>
      </c>
      <c r="AD413" s="8">
        <f>INDEX(FPL_Raw_Data!$R:$R,MATCH(A413,FPL_Raw_Data!$AA:$AA,0))</f>
        <v>20</v>
      </c>
      <c r="AE413" s="8">
        <f>INDEX(FPL_Raw_Data!$N:$N,MATCH(A413,FPL_Raw_Data!$AA:$AA,0))</f>
        <v>0</v>
      </c>
      <c r="AF413" s="8">
        <f>INDEX(FPL_Raw_Data!$L:$L,MATCH(A413,FPL_Raw_Data!$AA:$AA,0))</f>
        <v>0</v>
      </c>
      <c r="AG413" s="2">
        <f>INDEX(FPL_Raw_Data!$M:$M,MATCH(A413,FPL_Raw_Data!$AA:$AA,0))</f>
        <v>1</v>
      </c>
      <c r="AH413" s="2">
        <f t="shared" si="158"/>
        <v>2.5578947368421052</v>
      </c>
      <c r="AI413" s="2">
        <f t="shared" si="159"/>
        <v>0.99473684210526325</v>
      </c>
      <c r="AJ413" s="2">
        <f t="shared" si="160"/>
        <v>0</v>
      </c>
      <c r="AK413" s="2">
        <f t="shared" si="161"/>
        <v>0.16666666666666666</v>
      </c>
      <c r="AL413" s="2">
        <f t="shared" si="162"/>
        <v>0</v>
      </c>
      <c r="AM413" s="2">
        <f t="shared" si="163"/>
        <v>0</v>
      </c>
      <c r="AN413" s="2">
        <f t="shared" si="164"/>
        <v>0</v>
      </c>
      <c r="AO413" s="3">
        <f t="shared" si="165"/>
        <v>94.899999999999991</v>
      </c>
      <c r="AP413">
        <f t="shared" si="166"/>
        <v>97.6</v>
      </c>
      <c r="AQ413">
        <f t="shared" si="167"/>
        <v>67.800000000000011</v>
      </c>
      <c r="AR413">
        <f t="shared" si="168"/>
        <v>81.100000000000009</v>
      </c>
      <c r="AS413" s="2">
        <f t="shared" si="169"/>
        <v>0</v>
      </c>
      <c r="AT413" s="2">
        <f>IFERROR(INDEX(Player_Model!$BC$2:$BC$596,MATCH($A413,Player_Model!$A$2:$A$596,0)),0)</f>
        <v>0</v>
      </c>
      <c r="AU413" s="2">
        <f>Table8[[#This Row],[Model Expected Points]]*Table8[[#This Row],[Fixture Adjustment]]</f>
        <v>0</v>
      </c>
      <c r="AV413" s="2">
        <f>Table8[[#This Row],[Fixture Adjusted Points / 90]]/Table8[[#This Row],[Price]]</f>
        <v>0</v>
      </c>
      <c r="AW413">
        <f t="shared" si="170"/>
        <v>96.25</v>
      </c>
      <c r="AX413">
        <f t="shared" si="171"/>
        <v>0</v>
      </c>
      <c r="AY413" s="2">
        <f t="shared" si="172"/>
        <v>0</v>
      </c>
      <c r="AZ413" s="5">
        <f t="shared" si="173"/>
        <v>0.9426384083044983</v>
      </c>
      <c r="BA413">
        <f>Table8[[#This Row],[Model Score2]]</f>
        <v>0</v>
      </c>
      <c r="BB413">
        <f>IFERROR(INDEX(Player_Model!$BG$2:$BG$596,MATCH($A413,Player_Model!$A$2:$A$596,0)),"")</f>
        <v>60</v>
      </c>
      <c r="BC413" t="str">
        <f t="shared" si="174"/>
        <v>AVOID</v>
      </c>
      <c r="BD413">
        <f>IF(H413=1,Table8[[#This Row],[Model Score]],-10000)</f>
        <v>0</v>
      </c>
      <c r="BE413">
        <f>IFERROR(INDEX(Player_Model!$BF$2:$BF$596,MATCH($A413,Player_Model!$A$2:$A$596,0)),"")</f>
        <v>253</v>
      </c>
      <c r="BF413">
        <f>IFERROR(INDEX(Player_Model!$BG$2:$BG$596,MATCH($A413,Player_Model!$A$2:$A$596,0)),"")</f>
        <v>60</v>
      </c>
      <c r="BG413">
        <f>IFERROR(INDEX(Player_Model!$BE$2:$BE$596,MATCH($A413,Player_Model!$A$2:$A$596,0)),0)</f>
        <v>0</v>
      </c>
    </row>
    <row r="414" spans="1:59" x14ac:dyDescent="0.25">
      <c r="A414" t="str">
        <f>tblPlayers[first_name]&amp;" "&amp;tblPlayers[second_name]</f>
        <v>Joël Piroe</v>
      </c>
      <c r="B414" t="str">
        <f>_xlfn.SWITCH(tblPlayers[element_type],1,"GK",2,"DEF",3,"MID",4,"FWD")</f>
        <v>FWD</v>
      </c>
      <c r="C414">
        <f>tblPlayers[team]</f>
        <v>13</v>
      </c>
      <c r="D414" t="str">
        <f>INDEX(tblTeams[Column1.short_name],MATCH(C414,tblTeams[Column1.id],0))</f>
        <v>LEE</v>
      </c>
      <c r="E414" s="4">
        <f>INDEX(FPL_Raw_Data!$F:$F,MATCH(A414,FPL_Raw_Data!$AA:$AA,0))/10</f>
        <v>5</v>
      </c>
      <c r="F414" s="4" t="str">
        <f>tblPlayers[[#This Row],[status]]</f>
        <v>u</v>
      </c>
      <c r="G414" s="4" t="b">
        <f>tblPlayers[[#This Row],[can_select]]</f>
        <v>0</v>
      </c>
      <c r="H414">
        <f>IF(AND(Table8[[#This Row],[Availability Status]]="a",Table8[[#This Row],[Can Select]]=TRUE),1,0)</f>
        <v>0</v>
      </c>
      <c r="I414">
        <f>tblPlayers[minutes]</f>
        <v>0</v>
      </c>
      <c r="J414" s="2">
        <f>Table8[[#This Row],[Minutes]]/90</f>
        <v>0</v>
      </c>
      <c r="K414" s="5">
        <f>IFERROR(Z414/(FIXTURE_ANALYSIS!$B$1-1),0)</f>
        <v>0</v>
      </c>
      <c r="L414">
        <f>tblPlayers[total_points]</f>
        <v>0</v>
      </c>
      <c r="M414">
        <f>tblPlayers[points_per_game]</f>
        <v>0</v>
      </c>
      <c r="N414">
        <f>tblPlayers[form]</f>
        <v>0</v>
      </c>
      <c r="O414">
        <f>tblPlayers[expected_goals]</f>
        <v>0</v>
      </c>
      <c r="P414">
        <f>tblPlayers[expected_assists]</f>
        <v>0</v>
      </c>
      <c r="Q414">
        <f>tblPlayers[expected_goal_involvements]</f>
        <v>0</v>
      </c>
      <c r="R414" s="2">
        <f t="shared" si="150"/>
        <v>0</v>
      </c>
      <c r="S414" s="5">
        <f t="shared" si="151"/>
        <v>0</v>
      </c>
      <c r="T414" s="5">
        <f t="shared" si="152"/>
        <v>0</v>
      </c>
      <c r="U414" s="5">
        <f t="shared" si="153"/>
        <v>0</v>
      </c>
      <c r="V414" s="3">
        <f t="shared" si="154"/>
        <v>0</v>
      </c>
      <c r="W414" s="5">
        <f t="shared" si="155"/>
        <v>0</v>
      </c>
      <c r="X414" s="5">
        <f>IFERROR(IF(OR($B414="MID",$B414="FWD"),INDEX(FIXTURE_ANALYSIS!$Q:$Q,MATCH($D414,FIXTURE_ANALYSIS!$A:$A,0)),INDEX(FIXTURE_ANALYSIS!$R:$R,MATCH($D414,FIXTURE_ANALYSIS!$A:$A,0))),1)</f>
        <v>0.9426384083044983</v>
      </c>
      <c r="Y414" s="5">
        <f t="shared" si="156"/>
        <v>0.9426384083044983</v>
      </c>
      <c r="Z414" s="8">
        <f>INDEX(FPL_Raw_Data!$T:$T,MATCH(A414,FPL_Raw_Data!$AA:$AA,0))</f>
        <v>0</v>
      </c>
      <c r="AA414" s="8">
        <f>INDEX(FPL_Raw_Data!$S:$S,MATCH(A414,FPL_Raw_Data!$AA:$AA,0))</f>
        <v>0</v>
      </c>
      <c r="AB414" s="2">
        <f t="shared" si="157"/>
        <v>0</v>
      </c>
      <c r="AC414" s="2">
        <f>INDEX(FPL_Raw_Data!$Q:$Q,MATCH(A414,FPL_Raw_Data!$AA:$AA,0))</f>
        <v>0</v>
      </c>
      <c r="AD414" s="8">
        <f>INDEX(FPL_Raw_Data!$R:$R,MATCH(A414,FPL_Raw_Data!$AA:$AA,0))</f>
        <v>0</v>
      </c>
      <c r="AE414" s="8">
        <f>INDEX(FPL_Raw_Data!$N:$N,MATCH(A414,FPL_Raw_Data!$AA:$AA,0))</f>
        <v>0</v>
      </c>
      <c r="AF414" s="8">
        <f>INDEX(FPL_Raw_Data!$L:$L,MATCH(A414,FPL_Raw_Data!$AA:$AA,0))</f>
        <v>0</v>
      </c>
      <c r="AG414" s="2">
        <f>INDEX(FPL_Raw_Data!$M:$M,MATCH(A414,FPL_Raw_Data!$AA:$AA,0))</f>
        <v>0</v>
      </c>
      <c r="AH414" s="2">
        <f t="shared" si="158"/>
        <v>0</v>
      </c>
      <c r="AI414" s="2">
        <f t="shared" si="159"/>
        <v>0</v>
      </c>
      <c r="AJ414" s="2">
        <f t="shared" si="160"/>
        <v>0</v>
      </c>
      <c r="AK414" s="2">
        <f t="shared" si="161"/>
        <v>0</v>
      </c>
      <c r="AL414" s="2">
        <f t="shared" si="162"/>
        <v>0</v>
      </c>
      <c r="AM414" s="2">
        <f t="shared" si="163"/>
        <v>0</v>
      </c>
      <c r="AN414" s="2">
        <f t="shared" si="164"/>
        <v>0</v>
      </c>
      <c r="AO414" s="3">
        <f t="shared" si="165"/>
        <v>0.1</v>
      </c>
      <c r="AP414">
        <f t="shared" si="166"/>
        <v>0</v>
      </c>
      <c r="AQ414">
        <f t="shared" si="167"/>
        <v>0.1</v>
      </c>
      <c r="AR414">
        <f t="shared" si="168"/>
        <v>0</v>
      </c>
      <c r="AS414" s="2">
        <f t="shared" si="169"/>
        <v>0</v>
      </c>
      <c r="AT414" s="2">
        <f>IFERROR(INDEX(Player_Model!$BC$2:$BC$596,MATCH($A414,Player_Model!$A$2:$A$596,0)),0)</f>
        <v>0</v>
      </c>
      <c r="AU414" s="2">
        <f>Table8[[#This Row],[Model Expected Points]]*Table8[[#This Row],[Fixture Adjustment]]</f>
        <v>0</v>
      </c>
      <c r="AV414" s="2">
        <f>Table8[[#This Row],[Fixture Adjusted Points / 90]]/Table8[[#This Row],[Price]]</f>
        <v>0</v>
      </c>
      <c r="AW414">
        <f t="shared" si="170"/>
        <v>0.05</v>
      </c>
      <c r="AX414">
        <f t="shared" si="171"/>
        <v>0</v>
      </c>
      <c r="AY414" s="2">
        <f t="shared" si="172"/>
        <v>0</v>
      </c>
      <c r="AZ414" s="5">
        <f t="shared" si="173"/>
        <v>0.9426384083044983</v>
      </c>
      <c r="BA414">
        <f>Table8[[#This Row],[Model Score2]]</f>
        <v>0</v>
      </c>
      <c r="BB414">
        <f>IFERROR(INDEX(Player_Model!$BG$2:$BG$596,MATCH($A414,Player_Model!$A$2:$A$596,0)),"")</f>
        <v>61</v>
      </c>
      <c r="BC414" t="str">
        <f t="shared" si="174"/>
        <v>AVOID</v>
      </c>
      <c r="BD414">
        <f>IF(H414=1,Table8[[#This Row],[Model Score]],-10000)</f>
        <v>-10000</v>
      </c>
      <c r="BE414">
        <f>IFERROR(INDEX(Player_Model!$BF$2:$BF$596,MATCH($A414,Player_Model!$A$2:$A$596,0)),"")</f>
        <v>253</v>
      </c>
      <c r="BF414">
        <f>IFERROR(INDEX(Player_Model!$BG$2:$BG$596,MATCH($A414,Player_Model!$A$2:$A$596,0)),"")</f>
        <v>61</v>
      </c>
      <c r="BG414">
        <f>IFERROR(INDEX(Player_Model!$BE$2:$BE$596,MATCH($A414,Player_Model!$A$2:$A$596,0)),0)</f>
        <v>0</v>
      </c>
    </row>
    <row r="415" spans="1:59" x14ac:dyDescent="0.25">
      <c r="A415" t="str">
        <f>tblPlayers[first_name]&amp;" "&amp;tblPlayers[second_name]</f>
        <v>Mateo Joseph Fernández-Regatillo</v>
      </c>
      <c r="B415" t="str">
        <f>_xlfn.SWITCH(tblPlayers[element_type],1,"GK",2,"DEF",3,"MID",4,"FWD")</f>
        <v>FWD</v>
      </c>
      <c r="C415">
        <f>tblPlayers[team]</f>
        <v>13</v>
      </c>
      <c r="D415" t="str">
        <f>INDEX(tblTeams[Column1.short_name],MATCH(C415,tblTeams[Column1.id],0))</f>
        <v>LEE</v>
      </c>
      <c r="E415" s="4">
        <f>INDEX(FPL_Raw_Data!$F:$F,MATCH(A415,FPL_Raw_Data!$AA:$AA,0))/10</f>
        <v>4.5</v>
      </c>
      <c r="F415" s="4" t="str">
        <f>tblPlayers[[#This Row],[status]]</f>
        <v>i</v>
      </c>
      <c r="G415" s="4" t="b">
        <f>tblPlayers[[#This Row],[can_select]]</f>
        <v>1</v>
      </c>
      <c r="H415">
        <f>IF(AND(Table8[[#This Row],[Availability Status]]="a",Table8[[#This Row],[Can Select]]=TRUE),1,0)</f>
        <v>0</v>
      </c>
      <c r="I415">
        <f>tblPlayers[minutes]</f>
        <v>0</v>
      </c>
      <c r="J415" s="2">
        <f>Table8[[#This Row],[Minutes]]/90</f>
        <v>0</v>
      </c>
      <c r="K415" s="5">
        <f>IFERROR(Z415/(FIXTURE_ANALYSIS!$B$1-1),0)</f>
        <v>0</v>
      </c>
      <c r="L415">
        <f>tblPlayers[total_points]</f>
        <v>0</v>
      </c>
      <c r="M415">
        <f>tblPlayers[points_per_game]</f>
        <v>0</v>
      </c>
      <c r="N415">
        <f>tblPlayers[form]</f>
        <v>0</v>
      </c>
      <c r="O415">
        <f>tblPlayers[expected_goals]</f>
        <v>0</v>
      </c>
      <c r="P415">
        <f>tblPlayers[expected_assists]</f>
        <v>0</v>
      </c>
      <c r="Q415">
        <f>tblPlayers[expected_goal_involvements]</f>
        <v>0</v>
      </c>
      <c r="R415" s="2">
        <f t="shared" si="150"/>
        <v>0</v>
      </c>
      <c r="S415" s="5">
        <f t="shared" si="151"/>
        <v>0</v>
      </c>
      <c r="T415" s="5">
        <f t="shared" si="152"/>
        <v>0</v>
      </c>
      <c r="U415" s="5">
        <f t="shared" si="153"/>
        <v>0</v>
      </c>
      <c r="V415" s="3">
        <f t="shared" si="154"/>
        <v>0</v>
      </c>
      <c r="W415" s="5">
        <f t="shared" si="155"/>
        <v>0</v>
      </c>
      <c r="X415" s="5">
        <f>IFERROR(IF(OR($B415="MID",$B415="FWD"),INDEX(FIXTURE_ANALYSIS!$Q:$Q,MATCH($D415,FIXTURE_ANALYSIS!$A:$A,0)),INDEX(FIXTURE_ANALYSIS!$R:$R,MATCH($D415,FIXTURE_ANALYSIS!$A:$A,0))),1)</f>
        <v>0.9426384083044983</v>
      </c>
      <c r="Y415" s="5">
        <f t="shared" si="156"/>
        <v>0.9426384083044983</v>
      </c>
      <c r="Z415" s="8">
        <f>INDEX(FPL_Raw_Data!$T:$T,MATCH(A415,FPL_Raw_Data!$AA:$AA,0))</f>
        <v>0</v>
      </c>
      <c r="AA415" s="8">
        <f>INDEX(FPL_Raw_Data!$S:$S,MATCH(A415,FPL_Raw_Data!$AA:$AA,0))</f>
        <v>0</v>
      </c>
      <c r="AB415" s="2">
        <f t="shared" si="157"/>
        <v>0</v>
      </c>
      <c r="AC415" s="2">
        <f>INDEX(FPL_Raw_Data!$Q:$Q,MATCH(A415,FPL_Raw_Data!$AA:$AA,0))</f>
        <v>0</v>
      </c>
      <c r="AD415" s="8">
        <f>INDEX(FPL_Raw_Data!$R:$R,MATCH(A415,FPL_Raw_Data!$AA:$AA,0))</f>
        <v>0</v>
      </c>
      <c r="AE415" s="8">
        <f>INDEX(FPL_Raw_Data!$N:$N,MATCH(A415,FPL_Raw_Data!$AA:$AA,0))</f>
        <v>0</v>
      </c>
      <c r="AF415" s="8">
        <f>INDEX(FPL_Raw_Data!$L:$L,MATCH(A415,FPL_Raw_Data!$AA:$AA,0))</f>
        <v>0</v>
      </c>
      <c r="AG415" s="2">
        <f>INDEX(FPL_Raw_Data!$M:$M,MATCH(A415,FPL_Raw_Data!$AA:$AA,0))</f>
        <v>0</v>
      </c>
      <c r="AH415" s="2">
        <f t="shared" si="158"/>
        <v>0</v>
      </c>
      <c r="AI415" s="2">
        <f t="shared" si="159"/>
        <v>0</v>
      </c>
      <c r="AJ415" s="2">
        <f t="shared" si="160"/>
        <v>0</v>
      </c>
      <c r="AK415" s="2">
        <f t="shared" si="161"/>
        <v>0</v>
      </c>
      <c r="AL415" s="2">
        <f t="shared" si="162"/>
        <v>0</v>
      </c>
      <c r="AM415" s="2">
        <f t="shared" si="163"/>
        <v>0</v>
      </c>
      <c r="AN415" s="2">
        <f t="shared" si="164"/>
        <v>0</v>
      </c>
      <c r="AO415" s="3">
        <f t="shared" si="165"/>
        <v>0.1</v>
      </c>
      <c r="AP415">
        <f t="shared" si="166"/>
        <v>0</v>
      </c>
      <c r="AQ415">
        <f t="shared" si="167"/>
        <v>0.1</v>
      </c>
      <c r="AR415">
        <f t="shared" si="168"/>
        <v>0</v>
      </c>
      <c r="AS415" s="2">
        <f t="shared" si="169"/>
        <v>0</v>
      </c>
      <c r="AT415" s="2">
        <f>IFERROR(INDEX(Player_Model!$BC$2:$BC$596,MATCH($A415,Player_Model!$A$2:$A$596,0)),0)</f>
        <v>0</v>
      </c>
      <c r="AU415" s="2">
        <f>Table8[[#This Row],[Model Expected Points]]*Table8[[#This Row],[Fixture Adjustment]]</f>
        <v>0</v>
      </c>
      <c r="AV415" s="2">
        <f>Table8[[#This Row],[Fixture Adjusted Points / 90]]/Table8[[#This Row],[Price]]</f>
        <v>0</v>
      </c>
      <c r="AW415">
        <f t="shared" si="170"/>
        <v>0.05</v>
      </c>
      <c r="AX415">
        <f t="shared" si="171"/>
        <v>0</v>
      </c>
      <c r="AY415" s="2">
        <f t="shared" si="172"/>
        <v>0</v>
      </c>
      <c r="AZ415" s="5">
        <f t="shared" si="173"/>
        <v>0.9426384083044983</v>
      </c>
      <c r="BA415">
        <f>Table8[[#This Row],[Model Score2]]</f>
        <v>0</v>
      </c>
      <c r="BB415">
        <f>IFERROR(INDEX(Player_Model!$BG$2:$BG$596,MATCH($A415,Player_Model!$A$2:$A$596,0)),"")</f>
        <v>62</v>
      </c>
      <c r="BC415" t="str">
        <f t="shared" si="174"/>
        <v>AVOID</v>
      </c>
      <c r="BD415">
        <f>IF(H415=1,Table8[[#This Row],[Model Score]],-10000)</f>
        <v>-10000</v>
      </c>
      <c r="BE415">
        <f>IFERROR(INDEX(Player_Model!$BF$2:$BF$596,MATCH($A415,Player_Model!$A$2:$A$596,0)),"")</f>
        <v>253</v>
      </c>
      <c r="BF415">
        <f>IFERROR(INDEX(Player_Model!$BG$2:$BG$596,MATCH($A415,Player_Model!$A$2:$A$596,0)),"")</f>
        <v>62</v>
      </c>
      <c r="BG415">
        <f>IFERROR(INDEX(Player_Model!$BE$2:$BE$596,MATCH($A415,Player_Model!$A$2:$A$596,0)),0)</f>
        <v>0</v>
      </c>
    </row>
    <row r="416" spans="1:59" x14ac:dyDescent="0.25">
      <c r="A416" t="str">
        <f>tblPlayers[first_name]&amp;" "&amp;tblPlayers[second_name]</f>
        <v>James Trafford</v>
      </c>
      <c r="B416" t="str">
        <f>_xlfn.SWITCH(tblPlayers[element_type],1,"GK",2,"DEF",3,"MID",4,"FWD")</f>
        <v>GK</v>
      </c>
      <c r="C416">
        <f>tblPlayers[team]</f>
        <v>13</v>
      </c>
      <c r="D416" t="str">
        <f>INDEX(tblTeams[Column1.short_name],MATCH(C416,tblTeams[Column1.id],0))</f>
        <v>LEE</v>
      </c>
      <c r="E416" s="4">
        <f>INDEX(FPL_Raw_Data!$F:$F,MATCH(A416,FPL_Raw_Data!$AA:$AA,0))/10</f>
        <v>5</v>
      </c>
      <c r="F416" s="4" t="str">
        <f>tblPlayers[[#This Row],[status]]</f>
        <v>a</v>
      </c>
      <c r="G416" s="4" t="b">
        <f>tblPlayers[[#This Row],[can_select]]</f>
        <v>1</v>
      </c>
      <c r="H416">
        <f>IF(AND(Table8[[#This Row],[Availability Status]]="a",Table8[[#This Row],[Can Select]]=TRUE),1,0)</f>
        <v>1</v>
      </c>
      <c r="I416">
        <f>tblPlayers[minutes]</f>
        <v>270</v>
      </c>
      <c r="J416" s="2">
        <f>Table8[[#This Row],[Minutes]]/90</f>
        <v>3</v>
      </c>
      <c r="K416" s="5">
        <f>IFERROR(Z416/(FIXTURE_ANALYSIS!$B$1-1),0)</f>
        <v>1</v>
      </c>
      <c r="L416">
        <f>tblPlayers[total_points]</f>
        <v>15</v>
      </c>
      <c r="M416">
        <f>tblPlayers[points_per_game]</f>
        <v>5</v>
      </c>
      <c r="N416">
        <f>tblPlayers[form]</f>
        <v>5</v>
      </c>
      <c r="O416">
        <f>tblPlayers[expected_goals]</f>
        <v>0</v>
      </c>
      <c r="P416">
        <f>tblPlayers[expected_assists]</f>
        <v>0</v>
      </c>
      <c r="Q416">
        <f>tblPlayers[expected_goal_involvements]</f>
        <v>0</v>
      </c>
      <c r="R416" s="2">
        <f t="shared" si="150"/>
        <v>5</v>
      </c>
      <c r="S416" s="5">
        <f t="shared" si="151"/>
        <v>0</v>
      </c>
      <c r="T416" s="5">
        <f t="shared" si="152"/>
        <v>0</v>
      </c>
      <c r="U416" s="5">
        <f t="shared" si="153"/>
        <v>0</v>
      </c>
      <c r="V416" s="3">
        <f t="shared" si="154"/>
        <v>3</v>
      </c>
      <c r="W416" s="5">
        <f t="shared" si="155"/>
        <v>0</v>
      </c>
      <c r="X416" s="5">
        <f>IFERROR(IF(OR($B416="MID",$B416="FWD"),INDEX(FIXTURE_ANALYSIS!$Q:$Q,MATCH($D416,FIXTURE_ANALYSIS!$A:$A,0)),INDEX(FIXTURE_ANALYSIS!$R:$R,MATCH($D416,FIXTURE_ANALYSIS!$A:$A,0))),1)</f>
        <v>1.1380357723577235</v>
      </c>
      <c r="Y416" s="5">
        <f t="shared" si="156"/>
        <v>1.1380357723577235</v>
      </c>
      <c r="Z416" s="8">
        <f>INDEX(FPL_Raw_Data!$T:$T,MATCH(A416,FPL_Raw_Data!$AA:$AA,0))</f>
        <v>3</v>
      </c>
      <c r="AA416" s="8">
        <f>INDEX(FPL_Raw_Data!$S:$S,MATCH(A416,FPL_Raw_Data!$AA:$AA,0))</f>
        <v>0</v>
      </c>
      <c r="AB416" s="2">
        <f t="shared" si="157"/>
        <v>0</v>
      </c>
      <c r="AC416" s="2">
        <f>INDEX(FPL_Raw_Data!$Q:$Q,MATCH(A416,FPL_Raw_Data!$AA:$AA,0))</f>
        <v>2</v>
      </c>
      <c r="AD416" s="8">
        <f>INDEX(FPL_Raw_Data!$R:$R,MATCH(A416,FPL_Raw_Data!$AA:$AA,0))</f>
        <v>66</v>
      </c>
      <c r="AE416" s="8">
        <f>INDEX(FPL_Raw_Data!$N:$N,MATCH(A416,FPL_Raw_Data!$AA:$AA,0))</f>
        <v>1</v>
      </c>
      <c r="AF416" s="8">
        <f>INDEX(FPL_Raw_Data!$L:$L,MATCH(A416,FPL_Raw_Data!$AA:$AA,0))</f>
        <v>0</v>
      </c>
      <c r="AG416" s="2">
        <f>INDEX(FPL_Raw_Data!$M:$M,MATCH(A416,FPL_Raw_Data!$AA:$AA,0))</f>
        <v>0</v>
      </c>
      <c r="AH416" s="2">
        <f t="shared" si="158"/>
        <v>0</v>
      </c>
      <c r="AI416" s="2">
        <f t="shared" si="159"/>
        <v>0</v>
      </c>
      <c r="AJ416" s="2">
        <f t="shared" si="160"/>
        <v>2</v>
      </c>
      <c r="AK416" s="2">
        <f t="shared" si="161"/>
        <v>0</v>
      </c>
      <c r="AL416" s="2">
        <f t="shared" si="162"/>
        <v>0.33333333333333331</v>
      </c>
      <c r="AM416" s="2">
        <f t="shared" si="163"/>
        <v>1.3333333333333333</v>
      </c>
      <c r="AN416" s="2">
        <f t="shared" si="164"/>
        <v>0.66666666666666663</v>
      </c>
      <c r="AO416" s="3">
        <f t="shared" si="165"/>
        <v>75.400000000000006</v>
      </c>
      <c r="AP416">
        <f t="shared" si="166"/>
        <v>0</v>
      </c>
      <c r="AQ416">
        <f t="shared" si="167"/>
        <v>94.899999999999991</v>
      </c>
      <c r="AR416">
        <f t="shared" si="168"/>
        <v>0</v>
      </c>
      <c r="AS416" s="2">
        <f t="shared" si="169"/>
        <v>100</v>
      </c>
      <c r="AT416" s="2">
        <f>IFERROR(INDEX(Player_Model!$BC$2:$BC$596,MATCH($A416,Player_Model!$A$2:$A$596,0)),0)</f>
        <v>5.1845245365042496</v>
      </c>
      <c r="AU416" s="2">
        <f>Table8[[#This Row],[Model Expected Points]]*Table8[[#This Row],[Fixture Adjustment]]</f>
        <v>5.9001743852081816</v>
      </c>
      <c r="AV416" s="2">
        <f>Table8[[#This Row],[Fixture Adjusted Points / 90]]/Table8[[#This Row],[Price]]</f>
        <v>1.1800348770416362</v>
      </c>
      <c r="AW416">
        <f t="shared" si="170"/>
        <v>0</v>
      </c>
      <c r="AX416">
        <f t="shared" si="171"/>
        <v>50.569017886178862</v>
      </c>
      <c r="AY416" s="2">
        <f t="shared" si="172"/>
        <v>100</v>
      </c>
      <c r="AZ416" s="5">
        <f t="shared" si="173"/>
        <v>1.1380357723577235</v>
      </c>
      <c r="BA416">
        <f>Table8[[#This Row],[Model Score2]]</f>
        <v>5.1845245365042496</v>
      </c>
      <c r="BB416">
        <f>IFERROR(INDEX(Player_Model!$BG$2:$BG$596,MATCH($A416,Player_Model!$A$2:$A$596,0)),"")</f>
        <v>4</v>
      </c>
      <c r="BC416" t="str">
        <f t="shared" si="174"/>
        <v>STRONG PICK</v>
      </c>
      <c r="BD416">
        <f>IF(H416=1,Table8[[#This Row],[Model Score]],-10000)</f>
        <v>5.1845245365042496</v>
      </c>
      <c r="BE416">
        <f>IFERROR(INDEX(Player_Model!$BF$2:$BF$596,MATCH($A416,Player_Model!$A$2:$A$596,0)),"")</f>
        <v>83</v>
      </c>
      <c r="BF416">
        <f>IFERROR(INDEX(Player_Model!$BG$2:$BG$596,MATCH($A416,Player_Model!$A$2:$A$596,0)),"")</f>
        <v>4</v>
      </c>
      <c r="BG416">
        <f>IFERROR(INDEX(Player_Model!$BE$2:$BE$596,MATCH($A416,Player_Model!$A$2:$A$596,0)),0)</f>
        <v>5.1845245365042496</v>
      </c>
    </row>
    <row r="417" spans="1:59" x14ac:dyDescent="0.25">
      <c r="A417" t="str">
        <f>tblPlayers[first_name]&amp;" "&amp;tblPlayers[second_name]</f>
        <v>Nico Elvedi</v>
      </c>
      <c r="B417" t="str">
        <f>_xlfn.SWITCH(tblPlayers[element_type],1,"GK",2,"DEF",3,"MID",4,"FWD")</f>
        <v>DEF</v>
      </c>
      <c r="C417">
        <f>tblPlayers[team]</f>
        <v>13</v>
      </c>
      <c r="D417" t="str">
        <f>INDEX(tblTeams[Column1.short_name],MATCH(C417,tblTeams[Column1.id],0))</f>
        <v>LEE</v>
      </c>
      <c r="E417" s="4">
        <f>INDEX(FPL_Raw_Data!$F:$F,MATCH(A417,FPL_Raw_Data!$AA:$AA,0))/10</f>
        <v>4.5</v>
      </c>
      <c r="F417" s="4" t="str">
        <f>tblPlayers[[#This Row],[status]]</f>
        <v>a</v>
      </c>
      <c r="G417" s="4" t="b">
        <f>tblPlayers[[#This Row],[can_select]]</f>
        <v>1</v>
      </c>
      <c r="H417">
        <f>IF(AND(Table8[[#This Row],[Availability Status]]="a",Table8[[#This Row],[Can Select]]=TRUE),1,0)</f>
        <v>1</v>
      </c>
      <c r="I417">
        <f>tblPlayers[minutes]</f>
        <v>146</v>
      </c>
      <c r="J417" s="2">
        <f>Table8[[#This Row],[Minutes]]/90</f>
        <v>1.6222222222222222</v>
      </c>
      <c r="K417" s="5">
        <f>IFERROR(Z417/(FIXTURE_ANALYSIS!$B$1-1),0)</f>
        <v>0.33333333333333331</v>
      </c>
      <c r="L417">
        <f>tblPlayers[total_points]</f>
        <v>5</v>
      </c>
      <c r="M417">
        <f>tblPlayers[points_per_game]</f>
        <v>2.5</v>
      </c>
      <c r="N417">
        <f>tblPlayers[form]</f>
        <v>1.7</v>
      </c>
      <c r="O417">
        <f>tblPlayers[expected_goals]</f>
        <v>0</v>
      </c>
      <c r="P417">
        <f>tblPlayers[expected_assists]</f>
        <v>0.56999999999999995</v>
      </c>
      <c r="Q417">
        <f>tblPlayers[expected_goal_involvements]</f>
        <v>0.56999999999999995</v>
      </c>
      <c r="R417" s="2">
        <f t="shared" si="150"/>
        <v>3.0821917808219177</v>
      </c>
      <c r="S417" s="5">
        <f t="shared" si="151"/>
        <v>0</v>
      </c>
      <c r="T417" s="5">
        <f t="shared" si="152"/>
        <v>0.3513698630136986</v>
      </c>
      <c r="U417" s="5">
        <f t="shared" si="153"/>
        <v>0.3513698630136986</v>
      </c>
      <c r="V417" s="3">
        <f t="shared" si="154"/>
        <v>1.1111111111111112</v>
      </c>
      <c r="W417" s="5">
        <f t="shared" si="155"/>
        <v>0.12666666666666665</v>
      </c>
      <c r="X417" s="5">
        <f>IFERROR(IF(OR($B417="MID",$B417="FWD"),INDEX(FIXTURE_ANALYSIS!$Q:$Q,MATCH($D417,FIXTURE_ANALYSIS!$A:$A,0)),INDEX(FIXTURE_ANALYSIS!$R:$R,MATCH($D417,FIXTURE_ANALYSIS!$A:$A,0))),1)</f>
        <v>1.1380357723577235</v>
      </c>
      <c r="Y417" s="5">
        <f t="shared" si="156"/>
        <v>1.1380357723577235</v>
      </c>
      <c r="Z417" s="8">
        <f>INDEX(FPL_Raw_Data!$T:$T,MATCH(A417,FPL_Raw_Data!$AA:$AA,0))</f>
        <v>1</v>
      </c>
      <c r="AA417" s="8">
        <f>INDEX(FPL_Raw_Data!$S:$S,MATCH(A417,FPL_Raw_Data!$AA:$AA,0))</f>
        <v>16</v>
      </c>
      <c r="AB417" s="2">
        <f t="shared" si="157"/>
        <v>1</v>
      </c>
      <c r="AC417" s="2">
        <f>INDEX(FPL_Raw_Data!$Q:$Q,MATCH(A417,FPL_Raw_Data!$AA:$AA,0))</f>
        <v>0</v>
      </c>
      <c r="AD417" s="8">
        <f>INDEX(FPL_Raw_Data!$R:$R,MATCH(A417,FPL_Raw_Data!$AA:$AA,0))</f>
        <v>21</v>
      </c>
      <c r="AE417" s="8">
        <f>INDEX(FPL_Raw_Data!$N:$N,MATCH(A417,FPL_Raw_Data!$AA:$AA,0))</f>
        <v>0</v>
      </c>
      <c r="AF417" s="8">
        <f>INDEX(FPL_Raw_Data!$L:$L,MATCH(A417,FPL_Raw_Data!$AA:$AA,0))</f>
        <v>0</v>
      </c>
      <c r="AG417" s="2">
        <f>INDEX(FPL_Raw_Data!$M:$M,MATCH(A417,FPL_Raw_Data!$AA:$AA,0))</f>
        <v>0</v>
      </c>
      <c r="AH417" s="2">
        <f t="shared" si="158"/>
        <v>0</v>
      </c>
      <c r="AI417" s="2">
        <f t="shared" si="159"/>
        <v>1.0541095890410959</v>
      </c>
      <c r="AJ417" s="2">
        <f t="shared" si="160"/>
        <v>0.66666666666666663</v>
      </c>
      <c r="AK417" s="2">
        <f t="shared" si="161"/>
        <v>2</v>
      </c>
      <c r="AL417" s="2">
        <f t="shared" si="162"/>
        <v>0</v>
      </c>
      <c r="AM417" s="2">
        <f t="shared" si="163"/>
        <v>0</v>
      </c>
      <c r="AN417" s="2">
        <f t="shared" si="164"/>
        <v>0</v>
      </c>
      <c r="AO417" s="3">
        <f t="shared" si="165"/>
        <v>60.699999999999996</v>
      </c>
      <c r="AP417">
        <f t="shared" si="166"/>
        <v>86.7</v>
      </c>
      <c r="AQ417">
        <f t="shared" si="167"/>
        <v>71</v>
      </c>
      <c r="AR417">
        <f t="shared" si="168"/>
        <v>88.3</v>
      </c>
      <c r="AS417" s="2">
        <f t="shared" si="169"/>
        <v>33.333333333333329</v>
      </c>
      <c r="AT417" s="2">
        <f>IFERROR(INDEX(Player_Model!$BC$2:$BC$596,MATCH($A417,Player_Model!$A$2:$A$596,0)),0)</f>
        <v>3.1470387170266898</v>
      </c>
      <c r="AU417" s="2">
        <f>Table8[[#This Row],[Model Expected Points]]*Table8[[#This Row],[Fixture Adjustment]]</f>
        <v>3.5814426369711279</v>
      </c>
      <c r="AV417" s="2">
        <f>Table8[[#This Row],[Fixture Adjusted Points / 90]]/Table8[[#This Row],[Price]]</f>
        <v>0.79587614154913955</v>
      </c>
      <c r="AW417">
        <f t="shared" si="170"/>
        <v>86.7</v>
      </c>
      <c r="AX417">
        <f t="shared" si="171"/>
        <v>1.0690178861788617</v>
      </c>
      <c r="AY417" s="2">
        <f t="shared" si="172"/>
        <v>33.333333333333329</v>
      </c>
      <c r="AZ417" s="5">
        <f t="shared" si="173"/>
        <v>1.1380357723577235</v>
      </c>
      <c r="BA417">
        <f>Table8[[#This Row],[Model Score2]]</f>
        <v>3.1470387170266898</v>
      </c>
      <c r="BB417">
        <f>IFERROR(INDEX(Player_Model!$BG$2:$BG$596,MATCH($A417,Player_Model!$A$2:$A$596,0)),"")</f>
        <v>61</v>
      </c>
      <c r="BC417" t="str">
        <f t="shared" si="174"/>
        <v>AVOID</v>
      </c>
      <c r="BD417">
        <f>IF(H417=1,Table8[[#This Row],[Model Score]],-10000)</f>
        <v>3.1470387170266898</v>
      </c>
      <c r="BE417">
        <f>IFERROR(INDEX(Player_Model!$BF$2:$BF$596,MATCH($A417,Player_Model!$A$2:$A$596,0)),"")</f>
        <v>195</v>
      </c>
      <c r="BF417">
        <f>IFERROR(INDEX(Player_Model!$BG$2:$BG$596,MATCH($A417,Player_Model!$A$2:$A$596,0)),"")</f>
        <v>61</v>
      </c>
      <c r="BG417">
        <f>IFERROR(INDEX(Player_Model!$BE$2:$BE$596,MATCH($A417,Player_Model!$A$2:$A$596,0)),0)</f>
        <v>3.1470387170266898</v>
      </c>
    </row>
    <row r="418" spans="1:59" x14ac:dyDescent="0.25">
      <c r="A418" t="str">
        <f>tblPlayers[first_name]&amp;" "&amp;tblPlayers[second_name]</f>
        <v>Jayden Lienou</v>
      </c>
      <c r="B418" t="str">
        <f>_xlfn.SWITCH(tblPlayers[element_type],1,"GK",2,"DEF",3,"MID",4,"FWD")</f>
        <v>DEF</v>
      </c>
      <c r="C418">
        <f>tblPlayers[team]</f>
        <v>13</v>
      </c>
      <c r="D418" t="str">
        <f>INDEX(tblTeams[Column1.short_name],MATCH(C418,tblTeams[Column1.id],0))</f>
        <v>LEE</v>
      </c>
      <c r="E418" s="4">
        <f>INDEX(FPL_Raw_Data!$F:$F,MATCH(A418,FPL_Raw_Data!$AA:$AA,0))/10</f>
        <v>4</v>
      </c>
      <c r="F418" s="4" t="str">
        <f>tblPlayers[[#This Row],[status]]</f>
        <v>a</v>
      </c>
      <c r="G418" s="4" t="b">
        <f>tblPlayers[[#This Row],[can_select]]</f>
        <v>1</v>
      </c>
      <c r="H418">
        <f>IF(AND(Table8[[#This Row],[Availability Status]]="a",Table8[[#This Row],[Can Select]]=TRUE),1,0)</f>
        <v>1</v>
      </c>
      <c r="I418">
        <f>tblPlayers[minutes]</f>
        <v>0</v>
      </c>
      <c r="J418" s="2">
        <f>Table8[[#This Row],[Minutes]]/90</f>
        <v>0</v>
      </c>
      <c r="K418" s="5">
        <f>IFERROR(Z418/(FIXTURE_ANALYSIS!$B$1-1),0)</f>
        <v>0</v>
      </c>
      <c r="L418">
        <f>tblPlayers[total_points]</f>
        <v>0</v>
      </c>
      <c r="M418">
        <f>tblPlayers[points_per_game]</f>
        <v>0</v>
      </c>
      <c r="N418">
        <f>tblPlayers[form]</f>
        <v>0</v>
      </c>
      <c r="O418">
        <f>tblPlayers[expected_goals]</f>
        <v>0</v>
      </c>
      <c r="P418">
        <f>tblPlayers[expected_assists]</f>
        <v>0</v>
      </c>
      <c r="Q418">
        <f>tblPlayers[expected_goal_involvements]</f>
        <v>0</v>
      </c>
      <c r="R418" s="2">
        <f t="shared" si="150"/>
        <v>0</v>
      </c>
      <c r="S418" s="5">
        <f t="shared" si="151"/>
        <v>0</v>
      </c>
      <c r="T418" s="5">
        <f t="shared" si="152"/>
        <v>0</v>
      </c>
      <c r="U418" s="5">
        <f t="shared" si="153"/>
        <v>0</v>
      </c>
      <c r="V418" s="3">
        <f t="shared" si="154"/>
        <v>0</v>
      </c>
      <c r="W418" s="5">
        <f t="shared" si="155"/>
        <v>0</v>
      </c>
      <c r="X418" s="5">
        <f>IFERROR(IF(OR($B418="MID",$B418="FWD"),INDEX(FIXTURE_ANALYSIS!$Q:$Q,MATCH($D418,FIXTURE_ANALYSIS!$A:$A,0)),INDEX(FIXTURE_ANALYSIS!$R:$R,MATCH($D418,FIXTURE_ANALYSIS!$A:$A,0))),1)</f>
        <v>1.1380357723577235</v>
      </c>
      <c r="Y418" s="5">
        <f t="shared" si="156"/>
        <v>1.1380357723577235</v>
      </c>
      <c r="Z418" s="8">
        <f>INDEX(FPL_Raw_Data!$T:$T,MATCH(A418,FPL_Raw_Data!$AA:$AA,0))</f>
        <v>0</v>
      </c>
      <c r="AA418" s="8">
        <f>INDEX(FPL_Raw_Data!$S:$S,MATCH(A418,FPL_Raw_Data!$AA:$AA,0))</f>
        <v>0</v>
      </c>
      <c r="AB418" s="2">
        <f t="shared" si="157"/>
        <v>0</v>
      </c>
      <c r="AC418" s="2">
        <f>INDEX(FPL_Raw_Data!$Q:$Q,MATCH(A418,FPL_Raw_Data!$AA:$AA,0))</f>
        <v>0</v>
      </c>
      <c r="AD418" s="8">
        <f>INDEX(FPL_Raw_Data!$R:$R,MATCH(A418,FPL_Raw_Data!$AA:$AA,0))</f>
        <v>0</v>
      </c>
      <c r="AE418" s="8">
        <f>INDEX(FPL_Raw_Data!$N:$N,MATCH(A418,FPL_Raw_Data!$AA:$AA,0))</f>
        <v>0</v>
      </c>
      <c r="AF418" s="8">
        <f>INDEX(FPL_Raw_Data!$L:$L,MATCH(A418,FPL_Raw_Data!$AA:$AA,0))</f>
        <v>0</v>
      </c>
      <c r="AG418" s="2">
        <f>INDEX(FPL_Raw_Data!$M:$M,MATCH(A418,FPL_Raw_Data!$AA:$AA,0))</f>
        <v>0</v>
      </c>
      <c r="AH418" s="2">
        <f t="shared" si="158"/>
        <v>0</v>
      </c>
      <c r="AI418" s="2">
        <f t="shared" si="159"/>
        <v>0</v>
      </c>
      <c r="AJ418" s="2">
        <f t="shared" si="160"/>
        <v>0</v>
      </c>
      <c r="AK418" s="2">
        <f t="shared" si="161"/>
        <v>0</v>
      </c>
      <c r="AL418" s="2">
        <f t="shared" si="162"/>
        <v>0</v>
      </c>
      <c r="AM418" s="2">
        <f t="shared" si="163"/>
        <v>0</v>
      </c>
      <c r="AN418" s="2">
        <f t="shared" si="164"/>
        <v>0</v>
      </c>
      <c r="AO418" s="3">
        <f t="shared" si="165"/>
        <v>0.1</v>
      </c>
      <c r="AP418">
        <f t="shared" si="166"/>
        <v>0</v>
      </c>
      <c r="AQ418">
        <f t="shared" si="167"/>
        <v>0.1</v>
      </c>
      <c r="AR418">
        <f t="shared" si="168"/>
        <v>0</v>
      </c>
      <c r="AS418" s="2">
        <f t="shared" si="169"/>
        <v>0</v>
      </c>
      <c r="AT418" s="2">
        <f>IFERROR(INDEX(Player_Model!$BC$2:$BC$596,MATCH($A418,Player_Model!$A$2:$A$596,0)),0)</f>
        <v>-0.37934525745257447</v>
      </c>
      <c r="AU418" s="2">
        <f>Table8[[#This Row],[Model Expected Points]]*Table8[[#This Row],[Fixture Adjustment]]</f>
        <v>-0.43170847305528004</v>
      </c>
      <c r="AV418" s="2">
        <f>Table8[[#This Row],[Fixture Adjusted Points / 90]]/Table8[[#This Row],[Price]]</f>
        <v>-0.10792711826382001</v>
      </c>
      <c r="AW418">
        <f t="shared" si="170"/>
        <v>0</v>
      </c>
      <c r="AX418">
        <f t="shared" si="171"/>
        <v>0.56901788617886173</v>
      </c>
      <c r="AY418" s="2">
        <f t="shared" si="172"/>
        <v>0</v>
      </c>
      <c r="AZ418" s="5">
        <f t="shared" si="173"/>
        <v>1.1380357723577235</v>
      </c>
      <c r="BA418">
        <f>Table8[[#This Row],[Model Score2]]</f>
        <v>-0.37934525745257447</v>
      </c>
      <c r="BB418">
        <f>IFERROR(INDEX(Player_Model!$BG$2:$BG$596,MATCH($A418,Player_Model!$A$2:$A$596,0)),"")</f>
        <v>120</v>
      </c>
      <c r="BC418" t="str">
        <f t="shared" si="174"/>
        <v>AVOID</v>
      </c>
      <c r="BD418">
        <f>IF(H418=1,Table8[[#This Row],[Model Score]],-10000)</f>
        <v>-0.37934525745257447</v>
      </c>
      <c r="BE418">
        <f>IFERROR(INDEX(Player_Model!$BF$2:$BF$596,MATCH($A418,Player_Model!$A$2:$A$596,0)),"")</f>
        <v>522</v>
      </c>
      <c r="BF418">
        <f>IFERROR(INDEX(Player_Model!$BG$2:$BG$596,MATCH($A418,Player_Model!$A$2:$A$596,0)),"")</f>
        <v>120</v>
      </c>
      <c r="BG418">
        <f>IFERROR(INDEX(Player_Model!$BE$2:$BE$596,MATCH($A418,Player_Model!$A$2:$A$596,0)),0)</f>
        <v>-0.37934525745257447</v>
      </c>
    </row>
    <row r="419" spans="1:59" x14ac:dyDescent="0.25">
      <c r="A419" t="str">
        <f>tblPlayers[first_name]&amp;" "&amp;tblPlayers[second_name]</f>
        <v>Alfie Cresswell</v>
      </c>
      <c r="B419" t="str">
        <f>_xlfn.SWITCH(tblPlayers[element_type],1,"GK",2,"DEF",3,"MID",4,"FWD")</f>
        <v>MID</v>
      </c>
      <c r="C419">
        <f>tblPlayers[team]</f>
        <v>13</v>
      </c>
      <c r="D419" t="str">
        <f>INDEX(tblTeams[Column1.short_name],MATCH(C419,tblTeams[Column1.id],0))</f>
        <v>LEE</v>
      </c>
      <c r="E419" s="4">
        <f>INDEX(FPL_Raw_Data!$F:$F,MATCH(A419,FPL_Raw_Data!$AA:$AA,0))/10</f>
        <v>4.5</v>
      </c>
      <c r="F419" s="4" t="str">
        <f>tblPlayers[[#This Row],[status]]</f>
        <v>a</v>
      </c>
      <c r="G419" s="4" t="b">
        <f>tblPlayers[[#This Row],[can_select]]</f>
        <v>1</v>
      </c>
      <c r="H419">
        <f>IF(AND(Table8[[#This Row],[Availability Status]]="a",Table8[[#This Row],[Can Select]]=TRUE),1,0)</f>
        <v>1</v>
      </c>
      <c r="I419">
        <f>tblPlayers[minutes]</f>
        <v>0</v>
      </c>
      <c r="J419" s="2">
        <f>Table8[[#This Row],[Minutes]]/90</f>
        <v>0</v>
      </c>
      <c r="K419" s="5">
        <f>IFERROR(Z419/(FIXTURE_ANALYSIS!$B$1-1),0)</f>
        <v>0</v>
      </c>
      <c r="L419">
        <f>tblPlayers[total_points]</f>
        <v>0</v>
      </c>
      <c r="M419">
        <f>tblPlayers[points_per_game]</f>
        <v>0</v>
      </c>
      <c r="N419">
        <f>tblPlayers[form]</f>
        <v>0</v>
      </c>
      <c r="O419">
        <f>tblPlayers[expected_goals]</f>
        <v>0</v>
      </c>
      <c r="P419">
        <f>tblPlayers[expected_assists]</f>
        <v>0</v>
      </c>
      <c r="Q419">
        <f>tblPlayers[expected_goal_involvements]</f>
        <v>0</v>
      </c>
      <c r="R419" s="2">
        <f t="shared" si="150"/>
        <v>0</v>
      </c>
      <c r="S419" s="5">
        <f t="shared" si="151"/>
        <v>0</v>
      </c>
      <c r="T419" s="5">
        <f t="shared" si="152"/>
        <v>0</v>
      </c>
      <c r="U419" s="5">
        <f t="shared" si="153"/>
        <v>0</v>
      </c>
      <c r="V419" s="3">
        <f t="shared" si="154"/>
        <v>0</v>
      </c>
      <c r="W419" s="5">
        <f t="shared" si="155"/>
        <v>0</v>
      </c>
      <c r="X419" s="5">
        <f>IFERROR(IF(OR($B419="MID",$B419="FWD"),INDEX(FIXTURE_ANALYSIS!$Q:$Q,MATCH($D419,FIXTURE_ANALYSIS!$A:$A,0)),INDEX(FIXTURE_ANALYSIS!$R:$R,MATCH($D419,FIXTURE_ANALYSIS!$A:$A,0))),1)</f>
        <v>0.9426384083044983</v>
      </c>
      <c r="Y419" s="5">
        <f t="shared" si="156"/>
        <v>0.9426384083044983</v>
      </c>
      <c r="Z419" s="8">
        <f>INDEX(FPL_Raw_Data!$T:$T,MATCH(A419,FPL_Raw_Data!$AA:$AA,0))</f>
        <v>0</v>
      </c>
      <c r="AA419" s="8">
        <f>INDEX(FPL_Raw_Data!$S:$S,MATCH(A419,FPL_Raw_Data!$AA:$AA,0))</f>
        <v>0</v>
      </c>
      <c r="AB419" s="2">
        <f t="shared" si="157"/>
        <v>0</v>
      </c>
      <c r="AC419" s="2">
        <f>INDEX(FPL_Raw_Data!$Q:$Q,MATCH(A419,FPL_Raw_Data!$AA:$AA,0))</f>
        <v>0</v>
      </c>
      <c r="AD419" s="8">
        <f>INDEX(FPL_Raw_Data!$R:$R,MATCH(A419,FPL_Raw_Data!$AA:$AA,0))</f>
        <v>0</v>
      </c>
      <c r="AE419" s="8">
        <f>INDEX(FPL_Raw_Data!$N:$N,MATCH(A419,FPL_Raw_Data!$AA:$AA,0))</f>
        <v>0</v>
      </c>
      <c r="AF419" s="8">
        <f>INDEX(FPL_Raw_Data!$L:$L,MATCH(A419,FPL_Raw_Data!$AA:$AA,0))</f>
        <v>0</v>
      </c>
      <c r="AG419" s="2">
        <f>INDEX(FPL_Raw_Data!$M:$M,MATCH(A419,FPL_Raw_Data!$AA:$AA,0))</f>
        <v>0</v>
      </c>
      <c r="AH419" s="2">
        <f t="shared" si="158"/>
        <v>0</v>
      </c>
      <c r="AI419" s="2">
        <f t="shared" si="159"/>
        <v>0</v>
      </c>
      <c r="AJ419" s="2">
        <f t="shared" si="160"/>
        <v>0</v>
      </c>
      <c r="AK419" s="2">
        <f t="shared" si="161"/>
        <v>0</v>
      </c>
      <c r="AL419" s="2">
        <f t="shared" si="162"/>
        <v>0</v>
      </c>
      <c r="AM419" s="2">
        <f t="shared" si="163"/>
        <v>0</v>
      </c>
      <c r="AN419" s="2">
        <f t="shared" si="164"/>
        <v>0</v>
      </c>
      <c r="AO419" s="3">
        <f t="shared" si="165"/>
        <v>0.1</v>
      </c>
      <c r="AP419">
        <f t="shared" si="166"/>
        <v>0</v>
      </c>
      <c r="AQ419">
        <f t="shared" si="167"/>
        <v>0.1</v>
      </c>
      <c r="AR419">
        <f t="shared" si="168"/>
        <v>0</v>
      </c>
      <c r="AS419" s="2">
        <f t="shared" si="169"/>
        <v>0</v>
      </c>
      <c r="AT419" s="2">
        <f>IFERROR(INDEX(Player_Model!$BC$2:$BC$596,MATCH($A419,Player_Model!$A$2:$A$596,0)),0)</f>
        <v>0</v>
      </c>
      <c r="AU419" s="2">
        <f>Table8[[#This Row],[Model Expected Points]]*Table8[[#This Row],[Fixture Adjustment]]</f>
        <v>0</v>
      </c>
      <c r="AV419" s="2">
        <f>Table8[[#This Row],[Fixture Adjusted Points / 90]]/Table8[[#This Row],[Price]]</f>
        <v>0</v>
      </c>
      <c r="AW419">
        <f t="shared" si="170"/>
        <v>0.05</v>
      </c>
      <c r="AX419">
        <f t="shared" si="171"/>
        <v>0</v>
      </c>
      <c r="AY419" s="2">
        <f t="shared" si="172"/>
        <v>0</v>
      </c>
      <c r="AZ419" s="5">
        <f t="shared" si="173"/>
        <v>0.9426384083044983</v>
      </c>
      <c r="BA419">
        <f>Table8[[#This Row],[Model Score2]]</f>
        <v>0</v>
      </c>
      <c r="BB419">
        <f>IFERROR(INDEX(Player_Model!$BG$2:$BG$596,MATCH($A419,Player_Model!$A$2:$A$596,0)),"")</f>
        <v>222</v>
      </c>
      <c r="BC419" t="str">
        <f t="shared" si="174"/>
        <v>AVOID</v>
      </c>
      <c r="BD419">
        <f>IF(H419=1,Table8[[#This Row],[Model Score]],-10000)</f>
        <v>0</v>
      </c>
      <c r="BE419">
        <f>IFERROR(INDEX(Player_Model!$BF$2:$BF$596,MATCH($A419,Player_Model!$A$2:$A$596,0)),"")</f>
        <v>253</v>
      </c>
      <c r="BF419">
        <f>IFERROR(INDEX(Player_Model!$BG$2:$BG$596,MATCH($A419,Player_Model!$A$2:$A$596,0)),"")</f>
        <v>222</v>
      </c>
      <c r="BG419">
        <f>IFERROR(INDEX(Player_Model!$BE$2:$BE$596,MATCH($A419,Player_Model!$A$2:$A$596,0)),0)</f>
        <v>0</v>
      </c>
    </row>
    <row r="420" spans="1:59" x14ac:dyDescent="0.25">
      <c r="A420" t="str">
        <f>tblPlayers[first_name]&amp;" "&amp;tblPlayers[second_name]</f>
        <v>Alex Cairns</v>
      </c>
      <c r="B420" t="str">
        <f>_xlfn.SWITCH(tblPlayers[element_type],1,"GK",2,"DEF",3,"MID",4,"FWD")</f>
        <v>GK</v>
      </c>
      <c r="C420">
        <f>tblPlayers[team]</f>
        <v>13</v>
      </c>
      <c r="D420" t="str">
        <f>INDEX(tblTeams[Column1.short_name],MATCH(C420,tblTeams[Column1.id],0))</f>
        <v>LEE</v>
      </c>
      <c r="E420" s="4">
        <f>INDEX(FPL_Raw_Data!$F:$F,MATCH(A420,FPL_Raw_Data!$AA:$AA,0))/10</f>
        <v>4</v>
      </c>
      <c r="F420" s="4" t="str">
        <f>tblPlayers[[#This Row],[status]]</f>
        <v>a</v>
      </c>
      <c r="G420" s="4" t="b">
        <f>tblPlayers[[#This Row],[can_select]]</f>
        <v>1</v>
      </c>
      <c r="H420">
        <f>IF(AND(Table8[[#This Row],[Availability Status]]="a",Table8[[#This Row],[Can Select]]=TRUE),1,0)</f>
        <v>1</v>
      </c>
      <c r="I420">
        <f>tblPlayers[minutes]</f>
        <v>0</v>
      </c>
      <c r="J420" s="2">
        <f>Table8[[#This Row],[Minutes]]/90</f>
        <v>0</v>
      </c>
      <c r="K420" s="5">
        <f>IFERROR(Z420/(FIXTURE_ANALYSIS!$B$1-1),0)</f>
        <v>0</v>
      </c>
      <c r="L420">
        <f>tblPlayers[total_points]</f>
        <v>0</v>
      </c>
      <c r="M420">
        <f>tblPlayers[points_per_game]</f>
        <v>0</v>
      </c>
      <c r="N420">
        <f>tblPlayers[form]</f>
        <v>0</v>
      </c>
      <c r="O420">
        <f>tblPlayers[expected_goals]</f>
        <v>0</v>
      </c>
      <c r="P420">
        <f>tblPlayers[expected_assists]</f>
        <v>0</v>
      </c>
      <c r="Q420">
        <f>tblPlayers[expected_goal_involvements]</f>
        <v>0</v>
      </c>
      <c r="R420" s="2">
        <f t="shared" si="150"/>
        <v>0</v>
      </c>
      <c r="S420" s="5">
        <f t="shared" si="151"/>
        <v>0</v>
      </c>
      <c r="T420" s="5">
        <f t="shared" si="152"/>
        <v>0</v>
      </c>
      <c r="U420" s="5">
        <f t="shared" si="153"/>
        <v>0</v>
      </c>
      <c r="V420" s="3">
        <f t="shared" si="154"/>
        <v>0</v>
      </c>
      <c r="W420" s="5">
        <f t="shared" si="155"/>
        <v>0</v>
      </c>
      <c r="X420" s="5">
        <f>IFERROR(IF(OR($B420="MID",$B420="FWD"),INDEX(FIXTURE_ANALYSIS!$Q:$Q,MATCH($D420,FIXTURE_ANALYSIS!$A:$A,0)),INDEX(FIXTURE_ANALYSIS!$R:$R,MATCH($D420,FIXTURE_ANALYSIS!$A:$A,0))),1)</f>
        <v>1.1380357723577235</v>
      </c>
      <c r="Y420" s="5">
        <f t="shared" si="156"/>
        <v>1.1380357723577235</v>
      </c>
      <c r="Z420" s="8">
        <f>INDEX(FPL_Raw_Data!$T:$T,MATCH(A420,FPL_Raw_Data!$AA:$AA,0))</f>
        <v>0</v>
      </c>
      <c r="AA420" s="8">
        <f>INDEX(FPL_Raw_Data!$S:$S,MATCH(A420,FPL_Raw_Data!$AA:$AA,0))</f>
        <v>0</v>
      </c>
      <c r="AB420" s="2">
        <f t="shared" si="157"/>
        <v>0</v>
      </c>
      <c r="AC420" s="2">
        <f>INDEX(FPL_Raw_Data!$Q:$Q,MATCH(A420,FPL_Raw_Data!$AA:$AA,0))</f>
        <v>0</v>
      </c>
      <c r="AD420" s="8">
        <f>INDEX(FPL_Raw_Data!$R:$R,MATCH(A420,FPL_Raw_Data!$AA:$AA,0))</f>
        <v>0</v>
      </c>
      <c r="AE420" s="8">
        <f>INDEX(FPL_Raw_Data!$N:$N,MATCH(A420,FPL_Raw_Data!$AA:$AA,0))</f>
        <v>0</v>
      </c>
      <c r="AF420" s="8">
        <f>INDEX(FPL_Raw_Data!$L:$L,MATCH(A420,FPL_Raw_Data!$AA:$AA,0))</f>
        <v>0</v>
      </c>
      <c r="AG420" s="2">
        <f>INDEX(FPL_Raw_Data!$M:$M,MATCH(A420,FPL_Raw_Data!$AA:$AA,0))</f>
        <v>0</v>
      </c>
      <c r="AH420" s="2">
        <f t="shared" si="158"/>
        <v>0</v>
      </c>
      <c r="AI420" s="2">
        <f t="shared" si="159"/>
        <v>0</v>
      </c>
      <c r="AJ420" s="2">
        <f t="shared" si="160"/>
        <v>0</v>
      </c>
      <c r="AK420" s="2">
        <f t="shared" si="161"/>
        <v>0</v>
      </c>
      <c r="AL420" s="2">
        <f t="shared" si="162"/>
        <v>0</v>
      </c>
      <c r="AM420" s="2">
        <f t="shared" si="163"/>
        <v>0</v>
      </c>
      <c r="AN420" s="2">
        <f t="shared" si="164"/>
        <v>0</v>
      </c>
      <c r="AO420" s="3">
        <f t="shared" si="165"/>
        <v>0.1</v>
      </c>
      <c r="AP420">
        <f t="shared" si="166"/>
        <v>0</v>
      </c>
      <c r="AQ420">
        <f t="shared" si="167"/>
        <v>0.1</v>
      </c>
      <c r="AR420">
        <f t="shared" si="168"/>
        <v>0</v>
      </c>
      <c r="AS420" s="2">
        <f t="shared" si="169"/>
        <v>0</v>
      </c>
      <c r="AT420" s="2">
        <f>IFERROR(INDEX(Player_Model!$BC$2:$BC$596,MATCH($A420,Player_Model!$A$2:$A$596,0)),0)</f>
        <v>0</v>
      </c>
      <c r="AU420" s="2">
        <f>Table8[[#This Row],[Model Expected Points]]*Table8[[#This Row],[Fixture Adjustment]]</f>
        <v>0</v>
      </c>
      <c r="AV420" s="2">
        <f>Table8[[#This Row],[Fixture Adjusted Points / 90]]/Table8[[#This Row],[Price]]</f>
        <v>0</v>
      </c>
      <c r="AW420">
        <f t="shared" si="170"/>
        <v>0</v>
      </c>
      <c r="AX420">
        <f t="shared" si="171"/>
        <v>0.56901788617886173</v>
      </c>
      <c r="AY420" s="2">
        <f t="shared" si="172"/>
        <v>0</v>
      </c>
      <c r="AZ420" s="5">
        <f t="shared" si="173"/>
        <v>1.1380357723577235</v>
      </c>
      <c r="BA420">
        <f>Table8[[#This Row],[Model Score2]]</f>
        <v>0</v>
      </c>
      <c r="BB420">
        <f>IFERROR(INDEX(Player_Model!$BG$2:$BG$596,MATCH($A420,Player_Model!$A$2:$A$596,0)),"")</f>
        <v>49</v>
      </c>
      <c r="BC420" t="str">
        <f t="shared" si="174"/>
        <v>AVOID</v>
      </c>
      <c r="BD420">
        <f>IF(H420=1,Table8[[#This Row],[Model Score]],-10000)</f>
        <v>0</v>
      </c>
      <c r="BE420">
        <f>IFERROR(INDEX(Player_Model!$BF$2:$BF$596,MATCH($A420,Player_Model!$A$2:$A$596,0)),"")</f>
        <v>253</v>
      </c>
      <c r="BF420">
        <f>IFERROR(INDEX(Player_Model!$BG$2:$BG$596,MATCH($A420,Player_Model!$A$2:$A$596,0)),"")</f>
        <v>49</v>
      </c>
      <c r="BG420">
        <f>IFERROR(INDEX(Player_Model!$BE$2:$BE$596,MATCH($A420,Player_Model!$A$2:$A$596,0)),0)</f>
        <v>0</v>
      </c>
    </row>
    <row r="421" spans="1:59" x14ac:dyDescent="0.25">
      <c r="A421" t="str">
        <f>tblPlayers[first_name]&amp;" "&amp;tblPlayers[second_name]</f>
        <v>Michael Zetterer</v>
      </c>
      <c r="B421" t="str">
        <f>_xlfn.SWITCH(tblPlayers[element_type],1,"GK",2,"DEF",3,"MID",4,"FWD")</f>
        <v>GK</v>
      </c>
      <c r="C421">
        <f>tblPlayers[team]</f>
        <v>13</v>
      </c>
      <c r="D421" t="str">
        <f>INDEX(tblTeams[Column1.short_name],MATCH(C421,tblTeams[Column1.id],0))</f>
        <v>LEE</v>
      </c>
      <c r="E421" s="4">
        <f>INDEX(FPL_Raw_Data!$F:$F,MATCH(A421,FPL_Raw_Data!$AA:$AA,0))/10</f>
        <v>4</v>
      </c>
      <c r="F421" s="4" t="str">
        <f>tblPlayers[[#This Row],[status]]</f>
        <v>a</v>
      </c>
      <c r="G421" s="4" t="b">
        <f>tblPlayers[[#This Row],[can_select]]</f>
        <v>1</v>
      </c>
      <c r="H421">
        <f>IF(AND(Table8[[#This Row],[Availability Status]]="a",Table8[[#This Row],[Can Select]]=TRUE),1,0)</f>
        <v>1</v>
      </c>
      <c r="I421">
        <f>tblPlayers[minutes]</f>
        <v>0</v>
      </c>
      <c r="J421" s="2">
        <f>Table8[[#This Row],[Minutes]]/90</f>
        <v>0</v>
      </c>
      <c r="K421" s="5">
        <f>IFERROR(Z421/(FIXTURE_ANALYSIS!$B$1-1),0)</f>
        <v>0</v>
      </c>
      <c r="L421">
        <f>tblPlayers[total_points]</f>
        <v>0</v>
      </c>
      <c r="M421">
        <f>tblPlayers[points_per_game]</f>
        <v>0</v>
      </c>
      <c r="N421">
        <f>tblPlayers[form]</f>
        <v>0</v>
      </c>
      <c r="O421">
        <f>tblPlayers[expected_goals]</f>
        <v>0</v>
      </c>
      <c r="P421">
        <f>tblPlayers[expected_assists]</f>
        <v>0</v>
      </c>
      <c r="Q421">
        <f>tblPlayers[expected_goal_involvements]</f>
        <v>0</v>
      </c>
      <c r="R421" s="2">
        <f t="shared" si="150"/>
        <v>0</v>
      </c>
      <c r="S421" s="5">
        <f t="shared" si="151"/>
        <v>0</v>
      </c>
      <c r="T421" s="5">
        <f t="shared" si="152"/>
        <v>0</v>
      </c>
      <c r="U421" s="5">
        <f t="shared" si="153"/>
        <v>0</v>
      </c>
      <c r="V421" s="3">
        <f t="shared" si="154"/>
        <v>0</v>
      </c>
      <c r="W421" s="5">
        <f t="shared" si="155"/>
        <v>0</v>
      </c>
      <c r="X421" s="5">
        <f>IFERROR(IF(OR($B421="MID",$B421="FWD"),INDEX(FIXTURE_ANALYSIS!$Q:$Q,MATCH($D421,FIXTURE_ANALYSIS!$A:$A,0)),INDEX(FIXTURE_ANALYSIS!$R:$R,MATCH($D421,FIXTURE_ANALYSIS!$A:$A,0))),1)</f>
        <v>1.1380357723577235</v>
      </c>
      <c r="Y421" s="5">
        <f t="shared" si="156"/>
        <v>1.1380357723577235</v>
      </c>
      <c r="Z421" s="8">
        <f>INDEX(FPL_Raw_Data!$T:$T,MATCH(A421,FPL_Raw_Data!$AA:$AA,0))</f>
        <v>0</v>
      </c>
      <c r="AA421" s="8">
        <f>INDEX(FPL_Raw_Data!$S:$S,MATCH(A421,FPL_Raw_Data!$AA:$AA,0))</f>
        <v>0</v>
      </c>
      <c r="AB421" s="2">
        <f t="shared" si="157"/>
        <v>0</v>
      </c>
      <c r="AC421" s="2">
        <f>INDEX(FPL_Raw_Data!$Q:$Q,MATCH(A421,FPL_Raw_Data!$AA:$AA,0))</f>
        <v>0</v>
      </c>
      <c r="AD421" s="8">
        <f>INDEX(FPL_Raw_Data!$R:$R,MATCH(A421,FPL_Raw_Data!$AA:$AA,0))</f>
        <v>0</v>
      </c>
      <c r="AE421" s="8">
        <f>INDEX(FPL_Raw_Data!$N:$N,MATCH(A421,FPL_Raw_Data!$AA:$AA,0))</f>
        <v>0</v>
      </c>
      <c r="AF421" s="8">
        <f>INDEX(FPL_Raw_Data!$L:$L,MATCH(A421,FPL_Raw_Data!$AA:$AA,0))</f>
        <v>0</v>
      </c>
      <c r="AG421" s="2">
        <f>INDEX(FPL_Raw_Data!$M:$M,MATCH(A421,FPL_Raw_Data!$AA:$AA,0))</f>
        <v>0</v>
      </c>
      <c r="AH421" s="2">
        <f t="shared" si="158"/>
        <v>0</v>
      </c>
      <c r="AI421" s="2">
        <f t="shared" si="159"/>
        <v>0</v>
      </c>
      <c r="AJ421" s="2">
        <f t="shared" si="160"/>
        <v>0</v>
      </c>
      <c r="AK421" s="2">
        <f t="shared" si="161"/>
        <v>0</v>
      </c>
      <c r="AL421" s="2">
        <f t="shared" si="162"/>
        <v>0</v>
      </c>
      <c r="AM421" s="2">
        <f t="shared" si="163"/>
        <v>0</v>
      </c>
      <c r="AN421" s="2">
        <f t="shared" si="164"/>
        <v>0</v>
      </c>
      <c r="AO421" s="3">
        <f t="shared" si="165"/>
        <v>0.1</v>
      </c>
      <c r="AP421">
        <f t="shared" si="166"/>
        <v>0</v>
      </c>
      <c r="AQ421">
        <f t="shared" si="167"/>
        <v>0.1</v>
      </c>
      <c r="AR421">
        <f t="shared" si="168"/>
        <v>0</v>
      </c>
      <c r="AS421" s="2">
        <f t="shared" si="169"/>
        <v>0</v>
      </c>
      <c r="AT421" s="2">
        <f>IFERROR(INDEX(Player_Model!$BC$2:$BC$596,MATCH($A421,Player_Model!$A$2:$A$596,0)),0)</f>
        <v>0</v>
      </c>
      <c r="AU421" s="2">
        <f>Table8[[#This Row],[Model Expected Points]]*Table8[[#This Row],[Fixture Adjustment]]</f>
        <v>0</v>
      </c>
      <c r="AV421" s="2">
        <f>Table8[[#This Row],[Fixture Adjusted Points / 90]]/Table8[[#This Row],[Price]]</f>
        <v>0</v>
      </c>
      <c r="AW421">
        <f t="shared" si="170"/>
        <v>0</v>
      </c>
      <c r="AX421">
        <f t="shared" si="171"/>
        <v>0.56901788617886173</v>
      </c>
      <c r="AY421" s="2">
        <f t="shared" si="172"/>
        <v>0</v>
      </c>
      <c r="AZ421" s="5">
        <f t="shared" si="173"/>
        <v>1.1380357723577235</v>
      </c>
      <c r="BA421">
        <f>Table8[[#This Row],[Model Score2]]</f>
        <v>0</v>
      </c>
      <c r="BB421">
        <f>IFERROR(INDEX(Player_Model!$BG$2:$BG$596,MATCH($A421,Player_Model!$A$2:$A$596,0)),"")</f>
        <v>50</v>
      </c>
      <c r="BC421" t="str">
        <f t="shared" si="174"/>
        <v>AVOID</v>
      </c>
      <c r="BD421">
        <f>IF(H421=1,Table8[[#This Row],[Model Score]],-10000)</f>
        <v>0</v>
      </c>
      <c r="BE421">
        <f>IFERROR(INDEX(Player_Model!$BF$2:$BF$596,MATCH($A421,Player_Model!$A$2:$A$596,0)),"")</f>
        <v>253</v>
      </c>
      <c r="BF421">
        <f>IFERROR(INDEX(Player_Model!$BG$2:$BG$596,MATCH($A421,Player_Model!$A$2:$A$596,0)),"")</f>
        <v>50</v>
      </c>
      <c r="BG421">
        <f>IFERROR(INDEX(Player_Model!$BE$2:$BE$596,MATCH($A421,Player_Model!$A$2:$A$596,0)),0)</f>
        <v>0</v>
      </c>
    </row>
    <row r="422" spans="1:59" x14ac:dyDescent="0.25">
      <c r="A422" t="str">
        <f>tblPlayers[first_name]&amp;" "&amp;tblPlayers[second_name]</f>
        <v>Melvin Bard</v>
      </c>
      <c r="B422" t="str">
        <f>_xlfn.SWITCH(tblPlayers[element_type],1,"GK",2,"DEF",3,"MID",4,"FWD")</f>
        <v>DEF</v>
      </c>
      <c r="C422">
        <f>tblPlayers[team]</f>
        <v>13</v>
      </c>
      <c r="D422" t="str">
        <f>INDEX(tblTeams[Column1.short_name],MATCH(C422,tblTeams[Column1.id],0))</f>
        <v>LEE</v>
      </c>
      <c r="E422" s="4">
        <f>INDEX(FPL_Raw_Data!$F:$F,MATCH(A422,FPL_Raw_Data!$AA:$AA,0))/10</f>
        <v>4.5</v>
      </c>
      <c r="F422" s="4" t="str">
        <f>tblPlayers[[#This Row],[status]]</f>
        <v>a</v>
      </c>
      <c r="G422" s="4" t="b">
        <f>tblPlayers[[#This Row],[can_select]]</f>
        <v>1</v>
      </c>
      <c r="H422">
        <f>IF(AND(Table8[[#This Row],[Availability Status]]="a",Table8[[#This Row],[Can Select]]=TRUE),1,0)</f>
        <v>1</v>
      </c>
      <c r="I422">
        <f>tblPlayers[minutes]</f>
        <v>0</v>
      </c>
      <c r="J422" s="2">
        <f>Table8[[#This Row],[Minutes]]/90</f>
        <v>0</v>
      </c>
      <c r="K422" s="5">
        <f>IFERROR(Z422/(FIXTURE_ANALYSIS!$B$1-1),0)</f>
        <v>0</v>
      </c>
      <c r="L422">
        <f>tblPlayers[total_points]</f>
        <v>0</v>
      </c>
      <c r="M422">
        <f>tblPlayers[points_per_game]</f>
        <v>0</v>
      </c>
      <c r="N422">
        <f>tblPlayers[form]</f>
        <v>0</v>
      </c>
      <c r="O422">
        <f>tblPlayers[expected_goals]</f>
        <v>0</v>
      </c>
      <c r="P422">
        <f>tblPlayers[expected_assists]</f>
        <v>0</v>
      </c>
      <c r="Q422">
        <f>tblPlayers[expected_goal_involvements]</f>
        <v>0</v>
      </c>
      <c r="R422" s="2">
        <f t="shared" si="150"/>
        <v>0</v>
      </c>
      <c r="S422" s="5">
        <f t="shared" si="151"/>
        <v>0</v>
      </c>
      <c r="T422" s="5">
        <f t="shared" si="152"/>
        <v>0</v>
      </c>
      <c r="U422" s="5">
        <f t="shared" si="153"/>
        <v>0</v>
      </c>
      <c r="V422" s="3">
        <f t="shared" si="154"/>
        <v>0</v>
      </c>
      <c r="W422" s="5">
        <f t="shared" si="155"/>
        <v>0</v>
      </c>
      <c r="X422" s="5">
        <f>IFERROR(IF(OR($B422="MID",$B422="FWD"),INDEX(FIXTURE_ANALYSIS!$Q:$Q,MATCH($D422,FIXTURE_ANALYSIS!$A:$A,0)),INDEX(FIXTURE_ANALYSIS!$R:$R,MATCH($D422,FIXTURE_ANALYSIS!$A:$A,0))),1)</f>
        <v>1.1380357723577235</v>
      </c>
      <c r="Y422" s="5">
        <f t="shared" si="156"/>
        <v>1.1380357723577235</v>
      </c>
      <c r="Z422" s="8">
        <f>INDEX(FPL_Raw_Data!$T:$T,MATCH(A422,FPL_Raw_Data!$AA:$AA,0))</f>
        <v>0</v>
      </c>
      <c r="AA422" s="8">
        <f>INDEX(FPL_Raw_Data!$S:$S,MATCH(A422,FPL_Raw_Data!$AA:$AA,0))</f>
        <v>0</v>
      </c>
      <c r="AB422" s="2">
        <f t="shared" si="157"/>
        <v>0</v>
      </c>
      <c r="AC422" s="2">
        <f>INDEX(FPL_Raw_Data!$Q:$Q,MATCH(A422,FPL_Raw_Data!$AA:$AA,0))</f>
        <v>0</v>
      </c>
      <c r="AD422" s="8">
        <f>INDEX(FPL_Raw_Data!$R:$R,MATCH(A422,FPL_Raw_Data!$AA:$AA,0))</f>
        <v>0</v>
      </c>
      <c r="AE422" s="8">
        <f>INDEX(FPL_Raw_Data!$N:$N,MATCH(A422,FPL_Raw_Data!$AA:$AA,0))</f>
        <v>0</v>
      </c>
      <c r="AF422" s="8">
        <f>INDEX(FPL_Raw_Data!$L:$L,MATCH(A422,FPL_Raw_Data!$AA:$AA,0))</f>
        <v>0</v>
      </c>
      <c r="AG422" s="2">
        <f>INDEX(FPL_Raw_Data!$M:$M,MATCH(A422,FPL_Raw_Data!$AA:$AA,0))</f>
        <v>0</v>
      </c>
      <c r="AH422" s="2">
        <f t="shared" si="158"/>
        <v>0</v>
      </c>
      <c r="AI422" s="2">
        <f t="shared" si="159"/>
        <v>0</v>
      </c>
      <c r="AJ422" s="2">
        <f t="shared" si="160"/>
        <v>0</v>
      </c>
      <c r="AK422" s="2">
        <f t="shared" si="161"/>
        <v>0</v>
      </c>
      <c r="AL422" s="2">
        <f t="shared" si="162"/>
        <v>0</v>
      </c>
      <c r="AM422" s="2">
        <f t="shared" si="163"/>
        <v>0</v>
      </c>
      <c r="AN422" s="2">
        <f t="shared" si="164"/>
        <v>0</v>
      </c>
      <c r="AO422" s="3">
        <f t="shared" si="165"/>
        <v>0.1</v>
      </c>
      <c r="AP422">
        <f t="shared" si="166"/>
        <v>0</v>
      </c>
      <c r="AQ422">
        <f t="shared" si="167"/>
        <v>0.1</v>
      </c>
      <c r="AR422">
        <f t="shared" si="168"/>
        <v>0</v>
      </c>
      <c r="AS422" s="2">
        <f t="shared" si="169"/>
        <v>0</v>
      </c>
      <c r="AT422" s="2">
        <f>IFERROR(INDEX(Player_Model!$BC$2:$BC$596,MATCH($A422,Player_Model!$A$2:$A$596,0)),0)</f>
        <v>-0.37934525745257447</v>
      </c>
      <c r="AU422" s="2">
        <f>Table8[[#This Row],[Model Expected Points]]*Table8[[#This Row],[Fixture Adjustment]]</f>
        <v>-0.43170847305528004</v>
      </c>
      <c r="AV422" s="2">
        <f>Table8[[#This Row],[Fixture Adjusted Points / 90]]/Table8[[#This Row],[Price]]</f>
        <v>-9.5935216234506682E-2</v>
      </c>
      <c r="AW422">
        <f t="shared" si="170"/>
        <v>0</v>
      </c>
      <c r="AX422">
        <f t="shared" si="171"/>
        <v>0.56901788617886173</v>
      </c>
      <c r="AY422" s="2">
        <f t="shared" si="172"/>
        <v>0</v>
      </c>
      <c r="AZ422" s="5">
        <f t="shared" si="173"/>
        <v>1.1380357723577235</v>
      </c>
      <c r="BA422">
        <f>Table8[[#This Row],[Model Score2]]</f>
        <v>-0.37934525745257447</v>
      </c>
      <c r="BB422">
        <f>IFERROR(INDEX(Player_Model!$BG$2:$BG$596,MATCH($A422,Player_Model!$A$2:$A$596,0)),"")</f>
        <v>121</v>
      </c>
      <c r="BC422" t="str">
        <f t="shared" si="174"/>
        <v>AVOID</v>
      </c>
      <c r="BD422">
        <f>IF(H422=1,Table8[[#This Row],[Model Score]],-10000)</f>
        <v>-0.37934525745257447</v>
      </c>
      <c r="BE422">
        <f>IFERROR(INDEX(Player_Model!$BF$2:$BF$596,MATCH($A422,Player_Model!$A$2:$A$596,0)),"")</f>
        <v>522</v>
      </c>
      <c r="BF422">
        <f>IFERROR(INDEX(Player_Model!$BG$2:$BG$596,MATCH($A422,Player_Model!$A$2:$A$596,0)),"")</f>
        <v>121</v>
      </c>
      <c r="BG422">
        <f>IFERROR(INDEX(Player_Model!$BE$2:$BE$596,MATCH($A422,Player_Model!$A$2:$A$596,0)),0)</f>
        <v>-0.37934525745257447</v>
      </c>
    </row>
    <row r="423" spans="1:59" x14ac:dyDescent="0.25">
      <c r="A423" t="str">
        <f>tblPlayers[first_name]&amp;" "&amp;tblPlayers[second_name]</f>
        <v>Jean-Mattéo Bahoya</v>
      </c>
      <c r="B423" t="str">
        <f>_xlfn.SWITCH(tblPlayers[element_type],1,"GK",2,"DEF",3,"MID",4,"FWD")</f>
        <v>MID</v>
      </c>
      <c r="C423">
        <f>tblPlayers[team]</f>
        <v>13</v>
      </c>
      <c r="D423" t="str">
        <f>INDEX(tblTeams[Column1.short_name],MATCH(C423,tblTeams[Column1.id],0))</f>
        <v>LEE</v>
      </c>
      <c r="E423" s="4">
        <f>INDEX(FPL_Raw_Data!$F:$F,MATCH(A423,FPL_Raw_Data!$AA:$AA,0))/10</f>
        <v>5</v>
      </c>
      <c r="F423" s="4" t="str">
        <f>tblPlayers[[#This Row],[status]]</f>
        <v>a</v>
      </c>
      <c r="G423" s="4" t="b">
        <f>tblPlayers[[#This Row],[can_select]]</f>
        <v>1</v>
      </c>
      <c r="H423">
        <f>IF(AND(Table8[[#This Row],[Availability Status]]="a",Table8[[#This Row],[Can Select]]=TRUE),1,0)</f>
        <v>1</v>
      </c>
      <c r="I423">
        <f>tblPlayers[minutes]</f>
        <v>0</v>
      </c>
      <c r="J423" s="2">
        <f>Table8[[#This Row],[Minutes]]/90</f>
        <v>0</v>
      </c>
      <c r="K423" s="5">
        <f>IFERROR(Z423/(FIXTURE_ANALYSIS!$B$1-1),0)</f>
        <v>0</v>
      </c>
      <c r="L423">
        <f>tblPlayers[total_points]</f>
        <v>0</v>
      </c>
      <c r="M423">
        <f>tblPlayers[points_per_game]</f>
        <v>0</v>
      </c>
      <c r="N423">
        <f>tblPlayers[form]</f>
        <v>0</v>
      </c>
      <c r="O423">
        <f>tblPlayers[expected_goals]</f>
        <v>0</v>
      </c>
      <c r="P423">
        <f>tblPlayers[expected_assists]</f>
        <v>0</v>
      </c>
      <c r="Q423">
        <f>tblPlayers[expected_goal_involvements]</f>
        <v>0</v>
      </c>
      <c r="R423" s="2">
        <f t="shared" si="150"/>
        <v>0</v>
      </c>
      <c r="S423" s="5">
        <f t="shared" si="151"/>
        <v>0</v>
      </c>
      <c r="T423" s="5">
        <f t="shared" si="152"/>
        <v>0</v>
      </c>
      <c r="U423" s="5">
        <f t="shared" si="153"/>
        <v>0</v>
      </c>
      <c r="V423" s="3">
        <f t="shared" si="154"/>
        <v>0</v>
      </c>
      <c r="W423" s="5">
        <f t="shared" si="155"/>
        <v>0</v>
      </c>
      <c r="X423" s="5">
        <f>IFERROR(IF(OR($B423="MID",$B423="FWD"),INDEX(FIXTURE_ANALYSIS!$Q:$Q,MATCH($D423,FIXTURE_ANALYSIS!$A:$A,0)),INDEX(FIXTURE_ANALYSIS!$R:$R,MATCH($D423,FIXTURE_ANALYSIS!$A:$A,0))),1)</f>
        <v>0.9426384083044983</v>
      </c>
      <c r="Y423" s="5">
        <f t="shared" si="156"/>
        <v>0.9426384083044983</v>
      </c>
      <c r="Z423" s="8">
        <f>INDEX(FPL_Raw_Data!$T:$T,MATCH(A423,FPL_Raw_Data!$AA:$AA,0))</f>
        <v>0</v>
      </c>
      <c r="AA423" s="8">
        <f>INDEX(FPL_Raw_Data!$S:$S,MATCH(A423,FPL_Raw_Data!$AA:$AA,0))</f>
        <v>0</v>
      </c>
      <c r="AB423" s="2">
        <f t="shared" si="157"/>
        <v>0</v>
      </c>
      <c r="AC423" s="2">
        <f>INDEX(FPL_Raw_Data!$Q:$Q,MATCH(A423,FPL_Raw_Data!$AA:$AA,0))</f>
        <v>0</v>
      </c>
      <c r="AD423" s="8">
        <f>INDEX(FPL_Raw_Data!$R:$R,MATCH(A423,FPL_Raw_Data!$AA:$AA,0))</f>
        <v>0</v>
      </c>
      <c r="AE423" s="8">
        <f>INDEX(FPL_Raw_Data!$N:$N,MATCH(A423,FPL_Raw_Data!$AA:$AA,0))</f>
        <v>0</v>
      </c>
      <c r="AF423" s="8">
        <f>INDEX(FPL_Raw_Data!$L:$L,MATCH(A423,FPL_Raw_Data!$AA:$AA,0))</f>
        <v>0</v>
      </c>
      <c r="AG423" s="2">
        <f>INDEX(FPL_Raw_Data!$M:$M,MATCH(A423,FPL_Raw_Data!$AA:$AA,0))</f>
        <v>0</v>
      </c>
      <c r="AH423" s="2">
        <f t="shared" si="158"/>
        <v>0</v>
      </c>
      <c r="AI423" s="2">
        <f t="shared" si="159"/>
        <v>0</v>
      </c>
      <c r="AJ423" s="2">
        <f t="shared" si="160"/>
        <v>0</v>
      </c>
      <c r="AK423" s="2">
        <f t="shared" si="161"/>
        <v>0</v>
      </c>
      <c r="AL423" s="2">
        <f t="shared" si="162"/>
        <v>0</v>
      </c>
      <c r="AM423" s="2">
        <f t="shared" si="163"/>
        <v>0</v>
      </c>
      <c r="AN423" s="2">
        <f t="shared" si="164"/>
        <v>0</v>
      </c>
      <c r="AO423" s="3">
        <f t="shared" si="165"/>
        <v>0.1</v>
      </c>
      <c r="AP423">
        <f t="shared" si="166"/>
        <v>0</v>
      </c>
      <c r="AQ423">
        <f t="shared" si="167"/>
        <v>0.1</v>
      </c>
      <c r="AR423">
        <f t="shared" si="168"/>
        <v>0</v>
      </c>
      <c r="AS423" s="2">
        <f t="shared" si="169"/>
        <v>0</v>
      </c>
      <c r="AT423" s="2">
        <f>IFERROR(INDEX(Player_Model!$BC$2:$BC$596,MATCH($A423,Player_Model!$A$2:$A$596,0)),0)</f>
        <v>0</v>
      </c>
      <c r="AU423" s="2">
        <f>Table8[[#This Row],[Model Expected Points]]*Table8[[#This Row],[Fixture Adjustment]]</f>
        <v>0</v>
      </c>
      <c r="AV423" s="2">
        <f>Table8[[#This Row],[Fixture Adjusted Points / 90]]/Table8[[#This Row],[Price]]</f>
        <v>0</v>
      </c>
      <c r="AW423">
        <f t="shared" si="170"/>
        <v>0.05</v>
      </c>
      <c r="AX423">
        <f t="shared" si="171"/>
        <v>0</v>
      </c>
      <c r="AY423" s="2">
        <f t="shared" si="172"/>
        <v>0</v>
      </c>
      <c r="AZ423" s="5">
        <f t="shared" si="173"/>
        <v>0.9426384083044983</v>
      </c>
      <c r="BA423">
        <f>Table8[[#This Row],[Model Score2]]</f>
        <v>0</v>
      </c>
      <c r="BB423">
        <f>IFERROR(INDEX(Player_Model!$BG$2:$BG$596,MATCH($A423,Player_Model!$A$2:$A$596,0)),"")</f>
        <v>223</v>
      </c>
      <c r="BC423" t="str">
        <f t="shared" si="174"/>
        <v>AVOID</v>
      </c>
      <c r="BD423">
        <f>IF(H423=1,Table8[[#This Row],[Model Score]],-10000)</f>
        <v>0</v>
      </c>
      <c r="BE423">
        <f>IFERROR(INDEX(Player_Model!$BF$2:$BF$596,MATCH($A423,Player_Model!$A$2:$A$596,0)),"")</f>
        <v>253</v>
      </c>
      <c r="BF423">
        <f>IFERROR(INDEX(Player_Model!$BG$2:$BG$596,MATCH($A423,Player_Model!$A$2:$A$596,0)),"")</f>
        <v>223</v>
      </c>
      <c r="BG423">
        <f>IFERROR(INDEX(Player_Model!$BE$2:$BE$596,MATCH($A423,Player_Model!$A$2:$A$596,0)),0)</f>
        <v>0</v>
      </c>
    </row>
    <row r="424" spans="1:59" x14ac:dyDescent="0.25">
      <c r="A424" t="str">
        <f>tblPlayers[first_name]&amp;" "&amp;tblPlayers[second_name]</f>
        <v>Alisson Becker</v>
      </c>
      <c r="B424" t="str">
        <f>_xlfn.SWITCH(tblPlayers[element_type],1,"GK",2,"DEF",3,"MID",4,"FWD")</f>
        <v>GK</v>
      </c>
      <c r="C424">
        <f>tblPlayers[team]</f>
        <v>14</v>
      </c>
      <c r="D424" t="str">
        <f>INDEX(tblTeams[Column1.short_name],MATCH(C424,tblTeams[Column1.id],0))</f>
        <v>LIV</v>
      </c>
      <c r="E424" s="4">
        <f>INDEX(FPL_Raw_Data!$F:$F,MATCH(A424,FPL_Raw_Data!$AA:$AA,0))/10</f>
        <v>5.5</v>
      </c>
      <c r="F424" s="4" t="str">
        <f>tblPlayers[[#This Row],[status]]</f>
        <v>a</v>
      </c>
      <c r="G424" s="4" t="b">
        <f>tblPlayers[[#This Row],[can_select]]</f>
        <v>1</v>
      </c>
      <c r="H424">
        <f>IF(AND(Table8[[#This Row],[Availability Status]]="a",Table8[[#This Row],[Can Select]]=TRUE),1,0)</f>
        <v>1</v>
      </c>
      <c r="I424">
        <f>tblPlayers[minutes]</f>
        <v>270</v>
      </c>
      <c r="J424" s="2">
        <f>Table8[[#This Row],[Minutes]]/90</f>
        <v>3</v>
      </c>
      <c r="K424" s="5">
        <f>IFERROR(Z424/(FIXTURE_ANALYSIS!$B$1-1),0)</f>
        <v>1</v>
      </c>
      <c r="L424">
        <f>tblPlayers[total_points]</f>
        <v>10</v>
      </c>
      <c r="M424">
        <f>tblPlayers[points_per_game]</f>
        <v>3.3</v>
      </c>
      <c r="N424">
        <f>tblPlayers[form]</f>
        <v>3.3</v>
      </c>
      <c r="O424">
        <f>tblPlayers[expected_goals]</f>
        <v>0</v>
      </c>
      <c r="P424">
        <f>tblPlayers[expected_assists]</f>
        <v>0</v>
      </c>
      <c r="Q424">
        <f>tblPlayers[expected_goal_involvements]</f>
        <v>0</v>
      </c>
      <c r="R424" s="2">
        <f t="shared" si="150"/>
        <v>3.333333333333333</v>
      </c>
      <c r="S424" s="5">
        <f t="shared" si="151"/>
        <v>0</v>
      </c>
      <c r="T424" s="5">
        <f t="shared" si="152"/>
        <v>0</v>
      </c>
      <c r="U424" s="5">
        <f t="shared" si="153"/>
        <v>0</v>
      </c>
      <c r="V424" s="3">
        <f t="shared" si="154"/>
        <v>1.8181818181818181</v>
      </c>
      <c r="W424" s="5">
        <f t="shared" si="155"/>
        <v>0</v>
      </c>
      <c r="X424" s="5">
        <f>IFERROR(IF(OR($B424="MID",$B424="FWD"),INDEX(FIXTURE_ANALYSIS!$Q:$Q,MATCH($D424,FIXTURE_ANALYSIS!$A:$A,0)),INDEX(FIXTURE_ANALYSIS!$R:$R,MATCH($D424,FIXTURE_ANALYSIS!$A:$A,0))),1)</f>
        <v>0.96585312585312599</v>
      </c>
      <c r="Y424" s="5">
        <f t="shared" si="156"/>
        <v>0.96585312585312599</v>
      </c>
      <c r="Z424" s="8">
        <f>INDEX(FPL_Raw_Data!$T:$T,MATCH(A424,FPL_Raw_Data!$AA:$AA,0))</f>
        <v>3</v>
      </c>
      <c r="AA424" s="8">
        <f>INDEX(FPL_Raw_Data!$S:$S,MATCH(A424,FPL_Raw_Data!$AA:$AA,0))</f>
        <v>0</v>
      </c>
      <c r="AB424" s="2">
        <f t="shared" si="157"/>
        <v>0</v>
      </c>
      <c r="AC424" s="2">
        <f>INDEX(FPL_Raw_Data!$Q:$Q,MATCH(A424,FPL_Raw_Data!$AA:$AA,0))</f>
        <v>1</v>
      </c>
      <c r="AD424" s="8">
        <f>INDEX(FPL_Raw_Data!$R:$R,MATCH(A424,FPL_Raw_Data!$AA:$AA,0))</f>
        <v>37</v>
      </c>
      <c r="AE424" s="8">
        <f>INDEX(FPL_Raw_Data!$N:$N,MATCH(A424,FPL_Raw_Data!$AA:$AA,0))</f>
        <v>1</v>
      </c>
      <c r="AF424" s="8">
        <f>INDEX(FPL_Raw_Data!$L:$L,MATCH(A424,FPL_Raw_Data!$AA:$AA,0))</f>
        <v>0</v>
      </c>
      <c r="AG424" s="2">
        <f>INDEX(FPL_Raw_Data!$M:$M,MATCH(A424,FPL_Raw_Data!$AA:$AA,0))</f>
        <v>0</v>
      </c>
      <c r="AH424" s="2">
        <f t="shared" si="158"/>
        <v>0</v>
      </c>
      <c r="AI424" s="2">
        <f t="shared" si="159"/>
        <v>0</v>
      </c>
      <c r="AJ424" s="2">
        <f t="shared" si="160"/>
        <v>2</v>
      </c>
      <c r="AK424" s="2">
        <f t="shared" si="161"/>
        <v>0</v>
      </c>
      <c r="AL424" s="2">
        <f t="shared" si="162"/>
        <v>0.33333333333333331</v>
      </c>
      <c r="AM424" s="2">
        <f t="shared" si="163"/>
        <v>1.3333333333333333</v>
      </c>
      <c r="AN424" s="2">
        <f t="shared" si="164"/>
        <v>0.33333333333333331</v>
      </c>
      <c r="AO424" s="3">
        <f t="shared" si="165"/>
        <v>62.2</v>
      </c>
      <c r="AP424">
        <f t="shared" si="166"/>
        <v>0</v>
      </c>
      <c r="AQ424">
        <f t="shared" si="167"/>
        <v>84.5</v>
      </c>
      <c r="AR424">
        <f t="shared" si="168"/>
        <v>0</v>
      </c>
      <c r="AS424" s="2">
        <f t="shared" si="169"/>
        <v>100</v>
      </c>
      <c r="AT424" s="2">
        <f>IFERROR(INDEX(Player_Model!$BC$2:$BC$596,MATCH($A424,Player_Model!$A$2:$A$596,0)),0)</f>
        <v>4.1856978791378792</v>
      </c>
      <c r="AU424" s="2">
        <f>Table8[[#This Row],[Model Expected Points]]*Table8[[#This Row],[Fixture Adjustment]]</f>
        <v>4.0427693804421203</v>
      </c>
      <c r="AV424" s="2">
        <f>Table8[[#This Row],[Fixture Adjusted Points / 90]]/Table8[[#This Row],[Price]]</f>
        <v>0.73504897826220372</v>
      </c>
      <c r="AW424">
        <f t="shared" si="170"/>
        <v>0</v>
      </c>
      <c r="AX424">
        <f t="shared" si="171"/>
        <v>50.482926562926565</v>
      </c>
      <c r="AY424" s="2">
        <f t="shared" si="172"/>
        <v>100</v>
      </c>
      <c r="AZ424" s="5">
        <f t="shared" si="173"/>
        <v>0.96585312585312599</v>
      </c>
      <c r="BA424">
        <f>Table8[[#This Row],[Model Score2]]</f>
        <v>4.1856978791378792</v>
      </c>
      <c r="BB424">
        <f>IFERROR(INDEX(Player_Model!$BG$2:$BG$596,MATCH($A424,Player_Model!$A$2:$A$596,0)),"")</f>
        <v>10</v>
      </c>
      <c r="BC424" t="str">
        <f t="shared" si="174"/>
        <v>CONSIDER</v>
      </c>
      <c r="BD424">
        <f>IF(H424=1,Table8[[#This Row],[Model Score]],-10000)</f>
        <v>4.1856978791378792</v>
      </c>
      <c r="BE424">
        <f>IFERROR(INDEX(Player_Model!$BF$2:$BF$596,MATCH($A424,Player_Model!$A$2:$A$596,0)),"")</f>
        <v>143</v>
      </c>
      <c r="BF424">
        <f>IFERROR(INDEX(Player_Model!$BG$2:$BG$596,MATCH($A424,Player_Model!$A$2:$A$596,0)),"")</f>
        <v>10</v>
      </c>
      <c r="BG424">
        <f>IFERROR(INDEX(Player_Model!$BE$2:$BE$596,MATCH($A424,Player_Model!$A$2:$A$596,0)),0)</f>
        <v>4.1856978791378792</v>
      </c>
    </row>
    <row r="425" spans="1:59" x14ac:dyDescent="0.25">
      <c r="A425" t="str">
        <f>tblPlayers[first_name]&amp;" "&amp;tblPlayers[second_name]</f>
        <v>Giorgi Mamardashvili</v>
      </c>
      <c r="B425" t="str">
        <f>_xlfn.SWITCH(tblPlayers[element_type],1,"GK",2,"DEF",3,"MID",4,"FWD")</f>
        <v>GK</v>
      </c>
      <c r="C425">
        <f>tblPlayers[team]</f>
        <v>14</v>
      </c>
      <c r="D425" t="str">
        <f>INDEX(tblTeams[Column1.short_name],MATCH(C425,tblTeams[Column1.id],0))</f>
        <v>LIV</v>
      </c>
      <c r="E425" s="4">
        <f>INDEX(FPL_Raw_Data!$F:$F,MATCH(A425,FPL_Raw_Data!$AA:$AA,0))/10</f>
        <v>4.9000000000000004</v>
      </c>
      <c r="F425" s="4" t="str">
        <f>tblPlayers[[#This Row],[status]]</f>
        <v>a</v>
      </c>
      <c r="G425" s="4" t="b">
        <f>tblPlayers[[#This Row],[can_select]]</f>
        <v>1</v>
      </c>
      <c r="H425">
        <f>IF(AND(Table8[[#This Row],[Availability Status]]="a",Table8[[#This Row],[Can Select]]=TRUE),1,0)</f>
        <v>1</v>
      </c>
      <c r="I425">
        <f>tblPlayers[minutes]</f>
        <v>0</v>
      </c>
      <c r="J425" s="2">
        <f>Table8[[#This Row],[Minutes]]/90</f>
        <v>0</v>
      </c>
      <c r="K425" s="5">
        <f>IFERROR(Z425/(FIXTURE_ANALYSIS!$B$1-1),0)</f>
        <v>0</v>
      </c>
      <c r="L425">
        <f>tblPlayers[total_points]</f>
        <v>0</v>
      </c>
      <c r="M425">
        <f>tblPlayers[points_per_game]</f>
        <v>0</v>
      </c>
      <c r="N425">
        <f>tblPlayers[form]</f>
        <v>0</v>
      </c>
      <c r="O425">
        <f>tblPlayers[expected_goals]</f>
        <v>0</v>
      </c>
      <c r="P425">
        <f>tblPlayers[expected_assists]</f>
        <v>0</v>
      </c>
      <c r="Q425">
        <f>tblPlayers[expected_goal_involvements]</f>
        <v>0</v>
      </c>
      <c r="R425" s="2">
        <f t="shared" si="150"/>
        <v>0</v>
      </c>
      <c r="S425" s="5">
        <f t="shared" si="151"/>
        <v>0</v>
      </c>
      <c r="T425" s="5">
        <f t="shared" si="152"/>
        <v>0</v>
      </c>
      <c r="U425" s="5">
        <f t="shared" si="153"/>
        <v>0</v>
      </c>
      <c r="V425" s="3">
        <f t="shared" si="154"/>
        <v>0</v>
      </c>
      <c r="W425" s="5">
        <f t="shared" si="155"/>
        <v>0</v>
      </c>
      <c r="X425" s="5">
        <f>IFERROR(IF(OR($B425="MID",$B425="FWD"),INDEX(FIXTURE_ANALYSIS!$Q:$Q,MATCH($D425,FIXTURE_ANALYSIS!$A:$A,0)),INDEX(FIXTURE_ANALYSIS!$R:$R,MATCH($D425,FIXTURE_ANALYSIS!$A:$A,0))),1)</f>
        <v>0.96585312585312599</v>
      </c>
      <c r="Y425" s="5">
        <f t="shared" si="156"/>
        <v>0.96585312585312599</v>
      </c>
      <c r="Z425" s="8">
        <f>INDEX(FPL_Raw_Data!$T:$T,MATCH(A425,FPL_Raw_Data!$AA:$AA,0))</f>
        <v>0</v>
      </c>
      <c r="AA425" s="8">
        <f>INDEX(FPL_Raw_Data!$S:$S,MATCH(A425,FPL_Raw_Data!$AA:$AA,0))</f>
        <v>0</v>
      </c>
      <c r="AB425" s="2">
        <f t="shared" si="157"/>
        <v>0</v>
      </c>
      <c r="AC425" s="2">
        <f>INDEX(FPL_Raw_Data!$Q:$Q,MATCH(A425,FPL_Raw_Data!$AA:$AA,0))</f>
        <v>0</v>
      </c>
      <c r="AD425" s="8">
        <f>INDEX(FPL_Raw_Data!$R:$R,MATCH(A425,FPL_Raw_Data!$AA:$AA,0))</f>
        <v>0</v>
      </c>
      <c r="AE425" s="8">
        <f>INDEX(FPL_Raw_Data!$N:$N,MATCH(A425,FPL_Raw_Data!$AA:$AA,0))</f>
        <v>0</v>
      </c>
      <c r="AF425" s="8">
        <f>INDEX(FPL_Raw_Data!$L:$L,MATCH(A425,FPL_Raw_Data!$AA:$AA,0))</f>
        <v>0</v>
      </c>
      <c r="AG425" s="2">
        <f>INDEX(FPL_Raw_Data!$M:$M,MATCH(A425,FPL_Raw_Data!$AA:$AA,0))</f>
        <v>0</v>
      </c>
      <c r="AH425" s="2">
        <f t="shared" si="158"/>
        <v>0</v>
      </c>
      <c r="AI425" s="2">
        <f t="shared" si="159"/>
        <v>0</v>
      </c>
      <c r="AJ425" s="2">
        <f t="shared" si="160"/>
        <v>0</v>
      </c>
      <c r="AK425" s="2">
        <f t="shared" si="161"/>
        <v>0</v>
      </c>
      <c r="AL425" s="2">
        <f t="shared" si="162"/>
        <v>0</v>
      </c>
      <c r="AM425" s="2">
        <f t="shared" si="163"/>
        <v>0</v>
      </c>
      <c r="AN425" s="2">
        <f t="shared" si="164"/>
        <v>0</v>
      </c>
      <c r="AO425" s="3">
        <f t="shared" si="165"/>
        <v>0.1</v>
      </c>
      <c r="AP425">
        <f t="shared" si="166"/>
        <v>0</v>
      </c>
      <c r="AQ425">
        <f t="shared" si="167"/>
        <v>0.1</v>
      </c>
      <c r="AR425">
        <f t="shared" si="168"/>
        <v>0</v>
      </c>
      <c r="AS425" s="2">
        <f t="shared" si="169"/>
        <v>0</v>
      </c>
      <c r="AT425" s="2">
        <f>IFERROR(INDEX(Player_Model!$BC$2:$BC$596,MATCH($A425,Player_Model!$A$2:$A$596,0)),0)</f>
        <v>0</v>
      </c>
      <c r="AU425" s="2">
        <f>Table8[[#This Row],[Model Expected Points]]*Table8[[#This Row],[Fixture Adjustment]]</f>
        <v>0</v>
      </c>
      <c r="AV425" s="2">
        <f>Table8[[#This Row],[Fixture Adjusted Points / 90]]/Table8[[#This Row],[Price]]</f>
        <v>0</v>
      </c>
      <c r="AW425">
        <f t="shared" si="170"/>
        <v>0</v>
      </c>
      <c r="AX425">
        <f t="shared" si="171"/>
        <v>0.482926562926563</v>
      </c>
      <c r="AY425" s="2">
        <f t="shared" si="172"/>
        <v>0</v>
      </c>
      <c r="AZ425" s="5">
        <f t="shared" si="173"/>
        <v>0.96585312585312599</v>
      </c>
      <c r="BA425">
        <f>Table8[[#This Row],[Model Score2]]</f>
        <v>0</v>
      </c>
      <c r="BB425">
        <f>IFERROR(INDEX(Player_Model!$BG$2:$BG$596,MATCH($A425,Player_Model!$A$2:$A$596,0)),"")</f>
        <v>51</v>
      </c>
      <c r="BC425" t="str">
        <f t="shared" si="174"/>
        <v>AVOID</v>
      </c>
      <c r="BD425">
        <f>IF(H425=1,Table8[[#This Row],[Model Score]],-10000)</f>
        <v>0</v>
      </c>
      <c r="BE425">
        <f>IFERROR(INDEX(Player_Model!$BF$2:$BF$596,MATCH($A425,Player_Model!$A$2:$A$596,0)),"")</f>
        <v>253</v>
      </c>
      <c r="BF425">
        <f>IFERROR(INDEX(Player_Model!$BG$2:$BG$596,MATCH($A425,Player_Model!$A$2:$A$596,0)),"")</f>
        <v>51</v>
      </c>
      <c r="BG425">
        <f>IFERROR(INDEX(Player_Model!$BE$2:$BE$596,MATCH($A425,Player_Model!$A$2:$A$596,0)),0)</f>
        <v>0</v>
      </c>
    </row>
    <row r="426" spans="1:59" x14ac:dyDescent="0.25">
      <c r="A426" t="str">
        <f>tblPlayers[first_name]&amp;" "&amp;tblPlayers[second_name]</f>
        <v>Freddie Woodman</v>
      </c>
      <c r="B426" t="str">
        <f>_xlfn.SWITCH(tblPlayers[element_type],1,"GK",2,"DEF",3,"MID",4,"FWD")</f>
        <v>GK</v>
      </c>
      <c r="C426">
        <f>tblPlayers[team]</f>
        <v>14</v>
      </c>
      <c r="D426" t="str">
        <f>INDEX(tblTeams[Column1.short_name],MATCH(C426,tblTeams[Column1.id],0))</f>
        <v>LIV</v>
      </c>
      <c r="E426" s="4">
        <f>INDEX(FPL_Raw_Data!$F:$F,MATCH(A426,FPL_Raw_Data!$AA:$AA,0))/10</f>
        <v>4</v>
      </c>
      <c r="F426" s="4" t="str">
        <f>tblPlayers[[#This Row],[status]]</f>
        <v>a</v>
      </c>
      <c r="G426" s="4" t="b">
        <f>tblPlayers[[#This Row],[can_select]]</f>
        <v>1</v>
      </c>
      <c r="H426">
        <f>IF(AND(Table8[[#This Row],[Availability Status]]="a",Table8[[#This Row],[Can Select]]=TRUE),1,0)</f>
        <v>1</v>
      </c>
      <c r="I426">
        <f>tblPlayers[minutes]</f>
        <v>0</v>
      </c>
      <c r="J426" s="2">
        <f>Table8[[#This Row],[Minutes]]/90</f>
        <v>0</v>
      </c>
      <c r="K426" s="5">
        <f>IFERROR(Z426/(FIXTURE_ANALYSIS!$B$1-1),0)</f>
        <v>0</v>
      </c>
      <c r="L426">
        <f>tblPlayers[total_points]</f>
        <v>0</v>
      </c>
      <c r="M426">
        <f>tblPlayers[points_per_game]</f>
        <v>0</v>
      </c>
      <c r="N426">
        <f>tblPlayers[form]</f>
        <v>0</v>
      </c>
      <c r="O426">
        <f>tblPlayers[expected_goals]</f>
        <v>0</v>
      </c>
      <c r="P426">
        <f>tblPlayers[expected_assists]</f>
        <v>0</v>
      </c>
      <c r="Q426">
        <f>tblPlayers[expected_goal_involvements]</f>
        <v>0</v>
      </c>
      <c r="R426" s="2">
        <f t="shared" si="150"/>
        <v>0</v>
      </c>
      <c r="S426" s="5">
        <f t="shared" si="151"/>
        <v>0</v>
      </c>
      <c r="T426" s="5">
        <f t="shared" si="152"/>
        <v>0</v>
      </c>
      <c r="U426" s="5">
        <f t="shared" si="153"/>
        <v>0</v>
      </c>
      <c r="V426" s="3">
        <f t="shared" si="154"/>
        <v>0</v>
      </c>
      <c r="W426" s="5">
        <f t="shared" si="155"/>
        <v>0</v>
      </c>
      <c r="X426" s="5">
        <f>IFERROR(IF(OR($B426="MID",$B426="FWD"),INDEX(FIXTURE_ANALYSIS!$Q:$Q,MATCH($D426,FIXTURE_ANALYSIS!$A:$A,0)),INDEX(FIXTURE_ANALYSIS!$R:$R,MATCH($D426,FIXTURE_ANALYSIS!$A:$A,0))),1)</f>
        <v>0.96585312585312599</v>
      </c>
      <c r="Y426" s="5">
        <f t="shared" si="156"/>
        <v>0.96585312585312599</v>
      </c>
      <c r="Z426" s="8">
        <f>INDEX(FPL_Raw_Data!$T:$T,MATCH(A426,FPL_Raw_Data!$AA:$AA,0))</f>
        <v>0</v>
      </c>
      <c r="AA426" s="8">
        <f>INDEX(FPL_Raw_Data!$S:$S,MATCH(A426,FPL_Raw_Data!$AA:$AA,0))</f>
        <v>0</v>
      </c>
      <c r="AB426" s="2">
        <f t="shared" si="157"/>
        <v>0</v>
      </c>
      <c r="AC426" s="2">
        <f>INDEX(FPL_Raw_Data!$Q:$Q,MATCH(A426,FPL_Raw_Data!$AA:$AA,0))</f>
        <v>0</v>
      </c>
      <c r="AD426" s="8">
        <f>INDEX(FPL_Raw_Data!$R:$R,MATCH(A426,FPL_Raw_Data!$AA:$AA,0))</f>
        <v>0</v>
      </c>
      <c r="AE426" s="8">
        <f>INDEX(FPL_Raw_Data!$N:$N,MATCH(A426,FPL_Raw_Data!$AA:$AA,0))</f>
        <v>0</v>
      </c>
      <c r="AF426" s="8">
        <f>INDEX(FPL_Raw_Data!$L:$L,MATCH(A426,FPL_Raw_Data!$AA:$AA,0))</f>
        <v>0</v>
      </c>
      <c r="AG426" s="2">
        <f>INDEX(FPL_Raw_Data!$M:$M,MATCH(A426,FPL_Raw_Data!$AA:$AA,0))</f>
        <v>0</v>
      </c>
      <c r="AH426" s="2">
        <f t="shared" si="158"/>
        <v>0</v>
      </c>
      <c r="AI426" s="2">
        <f t="shared" si="159"/>
        <v>0</v>
      </c>
      <c r="AJ426" s="2">
        <f t="shared" si="160"/>
        <v>0</v>
      </c>
      <c r="AK426" s="2">
        <f t="shared" si="161"/>
        <v>0</v>
      </c>
      <c r="AL426" s="2">
        <f t="shared" si="162"/>
        <v>0</v>
      </c>
      <c r="AM426" s="2">
        <f t="shared" si="163"/>
        <v>0</v>
      </c>
      <c r="AN426" s="2">
        <f t="shared" si="164"/>
        <v>0</v>
      </c>
      <c r="AO426" s="3">
        <f t="shared" si="165"/>
        <v>0.1</v>
      </c>
      <c r="AP426">
        <f t="shared" si="166"/>
        <v>0</v>
      </c>
      <c r="AQ426">
        <f t="shared" si="167"/>
        <v>0.1</v>
      </c>
      <c r="AR426">
        <f t="shared" si="168"/>
        <v>0</v>
      </c>
      <c r="AS426" s="2">
        <f t="shared" si="169"/>
        <v>0</v>
      </c>
      <c r="AT426" s="2">
        <f>IFERROR(INDEX(Player_Model!$BC$2:$BC$596,MATCH($A426,Player_Model!$A$2:$A$596,0)),0)</f>
        <v>0</v>
      </c>
      <c r="AU426" s="2">
        <f>Table8[[#This Row],[Model Expected Points]]*Table8[[#This Row],[Fixture Adjustment]]</f>
        <v>0</v>
      </c>
      <c r="AV426" s="2">
        <f>Table8[[#This Row],[Fixture Adjusted Points / 90]]/Table8[[#This Row],[Price]]</f>
        <v>0</v>
      </c>
      <c r="AW426">
        <f t="shared" si="170"/>
        <v>0</v>
      </c>
      <c r="AX426">
        <f t="shared" si="171"/>
        <v>0.482926562926563</v>
      </c>
      <c r="AY426" s="2">
        <f t="shared" si="172"/>
        <v>0</v>
      </c>
      <c r="AZ426" s="5">
        <f t="shared" si="173"/>
        <v>0.96585312585312599</v>
      </c>
      <c r="BA426">
        <f>Table8[[#This Row],[Model Score2]]</f>
        <v>0</v>
      </c>
      <c r="BB426">
        <f>IFERROR(INDEX(Player_Model!$BG$2:$BG$596,MATCH($A426,Player_Model!$A$2:$A$596,0)),"")</f>
        <v>52</v>
      </c>
      <c r="BC426" t="str">
        <f t="shared" si="174"/>
        <v>AVOID</v>
      </c>
      <c r="BD426">
        <f>IF(H426=1,Table8[[#This Row],[Model Score]],-10000)</f>
        <v>0</v>
      </c>
      <c r="BE426">
        <f>IFERROR(INDEX(Player_Model!$BF$2:$BF$596,MATCH($A426,Player_Model!$A$2:$A$596,0)),"")</f>
        <v>253</v>
      </c>
      <c r="BF426">
        <f>IFERROR(INDEX(Player_Model!$BG$2:$BG$596,MATCH($A426,Player_Model!$A$2:$A$596,0)),"")</f>
        <v>52</v>
      </c>
      <c r="BG426">
        <f>IFERROR(INDEX(Player_Model!$BE$2:$BE$596,MATCH($A426,Player_Model!$A$2:$A$596,0)),0)</f>
        <v>0</v>
      </c>
    </row>
    <row r="427" spans="1:59" x14ac:dyDescent="0.25">
      <c r="A427" t="str">
        <f>tblPlayers[first_name]&amp;" "&amp;tblPlayers[second_name]</f>
        <v>Armin Pecsi</v>
      </c>
      <c r="B427" t="str">
        <f>_xlfn.SWITCH(tblPlayers[element_type],1,"GK",2,"DEF",3,"MID",4,"FWD")</f>
        <v>GK</v>
      </c>
      <c r="C427">
        <f>tblPlayers[team]</f>
        <v>14</v>
      </c>
      <c r="D427" t="str">
        <f>INDEX(tblTeams[Column1.short_name],MATCH(C427,tblTeams[Column1.id],0))</f>
        <v>LIV</v>
      </c>
      <c r="E427" s="4">
        <f>INDEX(FPL_Raw_Data!$F:$F,MATCH(A427,FPL_Raw_Data!$AA:$AA,0))/10</f>
        <v>4</v>
      </c>
      <c r="F427" s="4" t="str">
        <f>tblPlayers[[#This Row],[status]]</f>
        <v>u</v>
      </c>
      <c r="G427" s="4" t="b">
        <f>tblPlayers[[#This Row],[can_select]]</f>
        <v>0</v>
      </c>
      <c r="H427">
        <f>IF(AND(Table8[[#This Row],[Availability Status]]="a",Table8[[#This Row],[Can Select]]=TRUE),1,0)</f>
        <v>0</v>
      </c>
      <c r="I427">
        <f>tblPlayers[minutes]</f>
        <v>0</v>
      </c>
      <c r="J427" s="2">
        <f>Table8[[#This Row],[Minutes]]/90</f>
        <v>0</v>
      </c>
      <c r="K427" s="5">
        <f>IFERROR(Z427/(FIXTURE_ANALYSIS!$B$1-1),0)</f>
        <v>0</v>
      </c>
      <c r="L427">
        <f>tblPlayers[total_points]</f>
        <v>0</v>
      </c>
      <c r="M427">
        <f>tblPlayers[points_per_game]</f>
        <v>0</v>
      </c>
      <c r="N427">
        <f>tblPlayers[form]</f>
        <v>0</v>
      </c>
      <c r="O427">
        <f>tblPlayers[expected_goals]</f>
        <v>0</v>
      </c>
      <c r="P427">
        <f>tblPlayers[expected_assists]</f>
        <v>0</v>
      </c>
      <c r="Q427">
        <f>tblPlayers[expected_goal_involvements]</f>
        <v>0</v>
      </c>
      <c r="R427" s="2">
        <f t="shared" si="150"/>
        <v>0</v>
      </c>
      <c r="S427" s="5">
        <f t="shared" si="151"/>
        <v>0</v>
      </c>
      <c r="T427" s="5">
        <f t="shared" si="152"/>
        <v>0</v>
      </c>
      <c r="U427" s="5">
        <f t="shared" si="153"/>
        <v>0</v>
      </c>
      <c r="V427" s="3">
        <f t="shared" si="154"/>
        <v>0</v>
      </c>
      <c r="W427" s="5">
        <f t="shared" si="155"/>
        <v>0</v>
      </c>
      <c r="X427" s="5">
        <f>IFERROR(IF(OR($B427="MID",$B427="FWD"),INDEX(FIXTURE_ANALYSIS!$Q:$Q,MATCH($D427,FIXTURE_ANALYSIS!$A:$A,0)),INDEX(FIXTURE_ANALYSIS!$R:$R,MATCH($D427,FIXTURE_ANALYSIS!$A:$A,0))),1)</f>
        <v>0.96585312585312599</v>
      </c>
      <c r="Y427" s="5">
        <f t="shared" si="156"/>
        <v>0.96585312585312599</v>
      </c>
      <c r="Z427" s="8">
        <f>INDEX(FPL_Raw_Data!$T:$T,MATCH(A427,FPL_Raw_Data!$AA:$AA,0))</f>
        <v>0</v>
      </c>
      <c r="AA427" s="8">
        <f>INDEX(FPL_Raw_Data!$S:$S,MATCH(A427,FPL_Raw_Data!$AA:$AA,0))</f>
        <v>0</v>
      </c>
      <c r="AB427" s="2">
        <f t="shared" si="157"/>
        <v>0</v>
      </c>
      <c r="AC427" s="2">
        <f>INDEX(FPL_Raw_Data!$Q:$Q,MATCH(A427,FPL_Raw_Data!$AA:$AA,0))</f>
        <v>0</v>
      </c>
      <c r="AD427" s="8">
        <f>INDEX(FPL_Raw_Data!$R:$R,MATCH(A427,FPL_Raw_Data!$AA:$AA,0))</f>
        <v>0</v>
      </c>
      <c r="AE427" s="8">
        <f>INDEX(FPL_Raw_Data!$N:$N,MATCH(A427,FPL_Raw_Data!$AA:$AA,0))</f>
        <v>0</v>
      </c>
      <c r="AF427" s="8">
        <f>INDEX(FPL_Raw_Data!$L:$L,MATCH(A427,FPL_Raw_Data!$AA:$AA,0))</f>
        <v>0</v>
      </c>
      <c r="AG427" s="2">
        <f>INDEX(FPL_Raw_Data!$M:$M,MATCH(A427,FPL_Raw_Data!$AA:$AA,0))</f>
        <v>0</v>
      </c>
      <c r="AH427" s="2">
        <f t="shared" si="158"/>
        <v>0</v>
      </c>
      <c r="AI427" s="2">
        <f t="shared" si="159"/>
        <v>0</v>
      </c>
      <c r="AJ427" s="2">
        <f t="shared" si="160"/>
        <v>0</v>
      </c>
      <c r="AK427" s="2">
        <f t="shared" si="161"/>
        <v>0</v>
      </c>
      <c r="AL427" s="2">
        <f t="shared" si="162"/>
        <v>0</v>
      </c>
      <c r="AM427" s="2">
        <f t="shared" si="163"/>
        <v>0</v>
      </c>
      <c r="AN427" s="2">
        <f t="shared" si="164"/>
        <v>0</v>
      </c>
      <c r="AO427" s="3">
        <f t="shared" si="165"/>
        <v>0.1</v>
      </c>
      <c r="AP427">
        <f t="shared" si="166"/>
        <v>0</v>
      </c>
      <c r="AQ427">
        <f t="shared" si="167"/>
        <v>0.1</v>
      </c>
      <c r="AR427">
        <f t="shared" si="168"/>
        <v>0</v>
      </c>
      <c r="AS427" s="2">
        <f t="shared" si="169"/>
        <v>0</v>
      </c>
      <c r="AT427" s="2">
        <f>IFERROR(INDEX(Player_Model!$BC$2:$BC$596,MATCH($A427,Player_Model!$A$2:$A$596,0)),0)</f>
        <v>0</v>
      </c>
      <c r="AU427" s="2">
        <f>Table8[[#This Row],[Model Expected Points]]*Table8[[#This Row],[Fixture Adjustment]]</f>
        <v>0</v>
      </c>
      <c r="AV427" s="2">
        <f>Table8[[#This Row],[Fixture Adjusted Points / 90]]/Table8[[#This Row],[Price]]</f>
        <v>0</v>
      </c>
      <c r="AW427">
        <f t="shared" si="170"/>
        <v>0</v>
      </c>
      <c r="AX427">
        <f t="shared" si="171"/>
        <v>0.482926562926563</v>
      </c>
      <c r="AY427" s="2">
        <f t="shared" si="172"/>
        <v>0</v>
      </c>
      <c r="AZ427" s="5">
        <f t="shared" si="173"/>
        <v>0.96585312585312599</v>
      </c>
      <c r="BA427">
        <f>Table8[[#This Row],[Model Score2]]</f>
        <v>0</v>
      </c>
      <c r="BB427">
        <f>IFERROR(INDEX(Player_Model!$BG$2:$BG$596,MATCH($A427,Player_Model!$A$2:$A$596,0)),"")</f>
        <v>53</v>
      </c>
      <c r="BC427" t="str">
        <f t="shared" si="174"/>
        <v>AVOID</v>
      </c>
      <c r="BD427">
        <f>IF(H427=1,Table8[[#This Row],[Model Score]],-10000)</f>
        <v>-10000</v>
      </c>
      <c r="BE427">
        <f>IFERROR(INDEX(Player_Model!$BF$2:$BF$596,MATCH($A427,Player_Model!$A$2:$A$596,0)),"")</f>
        <v>253</v>
      </c>
      <c r="BF427">
        <f>IFERROR(INDEX(Player_Model!$BG$2:$BG$596,MATCH($A427,Player_Model!$A$2:$A$596,0)),"")</f>
        <v>53</v>
      </c>
      <c r="BG427">
        <f>IFERROR(INDEX(Player_Model!$BE$2:$BE$596,MATCH($A427,Player_Model!$A$2:$A$596,0)),0)</f>
        <v>0</v>
      </c>
    </row>
    <row r="428" spans="1:59" x14ac:dyDescent="0.25">
      <c r="A428" t="str">
        <f>tblPlayers[first_name]&amp;" "&amp;tblPlayers[second_name]</f>
        <v>Vitezslav Jaros</v>
      </c>
      <c r="B428" t="str">
        <f>_xlfn.SWITCH(tblPlayers[element_type],1,"GK",2,"DEF",3,"MID",4,"FWD")</f>
        <v>GK</v>
      </c>
      <c r="C428">
        <f>tblPlayers[team]</f>
        <v>14</v>
      </c>
      <c r="D428" t="str">
        <f>INDEX(tblTeams[Column1.short_name],MATCH(C428,tblTeams[Column1.id],0))</f>
        <v>LIV</v>
      </c>
      <c r="E428" s="4">
        <f>INDEX(FPL_Raw_Data!$F:$F,MATCH(A428,FPL_Raw_Data!$AA:$AA,0))/10</f>
        <v>4</v>
      </c>
      <c r="F428" s="4" t="str">
        <f>tblPlayers[[#This Row],[status]]</f>
        <v>i</v>
      </c>
      <c r="G428" s="4" t="b">
        <f>tblPlayers[[#This Row],[can_select]]</f>
        <v>1</v>
      </c>
      <c r="H428">
        <f>IF(AND(Table8[[#This Row],[Availability Status]]="a",Table8[[#This Row],[Can Select]]=TRUE),1,0)</f>
        <v>0</v>
      </c>
      <c r="I428">
        <f>tblPlayers[minutes]</f>
        <v>0</v>
      </c>
      <c r="J428" s="2">
        <f>Table8[[#This Row],[Minutes]]/90</f>
        <v>0</v>
      </c>
      <c r="K428" s="5">
        <f>IFERROR(Z428/(FIXTURE_ANALYSIS!$B$1-1),0)</f>
        <v>0</v>
      </c>
      <c r="L428">
        <f>tblPlayers[total_points]</f>
        <v>0</v>
      </c>
      <c r="M428">
        <f>tblPlayers[points_per_game]</f>
        <v>0</v>
      </c>
      <c r="N428">
        <f>tblPlayers[form]</f>
        <v>0</v>
      </c>
      <c r="O428">
        <f>tblPlayers[expected_goals]</f>
        <v>0</v>
      </c>
      <c r="P428">
        <f>tblPlayers[expected_assists]</f>
        <v>0</v>
      </c>
      <c r="Q428">
        <f>tblPlayers[expected_goal_involvements]</f>
        <v>0</v>
      </c>
      <c r="R428" s="2">
        <f t="shared" si="150"/>
        <v>0</v>
      </c>
      <c r="S428" s="5">
        <f t="shared" si="151"/>
        <v>0</v>
      </c>
      <c r="T428" s="5">
        <f t="shared" si="152"/>
        <v>0</v>
      </c>
      <c r="U428" s="5">
        <f t="shared" si="153"/>
        <v>0</v>
      </c>
      <c r="V428" s="3">
        <f t="shared" si="154"/>
        <v>0</v>
      </c>
      <c r="W428" s="5">
        <f t="shared" si="155"/>
        <v>0</v>
      </c>
      <c r="X428" s="5">
        <f>IFERROR(IF(OR($B428="MID",$B428="FWD"),INDEX(FIXTURE_ANALYSIS!$Q:$Q,MATCH($D428,FIXTURE_ANALYSIS!$A:$A,0)),INDEX(FIXTURE_ANALYSIS!$R:$R,MATCH($D428,FIXTURE_ANALYSIS!$A:$A,0))),1)</f>
        <v>0.96585312585312599</v>
      </c>
      <c r="Y428" s="5">
        <f t="shared" si="156"/>
        <v>0.96585312585312599</v>
      </c>
      <c r="Z428" s="8">
        <f>INDEX(FPL_Raw_Data!$T:$T,MATCH(A428,FPL_Raw_Data!$AA:$AA,0))</f>
        <v>0</v>
      </c>
      <c r="AA428" s="8">
        <f>INDEX(FPL_Raw_Data!$S:$S,MATCH(A428,FPL_Raw_Data!$AA:$AA,0))</f>
        <v>0</v>
      </c>
      <c r="AB428" s="2">
        <f t="shared" si="157"/>
        <v>0</v>
      </c>
      <c r="AC428" s="2">
        <f>INDEX(FPL_Raw_Data!$Q:$Q,MATCH(A428,FPL_Raw_Data!$AA:$AA,0))</f>
        <v>0</v>
      </c>
      <c r="AD428" s="8">
        <f>INDEX(FPL_Raw_Data!$R:$R,MATCH(A428,FPL_Raw_Data!$AA:$AA,0))</f>
        <v>0</v>
      </c>
      <c r="AE428" s="8">
        <f>INDEX(FPL_Raw_Data!$N:$N,MATCH(A428,FPL_Raw_Data!$AA:$AA,0))</f>
        <v>0</v>
      </c>
      <c r="AF428" s="8">
        <f>INDEX(FPL_Raw_Data!$L:$L,MATCH(A428,FPL_Raw_Data!$AA:$AA,0))</f>
        <v>0</v>
      </c>
      <c r="AG428" s="2">
        <f>INDEX(FPL_Raw_Data!$M:$M,MATCH(A428,FPL_Raw_Data!$AA:$AA,0))</f>
        <v>0</v>
      </c>
      <c r="AH428" s="2">
        <f t="shared" si="158"/>
        <v>0</v>
      </c>
      <c r="AI428" s="2">
        <f t="shared" si="159"/>
        <v>0</v>
      </c>
      <c r="AJ428" s="2">
        <f t="shared" si="160"/>
        <v>0</v>
      </c>
      <c r="AK428" s="2">
        <f t="shared" si="161"/>
        <v>0</v>
      </c>
      <c r="AL428" s="2">
        <f t="shared" si="162"/>
        <v>0</v>
      </c>
      <c r="AM428" s="2">
        <f t="shared" si="163"/>
        <v>0</v>
      </c>
      <c r="AN428" s="2">
        <f t="shared" si="164"/>
        <v>0</v>
      </c>
      <c r="AO428" s="3">
        <f t="shared" si="165"/>
        <v>0.1</v>
      </c>
      <c r="AP428">
        <f t="shared" si="166"/>
        <v>0</v>
      </c>
      <c r="AQ428">
        <f t="shared" si="167"/>
        <v>0.1</v>
      </c>
      <c r="AR428">
        <f t="shared" si="168"/>
        <v>0</v>
      </c>
      <c r="AS428" s="2">
        <f t="shared" si="169"/>
        <v>0</v>
      </c>
      <c r="AT428" s="2">
        <f>IFERROR(INDEX(Player_Model!$BC$2:$BC$596,MATCH($A428,Player_Model!$A$2:$A$596,0)),0)</f>
        <v>0</v>
      </c>
      <c r="AU428" s="2">
        <f>Table8[[#This Row],[Model Expected Points]]*Table8[[#This Row],[Fixture Adjustment]]</f>
        <v>0</v>
      </c>
      <c r="AV428" s="2">
        <f>Table8[[#This Row],[Fixture Adjusted Points / 90]]/Table8[[#This Row],[Price]]</f>
        <v>0</v>
      </c>
      <c r="AW428">
        <f t="shared" si="170"/>
        <v>0</v>
      </c>
      <c r="AX428">
        <f t="shared" si="171"/>
        <v>0.482926562926563</v>
      </c>
      <c r="AY428" s="2">
        <f t="shared" si="172"/>
        <v>0</v>
      </c>
      <c r="AZ428" s="5">
        <f t="shared" si="173"/>
        <v>0.96585312585312599</v>
      </c>
      <c r="BA428">
        <f>Table8[[#This Row],[Model Score2]]</f>
        <v>0</v>
      </c>
      <c r="BB428">
        <f>IFERROR(INDEX(Player_Model!$BG$2:$BG$596,MATCH($A428,Player_Model!$A$2:$A$596,0)),"")</f>
        <v>54</v>
      </c>
      <c r="BC428" t="str">
        <f t="shared" si="174"/>
        <v>AVOID</v>
      </c>
      <c r="BD428">
        <f>IF(H428=1,Table8[[#This Row],[Model Score]],-10000)</f>
        <v>-10000</v>
      </c>
      <c r="BE428">
        <f>IFERROR(INDEX(Player_Model!$BF$2:$BF$596,MATCH($A428,Player_Model!$A$2:$A$596,0)),"")</f>
        <v>253</v>
      </c>
      <c r="BF428">
        <f>IFERROR(INDEX(Player_Model!$BG$2:$BG$596,MATCH($A428,Player_Model!$A$2:$A$596,0)),"")</f>
        <v>54</v>
      </c>
      <c r="BG428">
        <f>IFERROR(INDEX(Player_Model!$BE$2:$BE$596,MATCH($A428,Player_Model!$A$2:$A$596,0)),0)</f>
        <v>0</v>
      </c>
    </row>
    <row r="429" spans="1:59" x14ac:dyDescent="0.25">
      <c r="A429" t="str">
        <f>tblPlayers[first_name]&amp;" "&amp;tblPlayers[second_name]</f>
        <v>Harvey Davies</v>
      </c>
      <c r="B429" t="str">
        <f>_xlfn.SWITCH(tblPlayers[element_type],1,"GK",2,"DEF",3,"MID",4,"FWD")</f>
        <v>GK</v>
      </c>
      <c r="C429">
        <f>tblPlayers[team]</f>
        <v>14</v>
      </c>
      <c r="D429" t="str">
        <f>INDEX(tblTeams[Column1.short_name],MATCH(C429,tblTeams[Column1.id],0))</f>
        <v>LIV</v>
      </c>
      <c r="E429" s="4">
        <f>INDEX(FPL_Raw_Data!$F:$F,MATCH(A429,FPL_Raw_Data!$AA:$AA,0))/10</f>
        <v>4</v>
      </c>
      <c r="F429" s="4" t="str">
        <f>tblPlayers[[#This Row],[status]]</f>
        <v>a</v>
      </c>
      <c r="G429" s="4" t="b">
        <f>tblPlayers[[#This Row],[can_select]]</f>
        <v>1</v>
      </c>
      <c r="H429">
        <f>IF(AND(Table8[[#This Row],[Availability Status]]="a",Table8[[#This Row],[Can Select]]=TRUE),1,0)</f>
        <v>1</v>
      </c>
      <c r="I429">
        <f>tblPlayers[minutes]</f>
        <v>0</v>
      </c>
      <c r="J429" s="2">
        <f>Table8[[#This Row],[Minutes]]/90</f>
        <v>0</v>
      </c>
      <c r="K429" s="5">
        <f>IFERROR(Z429/(FIXTURE_ANALYSIS!$B$1-1),0)</f>
        <v>0</v>
      </c>
      <c r="L429">
        <f>tblPlayers[total_points]</f>
        <v>0</v>
      </c>
      <c r="M429">
        <f>tblPlayers[points_per_game]</f>
        <v>0</v>
      </c>
      <c r="N429">
        <f>tblPlayers[form]</f>
        <v>0</v>
      </c>
      <c r="O429">
        <f>tblPlayers[expected_goals]</f>
        <v>0</v>
      </c>
      <c r="P429">
        <f>tblPlayers[expected_assists]</f>
        <v>0</v>
      </c>
      <c r="Q429">
        <f>tblPlayers[expected_goal_involvements]</f>
        <v>0</v>
      </c>
      <c r="R429" s="2">
        <f t="shared" si="150"/>
        <v>0</v>
      </c>
      <c r="S429" s="5">
        <f t="shared" si="151"/>
        <v>0</v>
      </c>
      <c r="T429" s="5">
        <f t="shared" si="152"/>
        <v>0</v>
      </c>
      <c r="U429" s="5">
        <f t="shared" si="153"/>
        <v>0</v>
      </c>
      <c r="V429" s="3">
        <f t="shared" si="154"/>
        <v>0</v>
      </c>
      <c r="W429" s="5">
        <f t="shared" si="155"/>
        <v>0</v>
      </c>
      <c r="X429" s="5">
        <f>IFERROR(IF(OR($B429="MID",$B429="FWD"),INDEX(FIXTURE_ANALYSIS!$Q:$Q,MATCH($D429,FIXTURE_ANALYSIS!$A:$A,0)),INDEX(FIXTURE_ANALYSIS!$R:$R,MATCH($D429,FIXTURE_ANALYSIS!$A:$A,0))),1)</f>
        <v>0.96585312585312599</v>
      </c>
      <c r="Y429" s="5">
        <f t="shared" si="156"/>
        <v>0.96585312585312599</v>
      </c>
      <c r="Z429" s="8">
        <f>INDEX(FPL_Raw_Data!$T:$T,MATCH(A429,FPL_Raw_Data!$AA:$AA,0))</f>
        <v>0</v>
      </c>
      <c r="AA429" s="8">
        <f>INDEX(FPL_Raw_Data!$S:$S,MATCH(A429,FPL_Raw_Data!$AA:$AA,0))</f>
        <v>0</v>
      </c>
      <c r="AB429" s="2">
        <f t="shared" si="157"/>
        <v>0</v>
      </c>
      <c r="AC429" s="2">
        <f>INDEX(FPL_Raw_Data!$Q:$Q,MATCH(A429,FPL_Raw_Data!$AA:$AA,0))</f>
        <v>0</v>
      </c>
      <c r="AD429" s="8">
        <f>INDEX(FPL_Raw_Data!$R:$R,MATCH(A429,FPL_Raw_Data!$AA:$AA,0))</f>
        <v>0</v>
      </c>
      <c r="AE429" s="8">
        <f>INDEX(FPL_Raw_Data!$N:$N,MATCH(A429,FPL_Raw_Data!$AA:$AA,0))</f>
        <v>0</v>
      </c>
      <c r="AF429" s="8">
        <f>INDEX(FPL_Raw_Data!$L:$L,MATCH(A429,FPL_Raw_Data!$AA:$AA,0))</f>
        <v>0</v>
      </c>
      <c r="AG429" s="2">
        <f>INDEX(FPL_Raw_Data!$M:$M,MATCH(A429,FPL_Raw_Data!$AA:$AA,0))</f>
        <v>0</v>
      </c>
      <c r="AH429" s="2">
        <f t="shared" si="158"/>
        <v>0</v>
      </c>
      <c r="AI429" s="2">
        <f t="shared" si="159"/>
        <v>0</v>
      </c>
      <c r="AJ429" s="2">
        <f t="shared" si="160"/>
        <v>0</v>
      </c>
      <c r="AK429" s="2">
        <f t="shared" si="161"/>
        <v>0</v>
      </c>
      <c r="AL429" s="2">
        <f t="shared" si="162"/>
        <v>0</v>
      </c>
      <c r="AM429" s="2">
        <f t="shared" si="163"/>
        <v>0</v>
      </c>
      <c r="AN429" s="2">
        <f t="shared" si="164"/>
        <v>0</v>
      </c>
      <c r="AO429" s="3">
        <f t="shared" si="165"/>
        <v>0.1</v>
      </c>
      <c r="AP429">
        <f t="shared" si="166"/>
        <v>0</v>
      </c>
      <c r="AQ429">
        <f t="shared" si="167"/>
        <v>0.1</v>
      </c>
      <c r="AR429">
        <f t="shared" si="168"/>
        <v>0</v>
      </c>
      <c r="AS429" s="2">
        <f t="shared" si="169"/>
        <v>0</v>
      </c>
      <c r="AT429" s="2">
        <f>IFERROR(INDEX(Player_Model!$BC$2:$BC$596,MATCH($A429,Player_Model!$A$2:$A$596,0)),0)</f>
        <v>0</v>
      </c>
      <c r="AU429" s="2">
        <f>Table8[[#This Row],[Model Expected Points]]*Table8[[#This Row],[Fixture Adjustment]]</f>
        <v>0</v>
      </c>
      <c r="AV429" s="2">
        <f>Table8[[#This Row],[Fixture Adjusted Points / 90]]/Table8[[#This Row],[Price]]</f>
        <v>0</v>
      </c>
      <c r="AW429">
        <f t="shared" si="170"/>
        <v>0</v>
      </c>
      <c r="AX429">
        <f t="shared" si="171"/>
        <v>0.482926562926563</v>
      </c>
      <c r="AY429" s="2">
        <f t="shared" si="172"/>
        <v>0</v>
      </c>
      <c r="AZ429" s="5">
        <f t="shared" si="173"/>
        <v>0.96585312585312599</v>
      </c>
      <c r="BA429">
        <f>Table8[[#This Row],[Model Score2]]</f>
        <v>0</v>
      </c>
      <c r="BB429">
        <f>IFERROR(INDEX(Player_Model!$BG$2:$BG$596,MATCH($A429,Player_Model!$A$2:$A$596,0)),"")</f>
        <v>55</v>
      </c>
      <c r="BC429" t="str">
        <f t="shared" si="174"/>
        <v>AVOID</v>
      </c>
      <c r="BD429">
        <f>IF(H429=1,Table8[[#This Row],[Model Score]],-10000)</f>
        <v>0</v>
      </c>
      <c r="BE429">
        <f>IFERROR(INDEX(Player_Model!$BF$2:$BF$596,MATCH($A429,Player_Model!$A$2:$A$596,0)),"")</f>
        <v>253</v>
      </c>
      <c r="BF429">
        <f>IFERROR(INDEX(Player_Model!$BG$2:$BG$596,MATCH($A429,Player_Model!$A$2:$A$596,0)),"")</f>
        <v>55</v>
      </c>
      <c r="BG429">
        <f>IFERROR(INDEX(Player_Model!$BE$2:$BE$596,MATCH($A429,Player_Model!$A$2:$A$596,0)),0)</f>
        <v>0</v>
      </c>
    </row>
    <row r="430" spans="1:59" x14ac:dyDescent="0.25">
      <c r="A430" t="str">
        <f>tblPlayers[first_name]&amp;" "&amp;tblPlayers[second_name]</f>
        <v>Virgil van Dijk</v>
      </c>
      <c r="B430" t="str">
        <f>_xlfn.SWITCH(tblPlayers[element_type],1,"GK",2,"DEF",3,"MID",4,"FWD")</f>
        <v>DEF</v>
      </c>
      <c r="C430">
        <f>tblPlayers[team]</f>
        <v>14</v>
      </c>
      <c r="D430" t="str">
        <f>INDEX(tblTeams[Column1.short_name],MATCH(C430,tblTeams[Column1.id],0))</f>
        <v>LIV</v>
      </c>
      <c r="E430" s="4">
        <f>INDEX(FPL_Raw_Data!$F:$F,MATCH(A430,FPL_Raw_Data!$AA:$AA,0))/10</f>
        <v>6.5</v>
      </c>
      <c r="F430" s="4" t="str">
        <f>tblPlayers[[#This Row],[status]]</f>
        <v>a</v>
      </c>
      <c r="G430" s="4" t="b">
        <f>tblPlayers[[#This Row],[can_select]]</f>
        <v>1</v>
      </c>
      <c r="H430">
        <f>IF(AND(Table8[[#This Row],[Availability Status]]="a",Table8[[#This Row],[Can Select]]=TRUE),1,0)</f>
        <v>1</v>
      </c>
      <c r="I430">
        <f>tblPlayers[minutes]</f>
        <v>270</v>
      </c>
      <c r="J430" s="2">
        <f>Table8[[#This Row],[Minutes]]/90</f>
        <v>3</v>
      </c>
      <c r="K430" s="5">
        <f>IFERROR(Z430/(FIXTURE_ANALYSIS!$B$1-1),0)</f>
        <v>1</v>
      </c>
      <c r="L430">
        <f>tblPlayers[total_points]</f>
        <v>9</v>
      </c>
      <c r="M430">
        <f>tblPlayers[points_per_game]</f>
        <v>3</v>
      </c>
      <c r="N430">
        <f>tblPlayers[form]</f>
        <v>3</v>
      </c>
      <c r="O430">
        <f>tblPlayers[expected_goals]</f>
        <v>0.25</v>
      </c>
      <c r="P430">
        <f>tblPlayers[expected_assists]</f>
        <v>0.06</v>
      </c>
      <c r="Q430">
        <f>tblPlayers[expected_goal_involvements]</f>
        <v>0.31</v>
      </c>
      <c r="R430" s="2">
        <f t="shared" si="150"/>
        <v>3</v>
      </c>
      <c r="S430" s="5">
        <f t="shared" si="151"/>
        <v>8.3333333333333343E-2</v>
      </c>
      <c r="T430" s="5">
        <f t="shared" si="152"/>
        <v>1.9999999999999997E-2</v>
      </c>
      <c r="U430" s="5">
        <f t="shared" si="153"/>
        <v>0.10333333333333333</v>
      </c>
      <c r="V430" s="3">
        <f t="shared" si="154"/>
        <v>1.3846153846153846</v>
      </c>
      <c r="W430" s="5">
        <f t="shared" si="155"/>
        <v>4.7692307692307694E-2</v>
      </c>
      <c r="X430" s="5">
        <f>IFERROR(IF(OR($B430="MID",$B430="FWD"),INDEX(FIXTURE_ANALYSIS!$Q:$Q,MATCH($D430,FIXTURE_ANALYSIS!$A:$A,0)),INDEX(FIXTURE_ANALYSIS!$R:$R,MATCH($D430,FIXTURE_ANALYSIS!$A:$A,0))),1)</f>
        <v>0.96585312585312599</v>
      </c>
      <c r="Y430" s="5">
        <f t="shared" si="156"/>
        <v>0.96585312585312599</v>
      </c>
      <c r="Z430" s="8">
        <f>INDEX(FPL_Raw_Data!$T:$T,MATCH(A430,FPL_Raw_Data!$AA:$AA,0))</f>
        <v>3</v>
      </c>
      <c r="AA430" s="8">
        <f>INDEX(FPL_Raw_Data!$S:$S,MATCH(A430,FPL_Raw_Data!$AA:$AA,0))</f>
        <v>25</v>
      </c>
      <c r="AB430" s="2">
        <f t="shared" si="157"/>
        <v>1</v>
      </c>
      <c r="AC430" s="2">
        <f>INDEX(FPL_Raw_Data!$Q:$Q,MATCH(A430,FPL_Raw_Data!$AA:$AA,0))</f>
        <v>0</v>
      </c>
      <c r="AD430" s="8">
        <f>INDEX(FPL_Raw_Data!$R:$R,MATCH(A430,FPL_Raw_Data!$AA:$AA,0))</f>
        <v>45</v>
      </c>
      <c r="AE430" s="8">
        <f>INDEX(FPL_Raw_Data!$N:$N,MATCH(A430,FPL_Raw_Data!$AA:$AA,0))</f>
        <v>1</v>
      </c>
      <c r="AF430" s="8">
        <f>INDEX(FPL_Raw_Data!$L:$L,MATCH(A430,FPL_Raw_Data!$AA:$AA,0))</f>
        <v>0</v>
      </c>
      <c r="AG430" s="2">
        <f>INDEX(FPL_Raw_Data!$M:$M,MATCH(A430,FPL_Raw_Data!$AA:$AA,0))</f>
        <v>0</v>
      </c>
      <c r="AH430" s="2">
        <f t="shared" si="158"/>
        <v>0.5</v>
      </c>
      <c r="AI430" s="2">
        <f t="shared" si="159"/>
        <v>5.9999999999999991E-2</v>
      </c>
      <c r="AJ430" s="2">
        <f t="shared" si="160"/>
        <v>2</v>
      </c>
      <c r="AK430" s="2">
        <f t="shared" si="161"/>
        <v>2</v>
      </c>
      <c r="AL430" s="2">
        <f t="shared" si="162"/>
        <v>0.33333333333333331</v>
      </c>
      <c r="AM430" s="2">
        <f t="shared" si="163"/>
        <v>1.3333333333333333</v>
      </c>
      <c r="AN430" s="2">
        <f t="shared" si="164"/>
        <v>0</v>
      </c>
      <c r="AO430" s="3">
        <f t="shared" si="165"/>
        <v>58.4</v>
      </c>
      <c r="AP430">
        <f t="shared" si="166"/>
        <v>68.300000000000011</v>
      </c>
      <c r="AQ430">
        <f t="shared" si="167"/>
        <v>75.900000000000006</v>
      </c>
      <c r="AR430">
        <f t="shared" si="168"/>
        <v>74.900000000000006</v>
      </c>
      <c r="AS430" s="2">
        <f t="shared" si="169"/>
        <v>100</v>
      </c>
      <c r="AT430" s="2">
        <f>IFERROR(INDEX(Player_Model!$BC$2:$BC$596,MATCH($A430,Player_Model!$A$2:$A$596,0)),0)</f>
        <v>4.7302874727323356</v>
      </c>
      <c r="AU430" s="2">
        <f>Table8[[#This Row],[Model Expected Points]]*Table8[[#This Row],[Fixture Adjustment]]</f>
        <v>4.5687629417224098</v>
      </c>
      <c r="AV430" s="2">
        <f>Table8[[#This Row],[Fixture Adjusted Points / 90]]/Table8[[#This Row],[Price]]</f>
        <v>0.70288660641883227</v>
      </c>
      <c r="AW430">
        <f t="shared" si="170"/>
        <v>68.300000000000011</v>
      </c>
      <c r="AX430">
        <f t="shared" si="171"/>
        <v>0.982926562926563</v>
      </c>
      <c r="AY430" s="2">
        <f t="shared" si="172"/>
        <v>100</v>
      </c>
      <c r="AZ430" s="5">
        <f t="shared" si="173"/>
        <v>0.96585312585312599</v>
      </c>
      <c r="BA430">
        <f>Table8[[#This Row],[Model Score2]]</f>
        <v>4.7302874727323356</v>
      </c>
      <c r="BB430">
        <f>IFERROR(INDEX(Player_Model!$BG$2:$BG$596,MATCH($A430,Player_Model!$A$2:$A$596,0)),"")</f>
        <v>41</v>
      </c>
      <c r="BC430" t="str">
        <f t="shared" si="174"/>
        <v>AVOID</v>
      </c>
      <c r="BD430">
        <f>IF(H430=1,Table8[[#This Row],[Model Score]],-10000)</f>
        <v>4.7302874727323356</v>
      </c>
      <c r="BE430">
        <f>IFERROR(INDEX(Player_Model!$BF$2:$BF$596,MATCH($A430,Player_Model!$A$2:$A$596,0)),"")</f>
        <v>111</v>
      </c>
      <c r="BF430">
        <f>IFERROR(INDEX(Player_Model!$BG$2:$BG$596,MATCH($A430,Player_Model!$A$2:$A$596,0)),"")</f>
        <v>41</v>
      </c>
      <c r="BG430">
        <f>IFERROR(INDEX(Player_Model!$BE$2:$BE$596,MATCH($A430,Player_Model!$A$2:$A$596,0)),0)</f>
        <v>4.7302874727323356</v>
      </c>
    </row>
    <row r="431" spans="1:59" x14ac:dyDescent="0.25">
      <c r="A431" t="str">
        <f>tblPlayers[first_name]&amp;" "&amp;tblPlayers[second_name]</f>
        <v>Jeremie Frimpong</v>
      </c>
      <c r="B431" t="str">
        <f>_xlfn.SWITCH(tblPlayers[element_type],1,"GK",2,"DEF",3,"MID",4,"FWD")</f>
        <v>DEF</v>
      </c>
      <c r="C431">
        <f>tblPlayers[team]</f>
        <v>14</v>
      </c>
      <c r="D431" t="str">
        <f>INDEX(tblTeams[Column1.short_name],MATCH(C431,tblTeams[Column1.id],0))</f>
        <v>LIV</v>
      </c>
      <c r="E431" s="4">
        <f>INDEX(FPL_Raw_Data!$F:$F,MATCH(A431,FPL_Raw_Data!$AA:$AA,0))/10</f>
        <v>5.4</v>
      </c>
      <c r="F431" s="4" t="str">
        <f>tblPlayers[[#This Row],[status]]</f>
        <v>a</v>
      </c>
      <c r="G431" s="4" t="b">
        <f>tblPlayers[[#This Row],[can_select]]</f>
        <v>1</v>
      </c>
      <c r="H431">
        <f>IF(AND(Table8[[#This Row],[Availability Status]]="a",Table8[[#This Row],[Can Select]]=TRUE),1,0)</f>
        <v>1</v>
      </c>
      <c r="I431">
        <f>tblPlayers[minutes]</f>
        <v>160</v>
      </c>
      <c r="J431" s="2">
        <f>Table8[[#This Row],[Minutes]]/90</f>
        <v>1.7777777777777777</v>
      </c>
      <c r="K431" s="5">
        <f>IFERROR(Z431/(FIXTURE_ANALYSIS!$B$1-1),0)</f>
        <v>0.66666666666666663</v>
      </c>
      <c r="L431">
        <f>tblPlayers[total_points]</f>
        <v>1</v>
      </c>
      <c r="M431">
        <f>tblPlayers[points_per_game]</f>
        <v>0.5</v>
      </c>
      <c r="N431">
        <f>tblPlayers[form]</f>
        <v>0.3</v>
      </c>
      <c r="O431">
        <f>tblPlayers[expected_goals]</f>
        <v>0.01</v>
      </c>
      <c r="P431">
        <f>tblPlayers[expected_assists]</f>
        <v>0.11</v>
      </c>
      <c r="Q431">
        <f>tblPlayers[expected_goal_involvements]</f>
        <v>0.12</v>
      </c>
      <c r="R431" s="2">
        <f t="shared" si="150"/>
        <v>0.5625</v>
      </c>
      <c r="S431" s="5">
        <f t="shared" si="151"/>
        <v>5.6249999999999998E-3</v>
      </c>
      <c r="T431" s="5">
        <f t="shared" si="152"/>
        <v>6.1874999999999999E-2</v>
      </c>
      <c r="U431" s="5">
        <f t="shared" si="153"/>
        <v>6.7500000000000004E-2</v>
      </c>
      <c r="V431" s="3">
        <f t="shared" si="154"/>
        <v>0.18518518518518517</v>
      </c>
      <c r="W431" s="5">
        <f t="shared" si="155"/>
        <v>2.222222222222222E-2</v>
      </c>
      <c r="X431" s="5">
        <f>IFERROR(IF(OR($B431="MID",$B431="FWD"),INDEX(FIXTURE_ANALYSIS!$Q:$Q,MATCH($D431,FIXTURE_ANALYSIS!$A:$A,0)),INDEX(FIXTURE_ANALYSIS!$R:$R,MATCH($D431,FIXTURE_ANALYSIS!$A:$A,0))),1)</f>
        <v>0.96585312585312599</v>
      </c>
      <c r="Y431" s="5">
        <f t="shared" si="156"/>
        <v>0.96585312585312599</v>
      </c>
      <c r="Z431" s="8">
        <f>INDEX(FPL_Raw_Data!$T:$T,MATCH(A431,FPL_Raw_Data!$AA:$AA,0))</f>
        <v>2</v>
      </c>
      <c r="AA431" s="8">
        <f>INDEX(FPL_Raw_Data!$S:$S,MATCH(A431,FPL_Raw_Data!$AA:$AA,0))</f>
        <v>8</v>
      </c>
      <c r="AB431" s="2">
        <f t="shared" si="157"/>
        <v>0.8</v>
      </c>
      <c r="AC431" s="2">
        <f>INDEX(FPL_Raw_Data!$Q:$Q,MATCH(A431,FPL_Raw_Data!$AA:$AA,0))</f>
        <v>0</v>
      </c>
      <c r="AD431" s="8">
        <f>INDEX(FPL_Raw_Data!$R:$R,MATCH(A431,FPL_Raw_Data!$AA:$AA,0))</f>
        <v>12</v>
      </c>
      <c r="AE431" s="8">
        <f>INDEX(FPL_Raw_Data!$N:$N,MATCH(A431,FPL_Raw_Data!$AA:$AA,0))</f>
        <v>0</v>
      </c>
      <c r="AF431" s="8">
        <f>INDEX(FPL_Raw_Data!$L:$L,MATCH(A431,FPL_Raw_Data!$AA:$AA,0))</f>
        <v>0</v>
      </c>
      <c r="AG431" s="2">
        <f>INDEX(FPL_Raw_Data!$M:$M,MATCH(A431,FPL_Raw_Data!$AA:$AA,0))</f>
        <v>0</v>
      </c>
      <c r="AH431" s="2">
        <f t="shared" si="158"/>
        <v>3.3750000000000002E-2</v>
      </c>
      <c r="AI431" s="2">
        <f t="shared" si="159"/>
        <v>0.18562499999999998</v>
      </c>
      <c r="AJ431" s="2">
        <f t="shared" si="160"/>
        <v>1.3333333333333333</v>
      </c>
      <c r="AK431" s="2">
        <f t="shared" si="161"/>
        <v>1.6</v>
      </c>
      <c r="AL431" s="2">
        <f t="shared" si="162"/>
        <v>0</v>
      </c>
      <c r="AM431" s="2">
        <f t="shared" si="163"/>
        <v>0</v>
      </c>
      <c r="AN431" s="2">
        <f t="shared" si="164"/>
        <v>0</v>
      </c>
      <c r="AO431" s="3">
        <f t="shared" si="165"/>
        <v>41.199999999999996</v>
      </c>
      <c r="AP431">
        <f t="shared" si="166"/>
        <v>64.600000000000009</v>
      </c>
      <c r="AQ431">
        <f t="shared" si="167"/>
        <v>43.4</v>
      </c>
      <c r="AR431">
        <f t="shared" si="168"/>
        <v>67.800000000000011</v>
      </c>
      <c r="AS431" s="2">
        <f t="shared" si="169"/>
        <v>66.666666666666657</v>
      </c>
      <c r="AT431" s="2">
        <f>IFERROR(INDEX(Player_Model!$BC$2:$BC$596,MATCH($A431,Player_Model!$A$2:$A$596,0)),0)</f>
        <v>2.5707828135958373</v>
      </c>
      <c r="AU431" s="2">
        <f>Table8[[#This Row],[Model Expected Points]]*Table8[[#This Row],[Fixture Adjustment]]</f>
        <v>2.4829986164010336</v>
      </c>
      <c r="AV431" s="2">
        <f>Table8[[#This Row],[Fixture Adjusted Points / 90]]/Table8[[#This Row],[Price]]</f>
        <v>0.45981455859278397</v>
      </c>
      <c r="AW431">
        <f t="shared" si="170"/>
        <v>64.600000000000009</v>
      </c>
      <c r="AX431">
        <f t="shared" si="171"/>
        <v>0.88292656292656302</v>
      </c>
      <c r="AY431" s="2">
        <f t="shared" si="172"/>
        <v>66.666666666666657</v>
      </c>
      <c r="AZ431" s="5">
        <f t="shared" si="173"/>
        <v>0.96585312585312599</v>
      </c>
      <c r="BA431">
        <f>Table8[[#This Row],[Model Score2]]</f>
        <v>2.5707828135958373</v>
      </c>
      <c r="BB431">
        <f>IFERROR(INDEX(Player_Model!$BG$2:$BG$596,MATCH($A431,Player_Model!$A$2:$A$596,0)),"")</f>
        <v>73</v>
      </c>
      <c r="BC431" t="str">
        <f t="shared" si="174"/>
        <v>AVOID</v>
      </c>
      <c r="BD431">
        <f>IF(H431=1,Table8[[#This Row],[Model Score]],-10000)</f>
        <v>2.5707828135958373</v>
      </c>
      <c r="BE431">
        <f>IFERROR(INDEX(Player_Model!$BF$2:$BF$596,MATCH($A431,Player_Model!$A$2:$A$596,0)),"")</f>
        <v>222</v>
      </c>
      <c r="BF431">
        <f>IFERROR(INDEX(Player_Model!$BG$2:$BG$596,MATCH($A431,Player_Model!$A$2:$A$596,0)),"")</f>
        <v>73</v>
      </c>
      <c r="BG431">
        <f>IFERROR(INDEX(Player_Model!$BE$2:$BE$596,MATCH($A431,Player_Model!$A$2:$A$596,0)),0)</f>
        <v>2.5707828135958373</v>
      </c>
    </row>
    <row r="432" spans="1:59" x14ac:dyDescent="0.25">
      <c r="A432" t="str">
        <f>tblPlayers[first_name]&amp;" "&amp;tblPlayers[second_name]</f>
        <v>Milos Kerkez</v>
      </c>
      <c r="B432" t="str">
        <f>_xlfn.SWITCH(tblPlayers[element_type],1,"GK",2,"DEF",3,"MID",4,"FWD")</f>
        <v>DEF</v>
      </c>
      <c r="C432">
        <f>tblPlayers[team]</f>
        <v>14</v>
      </c>
      <c r="D432" t="str">
        <f>INDEX(tblTeams[Column1.short_name],MATCH(C432,tblTeams[Column1.id],0))</f>
        <v>LIV</v>
      </c>
      <c r="E432" s="4">
        <f>INDEX(FPL_Raw_Data!$F:$F,MATCH(A432,FPL_Raw_Data!$AA:$AA,0))/10</f>
        <v>5.4</v>
      </c>
      <c r="F432" s="4" t="str">
        <f>tblPlayers[[#This Row],[status]]</f>
        <v>a</v>
      </c>
      <c r="G432" s="4" t="b">
        <f>tblPlayers[[#This Row],[can_select]]</f>
        <v>1</v>
      </c>
      <c r="H432">
        <f>IF(AND(Table8[[#This Row],[Availability Status]]="a",Table8[[#This Row],[Can Select]]=TRUE),1,0)</f>
        <v>1</v>
      </c>
      <c r="I432">
        <f>tblPlayers[minutes]</f>
        <v>250</v>
      </c>
      <c r="J432" s="2">
        <f>Table8[[#This Row],[Minutes]]/90</f>
        <v>2.7777777777777777</v>
      </c>
      <c r="K432" s="5">
        <f>IFERROR(Z432/(FIXTURE_ANALYSIS!$B$1-1),0)</f>
        <v>1</v>
      </c>
      <c r="L432">
        <f>tblPlayers[total_points]</f>
        <v>6</v>
      </c>
      <c r="M432">
        <f>tblPlayers[points_per_game]</f>
        <v>2</v>
      </c>
      <c r="N432">
        <f>tblPlayers[form]</f>
        <v>2</v>
      </c>
      <c r="O432">
        <f>tblPlayers[expected_goals]</f>
        <v>0.02</v>
      </c>
      <c r="P432">
        <f>tblPlayers[expected_assists]</f>
        <v>0.06</v>
      </c>
      <c r="Q432">
        <f>tblPlayers[expected_goal_involvements]</f>
        <v>0.08</v>
      </c>
      <c r="R432" s="2">
        <f t="shared" si="150"/>
        <v>2.16</v>
      </c>
      <c r="S432" s="5">
        <f t="shared" si="151"/>
        <v>7.2000000000000007E-3</v>
      </c>
      <c r="T432" s="5">
        <f t="shared" si="152"/>
        <v>2.1599999999999998E-2</v>
      </c>
      <c r="U432" s="5">
        <f t="shared" si="153"/>
        <v>2.8800000000000003E-2</v>
      </c>
      <c r="V432" s="3">
        <f t="shared" si="154"/>
        <v>1.1111111111111109</v>
      </c>
      <c r="W432" s="5">
        <f t="shared" si="155"/>
        <v>1.4814814814814814E-2</v>
      </c>
      <c r="X432" s="5">
        <f>IFERROR(IF(OR($B432="MID",$B432="FWD"),INDEX(FIXTURE_ANALYSIS!$Q:$Q,MATCH($D432,FIXTURE_ANALYSIS!$A:$A,0)),INDEX(FIXTURE_ANALYSIS!$R:$R,MATCH($D432,FIXTURE_ANALYSIS!$A:$A,0))),1)</f>
        <v>0.96585312585312599</v>
      </c>
      <c r="Y432" s="5">
        <f t="shared" si="156"/>
        <v>0.96585312585312599</v>
      </c>
      <c r="Z432" s="8">
        <f>INDEX(FPL_Raw_Data!$T:$T,MATCH(A432,FPL_Raw_Data!$AA:$AA,0))</f>
        <v>3</v>
      </c>
      <c r="AA432" s="8">
        <f>INDEX(FPL_Raw_Data!$S:$S,MATCH(A432,FPL_Raw_Data!$AA:$AA,0))</f>
        <v>20</v>
      </c>
      <c r="AB432" s="2">
        <f t="shared" si="157"/>
        <v>1</v>
      </c>
      <c r="AC432" s="2">
        <f>INDEX(FPL_Raw_Data!$Q:$Q,MATCH(A432,FPL_Raw_Data!$AA:$AA,0))</f>
        <v>0</v>
      </c>
      <c r="AD432" s="8">
        <f>INDEX(FPL_Raw_Data!$R:$R,MATCH(A432,FPL_Raw_Data!$AA:$AA,0))</f>
        <v>35</v>
      </c>
      <c r="AE432" s="8">
        <f>INDEX(FPL_Raw_Data!$N:$N,MATCH(A432,FPL_Raw_Data!$AA:$AA,0))</f>
        <v>1</v>
      </c>
      <c r="AF432" s="8">
        <f>INDEX(FPL_Raw_Data!$L:$L,MATCH(A432,FPL_Raw_Data!$AA:$AA,0))</f>
        <v>0</v>
      </c>
      <c r="AG432" s="2">
        <f>INDEX(FPL_Raw_Data!$M:$M,MATCH(A432,FPL_Raw_Data!$AA:$AA,0))</f>
        <v>0</v>
      </c>
      <c r="AH432" s="2">
        <f t="shared" si="158"/>
        <v>4.3200000000000002E-2</v>
      </c>
      <c r="AI432" s="2">
        <f t="shared" si="159"/>
        <v>6.4799999999999996E-2</v>
      </c>
      <c r="AJ432" s="2">
        <f t="shared" si="160"/>
        <v>2</v>
      </c>
      <c r="AK432" s="2">
        <f t="shared" si="161"/>
        <v>2</v>
      </c>
      <c r="AL432" s="2">
        <f t="shared" si="162"/>
        <v>0.33333333333333331</v>
      </c>
      <c r="AM432" s="2">
        <f t="shared" si="163"/>
        <v>1.3333333333333333</v>
      </c>
      <c r="AN432" s="2">
        <f t="shared" si="164"/>
        <v>0</v>
      </c>
      <c r="AO432" s="3">
        <f t="shared" si="165"/>
        <v>49.1</v>
      </c>
      <c r="AP432">
        <f t="shared" si="166"/>
        <v>57.4</v>
      </c>
      <c r="AQ432">
        <f t="shared" si="167"/>
        <v>70.7</v>
      </c>
      <c r="AR432">
        <f t="shared" si="168"/>
        <v>62.7</v>
      </c>
      <c r="AS432" s="2">
        <f t="shared" si="169"/>
        <v>100</v>
      </c>
      <c r="AT432" s="2">
        <f>IFERROR(INDEX(Player_Model!$BC$2:$BC$596,MATCH($A432,Player_Model!$A$2:$A$596,0)),0)</f>
        <v>4.120082672920792</v>
      </c>
      <c r="AU432" s="2">
        <f>Table8[[#This Row],[Model Expected Points]]*Table8[[#This Row],[Fixture Adjustment]]</f>
        <v>3.9793947284138493</v>
      </c>
      <c r="AV432" s="2">
        <f>Table8[[#This Row],[Fixture Adjusted Points / 90]]/Table8[[#This Row],[Price]]</f>
        <v>0.73692494970626832</v>
      </c>
      <c r="AW432">
        <f t="shared" si="170"/>
        <v>57.4</v>
      </c>
      <c r="AX432">
        <f t="shared" si="171"/>
        <v>0.982926562926563</v>
      </c>
      <c r="AY432" s="2">
        <f t="shared" si="172"/>
        <v>100</v>
      </c>
      <c r="AZ432" s="5">
        <f t="shared" si="173"/>
        <v>0.96585312585312599</v>
      </c>
      <c r="BA432">
        <f>Table8[[#This Row],[Model Score2]]</f>
        <v>4.120082672920792</v>
      </c>
      <c r="BB432">
        <f>IFERROR(INDEX(Player_Model!$BG$2:$BG$596,MATCH($A432,Player_Model!$A$2:$A$596,0)),"")</f>
        <v>50</v>
      </c>
      <c r="BC432" t="str">
        <f t="shared" si="174"/>
        <v>AVOID</v>
      </c>
      <c r="BD432">
        <f>IF(H432=1,Table8[[#This Row],[Model Score]],-10000)</f>
        <v>4.120082672920792</v>
      </c>
      <c r="BE432">
        <f>IFERROR(INDEX(Player_Model!$BF$2:$BF$596,MATCH($A432,Player_Model!$A$2:$A$596,0)),"")</f>
        <v>149</v>
      </c>
      <c r="BF432">
        <f>IFERROR(INDEX(Player_Model!$BG$2:$BG$596,MATCH($A432,Player_Model!$A$2:$A$596,0)),"")</f>
        <v>50</v>
      </c>
      <c r="BG432">
        <f>IFERROR(INDEX(Player_Model!$BE$2:$BE$596,MATCH($A432,Player_Model!$A$2:$A$596,0)),0)</f>
        <v>4.120082672920792</v>
      </c>
    </row>
    <row r="433" spans="1:59" x14ac:dyDescent="0.25">
      <c r="A433" t="str">
        <f>tblPlayers[first_name]&amp;" "&amp;tblPlayers[second_name]</f>
        <v>Joe Gomez</v>
      </c>
      <c r="B433" t="str">
        <f>_xlfn.SWITCH(tblPlayers[element_type],1,"GK",2,"DEF",3,"MID",4,"FWD")</f>
        <v>DEF</v>
      </c>
      <c r="C433">
        <f>tblPlayers[team]</f>
        <v>14</v>
      </c>
      <c r="D433" t="str">
        <f>INDEX(tblTeams[Column1.short_name],MATCH(C433,tblTeams[Column1.id],0))</f>
        <v>LIV</v>
      </c>
      <c r="E433" s="4">
        <f>INDEX(FPL_Raw_Data!$F:$F,MATCH(A433,FPL_Raw_Data!$AA:$AA,0))/10</f>
        <v>5</v>
      </c>
      <c r="F433" s="4" t="str">
        <f>tblPlayers[[#This Row],[status]]</f>
        <v>i</v>
      </c>
      <c r="G433" s="4" t="b">
        <f>tblPlayers[[#This Row],[can_select]]</f>
        <v>1</v>
      </c>
      <c r="H433">
        <f>IF(AND(Table8[[#This Row],[Availability Status]]="a",Table8[[#This Row],[Can Select]]=TRUE),1,0)</f>
        <v>0</v>
      </c>
      <c r="I433">
        <f>tblPlayers[minutes]</f>
        <v>0</v>
      </c>
      <c r="J433" s="2">
        <f>Table8[[#This Row],[Minutes]]/90</f>
        <v>0</v>
      </c>
      <c r="K433" s="5">
        <f>IFERROR(Z433/(FIXTURE_ANALYSIS!$B$1-1),0)</f>
        <v>0</v>
      </c>
      <c r="L433">
        <f>tblPlayers[total_points]</f>
        <v>0</v>
      </c>
      <c r="M433">
        <f>tblPlayers[points_per_game]</f>
        <v>0</v>
      </c>
      <c r="N433">
        <f>tblPlayers[form]</f>
        <v>0</v>
      </c>
      <c r="O433">
        <f>tblPlayers[expected_goals]</f>
        <v>0</v>
      </c>
      <c r="P433">
        <f>tblPlayers[expected_assists]</f>
        <v>0</v>
      </c>
      <c r="Q433">
        <f>tblPlayers[expected_goal_involvements]</f>
        <v>0</v>
      </c>
      <c r="R433" s="2">
        <f t="shared" si="150"/>
        <v>0</v>
      </c>
      <c r="S433" s="5">
        <f t="shared" si="151"/>
        <v>0</v>
      </c>
      <c r="T433" s="5">
        <f t="shared" si="152"/>
        <v>0</v>
      </c>
      <c r="U433" s="5">
        <f t="shared" si="153"/>
        <v>0</v>
      </c>
      <c r="V433" s="3">
        <f t="shared" si="154"/>
        <v>0</v>
      </c>
      <c r="W433" s="5">
        <f t="shared" si="155"/>
        <v>0</v>
      </c>
      <c r="X433" s="5">
        <f>IFERROR(IF(OR($B433="MID",$B433="FWD"),INDEX(FIXTURE_ANALYSIS!$Q:$Q,MATCH($D433,FIXTURE_ANALYSIS!$A:$A,0)),INDEX(FIXTURE_ANALYSIS!$R:$R,MATCH($D433,FIXTURE_ANALYSIS!$A:$A,0))),1)</f>
        <v>0.96585312585312599</v>
      </c>
      <c r="Y433" s="5">
        <f t="shared" si="156"/>
        <v>0.96585312585312599</v>
      </c>
      <c r="Z433" s="8">
        <f>INDEX(FPL_Raw_Data!$T:$T,MATCH(A433,FPL_Raw_Data!$AA:$AA,0))</f>
        <v>0</v>
      </c>
      <c r="AA433" s="8">
        <f>INDEX(FPL_Raw_Data!$S:$S,MATCH(A433,FPL_Raw_Data!$AA:$AA,0))</f>
        <v>0</v>
      </c>
      <c r="AB433" s="2">
        <f t="shared" si="157"/>
        <v>0</v>
      </c>
      <c r="AC433" s="2">
        <f>INDEX(FPL_Raw_Data!$Q:$Q,MATCH(A433,FPL_Raw_Data!$AA:$AA,0))</f>
        <v>0</v>
      </c>
      <c r="AD433" s="8">
        <f>INDEX(FPL_Raw_Data!$R:$R,MATCH(A433,FPL_Raw_Data!$AA:$AA,0))</f>
        <v>0</v>
      </c>
      <c r="AE433" s="8">
        <f>INDEX(FPL_Raw_Data!$N:$N,MATCH(A433,FPL_Raw_Data!$AA:$AA,0))</f>
        <v>0</v>
      </c>
      <c r="AF433" s="8">
        <f>INDEX(FPL_Raw_Data!$L:$L,MATCH(A433,FPL_Raw_Data!$AA:$AA,0))</f>
        <v>0</v>
      </c>
      <c r="AG433" s="2">
        <f>INDEX(FPL_Raw_Data!$M:$M,MATCH(A433,FPL_Raw_Data!$AA:$AA,0))</f>
        <v>0</v>
      </c>
      <c r="AH433" s="2">
        <f t="shared" si="158"/>
        <v>0</v>
      </c>
      <c r="AI433" s="2">
        <f t="shared" si="159"/>
        <v>0</v>
      </c>
      <c r="AJ433" s="2">
        <f t="shared" si="160"/>
        <v>0</v>
      </c>
      <c r="AK433" s="2">
        <f t="shared" si="161"/>
        <v>0</v>
      </c>
      <c r="AL433" s="2">
        <f t="shared" si="162"/>
        <v>0</v>
      </c>
      <c r="AM433" s="2">
        <f t="shared" si="163"/>
        <v>0</v>
      </c>
      <c r="AN433" s="2">
        <f t="shared" si="164"/>
        <v>0</v>
      </c>
      <c r="AO433" s="3">
        <f t="shared" si="165"/>
        <v>0.1</v>
      </c>
      <c r="AP433">
        <f t="shared" si="166"/>
        <v>0</v>
      </c>
      <c r="AQ433">
        <f t="shared" si="167"/>
        <v>0.1</v>
      </c>
      <c r="AR433">
        <f t="shared" si="168"/>
        <v>0</v>
      </c>
      <c r="AS433" s="2">
        <f t="shared" si="169"/>
        <v>0</v>
      </c>
      <c r="AT433" s="2">
        <f>IFERROR(INDEX(Player_Model!$BC$2:$BC$596,MATCH($A433,Player_Model!$A$2:$A$596,0)),0)</f>
        <v>-0.64390208390208392</v>
      </c>
      <c r="AU433" s="2">
        <f>Table8[[#This Row],[Model Expected Points]]*Table8[[#This Row],[Fixture Adjustment]]</f>
        <v>-0.62191484048016954</v>
      </c>
      <c r="AV433" s="2">
        <f>Table8[[#This Row],[Fixture Adjusted Points / 90]]/Table8[[#This Row],[Price]]</f>
        <v>-0.12438296809603391</v>
      </c>
      <c r="AW433">
        <f t="shared" si="170"/>
        <v>0</v>
      </c>
      <c r="AX433">
        <f t="shared" si="171"/>
        <v>0.482926562926563</v>
      </c>
      <c r="AY433" s="2">
        <f t="shared" si="172"/>
        <v>0</v>
      </c>
      <c r="AZ433" s="5">
        <f t="shared" si="173"/>
        <v>0.96585312585312599</v>
      </c>
      <c r="BA433">
        <f>Table8[[#This Row],[Model Score2]]</f>
        <v>-0.64390208390208392</v>
      </c>
      <c r="BB433">
        <f>IFERROR(INDEX(Player_Model!$BG$2:$BG$596,MATCH($A433,Player_Model!$A$2:$A$596,0)),"")</f>
        <v>134</v>
      </c>
      <c r="BC433" t="str">
        <f t="shared" si="174"/>
        <v>AVOID</v>
      </c>
      <c r="BD433">
        <f>IF(H433=1,Table8[[#This Row],[Model Score]],-10000)</f>
        <v>-10000</v>
      </c>
      <c r="BE433">
        <f>IFERROR(INDEX(Player_Model!$BF$2:$BF$596,MATCH($A433,Player_Model!$A$2:$A$596,0)),"")</f>
        <v>537</v>
      </c>
      <c r="BF433">
        <f>IFERROR(INDEX(Player_Model!$BG$2:$BG$596,MATCH($A433,Player_Model!$A$2:$A$596,0)),"")</f>
        <v>134</v>
      </c>
      <c r="BG433">
        <f>IFERROR(INDEX(Player_Model!$BE$2:$BE$596,MATCH($A433,Player_Model!$A$2:$A$596,0)),0)</f>
        <v>-0.64390208390208392</v>
      </c>
    </row>
    <row r="434" spans="1:59" x14ac:dyDescent="0.25">
      <c r="A434" t="str">
        <f>tblPlayers[first_name]&amp;" "&amp;tblPlayers[second_name]</f>
        <v>Conor Bradley</v>
      </c>
      <c r="B434" t="str">
        <f>_xlfn.SWITCH(tblPlayers[element_type],1,"GK",2,"DEF",3,"MID",4,"FWD")</f>
        <v>DEF</v>
      </c>
      <c r="C434">
        <f>tblPlayers[team]</f>
        <v>14</v>
      </c>
      <c r="D434" t="str">
        <f>INDEX(tblTeams[Column1.short_name],MATCH(C434,tblTeams[Column1.id],0))</f>
        <v>LIV</v>
      </c>
      <c r="E434" s="4">
        <f>INDEX(FPL_Raw_Data!$F:$F,MATCH(A434,FPL_Raw_Data!$AA:$AA,0))/10</f>
        <v>5</v>
      </c>
      <c r="F434" s="4" t="str">
        <f>tblPlayers[[#This Row],[status]]</f>
        <v>i</v>
      </c>
      <c r="G434" s="4" t="b">
        <f>tblPlayers[[#This Row],[can_select]]</f>
        <v>1</v>
      </c>
      <c r="H434">
        <f>IF(AND(Table8[[#This Row],[Availability Status]]="a",Table8[[#This Row],[Can Select]]=TRUE),1,0)</f>
        <v>0</v>
      </c>
      <c r="I434">
        <f>tblPlayers[minutes]</f>
        <v>0</v>
      </c>
      <c r="J434" s="2">
        <f>Table8[[#This Row],[Minutes]]/90</f>
        <v>0</v>
      </c>
      <c r="K434" s="5">
        <f>IFERROR(Z434/(FIXTURE_ANALYSIS!$B$1-1),0)</f>
        <v>0</v>
      </c>
      <c r="L434">
        <f>tblPlayers[total_points]</f>
        <v>0</v>
      </c>
      <c r="M434">
        <f>tblPlayers[points_per_game]</f>
        <v>0</v>
      </c>
      <c r="N434">
        <f>tblPlayers[form]</f>
        <v>0</v>
      </c>
      <c r="O434">
        <f>tblPlayers[expected_goals]</f>
        <v>0</v>
      </c>
      <c r="P434">
        <f>tblPlayers[expected_assists]</f>
        <v>0</v>
      </c>
      <c r="Q434">
        <f>tblPlayers[expected_goal_involvements]</f>
        <v>0</v>
      </c>
      <c r="R434" s="2">
        <f t="shared" si="150"/>
        <v>0</v>
      </c>
      <c r="S434" s="5">
        <f t="shared" si="151"/>
        <v>0</v>
      </c>
      <c r="T434" s="5">
        <f t="shared" si="152"/>
        <v>0</v>
      </c>
      <c r="U434" s="5">
        <f t="shared" si="153"/>
        <v>0</v>
      </c>
      <c r="V434" s="3">
        <f t="shared" si="154"/>
        <v>0</v>
      </c>
      <c r="W434" s="5">
        <f t="shared" si="155"/>
        <v>0</v>
      </c>
      <c r="X434" s="5">
        <f>IFERROR(IF(OR($B434="MID",$B434="FWD"),INDEX(FIXTURE_ANALYSIS!$Q:$Q,MATCH($D434,FIXTURE_ANALYSIS!$A:$A,0)),INDEX(FIXTURE_ANALYSIS!$R:$R,MATCH($D434,FIXTURE_ANALYSIS!$A:$A,0))),1)</f>
        <v>0.96585312585312599</v>
      </c>
      <c r="Y434" s="5">
        <f t="shared" si="156"/>
        <v>0.96585312585312599</v>
      </c>
      <c r="Z434" s="8">
        <f>INDEX(FPL_Raw_Data!$T:$T,MATCH(A434,FPL_Raw_Data!$AA:$AA,0))</f>
        <v>0</v>
      </c>
      <c r="AA434" s="8">
        <f>INDEX(FPL_Raw_Data!$S:$S,MATCH(A434,FPL_Raw_Data!$AA:$AA,0))</f>
        <v>0</v>
      </c>
      <c r="AB434" s="2">
        <f t="shared" si="157"/>
        <v>0</v>
      </c>
      <c r="AC434" s="2">
        <f>INDEX(FPL_Raw_Data!$Q:$Q,MATCH(A434,FPL_Raw_Data!$AA:$AA,0))</f>
        <v>0</v>
      </c>
      <c r="AD434" s="8">
        <f>INDEX(FPL_Raw_Data!$R:$R,MATCH(A434,FPL_Raw_Data!$AA:$AA,0))</f>
        <v>0</v>
      </c>
      <c r="AE434" s="8">
        <f>INDEX(FPL_Raw_Data!$N:$N,MATCH(A434,FPL_Raw_Data!$AA:$AA,0))</f>
        <v>0</v>
      </c>
      <c r="AF434" s="8">
        <f>INDEX(FPL_Raw_Data!$L:$L,MATCH(A434,FPL_Raw_Data!$AA:$AA,0))</f>
        <v>0</v>
      </c>
      <c r="AG434" s="2">
        <f>INDEX(FPL_Raw_Data!$M:$M,MATCH(A434,FPL_Raw_Data!$AA:$AA,0))</f>
        <v>0</v>
      </c>
      <c r="AH434" s="2">
        <f t="shared" si="158"/>
        <v>0</v>
      </c>
      <c r="AI434" s="2">
        <f t="shared" si="159"/>
        <v>0</v>
      </c>
      <c r="AJ434" s="2">
        <f t="shared" si="160"/>
        <v>0</v>
      </c>
      <c r="AK434" s="2">
        <f t="shared" si="161"/>
        <v>0</v>
      </c>
      <c r="AL434" s="2">
        <f t="shared" si="162"/>
        <v>0</v>
      </c>
      <c r="AM434" s="2">
        <f t="shared" si="163"/>
        <v>0</v>
      </c>
      <c r="AN434" s="2">
        <f t="shared" si="164"/>
        <v>0</v>
      </c>
      <c r="AO434" s="3">
        <f t="shared" si="165"/>
        <v>0.1</v>
      </c>
      <c r="AP434">
        <f t="shared" si="166"/>
        <v>0</v>
      </c>
      <c r="AQ434">
        <f t="shared" si="167"/>
        <v>0.1</v>
      </c>
      <c r="AR434">
        <f t="shared" si="168"/>
        <v>0</v>
      </c>
      <c r="AS434" s="2">
        <f t="shared" si="169"/>
        <v>0</v>
      </c>
      <c r="AT434" s="2">
        <f>IFERROR(INDEX(Player_Model!$BC$2:$BC$596,MATCH($A434,Player_Model!$A$2:$A$596,0)),0)</f>
        <v>-0.64390208390208392</v>
      </c>
      <c r="AU434" s="2">
        <f>Table8[[#This Row],[Model Expected Points]]*Table8[[#This Row],[Fixture Adjustment]]</f>
        <v>-0.62191484048016954</v>
      </c>
      <c r="AV434" s="2">
        <f>Table8[[#This Row],[Fixture Adjusted Points / 90]]/Table8[[#This Row],[Price]]</f>
        <v>-0.12438296809603391</v>
      </c>
      <c r="AW434">
        <f t="shared" si="170"/>
        <v>0</v>
      </c>
      <c r="AX434">
        <f t="shared" si="171"/>
        <v>0.482926562926563</v>
      </c>
      <c r="AY434" s="2">
        <f t="shared" si="172"/>
        <v>0</v>
      </c>
      <c r="AZ434" s="5">
        <f t="shared" si="173"/>
        <v>0.96585312585312599</v>
      </c>
      <c r="BA434">
        <f>Table8[[#This Row],[Model Score2]]</f>
        <v>-0.64390208390208392</v>
      </c>
      <c r="BB434">
        <f>IFERROR(INDEX(Player_Model!$BG$2:$BG$596,MATCH($A434,Player_Model!$A$2:$A$596,0)),"")</f>
        <v>135</v>
      </c>
      <c r="BC434" t="str">
        <f t="shared" si="174"/>
        <v>AVOID</v>
      </c>
      <c r="BD434">
        <f>IF(H434=1,Table8[[#This Row],[Model Score]],-10000)</f>
        <v>-10000</v>
      </c>
      <c r="BE434">
        <f>IFERROR(INDEX(Player_Model!$BF$2:$BF$596,MATCH($A434,Player_Model!$A$2:$A$596,0)),"")</f>
        <v>537</v>
      </c>
      <c r="BF434">
        <f>IFERROR(INDEX(Player_Model!$BG$2:$BG$596,MATCH($A434,Player_Model!$A$2:$A$596,0)),"")</f>
        <v>135</v>
      </c>
      <c r="BG434">
        <f>IFERROR(INDEX(Player_Model!$BE$2:$BE$596,MATCH($A434,Player_Model!$A$2:$A$596,0)),0)</f>
        <v>-0.64390208390208392</v>
      </c>
    </row>
    <row r="435" spans="1:59" x14ac:dyDescent="0.25">
      <c r="A435" t="str">
        <f>tblPlayers[first_name]&amp;" "&amp;tblPlayers[second_name]</f>
        <v>Wellity Lucky</v>
      </c>
      <c r="B435" t="str">
        <f>_xlfn.SWITCH(tblPlayers[element_type],1,"GK",2,"DEF",3,"MID",4,"FWD")</f>
        <v>DEF</v>
      </c>
      <c r="C435">
        <f>tblPlayers[team]</f>
        <v>14</v>
      </c>
      <c r="D435" t="str">
        <f>INDEX(tblTeams[Column1.short_name],MATCH(C435,tblTeams[Column1.id],0))</f>
        <v>LIV</v>
      </c>
      <c r="E435" s="4">
        <f>INDEX(FPL_Raw_Data!$F:$F,MATCH(A435,FPL_Raw_Data!$AA:$AA,0))/10</f>
        <v>4</v>
      </c>
      <c r="F435" s="4" t="str">
        <f>tblPlayers[[#This Row],[status]]</f>
        <v>a</v>
      </c>
      <c r="G435" s="4" t="b">
        <f>tblPlayers[[#This Row],[can_select]]</f>
        <v>1</v>
      </c>
      <c r="H435">
        <f>IF(AND(Table8[[#This Row],[Availability Status]]="a",Table8[[#This Row],[Can Select]]=TRUE),1,0)</f>
        <v>1</v>
      </c>
      <c r="I435">
        <f>tblPlayers[minutes]</f>
        <v>0</v>
      </c>
      <c r="J435" s="2">
        <f>Table8[[#This Row],[Minutes]]/90</f>
        <v>0</v>
      </c>
      <c r="K435" s="5">
        <f>IFERROR(Z435/(FIXTURE_ANALYSIS!$B$1-1),0)</f>
        <v>0</v>
      </c>
      <c r="L435">
        <f>tblPlayers[total_points]</f>
        <v>0</v>
      </c>
      <c r="M435">
        <f>tblPlayers[points_per_game]</f>
        <v>0</v>
      </c>
      <c r="N435">
        <f>tblPlayers[form]</f>
        <v>0</v>
      </c>
      <c r="O435">
        <f>tblPlayers[expected_goals]</f>
        <v>0</v>
      </c>
      <c r="P435">
        <f>tblPlayers[expected_assists]</f>
        <v>0</v>
      </c>
      <c r="Q435">
        <f>tblPlayers[expected_goal_involvements]</f>
        <v>0</v>
      </c>
      <c r="R435" s="2">
        <f t="shared" si="150"/>
        <v>0</v>
      </c>
      <c r="S435" s="5">
        <f t="shared" si="151"/>
        <v>0</v>
      </c>
      <c r="T435" s="5">
        <f t="shared" si="152"/>
        <v>0</v>
      </c>
      <c r="U435" s="5">
        <f t="shared" si="153"/>
        <v>0</v>
      </c>
      <c r="V435" s="3">
        <f t="shared" si="154"/>
        <v>0</v>
      </c>
      <c r="W435" s="5">
        <f t="shared" si="155"/>
        <v>0</v>
      </c>
      <c r="X435" s="5">
        <f>IFERROR(IF(OR($B435="MID",$B435="FWD"),INDEX(FIXTURE_ANALYSIS!$Q:$Q,MATCH($D435,FIXTURE_ANALYSIS!$A:$A,0)),INDEX(FIXTURE_ANALYSIS!$R:$R,MATCH($D435,FIXTURE_ANALYSIS!$A:$A,0))),1)</f>
        <v>0.96585312585312599</v>
      </c>
      <c r="Y435" s="5">
        <f t="shared" si="156"/>
        <v>0.96585312585312599</v>
      </c>
      <c r="Z435" s="8">
        <f>INDEX(FPL_Raw_Data!$T:$T,MATCH(A435,FPL_Raw_Data!$AA:$AA,0))</f>
        <v>0</v>
      </c>
      <c r="AA435" s="8">
        <f>INDEX(FPL_Raw_Data!$S:$S,MATCH(A435,FPL_Raw_Data!$AA:$AA,0))</f>
        <v>0</v>
      </c>
      <c r="AB435" s="2">
        <f t="shared" si="157"/>
        <v>0</v>
      </c>
      <c r="AC435" s="2">
        <f>INDEX(FPL_Raw_Data!$Q:$Q,MATCH(A435,FPL_Raw_Data!$AA:$AA,0))</f>
        <v>0</v>
      </c>
      <c r="AD435" s="8">
        <f>INDEX(FPL_Raw_Data!$R:$R,MATCH(A435,FPL_Raw_Data!$AA:$AA,0))</f>
        <v>0</v>
      </c>
      <c r="AE435" s="8">
        <f>INDEX(FPL_Raw_Data!$N:$N,MATCH(A435,FPL_Raw_Data!$AA:$AA,0))</f>
        <v>0</v>
      </c>
      <c r="AF435" s="8">
        <f>INDEX(FPL_Raw_Data!$L:$L,MATCH(A435,FPL_Raw_Data!$AA:$AA,0))</f>
        <v>0</v>
      </c>
      <c r="AG435" s="2">
        <f>INDEX(FPL_Raw_Data!$M:$M,MATCH(A435,FPL_Raw_Data!$AA:$AA,0))</f>
        <v>0</v>
      </c>
      <c r="AH435" s="2">
        <f t="shared" si="158"/>
        <v>0</v>
      </c>
      <c r="AI435" s="2">
        <f t="shared" si="159"/>
        <v>0</v>
      </c>
      <c r="AJ435" s="2">
        <f t="shared" si="160"/>
        <v>0</v>
      </c>
      <c r="AK435" s="2">
        <f t="shared" si="161"/>
        <v>0</v>
      </c>
      <c r="AL435" s="2">
        <f t="shared" si="162"/>
        <v>0</v>
      </c>
      <c r="AM435" s="2">
        <f t="shared" si="163"/>
        <v>0</v>
      </c>
      <c r="AN435" s="2">
        <f t="shared" si="164"/>
        <v>0</v>
      </c>
      <c r="AO435" s="3">
        <f t="shared" si="165"/>
        <v>0.1</v>
      </c>
      <c r="AP435">
        <f t="shared" si="166"/>
        <v>0</v>
      </c>
      <c r="AQ435">
        <f t="shared" si="167"/>
        <v>0.1</v>
      </c>
      <c r="AR435">
        <f t="shared" si="168"/>
        <v>0</v>
      </c>
      <c r="AS435" s="2">
        <f t="shared" si="169"/>
        <v>0</v>
      </c>
      <c r="AT435" s="2">
        <f>IFERROR(INDEX(Player_Model!$BC$2:$BC$596,MATCH($A435,Player_Model!$A$2:$A$596,0)),0)</f>
        <v>-0.64390208390208392</v>
      </c>
      <c r="AU435" s="2">
        <f>Table8[[#This Row],[Model Expected Points]]*Table8[[#This Row],[Fixture Adjustment]]</f>
        <v>-0.62191484048016954</v>
      </c>
      <c r="AV435" s="2">
        <f>Table8[[#This Row],[Fixture Adjusted Points / 90]]/Table8[[#This Row],[Price]]</f>
        <v>-0.15547871012004238</v>
      </c>
      <c r="AW435">
        <f t="shared" si="170"/>
        <v>0</v>
      </c>
      <c r="AX435">
        <f t="shared" si="171"/>
        <v>0.482926562926563</v>
      </c>
      <c r="AY435" s="2">
        <f t="shared" si="172"/>
        <v>0</v>
      </c>
      <c r="AZ435" s="5">
        <f t="shared" si="173"/>
        <v>0.96585312585312599</v>
      </c>
      <c r="BA435">
        <f>Table8[[#This Row],[Model Score2]]</f>
        <v>-0.64390208390208392</v>
      </c>
      <c r="BB435">
        <f>IFERROR(INDEX(Player_Model!$BG$2:$BG$596,MATCH($A435,Player_Model!$A$2:$A$596,0)),"")</f>
        <v>136</v>
      </c>
      <c r="BC435" t="str">
        <f t="shared" si="174"/>
        <v>AVOID</v>
      </c>
      <c r="BD435">
        <f>IF(H435=1,Table8[[#This Row],[Model Score]],-10000)</f>
        <v>-0.64390208390208392</v>
      </c>
      <c r="BE435">
        <f>IFERROR(INDEX(Player_Model!$BF$2:$BF$596,MATCH($A435,Player_Model!$A$2:$A$596,0)),"")</f>
        <v>537</v>
      </c>
      <c r="BF435">
        <f>IFERROR(INDEX(Player_Model!$BG$2:$BG$596,MATCH($A435,Player_Model!$A$2:$A$596,0)),"")</f>
        <v>136</v>
      </c>
      <c r="BG435">
        <f>IFERROR(INDEX(Player_Model!$BE$2:$BE$596,MATCH($A435,Player_Model!$A$2:$A$596,0)),0)</f>
        <v>-0.64390208390208392</v>
      </c>
    </row>
    <row r="436" spans="1:59" x14ac:dyDescent="0.25">
      <c r="A436" t="str">
        <f>tblPlayers[first_name]&amp;" "&amp;tblPlayers[second_name]</f>
        <v>Jeremy Jacquet</v>
      </c>
      <c r="B436" t="str">
        <f>_xlfn.SWITCH(tblPlayers[element_type],1,"GK",2,"DEF",3,"MID",4,"FWD")</f>
        <v>DEF</v>
      </c>
      <c r="C436">
        <f>tblPlayers[team]</f>
        <v>14</v>
      </c>
      <c r="D436" t="str">
        <f>INDEX(tblTeams[Column1.short_name],MATCH(C436,tblTeams[Column1.id],0))</f>
        <v>LIV</v>
      </c>
      <c r="E436" s="4">
        <f>INDEX(FPL_Raw_Data!$F:$F,MATCH(A436,FPL_Raw_Data!$AA:$AA,0))/10</f>
        <v>5</v>
      </c>
      <c r="F436" s="4" t="str">
        <f>tblPlayers[[#This Row],[status]]</f>
        <v>a</v>
      </c>
      <c r="G436" s="4" t="b">
        <f>tblPlayers[[#This Row],[can_select]]</f>
        <v>1</v>
      </c>
      <c r="H436">
        <f>IF(AND(Table8[[#This Row],[Availability Status]]="a",Table8[[#This Row],[Can Select]]=TRUE),1,0)</f>
        <v>1</v>
      </c>
      <c r="I436">
        <f>tblPlayers[minutes]</f>
        <v>235</v>
      </c>
      <c r="J436" s="2">
        <f>Table8[[#This Row],[Minutes]]/90</f>
        <v>2.6111111111111112</v>
      </c>
      <c r="K436" s="5">
        <f>IFERROR(Z436/(FIXTURE_ANALYSIS!$B$1-1),0)</f>
        <v>1</v>
      </c>
      <c r="L436">
        <f>tblPlayers[total_points]</f>
        <v>9</v>
      </c>
      <c r="M436">
        <f>tblPlayers[points_per_game]</f>
        <v>3</v>
      </c>
      <c r="N436">
        <f>tblPlayers[form]</f>
        <v>3</v>
      </c>
      <c r="O436">
        <f>tblPlayers[expected_goals]</f>
        <v>0</v>
      </c>
      <c r="P436">
        <f>tblPlayers[expected_assists]</f>
        <v>0.1</v>
      </c>
      <c r="Q436">
        <f>tblPlayers[expected_goal_involvements]</f>
        <v>0.1</v>
      </c>
      <c r="R436" s="2">
        <f t="shared" si="150"/>
        <v>3.4468085106382977</v>
      </c>
      <c r="S436" s="5">
        <f t="shared" si="151"/>
        <v>0</v>
      </c>
      <c r="T436" s="5">
        <f t="shared" si="152"/>
        <v>3.8297872340425539E-2</v>
      </c>
      <c r="U436" s="5">
        <f t="shared" si="153"/>
        <v>3.8297872340425539E-2</v>
      </c>
      <c r="V436" s="3">
        <f t="shared" si="154"/>
        <v>1.8</v>
      </c>
      <c r="W436" s="5">
        <f t="shared" si="155"/>
        <v>0.02</v>
      </c>
      <c r="X436" s="5">
        <f>IFERROR(IF(OR($B436="MID",$B436="FWD"),INDEX(FIXTURE_ANALYSIS!$Q:$Q,MATCH($D436,FIXTURE_ANALYSIS!$A:$A,0)),INDEX(FIXTURE_ANALYSIS!$R:$R,MATCH($D436,FIXTURE_ANALYSIS!$A:$A,0))),1)</f>
        <v>0.96585312585312599</v>
      </c>
      <c r="Y436" s="5">
        <f t="shared" si="156"/>
        <v>0.96585312585312599</v>
      </c>
      <c r="Z436" s="8">
        <f>INDEX(FPL_Raw_Data!$T:$T,MATCH(A436,FPL_Raw_Data!$AA:$AA,0))</f>
        <v>3</v>
      </c>
      <c r="AA436" s="8">
        <f>INDEX(FPL_Raw_Data!$S:$S,MATCH(A436,FPL_Raw_Data!$AA:$AA,0))</f>
        <v>23</v>
      </c>
      <c r="AB436" s="2">
        <f t="shared" si="157"/>
        <v>1</v>
      </c>
      <c r="AC436" s="2">
        <f>INDEX(FPL_Raw_Data!$Q:$Q,MATCH(A436,FPL_Raw_Data!$AA:$AA,0))</f>
        <v>0</v>
      </c>
      <c r="AD436" s="8">
        <f>INDEX(FPL_Raw_Data!$R:$R,MATCH(A436,FPL_Raw_Data!$AA:$AA,0))</f>
        <v>50</v>
      </c>
      <c r="AE436" s="8">
        <f>INDEX(FPL_Raw_Data!$N:$N,MATCH(A436,FPL_Raw_Data!$AA:$AA,0))</f>
        <v>1</v>
      </c>
      <c r="AF436" s="8">
        <f>INDEX(FPL_Raw_Data!$L:$L,MATCH(A436,FPL_Raw_Data!$AA:$AA,0))</f>
        <v>0</v>
      </c>
      <c r="AG436" s="2">
        <f>INDEX(FPL_Raw_Data!$M:$M,MATCH(A436,FPL_Raw_Data!$AA:$AA,0))</f>
        <v>0</v>
      </c>
      <c r="AH436" s="2">
        <f t="shared" si="158"/>
        <v>0</v>
      </c>
      <c r="AI436" s="2">
        <f t="shared" si="159"/>
        <v>0.11489361702127662</v>
      </c>
      <c r="AJ436" s="2">
        <f t="shared" si="160"/>
        <v>2</v>
      </c>
      <c r="AK436" s="2">
        <f t="shared" si="161"/>
        <v>2</v>
      </c>
      <c r="AL436" s="2">
        <f t="shared" si="162"/>
        <v>0.33333333333333331</v>
      </c>
      <c r="AM436" s="2">
        <f t="shared" si="163"/>
        <v>1.3333333333333333</v>
      </c>
      <c r="AN436" s="2">
        <f t="shared" si="164"/>
        <v>0</v>
      </c>
      <c r="AO436" s="3">
        <f t="shared" si="165"/>
        <v>64.900000000000006</v>
      </c>
      <c r="AP436">
        <f t="shared" si="166"/>
        <v>58.9</v>
      </c>
      <c r="AQ436">
        <f t="shared" si="167"/>
        <v>83.8</v>
      </c>
      <c r="AR436">
        <f t="shared" si="168"/>
        <v>65.100000000000009</v>
      </c>
      <c r="AS436" s="2">
        <f t="shared" si="169"/>
        <v>100</v>
      </c>
      <c r="AT436" s="2">
        <f>IFERROR(INDEX(Player_Model!$BC$2:$BC$596,MATCH($A436,Player_Model!$A$2:$A$596,0)),0)</f>
        <v>4.38812420157101</v>
      </c>
      <c r="AU436" s="2">
        <f>Table8[[#This Row],[Model Expected Points]]*Table8[[#This Row],[Fixture Adjustment]]</f>
        <v>4.2382834767191131</v>
      </c>
      <c r="AV436" s="2">
        <f>Table8[[#This Row],[Fixture Adjusted Points / 90]]/Table8[[#This Row],[Price]]</f>
        <v>0.8476566953438226</v>
      </c>
      <c r="AW436">
        <f t="shared" si="170"/>
        <v>58.9</v>
      </c>
      <c r="AX436">
        <f t="shared" si="171"/>
        <v>0.982926562926563</v>
      </c>
      <c r="AY436" s="2">
        <f t="shared" si="172"/>
        <v>100</v>
      </c>
      <c r="AZ436" s="5">
        <f t="shared" si="173"/>
        <v>0.96585312585312599</v>
      </c>
      <c r="BA436">
        <f>Table8[[#This Row],[Model Score2]]</f>
        <v>4.38812420157101</v>
      </c>
      <c r="BB436">
        <f>IFERROR(INDEX(Player_Model!$BG$2:$BG$596,MATCH($A436,Player_Model!$A$2:$A$596,0)),"")</f>
        <v>44</v>
      </c>
      <c r="BC436" t="str">
        <f t="shared" si="174"/>
        <v>AVOID</v>
      </c>
      <c r="BD436">
        <f>IF(H436=1,Table8[[#This Row],[Model Score]],-10000)</f>
        <v>4.38812420157101</v>
      </c>
      <c r="BE436">
        <f>IFERROR(INDEX(Player_Model!$BF$2:$BF$596,MATCH($A436,Player_Model!$A$2:$A$596,0)),"")</f>
        <v>130</v>
      </c>
      <c r="BF436">
        <f>IFERROR(INDEX(Player_Model!$BG$2:$BG$596,MATCH($A436,Player_Model!$A$2:$A$596,0)),"")</f>
        <v>44</v>
      </c>
      <c r="BG436">
        <f>IFERROR(INDEX(Player_Model!$BE$2:$BE$596,MATCH($A436,Player_Model!$A$2:$A$596,0)),0)</f>
        <v>4.38812420157101</v>
      </c>
    </row>
    <row r="437" spans="1:59" x14ac:dyDescent="0.25">
      <c r="A437" t="str">
        <f>tblPlayers[first_name]&amp;" "&amp;tblPlayers[second_name]</f>
        <v>Giovanni Leoni</v>
      </c>
      <c r="B437" t="str">
        <f>_xlfn.SWITCH(tblPlayers[element_type],1,"GK",2,"DEF",3,"MID",4,"FWD")</f>
        <v>DEF</v>
      </c>
      <c r="C437">
        <f>tblPlayers[team]</f>
        <v>14</v>
      </c>
      <c r="D437" t="str">
        <f>INDEX(tblTeams[Column1.short_name],MATCH(C437,tblTeams[Column1.id],0))</f>
        <v>LIV</v>
      </c>
      <c r="E437" s="4">
        <f>INDEX(FPL_Raw_Data!$F:$F,MATCH(A437,FPL_Raw_Data!$AA:$AA,0))/10</f>
        <v>4</v>
      </c>
      <c r="F437" s="4" t="str">
        <f>tblPlayers[[#This Row],[status]]</f>
        <v>i</v>
      </c>
      <c r="G437" s="4" t="b">
        <f>tblPlayers[[#This Row],[can_select]]</f>
        <v>1</v>
      </c>
      <c r="H437">
        <f>IF(AND(Table8[[#This Row],[Availability Status]]="a",Table8[[#This Row],[Can Select]]=TRUE),1,0)</f>
        <v>0</v>
      </c>
      <c r="I437">
        <f>tblPlayers[minutes]</f>
        <v>0</v>
      </c>
      <c r="J437" s="2">
        <f>Table8[[#This Row],[Minutes]]/90</f>
        <v>0</v>
      </c>
      <c r="K437" s="5">
        <f>IFERROR(Z437/(FIXTURE_ANALYSIS!$B$1-1),0)</f>
        <v>0</v>
      </c>
      <c r="L437">
        <f>tblPlayers[total_points]</f>
        <v>0</v>
      </c>
      <c r="M437">
        <f>tblPlayers[points_per_game]</f>
        <v>0</v>
      </c>
      <c r="N437">
        <f>tblPlayers[form]</f>
        <v>0</v>
      </c>
      <c r="O437">
        <f>tblPlayers[expected_goals]</f>
        <v>0</v>
      </c>
      <c r="P437">
        <f>tblPlayers[expected_assists]</f>
        <v>0</v>
      </c>
      <c r="Q437">
        <f>tblPlayers[expected_goal_involvements]</f>
        <v>0</v>
      </c>
      <c r="R437" s="2">
        <f t="shared" si="150"/>
        <v>0</v>
      </c>
      <c r="S437" s="5">
        <f t="shared" si="151"/>
        <v>0</v>
      </c>
      <c r="T437" s="5">
        <f t="shared" si="152"/>
        <v>0</v>
      </c>
      <c r="U437" s="5">
        <f t="shared" si="153"/>
        <v>0</v>
      </c>
      <c r="V437" s="3">
        <f t="shared" si="154"/>
        <v>0</v>
      </c>
      <c r="W437" s="5">
        <f t="shared" si="155"/>
        <v>0</v>
      </c>
      <c r="X437" s="5">
        <f>IFERROR(IF(OR($B437="MID",$B437="FWD"),INDEX(FIXTURE_ANALYSIS!$Q:$Q,MATCH($D437,FIXTURE_ANALYSIS!$A:$A,0)),INDEX(FIXTURE_ANALYSIS!$R:$R,MATCH($D437,FIXTURE_ANALYSIS!$A:$A,0))),1)</f>
        <v>0.96585312585312599</v>
      </c>
      <c r="Y437" s="5">
        <f t="shared" si="156"/>
        <v>0.96585312585312599</v>
      </c>
      <c r="Z437" s="8">
        <f>INDEX(FPL_Raw_Data!$T:$T,MATCH(A437,FPL_Raw_Data!$AA:$AA,0))</f>
        <v>0</v>
      </c>
      <c r="AA437" s="8">
        <f>INDEX(FPL_Raw_Data!$S:$S,MATCH(A437,FPL_Raw_Data!$AA:$AA,0))</f>
        <v>0</v>
      </c>
      <c r="AB437" s="2">
        <f t="shared" si="157"/>
        <v>0</v>
      </c>
      <c r="AC437" s="2">
        <f>INDEX(FPL_Raw_Data!$Q:$Q,MATCH(A437,FPL_Raw_Data!$AA:$AA,0))</f>
        <v>0</v>
      </c>
      <c r="AD437" s="8">
        <f>INDEX(FPL_Raw_Data!$R:$R,MATCH(A437,FPL_Raw_Data!$AA:$AA,0))</f>
        <v>0</v>
      </c>
      <c r="AE437" s="8">
        <f>INDEX(FPL_Raw_Data!$N:$N,MATCH(A437,FPL_Raw_Data!$AA:$AA,0))</f>
        <v>0</v>
      </c>
      <c r="AF437" s="8">
        <f>INDEX(FPL_Raw_Data!$L:$L,MATCH(A437,FPL_Raw_Data!$AA:$AA,0))</f>
        <v>0</v>
      </c>
      <c r="AG437" s="2">
        <f>INDEX(FPL_Raw_Data!$M:$M,MATCH(A437,FPL_Raw_Data!$AA:$AA,0))</f>
        <v>0</v>
      </c>
      <c r="AH437" s="2">
        <f t="shared" si="158"/>
        <v>0</v>
      </c>
      <c r="AI437" s="2">
        <f t="shared" si="159"/>
        <v>0</v>
      </c>
      <c r="AJ437" s="2">
        <f t="shared" si="160"/>
        <v>0</v>
      </c>
      <c r="AK437" s="2">
        <f t="shared" si="161"/>
        <v>0</v>
      </c>
      <c r="AL437" s="2">
        <f t="shared" si="162"/>
        <v>0</v>
      </c>
      <c r="AM437" s="2">
        <f t="shared" si="163"/>
        <v>0</v>
      </c>
      <c r="AN437" s="2">
        <f t="shared" si="164"/>
        <v>0</v>
      </c>
      <c r="AO437" s="3">
        <f t="shared" si="165"/>
        <v>0.1</v>
      </c>
      <c r="AP437">
        <f t="shared" si="166"/>
        <v>0</v>
      </c>
      <c r="AQ437">
        <f t="shared" si="167"/>
        <v>0.1</v>
      </c>
      <c r="AR437">
        <f t="shared" si="168"/>
        <v>0</v>
      </c>
      <c r="AS437" s="2">
        <f t="shared" si="169"/>
        <v>0</v>
      </c>
      <c r="AT437" s="2">
        <f>IFERROR(INDEX(Player_Model!$BC$2:$BC$596,MATCH($A437,Player_Model!$A$2:$A$596,0)),0)</f>
        <v>-0.64390208390208392</v>
      </c>
      <c r="AU437" s="2">
        <f>Table8[[#This Row],[Model Expected Points]]*Table8[[#This Row],[Fixture Adjustment]]</f>
        <v>-0.62191484048016954</v>
      </c>
      <c r="AV437" s="2">
        <f>Table8[[#This Row],[Fixture Adjusted Points / 90]]/Table8[[#This Row],[Price]]</f>
        <v>-0.15547871012004238</v>
      </c>
      <c r="AW437">
        <f t="shared" si="170"/>
        <v>0</v>
      </c>
      <c r="AX437">
        <f t="shared" si="171"/>
        <v>0.482926562926563</v>
      </c>
      <c r="AY437" s="2">
        <f t="shared" si="172"/>
        <v>0</v>
      </c>
      <c r="AZ437" s="5">
        <f t="shared" si="173"/>
        <v>0.96585312585312599</v>
      </c>
      <c r="BA437">
        <f>Table8[[#This Row],[Model Score2]]</f>
        <v>-0.64390208390208392</v>
      </c>
      <c r="BB437">
        <f>IFERROR(INDEX(Player_Model!$BG$2:$BG$596,MATCH($A437,Player_Model!$A$2:$A$596,0)),"")</f>
        <v>137</v>
      </c>
      <c r="BC437" t="str">
        <f t="shared" si="174"/>
        <v>AVOID</v>
      </c>
      <c r="BD437">
        <f>IF(H437=1,Table8[[#This Row],[Model Score]],-10000)</f>
        <v>-10000</v>
      </c>
      <c r="BE437">
        <f>IFERROR(INDEX(Player_Model!$BF$2:$BF$596,MATCH($A437,Player_Model!$A$2:$A$596,0)),"")</f>
        <v>537</v>
      </c>
      <c r="BF437">
        <f>IFERROR(INDEX(Player_Model!$BG$2:$BG$596,MATCH($A437,Player_Model!$A$2:$A$596,0)),"")</f>
        <v>137</v>
      </c>
      <c r="BG437">
        <f>IFERROR(INDEX(Player_Model!$BE$2:$BE$596,MATCH($A437,Player_Model!$A$2:$A$596,0)),0)</f>
        <v>-0.64390208390208392</v>
      </c>
    </row>
    <row r="438" spans="1:59" x14ac:dyDescent="0.25">
      <c r="A438" t="str">
        <f>tblPlayers[first_name]&amp;" "&amp;tblPlayers[second_name]</f>
        <v>Kostas Tsimikas</v>
      </c>
      <c r="B438" t="str">
        <f>_xlfn.SWITCH(tblPlayers[element_type],1,"GK",2,"DEF",3,"MID",4,"FWD")</f>
        <v>DEF</v>
      </c>
      <c r="C438">
        <f>tblPlayers[team]</f>
        <v>14</v>
      </c>
      <c r="D438" t="str">
        <f>INDEX(tblTeams[Column1.short_name],MATCH(C438,tblTeams[Column1.id],0))</f>
        <v>LIV</v>
      </c>
      <c r="E438" s="4">
        <f>INDEX(FPL_Raw_Data!$F:$F,MATCH(A438,FPL_Raw_Data!$AA:$AA,0))/10</f>
        <v>4.9000000000000004</v>
      </c>
      <c r="F438" s="4" t="str">
        <f>tblPlayers[[#This Row],[status]]</f>
        <v>a</v>
      </c>
      <c r="G438" s="4" t="b">
        <f>tblPlayers[[#This Row],[can_select]]</f>
        <v>1</v>
      </c>
      <c r="H438">
        <f>IF(AND(Table8[[#This Row],[Availability Status]]="a",Table8[[#This Row],[Can Select]]=TRUE),1,0)</f>
        <v>1</v>
      </c>
      <c r="I438">
        <f>tblPlayers[minutes]</f>
        <v>19</v>
      </c>
      <c r="J438" s="2">
        <f>Table8[[#This Row],[Minutes]]/90</f>
        <v>0.21111111111111111</v>
      </c>
      <c r="K438" s="5">
        <f>IFERROR(Z438/(FIXTURE_ANALYSIS!$B$1-1),0)</f>
        <v>0</v>
      </c>
      <c r="L438">
        <f>tblPlayers[total_points]</f>
        <v>1</v>
      </c>
      <c r="M438">
        <f>tblPlayers[points_per_game]</f>
        <v>1</v>
      </c>
      <c r="N438">
        <f>tblPlayers[form]</f>
        <v>0.3</v>
      </c>
      <c r="O438">
        <f>tblPlayers[expected_goals]</f>
        <v>0.04</v>
      </c>
      <c r="P438">
        <f>tblPlayers[expected_assists]</f>
        <v>0.01</v>
      </c>
      <c r="Q438">
        <f>tblPlayers[expected_goal_involvements]</f>
        <v>0.05</v>
      </c>
      <c r="R438" s="2">
        <f t="shared" si="150"/>
        <v>4.7368421052631575</v>
      </c>
      <c r="S438" s="5">
        <f t="shared" si="151"/>
        <v>0.18947368421052632</v>
      </c>
      <c r="T438" s="5">
        <f t="shared" si="152"/>
        <v>4.736842105263158E-2</v>
      </c>
      <c r="U438" s="5">
        <f t="shared" si="153"/>
        <v>0.23684210526315788</v>
      </c>
      <c r="V438" s="3">
        <f t="shared" si="154"/>
        <v>0.2040816326530612</v>
      </c>
      <c r="W438" s="5">
        <f t="shared" si="155"/>
        <v>1.020408163265306E-2</v>
      </c>
      <c r="X438" s="5">
        <f>IFERROR(IF(OR($B438="MID",$B438="FWD"),INDEX(FIXTURE_ANALYSIS!$Q:$Q,MATCH($D438,FIXTURE_ANALYSIS!$A:$A,0)),INDEX(FIXTURE_ANALYSIS!$R:$R,MATCH($D438,FIXTURE_ANALYSIS!$A:$A,0))),1)</f>
        <v>0.96585312585312599</v>
      </c>
      <c r="Y438" s="5">
        <f t="shared" si="156"/>
        <v>0.96585312585312599</v>
      </c>
      <c r="Z438" s="8">
        <f>INDEX(FPL_Raw_Data!$T:$T,MATCH(A438,FPL_Raw_Data!$AA:$AA,0))</f>
        <v>0</v>
      </c>
      <c r="AA438" s="8">
        <f>INDEX(FPL_Raw_Data!$S:$S,MATCH(A438,FPL_Raw_Data!$AA:$AA,0))</f>
        <v>0</v>
      </c>
      <c r="AB438" s="2">
        <f t="shared" si="157"/>
        <v>0</v>
      </c>
      <c r="AC438" s="2">
        <f>INDEX(FPL_Raw_Data!$Q:$Q,MATCH(A438,FPL_Raw_Data!$AA:$AA,0))</f>
        <v>0</v>
      </c>
      <c r="AD438" s="8">
        <f>INDEX(FPL_Raw_Data!$R:$R,MATCH(A438,FPL_Raw_Data!$AA:$AA,0))</f>
        <v>4</v>
      </c>
      <c r="AE438" s="8">
        <f>INDEX(FPL_Raw_Data!$N:$N,MATCH(A438,FPL_Raw_Data!$AA:$AA,0))</f>
        <v>0</v>
      </c>
      <c r="AF438" s="8">
        <f>INDEX(FPL_Raw_Data!$L:$L,MATCH(A438,FPL_Raw_Data!$AA:$AA,0))</f>
        <v>0</v>
      </c>
      <c r="AG438" s="2">
        <f>INDEX(FPL_Raw_Data!$M:$M,MATCH(A438,FPL_Raw_Data!$AA:$AA,0))</f>
        <v>0</v>
      </c>
      <c r="AH438" s="2">
        <f t="shared" si="158"/>
        <v>1.1368421052631579</v>
      </c>
      <c r="AI438" s="2">
        <f t="shared" si="159"/>
        <v>0.14210526315789473</v>
      </c>
      <c r="AJ438" s="2">
        <f t="shared" si="160"/>
        <v>0</v>
      </c>
      <c r="AK438" s="2">
        <f t="shared" si="161"/>
        <v>0</v>
      </c>
      <c r="AL438" s="2">
        <f t="shared" si="162"/>
        <v>0</v>
      </c>
      <c r="AM438" s="2">
        <f t="shared" si="163"/>
        <v>0</v>
      </c>
      <c r="AN438" s="2">
        <f t="shared" si="164"/>
        <v>0</v>
      </c>
      <c r="AO438" s="3">
        <f t="shared" si="165"/>
        <v>74</v>
      </c>
      <c r="AP438">
        <f t="shared" si="166"/>
        <v>79.100000000000009</v>
      </c>
      <c r="AQ438">
        <f t="shared" si="167"/>
        <v>46.2</v>
      </c>
      <c r="AR438">
        <f t="shared" si="168"/>
        <v>60.4</v>
      </c>
      <c r="AS438" s="2">
        <f t="shared" si="169"/>
        <v>0</v>
      </c>
      <c r="AT438" s="2">
        <f>IFERROR(INDEX(Player_Model!$BC$2:$BC$596,MATCH($A438,Player_Model!$A$2:$A$596,0)),0)</f>
        <v>-0.64390208390208392</v>
      </c>
      <c r="AU438" s="2">
        <f>Table8[[#This Row],[Model Expected Points]]*Table8[[#This Row],[Fixture Adjustment]]</f>
        <v>-0.62191484048016954</v>
      </c>
      <c r="AV438" s="2">
        <f>Table8[[#This Row],[Fixture Adjusted Points / 90]]/Table8[[#This Row],[Price]]</f>
        <v>-0.12692139601636113</v>
      </c>
      <c r="AW438">
        <f t="shared" si="170"/>
        <v>79.100000000000009</v>
      </c>
      <c r="AX438">
        <f t="shared" si="171"/>
        <v>0.482926562926563</v>
      </c>
      <c r="AY438" s="2">
        <f t="shared" si="172"/>
        <v>0</v>
      </c>
      <c r="AZ438" s="5">
        <f t="shared" si="173"/>
        <v>0.96585312585312599</v>
      </c>
      <c r="BA438">
        <f>Table8[[#This Row],[Model Score2]]</f>
        <v>-0.64390208390208392</v>
      </c>
      <c r="BB438">
        <f>IFERROR(INDEX(Player_Model!$BG$2:$BG$596,MATCH($A438,Player_Model!$A$2:$A$596,0)),"")</f>
        <v>138</v>
      </c>
      <c r="BC438" t="str">
        <f t="shared" si="174"/>
        <v>AVOID</v>
      </c>
      <c r="BD438">
        <f>IF(H438=1,Table8[[#This Row],[Model Score]],-10000)</f>
        <v>-0.64390208390208392</v>
      </c>
      <c r="BE438">
        <f>IFERROR(INDEX(Player_Model!$BF$2:$BF$596,MATCH($A438,Player_Model!$A$2:$A$596,0)),"")</f>
        <v>537</v>
      </c>
      <c r="BF438">
        <f>IFERROR(INDEX(Player_Model!$BG$2:$BG$596,MATCH($A438,Player_Model!$A$2:$A$596,0)),"")</f>
        <v>138</v>
      </c>
      <c r="BG438">
        <f>IFERROR(INDEX(Player_Model!$BE$2:$BE$596,MATCH($A438,Player_Model!$A$2:$A$596,0)),0)</f>
        <v>-0.64390208390208392</v>
      </c>
    </row>
    <row r="439" spans="1:59" x14ac:dyDescent="0.25">
      <c r="A439" t="str">
        <f>tblPlayers[first_name]&amp;" "&amp;tblPlayers[second_name]</f>
        <v>Calvin Ramsay</v>
      </c>
      <c r="B439" t="str">
        <f>_xlfn.SWITCH(tblPlayers[element_type],1,"GK",2,"DEF",3,"MID",4,"FWD")</f>
        <v>DEF</v>
      </c>
      <c r="C439">
        <f>tblPlayers[team]</f>
        <v>14</v>
      </c>
      <c r="D439" t="str">
        <f>INDEX(tblTeams[Column1.short_name],MATCH(C439,tblTeams[Column1.id],0))</f>
        <v>LIV</v>
      </c>
      <c r="E439" s="4">
        <f>INDEX(FPL_Raw_Data!$F:$F,MATCH(A439,FPL_Raw_Data!$AA:$AA,0))/10</f>
        <v>4</v>
      </c>
      <c r="F439" s="4" t="str">
        <f>tblPlayers[[#This Row],[status]]</f>
        <v>u</v>
      </c>
      <c r="G439" s="4" t="b">
        <f>tblPlayers[[#This Row],[can_select]]</f>
        <v>0</v>
      </c>
      <c r="H439">
        <f>IF(AND(Table8[[#This Row],[Availability Status]]="a",Table8[[#This Row],[Can Select]]=TRUE),1,0)</f>
        <v>0</v>
      </c>
      <c r="I439">
        <f>tblPlayers[minutes]</f>
        <v>0</v>
      </c>
      <c r="J439" s="2">
        <f>Table8[[#This Row],[Minutes]]/90</f>
        <v>0</v>
      </c>
      <c r="K439" s="5">
        <f>IFERROR(Z439/(FIXTURE_ANALYSIS!$B$1-1),0)</f>
        <v>0</v>
      </c>
      <c r="L439">
        <f>tblPlayers[total_points]</f>
        <v>0</v>
      </c>
      <c r="M439">
        <f>tblPlayers[points_per_game]</f>
        <v>0</v>
      </c>
      <c r="N439">
        <f>tblPlayers[form]</f>
        <v>0</v>
      </c>
      <c r="O439">
        <f>tblPlayers[expected_goals]</f>
        <v>0</v>
      </c>
      <c r="P439">
        <f>tblPlayers[expected_assists]</f>
        <v>0</v>
      </c>
      <c r="Q439">
        <f>tblPlayers[expected_goal_involvements]</f>
        <v>0</v>
      </c>
      <c r="R439" s="2">
        <f t="shared" si="150"/>
        <v>0</v>
      </c>
      <c r="S439" s="5">
        <f t="shared" si="151"/>
        <v>0</v>
      </c>
      <c r="T439" s="5">
        <f t="shared" si="152"/>
        <v>0</v>
      </c>
      <c r="U439" s="5">
        <f t="shared" si="153"/>
        <v>0</v>
      </c>
      <c r="V439" s="3">
        <f t="shared" si="154"/>
        <v>0</v>
      </c>
      <c r="W439" s="5">
        <f t="shared" si="155"/>
        <v>0</v>
      </c>
      <c r="X439" s="5">
        <f>IFERROR(IF(OR($B439="MID",$B439="FWD"),INDEX(FIXTURE_ANALYSIS!$Q:$Q,MATCH($D439,FIXTURE_ANALYSIS!$A:$A,0)),INDEX(FIXTURE_ANALYSIS!$R:$R,MATCH($D439,FIXTURE_ANALYSIS!$A:$A,0))),1)</f>
        <v>0.96585312585312599</v>
      </c>
      <c r="Y439" s="5">
        <f t="shared" si="156"/>
        <v>0.96585312585312599</v>
      </c>
      <c r="Z439" s="8">
        <f>INDEX(FPL_Raw_Data!$T:$T,MATCH(A439,FPL_Raw_Data!$AA:$AA,0))</f>
        <v>0</v>
      </c>
      <c r="AA439" s="8">
        <f>INDEX(FPL_Raw_Data!$S:$S,MATCH(A439,FPL_Raw_Data!$AA:$AA,0))</f>
        <v>0</v>
      </c>
      <c r="AB439" s="2">
        <f t="shared" si="157"/>
        <v>0</v>
      </c>
      <c r="AC439" s="2">
        <f>INDEX(FPL_Raw_Data!$Q:$Q,MATCH(A439,FPL_Raw_Data!$AA:$AA,0))</f>
        <v>0</v>
      </c>
      <c r="AD439" s="8">
        <f>INDEX(FPL_Raw_Data!$R:$R,MATCH(A439,FPL_Raw_Data!$AA:$AA,0))</f>
        <v>0</v>
      </c>
      <c r="AE439" s="8">
        <f>INDEX(FPL_Raw_Data!$N:$N,MATCH(A439,FPL_Raw_Data!$AA:$AA,0))</f>
        <v>0</v>
      </c>
      <c r="AF439" s="8">
        <f>INDEX(FPL_Raw_Data!$L:$L,MATCH(A439,FPL_Raw_Data!$AA:$AA,0))</f>
        <v>0</v>
      </c>
      <c r="AG439" s="2">
        <f>INDEX(FPL_Raw_Data!$M:$M,MATCH(A439,FPL_Raw_Data!$AA:$AA,0))</f>
        <v>0</v>
      </c>
      <c r="AH439" s="2">
        <f t="shared" si="158"/>
        <v>0</v>
      </c>
      <c r="AI439" s="2">
        <f t="shared" si="159"/>
        <v>0</v>
      </c>
      <c r="AJ439" s="2">
        <f t="shared" si="160"/>
        <v>0</v>
      </c>
      <c r="AK439" s="2">
        <f t="shared" si="161"/>
        <v>0</v>
      </c>
      <c r="AL439" s="2">
        <f t="shared" si="162"/>
        <v>0</v>
      </c>
      <c r="AM439" s="2">
        <f t="shared" si="163"/>
        <v>0</v>
      </c>
      <c r="AN439" s="2">
        <f t="shared" si="164"/>
        <v>0</v>
      </c>
      <c r="AO439" s="3">
        <f t="shared" si="165"/>
        <v>0.1</v>
      </c>
      <c r="AP439">
        <f t="shared" si="166"/>
        <v>0</v>
      </c>
      <c r="AQ439">
        <f t="shared" si="167"/>
        <v>0.1</v>
      </c>
      <c r="AR439">
        <f t="shared" si="168"/>
        <v>0</v>
      </c>
      <c r="AS439" s="2">
        <f t="shared" si="169"/>
        <v>0</v>
      </c>
      <c r="AT439" s="2">
        <f>IFERROR(INDEX(Player_Model!$BC$2:$BC$596,MATCH($A439,Player_Model!$A$2:$A$596,0)),0)</f>
        <v>-0.64390208390208392</v>
      </c>
      <c r="AU439" s="2">
        <f>Table8[[#This Row],[Model Expected Points]]*Table8[[#This Row],[Fixture Adjustment]]</f>
        <v>-0.62191484048016954</v>
      </c>
      <c r="AV439" s="2">
        <f>Table8[[#This Row],[Fixture Adjusted Points / 90]]/Table8[[#This Row],[Price]]</f>
        <v>-0.15547871012004238</v>
      </c>
      <c r="AW439">
        <f t="shared" si="170"/>
        <v>0</v>
      </c>
      <c r="AX439">
        <f t="shared" si="171"/>
        <v>0.482926562926563</v>
      </c>
      <c r="AY439" s="2">
        <f t="shared" si="172"/>
        <v>0</v>
      </c>
      <c r="AZ439" s="5">
        <f t="shared" si="173"/>
        <v>0.96585312585312599</v>
      </c>
      <c r="BA439">
        <f>Table8[[#This Row],[Model Score2]]</f>
        <v>-0.64390208390208392</v>
      </c>
      <c r="BB439">
        <f>IFERROR(INDEX(Player_Model!$BG$2:$BG$596,MATCH($A439,Player_Model!$A$2:$A$596,0)),"")</f>
        <v>139</v>
      </c>
      <c r="BC439" t="str">
        <f t="shared" si="174"/>
        <v>AVOID</v>
      </c>
      <c r="BD439">
        <f>IF(H439=1,Table8[[#This Row],[Model Score]],-10000)</f>
        <v>-10000</v>
      </c>
      <c r="BE439">
        <f>IFERROR(INDEX(Player_Model!$BF$2:$BF$596,MATCH($A439,Player_Model!$A$2:$A$596,0)),"")</f>
        <v>537</v>
      </c>
      <c r="BF439">
        <f>IFERROR(INDEX(Player_Model!$BG$2:$BG$596,MATCH($A439,Player_Model!$A$2:$A$596,0)),"")</f>
        <v>139</v>
      </c>
      <c r="BG439">
        <f>IFERROR(INDEX(Player_Model!$BE$2:$BE$596,MATCH($A439,Player_Model!$A$2:$A$596,0)),0)</f>
        <v>-0.64390208390208392</v>
      </c>
    </row>
    <row r="440" spans="1:59" x14ac:dyDescent="0.25">
      <c r="A440" t="str">
        <f>tblPlayers[first_name]&amp;" "&amp;tblPlayers[second_name]</f>
        <v>Florian Wirtz</v>
      </c>
      <c r="B440" t="str">
        <f>_xlfn.SWITCH(tblPlayers[element_type],1,"GK",2,"DEF",3,"MID",4,"FWD")</f>
        <v>MID</v>
      </c>
      <c r="C440">
        <f>tblPlayers[team]</f>
        <v>14</v>
      </c>
      <c r="D440" t="str">
        <f>INDEX(tblTeams[Column1.short_name],MATCH(C440,tblTeams[Column1.id],0))</f>
        <v>LIV</v>
      </c>
      <c r="E440" s="4">
        <f>INDEX(FPL_Raw_Data!$F:$F,MATCH(A440,FPL_Raw_Data!$AA:$AA,0))/10</f>
        <v>7.4</v>
      </c>
      <c r="F440" s="4" t="str">
        <f>tblPlayers[[#This Row],[status]]</f>
        <v>a</v>
      </c>
      <c r="G440" s="4" t="b">
        <f>tblPlayers[[#This Row],[can_select]]</f>
        <v>1</v>
      </c>
      <c r="H440">
        <f>IF(AND(Table8[[#This Row],[Availability Status]]="a",Table8[[#This Row],[Can Select]]=TRUE),1,0)</f>
        <v>1</v>
      </c>
      <c r="I440">
        <f>tblPlayers[minutes]</f>
        <v>242</v>
      </c>
      <c r="J440" s="2">
        <f>Table8[[#This Row],[Minutes]]/90</f>
        <v>2.6888888888888891</v>
      </c>
      <c r="K440" s="5">
        <f>IFERROR(Z440/(FIXTURE_ANALYSIS!$B$1-1),0)</f>
        <v>1</v>
      </c>
      <c r="L440">
        <f>tblPlayers[total_points]</f>
        <v>9</v>
      </c>
      <c r="M440">
        <f>tblPlayers[points_per_game]</f>
        <v>3</v>
      </c>
      <c r="N440">
        <f>tblPlayers[form]</f>
        <v>3</v>
      </c>
      <c r="O440">
        <f>tblPlayers[expected_goals]</f>
        <v>0.67</v>
      </c>
      <c r="P440">
        <f>tblPlayers[expected_assists]</f>
        <v>0.28999999999999998</v>
      </c>
      <c r="Q440">
        <f>tblPlayers[expected_goal_involvements]</f>
        <v>0.96</v>
      </c>
      <c r="R440" s="2">
        <f t="shared" si="150"/>
        <v>3.3471074380165291</v>
      </c>
      <c r="S440" s="5">
        <f t="shared" si="151"/>
        <v>0.24917355371900826</v>
      </c>
      <c r="T440" s="5">
        <f t="shared" si="152"/>
        <v>0.10785123966942148</v>
      </c>
      <c r="U440" s="5">
        <f t="shared" si="153"/>
        <v>0.35702479338842974</v>
      </c>
      <c r="V440" s="3">
        <f t="shared" si="154"/>
        <v>1.2162162162162162</v>
      </c>
      <c r="W440" s="5">
        <f t="shared" si="155"/>
        <v>0.12972972972972971</v>
      </c>
      <c r="X440" s="5">
        <f>IFERROR(IF(OR($B440="MID",$B440="FWD"),INDEX(FIXTURE_ANALYSIS!$Q:$Q,MATCH($D440,FIXTURE_ANALYSIS!$A:$A,0)),INDEX(FIXTURE_ANALYSIS!$R:$R,MATCH($D440,FIXTURE_ANALYSIS!$A:$A,0))),1)</f>
        <v>1.0903373702422146</v>
      </c>
      <c r="Y440" s="5">
        <f t="shared" si="156"/>
        <v>1.0903373702422146</v>
      </c>
      <c r="Z440" s="8">
        <f>INDEX(FPL_Raw_Data!$T:$T,MATCH(A440,FPL_Raw_Data!$AA:$AA,0))</f>
        <v>3</v>
      </c>
      <c r="AA440" s="8">
        <f>INDEX(FPL_Raw_Data!$S:$S,MATCH(A440,FPL_Raw_Data!$AA:$AA,0))</f>
        <v>19</v>
      </c>
      <c r="AB440" s="2">
        <f t="shared" si="157"/>
        <v>1</v>
      </c>
      <c r="AC440" s="2">
        <f>INDEX(FPL_Raw_Data!$Q:$Q,MATCH(A440,FPL_Raw_Data!$AA:$AA,0))</f>
        <v>0</v>
      </c>
      <c r="AD440" s="8">
        <f>INDEX(FPL_Raw_Data!$R:$R,MATCH(A440,FPL_Raw_Data!$AA:$AA,0))</f>
        <v>53</v>
      </c>
      <c r="AE440" s="8">
        <f>INDEX(FPL_Raw_Data!$N:$N,MATCH(A440,FPL_Raw_Data!$AA:$AA,0))</f>
        <v>1</v>
      </c>
      <c r="AF440" s="8">
        <f>INDEX(FPL_Raw_Data!$L:$L,MATCH(A440,FPL_Raw_Data!$AA:$AA,0))</f>
        <v>0</v>
      </c>
      <c r="AG440" s="2">
        <f>INDEX(FPL_Raw_Data!$M:$M,MATCH(A440,FPL_Raw_Data!$AA:$AA,0))</f>
        <v>1</v>
      </c>
      <c r="AH440" s="2">
        <f t="shared" si="158"/>
        <v>1.2458677685950412</v>
      </c>
      <c r="AI440" s="2">
        <f t="shared" si="159"/>
        <v>0.32355371900826446</v>
      </c>
      <c r="AJ440" s="2">
        <f t="shared" si="160"/>
        <v>2</v>
      </c>
      <c r="AK440" s="2">
        <f t="shared" si="161"/>
        <v>2</v>
      </c>
      <c r="AL440" s="2">
        <f t="shared" si="162"/>
        <v>0.33333333333333331</v>
      </c>
      <c r="AM440" s="2">
        <f t="shared" si="163"/>
        <v>0.33333333333333331</v>
      </c>
      <c r="AN440" s="2">
        <f t="shared" si="164"/>
        <v>0</v>
      </c>
      <c r="AO440" s="3">
        <f t="shared" si="165"/>
        <v>64.3</v>
      </c>
      <c r="AP440">
        <f t="shared" si="166"/>
        <v>87.2</v>
      </c>
      <c r="AQ440">
        <f t="shared" si="167"/>
        <v>73.7</v>
      </c>
      <c r="AR440">
        <f t="shared" si="168"/>
        <v>88.8</v>
      </c>
      <c r="AS440" s="2">
        <f t="shared" si="169"/>
        <v>100</v>
      </c>
      <c r="AT440" s="2">
        <f>IFERROR(INDEX(Player_Model!$BC$2:$BC$596,MATCH($A440,Player_Model!$A$2:$A$596,0)),0)</f>
        <v>5.6047023266322604</v>
      </c>
      <c r="AU440" s="2">
        <f>Table8[[#This Row],[Model Expected Points]]*Table8[[#This Row],[Fixture Adjustment]]</f>
        <v>6.1110163958106405</v>
      </c>
      <c r="AV440" s="2">
        <f>Table8[[#This Row],[Fixture Adjusted Points / 90]]/Table8[[#This Row],[Price]]</f>
        <v>0.82581302646089727</v>
      </c>
      <c r="AW440">
        <f t="shared" si="170"/>
        <v>75.75</v>
      </c>
      <c r="AX440">
        <f t="shared" si="171"/>
        <v>1</v>
      </c>
      <c r="AY440" s="2">
        <f t="shared" si="172"/>
        <v>100</v>
      </c>
      <c r="AZ440" s="5">
        <f t="shared" si="173"/>
        <v>1.0903373702422146</v>
      </c>
      <c r="BA440">
        <f>Table8[[#This Row],[Model Score2]]</f>
        <v>5.6047023266322604</v>
      </c>
      <c r="BB440">
        <f>IFERROR(INDEX(Player_Model!$BG$2:$BG$596,MATCH($A440,Player_Model!$A$2:$A$596,0)),"")</f>
        <v>26</v>
      </c>
      <c r="BC440" t="str">
        <f t="shared" si="174"/>
        <v>AVOID</v>
      </c>
      <c r="BD440">
        <f>IF(H440=1,Table8[[#This Row],[Model Score]],-10000)</f>
        <v>5.6047023266322604</v>
      </c>
      <c r="BE440">
        <f>IFERROR(INDEX(Player_Model!$BF$2:$BF$596,MATCH($A440,Player_Model!$A$2:$A$596,0)),"")</f>
        <v>60</v>
      </c>
      <c r="BF440">
        <f>IFERROR(INDEX(Player_Model!$BG$2:$BG$596,MATCH($A440,Player_Model!$A$2:$A$596,0)),"")</f>
        <v>26</v>
      </c>
      <c r="BG440">
        <f>IFERROR(INDEX(Player_Model!$BE$2:$BE$596,MATCH($A440,Player_Model!$A$2:$A$596,0)),0)</f>
        <v>5.6047023266322604</v>
      </c>
    </row>
    <row r="441" spans="1:59" x14ac:dyDescent="0.25">
      <c r="A441" t="str">
        <f>tblPlayers[first_name]&amp;" "&amp;tblPlayers[second_name]</f>
        <v>Cody Gakpo</v>
      </c>
      <c r="B441" t="str">
        <f>_xlfn.SWITCH(tblPlayers[element_type],1,"GK",2,"DEF",3,"MID",4,"FWD")</f>
        <v>MID</v>
      </c>
      <c r="C441">
        <f>tblPlayers[team]</f>
        <v>14</v>
      </c>
      <c r="D441" t="str">
        <f>INDEX(tblTeams[Column1.short_name],MATCH(C441,tblTeams[Column1.id],0))</f>
        <v>LIV</v>
      </c>
      <c r="E441" s="4">
        <f>INDEX(FPL_Raw_Data!$F:$F,MATCH(A441,FPL_Raw_Data!$AA:$AA,0))/10</f>
        <v>7.2</v>
      </c>
      <c r="F441" s="4" t="str">
        <f>tblPlayers[[#This Row],[status]]</f>
        <v>a</v>
      </c>
      <c r="G441" s="4" t="b">
        <f>tblPlayers[[#This Row],[can_select]]</f>
        <v>1</v>
      </c>
      <c r="H441">
        <f>IF(AND(Table8[[#This Row],[Availability Status]]="a",Table8[[#This Row],[Can Select]]=TRUE),1,0)</f>
        <v>1</v>
      </c>
      <c r="I441">
        <f>tblPlayers[minutes]</f>
        <v>250</v>
      </c>
      <c r="J441" s="2">
        <f>Table8[[#This Row],[Minutes]]/90</f>
        <v>2.7777777777777777</v>
      </c>
      <c r="K441" s="5">
        <f>IFERROR(Z441/(FIXTURE_ANALYSIS!$B$1-1),0)</f>
        <v>1</v>
      </c>
      <c r="L441">
        <f>tblPlayers[total_points]</f>
        <v>28</v>
      </c>
      <c r="M441">
        <f>tblPlayers[points_per_game]</f>
        <v>9.3000000000000007</v>
      </c>
      <c r="N441">
        <f>tblPlayers[form]</f>
        <v>9.3000000000000007</v>
      </c>
      <c r="O441">
        <f>tblPlayers[expected_goals]</f>
        <v>0.36</v>
      </c>
      <c r="P441">
        <f>tblPlayers[expected_assists]</f>
        <v>1.2</v>
      </c>
      <c r="Q441">
        <f>tblPlayers[expected_goal_involvements]</f>
        <v>1.56</v>
      </c>
      <c r="R441" s="2">
        <f t="shared" si="150"/>
        <v>10.08</v>
      </c>
      <c r="S441" s="5">
        <f t="shared" si="151"/>
        <v>0.12959999999999999</v>
      </c>
      <c r="T441" s="5">
        <f t="shared" si="152"/>
        <v>0.43199999999999994</v>
      </c>
      <c r="U441" s="5">
        <f t="shared" si="153"/>
        <v>0.56159999999999999</v>
      </c>
      <c r="V441" s="3">
        <f t="shared" si="154"/>
        <v>3.8888888888888888</v>
      </c>
      <c r="W441" s="5">
        <f t="shared" si="155"/>
        <v>0.21666666666666667</v>
      </c>
      <c r="X441" s="5">
        <f>IFERROR(IF(OR($B441="MID",$B441="FWD"),INDEX(FIXTURE_ANALYSIS!$Q:$Q,MATCH($D441,FIXTURE_ANALYSIS!$A:$A,0)),INDEX(FIXTURE_ANALYSIS!$R:$R,MATCH($D441,FIXTURE_ANALYSIS!$A:$A,0))),1)</f>
        <v>1.0903373702422146</v>
      </c>
      <c r="Y441" s="5">
        <f t="shared" si="156"/>
        <v>1.0903373702422146</v>
      </c>
      <c r="Z441" s="8">
        <f>INDEX(FPL_Raw_Data!$T:$T,MATCH(A441,FPL_Raw_Data!$AA:$AA,0))</f>
        <v>3</v>
      </c>
      <c r="AA441" s="8">
        <f>INDEX(FPL_Raw_Data!$S:$S,MATCH(A441,FPL_Raw_Data!$AA:$AA,0))</f>
        <v>25</v>
      </c>
      <c r="AB441" s="2">
        <f t="shared" si="157"/>
        <v>1</v>
      </c>
      <c r="AC441" s="2">
        <f>INDEX(FPL_Raw_Data!$Q:$Q,MATCH(A441,FPL_Raw_Data!$AA:$AA,0))</f>
        <v>5</v>
      </c>
      <c r="AD441" s="8">
        <f>INDEX(FPL_Raw_Data!$R:$R,MATCH(A441,FPL_Raw_Data!$AA:$AA,0))</f>
        <v>97</v>
      </c>
      <c r="AE441" s="8">
        <f>INDEX(FPL_Raw_Data!$N:$N,MATCH(A441,FPL_Raw_Data!$AA:$AA,0))</f>
        <v>1</v>
      </c>
      <c r="AF441" s="8">
        <f>INDEX(FPL_Raw_Data!$L:$L,MATCH(A441,FPL_Raw_Data!$AA:$AA,0))</f>
        <v>1</v>
      </c>
      <c r="AG441" s="2">
        <f>INDEX(FPL_Raw_Data!$M:$M,MATCH(A441,FPL_Raw_Data!$AA:$AA,0))</f>
        <v>3</v>
      </c>
      <c r="AH441" s="2">
        <f t="shared" si="158"/>
        <v>0.64799999999999991</v>
      </c>
      <c r="AI441" s="2">
        <f t="shared" si="159"/>
        <v>1.2959999999999998</v>
      </c>
      <c r="AJ441" s="2">
        <f t="shared" si="160"/>
        <v>2</v>
      </c>
      <c r="AK441" s="2">
        <f t="shared" si="161"/>
        <v>2</v>
      </c>
      <c r="AL441" s="2">
        <f t="shared" si="162"/>
        <v>0.33333333333333331</v>
      </c>
      <c r="AM441" s="2">
        <f t="shared" si="163"/>
        <v>0.33333333333333331</v>
      </c>
      <c r="AN441" s="2">
        <f t="shared" si="164"/>
        <v>1.6666666666666667</v>
      </c>
      <c r="AO441" s="3">
        <f t="shared" si="165"/>
        <v>93</v>
      </c>
      <c r="AP441">
        <f t="shared" si="166"/>
        <v>93.4</v>
      </c>
      <c r="AQ441">
        <f t="shared" si="167"/>
        <v>98.3</v>
      </c>
      <c r="AR441">
        <f t="shared" si="168"/>
        <v>95.199999999999989</v>
      </c>
      <c r="AS441" s="2">
        <f t="shared" si="169"/>
        <v>100</v>
      </c>
      <c r="AT441" s="2">
        <f>IFERROR(INDEX(Player_Model!$BC$2:$BC$596,MATCH($A441,Player_Model!$A$2:$A$596,0)),0)</f>
        <v>6.3394947482998703</v>
      </c>
      <c r="AU441" s="2">
        <f>Table8[[#This Row],[Model Expected Points]]*Table8[[#This Row],[Fixture Adjustment]]</f>
        <v>6.9121880325256102</v>
      </c>
      <c r="AV441" s="2">
        <f>Table8[[#This Row],[Fixture Adjusted Points / 90]]/Table8[[#This Row],[Price]]</f>
        <v>0.960026115628557</v>
      </c>
      <c r="AW441">
        <f t="shared" si="170"/>
        <v>93.2</v>
      </c>
      <c r="AX441">
        <f t="shared" si="171"/>
        <v>1</v>
      </c>
      <c r="AY441" s="2">
        <f t="shared" si="172"/>
        <v>100</v>
      </c>
      <c r="AZ441" s="5">
        <f t="shared" si="173"/>
        <v>1.0903373702422146</v>
      </c>
      <c r="BA441">
        <f>Table8[[#This Row],[Model Score2]]</f>
        <v>6.3394947482998703</v>
      </c>
      <c r="BB441">
        <f>IFERROR(INDEX(Player_Model!$BG$2:$BG$596,MATCH($A441,Player_Model!$A$2:$A$596,0)),"")</f>
        <v>13</v>
      </c>
      <c r="BC441" t="str">
        <f t="shared" si="174"/>
        <v>AVOID</v>
      </c>
      <c r="BD441">
        <f>IF(H441=1,Table8[[#This Row],[Model Score]],-10000)</f>
        <v>6.3394947482998703</v>
      </c>
      <c r="BE441">
        <f>IFERROR(INDEX(Player_Model!$BF$2:$BF$596,MATCH($A441,Player_Model!$A$2:$A$596,0)),"")</f>
        <v>33</v>
      </c>
      <c r="BF441">
        <f>IFERROR(INDEX(Player_Model!$BG$2:$BG$596,MATCH($A441,Player_Model!$A$2:$A$596,0)),"")</f>
        <v>13</v>
      </c>
      <c r="BG441">
        <f>IFERROR(INDEX(Player_Model!$BE$2:$BE$596,MATCH($A441,Player_Model!$A$2:$A$596,0)),0)</f>
        <v>6.3394947482998703</v>
      </c>
    </row>
    <row r="442" spans="1:59" x14ac:dyDescent="0.25">
      <c r="A442" t="str">
        <f>tblPlayers[first_name]&amp;" "&amp;tblPlayers[second_name]</f>
        <v>Dominik Szoboszlai</v>
      </c>
      <c r="B442" t="str">
        <f>_xlfn.SWITCH(tblPlayers[element_type],1,"GK",2,"DEF",3,"MID",4,"FWD")</f>
        <v>MID</v>
      </c>
      <c r="C442">
        <f>tblPlayers[team]</f>
        <v>14</v>
      </c>
      <c r="D442" t="str">
        <f>INDEX(tblTeams[Column1.short_name],MATCH(C442,tblTeams[Column1.id],0))</f>
        <v>LIV</v>
      </c>
      <c r="E442" s="4">
        <f>INDEX(FPL_Raw_Data!$F:$F,MATCH(A442,FPL_Raw_Data!$AA:$AA,0))/10</f>
        <v>7</v>
      </c>
      <c r="F442" s="4" t="str">
        <f>tblPlayers[[#This Row],[status]]</f>
        <v>a</v>
      </c>
      <c r="G442" s="4" t="b">
        <f>tblPlayers[[#This Row],[can_select]]</f>
        <v>1</v>
      </c>
      <c r="H442">
        <f>IF(AND(Table8[[#This Row],[Availability Status]]="a",Table8[[#This Row],[Can Select]]=TRUE),1,0)</f>
        <v>1</v>
      </c>
      <c r="I442">
        <f>tblPlayers[minutes]</f>
        <v>270</v>
      </c>
      <c r="J442" s="2">
        <f>Table8[[#This Row],[Minutes]]/90</f>
        <v>3</v>
      </c>
      <c r="K442" s="5">
        <f>IFERROR(Z442/(FIXTURE_ANALYSIS!$B$1-1),0)</f>
        <v>1</v>
      </c>
      <c r="L442">
        <f>tblPlayers[total_points]</f>
        <v>15</v>
      </c>
      <c r="M442">
        <f>tblPlayers[points_per_game]</f>
        <v>5</v>
      </c>
      <c r="N442">
        <f>tblPlayers[form]</f>
        <v>5</v>
      </c>
      <c r="O442">
        <f>tblPlayers[expected_goals]</f>
        <v>1.17</v>
      </c>
      <c r="P442">
        <f>tblPlayers[expected_assists]</f>
        <v>0.52</v>
      </c>
      <c r="Q442">
        <f>tblPlayers[expected_goal_involvements]</f>
        <v>1.69</v>
      </c>
      <c r="R442" s="2">
        <f t="shared" si="150"/>
        <v>5</v>
      </c>
      <c r="S442" s="5">
        <f t="shared" si="151"/>
        <v>0.38999999999999996</v>
      </c>
      <c r="T442" s="5">
        <f t="shared" si="152"/>
        <v>0.17333333333333334</v>
      </c>
      <c r="U442" s="5">
        <f t="shared" si="153"/>
        <v>0.56333333333333324</v>
      </c>
      <c r="V442" s="3">
        <f t="shared" si="154"/>
        <v>2.1428571428571428</v>
      </c>
      <c r="W442" s="5">
        <f t="shared" si="155"/>
        <v>0.24142857142857141</v>
      </c>
      <c r="X442" s="5">
        <f>IFERROR(IF(OR($B442="MID",$B442="FWD"),INDEX(FIXTURE_ANALYSIS!$Q:$Q,MATCH($D442,FIXTURE_ANALYSIS!$A:$A,0)),INDEX(FIXTURE_ANALYSIS!$R:$R,MATCH($D442,FIXTURE_ANALYSIS!$A:$A,0))),1)</f>
        <v>1.0903373702422146</v>
      </c>
      <c r="Y442" s="5">
        <f t="shared" si="156"/>
        <v>1.0903373702422146</v>
      </c>
      <c r="Z442" s="8">
        <f>INDEX(FPL_Raw_Data!$T:$T,MATCH(A442,FPL_Raw_Data!$AA:$AA,0))</f>
        <v>3</v>
      </c>
      <c r="AA442" s="8">
        <f>INDEX(FPL_Raw_Data!$S:$S,MATCH(A442,FPL_Raw_Data!$AA:$AA,0))</f>
        <v>29</v>
      </c>
      <c r="AB442" s="2">
        <f t="shared" si="157"/>
        <v>1</v>
      </c>
      <c r="AC442" s="2">
        <f>INDEX(FPL_Raw_Data!$Q:$Q,MATCH(A442,FPL_Raw_Data!$AA:$AA,0))</f>
        <v>1</v>
      </c>
      <c r="AD442" s="8">
        <f>INDEX(FPL_Raw_Data!$R:$R,MATCH(A442,FPL_Raw_Data!$AA:$AA,0))</f>
        <v>73</v>
      </c>
      <c r="AE442" s="8">
        <f>INDEX(FPL_Raw_Data!$N:$N,MATCH(A442,FPL_Raw_Data!$AA:$AA,0))</f>
        <v>1</v>
      </c>
      <c r="AF442" s="8">
        <f>INDEX(FPL_Raw_Data!$L:$L,MATCH(A442,FPL_Raw_Data!$AA:$AA,0))</f>
        <v>1</v>
      </c>
      <c r="AG442" s="2">
        <f>INDEX(FPL_Raw_Data!$M:$M,MATCH(A442,FPL_Raw_Data!$AA:$AA,0))</f>
        <v>0</v>
      </c>
      <c r="AH442" s="2">
        <f t="shared" si="158"/>
        <v>1.9499999999999997</v>
      </c>
      <c r="AI442" s="2">
        <f t="shared" si="159"/>
        <v>0.52</v>
      </c>
      <c r="AJ442" s="2">
        <f t="shared" si="160"/>
        <v>2</v>
      </c>
      <c r="AK442" s="2">
        <f t="shared" si="161"/>
        <v>2</v>
      </c>
      <c r="AL442" s="2">
        <f t="shared" si="162"/>
        <v>0.33333333333333331</v>
      </c>
      <c r="AM442" s="2">
        <f t="shared" si="163"/>
        <v>0.33333333333333331</v>
      </c>
      <c r="AN442" s="2">
        <f t="shared" si="164"/>
        <v>0.33333333333333331</v>
      </c>
      <c r="AO442" s="3">
        <f t="shared" si="165"/>
        <v>75.400000000000006</v>
      </c>
      <c r="AP442">
        <f t="shared" si="166"/>
        <v>93.7</v>
      </c>
      <c r="AQ442">
        <f t="shared" si="167"/>
        <v>87.5</v>
      </c>
      <c r="AR442">
        <f t="shared" si="168"/>
        <v>96.899999999999991</v>
      </c>
      <c r="AS442" s="2">
        <f t="shared" si="169"/>
        <v>100</v>
      </c>
      <c r="AT442" s="2">
        <f>IFERROR(INDEX(Player_Model!$BC$2:$BC$596,MATCH($A442,Player_Model!$A$2:$A$596,0)),0)</f>
        <v>6.8858400432458096</v>
      </c>
      <c r="AU442" s="2">
        <f>Table8[[#This Row],[Model Expected Points]]*Table8[[#This Row],[Fixture Adjustment]]</f>
        <v>7.5078887246611732</v>
      </c>
      <c r="AV442" s="2">
        <f>Table8[[#This Row],[Fixture Adjusted Points / 90]]/Table8[[#This Row],[Price]]</f>
        <v>1.0725555320944533</v>
      </c>
      <c r="AW442">
        <f t="shared" si="170"/>
        <v>84.550000000000011</v>
      </c>
      <c r="AX442">
        <f t="shared" si="171"/>
        <v>1</v>
      </c>
      <c r="AY442" s="2">
        <f t="shared" si="172"/>
        <v>100</v>
      </c>
      <c r="AZ442" s="5">
        <f t="shared" si="173"/>
        <v>1.0903373702422146</v>
      </c>
      <c r="BA442">
        <f>Table8[[#This Row],[Model Score2]]</f>
        <v>6.8858400432458096</v>
      </c>
      <c r="BB442">
        <f>IFERROR(INDEX(Player_Model!$BG$2:$BG$596,MATCH($A442,Player_Model!$A$2:$A$596,0)),"")</f>
        <v>11</v>
      </c>
      <c r="BC442" t="str">
        <f t="shared" si="174"/>
        <v>AVOID</v>
      </c>
      <c r="BD442">
        <f>IF(H442=1,Table8[[#This Row],[Model Score]],-10000)</f>
        <v>6.8858400432458096</v>
      </c>
      <c r="BE442">
        <f>IFERROR(INDEX(Player_Model!$BF$2:$BF$596,MATCH($A442,Player_Model!$A$2:$A$596,0)),"")</f>
        <v>24</v>
      </c>
      <c r="BF442">
        <f>IFERROR(INDEX(Player_Model!$BG$2:$BG$596,MATCH($A442,Player_Model!$A$2:$A$596,0)),"")</f>
        <v>11</v>
      </c>
      <c r="BG442">
        <f>IFERROR(INDEX(Player_Model!$BE$2:$BE$596,MATCH($A442,Player_Model!$A$2:$A$596,0)),0)</f>
        <v>6.8858400432458096</v>
      </c>
    </row>
    <row r="443" spans="1:59" x14ac:dyDescent="0.25">
      <c r="A443" t="str">
        <f>tblPlayers[first_name]&amp;" "&amp;tblPlayers[second_name]</f>
        <v>Rio Ngumoha</v>
      </c>
      <c r="B443" t="str">
        <f>_xlfn.SWITCH(tblPlayers[element_type],1,"GK",2,"DEF",3,"MID",4,"FWD")</f>
        <v>MID</v>
      </c>
      <c r="C443">
        <f>tblPlayers[team]</f>
        <v>14</v>
      </c>
      <c r="D443" t="str">
        <f>INDEX(tblTeams[Column1.short_name],MATCH(C443,tblTeams[Column1.id],0))</f>
        <v>LIV</v>
      </c>
      <c r="E443" s="4">
        <f>INDEX(FPL_Raw_Data!$F:$F,MATCH(A443,FPL_Raw_Data!$AA:$AA,0))/10</f>
        <v>5.8</v>
      </c>
      <c r="F443" s="4" t="str">
        <f>tblPlayers[[#This Row],[status]]</f>
        <v>a</v>
      </c>
      <c r="G443" s="4" t="b">
        <f>tblPlayers[[#This Row],[can_select]]</f>
        <v>1</v>
      </c>
      <c r="H443">
        <f>IF(AND(Table8[[#This Row],[Availability Status]]="a",Table8[[#This Row],[Can Select]]=TRUE),1,0)</f>
        <v>1</v>
      </c>
      <c r="I443">
        <f>tblPlayers[minutes]</f>
        <v>81</v>
      </c>
      <c r="J443" s="2">
        <f>Table8[[#This Row],[Minutes]]/90</f>
        <v>0.9</v>
      </c>
      <c r="K443" s="5">
        <f>IFERROR(Z443/(FIXTURE_ANALYSIS!$B$1-1),0)</f>
        <v>0.33333333333333331</v>
      </c>
      <c r="L443">
        <f>tblPlayers[total_points]</f>
        <v>3</v>
      </c>
      <c r="M443">
        <f>tblPlayers[points_per_game]</f>
        <v>1.5</v>
      </c>
      <c r="N443">
        <f>tblPlayers[form]</f>
        <v>1</v>
      </c>
      <c r="O443">
        <f>tblPlayers[expected_goals]</f>
        <v>0.04</v>
      </c>
      <c r="P443">
        <f>tblPlayers[expected_assists]</f>
        <v>0.05</v>
      </c>
      <c r="Q443">
        <f>tblPlayers[expected_goal_involvements]</f>
        <v>0.09</v>
      </c>
      <c r="R443" s="2">
        <f t="shared" si="150"/>
        <v>3.333333333333333</v>
      </c>
      <c r="S443" s="5">
        <f t="shared" si="151"/>
        <v>4.4444444444444446E-2</v>
      </c>
      <c r="T443" s="5">
        <f t="shared" si="152"/>
        <v>5.5555555555555552E-2</v>
      </c>
      <c r="U443" s="5">
        <f t="shared" si="153"/>
        <v>0.1</v>
      </c>
      <c r="V443" s="3">
        <f t="shared" si="154"/>
        <v>0.51724137931034486</v>
      </c>
      <c r="W443" s="5">
        <f t="shared" si="155"/>
        <v>1.5517241379310345E-2</v>
      </c>
      <c r="X443" s="5">
        <f>IFERROR(IF(OR($B443="MID",$B443="FWD"),INDEX(FIXTURE_ANALYSIS!$Q:$Q,MATCH($D443,FIXTURE_ANALYSIS!$A:$A,0)),INDEX(FIXTURE_ANALYSIS!$R:$R,MATCH($D443,FIXTURE_ANALYSIS!$A:$A,0))),1)</f>
        <v>1.0903373702422146</v>
      </c>
      <c r="Y443" s="5">
        <f t="shared" si="156"/>
        <v>1.0903373702422146</v>
      </c>
      <c r="Z443" s="8">
        <f>INDEX(FPL_Raw_Data!$T:$T,MATCH(A443,FPL_Raw_Data!$AA:$AA,0))</f>
        <v>1</v>
      </c>
      <c r="AA443" s="8">
        <f>INDEX(FPL_Raw_Data!$S:$S,MATCH(A443,FPL_Raw_Data!$AA:$AA,0))</f>
        <v>3</v>
      </c>
      <c r="AB443" s="2">
        <f t="shared" si="157"/>
        <v>0.25</v>
      </c>
      <c r="AC443" s="2">
        <f>INDEX(FPL_Raw_Data!$Q:$Q,MATCH(A443,FPL_Raw_Data!$AA:$AA,0))</f>
        <v>0</v>
      </c>
      <c r="AD443" s="8">
        <f>INDEX(FPL_Raw_Data!$R:$R,MATCH(A443,FPL_Raw_Data!$AA:$AA,0))</f>
        <v>14</v>
      </c>
      <c r="AE443" s="8">
        <f>INDEX(FPL_Raw_Data!$N:$N,MATCH(A443,FPL_Raw_Data!$AA:$AA,0))</f>
        <v>0</v>
      </c>
      <c r="AF443" s="8">
        <f>INDEX(FPL_Raw_Data!$L:$L,MATCH(A443,FPL_Raw_Data!$AA:$AA,0))</f>
        <v>0</v>
      </c>
      <c r="AG443" s="2">
        <f>INDEX(FPL_Raw_Data!$M:$M,MATCH(A443,FPL_Raw_Data!$AA:$AA,0))</f>
        <v>0</v>
      </c>
      <c r="AH443" s="2">
        <f t="shared" si="158"/>
        <v>0.22222222222222224</v>
      </c>
      <c r="AI443" s="2">
        <f t="shared" si="159"/>
        <v>0.16666666666666666</v>
      </c>
      <c r="AJ443" s="2">
        <f t="shared" si="160"/>
        <v>0.66666666666666663</v>
      </c>
      <c r="AK443" s="2">
        <f t="shared" si="161"/>
        <v>0.5</v>
      </c>
      <c r="AL443" s="2">
        <f t="shared" si="162"/>
        <v>0</v>
      </c>
      <c r="AM443" s="2">
        <f t="shared" si="163"/>
        <v>0</v>
      </c>
      <c r="AN443" s="2">
        <f t="shared" si="164"/>
        <v>0</v>
      </c>
      <c r="AO443" s="3">
        <f t="shared" si="165"/>
        <v>62.2</v>
      </c>
      <c r="AP443">
        <f t="shared" si="166"/>
        <v>67.800000000000011</v>
      </c>
      <c r="AQ443">
        <f t="shared" si="167"/>
        <v>59.199999999999996</v>
      </c>
      <c r="AR443">
        <f t="shared" si="168"/>
        <v>63.2</v>
      </c>
      <c r="AS443" s="2">
        <f t="shared" si="169"/>
        <v>33.333333333333329</v>
      </c>
      <c r="AT443" s="2">
        <f>IFERROR(INDEX(Player_Model!$BC$2:$BC$596,MATCH($A443,Player_Model!$A$2:$A$596,0)),0)</f>
        <v>4.5680250003198042</v>
      </c>
      <c r="AU443" s="2">
        <f>Table8[[#This Row],[Model Expected Points]]*Table8[[#This Row],[Fixture Adjustment]]</f>
        <v>4.980688366049387</v>
      </c>
      <c r="AV443" s="2">
        <f>Table8[[#This Row],[Fixture Adjusted Points / 90]]/Table8[[#This Row],[Price]]</f>
        <v>0.85873937345679086</v>
      </c>
      <c r="AW443">
        <f t="shared" si="170"/>
        <v>65</v>
      </c>
      <c r="AX443">
        <f t="shared" si="171"/>
        <v>0.25</v>
      </c>
      <c r="AY443" s="2">
        <f t="shared" si="172"/>
        <v>33.333333333333329</v>
      </c>
      <c r="AZ443" s="5">
        <f t="shared" si="173"/>
        <v>1.0903373702422146</v>
      </c>
      <c r="BA443">
        <f>Table8[[#This Row],[Model Score2]]</f>
        <v>4.5680250003198042</v>
      </c>
      <c r="BB443">
        <f>IFERROR(INDEX(Player_Model!$BG$2:$BG$596,MATCH($A443,Player_Model!$A$2:$A$596,0)),"")</f>
        <v>57</v>
      </c>
      <c r="BC443" t="str">
        <f t="shared" si="174"/>
        <v>AVOID</v>
      </c>
      <c r="BD443">
        <f>IF(H443=1,Table8[[#This Row],[Model Score]],-10000)</f>
        <v>4.5680250003198042</v>
      </c>
      <c r="BE443">
        <f>IFERROR(INDEX(Player_Model!$BF$2:$BF$596,MATCH($A443,Player_Model!$A$2:$A$596,0)),"")</f>
        <v>122</v>
      </c>
      <c r="BF443">
        <f>IFERROR(INDEX(Player_Model!$BG$2:$BG$596,MATCH($A443,Player_Model!$A$2:$A$596,0)),"")</f>
        <v>57</v>
      </c>
      <c r="BG443">
        <f>IFERROR(INDEX(Player_Model!$BE$2:$BE$596,MATCH($A443,Player_Model!$A$2:$A$596,0)),0)</f>
        <v>4.5680250003198042</v>
      </c>
    </row>
    <row r="444" spans="1:59" x14ac:dyDescent="0.25">
      <c r="A444" t="str">
        <f>tblPlayers[first_name]&amp;" "&amp;tblPlayers[second_name]</f>
        <v>Federico Chiesa</v>
      </c>
      <c r="B444" t="str">
        <f>_xlfn.SWITCH(tblPlayers[element_type],1,"GK",2,"DEF",3,"MID",4,"FWD")</f>
        <v>MID</v>
      </c>
      <c r="C444">
        <f>tblPlayers[team]</f>
        <v>14</v>
      </c>
      <c r="D444" t="str">
        <f>INDEX(tblTeams[Column1.short_name],MATCH(C444,tblTeams[Column1.id],0))</f>
        <v>LIV</v>
      </c>
      <c r="E444" s="4">
        <f>INDEX(FPL_Raw_Data!$F:$F,MATCH(A444,FPL_Raw_Data!$AA:$AA,0))/10</f>
        <v>5.4</v>
      </c>
      <c r="F444" s="4" t="str">
        <f>tblPlayers[[#This Row],[status]]</f>
        <v>i</v>
      </c>
      <c r="G444" s="4" t="b">
        <f>tblPlayers[[#This Row],[can_select]]</f>
        <v>1</v>
      </c>
      <c r="H444">
        <f>IF(AND(Table8[[#This Row],[Availability Status]]="a",Table8[[#This Row],[Can Select]]=TRUE),1,0)</f>
        <v>0</v>
      </c>
      <c r="I444">
        <f>tblPlayers[minutes]</f>
        <v>0</v>
      </c>
      <c r="J444" s="2">
        <f>Table8[[#This Row],[Minutes]]/90</f>
        <v>0</v>
      </c>
      <c r="K444" s="5">
        <f>IFERROR(Z444/(FIXTURE_ANALYSIS!$B$1-1),0)</f>
        <v>0</v>
      </c>
      <c r="L444">
        <f>tblPlayers[total_points]</f>
        <v>0</v>
      </c>
      <c r="M444">
        <f>tblPlayers[points_per_game]</f>
        <v>0</v>
      </c>
      <c r="N444">
        <f>tblPlayers[form]</f>
        <v>0</v>
      </c>
      <c r="O444">
        <f>tblPlayers[expected_goals]</f>
        <v>0</v>
      </c>
      <c r="P444">
        <f>tblPlayers[expected_assists]</f>
        <v>0</v>
      </c>
      <c r="Q444">
        <f>tblPlayers[expected_goal_involvements]</f>
        <v>0</v>
      </c>
      <c r="R444" s="2">
        <f t="shared" si="150"/>
        <v>0</v>
      </c>
      <c r="S444" s="5">
        <f t="shared" si="151"/>
        <v>0</v>
      </c>
      <c r="T444" s="5">
        <f t="shared" si="152"/>
        <v>0</v>
      </c>
      <c r="U444" s="5">
        <f t="shared" si="153"/>
        <v>0</v>
      </c>
      <c r="V444" s="3">
        <f t="shared" si="154"/>
        <v>0</v>
      </c>
      <c r="W444" s="5">
        <f t="shared" si="155"/>
        <v>0</v>
      </c>
      <c r="X444" s="5">
        <f>IFERROR(IF(OR($B444="MID",$B444="FWD"),INDEX(FIXTURE_ANALYSIS!$Q:$Q,MATCH($D444,FIXTURE_ANALYSIS!$A:$A,0)),INDEX(FIXTURE_ANALYSIS!$R:$R,MATCH($D444,FIXTURE_ANALYSIS!$A:$A,0))),1)</f>
        <v>1.0903373702422146</v>
      </c>
      <c r="Y444" s="5">
        <f t="shared" si="156"/>
        <v>1.0903373702422146</v>
      </c>
      <c r="Z444" s="8">
        <f>INDEX(FPL_Raw_Data!$T:$T,MATCH(A444,FPL_Raw_Data!$AA:$AA,0))</f>
        <v>0</v>
      </c>
      <c r="AA444" s="8">
        <f>INDEX(FPL_Raw_Data!$S:$S,MATCH(A444,FPL_Raw_Data!$AA:$AA,0))</f>
        <v>0</v>
      </c>
      <c r="AB444" s="2">
        <f t="shared" si="157"/>
        <v>0</v>
      </c>
      <c r="AC444" s="2">
        <f>INDEX(FPL_Raw_Data!$Q:$Q,MATCH(A444,FPL_Raw_Data!$AA:$AA,0))</f>
        <v>0</v>
      </c>
      <c r="AD444" s="8">
        <f>INDEX(FPL_Raw_Data!$R:$R,MATCH(A444,FPL_Raw_Data!$AA:$AA,0))</f>
        <v>0</v>
      </c>
      <c r="AE444" s="8">
        <f>INDEX(FPL_Raw_Data!$N:$N,MATCH(A444,FPL_Raw_Data!$AA:$AA,0))</f>
        <v>0</v>
      </c>
      <c r="AF444" s="8">
        <f>INDEX(FPL_Raw_Data!$L:$L,MATCH(A444,FPL_Raw_Data!$AA:$AA,0))</f>
        <v>0</v>
      </c>
      <c r="AG444" s="2">
        <f>INDEX(FPL_Raw_Data!$M:$M,MATCH(A444,FPL_Raw_Data!$AA:$AA,0))</f>
        <v>0</v>
      </c>
      <c r="AH444" s="2">
        <f t="shared" si="158"/>
        <v>0</v>
      </c>
      <c r="AI444" s="2">
        <f t="shared" si="159"/>
        <v>0</v>
      </c>
      <c r="AJ444" s="2">
        <f t="shared" si="160"/>
        <v>0</v>
      </c>
      <c r="AK444" s="2">
        <f t="shared" si="161"/>
        <v>0</v>
      </c>
      <c r="AL444" s="2">
        <f t="shared" si="162"/>
        <v>0</v>
      </c>
      <c r="AM444" s="2">
        <f t="shared" si="163"/>
        <v>0</v>
      </c>
      <c r="AN444" s="2">
        <f t="shared" si="164"/>
        <v>0</v>
      </c>
      <c r="AO444" s="3">
        <f t="shared" si="165"/>
        <v>0.1</v>
      </c>
      <c r="AP444">
        <f t="shared" si="166"/>
        <v>0</v>
      </c>
      <c r="AQ444">
        <f t="shared" si="167"/>
        <v>0.1</v>
      </c>
      <c r="AR444">
        <f t="shared" si="168"/>
        <v>0</v>
      </c>
      <c r="AS444" s="2">
        <f t="shared" si="169"/>
        <v>0</v>
      </c>
      <c r="AT444" s="2">
        <f>IFERROR(INDEX(Player_Model!$BC$2:$BC$596,MATCH($A444,Player_Model!$A$2:$A$596,0)),0)</f>
        <v>0</v>
      </c>
      <c r="AU444" s="2">
        <f>Table8[[#This Row],[Model Expected Points]]*Table8[[#This Row],[Fixture Adjustment]]</f>
        <v>0</v>
      </c>
      <c r="AV444" s="2">
        <f>Table8[[#This Row],[Fixture Adjusted Points / 90]]/Table8[[#This Row],[Price]]</f>
        <v>0</v>
      </c>
      <c r="AW444">
        <f t="shared" si="170"/>
        <v>0.05</v>
      </c>
      <c r="AX444">
        <f t="shared" si="171"/>
        <v>0</v>
      </c>
      <c r="AY444" s="2">
        <f t="shared" si="172"/>
        <v>0</v>
      </c>
      <c r="AZ444" s="5">
        <f t="shared" si="173"/>
        <v>1.0903373702422146</v>
      </c>
      <c r="BA444">
        <f>Table8[[#This Row],[Model Score2]]</f>
        <v>0</v>
      </c>
      <c r="BB444">
        <f>IFERROR(INDEX(Player_Model!$BG$2:$BG$596,MATCH($A444,Player_Model!$A$2:$A$596,0)),"")</f>
        <v>224</v>
      </c>
      <c r="BC444" t="str">
        <f t="shared" si="174"/>
        <v>AVOID</v>
      </c>
      <c r="BD444">
        <f>IF(H444=1,Table8[[#This Row],[Model Score]],-10000)</f>
        <v>-10000</v>
      </c>
      <c r="BE444">
        <f>IFERROR(INDEX(Player_Model!$BF$2:$BF$596,MATCH($A444,Player_Model!$A$2:$A$596,0)),"")</f>
        <v>253</v>
      </c>
      <c r="BF444">
        <f>IFERROR(INDEX(Player_Model!$BG$2:$BG$596,MATCH($A444,Player_Model!$A$2:$A$596,0)),"")</f>
        <v>224</v>
      </c>
      <c r="BG444">
        <f>IFERROR(INDEX(Player_Model!$BE$2:$BE$596,MATCH($A444,Player_Model!$A$2:$A$596,0)),0)</f>
        <v>0</v>
      </c>
    </row>
    <row r="445" spans="1:59" x14ac:dyDescent="0.25">
      <c r="A445" t="str">
        <f>tblPlayers[first_name]&amp;" "&amp;tblPlayers[second_name]</f>
        <v>Ryan Gravenberch</v>
      </c>
      <c r="B445" t="str">
        <f>_xlfn.SWITCH(tblPlayers[element_type],1,"GK",2,"DEF",3,"MID",4,"FWD")</f>
        <v>MID</v>
      </c>
      <c r="C445">
        <f>tblPlayers[team]</f>
        <v>14</v>
      </c>
      <c r="D445" t="str">
        <f>INDEX(tblTeams[Column1.short_name],MATCH(C445,tblTeams[Column1.id],0))</f>
        <v>LIV</v>
      </c>
      <c r="E445" s="4">
        <f>INDEX(FPL_Raw_Data!$F:$F,MATCH(A445,FPL_Raw_Data!$AA:$AA,0))/10</f>
        <v>5.9</v>
      </c>
      <c r="F445" s="4" t="str">
        <f>tblPlayers[[#This Row],[status]]</f>
        <v>a</v>
      </c>
      <c r="G445" s="4" t="b">
        <f>tblPlayers[[#This Row],[can_select]]</f>
        <v>1</v>
      </c>
      <c r="H445">
        <f>IF(AND(Table8[[#This Row],[Availability Status]]="a",Table8[[#This Row],[Can Select]]=TRUE),1,0)</f>
        <v>1</v>
      </c>
      <c r="I445">
        <f>tblPlayers[minutes]</f>
        <v>122</v>
      </c>
      <c r="J445" s="2">
        <f>Table8[[#This Row],[Minutes]]/90</f>
        <v>1.3555555555555556</v>
      </c>
      <c r="K445" s="5">
        <f>IFERROR(Z445/(FIXTURE_ANALYSIS!$B$1-1),0)</f>
        <v>0.33333333333333331</v>
      </c>
      <c r="L445">
        <f>tblPlayers[total_points]</f>
        <v>7</v>
      </c>
      <c r="M445">
        <f>tblPlayers[points_per_game]</f>
        <v>2.2999999999999998</v>
      </c>
      <c r="N445">
        <f>tblPlayers[form]</f>
        <v>2.2999999999999998</v>
      </c>
      <c r="O445">
        <f>tblPlayers[expected_goals]</f>
        <v>0.06</v>
      </c>
      <c r="P445">
        <f>tblPlayers[expected_assists]</f>
        <v>0.06</v>
      </c>
      <c r="Q445">
        <f>tblPlayers[expected_goal_involvements]</f>
        <v>0.12</v>
      </c>
      <c r="R445" s="2">
        <f t="shared" si="150"/>
        <v>5.1639344262295079</v>
      </c>
      <c r="S445" s="5">
        <f t="shared" si="151"/>
        <v>4.4262295081967211E-2</v>
      </c>
      <c r="T445" s="5">
        <f t="shared" si="152"/>
        <v>4.4262295081967211E-2</v>
      </c>
      <c r="U445" s="5">
        <f t="shared" si="153"/>
        <v>8.8524590163934422E-2</v>
      </c>
      <c r="V445" s="3">
        <f t="shared" si="154"/>
        <v>1.1864406779661016</v>
      </c>
      <c r="W445" s="5">
        <f t="shared" si="155"/>
        <v>2.0338983050847456E-2</v>
      </c>
      <c r="X445" s="5">
        <f>IFERROR(IF(OR($B445="MID",$B445="FWD"),INDEX(FIXTURE_ANALYSIS!$Q:$Q,MATCH($D445,FIXTURE_ANALYSIS!$A:$A,0)),INDEX(FIXTURE_ANALYSIS!$R:$R,MATCH($D445,FIXTURE_ANALYSIS!$A:$A,0))),1)</f>
        <v>1.0903373702422146</v>
      </c>
      <c r="Y445" s="5">
        <f t="shared" si="156"/>
        <v>1.0903373702422146</v>
      </c>
      <c r="Z445" s="8">
        <f>INDEX(FPL_Raw_Data!$T:$T,MATCH(A445,FPL_Raw_Data!$AA:$AA,0))</f>
        <v>1</v>
      </c>
      <c r="AA445" s="8">
        <f>INDEX(FPL_Raw_Data!$S:$S,MATCH(A445,FPL_Raw_Data!$AA:$AA,0))</f>
        <v>14</v>
      </c>
      <c r="AB445" s="2">
        <f t="shared" si="157"/>
        <v>1</v>
      </c>
      <c r="AC445" s="2">
        <f>INDEX(FPL_Raw_Data!$Q:$Q,MATCH(A445,FPL_Raw_Data!$AA:$AA,0))</f>
        <v>0</v>
      </c>
      <c r="AD445" s="8">
        <f>INDEX(FPL_Raw_Data!$R:$R,MATCH(A445,FPL_Raw_Data!$AA:$AA,0))</f>
        <v>35</v>
      </c>
      <c r="AE445" s="8">
        <f>INDEX(FPL_Raw_Data!$N:$N,MATCH(A445,FPL_Raw_Data!$AA:$AA,0))</f>
        <v>0</v>
      </c>
      <c r="AF445" s="8">
        <f>INDEX(FPL_Raw_Data!$L:$L,MATCH(A445,FPL_Raw_Data!$AA:$AA,0))</f>
        <v>0</v>
      </c>
      <c r="AG445" s="2">
        <f>INDEX(FPL_Raw_Data!$M:$M,MATCH(A445,FPL_Raw_Data!$AA:$AA,0))</f>
        <v>1</v>
      </c>
      <c r="AH445" s="2">
        <f t="shared" si="158"/>
        <v>0.22131147540983606</v>
      </c>
      <c r="AI445" s="2">
        <f t="shared" si="159"/>
        <v>0.13278688524590163</v>
      </c>
      <c r="AJ445" s="2">
        <f t="shared" si="160"/>
        <v>0.66666666666666663</v>
      </c>
      <c r="AK445" s="2">
        <f t="shared" si="161"/>
        <v>2</v>
      </c>
      <c r="AL445" s="2">
        <f t="shared" si="162"/>
        <v>0</v>
      </c>
      <c r="AM445" s="2">
        <f t="shared" si="163"/>
        <v>0</v>
      </c>
      <c r="AN445" s="2">
        <f t="shared" si="164"/>
        <v>0</v>
      </c>
      <c r="AO445" s="3">
        <f t="shared" si="165"/>
        <v>77.2</v>
      </c>
      <c r="AP445">
        <f t="shared" si="166"/>
        <v>66.8</v>
      </c>
      <c r="AQ445">
        <f t="shared" si="167"/>
        <v>72</v>
      </c>
      <c r="AR445">
        <f t="shared" si="168"/>
        <v>66.400000000000006</v>
      </c>
      <c r="AS445" s="2">
        <f t="shared" si="169"/>
        <v>33.333333333333329</v>
      </c>
      <c r="AT445" s="2">
        <f>IFERROR(INDEX(Player_Model!$BC$2:$BC$596,MATCH($A445,Player_Model!$A$2:$A$596,0)),0)</f>
        <v>3.403273544157829</v>
      </c>
      <c r="AU445" s="2">
        <f>Table8[[#This Row],[Model Expected Points]]*Table8[[#This Row],[Fixture Adjustment]]</f>
        <v>3.7107163263519487</v>
      </c>
      <c r="AV445" s="2">
        <f>Table8[[#This Row],[Fixture Adjusted Points / 90]]/Table8[[#This Row],[Price]]</f>
        <v>0.62893497056812686</v>
      </c>
      <c r="AW445">
        <f t="shared" si="170"/>
        <v>72</v>
      </c>
      <c r="AX445">
        <f t="shared" si="171"/>
        <v>1</v>
      </c>
      <c r="AY445" s="2">
        <f t="shared" si="172"/>
        <v>33.333333333333329</v>
      </c>
      <c r="AZ445" s="5">
        <f t="shared" si="173"/>
        <v>1.0903373702422146</v>
      </c>
      <c r="BA445">
        <f>Table8[[#This Row],[Model Score2]]</f>
        <v>3.403273544157829</v>
      </c>
      <c r="BB445">
        <f>IFERROR(INDEX(Player_Model!$BG$2:$BG$596,MATCH($A445,Player_Model!$A$2:$A$596,0)),"")</f>
        <v>94</v>
      </c>
      <c r="BC445" t="str">
        <f t="shared" si="174"/>
        <v>AVOID</v>
      </c>
      <c r="BD445">
        <f>IF(H445=1,Table8[[#This Row],[Model Score]],-10000)</f>
        <v>3.403273544157829</v>
      </c>
      <c r="BE445">
        <f>IFERROR(INDEX(Player_Model!$BF$2:$BF$596,MATCH($A445,Player_Model!$A$2:$A$596,0)),"")</f>
        <v>183</v>
      </c>
      <c r="BF445">
        <f>IFERROR(INDEX(Player_Model!$BG$2:$BG$596,MATCH($A445,Player_Model!$A$2:$A$596,0)),"")</f>
        <v>94</v>
      </c>
      <c r="BG445">
        <f>IFERROR(INDEX(Player_Model!$BE$2:$BE$596,MATCH($A445,Player_Model!$A$2:$A$596,0)),0)</f>
        <v>3.403273544157829</v>
      </c>
    </row>
    <row r="446" spans="1:59" x14ac:dyDescent="0.25">
      <c r="A446" t="str">
        <f>tblPlayers[first_name]&amp;" "&amp;tblPlayers[second_name]</f>
        <v>Alexis Mac Allister</v>
      </c>
      <c r="B446" t="str">
        <f>_xlfn.SWITCH(tblPlayers[element_type],1,"GK",2,"DEF",3,"MID",4,"FWD")</f>
        <v>MID</v>
      </c>
      <c r="C446">
        <f>tblPlayers[team]</f>
        <v>14</v>
      </c>
      <c r="D446" t="str">
        <f>INDEX(tblTeams[Column1.short_name],MATCH(C446,tblTeams[Column1.id],0))</f>
        <v>LIV</v>
      </c>
      <c r="E446" s="4">
        <f>INDEX(FPL_Raw_Data!$F:$F,MATCH(A446,FPL_Raw_Data!$AA:$AA,0))/10</f>
        <v>5.4</v>
      </c>
      <c r="F446" s="4" t="str">
        <f>tblPlayers[[#This Row],[status]]</f>
        <v>a</v>
      </c>
      <c r="G446" s="4" t="b">
        <f>tblPlayers[[#This Row],[can_select]]</f>
        <v>1</v>
      </c>
      <c r="H446">
        <f>IF(AND(Table8[[#This Row],[Availability Status]]="a",Table8[[#This Row],[Can Select]]=TRUE),1,0)</f>
        <v>1</v>
      </c>
      <c r="I446">
        <f>tblPlayers[minutes]</f>
        <v>186</v>
      </c>
      <c r="J446" s="2">
        <f>Table8[[#This Row],[Minutes]]/90</f>
        <v>2.0666666666666669</v>
      </c>
      <c r="K446" s="5">
        <f>IFERROR(Z446/(FIXTURE_ANALYSIS!$B$1-1),0)</f>
        <v>0.66666666666666663</v>
      </c>
      <c r="L446">
        <f>tblPlayers[total_points]</f>
        <v>5</v>
      </c>
      <c r="M446">
        <f>tblPlayers[points_per_game]</f>
        <v>1.7</v>
      </c>
      <c r="N446">
        <f>tblPlayers[form]</f>
        <v>1.7</v>
      </c>
      <c r="O446">
        <f>tblPlayers[expected_goals]</f>
        <v>0.08</v>
      </c>
      <c r="P446">
        <f>tblPlayers[expected_assists]</f>
        <v>0.42</v>
      </c>
      <c r="Q446">
        <f>tblPlayers[expected_goal_involvements]</f>
        <v>0.5</v>
      </c>
      <c r="R446" s="2">
        <f t="shared" si="150"/>
        <v>2.4193548387096775</v>
      </c>
      <c r="S446" s="5">
        <f t="shared" si="151"/>
        <v>3.870967741935484E-2</v>
      </c>
      <c r="T446" s="5">
        <f t="shared" si="152"/>
        <v>0.20322580645161289</v>
      </c>
      <c r="U446" s="5">
        <f t="shared" si="153"/>
        <v>0.24193548387096775</v>
      </c>
      <c r="V446" s="3">
        <f t="shared" si="154"/>
        <v>0.92592592592592582</v>
      </c>
      <c r="W446" s="5">
        <f t="shared" si="155"/>
        <v>9.2592592592592587E-2</v>
      </c>
      <c r="X446" s="5">
        <f>IFERROR(IF(OR($B446="MID",$B446="FWD"),INDEX(FIXTURE_ANALYSIS!$Q:$Q,MATCH($D446,FIXTURE_ANALYSIS!$A:$A,0)),INDEX(FIXTURE_ANALYSIS!$R:$R,MATCH($D446,FIXTURE_ANALYSIS!$A:$A,0))),1)</f>
        <v>1.0903373702422146</v>
      </c>
      <c r="Y446" s="5">
        <f t="shared" si="156"/>
        <v>1.0903373702422146</v>
      </c>
      <c r="Z446" s="8">
        <f>INDEX(FPL_Raw_Data!$T:$T,MATCH(A446,FPL_Raw_Data!$AA:$AA,0))</f>
        <v>2</v>
      </c>
      <c r="AA446" s="8">
        <f>INDEX(FPL_Raw_Data!$S:$S,MATCH(A446,FPL_Raw_Data!$AA:$AA,0))</f>
        <v>24</v>
      </c>
      <c r="AB446" s="2">
        <f t="shared" si="157"/>
        <v>1</v>
      </c>
      <c r="AC446" s="2">
        <f>INDEX(FPL_Raw_Data!$Q:$Q,MATCH(A446,FPL_Raw_Data!$AA:$AA,0))</f>
        <v>0</v>
      </c>
      <c r="AD446" s="8">
        <f>INDEX(FPL_Raw_Data!$R:$R,MATCH(A446,FPL_Raw_Data!$AA:$AA,0))</f>
        <v>33</v>
      </c>
      <c r="AE446" s="8">
        <f>INDEX(FPL_Raw_Data!$N:$N,MATCH(A446,FPL_Raw_Data!$AA:$AA,0))</f>
        <v>1</v>
      </c>
      <c r="AF446" s="8">
        <f>INDEX(FPL_Raw_Data!$L:$L,MATCH(A446,FPL_Raw_Data!$AA:$AA,0))</f>
        <v>0</v>
      </c>
      <c r="AG446" s="2">
        <f>INDEX(FPL_Raw_Data!$M:$M,MATCH(A446,FPL_Raw_Data!$AA:$AA,0))</f>
        <v>0</v>
      </c>
      <c r="AH446" s="2">
        <f t="shared" si="158"/>
        <v>0.19354838709677419</v>
      </c>
      <c r="AI446" s="2">
        <f t="shared" si="159"/>
        <v>0.60967741935483866</v>
      </c>
      <c r="AJ446" s="2">
        <f t="shared" si="160"/>
        <v>1.3333333333333333</v>
      </c>
      <c r="AK446" s="2">
        <f t="shared" si="161"/>
        <v>2</v>
      </c>
      <c r="AL446" s="2">
        <f t="shared" si="162"/>
        <v>0.5</v>
      </c>
      <c r="AM446" s="2">
        <f t="shared" si="163"/>
        <v>0.5</v>
      </c>
      <c r="AN446" s="2">
        <f t="shared" si="164"/>
        <v>0</v>
      </c>
      <c r="AO446" s="3">
        <f t="shared" si="165"/>
        <v>51.800000000000004</v>
      </c>
      <c r="AP446">
        <f t="shared" si="166"/>
        <v>79.7</v>
      </c>
      <c r="AQ446">
        <f t="shared" si="167"/>
        <v>67.800000000000011</v>
      </c>
      <c r="AR446">
        <f t="shared" si="168"/>
        <v>83.1</v>
      </c>
      <c r="AS446" s="2">
        <f t="shared" si="169"/>
        <v>66.666666666666657</v>
      </c>
      <c r="AT446" s="2">
        <f>IFERROR(INDEX(Player_Model!$BC$2:$BC$596,MATCH($A446,Player_Model!$A$2:$A$596,0)),0)</f>
        <v>5.5927856750777014</v>
      </c>
      <c r="AU446" s="2">
        <f>Table8[[#This Row],[Model Expected Points]]*Table8[[#This Row],[Fixture Adjustment]]</f>
        <v>6.0980232252925495</v>
      </c>
      <c r="AV446" s="2">
        <f>Table8[[#This Row],[Fixture Adjusted Points / 90]]/Table8[[#This Row],[Price]]</f>
        <v>1.129263560239361</v>
      </c>
      <c r="AW446">
        <f t="shared" si="170"/>
        <v>65.75</v>
      </c>
      <c r="AX446">
        <f t="shared" si="171"/>
        <v>1</v>
      </c>
      <c r="AY446" s="2">
        <f t="shared" si="172"/>
        <v>66.666666666666657</v>
      </c>
      <c r="AZ446" s="5">
        <f t="shared" si="173"/>
        <v>1.0903373702422146</v>
      </c>
      <c r="BA446">
        <f>Table8[[#This Row],[Model Score2]]</f>
        <v>5.5927856750777014</v>
      </c>
      <c r="BB446">
        <f>IFERROR(INDEX(Player_Model!$BG$2:$BG$596,MATCH($A446,Player_Model!$A$2:$A$596,0)),"")</f>
        <v>27</v>
      </c>
      <c r="BC446" t="str">
        <f t="shared" si="174"/>
        <v>AVOID</v>
      </c>
      <c r="BD446">
        <f>IF(H446=1,Table8[[#This Row],[Model Score]],-10000)</f>
        <v>5.5927856750777014</v>
      </c>
      <c r="BE446">
        <f>IFERROR(INDEX(Player_Model!$BF$2:$BF$596,MATCH($A446,Player_Model!$A$2:$A$596,0)),"")</f>
        <v>61</v>
      </c>
      <c r="BF446">
        <f>IFERROR(INDEX(Player_Model!$BG$2:$BG$596,MATCH($A446,Player_Model!$A$2:$A$596,0)),"")</f>
        <v>27</v>
      </c>
      <c r="BG446">
        <f>IFERROR(INDEX(Player_Model!$BE$2:$BE$596,MATCH($A446,Player_Model!$A$2:$A$596,0)),0)</f>
        <v>5.5927856750777014</v>
      </c>
    </row>
    <row r="447" spans="1:59" x14ac:dyDescent="0.25">
      <c r="A447" t="str">
        <f>tblPlayers[first_name]&amp;" "&amp;tblPlayers[second_name]</f>
        <v>Curtis Jones</v>
      </c>
      <c r="B447" t="str">
        <f>_xlfn.SWITCH(tblPlayers[element_type],1,"GK",2,"DEF",3,"MID",4,"FWD")</f>
        <v>MID</v>
      </c>
      <c r="C447">
        <f>tblPlayers[team]</f>
        <v>14</v>
      </c>
      <c r="D447" t="str">
        <f>INDEX(tblTeams[Column1.short_name],MATCH(C447,tblTeams[Column1.id],0))</f>
        <v>LIV</v>
      </c>
      <c r="E447" s="4">
        <f>INDEX(FPL_Raw_Data!$F:$F,MATCH(A447,FPL_Raw_Data!$AA:$AA,0))/10</f>
        <v>5.5</v>
      </c>
      <c r="F447" s="4" t="str">
        <f>tblPlayers[[#This Row],[status]]</f>
        <v>u</v>
      </c>
      <c r="G447" s="4" t="b">
        <f>tblPlayers[[#This Row],[can_select]]</f>
        <v>0</v>
      </c>
      <c r="H447">
        <f>IF(AND(Table8[[#This Row],[Availability Status]]="a",Table8[[#This Row],[Can Select]]=TRUE),1,0)</f>
        <v>0</v>
      </c>
      <c r="I447">
        <f>tblPlayers[minutes]</f>
        <v>0</v>
      </c>
      <c r="J447" s="2">
        <f>Table8[[#This Row],[Minutes]]/90</f>
        <v>0</v>
      </c>
      <c r="K447" s="5">
        <f>IFERROR(Z447/(FIXTURE_ANALYSIS!$B$1-1),0)</f>
        <v>0</v>
      </c>
      <c r="L447">
        <f>tblPlayers[total_points]</f>
        <v>0</v>
      </c>
      <c r="M447">
        <f>tblPlayers[points_per_game]</f>
        <v>0</v>
      </c>
      <c r="N447">
        <f>tblPlayers[form]</f>
        <v>0</v>
      </c>
      <c r="O447">
        <f>tblPlayers[expected_goals]</f>
        <v>0</v>
      </c>
      <c r="P447">
        <f>tblPlayers[expected_assists]</f>
        <v>0</v>
      </c>
      <c r="Q447">
        <f>tblPlayers[expected_goal_involvements]</f>
        <v>0</v>
      </c>
      <c r="R447" s="2">
        <f t="shared" si="150"/>
        <v>0</v>
      </c>
      <c r="S447" s="5">
        <f t="shared" si="151"/>
        <v>0</v>
      </c>
      <c r="T447" s="5">
        <f t="shared" si="152"/>
        <v>0</v>
      </c>
      <c r="U447" s="5">
        <f t="shared" si="153"/>
        <v>0</v>
      </c>
      <c r="V447" s="3">
        <f t="shared" si="154"/>
        <v>0</v>
      </c>
      <c r="W447" s="5">
        <f t="shared" si="155"/>
        <v>0</v>
      </c>
      <c r="X447" s="5">
        <f>IFERROR(IF(OR($B447="MID",$B447="FWD"),INDEX(FIXTURE_ANALYSIS!$Q:$Q,MATCH($D447,FIXTURE_ANALYSIS!$A:$A,0)),INDEX(FIXTURE_ANALYSIS!$R:$R,MATCH($D447,FIXTURE_ANALYSIS!$A:$A,0))),1)</f>
        <v>1.0903373702422146</v>
      </c>
      <c r="Y447" s="5">
        <f t="shared" si="156"/>
        <v>1.0903373702422146</v>
      </c>
      <c r="Z447" s="8">
        <f>INDEX(FPL_Raw_Data!$T:$T,MATCH(A447,FPL_Raw_Data!$AA:$AA,0))</f>
        <v>0</v>
      </c>
      <c r="AA447" s="8">
        <f>INDEX(FPL_Raw_Data!$S:$S,MATCH(A447,FPL_Raw_Data!$AA:$AA,0))</f>
        <v>0</v>
      </c>
      <c r="AB447" s="2">
        <f t="shared" si="157"/>
        <v>0</v>
      </c>
      <c r="AC447" s="2">
        <f>INDEX(FPL_Raw_Data!$Q:$Q,MATCH(A447,FPL_Raw_Data!$AA:$AA,0))</f>
        <v>0</v>
      </c>
      <c r="AD447" s="8">
        <f>INDEX(FPL_Raw_Data!$R:$R,MATCH(A447,FPL_Raw_Data!$AA:$AA,0))</f>
        <v>0</v>
      </c>
      <c r="AE447" s="8">
        <f>INDEX(FPL_Raw_Data!$N:$N,MATCH(A447,FPL_Raw_Data!$AA:$AA,0))</f>
        <v>0</v>
      </c>
      <c r="AF447" s="8">
        <f>INDEX(FPL_Raw_Data!$L:$L,MATCH(A447,FPL_Raw_Data!$AA:$AA,0))</f>
        <v>0</v>
      </c>
      <c r="AG447" s="2">
        <f>INDEX(FPL_Raw_Data!$M:$M,MATCH(A447,FPL_Raw_Data!$AA:$AA,0))</f>
        <v>0</v>
      </c>
      <c r="AH447" s="2">
        <f t="shared" si="158"/>
        <v>0</v>
      </c>
      <c r="AI447" s="2">
        <f t="shared" si="159"/>
        <v>0</v>
      </c>
      <c r="AJ447" s="2">
        <f t="shared" si="160"/>
        <v>0</v>
      </c>
      <c r="AK447" s="2">
        <f t="shared" si="161"/>
        <v>0</v>
      </c>
      <c r="AL447" s="2">
        <f t="shared" si="162"/>
        <v>0</v>
      </c>
      <c r="AM447" s="2">
        <f t="shared" si="163"/>
        <v>0</v>
      </c>
      <c r="AN447" s="2">
        <f t="shared" si="164"/>
        <v>0</v>
      </c>
      <c r="AO447" s="3">
        <f t="shared" si="165"/>
        <v>0.1</v>
      </c>
      <c r="AP447">
        <f t="shared" si="166"/>
        <v>0</v>
      </c>
      <c r="AQ447">
        <f t="shared" si="167"/>
        <v>0.1</v>
      </c>
      <c r="AR447">
        <f t="shared" si="168"/>
        <v>0</v>
      </c>
      <c r="AS447" s="2">
        <f t="shared" si="169"/>
        <v>0</v>
      </c>
      <c r="AT447" s="2">
        <f>IFERROR(INDEX(Player_Model!$BC$2:$BC$596,MATCH($A447,Player_Model!$A$2:$A$596,0)),0)</f>
        <v>0</v>
      </c>
      <c r="AU447" s="2">
        <f>Table8[[#This Row],[Model Expected Points]]*Table8[[#This Row],[Fixture Adjustment]]</f>
        <v>0</v>
      </c>
      <c r="AV447" s="2">
        <f>Table8[[#This Row],[Fixture Adjusted Points / 90]]/Table8[[#This Row],[Price]]</f>
        <v>0</v>
      </c>
      <c r="AW447">
        <f t="shared" si="170"/>
        <v>0.05</v>
      </c>
      <c r="AX447">
        <f t="shared" si="171"/>
        <v>0</v>
      </c>
      <c r="AY447" s="2">
        <f t="shared" si="172"/>
        <v>0</v>
      </c>
      <c r="AZ447" s="5">
        <f t="shared" si="173"/>
        <v>1.0903373702422146</v>
      </c>
      <c r="BA447">
        <f>Table8[[#This Row],[Model Score2]]</f>
        <v>0</v>
      </c>
      <c r="BB447">
        <f>IFERROR(INDEX(Player_Model!$BG$2:$BG$596,MATCH($A447,Player_Model!$A$2:$A$596,0)),"")</f>
        <v>225</v>
      </c>
      <c r="BC447" t="str">
        <f t="shared" si="174"/>
        <v>AVOID</v>
      </c>
      <c r="BD447">
        <f>IF(H447=1,Table8[[#This Row],[Model Score]],-10000)</f>
        <v>-10000</v>
      </c>
      <c r="BE447">
        <f>IFERROR(INDEX(Player_Model!$BF$2:$BF$596,MATCH($A447,Player_Model!$A$2:$A$596,0)),"")</f>
        <v>253</v>
      </c>
      <c r="BF447">
        <f>IFERROR(INDEX(Player_Model!$BG$2:$BG$596,MATCH($A447,Player_Model!$A$2:$A$596,0)),"")</f>
        <v>225</v>
      </c>
      <c r="BG447">
        <f>IFERROR(INDEX(Player_Model!$BE$2:$BE$596,MATCH($A447,Player_Model!$A$2:$A$596,0)),0)</f>
        <v>0</v>
      </c>
    </row>
    <row r="448" spans="1:59" x14ac:dyDescent="0.25">
      <c r="A448" t="str">
        <f>tblPlayers[first_name]&amp;" "&amp;tblPlayers[second_name]</f>
        <v>Endo Wataru</v>
      </c>
      <c r="B448" t="str">
        <f>_xlfn.SWITCH(tblPlayers[element_type],1,"GK",2,"DEF",3,"MID",4,"FWD")</f>
        <v>MID</v>
      </c>
      <c r="C448">
        <f>tblPlayers[team]</f>
        <v>14</v>
      </c>
      <c r="D448" t="str">
        <f>INDEX(tblTeams[Column1.short_name],MATCH(C448,tblTeams[Column1.id],0))</f>
        <v>LIV</v>
      </c>
      <c r="E448" s="4">
        <f>INDEX(FPL_Raw_Data!$F:$F,MATCH(A448,FPL_Raw_Data!$AA:$AA,0))/10</f>
        <v>5</v>
      </c>
      <c r="F448" s="4" t="str">
        <f>tblPlayers[[#This Row],[status]]</f>
        <v>a</v>
      </c>
      <c r="G448" s="4" t="b">
        <f>tblPlayers[[#This Row],[can_select]]</f>
        <v>1</v>
      </c>
      <c r="H448">
        <f>IF(AND(Table8[[#This Row],[Availability Status]]="a",Table8[[#This Row],[Can Select]]=TRUE),1,0)</f>
        <v>1</v>
      </c>
      <c r="I448">
        <f>tblPlayers[minutes]</f>
        <v>0</v>
      </c>
      <c r="J448" s="2">
        <f>Table8[[#This Row],[Minutes]]/90</f>
        <v>0</v>
      </c>
      <c r="K448" s="5">
        <f>IFERROR(Z448/(FIXTURE_ANALYSIS!$B$1-1),0)</f>
        <v>0</v>
      </c>
      <c r="L448">
        <f>tblPlayers[total_points]</f>
        <v>0</v>
      </c>
      <c r="M448">
        <f>tblPlayers[points_per_game]</f>
        <v>0</v>
      </c>
      <c r="N448">
        <f>tblPlayers[form]</f>
        <v>0</v>
      </c>
      <c r="O448">
        <f>tblPlayers[expected_goals]</f>
        <v>0</v>
      </c>
      <c r="P448">
        <f>tblPlayers[expected_assists]</f>
        <v>0</v>
      </c>
      <c r="Q448">
        <f>tblPlayers[expected_goal_involvements]</f>
        <v>0</v>
      </c>
      <c r="R448" s="2">
        <f t="shared" si="150"/>
        <v>0</v>
      </c>
      <c r="S448" s="5">
        <f t="shared" si="151"/>
        <v>0</v>
      </c>
      <c r="T448" s="5">
        <f t="shared" si="152"/>
        <v>0</v>
      </c>
      <c r="U448" s="5">
        <f t="shared" si="153"/>
        <v>0</v>
      </c>
      <c r="V448" s="3">
        <f t="shared" si="154"/>
        <v>0</v>
      </c>
      <c r="W448" s="5">
        <f t="shared" si="155"/>
        <v>0</v>
      </c>
      <c r="X448" s="5">
        <f>IFERROR(IF(OR($B448="MID",$B448="FWD"),INDEX(FIXTURE_ANALYSIS!$Q:$Q,MATCH($D448,FIXTURE_ANALYSIS!$A:$A,0)),INDEX(FIXTURE_ANALYSIS!$R:$R,MATCH($D448,FIXTURE_ANALYSIS!$A:$A,0))),1)</f>
        <v>1.0903373702422146</v>
      </c>
      <c r="Y448" s="5">
        <f t="shared" si="156"/>
        <v>1.0903373702422146</v>
      </c>
      <c r="Z448" s="8">
        <f>INDEX(FPL_Raw_Data!$T:$T,MATCH(A448,FPL_Raw_Data!$AA:$AA,0))</f>
        <v>0</v>
      </c>
      <c r="AA448" s="8">
        <f>INDEX(FPL_Raw_Data!$S:$S,MATCH(A448,FPL_Raw_Data!$AA:$AA,0))</f>
        <v>0</v>
      </c>
      <c r="AB448" s="2">
        <f t="shared" si="157"/>
        <v>0</v>
      </c>
      <c r="AC448" s="2">
        <f>INDEX(FPL_Raw_Data!$Q:$Q,MATCH(A448,FPL_Raw_Data!$AA:$AA,0))</f>
        <v>0</v>
      </c>
      <c r="AD448" s="8">
        <f>INDEX(FPL_Raw_Data!$R:$R,MATCH(A448,FPL_Raw_Data!$AA:$AA,0))</f>
        <v>0</v>
      </c>
      <c r="AE448" s="8">
        <f>INDEX(FPL_Raw_Data!$N:$N,MATCH(A448,FPL_Raw_Data!$AA:$AA,0))</f>
        <v>0</v>
      </c>
      <c r="AF448" s="8">
        <f>INDEX(FPL_Raw_Data!$L:$L,MATCH(A448,FPL_Raw_Data!$AA:$AA,0))</f>
        <v>0</v>
      </c>
      <c r="AG448" s="2">
        <f>INDEX(FPL_Raw_Data!$M:$M,MATCH(A448,FPL_Raw_Data!$AA:$AA,0))</f>
        <v>0</v>
      </c>
      <c r="AH448" s="2">
        <f t="shared" si="158"/>
        <v>0</v>
      </c>
      <c r="AI448" s="2">
        <f t="shared" si="159"/>
        <v>0</v>
      </c>
      <c r="AJ448" s="2">
        <f t="shared" si="160"/>
        <v>0</v>
      </c>
      <c r="AK448" s="2">
        <f t="shared" si="161"/>
        <v>0</v>
      </c>
      <c r="AL448" s="2">
        <f t="shared" si="162"/>
        <v>0</v>
      </c>
      <c r="AM448" s="2">
        <f t="shared" si="163"/>
        <v>0</v>
      </c>
      <c r="AN448" s="2">
        <f t="shared" si="164"/>
        <v>0</v>
      </c>
      <c r="AO448" s="3">
        <f t="shared" si="165"/>
        <v>0.1</v>
      </c>
      <c r="AP448">
        <f t="shared" si="166"/>
        <v>0</v>
      </c>
      <c r="AQ448">
        <f t="shared" si="167"/>
        <v>0.1</v>
      </c>
      <c r="AR448">
        <f t="shared" si="168"/>
        <v>0</v>
      </c>
      <c r="AS448" s="2">
        <f t="shared" si="169"/>
        <v>0</v>
      </c>
      <c r="AT448" s="2">
        <f>IFERROR(INDEX(Player_Model!$BC$2:$BC$596,MATCH($A448,Player_Model!$A$2:$A$596,0)),0)</f>
        <v>0</v>
      </c>
      <c r="AU448" s="2">
        <f>Table8[[#This Row],[Model Expected Points]]*Table8[[#This Row],[Fixture Adjustment]]</f>
        <v>0</v>
      </c>
      <c r="AV448" s="2">
        <f>Table8[[#This Row],[Fixture Adjusted Points / 90]]/Table8[[#This Row],[Price]]</f>
        <v>0</v>
      </c>
      <c r="AW448">
        <f t="shared" si="170"/>
        <v>0.05</v>
      </c>
      <c r="AX448">
        <f t="shared" si="171"/>
        <v>0</v>
      </c>
      <c r="AY448" s="2">
        <f t="shared" si="172"/>
        <v>0</v>
      </c>
      <c r="AZ448" s="5">
        <f t="shared" si="173"/>
        <v>1.0903373702422146</v>
      </c>
      <c r="BA448">
        <f>Table8[[#This Row],[Model Score2]]</f>
        <v>0</v>
      </c>
      <c r="BB448">
        <f>IFERROR(INDEX(Player_Model!$BG$2:$BG$596,MATCH($A448,Player_Model!$A$2:$A$596,0)),"")</f>
        <v>226</v>
      </c>
      <c r="BC448" t="str">
        <f t="shared" si="174"/>
        <v>AVOID</v>
      </c>
      <c r="BD448">
        <f>IF(H448=1,Table8[[#This Row],[Model Score]],-10000)</f>
        <v>0</v>
      </c>
      <c r="BE448">
        <f>IFERROR(INDEX(Player_Model!$BF$2:$BF$596,MATCH($A448,Player_Model!$A$2:$A$596,0)),"")</f>
        <v>253</v>
      </c>
      <c r="BF448">
        <f>IFERROR(INDEX(Player_Model!$BG$2:$BG$596,MATCH($A448,Player_Model!$A$2:$A$596,0)),"")</f>
        <v>226</v>
      </c>
      <c r="BG448">
        <f>IFERROR(INDEX(Player_Model!$BE$2:$BE$596,MATCH($A448,Player_Model!$A$2:$A$596,0)),0)</f>
        <v>0</v>
      </c>
    </row>
    <row r="449" spans="1:59" x14ac:dyDescent="0.25">
      <c r="A449" t="str">
        <f>tblPlayers[first_name]&amp;" "&amp;tblPlayers[second_name]</f>
        <v>Trey Nyoni</v>
      </c>
      <c r="B449" t="str">
        <f>_xlfn.SWITCH(tblPlayers[element_type],1,"GK",2,"DEF",3,"MID",4,"FWD")</f>
        <v>MID</v>
      </c>
      <c r="C449">
        <f>tblPlayers[team]</f>
        <v>14</v>
      </c>
      <c r="D449" t="str">
        <f>INDEX(tblTeams[Column1.short_name],MATCH(C449,tblTeams[Column1.id],0))</f>
        <v>LIV</v>
      </c>
      <c r="E449" s="4">
        <f>INDEX(FPL_Raw_Data!$F:$F,MATCH(A449,FPL_Raw_Data!$AA:$AA,0))/10</f>
        <v>4.9000000000000004</v>
      </c>
      <c r="F449" s="4" t="str">
        <f>tblPlayers[[#This Row],[status]]</f>
        <v>a</v>
      </c>
      <c r="G449" s="4" t="b">
        <f>tblPlayers[[#This Row],[can_select]]</f>
        <v>1</v>
      </c>
      <c r="H449">
        <f>IF(AND(Table8[[#This Row],[Availability Status]]="a",Table8[[#This Row],[Can Select]]=TRUE),1,0)</f>
        <v>1</v>
      </c>
      <c r="I449">
        <f>tblPlayers[minutes]</f>
        <v>19</v>
      </c>
      <c r="J449" s="2">
        <f>Table8[[#This Row],[Minutes]]/90</f>
        <v>0.21111111111111111</v>
      </c>
      <c r="K449" s="5">
        <f>IFERROR(Z449/(FIXTURE_ANALYSIS!$B$1-1),0)</f>
        <v>0</v>
      </c>
      <c r="L449">
        <f>tblPlayers[total_points]</f>
        <v>2</v>
      </c>
      <c r="M449">
        <f>tblPlayers[points_per_game]</f>
        <v>1</v>
      </c>
      <c r="N449">
        <f>tblPlayers[form]</f>
        <v>0.7</v>
      </c>
      <c r="O449">
        <f>tblPlayers[expected_goals]</f>
        <v>0</v>
      </c>
      <c r="P449">
        <f>tblPlayers[expected_assists]</f>
        <v>0</v>
      </c>
      <c r="Q449">
        <f>tblPlayers[expected_goal_involvements]</f>
        <v>0</v>
      </c>
      <c r="R449" s="2">
        <f t="shared" si="150"/>
        <v>9.473684210526315</v>
      </c>
      <c r="S449" s="5">
        <f t="shared" si="151"/>
        <v>0</v>
      </c>
      <c r="T449" s="5">
        <f t="shared" si="152"/>
        <v>0</v>
      </c>
      <c r="U449" s="5">
        <f t="shared" si="153"/>
        <v>0</v>
      </c>
      <c r="V449" s="3">
        <f t="shared" si="154"/>
        <v>0.4081632653061224</v>
      </c>
      <c r="W449" s="5">
        <f t="shared" si="155"/>
        <v>0</v>
      </c>
      <c r="X449" s="5">
        <f>IFERROR(IF(OR($B449="MID",$B449="FWD"),INDEX(FIXTURE_ANALYSIS!$Q:$Q,MATCH($D449,FIXTURE_ANALYSIS!$A:$A,0)),INDEX(FIXTURE_ANALYSIS!$R:$R,MATCH($D449,FIXTURE_ANALYSIS!$A:$A,0))),1)</f>
        <v>1.0903373702422146</v>
      </c>
      <c r="Y449" s="5">
        <f t="shared" si="156"/>
        <v>1.0903373702422146</v>
      </c>
      <c r="Z449" s="8">
        <f>INDEX(FPL_Raw_Data!$T:$T,MATCH(A449,FPL_Raw_Data!$AA:$AA,0))</f>
        <v>0</v>
      </c>
      <c r="AA449" s="8">
        <f>INDEX(FPL_Raw_Data!$S:$S,MATCH(A449,FPL_Raw_Data!$AA:$AA,0))</f>
        <v>5</v>
      </c>
      <c r="AB449" s="2">
        <f t="shared" si="157"/>
        <v>0.41666666666666669</v>
      </c>
      <c r="AC449" s="2">
        <f>INDEX(FPL_Raw_Data!$Q:$Q,MATCH(A449,FPL_Raw_Data!$AA:$AA,0))</f>
        <v>0</v>
      </c>
      <c r="AD449" s="8">
        <f>INDEX(FPL_Raw_Data!$R:$R,MATCH(A449,FPL_Raw_Data!$AA:$AA,0))</f>
        <v>6</v>
      </c>
      <c r="AE449" s="8">
        <f>INDEX(FPL_Raw_Data!$N:$N,MATCH(A449,FPL_Raw_Data!$AA:$AA,0))</f>
        <v>0</v>
      </c>
      <c r="AF449" s="8">
        <f>INDEX(FPL_Raw_Data!$L:$L,MATCH(A449,FPL_Raw_Data!$AA:$AA,0))</f>
        <v>0</v>
      </c>
      <c r="AG449" s="2">
        <f>INDEX(FPL_Raw_Data!$M:$M,MATCH(A449,FPL_Raw_Data!$AA:$AA,0))</f>
        <v>0</v>
      </c>
      <c r="AH449" s="2">
        <f t="shared" si="158"/>
        <v>0</v>
      </c>
      <c r="AI449" s="2">
        <f t="shared" si="159"/>
        <v>0</v>
      </c>
      <c r="AJ449" s="2">
        <f t="shared" si="160"/>
        <v>0</v>
      </c>
      <c r="AK449" s="2">
        <f t="shared" si="161"/>
        <v>0.83333333333333337</v>
      </c>
      <c r="AL449" s="2">
        <f t="shared" si="162"/>
        <v>0</v>
      </c>
      <c r="AM449" s="2">
        <f t="shared" si="163"/>
        <v>0</v>
      </c>
      <c r="AN449" s="2">
        <f t="shared" si="164"/>
        <v>0</v>
      </c>
      <c r="AO449" s="3">
        <f t="shared" si="165"/>
        <v>92.5</v>
      </c>
      <c r="AP449">
        <f t="shared" si="166"/>
        <v>0</v>
      </c>
      <c r="AQ449">
        <f t="shared" si="167"/>
        <v>54.800000000000004</v>
      </c>
      <c r="AR449">
        <f t="shared" si="168"/>
        <v>0</v>
      </c>
      <c r="AS449" s="2">
        <f t="shared" si="169"/>
        <v>0</v>
      </c>
      <c r="AT449" s="2">
        <f>IFERROR(INDEX(Player_Model!$BC$2:$BC$596,MATCH($A449,Player_Model!$A$2:$A$596,0)),0)</f>
        <v>0</v>
      </c>
      <c r="AU449" s="2">
        <f>Table8[[#This Row],[Model Expected Points]]*Table8[[#This Row],[Fixture Adjustment]]</f>
        <v>0</v>
      </c>
      <c r="AV449" s="2">
        <f>Table8[[#This Row],[Fixture Adjusted Points / 90]]/Table8[[#This Row],[Price]]</f>
        <v>0</v>
      </c>
      <c r="AW449">
        <f t="shared" si="170"/>
        <v>46.25</v>
      </c>
      <c r="AX449">
        <f t="shared" si="171"/>
        <v>0.41666666666666669</v>
      </c>
      <c r="AY449" s="2">
        <f t="shared" si="172"/>
        <v>0</v>
      </c>
      <c r="AZ449" s="5">
        <f t="shared" si="173"/>
        <v>1.0903373702422146</v>
      </c>
      <c r="BA449">
        <f>Table8[[#This Row],[Model Score2]]</f>
        <v>0</v>
      </c>
      <c r="BB449">
        <f>IFERROR(INDEX(Player_Model!$BG$2:$BG$596,MATCH($A449,Player_Model!$A$2:$A$596,0)),"")</f>
        <v>227</v>
      </c>
      <c r="BC449" t="str">
        <f t="shared" si="174"/>
        <v>AVOID</v>
      </c>
      <c r="BD449">
        <f>IF(H449=1,Table8[[#This Row],[Model Score]],-10000)</f>
        <v>0</v>
      </c>
      <c r="BE449">
        <f>IFERROR(INDEX(Player_Model!$BF$2:$BF$596,MATCH($A449,Player_Model!$A$2:$A$596,0)),"")</f>
        <v>253</v>
      </c>
      <c r="BF449">
        <f>IFERROR(INDEX(Player_Model!$BG$2:$BG$596,MATCH($A449,Player_Model!$A$2:$A$596,0)),"")</f>
        <v>227</v>
      </c>
      <c r="BG449">
        <f>IFERROR(INDEX(Player_Model!$BE$2:$BE$596,MATCH($A449,Player_Model!$A$2:$A$596,0)),0)</f>
        <v>0</v>
      </c>
    </row>
    <row r="450" spans="1:59" x14ac:dyDescent="0.25">
      <c r="A450" t="str">
        <f>tblPlayers[first_name]&amp;" "&amp;tblPlayers[second_name]</f>
        <v>Stefan Bajčetić Maquieira</v>
      </c>
      <c r="B450" t="str">
        <f>_xlfn.SWITCH(tblPlayers[element_type],1,"GK",2,"DEF",3,"MID",4,"FWD")</f>
        <v>MID</v>
      </c>
      <c r="C450">
        <f>tblPlayers[team]</f>
        <v>14</v>
      </c>
      <c r="D450" t="str">
        <f>INDEX(tblTeams[Column1.short_name],MATCH(C450,tblTeams[Column1.id],0))</f>
        <v>LIV</v>
      </c>
      <c r="E450" s="4">
        <f>INDEX(FPL_Raw_Data!$F:$F,MATCH(A450,FPL_Raw_Data!$AA:$AA,0))/10</f>
        <v>5</v>
      </c>
      <c r="F450" s="4" t="str">
        <f>tblPlayers[[#This Row],[status]]</f>
        <v>u</v>
      </c>
      <c r="G450" s="4" t="b">
        <f>tblPlayers[[#This Row],[can_select]]</f>
        <v>0</v>
      </c>
      <c r="H450">
        <f>IF(AND(Table8[[#This Row],[Availability Status]]="a",Table8[[#This Row],[Can Select]]=TRUE),1,0)</f>
        <v>0</v>
      </c>
      <c r="I450">
        <f>tblPlayers[minutes]</f>
        <v>0</v>
      </c>
      <c r="J450" s="2">
        <f>Table8[[#This Row],[Minutes]]/90</f>
        <v>0</v>
      </c>
      <c r="K450" s="5">
        <f>IFERROR(Z450/(FIXTURE_ANALYSIS!$B$1-1),0)</f>
        <v>0</v>
      </c>
      <c r="L450">
        <f>tblPlayers[total_points]</f>
        <v>0</v>
      </c>
      <c r="M450">
        <f>tblPlayers[points_per_game]</f>
        <v>0</v>
      </c>
      <c r="N450">
        <f>tblPlayers[form]</f>
        <v>0</v>
      </c>
      <c r="O450">
        <f>tblPlayers[expected_goals]</f>
        <v>0</v>
      </c>
      <c r="P450">
        <f>tblPlayers[expected_assists]</f>
        <v>0</v>
      </c>
      <c r="Q450">
        <f>tblPlayers[expected_goal_involvements]</f>
        <v>0</v>
      </c>
      <c r="R450" s="2">
        <f t="shared" ref="R450:R513" si="175">IF(I450=0,0,L450/I450*90)</f>
        <v>0</v>
      </c>
      <c r="S450" s="5">
        <f t="shared" ref="S450:S513" si="176">IF(I450=0,0,O450/I450*90)</f>
        <v>0</v>
      </c>
      <c r="T450" s="5">
        <f t="shared" ref="T450:T513" si="177">IF(I450=0,0,P450/I450*90)</f>
        <v>0</v>
      </c>
      <c r="U450" s="5">
        <f t="shared" ref="U450:U513" si="178">IF(I450=0,0,Q450/I450*90)</f>
        <v>0</v>
      </c>
      <c r="V450" s="3">
        <f t="shared" ref="V450:V513" si="179">IF(E450=0,0,L450/E450)</f>
        <v>0</v>
      </c>
      <c r="W450" s="5">
        <f t="shared" ref="W450:W513" si="180">IF(E450=0,0,Q450/E450)</f>
        <v>0</v>
      </c>
      <c r="X450" s="5">
        <f>IFERROR(IF(OR($B450="MID",$B450="FWD"),INDEX(FIXTURE_ANALYSIS!$Q:$Q,MATCH($D450,FIXTURE_ANALYSIS!$A:$A,0)),INDEX(FIXTURE_ANALYSIS!$R:$R,MATCH($D450,FIXTURE_ANALYSIS!$A:$A,0))),1)</f>
        <v>1.0903373702422146</v>
      </c>
      <c r="Y450" s="5">
        <f t="shared" ref="Y450:Y513" si="181">X450</f>
        <v>1.0903373702422146</v>
      </c>
      <c r="Z450" s="8">
        <f>INDEX(FPL_Raw_Data!$T:$T,MATCH(A450,FPL_Raw_Data!$AA:$AA,0))</f>
        <v>0</v>
      </c>
      <c r="AA450" s="8">
        <f>INDEX(FPL_Raw_Data!$S:$S,MATCH(A450,FPL_Raw_Data!$AA:$AA,0))</f>
        <v>0</v>
      </c>
      <c r="AB450" s="2">
        <f t="shared" ref="AB450:AB513" si="182">IF(B450="DEF",MIN(AA450/10,1),IF(OR(B450="MID",B450="FWD"),MIN(AA450/12,1),0))</f>
        <v>0</v>
      </c>
      <c r="AC450" s="2">
        <f>INDEX(FPL_Raw_Data!$Q:$Q,MATCH(A450,FPL_Raw_Data!$AA:$AA,0))</f>
        <v>0</v>
      </c>
      <c r="AD450" s="8">
        <f>INDEX(FPL_Raw_Data!$R:$R,MATCH(A450,FPL_Raw_Data!$AA:$AA,0))</f>
        <v>0</v>
      </c>
      <c r="AE450" s="8">
        <f>INDEX(FPL_Raw_Data!$N:$N,MATCH(A450,FPL_Raw_Data!$AA:$AA,0))</f>
        <v>0</v>
      </c>
      <c r="AF450" s="8">
        <f>INDEX(FPL_Raw_Data!$L:$L,MATCH(A450,FPL_Raw_Data!$AA:$AA,0))</f>
        <v>0</v>
      </c>
      <c r="AG450" s="2">
        <f>INDEX(FPL_Raw_Data!$M:$M,MATCH(A450,FPL_Raw_Data!$AA:$AA,0))</f>
        <v>0</v>
      </c>
      <c r="AH450" s="2">
        <f t="shared" ref="AH450:AH513" si="183">IF(B450="GK",S450*10,IF(B450="DEF",S450*6,IF(B450="MID",S450*5,S450*4)))</f>
        <v>0</v>
      </c>
      <c r="AI450" s="2">
        <f t="shared" ref="AI450:AI513" si="184">T450*3</f>
        <v>0</v>
      </c>
      <c r="AJ450" s="2">
        <f t="shared" ref="AJ450:AJ513" si="185">K450*2</f>
        <v>0</v>
      </c>
      <c r="AK450" s="2">
        <f t="shared" ref="AK450:AK513" si="186">AB450*2</f>
        <v>0</v>
      </c>
      <c r="AL450" s="2">
        <f t="shared" ref="AL450:AL513" si="187">IFERROR(AE450/Z450,0)</f>
        <v>0</v>
      </c>
      <c r="AM450" s="2">
        <f t="shared" ref="AM450:AM513" si="188">IF(OR(B450="GK",B450="DEF"),AL450*4,IF(B450="MID",AL450*1,0))</f>
        <v>0</v>
      </c>
      <c r="AN450" s="2">
        <f t="shared" ref="AN450:AN513" si="189">IFERROR(AC450/Z450,0)</f>
        <v>0</v>
      </c>
      <c r="AO450" s="3">
        <f t="shared" ref="AO450:AO513" si="190">IFERROR(_xlfn.PERCENTRANK.INC($R$2:$R$700,R450)*100,0)</f>
        <v>0.1</v>
      </c>
      <c r="AP450">
        <f t="shared" ref="AP450:AP513" si="191">IFERROR(_xlfn.PERCENTRANK.INC($U$2:$U$700,U450)*100,0)</f>
        <v>0</v>
      </c>
      <c r="AQ450">
        <f t="shared" ref="AQ450:AQ513" si="192">IFERROR(_xlfn.PERCENTRANK.INC($V$2:$V$700,V450)*100,0)</f>
        <v>0.1</v>
      </c>
      <c r="AR450">
        <f t="shared" ref="AR450:AR513" si="193">IFERROR(_xlfn.PERCENTRANK.INC($W$2:$W$700,W450)*100,0)</f>
        <v>0</v>
      </c>
      <c r="AS450" s="2">
        <f t="shared" ref="AS450:AS513" si="194">K450*100</f>
        <v>0</v>
      </c>
      <c r="AT450" s="2">
        <f>IFERROR(INDEX(Player_Model!$BC$2:$BC$596,MATCH($A450,Player_Model!$A$2:$A$596,0)),0)</f>
        <v>0</v>
      </c>
      <c r="AU450" s="2">
        <f>Table8[[#This Row],[Model Expected Points]]*Table8[[#This Row],[Fixture Adjustment]]</f>
        <v>0</v>
      </c>
      <c r="AV450" s="2">
        <f>Table8[[#This Row],[Fixture Adjusted Points / 90]]/Table8[[#This Row],[Price]]</f>
        <v>0</v>
      </c>
      <c r="AW450">
        <f t="shared" ref="AW450:AW513" si="195">IF(OR(B450="MID",B450="FWD"),AVERAGE(AO450,AP450),IF(B450="DEF",AP450,0))</f>
        <v>0.05</v>
      </c>
      <c r="AX450">
        <f t="shared" ref="AX450:AX513" si="196">IF(B450="GK",AVERAGE(AS450,X450),IF(B450="DEF",AVERAGE(AB450,X450),IF(B450="MID",AB450,0)))</f>
        <v>0</v>
      </c>
      <c r="AY450" s="2">
        <f t="shared" ref="AY450:AY513" si="197">AS450</f>
        <v>0</v>
      </c>
      <c r="AZ450" s="5">
        <f t="shared" ref="AZ450:AZ513" si="198">X450</f>
        <v>1.0903373702422146</v>
      </c>
      <c r="BA450">
        <f>Table8[[#This Row],[Model Score2]]</f>
        <v>0</v>
      </c>
      <c r="BB450">
        <f>IFERROR(INDEX(Player_Model!$BG$2:$BG$596,MATCH($A450,Player_Model!$A$2:$A$596,0)),"")</f>
        <v>228</v>
      </c>
      <c r="BC450" t="str">
        <f t="shared" ref="BC450:BC513" si="199">IF(BB450=1,"TOP PICK",IF(BB450&lt;=5,"STRONG PICK",IF(BB450&lt;=10,"CONSIDER","AVOID")))</f>
        <v>AVOID</v>
      </c>
      <c r="BD450">
        <f>IF(H450=1,Table8[[#This Row],[Model Score]],-10000)</f>
        <v>-10000</v>
      </c>
      <c r="BE450">
        <f>IFERROR(INDEX(Player_Model!$BF$2:$BF$596,MATCH($A450,Player_Model!$A$2:$A$596,0)),"")</f>
        <v>253</v>
      </c>
      <c r="BF450">
        <f>IFERROR(INDEX(Player_Model!$BG$2:$BG$596,MATCH($A450,Player_Model!$A$2:$A$596,0)),"")</f>
        <v>228</v>
      </c>
      <c r="BG450">
        <f>IFERROR(INDEX(Player_Model!$BE$2:$BE$596,MATCH($A450,Player_Model!$A$2:$A$596,0)),0)</f>
        <v>0</v>
      </c>
    </row>
    <row r="451" spans="1:59" x14ac:dyDescent="0.25">
      <c r="A451" t="str">
        <f>tblPlayers[first_name]&amp;" "&amp;tblPlayers[second_name]</f>
        <v>Victor Munoz</v>
      </c>
      <c r="B451" t="str">
        <f>_xlfn.SWITCH(tblPlayers[element_type],1,"GK",2,"DEF",3,"MID",4,"FWD")</f>
        <v>MID</v>
      </c>
      <c r="C451">
        <f>tblPlayers[team]</f>
        <v>14</v>
      </c>
      <c r="D451" t="str">
        <f>INDEX(tblTeams[Column1.short_name],MATCH(C451,tblTeams[Column1.id],0))</f>
        <v>LIV</v>
      </c>
      <c r="E451" s="4">
        <f>INDEX(FPL_Raw_Data!$F:$F,MATCH(A451,FPL_Raw_Data!$AA:$AA,0))/10</f>
        <v>6.5</v>
      </c>
      <c r="F451" s="4" t="str">
        <f>tblPlayers[[#This Row],[status]]</f>
        <v>a</v>
      </c>
      <c r="G451" s="4" t="b">
        <f>tblPlayers[[#This Row],[can_select]]</f>
        <v>1</v>
      </c>
      <c r="H451">
        <f>IF(AND(Table8[[#This Row],[Availability Status]]="a",Table8[[#This Row],[Can Select]]=TRUE),1,0)</f>
        <v>1</v>
      </c>
      <c r="I451">
        <f>tblPlayers[minutes]</f>
        <v>180</v>
      </c>
      <c r="J451" s="2">
        <f>Table8[[#This Row],[Minutes]]/90</f>
        <v>2</v>
      </c>
      <c r="K451" s="5">
        <f>IFERROR(Z451/(FIXTURE_ANALYSIS!$B$1-1),0)</f>
        <v>0.66666666666666663</v>
      </c>
      <c r="L451">
        <f>tblPlayers[total_points]</f>
        <v>13</v>
      </c>
      <c r="M451">
        <f>tblPlayers[points_per_game]</f>
        <v>4.3</v>
      </c>
      <c r="N451">
        <f>tblPlayers[form]</f>
        <v>4.3</v>
      </c>
      <c r="O451">
        <f>tblPlayers[expected_goals]</f>
        <v>0.42</v>
      </c>
      <c r="P451">
        <f>tblPlayers[expected_assists]</f>
        <v>0.25</v>
      </c>
      <c r="Q451">
        <f>tblPlayers[expected_goal_involvements]</f>
        <v>0.67</v>
      </c>
      <c r="R451" s="2">
        <f t="shared" si="175"/>
        <v>6.4999999999999991</v>
      </c>
      <c r="S451" s="5">
        <f t="shared" si="176"/>
        <v>0.20999999999999996</v>
      </c>
      <c r="T451" s="5">
        <f t="shared" si="177"/>
        <v>0.125</v>
      </c>
      <c r="U451" s="5">
        <f t="shared" si="178"/>
        <v>0.33500000000000002</v>
      </c>
      <c r="V451" s="3">
        <f t="shared" si="179"/>
        <v>2</v>
      </c>
      <c r="W451" s="5">
        <f t="shared" si="180"/>
        <v>0.10307692307692308</v>
      </c>
      <c r="X451" s="5">
        <f>IFERROR(IF(OR($B451="MID",$B451="FWD"),INDEX(FIXTURE_ANALYSIS!$Q:$Q,MATCH($D451,FIXTURE_ANALYSIS!$A:$A,0)),INDEX(FIXTURE_ANALYSIS!$R:$R,MATCH($D451,FIXTURE_ANALYSIS!$A:$A,0))),1)</f>
        <v>1.0903373702422146</v>
      </c>
      <c r="Y451" s="5">
        <f t="shared" si="181"/>
        <v>1.0903373702422146</v>
      </c>
      <c r="Z451" s="8">
        <f>INDEX(FPL_Raw_Data!$T:$T,MATCH(A451,FPL_Raw_Data!$AA:$AA,0))</f>
        <v>2</v>
      </c>
      <c r="AA451" s="8">
        <f>INDEX(FPL_Raw_Data!$S:$S,MATCH(A451,FPL_Raw_Data!$AA:$AA,0))</f>
        <v>11</v>
      </c>
      <c r="AB451" s="2">
        <f t="shared" si="182"/>
        <v>0.91666666666666663</v>
      </c>
      <c r="AC451" s="2">
        <f>INDEX(FPL_Raw_Data!$Q:$Q,MATCH(A451,FPL_Raw_Data!$AA:$AA,0))</f>
        <v>0</v>
      </c>
      <c r="AD451" s="8">
        <f>INDEX(FPL_Raw_Data!$R:$R,MATCH(A451,FPL_Raw_Data!$AA:$AA,0))</f>
        <v>48</v>
      </c>
      <c r="AE451" s="8">
        <f>INDEX(FPL_Raw_Data!$N:$N,MATCH(A451,FPL_Raw_Data!$AA:$AA,0))</f>
        <v>1</v>
      </c>
      <c r="AF451" s="8">
        <f>INDEX(FPL_Raw_Data!$L:$L,MATCH(A451,FPL_Raw_Data!$AA:$AA,0))</f>
        <v>1</v>
      </c>
      <c r="AG451" s="2">
        <f>INDEX(FPL_Raw_Data!$M:$M,MATCH(A451,FPL_Raw_Data!$AA:$AA,0))</f>
        <v>1</v>
      </c>
      <c r="AH451" s="2">
        <f t="shared" si="183"/>
        <v>1.0499999999999998</v>
      </c>
      <c r="AI451" s="2">
        <f t="shared" si="184"/>
        <v>0.375</v>
      </c>
      <c r="AJ451" s="2">
        <f t="shared" si="185"/>
        <v>1.3333333333333333</v>
      </c>
      <c r="AK451" s="2">
        <f t="shared" si="186"/>
        <v>1.8333333333333333</v>
      </c>
      <c r="AL451" s="2">
        <f t="shared" si="187"/>
        <v>0.5</v>
      </c>
      <c r="AM451" s="2">
        <f t="shared" si="188"/>
        <v>0.5</v>
      </c>
      <c r="AN451" s="2">
        <f t="shared" si="189"/>
        <v>0</v>
      </c>
      <c r="AO451" s="3">
        <f t="shared" si="190"/>
        <v>84</v>
      </c>
      <c r="AP451">
        <f t="shared" si="191"/>
        <v>86</v>
      </c>
      <c r="AQ451">
        <f t="shared" si="192"/>
        <v>85.5</v>
      </c>
      <c r="AR451">
        <f t="shared" si="193"/>
        <v>84.6</v>
      </c>
      <c r="AS451" s="2">
        <f t="shared" si="194"/>
        <v>66.666666666666657</v>
      </c>
      <c r="AT451" s="2">
        <f>IFERROR(INDEX(Player_Model!$BC$2:$BC$596,MATCH($A451,Player_Model!$A$2:$A$596,0)),0)</f>
        <v>5.2790501009227224</v>
      </c>
      <c r="AU451" s="2">
        <f>Table8[[#This Row],[Model Expected Points]]*Table8[[#This Row],[Fixture Adjustment]]</f>
        <v>5.7559456044169783</v>
      </c>
      <c r="AV451" s="2">
        <f>Table8[[#This Row],[Fixture Adjusted Points / 90]]/Table8[[#This Row],[Price]]</f>
        <v>0.8855300929872274</v>
      </c>
      <c r="AW451">
        <f t="shared" si="195"/>
        <v>85</v>
      </c>
      <c r="AX451">
        <f t="shared" si="196"/>
        <v>0.91666666666666663</v>
      </c>
      <c r="AY451" s="2">
        <f t="shared" si="197"/>
        <v>66.666666666666657</v>
      </c>
      <c r="AZ451" s="5">
        <f t="shared" si="198"/>
        <v>1.0903373702422146</v>
      </c>
      <c r="BA451">
        <f>Table8[[#This Row],[Model Score2]]</f>
        <v>5.2790501009227224</v>
      </c>
      <c r="BB451">
        <f>IFERROR(INDEX(Player_Model!$BG$2:$BG$596,MATCH($A451,Player_Model!$A$2:$A$596,0)),"")</f>
        <v>36</v>
      </c>
      <c r="BC451" t="str">
        <f t="shared" si="199"/>
        <v>AVOID</v>
      </c>
      <c r="BD451">
        <f>IF(H451=1,Table8[[#This Row],[Model Score]],-10000)</f>
        <v>5.2790501009227224</v>
      </c>
      <c r="BE451">
        <f>IFERROR(INDEX(Player_Model!$BF$2:$BF$596,MATCH($A451,Player_Model!$A$2:$A$596,0)),"")</f>
        <v>78</v>
      </c>
      <c r="BF451">
        <f>IFERROR(INDEX(Player_Model!$BG$2:$BG$596,MATCH($A451,Player_Model!$A$2:$A$596,0)),"")</f>
        <v>36</v>
      </c>
      <c r="BG451">
        <f>IFERROR(INDEX(Player_Model!$BE$2:$BE$596,MATCH($A451,Player_Model!$A$2:$A$596,0)),0)</f>
        <v>5.2790501009227224</v>
      </c>
    </row>
    <row r="452" spans="1:59" x14ac:dyDescent="0.25">
      <c r="A452" t="str">
        <f>tblPlayers[first_name]&amp;" "&amp;tblPlayers[second_name]</f>
        <v>James McConnell</v>
      </c>
      <c r="B452" t="str">
        <f>_xlfn.SWITCH(tblPlayers[element_type],1,"GK",2,"DEF",3,"MID",4,"FWD")</f>
        <v>MID</v>
      </c>
      <c r="C452">
        <f>tblPlayers[team]</f>
        <v>14</v>
      </c>
      <c r="D452" t="str">
        <f>INDEX(tblTeams[Column1.short_name],MATCH(C452,tblTeams[Column1.id],0))</f>
        <v>LIV</v>
      </c>
      <c r="E452" s="4">
        <f>INDEX(FPL_Raw_Data!$F:$F,MATCH(A452,FPL_Raw_Data!$AA:$AA,0))/10</f>
        <v>4.5</v>
      </c>
      <c r="F452" s="4" t="str">
        <f>tblPlayers[[#This Row],[status]]</f>
        <v>a</v>
      </c>
      <c r="G452" s="4" t="b">
        <f>tblPlayers[[#This Row],[can_select]]</f>
        <v>1</v>
      </c>
      <c r="H452">
        <f>IF(AND(Table8[[#This Row],[Availability Status]]="a",Table8[[#This Row],[Can Select]]=TRUE),1,0)</f>
        <v>1</v>
      </c>
      <c r="I452">
        <f>tblPlayers[minutes]</f>
        <v>0</v>
      </c>
      <c r="J452" s="2">
        <f>Table8[[#This Row],[Minutes]]/90</f>
        <v>0</v>
      </c>
      <c r="K452" s="5">
        <f>IFERROR(Z452/(FIXTURE_ANALYSIS!$B$1-1),0)</f>
        <v>0</v>
      </c>
      <c r="L452">
        <f>tblPlayers[total_points]</f>
        <v>0</v>
      </c>
      <c r="M452">
        <f>tblPlayers[points_per_game]</f>
        <v>0</v>
      </c>
      <c r="N452">
        <f>tblPlayers[form]</f>
        <v>0</v>
      </c>
      <c r="O452">
        <f>tblPlayers[expected_goals]</f>
        <v>0</v>
      </c>
      <c r="P452">
        <f>tblPlayers[expected_assists]</f>
        <v>0</v>
      </c>
      <c r="Q452">
        <f>tblPlayers[expected_goal_involvements]</f>
        <v>0</v>
      </c>
      <c r="R452" s="2">
        <f t="shared" si="175"/>
        <v>0</v>
      </c>
      <c r="S452" s="5">
        <f t="shared" si="176"/>
        <v>0</v>
      </c>
      <c r="T452" s="5">
        <f t="shared" si="177"/>
        <v>0</v>
      </c>
      <c r="U452" s="5">
        <f t="shared" si="178"/>
        <v>0</v>
      </c>
      <c r="V452" s="3">
        <f t="shared" si="179"/>
        <v>0</v>
      </c>
      <c r="W452" s="5">
        <f t="shared" si="180"/>
        <v>0</v>
      </c>
      <c r="X452" s="5">
        <f>IFERROR(IF(OR($B452="MID",$B452="FWD"),INDEX(FIXTURE_ANALYSIS!$Q:$Q,MATCH($D452,FIXTURE_ANALYSIS!$A:$A,0)),INDEX(FIXTURE_ANALYSIS!$R:$R,MATCH($D452,FIXTURE_ANALYSIS!$A:$A,0))),1)</f>
        <v>1.0903373702422146</v>
      </c>
      <c r="Y452" s="5">
        <f t="shared" si="181"/>
        <v>1.0903373702422146</v>
      </c>
      <c r="Z452" s="8">
        <f>INDEX(FPL_Raw_Data!$T:$T,MATCH(A452,FPL_Raw_Data!$AA:$AA,0))</f>
        <v>0</v>
      </c>
      <c r="AA452" s="8">
        <f>INDEX(FPL_Raw_Data!$S:$S,MATCH(A452,FPL_Raw_Data!$AA:$AA,0))</f>
        <v>0</v>
      </c>
      <c r="AB452" s="2">
        <f t="shared" si="182"/>
        <v>0</v>
      </c>
      <c r="AC452" s="2">
        <f>INDEX(FPL_Raw_Data!$Q:$Q,MATCH(A452,FPL_Raw_Data!$AA:$AA,0))</f>
        <v>0</v>
      </c>
      <c r="AD452" s="8">
        <f>INDEX(FPL_Raw_Data!$R:$R,MATCH(A452,FPL_Raw_Data!$AA:$AA,0))</f>
        <v>0</v>
      </c>
      <c r="AE452" s="8">
        <f>INDEX(FPL_Raw_Data!$N:$N,MATCH(A452,FPL_Raw_Data!$AA:$AA,0))</f>
        <v>0</v>
      </c>
      <c r="AF452" s="8">
        <f>INDEX(FPL_Raw_Data!$L:$L,MATCH(A452,FPL_Raw_Data!$AA:$AA,0))</f>
        <v>0</v>
      </c>
      <c r="AG452" s="2">
        <f>INDEX(FPL_Raw_Data!$M:$M,MATCH(A452,FPL_Raw_Data!$AA:$AA,0))</f>
        <v>0</v>
      </c>
      <c r="AH452" s="2">
        <f t="shared" si="183"/>
        <v>0</v>
      </c>
      <c r="AI452" s="2">
        <f t="shared" si="184"/>
        <v>0</v>
      </c>
      <c r="AJ452" s="2">
        <f t="shared" si="185"/>
        <v>0</v>
      </c>
      <c r="AK452" s="2">
        <f t="shared" si="186"/>
        <v>0</v>
      </c>
      <c r="AL452" s="2">
        <f t="shared" si="187"/>
        <v>0</v>
      </c>
      <c r="AM452" s="2">
        <f t="shared" si="188"/>
        <v>0</v>
      </c>
      <c r="AN452" s="2">
        <f t="shared" si="189"/>
        <v>0</v>
      </c>
      <c r="AO452" s="3">
        <f t="shared" si="190"/>
        <v>0.1</v>
      </c>
      <c r="AP452">
        <f t="shared" si="191"/>
        <v>0</v>
      </c>
      <c r="AQ452">
        <f t="shared" si="192"/>
        <v>0.1</v>
      </c>
      <c r="AR452">
        <f t="shared" si="193"/>
        <v>0</v>
      </c>
      <c r="AS452" s="2">
        <f t="shared" si="194"/>
        <v>0</v>
      </c>
      <c r="AT452" s="2">
        <f>IFERROR(INDEX(Player_Model!$BC$2:$BC$596,MATCH($A452,Player_Model!$A$2:$A$596,0)),0)</f>
        <v>0</v>
      </c>
      <c r="AU452" s="2">
        <f>Table8[[#This Row],[Model Expected Points]]*Table8[[#This Row],[Fixture Adjustment]]</f>
        <v>0</v>
      </c>
      <c r="AV452" s="2">
        <f>Table8[[#This Row],[Fixture Adjusted Points / 90]]/Table8[[#This Row],[Price]]</f>
        <v>0</v>
      </c>
      <c r="AW452">
        <f t="shared" si="195"/>
        <v>0.05</v>
      </c>
      <c r="AX452">
        <f t="shared" si="196"/>
        <v>0</v>
      </c>
      <c r="AY452" s="2">
        <f t="shared" si="197"/>
        <v>0</v>
      </c>
      <c r="AZ452" s="5">
        <f t="shared" si="198"/>
        <v>1.0903373702422146</v>
      </c>
      <c r="BA452">
        <f>Table8[[#This Row],[Model Score2]]</f>
        <v>0</v>
      </c>
      <c r="BB452">
        <f>IFERROR(INDEX(Player_Model!$BG$2:$BG$596,MATCH($A452,Player_Model!$A$2:$A$596,0)),"")</f>
        <v>229</v>
      </c>
      <c r="BC452" t="str">
        <f t="shared" si="199"/>
        <v>AVOID</v>
      </c>
      <c r="BD452">
        <f>IF(H452=1,Table8[[#This Row],[Model Score]],-10000)</f>
        <v>0</v>
      </c>
      <c r="BE452">
        <f>IFERROR(INDEX(Player_Model!$BF$2:$BF$596,MATCH($A452,Player_Model!$A$2:$A$596,0)),"")</f>
        <v>253</v>
      </c>
      <c r="BF452">
        <f>IFERROR(INDEX(Player_Model!$BG$2:$BG$596,MATCH($A452,Player_Model!$A$2:$A$596,0)),"")</f>
        <v>229</v>
      </c>
      <c r="BG452">
        <f>IFERROR(INDEX(Player_Model!$BE$2:$BE$596,MATCH($A452,Player_Model!$A$2:$A$596,0)),0)</f>
        <v>0</v>
      </c>
    </row>
    <row r="453" spans="1:59" x14ac:dyDescent="0.25">
      <c r="A453" t="str">
        <f>tblPlayers[first_name]&amp;" "&amp;tblPlayers[second_name]</f>
        <v>Alexander Isak</v>
      </c>
      <c r="B453" t="str">
        <f>_xlfn.SWITCH(tblPlayers[element_type],1,"GK",2,"DEF",3,"MID",4,"FWD")</f>
        <v>FWD</v>
      </c>
      <c r="C453">
        <f>tblPlayers[team]</f>
        <v>14</v>
      </c>
      <c r="D453" t="str">
        <f>INDEX(tblTeams[Column1.short_name],MATCH(C453,tblTeams[Column1.id],0))</f>
        <v>LIV</v>
      </c>
      <c r="E453" s="4">
        <f>INDEX(FPL_Raw_Data!$F:$F,MATCH(A453,FPL_Raw_Data!$AA:$AA,0))/10</f>
        <v>9</v>
      </c>
      <c r="F453" s="4" t="str">
        <f>tblPlayers[[#This Row],[status]]</f>
        <v>a</v>
      </c>
      <c r="G453" s="4" t="b">
        <f>tblPlayers[[#This Row],[can_select]]</f>
        <v>1</v>
      </c>
      <c r="H453">
        <f>IF(AND(Table8[[#This Row],[Availability Status]]="a",Table8[[#This Row],[Can Select]]=TRUE),1,0)</f>
        <v>1</v>
      </c>
      <c r="I453">
        <f>tblPlayers[minutes]</f>
        <v>243</v>
      </c>
      <c r="J453" s="2">
        <f>Table8[[#This Row],[Minutes]]/90</f>
        <v>2.7</v>
      </c>
      <c r="K453" s="5">
        <f>IFERROR(Z453/(FIXTURE_ANALYSIS!$B$1-1),0)</f>
        <v>1</v>
      </c>
      <c r="L453">
        <f>tblPlayers[total_points]</f>
        <v>23</v>
      </c>
      <c r="M453">
        <f>tblPlayers[points_per_game]</f>
        <v>7.7</v>
      </c>
      <c r="N453">
        <f>tblPlayers[form]</f>
        <v>7.7</v>
      </c>
      <c r="O453">
        <f>tblPlayers[expected_goals]</f>
        <v>2.29</v>
      </c>
      <c r="P453">
        <f>tblPlayers[expected_assists]</f>
        <v>0.06</v>
      </c>
      <c r="Q453">
        <f>tblPlayers[expected_goal_involvements]</f>
        <v>2.35</v>
      </c>
      <c r="R453" s="2">
        <f t="shared" si="175"/>
        <v>8.518518518518519</v>
      </c>
      <c r="S453" s="5">
        <f t="shared" si="176"/>
        <v>0.84814814814814821</v>
      </c>
      <c r="T453" s="5">
        <f t="shared" si="177"/>
        <v>2.2222222222222223E-2</v>
      </c>
      <c r="U453" s="5">
        <f t="shared" si="178"/>
        <v>0.87037037037037035</v>
      </c>
      <c r="V453" s="3">
        <f t="shared" si="179"/>
        <v>2.5555555555555554</v>
      </c>
      <c r="W453" s="5">
        <f t="shared" si="180"/>
        <v>0.26111111111111113</v>
      </c>
      <c r="X453" s="5">
        <f>IFERROR(IF(OR($B453="MID",$B453="FWD"),INDEX(FIXTURE_ANALYSIS!$Q:$Q,MATCH($D453,FIXTURE_ANALYSIS!$A:$A,0)),INDEX(FIXTURE_ANALYSIS!$R:$R,MATCH($D453,FIXTURE_ANALYSIS!$A:$A,0))),1)</f>
        <v>1.0903373702422146</v>
      </c>
      <c r="Y453" s="5">
        <f t="shared" si="181"/>
        <v>1.0903373702422146</v>
      </c>
      <c r="Z453" s="8">
        <f>INDEX(FPL_Raw_Data!$T:$T,MATCH(A453,FPL_Raw_Data!$AA:$AA,0))</f>
        <v>3</v>
      </c>
      <c r="AA453" s="8">
        <f>INDEX(FPL_Raw_Data!$S:$S,MATCH(A453,FPL_Raw_Data!$AA:$AA,0))</f>
        <v>5</v>
      </c>
      <c r="AB453" s="2">
        <f t="shared" si="182"/>
        <v>0.41666666666666669</v>
      </c>
      <c r="AC453" s="2">
        <f>INDEX(FPL_Raw_Data!$Q:$Q,MATCH(A453,FPL_Raw_Data!$AA:$AA,0))</f>
        <v>5</v>
      </c>
      <c r="AD453" s="8">
        <f>INDEX(FPL_Raw_Data!$R:$R,MATCH(A453,FPL_Raw_Data!$AA:$AA,0))</f>
        <v>97</v>
      </c>
      <c r="AE453" s="8">
        <f>INDEX(FPL_Raw_Data!$N:$N,MATCH(A453,FPL_Raw_Data!$AA:$AA,0))</f>
        <v>1</v>
      </c>
      <c r="AF453" s="8">
        <f>INDEX(FPL_Raw_Data!$L:$L,MATCH(A453,FPL_Raw_Data!$AA:$AA,0))</f>
        <v>3</v>
      </c>
      <c r="AG453" s="2">
        <f>INDEX(FPL_Raw_Data!$M:$M,MATCH(A453,FPL_Raw_Data!$AA:$AA,0))</f>
        <v>0</v>
      </c>
      <c r="AH453" s="2">
        <f t="shared" si="183"/>
        <v>3.3925925925925928</v>
      </c>
      <c r="AI453" s="2">
        <f t="shared" si="184"/>
        <v>6.6666666666666666E-2</v>
      </c>
      <c r="AJ453" s="2">
        <f t="shared" si="185"/>
        <v>2</v>
      </c>
      <c r="AK453" s="2">
        <f t="shared" si="186"/>
        <v>0.83333333333333337</v>
      </c>
      <c r="AL453" s="2">
        <f t="shared" si="187"/>
        <v>0.33333333333333331</v>
      </c>
      <c r="AM453" s="2">
        <f t="shared" si="188"/>
        <v>0</v>
      </c>
      <c r="AN453" s="2">
        <f t="shared" si="189"/>
        <v>1.6666666666666667</v>
      </c>
      <c r="AO453" s="3">
        <f t="shared" si="190"/>
        <v>90.9</v>
      </c>
      <c r="AP453">
        <f t="shared" si="191"/>
        <v>96.8</v>
      </c>
      <c r="AQ453">
        <f t="shared" si="192"/>
        <v>92.4</v>
      </c>
      <c r="AR453">
        <f t="shared" si="193"/>
        <v>97.399999999999991</v>
      </c>
      <c r="AS453" s="2">
        <f t="shared" si="194"/>
        <v>100</v>
      </c>
      <c r="AT453" s="2">
        <f>IFERROR(INDEX(Player_Model!$BC$2:$BC$596,MATCH($A453,Player_Model!$A$2:$A$596,0)),0)</f>
        <v>6.0486493842855733</v>
      </c>
      <c r="AU453" s="2">
        <f>Table8[[#This Row],[Model Expected Points]]*Table8[[#This Row],[Fixture Adjustment]]</f>
        <v>6.5950684631791221</v>
      </c>
      <c r="AV453" s="2">
        <f>Table8[[#This Row],[Fixture Adjusted Points / 90]]/Table8[[#This Row],[Price]]</f>
        <v>0.73278538479768018</v>
      </c>
      <c r="AW453">
        <f t="shared" si="195"/>
        <v>93.85</v>
      </c>
      <c r="AX453">
        <f t="shared" si="196"/>
        <v>0</v>
      </c>
      <c r="AY453" s="2">
        <f t="shared" si="197"/>
        <v>100</v>
      </c>
      <c r="AZ453" s="5">
        <f t="shared" si="198"/>
        <v>1.0903373702422146</v>
      </c>
      <c r="BA453">
        <f>Table8[[#This Row],[Model Score2]]</f>
        <v>6.0486493842855733</v>
      </c>
      <c r="BB453">
        <f>IFERROR(INDEX(Player_Model!$BG$2:$BG$596,MATCH($A453,Player_Model!$A$2:$A$596,0)),"")</f>
        <v>4</v>
      </c>
      <c r="BC453" t="str">
        <f t="shared" si="199"/>
        <v>STRONG PICK</v>
      </c>
      <c r="BD453">
        <f>IF(H453=1,Table8[[#This Row],[Model Score]],-10000)</f>
        <v>6.0486493842855733</v>
      </c>
      <c r="BE453">
        <f>IFERROR(INDEX(Player_Model!$BF$2:$BF$596,MATCH($A453,Player_Model!$A$2:$A$596,0)),"")</f>
        <v>44</v>
      </c>
      <c r="BF453">
        <f>IFERROR(INDEX(Player_Model!$BG$2:$BG$596,MATCH($A453,Player_Model!$A$2:$A$596,0)),"")</f>
        <v>4</v>
      </c>
      <c r="BG453">
        <f>IFERROR(INDEX(Player_Model!$BE$2:$BE$596,MATCH($A453,Player_Model!$A$2:$A$596,0)),0)</f>
        <v>6.0486493842855733</v>
      </c>
    </row>
    <row r="454" spans="1:59" x14ac:dyDescent="0.25">
      <c r="A454" t="str">
        <f>tblPlayers[first_name]&amp;" "&amp;tblPlayers[second_name]</f>
        <v>Hugo Ekitiké</v>
      </c>
      <c r="B454" t="str">
        <f>_xlfn.SWITCH(tblPlayers[element_type],1,"GK",2,"DEF",3,"MID",4,"FWD")</f>
        <v>FWD</v>
      </c>
      <c r="C454">
        <f>tblPlayers[team]</f>
        <v>14</v>
      </c>
      <c r="D454" t="str">
        <f>INDEX(tblTeams[Column1.short_name],MATCH(C454,tblTeams[Column1.id],0))</f>
        <v>LIV</v>
      </c>
      <c r="E454" s="4">
        <f>INDEX(FPL_Raw_Data!$F:$F,MATCH(A454,FPL_Raw_Data!$AA:$AA,0))/10</f>
        <v>7.4</v>
      </c>
      <c r="F454" s="4" t="str">
        <f>tblPlayers[[#This Row],[status]]</f>
        <v>i</v>
      </c>
      <c r="G454" s="4" t="b">
        <f>tblPlayers[[#This Row],[can_select]]</f>
        <v>1</v>
      </c>
      <c r="H454">
        <f>IF(AND(Table8[[#This Row],[Availability Status]]="a",Table8[[#This Row],[Can Select]]=TRUE),1,0)</f>
        <v>0</v>
      </c>
      <c r="I454">
        <f>tblPlayers[minutes]</f>
        <v>0</v>
      </c>
      <c r="J454" s="2">
        <f>Table8[[#This Row],[Minutes]]/90</f>
        <v>0</v>
      </c>
      <c r="K454" s="5">
        <f>IFERROR(Z454/(FIXTURE_ANALYSIS!$B$1-1),0)</f>
        <v>0</v>
      </c>
      <c r="L454">
        <f>tblPlayers[total_points]</f>
        <v>0</v>
      </c>
      <c r="M454">
        <f>tblPlayers[points_per_game]</f>
        <v>0</v>
      </c>
      <c r="N454">
        <f>tblPlayers[form]</f>
        <v>0</v>
      </c>
      <c r="O454">
        <f>tblPlayers[expected_goals]</f>
        <v>0</v>
      </c>
      <c r="P454">
        <f>tblPlayers[expected_assists]</f>
        <v>0</v>
      </c>
      <c r="Q454">
        <f>tblPlayers[expected_goal_involvements]</f>
        <v>0</v>
      </c>
      <c r="R454" s="2">
        <f t="shared" si="175"/>
        <v>0</v>
      </c>
      <c r="S454" s="5">
        <f t="shared" si="176"/>
        <v>0</v>
      </c>
      <c r="T454" s="5">
        <f t="shared" si="177"/>
        <v>0</v>
      </c>
      <c r="U454" s="5">
        <f t="shared" si="178"/>
        <v>0</v>
      </c>
      <c r="V454" s="3">
        <f t="shared" si="179"/>
        <v>0</v>
      </c>
      <c r="W454" s="5">
        <f t="shared" si="180"/>
        <v>0</v>
      </c>
      <c r="X454" s="5">
        <f>IFERROR(IF(OR($B454="MID",$B454="FWD"),INDEX(FIXTURE_ANALYSIS!$Q:$Q,MATCH($D454,FIXTURE_ANALYSIS!$A:$A,0)),INDEX(FIXTURE_ANALYSIS!$R:$R,MATCH($D454,FIXTURE_ANALYSIS!$A:$A,0))),1)</f>
        <v>1.0903373702422146</v>
      </c>
      <c r="Y454" s="5">
        <f t="shared" si="181"/>
        <v>1.0903373702422146</v>
      </c>
      <c r="Z454" s="8">
        <f>INDEX(FPL_Raw_Data!$T:$T,MATCH(A454,FPL_Raw_Data!$AA:$AA,0))</f>
        <v>0</v>
      </c>
      <c r="AA454" s="8">
        <f>INDEX(FPL_Raw_Data!$S:$S,MATCH(A454,FPL_Raw_Data!$AA:$AA,0))</f>
        <v>0</v>
      </c>
      <c r="AB454" s="2">
        <f t="shared" si="182"/>
        <v>0</v>
      </c>
      <c r="AC454" s="2">
        <f>INDEX(FPL_Raw_Data!$Q:$Q,MATCH(A454,FPL_Raw_Data!$AA:$AA,0))</f>
        <v>0</v>
      </c>
      <c r="AD454" s="8">
        <f>INDEX(FPL_Raw_Data!$R:$R,MATCH(A454,FPL_Raw_Data!$AA:$AA,0))</f>
        <v>0</v>
      </c>
      <c r="AE454" s="8">
        <f>INDEX(FPL_Raw_Data!$N:$N,MATCH(A454,FPL_Raw_Data!$AA:$AA,0))</f>
        <v>0</v>
      </c>
      <c r="AF454" s="8">
        <f>INDEX(FPL_Raw_Data!$L:$L,MATCH(A454,FPL_Raw_Data!$AA:$AA,0))</f>
        <v>0</v>
      </c>
      <c r="AG454" s="2">
        <f>INDEX(FPL_Raw_Data!$M:$M,MATCH(A454,FPL_Raw_Data!$AA:$AA,0))</f>
        <v>0</v>
      </c>
      <c r="AH454" s="2">
        <f t="shared" si="183"/>
        <v>0</v>
      </c>
      <c r="AI454" s="2">
        <f t="shared" si="184"/>
        <v>0</v>
      </c>
      <c r="AJ454" s="2">
        <f t="shared" si="185"/>
        <v>0</v>
      </c>
      <c r="AK454" s="2">
        <f t="shared" si="186"/>
        <v>0</v>
      </c>
      <c r="AL454" s="2">
        <f t="shared" si="187"/>
        <v>0</v>
      </c>
      <c r="AM454" s="2">
        <f t="shared" si="188"/>
        <v>0</v>
      </c>
      <c r="AN454" s="2">
        <f t="shared" si="189"/>
        <v>0</v>
      </c>
      <c r="AO454" s="3">
        <f t="shared" si="190"/>
        <v>0.1</v>
      </c>
      <c r="AP454">
        <f t="shared" si="191"/>
        <v>0</v>
      </c>
      <c r="AQ454">
        <f t="shared" si="192"/>
        <v>0.1</v>
      </c>
      <c r="AR454">
        <f t="shared" si="193"/>
        <v>0</v>
      </c>
      <c r="AS454" s="2">
        <f t="shared" si="194"/>
        <v>0</v>
      </c>
      <c r="AT454" s="2">
        <f>IFERROR(INDEX(Player_Model!$BC$2:$BC$596,MATCH($A454,Player_Model!$A$2:$A$596,0)),0)</f>
        <v>0</v>
      </c>
      <c r="AU454" s="2">
        <f>Table8[[#This Row],[Model Expected Points]]*Table8[[#This Row],[Fixture Adjustment]]</f>
        <v>0</v>
      </c>
      <c r="AV454" s="2">
        <f>Table8[[#This Row],[Fixture Adjusted Points / 90]]/Table8[[#This Row],[Price]]</f>
        <v>0</v>
      </c>
      <c r="AW454">
        <f t="shared" si="195"/>
        <v>0.05</v>
      </c>
      <c r="AX454">
        <f t="shared" si="196"/>
        <v>0</v>
      </c>
      <c r="AY454" s="2">
        <f t="shared" si="197"/>
        <v>0</v>
      </c>
      <c r="AZ454" s="5">
        <f t="shared" si="198"/>
        <v>1.0903373702422146</v>
      </c>
      <c r="BA454">
        <f>Table8[[#This Row],[Model Score2]]</f>
        <v>0</v>
      </c>
      <c r="BB454">
        <f>IFERROR(INDEX(Player_Model!$BG$2:$BG$596,MATCH($A454,Player_Model!$A$2:$A$596,0)),"")</f>
        <v>63</v>
      </c>
      <c r="BC454" t="str">
        <f t="shared" si="199"/>
        <v>AVOID</v>
      </c>
      <c r="BD454">
        <f>IF(H454=1,Table8[[#This Row],[Model Score]],-10000)</f>
        <v>-10000</v>
      </c>
      <c r="BE454">
        <f>IFERROR(INDEX(Player_Model!$BF$2:$BF$596,MATCH($A454,Player_Model!$A$2:$A$596,0)),"")</f>
        <v>253</v>
      </c>
      <c r="BF454">
        <f>IFERROR(INDEX(Player_Model!$BG$2:$BG$596,MATCH($A454,Player_Model!$A$2:$A$596,0)),"")</f>
        <v>63</v>
      </c>
      <c r="BG454">
        <f>IFERROR(INDEX(Player_Model!$BE$2:$BE$596,MATCH($A454,Player_Model!$A$2:$A$596,0)),0)</f>
        <v>0</v>
      </c>
    </row>
    <row r="455" spans="1:59" x14ac:dyDescent="0.25">
      <c r="A455" t="str">
        <f>tblPlayers[first_name]&amp;" "&amp;tblPlayers[second_name]</f>
        <v>Lewis Koumas</v>
      </c>
      <c r="B455" t="str">
        <f>_xlfn.SWITCH(tblPlayers[element_type],1,"GK",2,"DEF",3,"MID",4,"FWD")</f>
        <v>MID</v>
      </c>
      <c r="C455">
        <f>tblPlayers[team]</f>
        <v>14</v>
      </c>
      <c r="D455" t="str">
        <f>INDEX(tblTeams[Column1.short_name],MATCH(C455,tblTeams[Column1.id],0))</f>
        <v>LIV</v>
      </c>
      <c r="E455" s="4">
        <f>INDEX(FPL_Raw_Data!$F:$F,MATCH(A455,FPL_Raw_Data!$AA:$AA,0))/10</f>
        <v>5</v>
      </c>
      <c r="F455" s="4" t="str">
        <f>tblPlayers[[#This Row],[status]]</f>
        <v>a</v>
      </c>
      <c r="G455" s="4" t="b">
        <f>tblPlayers[[#This Row],[can_select]]</f>
        <v>1</v>
      </c>
      <c r="H455">
        <f>IF(AND(Table8[[#This Row],[Availability Status]]="a",Table8[[#This Row],[Can Select]]=TRUE),1,0)</f>
        <v>1</v>
      </c>
      <c r="I455">
        <f>tblPlayers[minutes]</f>
        <v>13</v>
      </c>
      <c r="J455" s="2">
        <f>Table8[[#This Row],[Minutes]]/90</f>
        <v>0.14444444444444443</v>
      </c>
      <c r="K455" s="5">
        <f>IFERROR(Z455/(FIXTURE_ANALYSIS!$B$1-1),0)</f>
        <v>0</v>
      </c>
      <c r="L455">
        <f>tblPlayers[total_points]</f>
        <v>2</v>
      </c>
      <c r="M455">
        <f>tblPlayers[points_per_game]</f>
        <v>1</v>
      </c>
      <c r="N455">
        <f>tblPlayers[form]</f>
        <v>0.7</v>
      </c>
      <c r="O455">
        <f>tblPlayers[expected_goals]</f>
        <v>0.03</v>
      </c>
      <c r="P455">
        <f>tblPlayers[expected_assists]</f>
        <v>0</v>
      </c>
      <c r="Q455">
        <f>tblPlayers[expected_goal_involvements]</f>
        <v>0.03</v>
      </c>
      <c r="R455" s="2">
        <f t="shared" si="175"/>
        <v>13.846153846153847</v>
      </c>
      <c r="S455" s="5">
        <f t="shared" si="176"/>
        <v>0.20769230769230768</v>
      </c>
      <c r="T455" s="5">
        <f t="shared" si="177"/>
        <v>0</v>
      </c>
      <c r="U455" s="5">
        <f t="shared" si="178"/>
        <v>0.20769230769230768</v>
      </c>
      <c r="V455" s="3">
        <f t="shared" si="179"/>
        <v>0.4</v>
      </c>
      <c r="W455" s="5">
        <f t="shared" si="180"/>
        <v>6.0000000000000001E-3</v>
      </c>
      <c r="X455" s="5">
        <f>IFERROR(IF(OR($B455="MID",$B455="FWD"),INDEX(FIXTURE_ANALYSIS!$Q:$Q,MATCH($D455,FIXTURE_ANALYSIS!$A:$A,0)),INDEX(FIXTURE_ANALYSIS!$R:$R,MATCH($D455,FIXTURE_ANALYSIS!$A:$A,0))),1)</f>
        <v>1.0903373702422146</v>
      </c>
      <c r="Y455" s="5">
        <f t="shared" si="181"/>
        <v>1.0903373702422146</v>
      </c>
      <c r="Z455" s="8">
        <f>INDEX(FPL_Raw_Data!$T:$T,MATCH(A455,FPL_Raw_Data!$AA:$AA,0))</f>
        <v>0</v>
      </c>
      <c r="AA455" s="8">
        <f>INDEX(FPL_Raw_Data!$S:$S,MATCH(A455,FPL_Raw_Data!$AA:$AA,0))</f>
        <v>1</v>
      </c>
      <c r="AB455" s="2">
        <f t="shared" si="182"/>
        <v>8.3333333333333329E-2</v>
      </c>
      <c r="AC455" s="2">
        <f>INDEX(FPL_Raw_Data!$Q:$Q,MATCH(A455,FPL_Raw_Data!$AA:$AA,0))</f>
        <v>0</v>
      </c>
      <c r="AD455" s="8">
        <f>INDEX(FPL_Raw_Data!$R:$R,MATCH(A455,FPL_Raw_Data!$AA:$AA,0))</f>
        <v>7</v>
      </c>
      <c r="AE455" s="8">
        <f>INDEX(FPL_Raw_Data!$N:$N,MATCH(A455,FPL_Raw_Data!$AA:$AA,0))</f>
        <v>0</v>
      </c>
      <c r="AF455" s="8">
        <f>INDEX(FPL_Raw_Data!$L:$L,MATCH(A455,FPL_Raw_Data!$AA:$AA,0))</f>
        <v>0</v>
      </c>
      <c r="AG455" s="2">
        <f>INDEX(FPL_Raw_Data!$M:$M,MATCH(A455,FPL_Raw_Data!$AA:$AA,0))</f>
        <v>0</v>
      </c>
      <c r="AH455" s="2">
        <f t="shared" si="183"/>
        <v>1.0384615384615383</v>
      </c>
      <c r="AI455" s="2">
        <f t="shared" si="184"/>
        <v>0</v>
      </c>
      <c r="AJ455" s="2">
        <f t="shared" si="185"/>
        <v>0</v>
      </c>
      <c r="AK455" s="2">
        <f t="shared" si="186"/>
        <v>0.16666666666666666</v>
      </c>
      <c r="AL455" s="2">
        <f t="shared" si="187"/>
        <v>0</v>
      </c>
      <c r="AM455" s="2">
        <f t="shared" si="188"/>
        <v>0</v>
      </c>
      <c r="AN455" s="2">
        <f t="shared" si="189"/>
        <v>0</v>
      </c>
      <c r="AO455" s="3">
        <f t="shared" si="190"/>
        <v>95.7</v>
      </c>
      <c r="AP455">
        <f t="shared" si="191"/>
        <v>76.7</v>
      </c>
      <c r="AQ455">
        <f t="shared" si="192"/>
        <v>53.300000000000004</v>
      </c>
      <c r="AR455">
        <f t="shared" si="193"/>
        <v>56.999999999999993</v>
      </c>
      <c r="AS455" s="2">
        <f t="shared" si="194"/>
        <v>0</v>
      </c>
      <c r="AT455" s="2">
        <f>IFERROR(INDEX(Player_Model!$BC$2:$BC$596,MATCH($A455,Player_Model!$A$2:$A$596,0)),0)</f>
        <v>0</v>
      </c>
      <c r="AU455" s="2">
        <f>Table8[[#This Row],[Model Expected Points]]*Table8[[#This Row],[Fixture Adjustment]]</f>
        <v>0</v>
      </c>
      <c r="AV455" s="2">
        <f>Table8[[#This Row],[Fixture Adjusted Points / 90]]/Table8[[#This Row],[Price]]</f>
        <v>0</v>
      </c>
      <c r="AW455">
        <f t="shared" si="195"/>
        <v>86.2</v>
      </c>
      <c r="AX455">
        <f t="shared" si="196"/>
        <v>8.3333333333333329E-2</v>
      </c>
      <c r="AY455" s="2">
        <f t="shared" si="197"/>
        <v>0</v>
      </c>
      <c r="AZ455" s="5">
        <f t="shared" si="198"/>
        <v>1.0903373702422146</v>
      </c>
      <c r="BA455">
        <f>Table8[[#This Row],[Model Score2]]</f>
        <v>0</v>
      </c>
      <c r="BB455">
        <f>IFERROR(INDEX(Player_Model!$BG$2:$BG$596,MATCH($A455,Player_Model!$A$2:$A$596,0)),"")</f>
        <v>230</v>
      </c>
      <c r="BC455" t="str">
        <f t="shared" si="199"/>
        <v>AVOID</v>
      </c>
      <c r="BD455">
        <f>IF(H455=1,Table8[[#This Row],[Model Score]],-10000)</f>
        <v>0</v>
      </c>
      <c r="BE455">
        <f>IFERROR(INDEX(Player_Model!$BF$2:$BF$596,MATCH($A455,Player_Model!$A$2:$A$596,0)),"")</f>
        <v>253</v>
      </c>
      <c r="BF455">
        <f>IFERROR(INDEX(Player_Model!$BG$2:$BG$596,MATCH($A455,Player_Model!$A$2:$A$596,0)),"")</f>
        <v>230</v>
      </c>
      <c r="BG455">
        <f>IFERROR(INDEX(Player_Model!$BE$2:$BE$596,MATCH($A455,Player_Model!$A$2:$A$596,0)),0)</f>
        <v>0</v>
      </c>
    </row>
    <row r="456" spans="1:59" x14ac:dyDescent="0.25">
      <c r="A456" t="str">
        <f>tblPlayers[first_name]&amp;" "&amp;tblPlayers[second_name]</f>
        <v>Jayden Danns</v>
      </c>
      <c r="B456" t="str">
        <f>_xlfn.SWITCH(tblPlayers[element_type],1,"GK",2,"DEF",3,"MID",4,"FWD")</f>
        <v>FWD</v>
      </c>
      <c r="C456">
        <f>tblPlayers[team]</f>
        <v>14</v>
      </c>
      <c r="D456" t="str">
        <f>INDEX(tblTeams[Column1.short_name],MATCH(C456,tblTeams[Column1.id],0))</f>
        <v>LIV</v>
      </c>
      <c r="E456" s="4">
        <f>INDEX(FPL_Raw_Data!$F:$F,MATCH(A456,FPL_Raw_Data!$AA:$AA,0))/10</f>
        <v>4.5</v>
      </c>
      <c r="F456" s="4" t="str">
        <f>tblPlayers[[#This Row],[status]]</f>
        <v>a</v>
      </c>
      <c r="G456" s="4" t="b">
        <f>tblPlayers[[#This Row],[can_select]]</f>
        <v>1</v>
      </c>
      <c r="H456">
        <f>IF(AND(Table8[[#This Row],[Availability Status]]="a",Table8[[#This Row],[Can Select]]=TRUE),1,0)</f>
        <v>1</v>
      </c>
      <c r="I456">
        <f>tblPlayers[minutes]</f>
        <v>0</v>
      </c>
      <c r="J456" s="2">
        <f>Table8[[#This Row],[Minutes]]/90</f>
        <v>0</v>
      </c>
      <c r="K456" s="5">
        <f>IFERROR(Z456/(FIXTURE_ANALYSIS!$B$1-1),0)</f>
        <v>0</v>
      </c>
      <c r="L456">
        <f>tblPlayers[total_points]</f>
        <v>0</v>
      </c>
      <c r="M456">
        <f>tblPlayers[points_per_game]</f>
        <v>0</v>
      </c>
      <c r="N456">
        <f>tblPlayers[form]</f>
        <v>0</v>
      </c>
      <c r="O456">
        <f>tblPlayers[expected_goals]</f>
        <v>0</v>
      </c>
      <c r="P456">
        <f>tblPlayers[expected_assists]</f>
        <v>0</v>
      </c>
      <c r="Q456">
        <f>tblPlayers[expected_goal_involvements]</f>
        <v>0</v>
      </c>
      <c r="R456" s="2">
        <f t="shared" si="175"/>
        <v>0</v>
      </c>
      <c r="S456" s="5">
        <f t="shared" si="176"/>
        <v>0</v>
      </c>
      <c r="T456" s="5">
        <f t="shared" si="177"/>
        <v>0</v>
      </c>
      <c r="U456" s="5">
        <f t="shared" si="178"/>
        <v>0</v>
      </c>
      <c r="V456" s="3">
        <f t="shared" si="179"/>
        <v>0</v>
      </c>
      <c r="W456" s="5">
        <f t="shared" si="180"/>
        <v>0</v>
      </c>
      <c r="X456" s="5">
        <f>IFERROR(IF(OR($B456="MID",$B456="FWD"),INDEX(FIXTURE_ANALYSIS!$Q:$Q,MATCH($D456,FIXTURE_ANALYSIS!$A:$A,0)),INDEX(FIXTURE_ANALYSIS!$R:$R,MATCH($D456,FIXTURE_ANALYSIS!$A:$A,0))),1)</f>
        <v>1.0903373702422146</v>
      </c>
      <c r="Y456" s="5">
        <f t="shared" si="181"/>
        <v>1.0903373702422146</v>
      </c>
      <c r="Z456" s="8">
        <f>INDEX(FPL_Raw_Data!$T:$T,MATCH(A456,FPL_Raw_Data!$AA:$AA,0))</f>
        <v>0</v>
      </c>
      <c r="AA456" s="8">
        <f>INDEX(FPL_Raw_Data!$S:$S,MATCH(A456,FPL_Raw_Data!$AA:$AA,0))</f>
        <v>0</v>
      </c>
      <c r="AB456" s="2">
        <f t="shared" si="182"/>
        <v>0</v>
      </c>
      <c r="AC456" s="2">
        <f>INDEX(FPL_Raw_Data!$Q:$Q,MATCH(A456,FPL_Raw_Data!$AA:$AA,0))</f>
        <v>0</v>
      </c>
      <c r="AD456" s="8">
        <f>INDEX(FPL_Raw_Data!$R:$R,MATCH(A456,FPL_Raw_Data!$AA:$AA,0))</f>
        <v>0</v>
      </c>
      <c r="AE456" s="8">
        <f>INDEX(FPL_Raw_Data!$N:$N,MATCH(A456,FPL_Raw_Data!$AA:$AA,0))</f>
        <v>0</v>
      </c>
      <c r="AF456" s="8">
        <f>INDEX(FPL_Raw_Data!$L:$L,MATCH(A456,FPL_Raw_Data!$AA:$AA,0))</f>
        <v>0</v>
      </c>
      <c r="AG456" s="2">
        <f>INDEX(FPL_Raw_Data!$M:$M,MATCH(A456,FPL_Raw_Data!$AA:$AA,0))</f>
        <v>0</v>
      </c>
      <c r="AH456" s="2">
        <f t="shared" si="183"/>
        <v>0</v>
      </c>
      <c r="AI456" s="2">
        <f t="shared" si="184"/>
        <v>0</v>
      </c>
      <c r="AJ456" s="2">
        <f t="shared" si="185"/>
        <v>0</v>
      </c>
      <c r="AK456" s="2">
        <f t="shared" si="186"/>
        <v>0</v>
      </c>
      <c r="AL456" s="2">
        <f t="shared" si="187"/>
        <v>0</v>
      </c>
      <c r="AM456" s="2">
        <f t="shared" si="188"/>
        <v>0</v>
      </c>
      <c r="AN456" s="2">
        <f t="shared" si="189"/>
        <v>0</v>
      </c>
      <c r="AO456" s="3">
        <f t="shared" si="190"/>
        <v>0.1</v>
      </c>
      <c r="AP456">
        <f t="shared" si="191"/>
        <v>0</v>
      </c>
      <c r="AQ456">
        <f t="shared" si="192"/>
        <v>0.1</v>
      </c>
      <c r="AR456">
        <f t="shared" si="193"/>
        <v>0</v>
      </c>
      <c r="AS456" s="2">
        <f t="shared" si="194"/>
        <v>0</v>
      </c>
      <c r="AT456" s="2">
        <f>IFERROR(INDEX(Player_Model!$BC$2:$BC$596,MATCH($A456,Player_Model!$A$2:$A$596,0)),0)</f>
        <v>0</v>
      </c>
      <c r="AU456" s="2">
        <f>Table8[[#This Row],[Model Expected Points]]*Table8[[#This Row],[Fixture Adjustment]]</f>
        <v>0</v>
      </c>
      <c r="AV456" s="2">
        <f>Table8[[#This Row],[Fixture Adjusted Points / 90]]/Table8[[#This Row],[Price]]</f>
        <v>0</v>
      </c>
      <c r="AW456">
        <f t="shared" si="195"/>
        <v>0.05</v>
      </c>
      <c r="AX456">
        <f t="shared" si="196"/>
        <v>0</v>
      </c>
      <c r="AY456" s="2">
        <f t="shared" si="197"/>
        <v>0</v>
      </c>
      <c r="AZ456" s="5">
        <f t="shared" si="198"/>
        <v>1.0903373702422146</v>
      </c>
      <c r="BA456">
        <f>Table8[[#This Row],[Model Score2]]</f>
        <v>0</v>
      </c>
      <c r="BB456">
        <f>IFERROR(INDEX(Player_Model!$BG$2:$BG$596,MATCH($A456,Player_Model!$A$2:$A$596,0)),"")</f>
        <v>64</v>
      </c>
      <c r="BC456" t="str">
        <f t="shared" si="199"/>
        <v>AVOID</v>
      </c>
      <c r="BD456">
        <f>IF(H456=1,Table8[[#This Row],[Model Score]],-10000)</f>
        <v>0</v>
      </c>
      <c r="BE456">
        <f>IFERROR(INDEX(Player_Model!$BF$2:$BF$596,MATCH($A456,Player_Model!$A$2:$A$596,0)),"")</f>
        <v>253</v>
      </c>
      <c r="BF456">
        <f>IFERROR(INDEX(Player_Model!$BG$2:$BG$596,MATCH($A456,Player_Model!$A$2:$A$596,0)),"")</f>
        <v>64</v>
      </c>
      <c r="BG456">
        <f>IFERROR(INDEX(Player_Model!$BE$2:$BE$596,MATCH($A456,Player_Model!$A$2:$A$596,0)),0)</f>
        <v>0</v>
      </c>
    </row>
    <row r="457" spans="1:59" x14ac:dyDescent="0.25">
      <c r="A457" t="str">
        <f>tblPlayers[first_name]&amp;" "&amp;tblPlayers[second_name]</f>
        <v>Harvey Elliott</v>
      </c>
      <c r="B457" t="str">
        <f>_xlfn.SWITCH(tblPlayers[element_type],1,"GK",2,"DEF",3,"MID",4,"FWD")</f>
        <v>MID</v>
      </c>
      <c r="C457">
        <f>tblPlayers[team]</f>
        <v>14</v>
      </c>
      <c r="D457" t="str">
        <f>INDEX(tblTeams[Column1.short_name],MATCH(C457,tblTeams[Column1.id],0))</f>
        <v>LIV</v>
      </c>
      <c r="E457" s="4">
        <f>INDEX(FPL_Raw_Data!$F:$F,MATCH(A457,FPL_Raw_Data!$AA:$AA,0))/10</f>
        <v>5.4</v>
      </c>
      <c r="F457" s="4" t="str">
        <f>tblPlayers[[#This Row],[status]]</f>
        <v>u</v>
      </c>
      <c r="G457" s="4" t="b">
        <f>tblPlayers[[#This Row],[can_select]]</f>
        <v>0</v>
      </c>
      <c r="H457">
        <f>IF(AND(Table8[[#This Row],[Availability Status]]="a",Table8[[#This Row],[Can Select]]=TRUE),1,0)</f>
        <v>0</v>
      </c>
      <c r="I457">
        <f>tblPlayers[minutes]</f>
        <v>0</v>
      </c>
      <c r="J457" s="2">
        <f>Table8[[#This Row],[Minutes]]/90</f>
        <v>0</v>
      </c>
      <c r="K457" s="5">
        <f>IFERROR(Z457/(FIXTURE_ANALYSIS!$B$1-1),0)</f>
        <v>0</v>
      </c>
      <c r="L457">
        <f>tblPlayers[total_points]</f>
        <v>0</v>
      </c>
      <c r="M457">
        <f>tblPlayers[points_per_game]</f>
        <v>0</v>
      </c>
      <c r="N457">
        <f>tblPlayers[form]</f>
        <v>0</v>
      </c>
      <c r="O457">
        <f>tblPlayers[expected_goals]</f>
        <v>0</v>
      </c>
      <c r="P457">
        <f>tblPlayers[expected_assists]</f>
        <v>0</v>
      </c>
      <c r="Q457">
        <f>tblPlayers[expected_goal_involvements]</f>
        <v>0</v>
      </c>
      <c r="R457" s="2">
        <f t="shared" si="175"/>
        <v>0</v>
      </c>
      <c r="S457" s="5">
        <f t="shared" si="176"/>
        <v>0</v>
      </c>
      <c r="T457" s="5">
        <f t="shared" si="177"/>
        <v>0</v>
      </c>
      <c r="U457" s="5">
        <f t="shared" si="178"/>
        <v>0</v>
      </c>
      <c r="V457" s="3">
        <f t="shared" si="179"/>
        <v>0</v>
      </c>
      <c r="W457" s="5">
        <f t="shared" si="180"/>
        <v>0</v>
      </c>
      <c r="X457" s="5">
        <f>IFERROR(IF(OR($B457="MID",$B457="FWD"),INDEX(FIXTURE_ANALYSIS!$Q:$Q,MATCH($D457,FIXTURE_ANALYSIS!$A:$A,0)),INDEX(FIXTURE_ANALYSIS!$R:$R,MATCH($D457,FIXTURE_ANALYSIS!$A:$A,0))),1)</f>
        <v>1.0903373702422146</v>
      </c>
      <c r="Y457" s="5">
        <f t="shared" si="181"/>
        <v>1.0903373702422146</v>
      </c>
      <c r="Z457" s="8">
        <f>INDEX(FPL_Raw_Data!$T:$T,MATCH(A457,FPL_Raw_Data!$AA:$AA,0))</f>
        <v>0</v>
      </c>
      <c r="AA457" s="8">
        <f>INDEX(FPL_Raw_Data!$S:$S,MATCH(A457,FPL_Raw_Data!$AA:$AA,0))</f>
        <v>0</v>
      </c>
      <c r="AB457" s="2">
        <f t="shared" si="182"/>
        <v>0</v>
      </c>
      <c r="AC457" s="2">
        <f>INDEX(FPL_Raw_Data!$Q:$Q,MATCH(A457,FPL_Raw_Data!$AA:$AA,0))</f>
        <v>0</v>
      </c>
      <c r="AD457" s="8">
        <f>INDEX(FPL_Raw_Data!$R:$R,MATCH(A457,FPL_Raw_Data!$AA:$AA,0))</f>
        <v>0</v>
      </c>
      <c r="AE457" s="8">
        <f>INDEX(FPL_Raw_Data!$N:$N,MATCH(A457,FPL_Raw_Data!$AA:$AA,0))</f>
        <v>0</v>
      </c>
      <c r="AF457" s="8">
        <f>INDEX(FPL_Raw_Data!$L:$L,MATCH(A457,FPL_Raw_Data!$AA:$AA,0))</f>
        <v>0</v>
      </c>
      <c r="AG457" s="2">
        <f>INDEX(FPL_Raw_Data!$M:$M,MATCH(A457,FPL_Raw_Data!$AA:$AA,0))</f>
        <v>0</v>
      </c>
      <c r="AH457" s="2">
        <f t="shared" si="183"/>
        <v>0</v>
      </c>
      <c r="AI457" s="2">
        <f t="shared" si="184"/>
        <v>0</v>
      </c>
      <c r="AJ457" s="2">
        <f t="shared" si="185"/>
        <v>0</v>
      </c>
      <c r="AK457" s="2">
        <f t="shared" si="186"/>
        <v>0</v>
      </c>
      <c r="AL457" s="2">
        <f t="shared" si="187"/>
        <v>0</v>
      </c>
      <c r="AM457" s="2">
        <f t="shared" si="188"/>
        <v>0</v>
      </c>
      <c r="AN457" s="2">
        <f t="shared" si="189"/>
        <v>0</v>
      </c>
      <c r="AO457" s="3">
        <f t="shared" si="190"/>
        <v>0.1</v>
      </c>
      <c r="AP457">
        <f t="shared" si="191"/>
        <v>0</v>
      </c>
      <c r="AQ457">
        <f t="shared" si="192"/>
        <v>0.1</v>
      </c>
      <c r="AR457">
        <f t="shared" si="193"/>
        <v>0</v>
      </c>
      <c r="AS457" s="2">
        <f t="shared" si="194"/>
        <v>0</v>
      </c>
      <c r="AT457" s="2">
        <f>IFERROR(INDEX(Player_Model!$BC$2:$BC$596,MATCH($A457,Player_Model!$A$2:$A$596,0)),0)</f>
        <v>0</v>
      </c>
      <c r="AU457" s="2">
        <f>Table8[[#This Row],[Model Expected Points]]*Table8[[#This Row],[Fixture Adjustment]]</f>
        <v>0</v>
      </c>
      <c r="AV457" s="2">
        <f>Table8[[#This Row],[Fixture Adjusted Points / 90]]/Table8[[#This Row],[Price]]</f>
        <v>0</v>
      </c>
      <c r="AW457">
        <f t="shared" si="195"/>
        <v>0.05</v>
      </c>
      <c r="AX457">
        <f t="shared" si="196"/>
        <v>0</v>
      </c>
      <c r="AY457" s="2">
        <f t="shared" si="197"/>
        <v>0</v>
      </c>
      <c r="AZ457" s="5">
        <f t="shared" si="198"/>
        <v>1.0903373702422146</v>
      </c>
      <c r="BA457">
        <f>Table8[[#This Row],[Model Score2]]</f>
        <v>0</v>
      </c>
      <c r="BB457">
        <f>IFERROR(INDEX(Player_Model!$BG$2:$BG$596,MATCH($A457,Player_Model!$A$2:$A$596,0)),"")</f>
        <v>231</v>
      </c>
      <c r="BC457" t="str">
        <f t="shared" si="199"/>
        <v>AVOID</v>
      </c>
      <c r="BD457">
        <f>IF(H457=1,Table8[[#This Row],[Model Score]],-10000)</f>
        <v>-10000</v>
      </c>
      <c r="BE457">
        <f>IFERROR(INDEX(Player_Model!$BF$2:$BF$596,MATCH($A457,Player_Model!$A$2:$A$596,0)),"")</f>
        <v>253</v>
      </c>
      <c r="BF457">
        <f>IFERROR(INDEX(Player_Model!$BG$2:$BG$596,MATCH($A457,Player_Model!$A$2:$A$596,0)),"")</f>
        <v>231</v>
      </c>
      <c r="BG457">
        <f>IFERROR(INDEX(Player_Model!$BE$2:$BE$596,MATCH($A457,Player_Model!$A$2:$A$596,0)),0)</f>
        <v>0</v>
      </c>
    </row>
    <row r="458" spans="1:59" x14ac:dyDescent="0.25">
      <c r="A458" t="str">
        <f>tblPlayers[first_name]&amp;" "&amp;tblPlayers[second_name]</f>
        <v>Ronald Araujo</v>
      </c>
      <c r="B458" t="str">
        <f>_xlfn.SWITCH(tblPlayers[element_type],1,"GK",2,"DEF",3,"MID",4,"FWD")</f>
        <v>DEF</v>
      </c>
      <c r="C458">
        <f>tblPlayers[team]</f>
        <v>14</v>
      </c>
      <c r="D458" t="str">
        <f>INDEX(tblTeams[Column1.short_name],MATCH(C458,tblTeams[Column1.id],0))</f>
        <v>LIV</v>
      </c>
      <c r="E458" s="4">
        <f>INDEX(FPL_Raw_Data!$F:$F,MATCH(A458,FPL_Raw_Data!$AA:$AA,0))/10</f>
        <v>5.4</v>
      </c>
      <c r="F458" s="4" t="str">
        <f>tblPlayers[[#This Row],[status]]</f>
        <v>a</v>
      </c>
      <c r="G458" s="4" t="b">
        <f>tblPlayers[[#This Row],[can_select]]</f>
        <v>1</v>
      </c>
      <c r="H458">
        <f>IF(AND(Table8[[#This Row],[Availability Status]]="a",Table8[[#This Row],[Can Select]]=TRUE),1,0)</f>
        <v>1</v>
      </c>
      <c r="I458">
        <f>tblPlayers[minutes]</f>
        <v>123</v>
      </c>
      <c r="J458" s="2">
        <f>Table8[[#This Row],[Minutes]]/90</f>
        <v>1.3666666666666667</v>
      </c>
      <c r="K458" s="5">
        <f>IFERROR(Z458/(FIXTURE_ANALYSIS!$B$1-1),0)</f>
        <v>0.33333333333333331</v>
      </c>
      <c r="L458">
        <f>tblPlayers[total_points]</f>
        <v>9</v>
      </c>
      <c r="M458">
        <f>tblPlayers[points_per_game]</f>
        <v>3</v>
      </c>
      <c r="N458">
        <f>tblPlayers[form]</f>
        <v>3</v>
      </c>
      <c r="O458">
        <f>tblPlayers[expected_goals]</f>
        <v>0</v>
      </c>
      <c r="P458">
        <f>tblPlayers[expected_assists]</f>
        <v>0.05</v>
      </c>
      <c r="Q458">
        <f>tblPlayers[expected_goal_involvements]</f>
        <v>0.05</v>
      </c>
      <c r="R458" s="2">
        <f t="shared" si="175"/>
        <v>6.5853658536585362</v>
      </c>
      <c r="S458" s="5">
        <f t="shared" si="176"/>
        <v>0</v>
      </c>
      <c r="T458" s="5">
        <f t="shared" si="177"/>
        <v>3.6585365853658534E-2</v>
      </c>
      <c r="U458" s="5">
        <f t="shared" si="178"/>
        <v>3.6585365853658534E-2</v>
      </c>
      <c r="V458" s="3">
        <f t="shared" si="179"/>
        <v>1.6666666666666665</v>
      </c>
      <c r="W458" s="5">
        <f t="shared" si="180"/>
        <v>9.2592592592592587E-3</v>
      </c>
      <c r="X458" s="5">
        <f>IFERROR(IF(OR($B458="MID",$B458="FWD"),INDEX(FIXTURE_ANALYSIS!$Q:$Q,MATCH($D458,FIXTURE_ANALYSIS!$A:$A,0)),INDEX(FIXTURE_ANALYSIS!$R:$R,MATCH($D458,FIXTURE_ANALYSIS!$A:$A,0))),1)</f>
        <v>0.96585312585312599</v>
      </c>
      <c r="Y458" s="5">
        <f t="shared" si="181"/>
        <v>0.96585312585312599</v>
      </c>
      <c r="Z458" s="8">
        <f>INDEX(FPL_Raw_Data!$T:$T,MATCH(A458,FPL_Raw_Data!$AA:$AA,0))</f>
        <v>1</v>
      </c>
      <c r="AA458" s="8">
        <f>INDEX(FPL_Raw_Data!$S:$S,MATCH(A458,FPL_Raw_Data!$AA:$AA,0))</f>
        <v>15</v>
      </c>
      <c r="AB458" s="2">
        <f t="shared" si="182"/>
        <v>1</v>
      </c>
      <c r="AC458" s="2">
        <f>INDEX(FPL_Raw_Data!$Q:$Q,MATCH(A458,FPL_Raw_Data!$AA:$AA,0))</f>
        <v>0</v>
      </c>
      <c r="AD458" s="8">
        <f>INDEX(FPL_Raw_Data!$R:$R,MATCH(A458,FPL_Raw_Data!$AA:$AA,0))</f>
        <v>29</v>
      </c>
      <c r="AE458" s="8">
        <f>INDEX(FPL_Raw_Data!$N:$N,MATCH(A458,FPL_Raw_Data!$AA:$AA,0))</f>
        <v>1</v>
      </c>
      <c r="AF458" s="8">
        <f>INDEX(FPL_Raw_Data!$L:$L,MATCH(A458,FPL_Raw_Data!$AA:$AA,0))</f>
        <v>0</v>
      </c>
      <c r="AG458" s="2">
        <f>INDEX(FPL_Raw_Data!$M:$M,MATCH(A458,FPL_Raw_Data!$AA:$AA,0))</f>
        <v>0</v>
      </c>
      <c r="AH458" s="2">
        <f t="shared" si="183"/>
        <v>0</v>
      </c>
      <c r="AI458" s="2">
        <f t="shared" si="184"/>
        <v>0.1097560975609756</v>
      </c>
      <c r="AJ458" s="2">
        <f t="shared" si="185"/>
        <v>0.66666666666666663</v>
      </c>
      <c r="AK458" s="2">
        <f t="shared" si="186"/>
        <v>2</v>
      </c>
      <c r="AL458" s="2">
        <f t="shared" si="187"/>
        <v>1</v>
      </c>
      <c r="AM458" s="2">
        <f t="shared" si="188"/>
        <v>4</v>
      </c>
      <c r="AN458" s="2">
        <f t="shared" si="189"/>
        <v>0</v>
      </c>
      <c r="AO458" s="3">
        <f t="shared" si="190"/>
        <v>84.3</v>
      </c>
      <c r="AP458">
        <f t="shared" si="191"/>
        <v>58.5</v>
      </c>
      <c r="AQ458">
        <f t="shared" si="192"/>
        <v>81.899999999999991</v>
      </c>
      <c r="AR458">
        <f t="shared" si="193"/>
        <v>59.699999999999996</v>
      </c>
      <c r="AS458" s="2">
        <f t="shared" si="194"/>
        <v>33.333333333333329</v>
      </c>
      <c r="AT458" s="2">
        <f>IFERROR(INDEX(Player_Model!$BC$2:$BC$596,MATCH($A458,Player_Model!$A$2:$A$596,0)),0)</f>
        <v>5.2253362745688756</v>
      </c>
      <c r="AU458" s="2">
        <f>Table8[[#This Row],[Model Expected Points]]*Table8[[#This Row],[Fixture Adjustment]]</f>
        <v>5.0469073744260768</v>
      </c>
      <c r="AV458" s="2">
        <f>Table8[[#This Row],[Fixture Adjusted Points / 90]]/Table8[[#This Row],[Price]]</f>
        <v>0.93461247674556969</v>
      </c>
      <c r="AW458">
        <f t="shared" si="195"/>
        <v>58.5</v>
      </c>
      <c r="AX458">
        <f t="shared" si="196"/>
        <v>0.982926562926563</v>
      </c>
      <c r="AY458" s="2">
        <f t="shared" si="197"/>
        <v>33.333333333333329</v>
      </c>
      <c r="AZ458" s="5">
        <f t="shared" si="198"/>
        <v>0.96585312585312599</v>
      </c>
      <c r="BA458">
        <f>Table8[[#This Row],[Model Score2]]</f>
        <v>5.2253362745688756</v>
      </c>
      <c r="BB458">
        <f>IFERROR(INDEX(Player_Model!$BG$2:$BG$596,MATCH($A458,Player_Model!$A$2:$A$596,0)),"")</f>
        <v>33</v>
      </c>
      <c r="BC458" t="str">
        <f t="shared" si="199"/>
        <v>AVOID</v>
      </c>
      <c r="BD458">
        <f>IF(H458=1,Table8[[#This Row],[Model Score]],-10000)</f>
        <v>5.2253362745688756</v>
      </c>
      <c r="BE458">
        <f>IFERROR(INDEX(Player_Model!$BF$2:$BF$596,MATCH($A458,Player_Model!$A$2:$A$596,0)),"")</f>
        <v>82</v>
      </c>
      <c r="BF458">
        <f>IFERROR(INDEX(Player_Model!$BG$2:$BG$596,MATCH($A458,Player_Model!$A$2:$A$596,0)),"")</f>
        <v>33</v>
      </c>
      <c r="BG458">
        <f>IFERROR(INDEX(Player_Model!$BE$2:$BE$596,MATCH($A458,Player_Model!$A$2:$A$596,0)),0)</f>
        <v>5.2253362745688756</v>
      </c>
    </row>
    <row r="459" spans="1:59" x14ac:dyDescent="0.25">
      <c r="A459" t="str">
        <f>tblPlayers[first_name]&amp;" "&amp;tblPlayers[second_name]</f>
        <v>Bradley Barcola</v>
      </c>
      <c r="B459" t="str">
        <f>_xlfn.SWITCH(tblPlayers[element_type],1,"GK",2,"DEF",3,"MID",4,"FWD")</f>
        <v>MID</v>
      </c>
      <c r="C459">
        <f>tblPlayers[team]</f>
        <v>14</v>
      </c>
      <c r="D459" t="str">
        <f>INDEX(tblTeams[Column1.short_name],MATCH(C459,tblTeams[Column1.id],0))</f>
        <v>LIV</v>
      </c>
      <c r="E459" s="4">
        <f>INDEX(FPL_Raw_Data!$F:$F,MATCH(A459,FPL_Raw_Data!$AA:$AA,0))/10</f>
        <v>8</v>
      </c>
      <c r="F459" s="4" t="str">
        <f>tblPlayers[[#This Row],[status]]</f>
        <v>a</v>
      </c>
      <c r="G459" s="4" t="b">
        <f>tblPlayers[[#This Row],[can_select]]</f>
        <v>1</v>
      </c>
      <c r="H459">
        <f>IF(AND(Table8[[#This Row],[Availability Status]]="a",Table8[[#This Row],[Can Select]]=TRUE),1,0)</f>
        <v>1</v>
      </c>
      <c r="I459">
        <f>tblPlayers[minutes]</f>
        <v>26</v>
      </c>
      <c r="J459" s="2">
        <f>Table8[[#This Row],[Minutes]]/90</f>
        <v>0.28888888888888886</v>
      </c>
      <c r="K459" s="5">
        <f>IFERROR(Z459/(FIXTURE_ANALYSIS!$B$1-1),0)</f>
        <v>0</v>
      </c>
      <c r="L459">
        <f>tblPlayers[total_points]</f>
        <v>1</v>
      </c>
      <c r="M459">
        <f>tblPlayers[points_per_game]</f>
        <v>1</v>
      </c>
      <c r="N459">
        <f>tblPlayers[form]</f>
        <v>1</v>
      </c>
      <c r="O459">
        <f>tblPlayers[expected_goals]</f>
        <v>0</v>
      </c>
      <c r="P459">
        <f>tblPlayers[expected_assists]</f>
        <v>7.0000000000000007E-2</v>
      </c>
      <c r="Q459">
        <f>tblPlayers[expected_goal_involvements]</f>
        <v>7.0000000000000007E-2</v>
      </c>
      <c r="R459" s="2">
        <f t="shared" si="175"/>
        <v>3.4615384615384617</v>
      </c>
      <c r="S459" s="5">
        <f t="shared" si="176"/>
        <v>0</v>
      </c>
      <c r="T459" s="5">
        <f t="shared" si="177"/>
        <v>0.24230769230769234</v>
      </c>
      <c r="U459" s="5">
        <f t="shared" si="178"/>
        <v>0.24230769230769234</v>
      </c>
      <c r="V459" s="3">
        <f t="shared" si="179"/>
        <v>0.125</v>
      </c>
      <c r="W459" s="5">
        <f t="shared" si="180"/>
        <v>8.7500000000000008E-3</v>
      </c>
      <c r="X459" s="5">
        <f>IFERROR(IF(OR($B459="MID",$B459="FWD"),INDEX(FIXTURE_ANALYSIS!$Q:$Q,MATCH($D459,FIXTURE_ANALYSIS!$A:$A,0)),INDEX(FIXTURE_ANALYSIS!$R:$R,MATCH($D459,FIXTURE_ANALYSIS!$A:$A,0))),1)</f>
        <v>1.0903373702422146</v>
      </c>
      <c r="Y459" s="5">
        <f t="shared" si="181"/>
        <v>1.0903373702422146</v>
      </c>
      <c r="Z459" s="8">
        <f>INDEX(FPL_Raw_Data!$T:$T,MATCH(A459,FPL_Raw_Data!$AA:$AA,0))</f>
        <v>0</v>
      </c>
      <c r="AA459" s="8">
        <f>INDEX(FPL_Raw_Data!$S:$S,MATCH(A459,FPL_Raw_Data!$AA:$AA,0))</f>
        <v>0</v>
      </c>
      <c r="AB459" s="2">
        <f t="shared" si="182"/>
        <v>0</v>
      </c>
      <c r="AC459" s="2">
        <f>INDEX(FPL_Raw_Data!$Q:$Q,MATCH(A459,FPL_Raw_Data!$AA:$AA,0))</f>
        <v>0</v>
      </c>
      <c r="AD459" s="8">
        <f>INDEX(FPL_Raw_Data!$R:$R,MATCH(A459,FPL_Raw_Data!$AA:$AA,0))</f>
        <v>5</v>
      </c>
      <c r="AE459" s="8">
        <f>INDEX(FPL_Raw_Data!$N:$N,MATCH(A459,FPL_Raw_Data!$AA:$AA,0))</f>
        <v>0</v>
      </c>
      <c r="AF459" s="8">
        <f>INDEX(FPL_Raw_Data!$L:$L,MATCH(A459,FPL_Raw_Data!$AA:$AA,0))</f>
        <v>0</v>
      </c>
      <c r="AG459" s="2">
        <f>INDEX(FPL_Raw_Data!$M:$M,MATCH(A459,FPL_Raw_Data!$AA:$AA,0))</f>
        <v>0</v>
      </c>
      <c r="AH459" s="2">
        <f t="shared" si="183"/>
        <v>0</v>
      </c>
      <c r="AI459" s="2">
        <f t="shared" si="184"/>
        <v>0.72692307692307701</v>
      </c>
      <c r="AJ459" s="2">
        <f t="shared" si="185"/>
        <v>0</v>
      </c>
      <c r="AK459" s="2">
        <f t="shared" si="186"/>
        <v>0</v>
      </c>
      <c r="AL459" s="2">
        <f t="shared" si="187"/>
        <v>0</v>
      </c>
      <c r="AM459" s="2">
        <f t="shared" si="188"/>
        <v>0</v>
      </c>
      <c r="AN459" s="2">
        <f t="shared" si="189"/>
        <v>0</v>
      </c>
      <c r="AO459" s="3">
        <f t="shared" si="190"/>
        <v>65.100000000000009</v>
      </c>
      <c r="AP459">
        <f t="shared" si="191"/>
        <v>79.900000000000006</v>
      </c>
      <c r="AQ459">
        <f t="shared" si="192"/>
        <v>41</v>
      </c>
      <c r="AR459">
        <f t="shared" si="193"/>
        <v>59.199999999999996</v>
      </c>
      <c r="AS459" s="2">
        <f t="shared" si="194"/>
        <v>0</v>
      </c>
      <c r="AT459" s="2">
        <f>IFERROR(INDEX(Player_Model!$BC$2:$BC$596,MATCH($A459,Player_Model!$A$2:$A$596,0)),0)</f>
        <v>0</v>
      </c>
      <c r="AU459" s="2">
        <f>Table8[[#This Row],[Model Expected Points]]*Table8[[#This Row],[Fixture Adjustment]]</f>
        <v>0</v>
      </c>
      <c r="AV459" s="2">
        <f>Table8[[#This Row],[Fixture Adjusted Points / 90]]/Table8[[#This Row],[Price]]</f>
        <v>0</v>
      </c>
      <c r="AW459">
        <f t="shared" si="195"/>
        <v>72.5</v>
      </c>
      <c r="AX459">
        <f t="shared" si="196"/>
        <v>0</v>
      </c>
      <c r="AY459" s="2">
        <f t="shared" si="197"/>
        <v>0</v>
      </c>
      <c r="AZ459" s="5">
        <f t="shared" si="198"/>
        <v>1.0903373702422146</v>
      </c>
      <c r="BA459">
        <f>Table8[[#This Row],[Model Score2]]</f>
        <v>0</v>
      </c>
      <c r="BB459">
        <f>IFERROR(INDEX(Player_Model!$BG$2:$BG$596,MATCH($A459,Player_Model!$A$2:$A$596,0)),"")</f>
        <v>232</v>
      </c>
      <c r="BC459" t="str">
        <f t="shared" si="199"/>
        <v>AVOID</v>
      </c>
      <c r="BD459">
        <f>IF(H459=1,Table8[[#This Row],[Model Score]],-10000)</f>
        <v>0</v>
      </c>
      <c r="BE459">
        <f>IFERROR(INDEX(Player_Model!$BF$2:$BF$596,MATCH($A459,Player_Model!$A$2:$A$596,0)),"")</f>
        <v>253</v>
      </c>
      <c r="BF459">
        <f>IFERROR(INDEX(Player_Model!$BG$2:$BG$596,MATCH($A459,Player_Model!$A$2:$A$596,0)),"")</f>
        <v>232</v>
      </c>
      <c r="BG459">
        <f>IFERROR(INDEX(Player_Model!$BE$2:$BE$596,MATCH($A459,Player_Model!$A$2:$A$596,0)),0)</f>
        <v>0</v>
      </c>
    </row>
    <row r="460" spans="1:59" x14ac:dyDescent="0.25">
      <c r="A460" t="str">
        <f>tblPlayers[first_name]&amp;" "&amp;tblPlayers[second_name]</f>
        <v>Enzo Fernández</v>
      </c>
      <c r="B460" t="str">
        <f>_xlfn.SWITCH(tblPlayers[element_type],1,"GK",2,"DEF",3,"MID",4,"FWD")</f>
        <v>MID</v>
      </c>
      <c r="C460">
        <f>tblPlayers[team]</f>
        <v>15</v>
      </c>
      <c r="D460" t="str">
        <f>INDEX(tblTeams[Column1.short_name],MATCH(C460,tblTeams[Column1.id],0))</f>
        <v>MCI</v>
      </c>
      <c r="E460" s="4">
        <f>INDEX(FPL_Raw_Data!$F:$F,MATCH(A460,FPL_Raw_Data!$AA:$AA,0))/10</f>
        <v>6.9</v>
      </c>
      <c r="F460" s="4" t="str">
        <f>tblPlayers[[#This Row],[status]]</f>
        <v>a</v>
      </c>
      <c r="G460" s="4" t="b">
        <f>tblPlayers[[#This Row],[can_select]]</f>
        <v>1</v>
      </c>
      <c r="H460">
        <f>IF(AND(Table8[[#This Row],[Availability Status]]="a",Table8[[#This Row],[Can Select]]=TRUE),1,0)</f>
        <v>1</v>
      </c>
      <c r="I460">
        <f>tblPlayers[minutes]</f>
        <v>100</v>
      </c>
      <c r="J460" s="2">
        <f>Table8[[#This Row],[Minutes]]/90</f>
        <v>1.1111111111111112</v>
      </c>
      <c r="K460" s="5">
        <f>IFERROR(Z460/(FIXTURE_ANALYSIS!$B$1-1),0)</f>
        <v>0.33333333333333331</v>
      </c>
      <c r="L460">
        <f>tblPlayers[total_points]</f>
        <v>4</v>
      </c>
      <c r="M460">
        <f>tblPlayers[points_per_game]</f>
        <v>2</v>
      </c>
      <c r="N460">
        <f>tblPlayers[form]</f>
        <v>1.3</v>
      </c>
      <c r="O460">
        <f>tblPlayers[expected_goals]</f>
        <v>0.13</v>
      </c>
      <c r="P460">
        <f>tblPlayers[expected_assists]</f>
        <v>0.14000000000000001</v>
      </c>
      <c r="Q460">
        <f>tblPlayers[expected_goal_involvements]</f>
        <v>0.27</v>
      </c>
      <c r="R460" s="2">
        <f t="shared" si="175"/>
        <v>3.6</v>
      </c>
      <c r="S460" s="5">
        <f t="shared" si="176"/>
        <v>0.11699999999999999</v>
      </c>
      <c r="T460" s="5">
        <f t="shared" si="177"/>
        <v>0.12600000000000003</v>
      </c>
      <c r="U460" s="5">
        <f t="shared" si="178"/>
        <v>0.24300000000000002</v>
      </c>
      <c r="V460" s="3">
        <f t="shared" si="179"/>
        <v>0.57971014492753625</v>
      </c>
      <c r="W460" s="5">
        <f t="shared" si="180"/>
        <v>3.9130434782608699E-2</v>
      </c>
      <c r="X460" s="5">
        <f>IFERROR(IF(OR($B460="MID",$B460="FWD"),INDEX(FIXTURE_ANALYSIS!$Q:$Q,MATCH($D460,FIXTURE_ANALYSIS!$A:$A,0)),INDEX(FIXTURE_ANALYSIS!$R:$R,MATCH($D460,FIXTURE_ANALYSIS!$A:$A,0))),1)</f>
        <v>1.1822231833910033</v>
      </c>
      <c r="Y460" s="5">
        <f t="shared" si="181"/>
        <v>1.1822231833910033</v>
      </c>
      <c r="Z460" s="8">
        <f>INDEX(FPL_Raw_Data!$T:$T,MATCH(A460,FPL_Raw_Data!$AA:$AA,0))</f>
        <v>1</v>
      </c>
      <c r="AA460" s="8">
        <f>INDEX(FPL_Raw_Data!$S:$S,MATCH(A460,FPL_Raw_Data!$AA:$AA,0))</f>
        <v>6</v>
      </c>
      <c r="AB460" s="2">
        <f t="shared" si="182"/>
        <v>0.5</v>
      </c>
      <c r="AC460" s="2">
        <f>INDEX(FPL_Raw_Data!$Q:$Q,MATCH(A460,FPL_Raw_Data!$AA:$AA,0))</f>
        <v>0</v>
      </c>
      <c r="AD460" s="8">
        <f>INDEX(FPL_Raw_Data!$R:$R,MATCH(A460,FPL_Raw_Data!$AA:$AA,0))</f>
        <v>23</v>
      </c>
      <c r="AE460" s="8">
        <f>INDEX(FPL_Raw_Data!$N:$N,MATCH(A460,FPL_Raw_Data!$AA:$AA,0))</f>
        <v>1</v>
      </c>
      <c r="AF460" s="8">
        <f>INDEX(FPL_Raw_Data!$L:$L,MATCH(A460,FPL_Raw_Data!$AA:$AA,0))</f>
        <v>0</v>
      </c>
      <c r="AG460" s="2">
        <f>INDEX(FPL_Raw_Data!$M:$M,MATCH(A460,FPL_Raw_Data!$AA:$AA,0))</f>
        <v>0</v>
      </c>
      <c r="AH460" s="2">
        <f t="shared" si="183"/>
        <v>0.58499999999999996</v>
      </c>
      <c r="AI460" s="2">
        <f t="shared" si="184"/>
        <v>0.37800000000000011</v>
      </c>
      <c r="AJ460" s="2">
        <f t="shared" si="185"/>
        <v>0.66666666666666663</v>
      </c>
      <c r="AK460" s="2">
        <f t="shared" si="186"/>
        <v>1</v>
      </c>
      <c r="AL460" s="2">
        <f t="shared" si="187"/>
        <v>1</v>
      </c>
      <c r="AM460" s="2">
        <f t="shared" si="188"/>
        <v>1</v>
      </c>
      <c r="AN460" s="2">
        <f t="shared" si="189"/>
        <v>0</v>
      </c>
      <c r="AO460" s="3">
        <f t="shared" si="190"/>
        <v>66.400000000000006</v>
      </c>
      <c r="AP460">
        <f t="shared" si="191"/>
        <v>80.100000000000009</v>
      </c>
      <c r="AQ460">
        <f t="shared" si="192"/>
        <v>60.6</v>
      </c>
      <c r="AR460">
        <f t="shared" si="193"/>
        <v>73.2</v>
      </c>
      <c r="AS460" s="2">
        <f t="shared" si="194"/>
        <v>33.333333333333329</v>
      </c>
      <c r="AT460" s="2">
        <f>IFERROR(INDEX(Player_Model!$BC$2:$BC$596,MATCH($A460,Player_Model!$A$2:$A$596,0)),0)</f>
        <v>5.8444620412092032</v>
      </c>
      <c r="AU460" s="2">
        <f>Table8[[#This Row],[Model Expected Points]]*Table8[[#This Row],[Fixture Adjustment]]</f>
        <v>6.9094585195662255</v>
      </c>
      <c r="AV460" s="2">
        <f>Table8[[#This Row],[Fixture Adjusted Points / 90]]/Table8[[#This Row],[Price]]</f>
        <v>1.0013707999371342</v>
      </c>
      <c r="AW460">
        <f t="shared" si="195"/>
        <v>73.25</v>
      </c>
      <c r="AX460">
        <f t="shared" si="196"/>
        <v>0.5</v>
      </c>
      <c r="AY460" s="2">
        <f t="shared" si="197"/>
        <v>33.333333333333329</v>
      </c>
      <c r="AZ460" s="5">
        <f t="shared" si="198"/>
        <v>1.1822231833910033</v>
      </c>
      <c r="BA460">
        <f>Table8[[#This Row],[Model Score2]]</f>
        <v>5.8444620412092032</v>
      </c>
      <c r="BB460">
        <f>IFERROR(INDEX(Player_Model!$BG$2:$BG$596,MATCH($A460,Player_Model!$A$2:$A$596,0)),"")</f>
        <v>22</v>
      </c>
      <c r="BC460" t="str">
        <f t="shared" si="199"/>
        <v>AVOID</v>
      </c>
      <c r="BD460">
        <f>IF(H460=1,Table8[[#This Row],[Model Score]],-10000)</f>
        <v>5.8444620412092032</v>
      </c>
      <c r="BE460">
        <f>IFERROR(INDEX(Player_Model!$BF$2:$BF$596,MATCH($A460,Player_Model!$A$2:$A$596,0)),"")</f>
        <v>53</v>
      </c>
      <c r="BF460">
        <f>IFERROR(INDEX(Player_Model!$BG$2:$BG$596,MATCH($A460,Player_Model!$A$2:$A$596,0)),"")</f>
        <v>22</v>
      </c>
      <c r="BG460">
        <f>IFERROR(INDEX(Player_Model!$BE$2:$BE$596,MATCH($A460,Player_Model!$A$2:$A$596,0)),0)</f>
        <v>5.8444620412092032</v>
      </c>
    </row>
    <row r="461" spans="1:59" x14ac:dyDescent="0.25">
      <c r="A461" t="str">
        <f>tblPlayers[first_name]&amp;" "&amp;tblPlayers[second_name]</f>
        <v>Iliman Ndiaye</v>
      </c>
      <c r="B461" t="str">
        <f>_xlfn.SWITCH(tblPlayers[element_type],1,"GK",2,"DEF",3,"MID",4,"FWD")</f>
        <v>MID</v>
      </c>
      <c r="C461">
        <f>tblPlayers[team]</f>
        <v>15</v>
      </c>
      <c r="D461" t="str">
        <f>INDEX(tblTeams[Column1.short_name],MATCH(C461,tblTeams[Column1.id],0))</f>
        <v>MCI</v>
      </c>
      <c r="E461" s="4">
        <f>INDEX(FPL_Raw_Data!$F:$F,MATCH(A461,FPL_Raw_Data!$AA:$AA,0))/10</f>
        <v>5.9</v>
      </c>
      <c r="F461" s="4" t="str">
        <f>tblPlayers[[#This Row],[status]]</f>
        <v>a</v>
      </c>
      <c r="G461" s="4" t="b">
        <f>tblPlayers[[#This Row],[can_select]]</f>
        <v>1</v>
      </c>
      <c r="H461">
        <f>IF(AND(Table8[[#This Row],[Availability Status]]="a",Table8[[#This Row],[Can Select]]=TRUE),1,0)</f>
        <v>1</v>
      </c>
      <c r="I461">
        <f>tblPlayers[minutes]</f>
        <v>266</v>
      </c>
      <c r="J461" s="2">
        <f>Table8[[#This Row],[Minutes]]/90</f>
        <v>2.9555555555555557</v>
      </c>
      <c r="K461" s="5">
        <f>IFERROR(Z461/(FIXTURE_ANALYSIS!$B$1-1),0)</f>
        <v>1</v>
      </c>
      <c r="L461">
        <f>tblPlayers[total_points]</f>
        <v>16</v>
      </c>
      <c r="M461">
        <f>tblPlayers[points_per_game]</f>
        <v>5.3</v>
      </c>
      <c r="N461">
        <f>tblPlayers[form]</f>
        <v>5.3</v>
      </c>
      <c r="O461">
        <f>tblPlayers[expected_goals]</f>
        <v>0.28000000000000003</v>
      </c>
      <c r="P461">
        <f>tblPlayers[expected_assists]</f>
        <v>0.43</v>
      </c>
      <c r="Q461">
        <f>tblPlayers[expected_goal_involvements]</f>
        <v>0.71</v>
      </c>
      <c r="R461" s="2">
        <f t="shared" si="175"/>
        <v>5.4135338345864659</v>
      </c>
      <c r="S461" s="5">
        <f t="shared" si="176"/>
        <v>9.4736842105263175E-2</v>
      </c>
      <c r="T461" s="5">
        <f t="shared" si="177"/>
        <v>0.14548872180451128</v>
      </c>
      <c r="U461" s="5">
        <f t="shared" si="178"/>
        <v>0.2402255639097744</v>
      </c>
      <c r="V461" s="3">
        <f t="shared" si="179"/>
        <v>2.7118644067796609</v>
      </c>
      <c r="W461" s="5">
        <f t="shared" si="180"/>
        <v>0.12033898305084745</v>
      </c>
      <c r="X461" s="5">
        <f>IFERROR(IF(OR($B461="MID",$B461="FWD"),INDEX(FIXTURE_ANALYSIS!$Q:$Q,MATCH($D461,FIXTURE_ANALYSIS!$A:$A,0)),INDEX(FIXTURE_ANALYSIS!$R:$R,MATCH($D461,FIXTURE_ANALYSIS!$A:$A,0))),1)</f>
        <v>1.1822231833910033</v>
      </c>
      <c r="Y461" s="5">
        <f t="shared" si="181"/>
        <v>1.1822231833910033</v>
      </c>
      <c r="Z461" s="8">
        <f>INDEX(FPL_Raw_Data!$T:$T,MATCH(A461,FPL_Raw_Data!$AA:$AA,0))</f>
        <v>3</v>
      </c>
      <c r="AA461" s="8">
        <f>INDEX(FPL_Raw_Data!$S:$S,MATCH(A461,FPL_Raw_Data!$AA:$AA,0))</f>
        <v>30</v>
      </c>
      <c r="AB461" s="2">
        <f t="shared" si="182"/>
        <v>1</v>
      </c>
      <c r="AC461" s="2">
        <f>INDEX(FPL_Raw_Data!$Q:$Q,MATCH(A461,FPL_Raw_Data!$AA:$AA,0))</f>
        <v>1</v>
      </c>
      <c r="AD461" s="8">
        <f>INDEX(FPL_Raw_Data!$R:$R,MATCH(A461,FPL_Raw_Data!$AA:$AA,0))</f>
        <v>64</v>
      </c>
      <c r="AE461" s="8">
        <f>INDEX(FPL_Raw_Data!$N:$N,MATCH(A461,FPL_Raw_Data!$AA:$AA,0))</f>
        <v>2</v>
      </c>
      <c r="AF461" s="8">
        <f>INDEX(FPL_Raw_Data!$L:$L,MATCH(A461,FPL_Raw_Data!$AA:$AA,0))</f>
        <v>0</v>
      </c>
      <c r="AG461" s="2">
        <f>INDEX(FPL_Raw_Data!$M:$M,MATCH(A461,FPL_Raw_Data!$AA:$AA,0))</f>
        <v>1</v>
      </c>
      <c r="AH461" s="2">
        <f t="shared" si="183"/>
        <v>0.47368421052631587</v>
      </c>
      <c r="AI461" s="2">
        <f t="shared" si="184"/>
        <v>0.43646616541353384</v>
      </c>
      <c r="AJ461" s="2">
        <f t="shared" si="185"/>
        <v>2</v>
      </c>
      <c r="AK461" s="2">
        <f t="shared" si="186"/>
        <v>2</v>
      </c>
      <c r="AL461" s="2">
        <f t="shared" si="187"/>
        <v>0.66666666666666663</v>
      </c>
      <c r="AM461" s="2">
        <f t="shared" si="188"/>
        <v>0.66666666666666663</v>
      </c>
      <c r="AN461" s="2">
        <f t="shared" si="189"/>
        <v>0.33333333333333331</v>
      </c>
      <c r="AO461" s="3">
        <f t="shared" si="190"/>
        <v>78.600000000000009</v>
      </c>
      <c r="AP461">
        <f t="shared" si="191"/>
        <v>79.600000000000009</v>
      </c>
      <c r="AQ461">
        <f t="shared" si="192"/>
        <v>93</v>
      </c>
      <c r="AR461">
        <f t="shared" si="193"/>
        <v>87.5</v>
      </c>
      <c r="AS461" s="2">
        <f t="shared" si="194"/>
        <v>100</v>
      </c>
      <c r="AT461" s="2">
        <f>IFERROR(INDEX(Player_Model!$BC$2:$BC$596,MATCH($A461,Player_Model!$A$2:$A$596,0)),0)</f>
        <v>6.2602811896368005</v>
      </c>
      <c r="AU461" s="2">
        <f>Table8[[#This Row],[Model Expected Points]]*Table8[[#This Row],[Fixture Adjustment]]</f>
        <v>7.4010495569352353</v>
      </c>
      <c r="AV461" s="2">
        <f>Table8[[#This Row],[Fixture Adjusted Points / 90]]/Table8[[#This Row],[Price]]</f>
        <v>1.2544151791415652</v>
      </c>
      <c r="AW461">
        <f t="shared" si="195"/>
        <v>79.100000000000009</v>
      </c>
      <c r="AX461">
        <f t="shared" si="196"/>
        <v>1</v>
      </c>
      <c r="AY461" s="2">
        <f t="shared" si="197"/>
        <v>100</v>
      </c>
      <c r="AZ461" s="5">
        <f t="shared" si="198"/>
        <v>1.1822231833910033</v>
      </c>
      <c r="BA461">
        <f>Table8[[#This Row],[Model Score2]]</f>
        <v>6.2602811896368005</v>
      </c>
      <c r="BB461">
        <f>IFERROR(INDEX(Player_Model!$BG$2:$BG$596,MATCH($A461,Player_Model!$A$2:$A$596,0)),"")</f>
        <v>14</v>
      </c>
      <c r="BC461" t="str">
        <f t="shared" si="199"/>
        <v>AVOID</v>
      </c>
      <c r="BD461">
        <f>IF(H461=1,Table8[[#This Row],[Model Score]],-10000)</f>
        <v>6.2602811896368005</v>
      </c>
      <c r="BE461">
        <f>IFERROR(INDEX(Player_Model!$BF$2:$BF$596,MATCH($A461,Player_Model!$A$2:$A$596,0)),"")</f>
        <v>36</v>
      </c>
      <c r="BF461">
        <f>IFERROR(INDEX(Player_Model!$BG$2:$BG$596,MATCH($A461,Player_Model!$A$2:$A$596,0)),"")</f>
        <v>14</v>
      </c>
      <c r="BG461">
        <f>IFERROR(INDEX(Player_Model!$BE$2:$BE$596,MATCH($A461,Player_Model!$A$2:$A$596,0)),0)</f>
        <v>6.2602811896368005</v>
      </c>
    </row>
    <row r="462" spans="1:59" x14ac:dyDescent="0.25">
      <c r="A462" t="str">
        <f>tblPlayers[first_name]&amp;" "&amp;tblPlayers[second_name]</f>
        <v>Gianluigi Donnarumma</v>
      </c>
      <c r="B462" t="str">
        <f>_xlfn.SWITCH(tblPlayers[element_type],1,"GK",2,"DEF",3,"MID",4,"FWD")</f>
        <v>GK</v>
      </c>
      <c r="C462">
        <f>tblPlayers[team]</f>
        <v>15</v>
      </c>
      <c r="D462" t="str">
        <f>INDEX(tblTeams[Column1.short_name],MATCH(C462,tblTeams[Column1.id],0))</f>
        <v>MCI</v>
      </c>
      <c r="E462" s="4">
        <f>INDEX(FPL_Raw_Data!$F:$F,MATCH(A462,FPL_Raw_Data!$AA:$AA,0))/10</f>
        <v>5.5</v>
      </c>
      <c r="F462" s="4" t="str">
        <f>tblPlayers[[#This Row],[status]]</f>
        <v>a</v>
      </c>
      <c r="G462" s="4" t="b">
        <f>tblPlayers[[#This Row],[can_select]]</f>
        <v>1</v>
      </c>
      <c r="H462">
        <f>IF(AND(Table8[[#This Row],[Availability Status]]="a",Table8[[#This Row],[Can Select]]=TRUE),1,0)</f>
        <v>1</v>
      </c>
      <c r="I462">
        <f>tblPlayers[minutes]</f>
        <v>270</v>
      </c>
      <c r="J462" s="2">
        <f>Table8[[#This Row],[Minutes]]/90</f>
        <v>3</v>
      </c>
      <c r="K462" s="5">
        <f>IFERROR(Z462/(FIXTURE_ANALYSIS!$B$1-1),0)</f>
        <v>1</v>
      </c>
      <c r="L462">
        <f>tblPlayers[total_points]</f>
        <v>10</v>
      </c>
      <c r="M462">
        <f>tblPlayers[points_per_game]</f>
        <v>3.3</v>
      </c>
      <c r="N462">
        <f>tblPlayers[form]</f>
        <v>3.3</v>
      </c>
      <c r="O462">
        <f>tblPlayers[expected_goals]</f>
        <v>0</v>
      </c>
      <c r="P462">
        <f>tblPlayers[expected_assists]</f>
        <v>0</v>
      </c>
      <c r="Q462">
        <f>tblPlayers[expected_goal_involvements]</f>
        <v>0</v>
      </c>
      <c r="R462" s="2">
        <f t="shared" si="175"/>
        <v>3.333333333333333</v>
      </c>
      <c r="S462" s="5">
        <f t="shared" si="176"/>
        <v>0</v>
      </c>
      <c r="T462" s="5">
        <f t="shared" si="177"/>
        <v>0</v>
      </c>
      <c r="U462" s="5">
        <f t="shared" si="178"/>
        <v>0</v>
      </c>
      <c r="V462" s="3">
        <f t="shared" si="179"/>
        <v>1.8181818181818181</v>
      </c>
      <c r="W462" s="5">
        <f t="shared" si="180"/>
        <v>0</v>
      </c>
      <c r="X462" s="5">
        <f>IFERROR(IF(OR($B462="MID",$B462="FWD"),INDEX(FIXTURE_ANALYSIS!$Q:$Q,MATCH($D462,FIXTURE_ANALYSIS!$A:$A,0)),INDEX(FIXTURE_ANALYSIS!$R:$R,MATCH($D462,FIXTURE_ANALYSIS!$A:$A,0))),1)</f>
        <v>1.1338276422764224</v>
      </c>
      <c r="Y462" s="5">
        <f t="shared" si="181"/>
        <v>1.1338276422764224</v>
      </c>
      <c r="Z462" s="8">
        <f>INDEX(FPL_Raw_Data!$T:$T,MATCH(A462,FPL_Raw_Data!$AA:$AA,0))</f>
        <v>3</v>
      </c>
      <c r="AA462" s="8">
        <f>INDEX(FPL_Raw_Data!$S:$S,MATCH(A462,FPL_Raw_Data!$AA:$AA,0))</f>
        <v>0</v>
      </c>
      <c r="AB462" s="2">
        <f t="shared" si="182"/>
        <v>0</v>
      </c>
      <c r="AC462" s="2">
        <f>INDEX(FPL_Raw_Data!$Q:$Q,MATCH(A462,FPL_Raw_Data!$AA:$AA,0))</f>
        <v>0</v>
      </c>
      <c r="AD462" s="8">
        <f>INDEX(FPL_Raw_Data!$R:$R,MATCH(A462,FPL_Raw_Data!$AA:$AA,0))</f>
        <v>46</v>
      </c>
      <c r="AE462" s="8">
        <f>INDEX(FPL_Raw_Data!$N:$N,MATCH(A462,FPL_Raw_Data!$AA:$AA,0))</f>
        <v>1</v>
      </c>
      <c r="AF462" s="8">
        <f>INDEX(FPL_Raw_Data!$L:$L,MATCH(A462,FPL_Raw_Data!$AA:$AA,0))</f>
        <v>0</v>
      </c>
      <c r="AG462" s="2">
        <f>INDEX(FPL_Raw_Data!$M:$M,MATCH(A462,FPL_Raw_Data!$AA:$AA,0))</f>
        <v>0</v>
      </c>
      <c r="AH462" s="2">
        <f t="shared" si="183"/>
        <v>0</v>
      </c>
      <c r="AI462" s="2">
        <f t="shared" si="184"/>
        <v>0</v>
      </c>
      <c r="AJ462" s="2">
        <f t="shared" si="185"/>
        <v>2</v>
      </c>
      <c r="AK462" s="2">
        <f t="shared" si="186"/>
        <v>0</v>
      </c>
      <c r="AL462" s="2">
        <f t="shared" si="187"/>
        <v>0.33333333333333331</v>
      </c>
      <c r="AM462" s="2">
        <f t="shared" si="188"/>
        <v>1.3333333333333333</v>
      </c>
      <c r="AN462" s="2">
        <f t="shared" si="189"/>
        <v>0</v>
      </c>
      <c r="AO462" s="3">
        <f t="shared" si="190"/>
        <v>62.2</v>
      </c>
      <c r="AP462">
        <f t="shared" si="191"/>
        <v>0</v>
      </c>
      <c r="AQ462">
        <f t="shared" si="192"/>
        <v>84.5</v>
      </c>
      <c r="AR462">
        <f t="shared" si="193"/>
        <v>0</v>
      </c>
      <c r="AS462" s="2">
        <f t="shared" si="194"/>
        <v>100</v>
      </c>
      <c r="AT462" s="2">
        <f>IFERROR(INDEX(Player_Model!$BC$2:$BC$596,MATCH($A462,Player_Model!$A$2:$A$596,0)),0)</f>
        <v>4.662591985248949</v>
      </c>
      <c r="AU462" s="2">
        <f>Table8[[#This Row],[Model Expected Points]]*Table8[[#This Row],[Fixture Adjustment]]</f>
        <v>5.2865756775317596</v>
      </c>
      <c r="AV462" s="2">
        <f>Table8[[#This Row],[Fixture Adjusted Points / 90]]/Table8[[#This Row],[Price]]</f>
        <v>0.9611955777330472</v>
      </c>
      <c r="AW462">
        <f t="shared" si="195"/>
        <v>0</v>
      </c>
      <c r="AX462">
        <f t="shared" si="196"/>
        <v>50.566913821138215</v>
      </c>
      <c r="AY462" s="2">
        <f t="shared" si="197"/>
        <v>100</v>
      </c>
      <c r="AZ462" s="5">
        <f t="shared" si="198"/>
        <v>1.1338276422764224</v>
      </c>
      <c r="BA462">
        <f>Table8[[#This Row],[Model Score2]]</f>
        <v>4.662591985248949</v>
      </c>
      <c r="BB462">
        <f>IFERROR(INDEX(Player_Model!$BG$2:$BG$596,MATCH($A462,Player_Model!$A$2:$A$596,0)),"")</f>
        <v>7</v>
      </c>
      <c r="BC462" t="str">
        <f t="shared" si="199"/>
        <v>CONSIDER</v>
      </c>
      <c r="BD462">
        <f>IF(H462=1,Table8[[#This Row],[Model Score]],-10000)</f>
        <v>4.662591985248949</v>
      </c>
      <c r="BE462">
        <f>IFERROR(INDEX(Player_Model!$BF$2:$BF$596,MATCH($A462,Player_Model!$A$2:$A$596,0)),"")</f>
        <v>116</v>
      </c>
      <c r="BF462">
        <f>IFERROR(INDEX(Player_Model!$BG$2:$BG$596,MATCH($A462,Player_Model!$A$2:$A$596,0)),"")</f>
        <v>7</v>
      </c>
      <c r="BG462">
        <f>IFERROR(INDEX(Player_Model!$BE$2:$BE$596,MATCH($A462,Player_Model!$A$2:$A$596,0)),0)</f>
        <v>4.662591985248949</v>
      </c>
    </row>
    <row r="463" spans="1:59" x14ac:dyDescent="0.25">
      <c r="A463" t="str">
        <f>tblPlayers[first_name]&amp;" "&amp;tblPlayers[second_name]</f>
        <v>Marcus Bettinelli</v>
      </c>
      <c r="B463" t="str">
        <f>_xlfn.SWITCH(tblPlayers[element_type],1,"GK",2,"DEF",3,"MID",4,"FWD")</f>
        <v>GK</v>
      </c>
      <c r="C463">
        <f>tblPlayers[team]</f>
        <v>15</v>
      </c>
      <c r="D463" t="str">
        <f>INDEX(tblTeams[Column1.short_name],MATCH(C463,tblTeams[Column1.id],0))</f>
        <v>MCI</v>
      </c>
      <c r="E463" s="4">
        <f>INDEX(FPL_Raw_Data!$F:$F,MATCH(A463,FPL_Raw_Data!$AA:$AA,0))/10</f>
        <v>4.5</v>
      </c>
      <c r="F463" s="4" t="str">
        <f>tblPlayers[[#This Row],[status]]</f>
        <v>a</v>
      </c>
      <c r="G463" s="4" t="b">
        <f>tblPlayers[[#This Row],[can_select]]</f>
        <v>1</v>
      </c>
      <c r="H463">
        <f>IF(AND(Table8[[#This Row],[Availability Status]]="a",Table8[[#This Row],[Can Select]]=TRUE),1,0)</f>
        <v>1</v>
      </c>
      <c r="I463">
        <f>tblPlayers[minutes]</f>
        <v>0</v>
      </c>
      <c r="J463" s="2">
        <f>Table8[[#This Row],[Minutes]]/90</f>
        <v>0</v>
      </c>
      <c r="K463" s="5">
        <f>IFERROR(Z463/(FIXTURE_ANALYSIS!$B$1-1),0)</f>
        <v>0</v>
      </c>
      <c r="L463">
        <f>tblPlayers[total_points]</f>
        <v>0</v>
      </c>
      <c r="M463">
        <f>tblPlayers[points_per_game]</f>
        <v>0</v>
      </c>
      <c r="N463">
        <f>tblPlayers[form]</f>
        <v>0</v>
      </c>
      <c r="O463">
        <f>tblPlayers[expected_goals]</f>
        <v>0</v>
      </c>
      <c r="P463">
        <f>tblPlayers[expected_assists]</f>
        <v>0</v>
      </c>
      <c r="Q463">
        <f>tblPlayers[expected_goal_involvements]</f>
        <v>0</v>
      </c>
      <c r="R463" s="2">
        <f t="shared" si="175"/>
        <v>0</v>
      </c>
      <c r="S463" s="5">
        <f t="shared" si="176"/>
        <v>0</v>
      </c>
      <c r="T463" s="5">
        <f t="shared" si="177"/>
        <v>0</v>
      </c>
      <c r="U463" s="5">
        <f t="shared" si="178"/>
        <v>0</v>
      </c>
      <c r="V463" s="3">
        <f t="shared" si="179"/>
        <v>0</v>
      </c>
      <c r="W463" s="5">
        <f t="shared" si="180"/>
        <v>0</v>
      </c>
      <c r="X463" s="5">
        <f>IFERROR(IF(OR($B463="MID",$B463="FWD"),INDEX(FIXTURE_ANALYSIS!$Q:$Q,MATCH($D463,FIXTURE_ANALYSIS!$A:$A,0)),INDEX(FIXTURE_ANALYSIS!$R:$R,MATCH($D463,FIXTURE_ANALYSIS!$A:$A,0))),1)</f>
        <v>1.1338276422764224</v>
      </c>
      <c r="Y463" s="5">
        <f t="shared" si="181"/>
        <v>1.1338276422764224</v>
      </c>
      <c r="Z463" s="8">
        <f>INDEX(FPL_Raw_Data!$T:$T,MATCH(A463,FPL_Raw_Data!$AA:$AA,0))</f>
        <v>0</v>
      </c>
      <c r="AA463" s="8">
        <f>INDEX(FPL_Raw_Data!$S:$S,MATCH(A463,FPL_Raw_Data!$AA:$AA,0))</f>
        <v>0</v>
      </c>
      <c r="AB463" s="2">
        <f t="shared" si="182"/>
        <v>0</v>
      </c>
      <c r="AC463" s="2">
        <f>INDEX(FPL_Raw_Data!$Q:$Q,MATCH(A463,FPL_Raw_Data!$AA:$AA,0))</f>
        <v>0</v>
      </c>
      <c r="AD463" s="8">
        <f>INDEX(FPL_Raw_Data!$R:$R,MATCH(A463,FPL_Raw_Data!$AA:$AA,0))</f>
        <v>0</v>
      </c>
      <c r="AE463" s="8">
        <f>INDEX(FPL_Raw_Data!$N:$N,MATCH(A463,FPL_Raw_Data!$AA:$AA,0))</f>
        <v>0</v>
      </c>
      <c r="AF463" s="8">
        <f>INDEX(FPL_Raw_Data!$L:$L,MATCH(A463,FPL_Raw_Data!$AA:$AA,0))</f>
        <v>0</v>
      </c>
      <c r="AG463" s="2">
        <f>INDEX(FPL_Raw_Data!$M:$M,MATCH(A463,FPL_Raw_Data!$AA:$AA,0))</f>
        <v>0</v>
      </c>
      <c r="AH463" s="2">
        <f t="shared" si="183"/>
        <v>0</v>
      </c>
      <c r="AI463" s="2">
        <f t="shared" si="184"/>
        <v>0</v>
      </c>
      <c r="AJ463" s="2">
        <f t="shared" si="185"/>
        <v>0</v>
      </c>
      <c r="AK463" s="2">
        <f t="shared" si="186"/>
        <v>0</v>
      </c>
      <c r="AL463" s="2">
        <f t="shared" si="187"/>
        <v>0</v>
      </c>
      <c r="AM463" s="2">
        <f t="shared" si="188"/>
        <v>0</v>
      </c>
      <c r="AN463" s="2">
        <f t="shared" si="189"/>
        <v>0</v>
      </c>
      <c r="AO463" s="3">
        <f t="shared" si="190"/>
        <v>0.1</v>
      </c>
      <c r="AP463">
        <f t="shared" si="191"/>
        <v>0</v>
      </c>
      <c r="AQ463">
        <f t="shared" si="192"/>
        <v>0.1</v>
      </c>
      <c r="AR463">
        <f t="shared" si="193"/>
        <v>0</v>
      </c>
      <c r="AS463" s="2">
        <f t="shared" si="194"/>
        <v>0</v>
      </c>
      <c r="AT463" s="2">
        <f>IFERROR(INDEX(Player_Model!$BC$2:$BC$596,MATCH($A463,Player_Model!$A$2:$A$596,0)),0)</f>
        <v>0</v>
      </c>
      <c r="AU463" s="2">
        <f>Table8[[#This Row],[Model Expected Points]]*Table8[[#This Row],[Fixture Adjustment]]</f>
        <v>0</v>
      </c>
      <c r="AV463" s="2">
        <f>Table8[[#This Row],[Fixture Adjusted Points / 90]]/Table8[[#This Row],[Price]]</f>
        <v>0</v>
      </c>
      <c r="AW463">
        <f t="shared" si="195"/>
        <v>0</v>
      </c>
      <c r="AX463">
        <f t="shared" si="196"/>
        <v>0.5669138211382112</v>
      </c>
      <c r="AY463" s="2">
        <f t="shared" si="197"/>
        <v>0</v>
      </c>
      <c r="AZ463" s="5">
        <f t="shared" si="198"/>
        <v>1.1338276422764224</v>
      </c>
      <c r="BA463">
        <f>Table8[[#This Row],[Model Score2]]</f>
        <v>0</v>
      </c>
      <c r="BB463">
        <f>IFERROR(INDEX(Player_Model!$BG$2:$BG$596,MATCH($A463,Player_Model!$A$2:$A$596,0)),"")</f>
        <v>56</v>
      </c>
      <c r="BC463" t="str">
        <f t="shared" si="199"/>
        <v>AVOID</v>
      </c>
      <c r="BD463">
        <f>IF(H463=1,Table8[[#This Row],[Model Score]],-10000)</f>
        <v>0</v>
      </c>
      <c r="BE463">
        <f>IFERROR(INDEX(Player_Model!$BF$2:$BF$596,MATCH($A463,Player_Model!$A$2:$A$596,0)),"")</f>
        <v>253</v>
      </c>
      <c r="BF463">
        <f>IFERROR(INDEX(Player_Model!$BG$2:$BG$596,MATCH($A463,Player_Model!$A$2:$A$596,0)),"")</f>
        <v>56</v>
      </c>
      <c r="BG463">
        <f>IFERROR(INDEX(Player_Model!$BE$2:$BE$596,MATCH($A463,Player_Model!$A$2:$A$596,0)),0)</f>
        <v>0</v>
      </c>
    </row>
    <row r="464" spans="1:59" x14ac:dyDescent="0.25">
      <c r="A464" t="str">
        <f>tblPlayers[first_name]&amp;" "&amp;tblPlayers[second_name]</f>
        <v>Nico O'Reilly</v>
      </c>
      <c r="B464" t="str">
        <f>_xlfn.SWITCH(tblPlayers[element_type],1,"GK",2,"DEF",3,"MID",4,"FWD")</f>
        <v>DEF</v>
      </c>
      <c r="C464">
        <f>tblPlayers[team]</f>
        <v>15</v>
      </c>
      <c r="D464" t="str">
        <f>INDEX(tblTeams[Column1.short_name],MATCH(C464,tblTeams[Column1.id],0))</f>
        <v>MCI</v>
      </c>
      <c r="E464" s="4">
        <f>INDEX(FPL_Raw_Data!$F:$F,MATCH(A464,FPL_Raw_Data!$AA:$AA,0))/10</f>
        <v>6.5</v>
      </c>
      <c r="F464" s="4" t="str">
        <f>tblPlayers[[#This Row],[status]]</f>
        <v>d</v>
      </c>
      <c r="G464" s="4" t="b">
        <f>tblPlayers[[#This Row],[can_select]]</f>
        <v>1</v>
      </c>
      <c r="H464">
        <f>IF(AND(Table8[[#This Row],[Availability Status]]="a",Table8[[#This Row],[Can Select]]=TRUE),1,0)</f>
        <v>0</v>
      </c>
      <c r="I464">
        <f>tblPlayers[minutes]</f>
        <v>150</v>
      </c>
      <c r="J464" s="2">
        <f>Table8[[#This Row],[Minutes]]/90</f>
        <v>1.6666666666666667</v>
      </c>
      <c r="K464" s="5">
        <f>IFERROR(Z464/(FIXTURE_ANALYSIS!$B$1-1),0)</f>
        <v>0.66666666666666663</v>
      </c>
      <c r="L464">
        <f>tblPlayers[total_points]</f>
        <v>4</v>
      </c>
      <c r="M464">
        <f>tblPlayers[points_per_game]</f>
        <v>2</v>
      </c>
      <c r="N464">
        <f>tblPlayers[form]</f>
        <v>1.3</v>
      </c>
      <c r="O464">
        <f>tblPlayers[expected_goals]</f>
        <v>0.09</v>
      </c>
      <c r="P464">
        <f>tblPlayers[expected_assists]</f>
        <v>0.43</v>
      </c>
      <c r="Q464">
        <f>tblPlayers[expected_goal_involvements]</f>
        <v>0.52</v>
      </c>
      <c r="R464" s="2">
        <f t="shared" si="175"/>
        <v>2.4000000000000004</v>
      </c>
      <c r="S464" s="5">
        <f t="shared" si="176"/>
        <v>5.3999999999999992E-2</v>
      </c>
      <c r="T464" s="5">
        <f t="shared" si="177"/>
        <v>0.25800000000000001</v>
      </c>
      <c r="U464" s="5">
        <f t="shared" si="178"/>
        <v>0.312</v>
      </c>
      <c r="V464" s="3">
        <f t="shared" si="179"/>
        <v>0.61538461538461542</v>
      </c>
      <c r="W464" s="5">
        <f t="shared" si="180"/>
        <v>0.08</v>
      </c>
      <c r="X464" s="5">
        <f>IFERROR(IF(OR($B464="MID",$B464="FWD"),INDEX(FIXTURE_ANALYSIS!$Q:$Q,MATCH($D464,FIXTURE_ANALYSIS!$A:$A,0)),INDEX(FIXTURE_ANALYSIS!$R:$R,MATCH($D464,FIXTURE_ANALYSIS!$A:$A,0))),1)</f>
        <v>1.1338276422764224</v>
      </c>
      <c r="Y464" s="5">
        <f t="shared" si="181"/>
        <v>1.1338276422764224</v>
      </c>
      <c r="Z464" s="8">
        <f>INDEX(FPL_Raw_Data!$T:$T,MATCH(A464,FPL_Raw_Data!$AA:$AA,0))</f>
        <v>2</v>
      </c>
      <c r="AA464" s="8">
        <f>INDEX(FPL_Raw_Data!$S:$S,MATCH(A464,FPL_Raw_Data!$AA:$AA,0))</f>
        <v>3</v>
      </c>
      <c r="AB464" s="2">
        <f t="shared" si="182"/>
        <v>0.3</v>
      </c>
      <c r="AC464" s="2">
        <f>INDEX(FPL_Raw_Data!$Q:$Q,MATCH(A464,FPL_Raw_Data!$AA:$AA,0))</f>
        <v>0</v>
      </c>
      <c r="AD464" s="8">
        <f>INDEX(FPL_Raw_Data!$R:$R,MATCH(A464,FPL_Raw_Data!$AA:$AA,0))</f>
        <v>16</v>
      </c>
      <c r="AE464" s="8">
        <f>INDEX(FPL_Raw_Data!$N:$N,MATCH(A464,FPL_Raw_Data!$AA:$AA,0))</f>
        <v>0</v>
      </c>
      <c r="AF464" s="8">
        <f>INDEX(FPL_Raw_Data!$L:$L,MATCH(A464,FPL_Raw_Data!$AA:$AA,0))</f>
        <v>0</v>
      </c>
      <c r="AG464" s="2">
        <f>INDEX(FPL_Raw_Data!$M:$M,MATCH(A464,FPL_Raw_Data!$AA:$AA,0))</f>
        <v>0</v>
      </c>
      <c r="AH464" s="2">
        <f t="shared" si="183"/>
        <v>0.32399999999999995</v>
      </c>
      <c r="AI464" s="2">
        <f t="shared" si="184"/>
        <v>0.77400000000000002</v>
      </c>
      <c r="AJ464" s="2">
        <f t="shared" si="185"/>
        <v>1.3333333333333333</v>
      </c>
      <c r="AK464" s="2">
        <f t="shared" si="186"/>
        <v>0.6</v>
      </c>
      <c r="AL464" s="2">
        <f t="shared" si="187"/>
        <v>0</v>
      </c>
      <c r="AM464" s="2">
        <f t="shared" si="188"/>
        <v>0</v>
      </c>
      <c r="AN464" s="2">
        <f t="shared" si="189"/>
        <v>0</v>
      </c>
      <c r="AO464" s="3">
        <f t="shared" si="190"/>
        <v>51.5</v>
      </c>
      <c r="AP464">
        <f t="shared" si="191"/>
        <v>84.5</v>
      </c>
      <c r="AQ464">
        <f t="shared" si="192"/>
        <v>61.7</v>
      </c>
      <c r="AR464">
        <f t="shared" si="193"/>
        <v>81.599999999999994</v>
      </c>
      <c r="AS464" s="2">
        <f t="shared" si="194"/>
        <v>66.666666666666657</v>
      </c>
      <c r="AT464" s="2">
        <f>IFERROR(INDEX(Player_Model!$BC$2:$BC$596,MATCH($A464,Player_Model!$A$2:$A$596,0)),0)</f>
        <v>3.8142884067220262</v>
      </c>
      <c r="AU464" s="2">
        <f>Table8[[#This Row],[Model Expected Points]]*Table8[[#This Row],[Fixture Adjustment]]</f>
        <v>4.3247456311559267</v>
      </c>
      <c r="AV464" s="2">
        <f>Table8[[#This Row],[Fixture Adjusted Points / 90]]/Table8[[#This Row],[Price]]</f>
        <v>0.66534548171629637</v>
      </c>
      <c r="AW464">
        <f t="shared" si="195"/>
        <v>84.5</v>
      </c>
      <c r="AX464">
        <f t="shared" si="196"/>
        <v>0.71691382113821123</v>
      </c>
      <c r="AY464" s="2">
        <f t="shared" si="197"/>
        <v>66.666666666666657</v>
      </c>
      <c r="AZ464" s="5">
        <f t="shared" si="198"/>
        <v>1.1338276422764224</v>
      </c>
      <c r="BA464">
        <f>Table8[[#This Row],[Model Score2]]</f>
        <v>3.8142884067220262</v>
      </c>
      <c r="BB464">
        <f>IFERROR(INDEX(Player_Model!$BG$2:$BG$596,MATCH($A464,Player_Model!$A$2:$A$596,0)),"")</f>
        <v>54</v>
      </c>
      <c r="BC464" t="str">
        <f t="shared" si="199"/>
        <v>AVOID</v>
      </c>
      <c r="BD464">
        <f>IF(H464=1,Table8[[#This Row],[Model Score]],-10000)</f>
        <v>-10000</v>
      </c>
      <c r="BE464">
        <f>IFERROR(INDEX(Player_Model!$BF$2:$BF$596,MATCH($A464,Player_Model!$A$2:$A$596,0)),"")</f>
        <v>169</v>
      </c>
      <c r="BF464">
        <f>IFERROR(INDEX(Player_Model!$BG$2:$BG$596,MATCH($A464,Player_Model!$A$2:$A$596,0)),"")</f>
        <v>54</v>
      </c>
      <c r="BG464">
        <f>IFERROR(INDEX(Player_Model!$BE$2:$BE$596,MATCH($A464,Player_Model!$A$2:$A$596,0)),0)</f>
        <v>3.8142884067220262</v>
      </c>
    </row>
    <row r="465" spans="1:59" x14ac:dyDescent="0.25">
      <c r="A465" t="str">
        <f>tblPlayers[first_name]&amp;" "&amp;tblPlayers[second_name]</f>
        <v>Marc Guéhi</v>
      </c>
      <c r="B465" t="str">
        <f>_xlfn.SWITCH(tblPlayers[element_type],1,"GK",2,"DEF",3,"MID",4,"FWD")</f>
        <v>DEF</v>
      </c>
      <c r="C465">
        <f>tblPlayers[team]</f>
        <v>15</v>
      </c>
      <c r="D465" t="str">
        <f>INDEX(tblTeams[Column1.short_name],MATCH(C465,tblTeams[Column1.id],0))</f>
        <v>MCI</v>
      </c>
      <c r="E465" s="4">
        <f>INDEX(FPL_Raw_Data!$F:$F,MATCH(A465,FPL_Raw_Data!$AA:$AA,0))/10</f>
        <v>6</v>
      </c>
      <c r="F465" s="4" t="str">
        <f>tblPlayers[[#This Row],[status]]</f>
        <v>a</v>
      </c>
      <c r="G465" s="4" t="b">
        <f>tblPlayers[[#This Row],[can_select]]</f>
        <v>1</v>
      </c>
      <c r="H465">
        <f>IF(AND(Table8[[#This Row],[Availability Status]]="a",Table8[[#This Row],[Can Select]]=TRUE),1,0)</f>
        <v>1</v>
      </c>
      <c r="I465">
        <f>tblPlayers[minutes]</f>
        <v>270</v>
      </c>
      <c r="J465" s="2">
        <f>Table8[[#This Row],[Minutes]]/90</f>
        <v>3</v>
      </c>
      <c r="K465" s="5">
        <f>IFERROR(Z465/(FIXTURE_ANALYSIS!$B$1-1),0)</f>
        <v>1</v>
      </c>
      <c r="L465">
        <f>tblPlayers[total_points]</f>
        <v>20</v>
      </c>
      <c r="M465">
        <f>tblPlayers[points_per_game]</f>
        <v>6.7</v>
      </c>
      <c r="N465">
        <f>tblPlayers[form]</f>
        <v>6.7</v>
      </c>
      <c r="O465">
        <f>tblPlayers[expected_goals]</f>
        <v>0.89</v>
      </c>
      <c r="P465">
        <f>tblPlayers[expected_assists]</f>
        <v>0.38</v>
      </c>
      <c r="Q465">
        <f>tblPlayers[expected_goal_involvements]</f>
        <v>1.27</v>
      </c>
      <c r="R465" s="2">
        <f t="shared" si="175"/>
        <v>6.6666666666666661</v>
      </c>
      <c r="S465" s="5">
        <f t="shared" si="176"/>
        <v>0.29666666666666669</v>
      </c>
      <c r="T465" s="5">
        <f t="shared" si="177"/>
        <v>0.12666666666666665</v>
      </c>
      <c r="U465" s="5">
        <f t="shared" si="178"/>
        <v>0.42333333333333334</v>
      </c>
      <c r="V465" s="3">
        <f t="shared" si="179"/>
        <v>3.3333333333333335</v>
      </c>
      <c r="W465" s="5">
        <f t="shared" si="180"/>
        <v>0.21166666666666667</v>
      </c>
      <c r="X465" s="5">
        <f>IFERROR(IF(OR($B465="MID",$B465="FWD"),INDEX(FIXTURE_ANALYSIS!$Q:$Q,MATCH($D465,FIXTURE_ANALYSIS!$A:$A,0)),INDEX(FIXTURE_ANALYSIS!$R:$R,MATCH($D465,FIXTURE_ANALYSIS!$A:$A,0))),1)</f>
        <v>1.1338276422764224</v>
      </c>
      <c r="Y465" s="5">
        <f t="shared" si="181"/>
        <v>1.1338276422764224</v>
      </c>
      <c r="Z465" s="8">
        <f>INDEX(FPL_Raw_Data!$T:$T,MATCH(A465,FPL_Raw_Data!$AA:$AA,0))</f>
        <v>3</v>
      </c>
      <c r="AA465" s="8">
        <f>INDEX(FPL_Raw_Data!$S:$S,MATCH(A465,FPL_Raw_Data!$AA:$AA,0))</f>
        <v>18</v>
      </c>
      <c r="AB465" s="2">
        <f t="shared" si="182"/>
        <v>1</v>
      </c>
      <c r="AC465" s="2">
        <f>INDEX(FPL_Raw_Data!$Q:$Q,MATCH(A465,FPL_Raw_Data!$AA:$AA,0))</f>
        <v>4</v>
      </c>
      <c r="AD465" s="8">
        <f>INDEX(FPL_Raw_Data!$R:$R,MATCH(A465,FPL_Raw_Data!$AA:$AA,0))</f>
        <v>74</v>
      </c>
      <c r="AE465" s="8">
        <f>INDEX(FPL_Raw_Data!$N:$N,MATCH(A465,FPL_Raw_Data!$AA:$AA,0))</f>
        <v>1</v>
      </c>
      <c r="AF465" s="8">
        <f>INDEX(FPL_Raw_Data!$L:$L,MATCH(A465,FPL_Raw_Data!$AA:$AA,0))</f>
        <v>1</v>
      </c>
      <c r="AG465" s="2">
        <f>INDEX(FPL_Raw_Data!$M:$M,MATCH(A465,FPL_Raw_Data!$AA:$AA,0))</f>
        <v>0</v>
      </c>
      <c r="AH465" s="2">
        <f t="shared" si="183"/>
        <v>1.7800000000000002</v>
      </c>
      <c r="AI465" s="2">
        <f t="shared" si="184"/>
        <v>0.37999999999999995</v>
      </c>
      <c r="AJ465" s="2">
        <f t="shared" si="185"/>
        <v>2</v>
      </c>
      <c r="AK465" s="2">
        <f t="shared" si="186"/>
        <v>2</v>
      </c>
      <c r="AL465" s="2">
        <f t="shared" si="187"/>
        <v>0.33333333333333331</v>
      </c>
      <c r="AM465" s="2">
        <f t="shared" si="188"/>
        <v>1.3333333333333333</v>
      </c>
      <c r="AN465" s="2">
        <f t="shared" si="189"/>
        <v>1.3333333333333333</v>
      </c>
      <c r="AO465" s="3">
        <f t="shared" si="190"/>
        <v>84.8</v>
      </c>
      <c r="AP465">
        <f t="shared" si="191"/>
        <v>89.3</v>
      </c>
      <c r="AQ465">
        <f t="shared" si="192"/>
        <v>96.1</v>
      </c>
      <c r="AR465">
        <f t="shared" si="193"/>
        <v>95.1</v>
      </c>
      <c r="AS465" s="2">
        <f t="shared" si="194"/>
        <v>100</v>
      </c>
      <c r="AT465" s="2">
        <f>IFERROR(INDEX(Player_Model!$BC$2:$BC$596,MATCH($A465,Player_Model!$A$2:$A$596,0)),0)</f>
        <v>7.040923678122132</v>
      </c>
      <c r="AU465" s="2">
        <f>Table8[[#This Row],[Model Expected Points]]*Table8[[#This Row],[Fixture Adjustment]]</f>
        <v>7.9831938934134534</v>
      </c>
      <c r="AV465" s="2">
        <f>Table8[[#This Row],[Fixture Adjusted Points / 90]]/Table8[[#This Row],[Price]]</f>
        <v>1.3305323155689088</v>
      </c>
      <c r="AW465">
        <f t="shared" si="195"/>
        <v>89.3</v>
      </c>
      <c r="AX465">
        <f t="shared" si="196"/>
        <v>1.0669138211382112</v>
      </c>
      <c r="AY465" s="2">
        <f t="shared" si="197"/>
        <v>100</v>
      </c>
      <c r="AZ465" s="5">
        <f t="shared" si="198"/>
        <v>1.1338276422764224</v>
      </c>
      <c r="BA465">
        <f>Table8[[#This Row],[Model Score2]]</f>
        <v>7.040923678122132</v>
      </c>
      <c r="BB465">
        <f>IFERROR(INDEX(Player_Model!$BG$2:$BG$596,MATCH($A465,Player_Model!$A$2:$A$596,0)),"")</f>
        <v>11</v>
      </c>
      <c r="BC465" t="str">
        <f t="shared" si="199"/>
        <v>AVOID</v>
      </c>
      <c r="BD465">
        <f>IF(H465=1,Table8[[#This Row],[Model Score]],-10000)</f>
        <v>7.040923678122132</v>
      </c>
      <c r="BE465">
        <f>IFERROR(INDEX(Player_Model!$BF$2:$BF$596,MATCH($A465,Player_Model!$A$2:$A$596,0)),"")</f>
        <v>20</v>
      </c>
      <c r="BF465">
        <f>IFERROR(INDEX(Player_Model!$BG$2:$BG$596,MATCH($A465,Player_Model!$A$2:$A$596,0)),"")</f>
        <v>11</v>
      </c>
      <c r="BG465">
        <f>IFERROR(INDEX(Player_Model!$BE$2:$BE$596,MATCH($A465,Player_Model!$A$2:$A$596,0)),0)</f>
        <v>7.040923678122132</v>
      </c>
    </row>
    <row r="466" spans="1:59" x14ac:dyDescent="0.25">
      <c r="A466" t="str">
        <f>tblPlayers[first_name]&amp;" "&amp;tblPlayers[second_name]</f>
        <v>Matheus Nunes</v>
      </c>
      <c r="B466" t="str">
        <f>_xlfn.SWITCH(tblPlayers[element_type],1,"GK",2,"DEF",3,"MID",4,"FWD")</f>
        <v>DEF</v>
      </c>
      <c r="C466">
        <f>tblPlayers[team]</f>
        <v>15</v>
      </c>
      <c r="D466" t="str">
        <f>INDEX(tblTeams[Column1.short_name],MATCH(C466,tblTeams[Column1.id],0))</f>
        <v>MCI</v>
      </c>
      <c r="E466" s="4">
        <f>INDEX(FPL_Raw_Data!$F:$F,MATCH(A466,FPL_Raw_Data!$AA:$AA,0))/10</f>
        <v>5.9</v>
      </c>
      <c r="F466" s="4" t="str">
        <f>tblPlayers[[#This Row],[status]]</f>
        <v>a</v>
      </c>
      <c r="G466" s="4" t="b">
        <f>tblPlayers[[#This Row],[can_select]]</f>
        <v>1</v>
      </c>
      <c r="H466">
        <f>IF(AND(Table8[[#This Row],[Availability Status]]="a",Table8[[#This Row],[Can Select]]=TRUE),1,0)</f>
        <v>1</v>
      </c>
      <c r="I466">
        <f>tblPlayers[minutes]</f>
        <v>33</v>
      </c>
      <c r="J466" s="2">
        <f>Table8[[#This Row],[Minutes]]/90</f>
        <v>0.36666666666666664</v>
      </c>
      <c r="K466" s="5">
        <f>IFERROR(Z466/(FIXTURE_ANALYSIS!$B$1-1),0)</f>
        <v>0</v>
      </c>
      <c r="L466">
        <f>tblPlayers[total_points]</f>
        <v>1</v>
      </c>
      <c r="M466">
        <f>tblPlayers[points_per_game]</f>
        <v>1</v>
      </c>
      <c r="N466">
        <f>tblPlayers[form]</f>
        <v>0.3</v>
      </c>
      <c r="O466">
        <f>tblPlayers[expected_goals]</f>
        <v>0</v>
      </c>
      <c r="P466">
        <f>tblPlayers[expected_assists]</f>
        <v>0.04</v>
      </c>
      <c r="Q466">
        <f>tblPlayers[expected_goal_involvements]</f>
        <v>0.04</v>
      </c>
      <c r="R466" s="2">
        <f t="shared" si="175"/>
        <v>2.7272727272727275</v>
      </c>
      <c r="S466" s="5">
        <f t="shared" si="176"/>
        <v>0</v>
      </c>
      <c r="T466" s="5">
        <f t="shared" si="177"/>
        <v>0.10909090909090909</v>
      </c>
      <c r="U466" s="5">
        <f t="shared" si="178"/>
        <v>0.10909090909090909</v>
      </c>
      <c r="V466" s="3">
        <f t="shared" si="179"/>
        <v>0.16949152542372881</v>
      </c>
      <c r="W466" s="5">
        <f t="shared" si="180"/>
        <v>6.7796610169491523E-3</v>
      </c>
      <c r="X466" s="5">
        <f>IFERROR(IF(OR($B466="MID",$B466="FWD"),INDEX(FIXTURE_ANALYSIS!$Q:$Q,MATCH($D466,FIXTURE_ANALYSIS!$A:$A,0)),INDEX(FIXTURE_ANALYSIS!$R:$R,MATCH($D466,FIXTURE_ANALYSIS!$A:$A,0))),1)</f>
        <v>1.1338276422764224</v>
      </c>
      <c r="Y466" s="5">
        <f t="shared" si="181"/>
        <v>1.1338276422764224</v>
      </c>
      <c r="Z466" s="8">
        <f>INDEX(FPL_Raw_Data!$T:$T,MATCH(A466,FPL_Raw_Data!$AA:$AA,0))</f>
        <v>0</v>
      </c>
      <c r="AA466" s="8">
        <f>INDEX(FPL_Raw_Data!$S:$S,MATCH(A466,FPL_Raw_Data!$AA:$AA,0))</f>
        <v>1</v>
      </c>
      <c r="AB466" s="2">
        <f t="shared" si="182"/>
        <v>0.1</v>
      </c>
      <c r="AC466" s="2">
        <f>INDEX(FPL_Raw_Data!$Q:$Q,MATCH(A466,FPL_Raw_Data!$AA:$AA,0))</f>
        <v>0</v>
      </c>
      <c r="AD466" s="8">
        <f>INDEX(FPL_Raw_Data!$R:$R,MATCH(A466,FPL_Raw_Data!$AA:$AA,0))</f>
        <v>4</v>
      </c>
      <c r="AE466" s="8">
        <f>INDEX(FPL_Raw_Data!$N:$N,MATCH(A466,FPL_Raw_Data!$AA:$AA,0))</f>
        <v>0</v>
      </c>
      <c r="AF466" s="8">
        <f>INDEX(FPL_Raw_Data!$L:$L,MATCH(A466,FPL_Raw_Data!$AA:$AA,0))</f>
        <v>0</v>
      </c>
      <c r="AG466" s="2">
        <f>INDEX(FPL_Raw_Data!$M:$M,MATCH(A466,FPL_Raw_Data!$AA:$AA,0))</f>
        <v>0</v>
      </c>
      <c r="AH466" s="2">
        <f t="shared" si="183"/>
        <v>0</v>
      </c>
      <c r="AI466" s="2">
        <f t="shared" si="184"/>
        <v>0.32727272727272727</v>
      </c>
      <c r="AJ466" s="2">
        <f t="shared" si="185"/>
        <v>0</v>
      </c>
      <c r="AK466" s="2">
        <f t="shared" si="186"/>
        <v>0.2</v>
      </c>
      <c r="AL466" s="2">
        <f t="shared" si="187"/>
        <v>0</v>
      </c>
      <c r="AM466" s="2">
        <f t="shared" si="188"/>
        <v>0</v>
      </c>
      <c r="AN466" s="2">
        <f t="shared" si="189"/>
        <v>0</v>
      </c>
      <c r="AO466" s="3">
        <f t="shared" si="190"/>
        <v>55.2</v>
      </c>
      <c r="AP466">
        <f t="shared" si="191"/>
        <v>69</v>
      </c>
      <c r="AQ466">
        <f t="shared" si="192"/>
        <v>42</v>
      </c>
      <c r="AR466">
        <f t="shared" si="193"/>
        <v>57.999999999999993</v>
      </c>
      <c r="AS466" s="2">
        <f t="shared" si="194"/>
        <v>0</v>
      </c>
      <c r="AT466" s="2">
        <f>IFERROR(INDEX(Player_Model!$BC$2:$BC$596,MATCH($A466,Player_Model!$A$2:$A$596,0)),0)</f>
        <v>-0.37794254742547412</v>
      </c>
      <c r="AU466" s="2">
        <f>Table8[[#This Row],[Model Expected Points]]*Table8[[#This Row],[Fixture Adjustment]]</f>
        <v>-0.42852170746337026</v>
      </c>
      <c r="AV466" s="2">
        <f>Table8[[#This Row],[Fixture Adjusted Points / 90]]/Table8[[#This Row],[Price]]</f>
        <v>-7.2630797875147493E-2</v>
      </c>
      <c r="AW466">
        <f t="shared" si="195"/>
        <v>69</v>
      </c>
      <c r="AX466">
        <f t="shared" si="196"/>
        <v>0.61691382113821125</v>
      </c>
      <c r="AY466" s="2">
        <f t="shared" si="197"/>
        <v>0</v>
      </c>
      <c r="AZ466" s="5">
        <f t="shared" si="198"/>
        <v>1.1338276422764224</v>
      </c>
      <c r="BA466">
        <f>Table8[[#This Row],[Model Score2]]</f>
        <v>-0.37794254742547412</v>
      </c>
      <c r="BB466">
        <f>IFERROR(INDEX(Player_Model!$BG$2:$BG$596,MATCH($A466,Player_Model!$A$2:$A$596,0)),"")</f>
        <v>114</v>
      </c>
      <c r="BC466" t="str">
        <f t="shared" si="199"/>
        <v>AVOID</v>
      </c>
      <c r="BD466">
        <f>IF(H466=1,Table8[[#This Row],[Model Score]],-10000)</f>
        <v>-0.37794254742547412</v>
      </c>
      <c r="BE466">
        <f>IFERROR(INDEX(Player_Model!$BF$2:$BF$596,MATCH($A466,Player_Model!$A$2:$A$596,0)),"")</f>
        <v>517</v>
      </c>
      <c r="BF466">
        <f>IFERROR(INDEX(Player_Model!$BG$2:$BG$596,MATCH($A466,Player_Model!$A$2:$A$596,0)),"")</f>
        <v>114</v>
      </c>
      <c r="BG466">
        <f>IFERROR(INDEX(Player_Model!$BE$2:$BE$596,MATCH($A466,Player_Model!$A$2:$A$596,0)),0)</f>
        <v>-0.37794254742547412</v>
      </c>
    </row>
    <row r="467" spans="1:59" x14ac:dyDescent="0.25">
      <c r="A467" t="str">
        <f>tblPlayers[first_name]&amp;" "&amp;tblPlayers[second_name]</f>
        <v>Rúben dos Santos Gato Alves Dias</v>
      </c>
      <c r="B467" t="str">
        <f>_xlfn.SWITCH(tblPlayers[element_type],1,"GK",2,"DEF",3,"MID",4,"FWD")</f>
        <v>DEF</v>
      </c>
      <c r="C467">
        <f>tblPlayers[team]</f>
        <v>15</v>
      </c>
      <c r="D467" t="str">
        <f>INDEX(tblTeams[Column1.short_name],MATCH(C467,tblTeams[Column1.id],0))</f>
        <v>MCI</v>
      </c>
      <c r="E467" s="4">
        <f>INDEX(FPL_Raw_Data!$F:$F,MATCH(A467,FPL_Raw_Data!$AA:$AA,0))/10</f>
        <v>5.5</v>
      </c>
      <c r="F467" s="4" t="str">
        <f>tblPlayers[[#This Row],[status]]</f>
        <v>a</v>
      </c>
      <c r="G467" s="4" t="b">
        <f>tblPlayers[[#This Row],[can_select]]</f>
        <v>1</v>
      </c>
      <c r="H467">
        <f>IF(AND(Table8[[#This Row],[Availability Status]]="a",Table8[[#This Row],[Can Select]]=TRUE),1,0)</f>
        <v>1</v>
      </c>
      <c r="I467">
        <f>tblPlayers[minutes]</f>
        <v>270</v>
      </c>
      <c r="J467" s="2">
        <f>Table8[[#This Row],[Minutes]]/90</f>
        <v>3</v>
      </c>
      <c r="K467" s="5">
        <f>IFERROR(Z467/(FIXTURE_ANALYSIS!$B$1-1),0)</f>
        <v>1</v>
      </c>
      <c r="L467">
        <f>tblPlayers[total_points]</f>
        <v>10</v>
      </c>
      <c r="M467">
        <f>tblPlayers[points_per_game]</f>
        <v>3.3</v>
      </c>
      <c r="N467">
        <f>tblPlayers[form]</f>
        <v>3.3</v>
      </c>
      <c r="O467">
        <f>tblPlayers[expected_goals]</f>
        <v>0.09</v>
      </c>
      <c r="P467">
        <f>tblPlayers[expected_assists]</f>
        <v>0.74</v>
      </c>
      <c r="Q467">
        <f>tblPlayers[expected_goal_involvements]</f>
        <v>0.83</v>
      </c>
      <c r="R467" s="2">
        <f t="shared" si="175"/>
        <v>3.333333333333333</v>
      </c>
      <c r="S467" s="5">
        <f t="shared" si="176"/>
        <v>0.03</v>
      </c>
      <c r="T467" s="5">
        <f t="shared" si="177"/>
        <v>0.24666666666666665</v>
      </c>
      <c r="U467" s="5">
        <f t="shared" si="178"/>
        <v>0.27666666666666667</v>
      </c>
      <c r="V467" s="3">
        <f t="shared" si="179"/>
        <v>1.8181818181818181</v>
      </c>
      <c r="W467" s="5">
        <f t="shared" si="180"/>
        <v>0.15090909090909091</v>
      </c>
      <c r="X467" s="5">
        <f>IFERROR(IF(OR($B467="MID",$B467="FWD"),INDEX(FIXTURE_ANALYSIS!$Q:$Q,MATCH($D467,FIXTURE_ANALYSIS!$A:$A,0)),INDEX(FIXTURE_ANALYSIS!$R:$R,MATCH($D467,FIXTURE_ANALYSIS!$A:$A,0))),1)</f>
        <v>1.1338276422764224</v>
      </c>
      <c r="Y467" s="5">
        <f t="shared" si="181"/>
        <v>1.1338276422764224</v>
      </c>
      <c r="Z467" s="8">
        <f>INDEX(FPL_Raw_Data!$T:$T,MATCH(A467,FPL_Raw_Data!$AA:$AA,0))</f>
        <v>3</v>
      </c>
      <c r="AA467" s="8">
        <f>INDEX(FPL_Raw_Data!$S:$S,MATCH(A467,FPL_Raw_Data!$AA:$AA,0))</f>
        <v>15</v>
      </c>
      <c r="AB467" s="2">
        <f t="shared" si="182"/>
        <v>1</v>
      </c>
      <c r="AC467" s="2">
        <f>INDEX(FPL_Raw_Data!$Q:$Q,MATCH(A467,FPL_Raw_Data!$AA:$AA,0))</f>
        <v>0</v>
      </c>
      <c r="AD467" s="8">
        <f>INDEX(FPL_Raw_Data!$R:$R,MATCH(A467,FPL_Raw_Data!$AA:$AA,0))</f>
        <v>55</v>
      </c>
      <c r="AE467" s="8">
        <f>INDEX(FPL_Raw_Data!$N:$N,MATCH(A467,FPL_Raw_Data!$AA:$AA,0))</f>
        <v>1</v>
      </c>
      <c r="AF467" s="8">
        <f>INDEX(FPL_Raw_Data!$L:$L,MATCH(A467,FPL_Raw_Data!$AA:$AA,0))</f>
        <v>0</v>
      </c>
      <c r="AG467" s="2">
        <f>INDEX(FPL_Raw_Data!$M:$M,MATCH(A467,FPL_Raw_Data!$AA:$AA,0))</f>
        <v>0</v>
      </c>
      <c r="AH467" s="2">
        <f t="shared" si="183"/>
        <v>0.18</v>
      </c>
      <c r="AI467" s="2">
        <f t="shared" si="184"/>
        <v>0.74</v>
      </c>
      <c r="AJ467" s="2">
        <f t="shared" si="185"/>
        <v>2</v>
      </c>
      <c r="AK467" s="2">
        <f t="shared" si="186"/>
        <v>2</v>
      </c>
      <c r="AL467" s="2">
        <f t="shared" si="187"/>
        <v>0.33333333333333331</v>
      </c>
      <c r="AM467" s="2">
        <f t="shared" si="188"/>
        <v>1.3333333333333333</v>
      </c>
      <c r="AN467" s="2">
        <f t="shared" si="189"/>
        <v>0</v>
      </c>
      <c r="AO467" s="3">
        <f t="shared" si="190"/>
        <v>62.2</v>
      </c>
      <c r="AP467">
        <f t="shared" si="191"/>
        <v>82.1</v>
      </c>
      <c r="AQ467">
        <f t="shared" si="192"/>
        <v>84.5</v>
      </c>
      <c r="AR467">
        <f t="shared" si="193"/>
        <v>91.7</v>
      </c>
      <c r="AS467" s="2">
        <f t="shared" si="194"/>
        <v>100</v>
      </c>
      <c r="AT467" s="2">
        <f>IFERROR(INDEX(Player_Model!$BC$2:$BC$596,MATCH($A467,Player_Model!$A$2:$A$596,0)),0)</f>
        <v>5.4997383187858455</v>
      </c>
      <c r="AU467" s="2">
        <f>Table8[[#This Row],[Model Expected Points]]*Table8[[#This Row],[Fixture Adjustment]]</f>
        <v>6.2357553311262501</v>
      </c>
      <c r="AV467" s="2">
        <f>Table8[[#This Row],[Fixture Adjusted Points / 90]]/Table8[[#This Row],[Price]]</f>
        <v>1.1337736965684091</v>
      </c>
      <c r="AW467">
        <f t="shared" si="195"/>
        <v>82.1</v>
      </c>
      <c r="AX467">
        <f t="shared" si="196"/>
        <v>1.0669138211382112</v>
      </c>
      <c r="AY467" s="2">
        <f t="shared" si="197"/>
        <v>100</v>
      </c>
      <c r="AZ467" s="5">
        <f t="shared" si="198"/>
        <v>1.1338276422764224</v>
      </c>
      <c r="BA467">
        <f>Table8[[#This Row],[Model Score2]]</f>
        <v>5.4997383187858455</v>
      </c>
      <c r="BB467">
        <f>IFERROR(INDEX(Player_Model!$BG$2:$BG$596,MATCH($A467,Player_Model!$A$2:$A$596,0)),"")</f>
        <v>29</v>
      </c>
      <c r="BC467" t="str">
        <f t="shared" si="199"/>
        <v>AVOID</v>
      </c>
      <c r="BD467">
        <f>IF(H467=1,Table8[[#This Row],[Model Score]],-10000)</f>
        <v>5.4997383187858455</v>
      </c>
      <c r="BE467">
        <f>IFERROR(INDEX(Player_Model!$BF$2:$BF$596,MATCH($A467,Player_Model!$A$2:$A$596,0)),"")</f>
        <v>65</v>
      </c>
      <c r="BF467">
        <f>IFERROR(INDEX(Player_Model!$BG$2:$BG$596,MATCH($A467,Player_Model!$A$2:$A$596,0)),"")</f>
        <v>29</v>
      </c>
      <c r="BG467">
        <f>IFERROR(INDEX(Player_Model!$BE$2:$BE$596,MATCH($A467,Player_Model!$A$2:$A$596,0)),0)</f>
        <v>5.4997383187858455</v>
      </c>
    </row>
    <row r="468" spans="1:59" x14ac:dyDescent="0.25">
      <c r="A468" t="str">
        <f>tblPlayers[first_name]&amp;" "&amp;tblPlayers[second_name]</f>
        <v>Joško Gvardiol</v>
      </c>
      <c r="B468" t="str">
        <f>_xlfn.SWITCH(tblPlayers[element_type],1,"GK",2,"DEF",3,"MID",4,"FWD")</f>
        <v>DEF</v>
      </c>
      <c r="C468">
        <f>tblPlayers[team]</f>
        <v>15</v>
      </c>
      <c r="D468" t="str">
        <f>INDEX(tblTeams[Column1.short_name],MATCH(C468,tblTeams[Column1.id],0))</f>
        <v>MCI</v>
      </c>
      <c r="E468" s="4">
        <f>INDEX(FPL_Raw_Data!$F:$F,MATCH(A468,FPL_Raw_Data!$AA:$AA,0))/10</f>
        <v>5.6</v>
      </c>
      <c r="F468" s="4" t="str">
        <f>tblPlayers[[#This Row],[status]]</f>
        <v>a</v>
      </c>
      <c r="G468" s="4" t="b">
        <f>tblPlayers[[#This Row],[can_select]]</f>
        <v>1</v>
      </c>
      <c r="H468">
        <f>IF(AND(Table8[[#This Row],[Availability Status]]="a",Table8[[#This Row],[Can Select]]=TRUE),1,0)</f>
        <v>1</v>
      </c>
      <c r="I468">
        <f>tblPlayers[minutes]</f>
        <v>254</v>
      </c>
      <c r="J468" s="2">
        <f>Table8[[#This Row],[Minutes]]/90</f>
        <v>2.8222222222222224</v>
      </c>
      <c r="K468" s="5">
        <f>IFERROR(Z468/(FIXTURE_ANALYSIS!$B$1-1),0)</f>
        <v>1</v>
      </c>
      <c r="L468">
        <f>tblPlayers[total_points]</f>
        <v>22</v>
      </c>
      <c r="M468">
        <f>tblPlayers[points_per_game]</f>
        <v>7.3</v>
      </c>
      <c r="N468">
        <f>tblPlayers[form]</f>
        <v>7.3</v>
      </c>
      <c r="O468">
        <f>tblPlayers[expected_goals]</f>
        <v>0.2</v>
      </c>
      <c r="P468">
        <f>tblPlayers[expected_assists]</f>
        <v>0.11</v>
      </c>
      <c r="Q468">
        <f>tblPlayers[expected_goal_involvements]</f>
        <v>0.31</v>
      </c>
      <c r="R468" s="2">
        <f t="shared" si="175"/>
        <v>7.7952755905511806</v>
      </c>
      <c r="S468" s="5">
        <f t="shared" si="176"/>
        <v>7.0866141732283477E-2</v>
      </c>
      <c r="T468" s="5">
        <f t="shared" si="177"/>
        <v>3.8976377952755908E-2</v>
      </c>
      <c r="U468" s="5">
        <f t="shared" si="178"/>
        <v>0.10984251968503937</v>
      </c>
      <c r="V468" s="3">
        <f t="shared" si="179"/>
        <v>3.9285714285714288</v>
      </c>
      <c r="W468" s="5">
        <f t="shared" si="180"/>
        <v>5.5357142857142862E-2</v>
      </c>
      <c r="X468" s="5">
        <f>IFERROR(IF(OR($B468="MID",$B468="FWD"),INDEX(FIXTURE_ANALYSIS!$Q:$Q,MATCH($D468,FIXTURE_ANALYSIS!$A:$A,0)),INDEX(FIXTURE_ANALYSIS!$R:$R,MATCH($D468,FIXTURE_ANALYSIS!$A:$A,0))),1)</f>
        <v>1.1338276422764224</v>
      </c>
      <c r="Y468" s="5">
        <f t="shared" si="181"/>
        <v>1.1338276422764224</v>
      </c>
      <c r="Z468" s="8">
        <f>INDEX(FPL_Raw_Data!$T:$T,MATCH(A468,FPL_Raw_Data!$AA:$AA,0))</f>
        <v>3</v>
      </c>
      <c r="AA468" s="8">
        <f>INDEX(FPL_Raw_Data!$S:$S,MATCH(A468,FPL_Raw_Data!$AA:$AA,0))</f>
        <v>17</v>
      </c>
      <c r="AB468" s="2">
        <f t="shared" si="182"/>
        <v>1</v>
      </c>
      <c r="AC468" s="2">
        <f>INDEX(FPL_Raw_Data!$Q:$Q,MATCH(A468,FPL_Raw_Data!$AA:$AA,0))</f>
        <v>3</v>
      </c>
      <c r="AD468" s="8">
        <f>INDEX(FPL_Raw_Data!$R:$R,MATCH(A468,FPL_Raw_Data!$AA:$AA,0))</f>
        <v>77</v>
      </c>
      <c r="AE468" s="8">
        <f>INDEX(FPL_Raw_Data!$N:$N,MATCH(A468,FPL_Raw_Data!$AA:$AA,0))</f>
        <v>1</v>
      </c>
      <c r="AF468" s="8">
        <f>INDEX(FPL_Raw_Data!$L:$L,MATCH(A468,FPL_Raw_Data!$AA:$AA,0))</f>
        <v>1</v>
      </c>
      <c r="AG468" s="2">
        <f>INDEX(FPL_Raw_Data!$M:$M,MATCH(A468,FPL_Raw_Data!$AA:$AA,0))</f>
        <v>1</v>
      </c>
      <c r="AH468" s="2">
        <f t="shared" si="183"/>
        <v>0.42519685039370086</v>
      </c>
      <c r="AI468" s="2">
        <f t="shared" si="184"/>
        <v>0.11692913385826773</v>
      </c>
      <c r="AJ468" s="2">
        <f t="shared" si="185"/>
        <v>2</v>
      </c>
      <c r="AK468" s="2">
        <f t="shared" si="186"/>
        <v>2</v>
      </c>
      <c r="AL468" s="2">
        <f t="shared" si="187"/>
        <v>0.33333333333333331</v>
      </c>
      <c r="AM468" s="2">
        <f t="shared" si="188"/>
        <v>1.3333333333333333</v>
      </c>
      <c r="AN468" s="2">
        <f t="shared" si="189"/>
        <v>1</v>
      </c>
      <c r="AO468" s="3">
        <f t="shared" si="190"/>
        <v>88.5</v>
      </c>
      <c r="AP468">
        <f t="shared" si="191"/>
        <v>69.099999999999994</v>
      </c>
      <c r="AQ468">
        <f t="shared" si="192"/>
        <v>98.4</v>
      </c>
      <c r="AR468">
        <f t="shared" si="193"/>
        <v>77.2</v>
      </c>
      <c r="AS468" s="2">
        <f t="shared" si="194"/>
        <v>100</v>
      </c>
      <c r="AT468" s="2">
        <f>IFERROR(INDEX(Player_Model!$BC$2:$BC$596,MATCH($A468,Player_Model!$A$2:$A$596,0)),0)</f>
        <v>5.4627788012035801</v>
      </c>
      <c r="AU468" s="2">
        <f>Table8[[#This Row],[Model Expected Points]]*Table8[[#This Row],[Fixture Adjustment]]</f>
        <v>6.1938496084462766</v>
      </c>
      <c r="AV468" s="2">
        <f>Table8[[#This Row],[Fixture Adjusted Points / 90]]/Table8[[#This Row],[Price]]</f>
        <v>1.1060445729368351</v>
      </c>
      <c r="AW468">
        <f t="shared" si="195"/>
        <v>69.099999999999994</v>
      </c>
      <c r="AX468">
        <f t="shared" si="196"/>
        <v>1.0669138211382112</v>
      </c>
      <c r="AY468" s="2">
        <f t="shared" si="197"/>
        <v>100</v>
      </c>
      <c r="AZ468" s="5">
        <f t="shared" si="198"/>
        <v>1.1338276422764224</v>
      </c>
      <c r="BA468">
        <f>Table8[[#This Row],[Model Score2]]</f>
        <v>5.4627788012035801</v>
      </c>
      <c r="BB468">
        <f>IFERROR(INDEX(Player_Model!$BG$2:$BG$596,MATCH($A468,Player_Model!$A$2:$A$596,0)),"")</f>
        <v>30</v>
      </c>
      <c r="BC468" t="str">
        <f t="shared" si="199"/>
        <v>AVOID</v>
      </c>
      <c r="BD468">
        <f>IF(H468=1,Table8[[#This Row],[Model Score]],-10000)</f>
        <v>5.4627788012035801</v>
      </c>
      <c r="BE468">
        <f>IFERROR(INDEX(Player_Model!$BF$2:$BF$596,MATCH($A468,Player_Model!$A$2:$A$596,0)),"")</f>
        <v>69</v>
      </c>
      <c r="BF468">
        <f>IFERROR(INDEX(Player_Model!$BG$2:$BG$596,MATCH($A468,Player_Model!$A$2:$A$596,0)),"")</f>
        <v>30</v>
      </c>
      <c r="BG468">
        <f>IFERROR(INDEX(Player_Model!$BE$2:$BE$596,MATCH($A468,Player_Model!$A$2:$A$596,0)),0)</f>
        <v>5.4627788012035801</v>
      </c>
    </row>
    <row r="469" spans="1:59" x14ac:dyDescent="0.25">
      <c r="A469" t="str">
        <f>tblPlayers[first_name]&amp;" "&amp;tblPlayers[second_name]</f>
        <v>Rayan Aït-Nouri</v>
      </c>
      <c r="B469" t="str">
        <f>_xlfn.SWITCH(tblPlayers[element_type],1,"GK",2,"DEF",3,"MID",4,"FWD")</f>
        <v>DEF</v>
      </c>
      <c r="C469">
        <f>tblPlayers[team]</f>
        <v>15</v>
      </c>
      <c r="D469" t="str">
        <f>INDEX(tblTeams[Column1.short_name],MATCH(C469,tblTeams[Column1.id],0))</f>
        <v>MCI</v>
      </c>
      <c r="E469" s="4">
        <f>INDEX(FPL_Raw_Data!$F:$F,MATCH(A469,FPL_Raw_Data!$AA:$AA,0))/10</f>
        <v>5.4</v>
      </c>
      <c r="F469" s="4" t="str">
        <f>tblPlayers[[#This Row],[status]]</f>
        <v>a</v>
      </c>
      <c r="G469" s="4" t="b">
        <f>tblPlayers[[#This Row],[can_select]]</f>
        <v>1</v>
      </c>
      <c r="H469">
        <f>IF(AND(Table8[[#This Row],[Availability Status]]="a",Table8[[#This Row],[Can Select]]=TRUE),1,0)</f>
        <v>1</v>
      </c>
      <c r="I469">
        <f>tblPlayers[minutes]</f>
        <v>0</v>
      </c>
      <c r="J469" s="2">
        <f>Table8[[#This Row],[Minutes]]/90</f>
        <v>0</v>
      </c>
      <c r="K469" s="5">
        <f>IFERROR(Z469/(FIXTURE_ANALYSIS!$B$1-1),0)</f>
        <v>0</v>
      </c>
      <c r="L469">
        <f>tblPlayers[total_points]</f>
        <v>0</v>
      </c>
      <c r="M469">
        <f>tblPlayers[points_per_game]</f>
        <v>0</v>
      </c>
      <c r="N469">
        <f>tblPlayers[form]</f>
        <v>0</v>
      </c>
      <c r="O469">
        <f>tblPlayers[expected_goals]</f>
        <v>0</v>
      </c>
      <c r="P469">
        <f>tblPlayers[expected_assists]</f>
        <v>0</v>
      </c>
      <c r="Q469">
        <f>tblPlayers[expected_goal_involvements]</f>
        <v>0</v>
      </c>
      <c r="R469" s="2">
        <f t="shared" si="175"/>
        <v>0</v>
      </c>
      <c r="S469" s="5">
        <f t="shared" si="176"/>
        <v>0</v>
      </c>
      <c r="T469" s="5">
        <f t="shared" si="177"/>
        <v>0</v>
      </c>
      <c r="U469" s="5">
        <f t="shared" si="178"/>
        <v>0</v>
      </c>
      <c r="V469" s="3">
        <f t="shared" si="179"/>
        <v>0</v>
      </c>
      <c r="W469" s="5">
        <f t="shared" si="180"/>
        <v>0</v>
      </c>
      <c r="X469" s="5">
        <f>IFERROR(IF(OR($B469="MID",$B469="FWD"),INDEX(FIXTURE_ANALYSIS!$Q:$Q,MATCH($D469,FIXTURE_ANALYSIS!$A:$A,0)),INDEX(FIXTURE_ANALYSIS!$R:$R,MATCH($D469,FIXTURE_ANALYSIS!$A:$A,0))),1)</f>
        <v>1.1338276422764224</v>
      </c>
      <c r="Y469" s="5">
        <f t="shared" si="181"/>
        <v>1.1338276422764224</v>
      </c>
      <c r="Z469" s="8">
        <f>INDEX(FPL_Raw_Data!$T:$T,MATCH(A469,FPL_Raw_Data!$AA:$AA,0))</f>
        <v>0</v>
      </c>
      <c r="AA469" s="8">
        <f>INDEX(FPL_Raw_Data!$S:$S,MATCH(A469,FPL_Raw_Data!$AA:$AA,0))</f>
        <v>0</v>
      </c>
      <c r="AB469" s="2">
        <f t="shared" si="182"/>
        <v>0</v>
      </c>
      <c r="AC469" s="2">
        <f>INDEX(FPL_Raw_Data!$Q:$Q,MATCH(A469,FPL_Raw_Data!$AA:$AA,0))</f>
        <v>0</v>
      </c>
      <c r="AD469" s="8">
        <f>INDEX(FPL_Raw_Data!$R:$R,MATCH(A469,FPL_Raw_Data!$AA:$AA,0))</f>
        <v>0</v>
      </c>
      <c r="AE469" s="8">
        <f>INDEX(FPL_Raw_Data!$N:$N,MATCH(A469,FPL_Raw_Data!$AA:$AA,0))</f>
        <v>0</v>
      </c>
      <c r="AF469" s="8">
        <f>INDEX(FPL_Raw_Data!$L:$L,MATCH(A469,FPL_Raw_Data!$AA:$AA,0))</f>
        <v>0</v>
      </c>
      <c r="AG469" s="2">
        <f>INDEX(FPL_Raw_Data!$M:$M,MATCH(A469,FPL_Raw_Data!$AA:$AA,0))</f>
        <v>0</v>
      </c>
      <c r="AH469" s="2">
        <f t="shared" si="183"/>
        <v>0</v>
      </c>
      <c r="AI469" s="2">
        <f t="shared" si="184"/>
        <v>0</v>
      </c>
      <c r="AJ469" s="2">
        <f t="shared" si="185"/>
        <v>0</v>
      </c>
      <c r="AK469" s="2">
        <f t="shared" si="186"/>
        <v>0</v>
      </c>
      <c r="AL469" s="2">
        <f t="shared" si="187"/>
        <v>0</v>
      </c>
      <c r="AM469" s="2">
        <f t="shared" si="188"/>
        <v>0</v>
      </c>
      <c r="AN469" s="2">
        <f t="shared" si="189"/>
        <v>0</v>
      </c>
      <c r="AO469" s="3">
        <f t="shared" si="190"/>
        <v>0.1</v>
      </c>
      <c r="AP469">
        <f t="shared" si="191"/>
        <v>0</v>
      </c>
      <c r="AQ469">
        <f t="shared" si="192"/>
        <v>0.1</v>
      </c>
      <c r="AR469">
        <f t="shared" si="193"/>
        <v>0</v>
      </c>
      <c r="AS469" s="2">
        <f t="shared" si="194"/>
        <v>0</v>
      </c>
      <c r="AT469" s="2">
        <f>IFERROR(INDEX(Player_Model!$BC$2:$BC$596,MATCH($A469,Player_Model!$A$2:$A$596,0)),0)</f>
        <v>-0.37794254742547412</v>
      </c>
      <c r="AU469" s="2">
        <f>Table8[[#This Row],[Model Expected Points]]*Table8[[#This Row],[Fixture Adjustment]]</f>
        <v>-0.42852170746337026</v>
      </c>
      <c r="AV469" s="2">
        <f>Table8[[#This Row],[Fixture Adjusted Points / 90]]/Table8[[#This Row],[Price]]</f>
        <v>-7.9355871752475965E-2</v>
      </c>
      <c r="AW469">
        <f t="shared" si="195"/>
        <v>0</v>
      </c>
      <c r="AX469">
        <f t="shared" si="196"/>
        <v>0.5669138211382112</v>
      </c>
      <c r="AY469" s="2">
        <f t="shared" si="197"/>
        <v>0</v>
      </c>
      <c r="AZ469" s="5">
        <f t="shared" si="198"/>
        <v>1.1338276422764224</v>
      </c>
      <c r="BA469">
        <f>Table8[[#This Row],[Model Score2]]</f>
        <v>-0.37794254742547412</v>
      </c>
      <c r="BB469">
        <f>IFERROR(INDEX(Player_Model!$BG$2:$BG$596,MATCH($A469,Player_Model!$A$2:$A$596,0)),"")</f>
        <v>115</v>
      </c>
      <c r="BC469" t="str">
        <f t="shared" si="199"/>
        <v>AVOID</v>
      </c>
      <c r="BD469">
        <f>IF(H469=1,Table8[[#This Row],[Model Score]],-10000)</f>
        <v>-0.37794254742547412</v>
      </c>
      <c r="BE469">
        <f>IFERROR(INDEX(Player_Model!$BF$2:$BF$596,MATCH($A469,Player_Model!$A$2:$A$596,0)),"")</f>
        <v>517</v>
      </c>
      <c r="BF469">
        <f>IFERROR(INDEX(Player_Model!$BG$2:$BG$596,MATCH($A469,Player_Model!$A$2:$A$596,0)),"")</f>
        <v>115</v>
      </c>
      <c r="BG469">
        <f>IFERROR(INDEX(Player_Model!$BE$2:$BE$596,MATCH($A469,Player_Model!$A$2:$A$596,0)),0)</f>
        <v>-0.37794254742547412</v>
      </c>
    </row>
    <row r="470" spans="1:59" x14ac:dyDescent="0.25">
      <c r="A470" t="str">
        <f>tblPlayers[first_name]&amp;" "&amp;tblPlayers[second_name]</f>
        <v>Abdukodir Khusanov</v>
      </c>
      <c r="B470" t="str">
        <f>_xlfn.SWITCH(tblPlayers[element_type],1,"GK",2,"DEF",3,"MID",4,"FWD")</f>
        <v>DEF</v>
      </c>
      <c r="C470">
        <f>tblPlayers[team]</f>
        <v>15</v>
      </c>
      <c r="D470" t="str">
        <f>INDEX(tblTeams[Column1.short_name],MATCH(C470,tblTeams[Column1.id],0))</f>
        <v>MCI</v>
      </c>
      <c r="E470" s="4">
        <f>INDEX(FPL_Raw_Data!$F:$F,MATCH(A470,FPL_Raw_Data!$AA:$AA,0))/10</f>
        <v>5.5</v>
      </c>
      <c r="F470" s="4" t="str">
        <f>tblPlayers[[#This Row],[status]]</f>
        <v>a</v>
      </c>
      <c r="G470" s="4" t="b">
        <f>tblPlayers[[#This Row],[can_select]]</f>
        <v>1</v>
      </c>
      <c r="H470">
        <f>IF(AND(Table8[[#This Row],[Availability Status]]="a",Table8[[#This Row],[Can Select]]=TRUE),1,0)</f>
        <v>1</v>
      </c>
      <c r="I470">
        <f>tblPlayers[minutes]</f>
        <v>268</v>
      </c>
      <c r="J470" s="2">
        <f>Table8[[#This Row],[Minutes]]/90</f>
        <v>2.9777777777777779</v>
      </c>
      <c r="K470" s="5">
        <f>IFERROR(Z470/(FIXTURE_ANALYSIS!$B$1-1),0)</f>
        <v>1</v>
      </c>
      <c r="L470">
        <f>tblPlayers[total_points]</f>
        <v>9</v>
      </c>
      <c r="M470">
        <f>tblPlayers[points_per_game]</f>
        <v>3</v>
      </c>
      <c r="N470">
        <f>tblPlayers[form]</f>
        <v>3</v>
      </c>
      <c r="O470">
        <f>tblPlayers[expected_goals]</f>
        <v>0</v>
      </c>
      <c r="P470">
        <f>tblPlayers[expected_assists]</f>
        <v>0.06</v>
      </c>
      <c r="Q470">
        <f>tblPlayers[expected_goal_involvements]</f>
        <v>0.06</v>
      </c>
      <c r="R470" s="2">
        <f t="shared" si="175"/>
        <v>3.0223880597014925</v>
      </c>
      <c r="S470" s="5">
        <f t="shared" si="176"/>
        <v>0</v>
      </c>
      <c r="T470" s="5">
        <f t="shared" si="177"/>
        <v>2.0149253731343283E-2</v>
      </c>
      <c r="U470" s="5">
        <f t="shared" si="178"/>
        <v>2.0149253731343283E-2</v>
      </c>
      <c r="V470" s="3">
        <f t="shared" si="179"/>
        <v>1.6363636363636365</v>
      </c>
      <c r="W470" s="5">
        <f t="shared" si="180"/>
        <v>1.0909090909090908E-2</v>
      </c>
      <c r="X470" s="5">
        <f>IFERROR(IF(OR($B470="MID",$B470="FWD"),INDEX(FIXTURE_ANALYSIS!$Q:$Q,MATCH($D470,FIXTURE_ANALYSIS!$A:$A,0)),INDEX(FIXTURE_ANALYSIS!$R:$R,MATCH($D470,FIXTURE_ANALYSIS!$A:$A,0))),1)</f>
        <v>1.1338276422764224</v>
      </c>
      <c r="Y470" s="5">
        <f t="shared" si="181"/>
        <v>1.1338276422764224</v>
      </c>
      <c r="Z470" s="8">
        <f>INDEX(FPL_Raw_Data!$T:$T,MATCH(A470,FPL_Raw_Data!$AA:$AA,0))</f>
        <v>3</v>
      </c>
      <c r="AA470" s="8">
        <f>INDEX(FPL_Raw_Data!$S:$S,MATCH(A470,FPL_Raw_Data!$AA:$AA,0))</f>
        <v>17</v>
      </c>
      <c r="AB470" s="2">
        <f t="shared" si="182"/>
        <v>1</v>
      </c>
      <c r="AC470" s="2">
        <f>INDEX(FPL_Raw_Data!$Q:$Q,MATCH(A470,FPL_Raw_Data!$AA:$AA,0))</f>
        <v>0</v>
      </c>
      <c r="AD470" s="8">
        <f>INDEX(FPL_Raw_Data!$R:$R,MATCH(A470,FPL_Raw_Data!$AA:$AA,0))</f>
        <v>53</v>
      </c>
      <c r="AE470" s="8">
        <f>INDEX(FPL_Raw_Data!$N:$N,MATCH(A470,FPL_Raw_Data!$AA:$AA,0))</f>
        <v>1</v>
      </c>
      <c r="AF470" s="8">
        <f>INDEX(FPL_Raw_Data!$L:$L,MATCH(A470,FPL_Raw_Data!$AA:$AA,0))</f>
        <v>0</v>
      </c>
      <c r="AG470" s="2">
        <f>INDEX(FPL_Raw_Data!$M:$M,MATCH(A470,FPL_Raw_Data!$AA:$AA,0))</f>
        <v>0</v>
      </c>
      <c r="AH470" s="2">
        <f t="shared" si="183"/>
        <v>0</v>
      </c>
      <c r="AI470" s="2">
        <f t="shared" si="184"/>
        <v>6.044776119402985E-2</v>
      </c>
      <c r="AJ470" s="2">
        <f t="shared" si="185"/>
        <v>2</v>
      </c>
      <c r="AK470" s="2">
        <f t="shared" si="186"/>
        <v>2</v>
      </c>
      <c r="AL470" s="2">
        <f t="shared" si="187"/>
        <v>0.33333333333333331</v>
      </c>
      <c r="AM470" s="2">
        <f t="shared" si="188"/>
        <v>1.3333333333333333</v>
      </c>
      <c r="AN470" s="2">
        <f t="shared" si="189"/>
        <v>0</v>
      </c>
      <c r="AO470" s="3">
        <f t="shared" si="190"/>
        <v>60.199999999999996</v>
      </c>
      <c r="AP470">
        <f t="shared" si="191"/>
        <v>55.300000000000004</v>
      </c>
      <c r="AQ470">
        <f t="shared" si="192"/>
        <v>81.599999999999994</v>
      </c>
      <c r="AR470">
        <f t="shared" si="193"/>
        <v>60.6</v>
      </c>
      <c r="AS470" s="2">
        <f t="shared" si="194"/>
        <v>100</v>
      </c>
      <c r="AT470" s="2">
        <f>IFERROR(INDEX(Player_Model!$BC$2:$BC$596,MATCH($A470,Player_Model!$A$2:$A$596,0)),0)</f>
        <v>4.796366587734636</v>
      </c>
      <c r="AU470" s="2">
        <f>Table8[[#This Row],[Model Expected Points]]*Table8[[#This Row],[Fixture Adjustment]]</f>
        <v>5.4382530196645718</v>
      </c>
      <c r="AV470" s="2">
        <f>Table8[[#This Row],[Fixture Adjusted Points / 90]]/Table8[[#This Row],[Price]]</f>
        <v>0.98877327630264944</v>
      </c>
      <c r="AW470">
        <f t="shared" si="195"/>
        <v>55.300000000000004</v>
      </c>
      <c r="AX470">
        <f t="shared" si="196"/>
        <v>1.0669138211382112</v>
      </c>
      <c r="AY470" s="2">
        <f t="shared" si="197"/>
        <v>100</v>
      </c>
      <c r="AZ470" s="5">
        <f t="shared" si="198"/>
        <v>1.1338276422764224</v>
      </c>
      <c r="BA470">
        <f>Table8[[#This Row],[Model Score2]]</f>
        <v>4.796366587734636</v>
      </c>
      <c r="BB470">
        <f>IFERROR(INDEX(Player_Model!$BG$2:$BG$596,MATCH($A470,Player_Model!$A$2:$A$596,0)),"")</f>
        <v>40</v>
      </c>
      <c r="BC470" t="str">
        <f t="shared" si="199"/>
        <v>AVOID</v>
      </c>
      <c r="BD470">
        <f>IF(H470=1,Table8[[#This Row],[Model Score]],-10000)</f>
        <v>4.796366587734636</v>
      </c>
      <c r="BE470">
        <f>IFERROR(INDEX(Player_Model!$BF$2:$BF$596,MATCH($A470,Player_Model!$A$2:$A$596,0)),"")</f>
        <v>108</v>
      </c>
      <c r="BF470">
        <f>IFERROR(INDEX(Player_Model!$BG$2:$BG$596,MATCH($A470,Player_Model!$A$2:$A$596,0)),"")</f>
        <v>40</v>
      </c>
      <c r="BG470">
        <f>IFERROR(INDEX(Player_Model!$BE$2:$BE$596,MATCH($A470,Player_Model!$A$2:$A$596,0)),0)</f>
        <v>4.796366587734636</v>
      </c>
    </row>
    <row r="471" spans="1:59" x14ac:dyDescent="0.25">
      <c r="A471" t="str">
        <f>tblPlayers[first_name]&amp;" "&amp;tblPlayers[second_name]</f>
        <v>Max Alleyne</v>
      </c>
      <c r="B471" t="str">
        <f>_xlfn.SWITCH(tblPlayers[element_type],1,"GK",2,"DEF",3,"MID",4,"FWD")</f>
        <v>DEF</v>
      </c>
      <c r="C471">
        <f>tblPlayers[team]</f>
        <v>15</v>
      </c>
      <c r="D471" t="str">
        <f>INDEX(tblTeams[Column1.short_name],MATCH(C471,tblTeams[Column1.id],0))</f>
        <v>MCI</v>
      </c>
      <c r="E471" s="4">
        <f>INDEX(FPL_Raw_Data!$F:$F,MATCH(A471,FPL_Raw_Data!$AA:$AA,0))/10</f>
        <v>5</v>
      </c>
      <c r="F471" s="4" t="str">
        <f>tblPlayers[[#This Row],[status]]</f>
        <v>u</v>
      </c>
      <c r="G471" s="4" t="b">
        <f>tblPlayers[[#This Row],[can_select]]</f>
        <v>0</v>
      </c>
      <c r="H471">
        <f>IF(AND(Table8[[#This Row],[Availability Status]]="a",Table8[[#This Row],[Can Select]]=TRUE),1,0)</f>
        <v>0</v>
      </c>
      <c r="I471">
        <f>tblPlayers[minutes]</f>
        <v>0</v>
      </c>
      <c r="J471" s="2">
        <f>Table8[[#This Row],[Minutes]]/90</f>
        <v>0</v>
      </c>
      <c r="K471" s="5">
        <f>IFERROR(Z471/(FIXTURE_ANALYSIS!$B$1-1),0)</f>
        <v>0</v>
      </c>
      <c r="L471">
        <f>tblPlayers[total_points]</f>
        <v>0</v>
      </c>
      <c r="M471">
        <f>tblPlayers[points_per_game]</f>
        <v>0</v>
      </c>
      <c r="N471">
        <f>tblPlayers[form]</f>
        <v>0</v>
      </c>
      <c r="O471">
        <f>tblPlayers[expected_goals]</f>
        <v>0</v>
      </c>
      <c r="P471">
        <f>tblPlayers[expected_assists]</f>
        <v>0</v>
      </c>
      <c r="Q471">
        <f>tblPlayers[expected_goal_involvements]</f>
        <v>0</v>
      </c>
      <c r="R471" s="2">
        <f t="shared" si="175"/>
        <v>0</v>
      </c>
      <c r="S471" s="5">
        <f t="shared" si="176"/>
        <v>0</v>
      </c>
      <c r="T471" s="5">
        <f t="shared" si="177"/>
        <v>0</v>
      </c>
      <c r="U471" s="5">
        <f t="shared" si="178"/>
        <v>0</v>
      </c>
      <c r="V471" s="3">
        <f t="shared" si="179"/>
        <v>0</v>
      </c>
      <c r="W471" s="5">
        <f t="shared" si="180"/>
        <v>0</v>
      </c>
      <c r="X471" s="5">
        <f>IFERROR(IF(OR($B471="MID",$B471="FWD"),INDEX(FIXTURE_ANALYSIS!$Q:$Q,MATCH($D471,FIXTURE_ANALYSIS!$A:$A,0)),INDEX(FIXTURE_ANALYSIS!$R:$R,MATCH($D471,FIXTURE_ANALYSIS!$A:$A,0))),1)</f>
        <v>1.1338276422764224</v>
      </c>
      <c r="Y471" s="5">
        <f t="shared" si="181"/>
        <v>1.1338276422764224</v>
      </c>
      <c r="Z471" s="8">
        <f>INDEX(FPL_Raw_Data!$T:$T,MATCH(A471,FPL_Raw_Data!$AA:$AA,0))</f>
        <v>0</v>
      </c>
      <c r="AA471" s="8">
        <f>INDEX(FPL_Raw_Data!$S:$S,MATCH(A471,FPL_Raw_Data!$AA:$AA,0))</f>
        <v>0</v>
      </c>
      <c r="AB471" s="2">
        <f t="shared" si="182"/>
        <v>0</v>
      </c>
      <c r="AC471" s="2">
        <f>INDEX(FPL_Raw_Data!$Q:$Q,MATCH(A471,FPL_Raw_Data!$AA:$AA,0))</f>
        <v>0</v>
      </c>
      <c r="AD471" s="8">
        <f>INDEX(FPL_Raw_Data!$R:$R,MATCH(A471,FPL_Raw_Data!$AA:$AA,0))</f>
        <v>0</v>
      </c>
      <c r="AE471" s="8">
        <f>INDEX(FPL_Raw_Data!$N:$N,MATCH(A471,FPL_Raw_Data!$AA:$AA,0))</f>
        <v>0</v>
      </c>
      <c r="AF471" s="8">
        <f>INDEX(FPL_Raw_Data!$L:$L,MATCH(A471,FPL_Raw_Data!$AA:$AA,0))</f>
        <v>0</v>
      </c>
      <c r="AG471" s="2">
        <f>INDEX(FPL_Raw_Data!$M:$M,MATCH(A471,FPL_Raw_Data!$AA:$AA,0))</f>
        <v>0</v>
      </c>
      <c r="AH471" s="2">
        <f t="shared" si="183"/>
        <v>0</v>
      </c>
      <c r="AI471" s="2">
        <f t="shared" si="184"/>
        <v>0</v>
      </c>
      <c r="AJ471" s="2">
        <f t="shared" si="185"/>
        <v>0</v>
      </c>
      <c r="AK471" s="2">
        <f t="shared" si="186"/>
        <v>0</v>
      </c>
      <c r="AL471" s="2">
        <f t="shared" si="187"/>
        <v>0</v>
      </c>
      <c r="AM471" s="2">
        <f t="shared" si="188"/>
        <v>0</v>
      </c>
      <c r="AN471" s="2">
        <f t="shared" si="189"/>
        <v>0</v>
      </c>
      <c r="AO471" s="3">
        <f t="shared" si="190"/>
        <v>0.1</v>
      </c>
      <c r="AP471">
        <f t="shared" si="191"/>
        <v>0</v>
      </c>
      <c r="AQ471">
        <f t="shared" si="192"/>
        <v>0.1</v>
      </c>
      <c r="AR471">
        <f t="shared" si="193"/>
        <v>0</v>
      </c>
      <c r="AS471" s="2">
        <f t="shared" si="194"/>
        <v>0</v>
      </c>
      <c r="AT471" s="2">
        <f>IFERROR(INDEX(Player_Model!$BC$2:$BC$596,MATCH($A471,Player_Model!$A$2:$A$596,0)),0)</f>
        <v>-0.37794254742547412</v>
      </c>
      <c r="AU471" s="2">
        <f>Table8[[#This Row],[Model Expected Points]]*Table8[[#This Row],[Fixture Adjustment]]</f>
        <v>-0.42852170746337026</v>
      </c>
      <c r="AV471" s="2">
        <f>Table8[[#This Row],[Fixture Adjusted Points / 90]]/Table8[[#This Row],[Price]]</f>
        <v>-8.5704341492674058E-2</v>
      </c>
      <c r="AW471">
        <f t="shared" si="195"/>
        <v>0</v>
      </c>
      <c r="AX471">
        <f t="shared" si="196"/>
        <v>0.5669138211382112</v>
      </c>
      <c r="AY471" s="2">
        <f t="shared" si="197"/>
        <v>0</v>
      </c>
      <c r="AZ471" s="5">
        <f t="shared" si="198"/>
        <v>1.1338276422764224</v>
      </c>
      <c r="BA471">
        <f>Table8[[#This Row],[Model Score2]]</f>
        <v>-0.37794254742547412</v>
      </c>
      <c r="BB471">
        <f>IFERROR(INDEX(Player_Model!$BG$2:$BG$596,MATCH($A471,Player_Model!$A$2:$A$596,0)),"")</f>
        <v>116</v>
      </c>
      <c r="BC471" t="str">
        <f t="shared" si="199"/>
        <v>AVOID</v>
      </c>
      <c r="BD471">
        <f>IF(H471=1,Table8[[#This Row],[Model Score]],-10000)</f>
        <v>-10000</v>
      </c>
      <c r="BE471">
        <f>IFERROR(INDEX(Player_Model!$BF$2:$BF$596,MATCH($A471,Player_Model!$A$2:$A$596,0)),"")</f>
        <v>517</v>
      </c>
      <c r="BF471">
        <f>IFERROR(INDEX(Player_Model!$BG$2:$BG$596,MATCH($A471,Player_Model!$A$2:$A$596,0)),"")</f>
        <v>116</v>
      </c>
      <c r="BG471">
        <f>IFERROR(INDEX(Player_Model!$BE$2:$BE$596,MATCH($A471,Player_Model!$A$2:$A$596,0)),0)</f>
        <v>-0.37794254742547412</v>
      </c>
    </row>
    <row r="472" spans="1:59" x14ac:dyDescent="0.25">
      <c r="A472" t="str">
        <f>tblPlayers[first_name]&amp;" "&amp;tblPlayers[second_name]</f>
        <v>Rico Lewis</v>
      </c>
      <c r="B472" t="str">
        <f>_xlfn.SWITCH(tblPlayers[element_type],1,"GK",2,"DEF",3,"MID",4,"FWD")</f>
        <v>DEF</v>
      </c>
      <c r="C472">
        <f>tblPlayers[team]</f>
        <v>15</v>
      </c>
      <c r="D472" t="str">
        <f>INDEX(tblTeams[Column1.short_name],MATCH(C472,tblTeams[Column1.id],0))</f>
        <v>MCI</v>
      </c>
      <c r="E472" s="4">
        <f>INDEX(FPL_Raw_Data!$F:$F,MATCH(A472,FPL_Raw_Data!$AA:$AA,0))/10</f>
        <v>4.5</v>
      </c>
      <c r="F472" s="4" t="str">
        <f>tblPlayers[[#This Row],[status]]</f>
        <v>a</v>
      </c>
      <c r="G472" s="4" t="b">
        <f>tblPlayers[[#This Row],[can_select]]</f>
        <v>1</v>
      </c>
      <c r="H472">
        <f>IF(AND(Table8[[#This Row],[Availability Status]]="a",Table8[[#This Row],[Can Select]]=TRUE),1,0)</f>
        <v>1</v>
      </c>
      <c r="I472">
        <f>tblPlayers[minutes]</f>
        <v>56</v>
      </c>
      <c r="J472" s="2">
        <f>Table8[[#This Row],[Minutes]]/90</f>
        <v>0.62222222222222223</v>
      </c>
      <c r="K472" s="5">
        <f>IFERROR(Z472/(FIXTURE_ANALYSIS!$B$1-1),0)</f>
        <v>0.33333333333333331</v>
      </c>
      <c r="L472">
        <f>tblPlayers[total_points]</f>
        <v>1</v>
      </c>
      <c r="M472">
        <f>tblPlayers[points_per_game]</f>
        <v>1</v>
      </c>
      <c r="N472">
        <f>tblPlayers[form]</f>
        <v>0.3</v>
      </c>
      <c r="O472">
        <f>tblPlayers[expected_goals]</f>
        <v>0.17</v>
      </c>
      <c r="P472">
        <f>tblPlayers[expected_assists]</f>
        <v>0.02</v>
      </c>
      <c r="Q472">
        <f>tblPlayers[expected_goal_involvements]</f>
        <v>0.19</v>
      </c>
      <c r="R472" s="2">
        <f t="shared" si="175"/>
        <v>1.607142857142857</v>
      </c>
      <c r="S472" s="5">
        <f t="shared" si="176"/>
        <v>0.27321428571428574</v>
      </c>
      <c r="T472" s="5">
        <f t="shared" si="177"/>
        <v>3.214285714285714E-2</v>
      </c>
      <c r="U472" s="5">
        <f t="shared" si="178"/>
        <v>0.30535714285714283</v>
      </c>
      <c r="V472" s="3">
        <f t="shared" si="179"/>
        <v>0.22222222222222221</v>
      </c>
      <c r="W472" s="5">
        <f t="shared" si="180"/>
        <v>4.2222222222222223E-2</v>
      </c>
      <c r="X472" s="5">
        <f>IFERROR(IF(OR($B472="MID",$B472="FWD"),INDEX(FIXTURE_ANALYSIS!$Q:$Q,MATCH($D472,FIXTURE_ANALYSIS!$A:$A,0)),INDEX(FIXTURE_ANALYSIS!$R:$R,MATCH($D472,FIXTURE_ANALYSIS!$A:$A,0))),1)</f>
        <v>1.1338276422764224</v>
      </c>
      <c r="Y472" s="5">
        <f t="shared" si="181"/>
        <v>1.1338276422764224</v>
      </c>
      <c r="Z472" s="8">
        <f>INDEX(FPL_Raw_Data!$T:$T,MATCH(A472,FPL_Raw_Data!$AA:$AA,0))</f>
        <v>1</v>
      </c>
      <c r="AA472" s="8">
        <f>INDEX(FPL_Raw_Data!$S:$S,MATCH(A472,FPL_Raw_Data!$AA:$AA,0))</f>
        <v>2</v>
      </c>
      <c r="AB472" s="2">
        <f t="shared" si="182"/>
        <v>0.2</v>
      </c>
      <c r="AC472" s="2">
        <f>INDEX(FPL_Raw_Data!$Q:$Q,MATCH(A472,FPL_Raw_Data!$AA:$AA,0))</f>
        <v>0</v>
      </c>
      <c r="AD472" s="8">
        <f>INDEX(FPL_Raw_Data!$R:$R,MATCH(A472,FPL_Raw_Data!$AA:$AA,0))</f>
        <v>-1</v>
      </c>
      <c r="AE472" s="8">
        <f>INDEX(FPL_Raw_Data!$N:$N,MATCH(A472,FPL_Raw_Data!$AA:$AA,0))</f>
        <v>0</v>
      </c>
      <c r="AF472" s="8">
        <f>INDEX(FPL_Raw_Data!$L:$L,MATCH(A472,FPL_Raw_Data!$AA:$AA,0))</f>
        <v>0</v>
      </c>
      <c r="AG472" s="2">
        <f>INDEX(FPL_Raw_Data!$M:$M,MATCH(A472,FPL_Raw_Data!$AA:$AA,0))</f>
        <v>0</v>
      </c>
      <c r="AH472" s="2">
        <f t="shared" si="183"/>
        <v>1.6392857142857145</v>
      </c>
      <c r="AI472" s="2">
        <f t="shared" si="184"/>
        <v>9.6428571428571419E-2</v>
      </c>
      <c r="AJ472" s="2">
        <f t="shared" si="185"/>
        <v>0.66666666666666663</v>
      </c>
      <c r="AK472" s="2">
        <f t="shared" si="186"/>
        <v>0.4</v>
      </c>
      <c r="AL472" s="2">
        <f t="shared" si="187"/>
        <v>0</v>
      </c>
      <c r="AM472" s="2">
        <f t="shared" si="188"/>
        <v>0</v>
      </c>
      <c r="AN472" s="2">
        <f t="shared" si="189"/>
        <v>0</v>
      </c>
      <c r="AO472" s="3">
        <f t="shared" si="190"/>
        <v>44.2</v>
      </c>
      <c r="AP472">
        <f t="shared" si="191"/>
        <v>84</v>
      </c>
      <c r="AQ472">
        <f t="shared" si="192"/>
        <v>47.8</v>
      </c>
      <c r="AR472">
        <f t="shared" si="193"/>
        <v>73.7</v>
      </c>
      <c r="AS472" s="2">
        <f t="shared" si="194"/>
        <v>33.333333333333329</v>
      </c>
      <c r="AT472" s="2">
        <f>IFERROR(INDEX(Player_Model!$BC$2:$BC$596,MATCH($A472,Player_Model!$A$2:$A$596,0)),0)</f>
        <v>3.8353465600229302</v>
      </c>
      <c r="AU472" s="2">
        <f>Table8[[#This Row],[Model Expected Points]]*Table8[[#This Row],[Fixture Adjustment]]</f>
        <v>4.3486219474637862</v>
      </c>
      <c r="AV472" s="2">
        <f>Table8[[#This Row],[Fixture Adjusted Points / 90]]/Table8[[#This Row],[Price]]</f>
        <v>0.96636043276973027</v>
      </c>
      <c r="AW472">
        <f t="shared" si="195"/>
        <v>84</v>
      </c>
      <c r="AX472">
        <f t="shared" si="196"/>
        <v>0.66691382113821118</v>
      </c>
      <c r="AY472" s="2">
        <f t="shared" si="197"/>
        <v>33.333333333333329</v>
      </c>
      <c r="AZ472" s="5">
        <f t="shared" si="198"/>
        <v>1.1338276422764224</v>
      </c>
      <c r="BA472">
        <f>Table8[[#This Row],[Model Score2]]</f>
        <v>3.8353465600229302</v>
      </c>
      <c r="BB472">
        <f>IFERROR(INDEX(Player_Model!$BG$2:$BG$596,MATCH($A472,Player_Model!$A$2:$A$596,0)),"")</f>
        <v>53</v>
      </c>
      <c r="BC472" t="str">
        <f t="shared" si="199"/>
        <v>AVOID</v>
      </c>
      <c r="BD472">
        <f>IF(H472=1,Table8[[#This Row],[Model Score]],-10000)</f>
        <v>3.8353465600229302</v>
      </c>
      <c r="BE472">
        <f>IFERROR(INDEX(Player_Model!$BF$2:$BF$596,MATCH($A472,Player_Model!$A$2:$A$596,0)),"")</f>
        <v>166</v>
      </c>
      <c r="BF472">
        <f>IFERROR(INDEX(Player_Model!$BG$2:$BG$596,MATCH($A472,Player_Model!$A$2:$A$596,0)),"")</f>
        <v>53</v>
      </c>
      <c r="BG472">
        <f>IFERROR(INDEX(Player_Model!$BE$2:$BE$596,MATCH($A472,Player_Model!$A$2:$A$596,0)),0)</f>
        <v>3.8353465600229302</v>
      </c>
    </row>
    <row r="473" spans="1:59" x14ac:dyDescent="0.25">
      <c r="A473" t="str">
        <f>tblPlayers[first_name]&amp;" "&amp;tblPlayers[second_name]</f>
        <v>Vitor de Oliveira Nunes dos Reis</v>
      </c>
      <c r="B473" t="str">
        <f>_xlfn.SWITCH(tblPlayers[element_type],1,"GK",2,"DEF",3,"MID",4,"FWD")</f>
        <v>DEF</v>
      </c>
      <c r="C473">
        <f>tblPlayers[team]</f>
        <v>15</v>
      </c>
      <c r="D473" t="str">
        <f>INDEX(tblTeams[Column1.short_name],MATCH(C473,tblTeams[Column1.id],0))</f>
        <v>MCI</v>
      </c>
      <c r="E473" s="4">
        <f>INDEX(FPL_Raw_Data!$F:$F,MATCH(A473,FPL_Raw_Data!$AA:$AA,0))/10</f>
        <v>4.5</v>
      </c>
      <c r="F473" s="4" t="str">
        <f>tblPlayers[[#This Row],[status]]</f>
        <v>a</v>
      </c>
      <c r="G473" s="4" t="b">
        <f>tblPlayers[[#This Row],[can_select]]</f>
        <v>1</v>
      </c>
      <c r="H473">
        <f>IF(AND(Table8[[#This Row],[Availability Status]]="a",Table8[[#This Row],[Can Select]]=TRUE),1,0)</f>
        <v>1</v>
      </c>
      <c r="I473">
        <f>tblPlayers[minutes]</f>
        <v>1</v>
      </c>
      <c r="J473" s="2">
        <f>Table8[[#This Row],[Minutes]]/90</f>
        <v>1.1111111111111112E-2</v>
      </c>
      <c r="K473" s="5">
        <f>IFERROR(Z473/(FIXTURE_ANALYSIS!$B$1-1),0)</f>
        <v>0</v>
      </c>
      <c r="L473">
        <f>tblPlayers[total_points]</f>
        <v>1</v>
      </c>
      <c r="M473">
        <f>tblPlayers[points_per_game]</f>
        <v>1</v>
      </c>
      <c r="N473">
        <f>tblPlayers[form]</f>
        <v>0.3</v>
      </c>
      <c r="O473">
        <f>tblPlayers[expected_goals]</f>
        <v>0</v>
      </c>
      <c r="P473">
        <f>tblPlayers[expected_assists]</f>
        <v>0</v>
      </c>
      <c r="Q473">
        <f>tblPlayers[expected_goal_involvements]</f>
        <v>0</v>
      </c>
      <c r="R473" s="2">
        <f t="shared" si="175"/>
        <v>90</v>
      </c>
      <c r="S473" s="5">
        <f t="shared" si="176"/>
        <v>0</v>
      </c>
      <c r="T473" s="5">
        <f t="shared" si="177"/>
        <v>0</v>
      </c>
      <c r="U473" s="5">
        <f t="shared" si="178"/>
        <v>0</v>
      </c>
      <c r="V473" s="3">
        <f t="shared" si="179"/>
        <v>0.22222222222222221</v>
      </c>
      <c r="W473" s="5">
        <f t="shared" si="180"/>
        <v>0</v>
      </c>
      <c r="X473" s="5">
        <f>IFERROR(IF(OR($B473="MID",$B473="FWD"),INDEX(FIXTURE_ANALYSIS!$Q:$Q,MATCH($D473,FIXTURE_ANALYSIS!$A:$A,0)),INDEX(FIXTURE_ANALYSIS!$R:$R,MATCH($D473,FIXTURE_ANALYSIS!$A:$A,0))),1)</f>
        <v>1.1338276422764224</v>
      </c>
      <c r="Y473" s="5">
        <f t="shared" si="181"/>
        <v>1.1338276422764224</v>
      </c>
      <c r="Z473" s="8">
        <f>INDEX(FPL_Raw_Data!$T:$T,MATCH(A473,FPL_Raw_Data!$AA:$AA,0))</f>
        <v>0</v>
      </c>
      <c r="AA473" s="8">
        <f>INDEX(FPL_Raw_Data!$S:$S,MATCH(A473,FPL_Raw_Data!$AA:$AA,0))</f>
        <v>0</v>
      </c>
      <c r="AB473" s="2">
        <f t="shared" si="182"/>
        <v>0</v>
      </c>
      <c r="AC473" s="2">
        <f>INDEX(FPL_Raw_Data!$Q:$Q,MATCH(A473,FPL_Raw_Data!$AA:$AA,0))</f>
        <v>0</v>
      </c>
      <c r="AD473" s="8">
        <f>INDEX(FPL_Raw_Data!$R:$R,MATCH(A473,FPL_Raw_Data!$AA:$AA,0))</f>
        <v>3</v>
      </c>
      <c r="AE473" s="8">
        <f>INDEX(FPL_Raw_Data!$N:$N,MATCH(A473,FPL_Raw_Data!$AA:$AA,0))</f>
        <v>0</v>
      </c>
      <c r="AF473" s="8">
        <f>INDEX(FPL_Raw_Data!$L:$L,MATCH(A473,FPL_Raw_Data!$AA:$AA,0))</f>
        <v>0</v>
      </c>
      <c r="AG473" s="2">
        <f>INDEX(FPL_Raw_Data!$M:$M,MATCH(A473,FPL_Raw_Data!$AA:$AA,0))</f>
        <v>0</v>
      </c>
      <c r="AH473" s="2">
        <f t="shared" si="183"/>
        <v>0</v>
      </c>
      <c r="AI473" s="2">
        <f t="shared" si="184"/>
        <v>0</v>
      </c>
      <c r="AJ473" s="2">
        <f t="shared" si="185"/>
        <v>0</v>
      </c>
      <c r="AK473" s="2">
        <f t="shared" si="186"/>
        <v>0</v>
      </c>
      <c r="AL473" s="2">
        <f t="shared" si="187"/>
        <v>0</v>
      </c>
      <c r="AM473" s="2">
        <f t="shared" si="188"/>
        <v>0</v>
      </c>
      <c r="AN473" s="2">
        <f t="shared" si="189"/>
        <v>0</v>
      </c>
      <c r="AO473" s="3">
        <f t="shared" si="190"/>
        <v>98.1</v>
      </c>
      <c r="AP473">
        <f t="shared" si="191"/>
        <v>0</v>
      </c>
      <c r="AQ473">
        <f t="shared" si="192"/>
        <v>47.8</v>
      </c>
      <c r="AR473">
        <f t="shared" si="193"/>
        <v>0</v>
      </c>
      <c r="AS473" s="2">
        <f t="shared" si="194"/>
        <v>0</v>
      </c>
      <c r="AT473" s="2">
        <f>IFERROR(INDEX(Player_Model!$BC$2:$BC$596,MATCH($A473,Player_Model!$A$2:$A$596,0)),0)</f>
        <v>-0.37794254742547412</v>
      </c>
      <c r="AU473" s="2">
        <f>Table8[[#This Row],[Model Expected Points]]*Table8[[#This Row],[Fixture Adjustment]]</f>
        <v>-0.42852170746337026</v>
      </c>
      <c r="AV473" s="2">
        <f>Table8[[#This Row],[Fixture Adjusted Points / 90]]/Table8[[#This Row],[Price]]</f>
        <v>-9.5227046102971169E-2</v>
      </c>
      <c r="AW473">
        <f t="shared" si="195"/>
        <v>0</v>
      </c>
      <c r="AX473">
        <f t="shared" si="196"/>
        <v>0.5669138211382112</v>
      </c>
      <c r="AY473" s="2">
        <f t="shared" si="197"/>
        <v>0</v>
      </c>
      <c r="AZ473" s="5">
        <f t="shared" si="198"/>
        <v>1.1338276422764224</v>
      </c>
      <c r="BA473">
        <f>Table8[[#This Row],[Model Score2]]</f>
        <v>-0.37794254742547412</v>
      </c>
      <c r="BB473">
        <f>IFERROR(INDEX(Player_Model!$BG$2:$BG$596,MATCH($A473,Player_Model!$A$2:$A$596,0)),"")</f>
        <v>117</v>
      </c>
      <c r="BC473" t="str">
        <f t="shared" si="199"/>
        <v>AVOID</v>
      </c>
      <c r="BD473">
        <f>IF(H473=1,Table8[[#This Row],[Model Score]],-10000)</f>
        <v>-0.37794254742547412</v>
      </c>
      <c r="BE473">
        <f>IFERROR(INDEX(Player_Model!$BF$2:$BF$596,MATCH($A473,Player_Model!$A$2:$A$596,0)),"")</f>
        <v>517</v>
      </c>
      <c r="BF473">
        <f>IFERROR(INDEX(Player_Model!$BG$2:$BG$596,MATCH($A473,Player_Model!$A$2:$A$596,0)),"")</f>
        <v>117</v>
      </c>
      <c r="BG473">
        <f>IFERROR(INDEX(Player_Model!$BE$2:$BE$596,MATCH($A473,Player_Model!$A$2:$A$596,0)),0)</f>
        <v>-0.37794254742547412</v>
      </c>
    </row>
    <row r="474" spans="1:59" x14ac:dyDescent="0.25">
      <c r="A474" t="str">
        <f>tblPlayers[first_name]&amp;" "&amp;tblPlayers[second_name]</f>
        <v>Antoine Semenyo</v>
      </c>
      <c r="B474" t="str">
        <f>_xlfn.SWITCH(tblPlayers[element_type],1,"GK",2,"DEF",3,"MID",4,"FWD")</f>
        <v>MID</v>
      </c>
      <c r="C474">
        <f>tblPlayers[team]</f>
        <v>15</v>
      </c>
      <c r="D474" t="str">
        <f>INDEX(tblTeams[Column1.short_name],MATCH(C474,tblTeams[Column1.id],0))</f>
        <v>MCI</v>
      </c>
      <c r="E474" s="4">
        <f>INDEX(FPL_Raw_Data!$F:$F,MATCH(A474,FPL_Raw_Data!$AA:$AA,0))/10</f>
        <v>8.4</v>
      </c>
      <c r="F474" s="4" t="str">
        <f>tblPlayers[[#This Row],[status]]</f>
        <v>a</v>
      </c>
      <c r="G474" s="4" t="b">
        <f>tblPlayers[[#This Row],[can_select]]</f>
        <v>1</v>
      </c>
      <c r="H474">
        <f>IF(AND(Table8[[#This Row],[Availability Status]]="a",Table8[[#This Row],[Can Select]]=TRUE),1,0)</f>
        <v>1</v>
      </c>
      <c r="I474">
        <f>tblPlayers[minutes]</f>
        <v>270</v>
      </c>
      <c r="J474" s="2">
        <f>Table8[[#This Row],[Minutes]]/90</f>
        <v>3</v>
      </c>
      <c r="K474" s="5">
        <f>IFERROR(Z474/(FIXTURE_ANALYSIS!$B$1-1),0)</f>
        <v>1</v>
      </c>
      <c r="L474">
        <f>tblPlayers[total_points]</f>
        <v>13</v>
      </c>
      <c r="M474">
        <f>tblPlayers[points_per_game]</f>
        <v>4.3</v>
      </c>
      <c r="N474">
        <f>tblPlayers[form]</f>
        <v>4.3</v>
      </c>
      <c r="O474">
        <f>tblPlayers[expected_goals]</f>
        <v>0.17</v>
      </c>
      <c r="P474">
        <f>tblPlayers[expected_assists]</f>
        <v>0.93</v>
      </c>
      <c r="Q474">
        <f>tblPlayers[expected_goal_involvements]</f>
        <v>1.1000000000000001</v>
      </c>
      <c r="R474" s="2">
        <f t="shared" si="175"/>
        <v>4.333333333333333</v>
      </c>
      <c r="S474" s="5">
        <f t="shared" si="176"/>
        <v>5.6666666666666678E-2</v>
      </c>
      <c r="T474" s="5">
        <f t="shared" si="177"/>
        <v>0.31</v>
      </c>
      <c r="U474" s="5">
        <f t="shared" si="178"/>
        <v>0.3666666666666667</v>
      </c>
      <c r="V474" s="3">
        <f t="shared" si="179"/>
        <v>1.5476190476190474</v>
      </c>
      <c r="W474" s="5">
        <f t="shared" si="180"/>
        <v>0.13095238095238096</v>
      </c>
      <c r="X474" s="5">
        <f>IFERROR(IF(OR($B474="MID",$B474="FWD"),INDEX(FIXTURE_ANALYSIS!$Q:$Q,MATCH($D474,FIXTURE_ANALYSIS!$A:$A,0)),INDEX(FIXTURE_ANALYSIS!$R:$R,MATCH($D474,FIXTURE_ANALYSIS!$A:$A,0))),1)</f>
        <v>1.1822231833910033</v>
      </c>
      <c r="Y474" s="5">
        <f t="shared" si="181"/>
        <v>1.1822231833910033</v>
      </c>
      <c r="Z474" s="8">
        <f>INDEX(FPL_Raw_Data!$T:$T,MATCH(A474,FPL_Raw_Data!$AA:$AA,0))</f>
        <v>3</v>
      </c>
      <c r="AA474" s="8">
        <f>INDEX(FPL_Raw_Data!$S:$S,MATCH(A474,FPL_Raw_Data!$AA:$AA,0))</f>
        <v>12</v>
      </c>
      <c r="AB474" s="2">
        <f t="shared" si="182"/>
        <v>1</v>
      </c>
      <c r="AC474" s="2">
        <f>INDEX(FPL_Raw_Data!$Q:$Q,MATCH(A474,FPL_Raw_Data!$AA:$AA,0))</f>
        <v>0</v>
      </c>
      <c r="AD474" s="8">
        <f>INDEX(FPL_Raw_Data!$R:$R,MATCH(A474,FPL_Raw_Data!$AA:$AA,0))</f>
        <v>75</v>
      </c>
      <c r="AE474" s="8">
        <f>INDEX(FPL_Raw_Data!$N:$N,MATCH(A474,FPL_Raw_Data!$AA:$AA,0))</f>
        <v>1</v>
      </c>
      <c r="AF474" s="8">
        <f>INDEX(FPL_Raw_Data!$L:$L,MATCH(A474,FPL_Raw_Data!$AA:$AA,0))</f>
        <v>0</v>
      </c>
      <c r="AG474" s="2">
        <f>INDEX(FPL_Raw_Data!$M:$M,MATCH(A474,FPL_Raw_Data!$AA:$AA,0))</f>
        <v>2</v>
      </c>
      <c r="AH474" s="2">
        <f t="shared" si="183"/>
        <v>0.28333333333333338</v>
      </c>
      <c r="AI474" s="2">
        <f t="shared" si="184"/>
        <v>0.92999999999999994</v>
      </c>
      <c r="AJ474" s="2">
        <f t="shared" si="185"/>
        <v>2</v>
      </c>
      <c r="AK474" s="2">
        <f t="shared" si="186"/>
        <v>2</v>
      </c>
      <c r="AL474" s="2">
        <f t="shared" si="187"/>
        <v>0.33333333333333331</v>
      </c>
      <c r="AM474" s="2">
        <f t="shared" si="188"/>
        <v>0.33333333333333331</v>
      </c>
      <c r="AN474" s="2">
        <f t="shared" si="189"/>
        <v>0</v>
      </c>
      <c r="AO474" s="3">
        <f t="shared" si="190"/>
        <v>71.3</v>
      </c>
      <c r="AP474">
        <f t="shared" si="191"/>
        <v>87.5</v>
      </c>
      <c r="AQ474">
        <f t="shared" si="192"/>
        <v>79.2</v>
      </c>
      <c r="AR474">
        <f t="shared" si="193"/>
        <v>89.2</v>
      </c>
      <c r="AS474" s="2">
        <f t="shared" si="194"/>
        <v>100</v>
      </c>
      <c r="AT474" s="2">
        <f>IFERROR(INDEX(Player_Model!$BC$2:$BC$596,MATCH($A474,Player_Model!$A$2:$A$596,0)),0)</f>
        <v>5.0365719313203439</v>
      </c>
      <c r="AU474" s="2">
        <f>Table8[[#This Row],[Model Expected Points]]*Table8[[#This Row],[Fixture Adjustment]]</f>
        <v>5.9543521020233108</v>
      </c>
      <c r="AV474" s="2">
        <f>Table8[[#This Row],[Fixture Adjusted Points / 90]]/Table8[[#This Row],[Price]]</f>
        <v>0.70885144071706074</v>
      </c>
      <c r="AW474">
        <f t="shared" si="195"/>
        <v>79.400000000000006</v>
      </c>
      <c r="AX474">
        <f t="shared" si="196"/>
        <v>1</v>
      </c>
      <c r="AY474" s="2">
        <f t="shared" si="197"/>
        <v>100</v>
      </c>
      <c r="AZ474" s="5">
        <f t="shared" si="198"/>
        <v>1.1822231833910033</v>
      </c>
      <c r="BA474">
        <f>Table8[[#This Row],[Model Score2]]</f>
        <v>5.0365719313203439</v>
      </c>
      <c r="BB474">
        <f>IFERROR(INDEX(Player_Model!$BG$2:$BG$596,MATCH($A474,Player_Model!$A$2:$A$596,0)),"")</f>
        <v>43</v>
      </c>
      <c r="BC474" t="str">
        <f t="shared" si="199"/>
        <v>AVOID</v>
      </c>
      <c r="BD474">
        <f>IF(H474=1,Table8[[#This Row],[Model Score]],-10000)</f>
        <v>5.0365719313203439</v>
      </c>
      <c r="BE474">
        <f>IFERROR(INDEX(Player_Model!$BF$2:$BF$596,MATCH($A474,Player_Model!$A$2:$A$596,0)),"")</f>
        <v>90</v>
      </c>
      <c r="BF474">
        <f>IFERROR(INDEX(Player_Model!$BG$2:$BG$596,MATCH($A474,Player_Model!$A$2:$A$596,0)),"")</f>
        <v>43</v>
      </c>
      <c r="BG474">
        <f>IFERROR(INDEX(Player_Model!$BE$2:$BE$596,MATCH($A474,Player_Model!$A$2:$A$596,0)),0)</f>
        <v>5.0365719313203439</v>
      </c>
    </row>
    <row r="475" spans="1:59" x14ac:dyDescent="0.25">
      <c r="A475" t="str">
        <f>tblPlayers[first_name]&amp;" "&amp;tblPlayers[second_name]</f>
        <v>Phil Foden</v>
      </c>
      <c r="B475" t="str">
        <f>_xlfn.SWITCH(tblPlayers[element_type],1,"GK",2,"DEF",3,"MID",4,"FWD")</f>
        <v>MID</v>
      </c>
      <c r="C475">
        <f>tblPlayers[team]</f>
        <v>15</v>
      </c>
      <c r="D475" t="str">
        <f>INDEX(tblTeams[Column1.short_name],MATCH(C475,tblTeams[Column1.id],0))</f>
        <v>MCI</v>
      </c>
      <c r="E475" s="4">
        <f>INDEX(FPL_Raw_Data!$F:$F,MATCH(A475,FPL_Raw_Data!$AA:$AA,0))/10</f>
        <v>7</v>
      </c>
      <c r="F475" s="4" t="str">
        <f>tblPlayers[[#This Row],[status]]</f>
        <v>a</v>
      </c>
      <c r="G475" s="4" t="b">
        <f>tblPlayers[[#This Row],[can_select]]</f>
        <v>1</v>
      </c>
      <c r="H475">
        <f>IF(AND(Table8[[#This Row],[Availability Status]]="a",Table8[[#This Row],[Can Select]]=TRUE),1,0)</f>
        <v>1</v>
      </c>
      <c r="I475">
        <f>tblPlayers[minutes]</f>
        <v>195</v>
      </c>
      <c r="J475" s="2">
        <f>Table8[[#This Row],[Minutes]]/90</f>
        <v>2.1666666666666665</v>
      </c>
      <c r="K475" s="5">
        <f>IFERROR(Z475/(FIXTURE_ANALYSIS!$B$1-1),0)</f>
        <v>0.66666666666666663</v>
      </c>
      <c r="L475">
        <f>tblPlayers[total_points]</f>
        <v>11</v>
      </c>
      <c r="M475">
        <f>tblPlayers[points_per_game]</f>
        <v>3.7</v>
      </c>
      <c r="N475">
        <f>tblPlayers[form]</f>
        <v>3.7</v>
      </c>
      <c r="O475">
        <f>tblPlayers[expected_goals]</f>
        <v>1.61</v>
      </c>
      <c r="P475">
        <f>tblPlayers[expected_assists]</f>
        <v>0.86</v>
      </c>
      <c r="Q475">
        <f>tblPlayers[expected_goal_involvements]</f>
        <v>2.4700000000000002</v>
      </c>
      <c r="R475" s="2">
        <f t="shared" si="175"/>
        <v>5.0769230769230766</v>
      </c>
      <c r="S475" s="5">
        <f t="shared" si="176"/>
        <v>0.74307692307692308</v>
      </c>
      <c r="T475" s="5">
        <f t="shared" si="177"/>
        <v>0.39692307692307688</v>
      </c>
      <c r="U475" s="5">
        <f t="shared" si="178"/>
        <v>1.1400000000000001</v>
      </c>
      <c r="V475" s="3">
        <f t="shared" si="179"/>
        <v>1.5714285714285714</v>
      </c>
      <c r="W475" s="5">
        <f t="shared" si="180"/>
        <v>0.35285714285714287</v>
      </c>
      <c r="X475" s="5">
        <f>IFERROR(IF(OR($B475="MID",$B475="FWD"),INDEX(FIXTURE_ANALYSIS!$Q:$Q,MATCH($D475,FIXTURE_ANALYSIS!$A:$A,0)),INDEX(FIXTURE_ANALYSIS!$R:$R,MATCH($D475,FIXTURE_ANALYSIS!$A:$A,0))),1)</f>
        <v>1.1822231833910033</v>
      </c>
      <c r="Y475" s="5">
        <f t="shared" si="181"/>
        <v>1.1822231833910033</v>
      </c>
      <c r="Z475" s="8">
        <f>INDEX(FPL_Raw_Data!$T:$T,MATCH(A475,FPL_Raw_Data!$AA:$AA,0))</f>
        <v>2</v>
      </c>
      <c r="AA475" s="8">
        <f>INDEX(FPL_Raw_Data!$S:$S,MATCH(A475,FPL_Raw_Data!$AA:$AA,0))</f>
        <v>14</v>
      </c>
      <c r="AB475" s="2">
        <f t="shared" si="182"/>
        <v>1</v>
      </c>
      <c r="AC475" s="2">
        <f>INDEX(FPL_Raw_Data!$Q:$Q,MATCH(A475,FPL_Raw_Data!$AA:$AA,0))</f>
        <v>1</v>
      </c>
      <c r="AD475" s="8">
        <f>INDEX(FPL_Raw_Data!$R:$R,MATCH(A475,FPL_Raw_Data!$AA:$AA,0))</f>
        <v>56</v>
      </c>
      <c r="AE475" s="8">
        <f>INDEX(FPL_Raw_Data!$N:$N,MATCH(A475,FPL_Raw_Data!$AA:$AA,0))</f>
        <v>0</v>
      </c>
      <c r="AF475" s="8">
        <f>INDEX(FPL_Raw_Data!$L:$L,MATCH(A475,FPL_Raw_Data!$AA:$AA,0))</f>
        <v>0</v>
      </c>
      <c r="AG475" s="2">
        <f>INDEX(FPL_Raw_Data!$M:$M,MATCH(A475,FPL_Raw_Data!$AA:$AA,0))</f>
        <v>2</v>
      </c>
      <c r="AH475" s="2">
        <f t="shared" si="183"/>
        <v>3.7153846153846155</v>
      </c>
      <c r="AI475" s="2">
        <f t="shared" si="184"/>
        <v>1.1907692307692306</v>
      </c>
      <c r="AJ475" s="2">
        <f t="shared" si="185"/>
        <v>1.3333333333333333</v>
      </c>
      <c r="AK475" s="2">
        <f t="shared" si="186"/>
        <v>2</v>
      </c>
      <c r="AL475" s="2">
        <f t="shared" si="187"/>
        <v>0</v>
      </c>
      <c r="AM475" s="2">
        <f t="shared" si="188"/>
        <v>0</v>
      </c>
      <c r="AN475" s="2">
        <f t="shared" si="189"/>
        <v>0.5</v>
      </c>
      <c r="AO475" s="3">
        <f t="shared" si="190"/>
        <v>76.7</v>
      </c>
      <c r="AP475">
        <f t="shared" si="191"/>
        <v>98.9</v>
      </c>
      <c r="AQ475">
        <f t="shared" si="192"/>
        <v>80.600000000000009</v>
      </c>
      <c r="AR475">
        <f t="shared" si="193"/>
        <v>99.6</v>
      </c>
      <c r="AS475" s="2">
        <f t="shared" si="194"/>
        <v>66.666666666666657</v>
      </c>
      <c r="AT475" s="2">
        <f>IFERROR(INDEX(Player_Model!$BC$2:$BC$596,MATCH($A475,Player_Model!$A$2:$A$596,0)),0)</f>
        <v>7.621381930638468</v>
      </c>
      <c r="AU475" s="2">
        <f>Table8[[#This Row],[Model Expected Points]]*Table8[[#This Row],[Fixture Adjustment]]</f>
        <v>9.0101744078780808</v>
      </c>
      <c r="AV475" s="2">
        <f>Table8[[#This Row],[Fixture Adjusted Points / 90]]/Table8[[#This Row],[Price]]</f>
        <v>1.2871677725540116</v>
      </c>
      <c r="AW475">
        <f t="shared" si="195"/>
        <v>87.800000000000011</v>
      </c>
      <c r="AX475">
        <f t="shared" si="196"/>
        <v>1</v>
      </c>
      <c r="AY475" s="2">
        <f t="shared" si="197"/>
        <v>66.666666666666657</v>
      </c>
      <c r="AZ475" s="5">
        <f t="shared" si="198"/>
        <v>1.1822231833910033</v>
      </c>
      <c r="BA475">
        <f>Table8[[#This Row],[Model Score2]]</f>
        <v>7.621381930638468</v>
      </c>
      <c r="BB475">
        <f>IFERROR(INDEX(Player_Model!$BG$2:$BG$596,MATCH($A475,Player_Model!$A$2:$A$596,0)),"")</f>
        <v>4</v>
      </c>
      <c r="BC475" t="str">
        <f t="shared" si="199"/>
        <v>STRONG PICK</v>
      </c>
      <c r="BD475">
        <f>IF(H475=1,Table8[[#This Row],[Model Score]],-10000)</f>
        <v>7.621381930638468</v>
      </c>
      <c r="BE475">
        <f>IFERROR(INDEX(Player_Model!$BF$2:$BF$596,MATCH($A475,Player_Model!$A$2:$A$596,0)),"")</f>
        <v>14</v>
      </c>
      <c r="BF475">
        <f>IFERROR(INDEX(Player_Model!$BG$2:$BG$596,MATCH($A475,Player_Model!$A$2:$A$596,0)),"")</f>
        <v>4</v>
      </c>
      <c r="BG475">
        <f>IFERROR(INDEX(Player_Model!$BE$2:$BE$596,MATCH($A475,Player_Model!$A$2:$A$596,0)),0)</f>
        <v>7.621381930638468</v>
      </c>
    </row>
    <row r="476" spans="1:59" x14ac:dyDescent="0.25">
      <c r="A476" t="str">
        <f>tblPlayers[first_name]&amp;" "&amp;tblPlayers[second_name]</f>
        <v>Rayan Cherki</v>
      </c>
      <c r="B476" t="str">
        <f>_xlfn.SWITCH(tblPlayers[element_type],1,"GK",2,"DEF",3,"MID",4,"FWD")</f>
        <v>MID</v>
      </c>
      <c r="C476">
        <f>tblPlayers[team]</f>
        <v>15</v>
      </c>
      <c r="D476" t="str">
        <f>INDEX(tblTeams[Column1.short_name],MATCH(C476,tblTeams[Column1.id],0))</f>
        <v>MCI</v>
      </c>
      <c r="E476" s="4">
        <f>INDEX(FPL_Raw_Data!$F:$F,MATCH(A476,FPL_Raw_Data!$AA:$AA,0))/10</f>
        <v>7.8</v>
      </c>
      <c r="F476" s="4" t="str">
        <f>tblPlayers[[#This Row],[status]]</f>
        <v>a</v>
      </c>
      <c r="G476" s="4" t="b">
        <f>tblPlayers[[#This Row],[can_select]]</f>
        <v>1</v>
      </c>
      <c r="H476">
        <f>IF(AND(Table8[[#This Row],[Availability Status]]="a",Table8[[#This Row],[Can Select]]=TRUE),1,0)</f>
        <v>1</v>
      </c>
      <c r="I476">
        <f>tblPlayers[minutes]</f>
        <v>173</v>
      </c>
      <c r="J476" s="2">
        <f>Table8[[#This Row],[Minutes]]/90</f>
        <v>1.9222222222222223</v>
      </c>
      <c r="K476" s="5">
        <f>IFERROR(Z476/(FIXTURE_ANALYSIS!$B$1-1),0)</f>
        <v>0.66666666666666663</v>
      </c>
      <c r="L476">
        <f>tblPlayers[total_points]</f>
        <v>25</v>
      </c>
      <c r="M476">
        <f>tblPlayers[points_per_game]</f>
        <v>8.3000000000000007</v>
      </c>
      <c r="N476">
        <f>tblPlayers[form]</f>
        <v>8.3000000000000007</v>
      </c>
      <c r="O476">
        <f>tblPlayers[expected_goals]</f>
        <v>0.56000000000000005</v>
      </c>
      <c r="P476">
        <f>tblPlayers[expected_assists]</f>
        <v>1.35</v>
      </c>
      <c r="Q476">
        <f>tblPlayers[expected_goal_involvements]</f>
        <v>1.91</v>
      </c>
      <c r="R476" s="2">
        <f t="shared" si="175"/>
        <v>13.00578034682081</v>
      </c>
      <c r="S476" s="5">
        <f t="shared" si="176"/>
        <v>0.29132947976878615</v>
      </c>
      <c r="T476" s="5">
        <f t="shared" si="177"/>
        <v>0.70231213872832376</v>
      </c>
      <c r="U476" s="5">
        <f t="shared" si="178"/>
        <v>0.99364161849710975</v>
      </c>
      <c r="V476" s="3">
        <f t="shared" si="179"/>
        <v>3.2051282051282053</v>
      </c>
      <c r="W476" s="5">
        <f t="shared" si="180"/>
        <v>0.24487179487179486</v>
      </c>
      <c r="X476" s="5">
        <f>IFERROR(IF(OR($B476="MID",$B476="FWD"),INDEX(FIXTURE_ANALYSIS!$Q:$Q,MATCH($D476,FIXTURE_ANALYSIS!$A:$A,0)),INDEX(FIXTURE_ANALYSIS!$R:$R,MATCH($D476,FIXTURE_ANALYSIS!$A:$A,0))),1)</f>
        <v>1.1822231833910033</v>
      </c>
      <c r="Y476" s="5">
        <f t="shared" si="181"/>
        <v>1.1822231833910033</v>
      </c>
      <c r="Z476" s="8">
        <f>INDEX(FPL_Raw_Data!$T:$T,MATCH(A476,FPL_Raw_Data!$AA:$AA,0))</f>
        <v>2</v>
      </c>
      <c r="AA476" s="8">
        <f>INDEX(FPL_Raw_Data!$S:$S,MATCH(A476,FPL_Raw_Data!$AA:$AA,0))</f>
        <v>6</v>
      </c>
      <c r="AB476" s="2">
        <f t="shared" si="182"/>
        <v>0.5</v>
      </c>
      <c r="AC476" s="2">
        <f>INDEX(FPL_Raw_Data!$Q:$Q,MATCH(A476,FPL_Raw_Data!$AA:$AA,0))</f>
        <v>4</v>
      </c>
      <c r="AD476" s="8">
        <f>INDEX(FPL_Raw_Data!$R:$R,MATCH(A476,FPL_Raw_Data!$AA:$AA,0))</f>
        <v>111</v>
      </c>
      <c r="AE476" s="8">
        <f>INDEX(FPL_Raw_Data!$N:$N,MATCH(A476,FPL_Raw_Data!$AA:$AA,0))</f>
        <v>1</v>
      </c>
      <c r="AF476" s="8">
        <f>INDEX(FPL_Raw_Data!$L:$L,MATCH(A476,FPL_Raw_Data!$AA:$AA,0))</f>
        <v>2</v>
      </c>
      <c r="AG476" s="2">
        <f>INDEX(FPL_Raw_Data!$M:$M,MATCH(A476,FPL_Raw_Data!$AA:$AA,0))</f>
        <v>2</v>
      </c>
      <c r="AH476" s="2">
        <f t="shared" si="183"/>
        <v>1.4566473988439308</v>
      </c>
      <c r="AI476" s="2">
        <f t="shared" si="184"/>
        <v>2.1069364161849711</v>
      </c>
      <c r="AJ476" s="2">
        <f t="shared" si="185"/>
        <v>1.3333333333333333</v>
      </c>
      <c r="AK476" s="2">
        <f t="shared" si="186"/>
        <v>1</v>
      </c>
      <c r="AL476" s="2">
        <f t="shared" si="187"/>
        <v>0.5</v>
      </c>
      <c r="AM476" s="2">
        <f t="shared" si="188"/>
        <v>0.5</v>
      </c>
      <c r="AN476" s="2">
        <f t="shared" si="189"/>
        <v>2</v>
      </c>
      <c r="AO476" s="3">
        <f t="shared" si="190"/>
        <v>95.6</v>
      </c>
      <c r="AP476">
        <f t="shared" si="191"/>
        <v>97.899999999999991</v>
      </c>
      <c r="AQ476">
        <f t="shared" si="192"/>
        <v>95.7</v>
      </c>
      <c r="AR476">
        <f t="shared" si="193"/>
        <v>97.1</v>
      </c>
      <c r="AS476" s="2">
        <f t="shared" si="194"/>
        <v>66.666666666666657</v>
      </c>
      <c r="AT476" s="2">
        <f>IFERROR(INDEX(Player_Model!$BC$2:$BC$596,MATCH($A476,Player_Model!$A$2:$A$596,0)),0)</f>
        <v>7.220428566906028</v>
      </c>
      <c r="AU476" s="2">
        <f>Table8[[#This Row],[Model Expected Points]]*Table8[[#This Row],[Fixture Adjustment]]</f>
        <v>8.5361580458149842</v>
      </c>
      <c r="AV476" s="2">
        <f>Table8[[#This Row],[Fixture Adjusted Points / 90]]/Table8[[#This Row],[Price]]</f>
        <v>1.0943792366429468</v>
      </c>
      <c r="AW476">
        <f t="shared" si="195"/>
        <v>96.75</v>
      </c>
      <c r="AX476">
        <f t="shared" si="196"/>
        <v>0.5</v>
      </c>
      <c r="AY476" s="2">
        <f t="shared" si="197"/>
        <v>66.666666666666657</v>
      </c>
      <c r="AZ476" s="5">
        <f t="shared" si="198"/>
        <v>1.1822231833910033</v>
      </c>
      <c r="BA476">
        <f>Table8[[#This Row],[Model Score2]]</f>
        <v>7.220428566906028</v>
      </c>
      <c r="BB476">
        <f>IFERROR(INDEX(Player_Model!$BG$2:$BG$596,MATCH($A476,Player_Model!$A$2:$A$596,0)),"")</f>
        <v>7</v>
      </c>
      <c r="BC476" t="str">
        <f t="shared" si="199"/>
        <v>CONSIDER</v>
      </c>
      <c r="BD476">
        <f>IF(H476=1,Table8[[#This Row],[Model Score]],-10000)</f>
        <v>7.220428566906028</v>
      </c>
      <c r="BE476">
        <f>IFERROR(INDEX(Player_Model!$BF$2:$BF$596,MATCH($A476,Player_Model!$A$2:$A$596,0)),"")</f>
        <v>18</v>
      </c>
      <c r="BF476">
        <f>IFERROR(INDEX(Player_Model!$BG$2:$BG$596,MATCH($A476,Player_Model!$A$2:$A$596,0)),"")</f>
        <v>7</v>
      </c>
      <c r="BG476">
        <f>IFERROR(INDEX(Player_Model!$BE$2:$BE$596,MATCH($A476,Player_Model!$A$2:$A$596,0)),0)</f>
        <v>7.220428566906028</v>
      </c>
    </row>
    <row r="477" spans="1:59" x14ac:dyDescent="0.25">
      <c r="A477" t="str">
        <f>tblPlayers[first_name]&amp;" "&amp;tblPlayers[second_name]</f>
        <v>Jérémy Doku</v>
      </c>
      <c r="B477" t="str">
        <f>_xlfn.SWITCH(tblPlayers[element_type],1,"GK",2,"DEF",3,"MID",4,"FWD")</f>
        <v>MID</v>
      </c>
      <c r="C477">
        <f>tblPlayers[team]</f>
        <v>15</v>
      </c>
      <c r="D477" t="str">
        <f>INDEX(tblTeams[Column1.short_name],MATCH(C477,tblTeams[Column1.id],0))</f>
        <v>MCI</v>
      </c>
      <c r="E477" s="4">
        <f>INDEX(FPL_Raw_Data!$F:$F,MATCH(A477,FPL_Raw_Data!$AA:$AA,0))/10</f>
        <v>7.4</v>
      </c>
      <c r="F477" s="4" t="str">
        <f>tblPlayers[[#This Row],[status]]</f>
        <v>i</v>
      </c>
      <c r="G477" s="4" t="b">
        <f>tblPlayers[[#This Row],[can_select]]</f>
        <v>1</v>
      </c>
      <c r="H477">
        <f>IF(AND(Table8[[#This Row],[Availability Status]]="a",Table8[[#This Row],[Can Select]]=TRUE),1,0)</f>
        <v>0</v>
      </c>
      <c r="I477">
        <f>tblPlayers[minutes]</f>
        <v>0</v>
      </c>
      <c r="J477" s="2">
        <f>Table8[[#This Row],[Minutes]]/90</f>
        <v>0</v>
      </c>
      <c r="K477" s="5">
        <f>IFERROR(Z477/(FIXTURE_ANALYSIS!$B$1-1),0)</f>
        <v>0</v>
      </c>
      <c r="L477">
        <f>tblPlayers[total_points]</f>
        <v>0</v>
      </c>
      <c r="M477">
        <f>tblPlayers[points_per_game]</f>
        <v>0</v>
      </c>
      <c r="N477">
        <f>tblPlayers[form]</f>
        <v>0</v>
      </c>
      <c r="O477">
        <f>tblPlayers[expected_goals]</f>
        <v>0</v>
      </c>
      <c r="P477">
        <f>tblPlayers[expected_assists]</f>
        <v>0</v>
      </c>
      <c r="Q477">
        <f>tblPlayers[expected_goal_involvements]</f>
        <v>0</v>
      </c>
      <c r="R477" s="2">
        <f t="shared" si="175"/>
        <v>0</v>
      </c>
      <c r="S477" s="5">
        <f t="shared" si="176"/>
        <v>0</v>
      </c>
      <c r="T477" s="5">
        <f t="shared" si="177"/>
        <v>0</v>
      </c>
      <c r="U477" s="5">
        <f t="shared" si="178"/>
        <v>0</v>
      </c>
      <c r="V477" s="3">
        <f t="shared" si="179"/>
        <v>0</v>
      </c>
      <c r="W477" s="5">
        <f t="shared" si="180"/>
        <v>0</v>
      </c>
      <c r="X477" s="5">
        <f>IFERROR(IF(OR($B477="MID",$B477="FWD"),INDEX(FIXTURE_ANALYSIS!$Q:$Q,MATCH($D477,FIXTURE_ANALYSIS!$A:$A,0)),INDEX(FIXTURE_ANALYSIS!$R:$R,MATCH($D477,FIXTURE_ANALYSIS!$A:$A,0))),1)</f>
        <v>1.1822231833910033</v>
      </c>
      <c r="Y477" s="5">
        <f t="shared" si="181"/>
        <v>1.1822231833910033</v>
      </c>
      <c r="Z477" s="8">
        <f>INDEX(FPL_Raw_Data!$T:$T,MATCH(A477,FPL_Raw_Data!$AA:$AA,0))</f>
        <v>0</v>
      </c>
      <c r="AA477" s="8">
        <f>INDEX(FPL_Raw_Data!$S:$S,MATCH(A477,FPL_Raw_Data!$AA:$AA,0))</f>
        <v>0</v>
      </c>
      <c r="AB477" s="2">
        <f t="shared" si="182"/>
        <v>0</v>
      </c>
      <c r="AC477" s="2">
        <f>INDEX(FPL_Raw_Data!$Q:$Q,MATCH(A477,FPL_Raw_Data!$AA:$AA,0))</f>
        <v>0</v>
      </c>
      <c r="AD477" s="8">
        <f>INDEX(FPL_Raw_Data!$R:$R,MATCH(A477,FPL_Raw_Data!$AA:$AA,0))</f>
        <v>0</v>
      </c>
      <c r="AE477" s="8">
        <f>INDEX(FPL_Raw_Data!$N:$N,MATCH(A477,FPL_Raw_Data!$AA:$AA,0))</f>
        <v>0</v>
      </c>
      <c r="AF477" s="8">
        <f>INDEX(FPL_Raw_Data!$L:$L,MATCH(A477,FPL_Raw_Data!$AA:$AA,0))</f>
        <v>0</v>
      </c>
      <c r="AG477" s="2">
        <f>INDEX(FPL_Raw_Data!$M:$M,MATCH(A477,FPL_Raw_Data!$AA:$AA,0))</f>
        <v>0</v>
      </c>
      <c r="AH477" s="2">
        <f t="shared" si="183"/>
        <v>0</v>
      </c>
      <c r="AI477" s="2">
        <f t="shared" si="184"/>
        <v>0</v>
      </c>
      <c r="AJ477" s="2">
        <f t="shared" si="185"/>
        <v>0</v>
      </c>
      <c r="AK477" s="2">
        <f t="shared" si="186"/>
        <v>0</v>
      </c>
      <c r="AL477" s="2">
        <f t="shared" si="187"/>
        <v>0</v>
      </c>
      <c r="AM477" s="2">
        <f t="shared" si="188"/>
        <v>0</v>
      </c>
      <c r="AN477" s="2">
        <f t="shared" si="189"/>
        <v>0</v>
      </c>
      <c r="AO477" s="3">
        <f t="shared" si="190"/>
        <v>0.1</v>
      </c>
      <c r="AP477">
        <f t="shared" si="191"/>
        <v>0</v>
      </c>
      <c r="AQ477">
        <f t="shared" si="192"/>
        <v>0.1</v>
      </c>
      <c r="AR477">
        <f t="shared" si="193"/>
        <v>0</v>
      </c>
      <c r="AS477" s="2">
        <f t="shared" si="194"/>
        <v>0</v>
      </c>
      <c r="AT477" s="2">
        <f>IFERROR(INDEX(Player_Model!$BC$2:$BC$596,MATCH($A477,Player_Model!$A$2:$A$596,0)),0)</f>
        <v>0</v>
      </c>
      <c r="AU477" s="2">
        <f>Table8[[#This Row],[Model Expected Points]]*Table8[[#This Row],[Fixture Adjustment]]</f>
        <v>0</v>
      </c>
      <c r="AV477" s="2">
        <f>Table8[[#This Row],[Fixture Adjusted Points / 90]]/Table8[[#This Row],[Price]]</f>
        <v>0</v>
      </c>
      <c r="AW477">
        <f t="shared" si="195"/>
        <v>0.05</v>
      </c>
      <c r="AX477">
        <f t="shared" si="196"/>
        <v>0</v>
      </c>
      <c r="AY477" s="2">
        <f t="shared" si="197"/>
        <v>0</v>
      </c>
      <c r="AZ477" s="5">
        <f t="shared" si="198"/>
        <v>1.1822231833910033</v>
      </c>
      <c r="BA477">
        <f>Table8[[#This Row],[Model Score2]]</f>
        <v>0</v>
      </c>
      <c r="BB477">
        <f>IFERROR(INDEX(Player_Model!$BG$2:$BG$596,MATCH($A477,Player_Model!$A$2:$A$596,0)),"")</f>
        <v>233</v>
      </c>
      <c r="BC477" t="str">
        <f t="shared" si="199"/>
        <v>AVOID</v>
      </c>
      <c r="BD477">
        <f>IF(H477=1,Table8[[#This Row],[Model Score]],-10000)</f>
        <v>-10000</v>
      </c>
      <c r="BE477">
        <f>IFERROR(INDEX(Player_Model!$BF$2:$BF$596,MATCH($A477,Player_Model!$A$2:$A$596,0)),"")</f>
        <v>253</v>
      </c>
      <c r="BF477">
        <f>IFERROR(INDEX(Player_Model!$BG$2:$BG$596,MATCH($A477,Player_Model!$A$2:$A$596,0)),"")</f>
        <v>233</v>
      </c>
      <c r="BG477">
        <f>IFERROR(INDEX(Player_Model!$BE$2:$BE$596,MATCH($A477,Player_Model!$A$2:$A$596,0)),0)</f>
        <v>0</v>
      </c>
    </row>
    <row r="478" spans="1:59" x14ac:dyDescent="0.25">
      <c r="A478" t="str">
        <f>tblPlayers[first_name]&amp;" "&amp;tblPlayers[second_name]</f>
        <v>Rodrigo 'Rodri' Hernandez Cascante</v>
      </c>
      <c r="B478" t="str">
        <f>_xlfn.SWITCH(tblPlayers[element_type],1,"GK",2,"DEF",3,"MID",4,"FWD")</f>
        <v>MID</v>
      </c>
      <c r="C478">
        <f>tblPlayers[team]</f>
        <v>15</v>
      </c>
      <c r="D478" t="str">
        <f>INDEX(tblTeams[Column1.short_name],MATCH(C478,tblTeams[Column1.id],0))</f>
        <v>MCI</v>
      </c>
      <c r="E478" s="4">
        <f>INDEX(FPL_Raw_Data!$F:$F,MATCH(A478,FPL_Raw_Data!$AA:$AA,0))/10</f>
        <v>6.5</v>
      </c>
      <c r="F478" s="4" t="str">
        <f>tblPlayers[[#This Row],[status]]</f>
        <v>u</v>
      </c>
      <c r="G478" s="4" t="b">
        <f>tblPlayers[[#This Row],[can_select]]</f>
        <v>0</v>
      </c>
      <c r="H478">
        <f>IF(AND(Table8[[#This Row],[Availability Status]]="a",Table8[[#This Row],[Can Select]]=TRUE),1,0)</f>
        <v>0</v>
      </c>
      <c r="I478">
        <f>tblPlayers[minutes]</f>
        <v>0</v>
      </c>
      <c r="J478" s="2">
        <f>Table8[[#This Row],[Minutes]]/90</f>
        <v>0</v>
      </c>
      <c r="K478" s="5">
        <f>IFERROR(Z478/(FIXTURE_ANALYSIS!$B$1-1),0)</f>
        <v>0</v>
      </c>
      <c r="L478">
        <f>tblPlayers[total_points]</f>
        <v>0</v>
      </c>
      <c r="M478">
        <f>tblPlayers[points_per_game]</f>
        <v>0</v>
      </c>
      <c r="N478">
        <f>tblPlayers[form]</f>
        <v>0</v>
      </c>
      <c r="O478">
        <f>tblPlayers[expected_goals]</f>
        <v>0</v>
      </c>
      <c r="P478">
        <f>tblPlayers[expected_assists]</f>
        <v>0</v>
      </c>
      <c r="Q478">
        <f>tblPlayers[expected_goal_involvements]</f>
        <v>0</v>
      </c>
      <c r="R478" s="2">
        <f t="shared" si="175"/>
        <v>0</v>
      </c>
      <c r="S478" s="5">
        <f t="shared" si="176"/>
        <v>0</v>
      </c>
      <c r="T478" s="5">
        <f t="shared" si="177"/>
        <v>0</v>
      </c>
      <c r="U478" s="5">
        <f t="shared" si="178"/>
        <v>0</v>
      </c>
      <c r="V478" s="3">
        <f t="shared" si="179"/>
        <v>0</v>
      </c>
      <c r="W478" s="5">
        <f t="shared" si="180"/>
        <v>0</v>
      </c>
      <c r="X478" s="5">
        <f>IFERROR(IF(OR($B478="MID",$B478="FWD"),INDEX(FIXTURE_ANALYSIS!$Q:$Q,MATCH($D478,FIXTURE_ANALYSIS!$A:$A,0)),INDEX(FIXTURE_ANALYSIS!$R:$R,MATCH($D478,FIXTURE_ANALYSIS!$A:$A,0))),1)</f>
        <v>1.1822231833910033</v>
      </c>
      <c r="Y478" s="5">
        <f t="shared" si="181"/>
        <v>1.1822231833910033</v>
      </c>
      <c r="Z478" s="8">
        <f>INDEX(FPL_Raw_Data!$T:$T,MATCH(A478,FPL_Raw_Data!$AA:$AA,0))</f>
        <v>0</v>
      </c>
      <c r="AA478" s="8">
        <f>INDEX(FPL_Raw_Data!$S:$S,MATCH(A478,FPL_Raw_Data!$AA:$AA,0))</f>
        <v>0</v>
      </c>
      <c r="AB478" s="2">
        <f t="shared" si="182"/>
        <v>0</v>
      </c>
      <c r="AC478" s="2">
        <f>INDEX(FPL_Raw_Data!$Q:$Q,MATCH(A478,FPL_Raw_Data!$AA:$AA,0))</f>
        <v>0</v>
      </c>
      <c r="AD478" s="8">
        <f>INDEX(FPL_Raw_Data!$R:$R,MATCH(A478,FPL_Raw_Data!$AA:$AA,0))</f>
        <v>0</v>
      </c>
      <c r="AE478" s="8">
        <f>INDEX(FPL_Raw_Data!$N:$N,MATCH(A478,FPL_Raw_Data!$AA:$AA,0))</f>
        <v>0</v>
      </c>
      <c r="AF478" s="8">
        <f>INDEX(FPL_Raw_Data!$L:$L,MATCH(A478,FPL_Raw_Data!$AA:$AA,0))</f>
        <v>0</v>
      </c>
      <c r="AG478" s="2">
        <f>INDEX(FPL_Raw_Data!$M:$M,MATCH(A478,FPL_Raw_Data!$AA:$AA,0))</f>
        <v>0</v>
      </c>
      <c r="AH478" s="2">
        <f t="shared" si="183"/>
        <v>0</v>
      </c>
      <c r="AI478" s="2">
        <f t="shared" si="184"/>
        <v>0</v>
      </c>
      <c r="AJ478" s="2">
        <f t="shared" si="185"/>
        <v>0</v>
      </c>
      <c r="AK478" s="2">
        <f t="shared" si="186"/>
        <v>0</v>
      </c>
      <c r="AL478" s="2">
        <f t="shared" si="187"/>
        <v>0</v>
      </c>
      <c r="AM478" s="2">
        <f t="shared" si="188"/>
        <v>0</v>
      </c>
      <c r="AN478" s="2">
        <f t="shared" si="189"/>
        <v>0</v>
      </c>
      <c r="AO478" s="3">
        <f t="shared" si="190"/>
        <v>0.1</v>
      </c>
      <c r="AP478">
        <f t="shared" si="191"/>
        <v>0</v>
      </c>
      <c r="AQ478">
        <f t="shared" si="192"/>
        <v>0.1</v>
      </c>
      <c r="AR478">
        <f t="shared" si="193"/>
        <v>0</v>
      </c>
      <c r="AS478" s="2">
        <f t="shared" si="194"/>
        <v>0</v>
      </c>
      <c r="AT478" s="2">
        <f>IFERROR(INDEX(Player_Model!$BC$2:$BC$596,MATCH($A478,Player_Model!$A$2:$A$596,0)),0)</f>
        <v>0</v>
      </c>
      <c r="AU478" s="2">
        <f>Table8[[#This Row],[Model Expected Points]]*Table8[[#This Row],[Fixture Adjustment]]</f>
        <v>0</v>
      </c>
      <c r="AV478" s="2">
        <f>Table8[[#This Row],[Fixture Adjusted Points / 90]]/Table8[[#This Row],[Price]]</f>
        <v>0</v>
      </c>
      <c r="AW478">
        <f t="shared" si="195"/>
        <v>0.05</v>
      </c>
      <c r="AX478">
        <f t="shared" si="196"/>
        <v>0</v>
      </c>
      <c r="AY478" s="2">
        <f t="shared" si="197"/>
        <v>0</v>
      </c>
      <c r="AZ478" s="5">
        <f t="shared" si="198"/>
        <v>1.1822231833910033</v>
      </c>
      <c r="BA478">
        <f>Table8[[#This Row],[Model Score2]]</f>
        <v>0</v>
      </c>
      <c r="BB478">
        <f>IFERROR(INDEX(Player_Model!$BG$2:$BG$596,MATCH($A478,Player_Model!$A$2:$A$596,0)),"")</f>
        <v>234</v>
      </c>
      <c r="BC478" t="str">
        <f t="shared" si="199"/>
        <v>AVOID</v>
      </c>
      <c r="BD478">
        <f>IF(H478=1,Table8[[#This Row],[Model Score]],-10000)</f>
        <v>-10000</v>
      </c>
      <c r="BE478">
        <f>IFERROR(INDEX(Player_Model!$BF$2:$BF$596,MATCH($A478,Player_Model!$A$2:$A$596,0)),"")</f>
        <v>253</v>
      </c>
      <c r="BF478">
        <f>IFERROR(INDEX(Player_Model!$BG$2:$BG$596,MATCH($A478,Player_Model!$A$2:$A$596,0)),"")</f>
        <v>234</v>
      </c>
      <c r="BG478">
        <f>IFERROR(INDEX(Player_Model!$BE$2:$BE$596,MATCH($A478,Player_Model!$A$2:$A$596,0)),0)</f>
        <v>0</v>
      </c>
    </row>
    <row r="479" spans="1:59" x14ac:dyDescent="0.25">
      <c r="A479" t="str">
        <f>tblPlayers[first_name]&amp;" "&amp;tblPlayers[second_name]</f>
        <v>Tijjani Reijnders</v>
      </c>
      <c r="B479" t="str">
        <f>_xlfn.SWITCH(tblPlayers[element_type],1,"GK",2,"DEF",3,"MID",4,"FWD")</f>
        <v>MID</v>
      </c>
      <c r="C479">
        <f>tblPlayers[team]</f>
        <v>15</v>
      </c>
      <c r="D479" t="str">
        <f>INDEX(tblTeams[Column1.short_name],MATCH(C479,tblTeams[Column1.id],0))</f>
        <v>MCI</v>
      </c>
      <c r="E479" s="4">
        <f>INDEX(FPL_Raw_Data!$F:$F,MATCH(A479,FPL_Raw_Data!$AA:$AA,0))/10</f>
        <v>6</v>
      </c>
      <c r="F479" s="4" t="str">
        <f>tblPlayers[[#This Row],[status]]</f>
        <v>u</v>
      </c>
      <c r="G479" s="4" t="b">
        <f>tblPlayers[[#This Row],[can_select]]</f>
        <v>0</v>
      </c>
      <c r="H479">
        <f>IF(AND(Table8[[#This Row],[Availability Status]]="a",Table8[[#This Row],[Can Select]]=TRUE),1,0)</f>
        <v>0</v>
      </c>
      <c r="I479">
        <f>tblPlayers[minutes]</f>
        <v>0</v>
      </c>
      <c r="J479" s="2">
        <f>Table8[[#This Row],[Minutes]]/90</f>
        <v>0</v>
      </c>
      <c r="K479" s="5">
        <f>IFERROR(Z479/(FIXTURE_ANALYSIS!$B$1-1),0)</f>
        <v>0</v>
      </c>
      <c r="L479">
        <f>tblPlayers[total_points]</f>
        <v>0</v>
      </c>
      <c r="M479">
        <f>tblPlayers[points_per_game]</f>
        <v>0</v>
      </c>
      <c r="N479">
        <f>tblPlayers[form]</f>
        <v>0</v>
      </c>
      <c r="O479">
        <f>tblPlayers[expected_goals]</f>
        <v>0</v>
      </c>
      <c r="P479">
        <f>tblPlayers[expected_assists]</f>
        <v>0</v>
      </c>
      <c r="Q479">
        <f>tblPlayers[expected_goal_involvements]</f>
        <v>0</v>
      </c>
      <c r="R479" s="2">
        <f t="shared" si="175"/>
        <v>0</v>
      </c>
      <c r="S479" s="5">
        <f t="shared" si="176"/>
        <v>0</v>
      </c>
      <c r="T479" s="5">
        <f t="shared" si="177"/>
        <v>0</v>
      </c>
      <c r="U479" s="5">
        <f t="shared" si="178"/>
        <v>0</v>
      </c>
      <c r="V479" s="3">
        <f t="shared" si="179"/>
        <v>0</v>
      </c>
      <c r="W479" s="5">
        <f t="shared" si="180"/>
        <v>0</v>
      </c>
      <c r="X479" s="5">
        <f>IFERROR(IF(OR($B479="MID",$B479="FWD"),INDEX(FIXTURE_ANALYSIS!$Q:$Q,MATCH($D479,FIXTURE_ANALYSIS!$A:$A,0)),INDEX(FIXTURE_ANALYSIS!$R:$R,MATCH($D479,FIXTURE_ANALYSIS!$A:$A,0))),1)</f>
        <v>1.1822231833910033</v>
      </c>
      <c r="Y479" s="5">
        <f t="shared" si="181"/>
        <v>1.1822231833910033</v>
      </c>
      <c r="Z479" s="8">
        <f>INDEX(FPL_Raw_Data!$T:$T,MATCH(A479,FPL_Raw_Data!$AA:$AA,0))</f>
        <v>0</v>
      </c>
      <c r="AA479" s="8">
        <f>INDEX(FPL_Raw_Data!$S:$S,MATCH(A479,FPL_Raw_Data!$AA:$AA,0))</f>
        <v>0</v>
      </c>
      <c r="AB479" s="2">
        <f t="shared" si="182"/>
        <v>0</v>
      </c>
      <c r="AC479" s="2">
        <f>INDEX(FPL_Raw_Data!$Q:$Q,MATCH(A479,FPL_Raw_Data!$AA:$AA,0))</f>
        <v>0</v>
      </c>
      <c r="AD479" s="8">
        <f>INDEX(FPL_Raw_Data!$R:$R,MATCH(A479,FPL_Raw_Data!$AA:$AA,0))</f>
        <v>0</v>
      </c>
      <c r="AE479" s="8">
        <f>INDEX(FPL_Raw_Data!$N:$N,MATCH(A479,FPL_Raw_Data!$AA:$AA,0))</f>
        <v>0</v>
      </c>
      <c r="AF479" s="8">
        <f>INDEX(FPL_Raw_Data!$L:$L,MATCH(A479,FPL_Raw_Data!$AA:$AA,0))</f>
        <v>0</v>
      </c>
      <c r="AG479" s="2">
        <f>INDEX(FPL_Raw_Data!$M:$M,MATCH(A479,FPL_Raw_Data!$AA:$AA,0))</f>
        <v>0</v>
      </c>
      <c r="AH479" s="2">
        <f t="shared" si="183"/>
        <v>0</v>
      </c>
      <c r="AI479" s="2">
        <f t="shared" si="184"/>
        <v>0</v>
      </c>
      <c r="AJ479" s="2">
        <f t="shared" si="185"/>
        <v>0</v>
      </c>
      <c r="AK479" s="2">
        <f t="shared" si="186"/>
        <v>0</v>
      </c>
      <c r="AL479" s="2">
        <f t="shared" si="187"/>
        <v>0</v>
      </c>
      <c r="AM479" s="2">
        <f t="shared" si="188"/>
        <v>0</v>
      </c>
      <c r="AN479" s="2">
        <f t="shared" si="189"/>
        <v>0</v>
      </c>
      <c r="AO479" s="3">
        <f t="shared" si="190"/>
        <v>0.1</v>
      </c>
      <c r="AP479">
        <f t="shared" si="191"/>
        <v>0</v>
      </c>
      <c r="AQ479">
        <f t="shared" si="192"/>
        <v>0.1</v>
      </c>
      <c r="AR479">
        <f t="shared" si="193"/>
        <v>0</v>
      </c>
      <c r="AS479" s="2">
        <f t="shared" si="194"/>
        <v>0</v>
      </c>
      <c r="AT479" s="2">
        <f>IFERROR(INDEX(Player_Model!$BC$2:$BC$596,MATCH($A479,Player_Model!$A$2:$A$596,0)),0)</f>
        <v>0</v>
      </c>
      <c r="AU479" s="2">
        <f>Table8[[#This Row],[Model Expected Points]]*Table8[[#This Row],[Fixture Adjustment]]</f>
        <v>0</v>
      </c>
      <c r="AV479" s="2">
        <f>Table8[[#This Row],[Fixture Adjusted Points / 90]]/Table8[[#This Row],[Price]]</f>
        <v>0</v>
      </c>
      <c r="AW479">
        <f t="shared" si="195"/>
        <v>0.05</v>
      </c>
      <c r="AX479">
        <f t="shared" si="196"/>
        <v>0</v>
      </c>
      <c r="AY479" s="2">
        <f t="shared" si="197"/>
        <v>0</v>
      </c>
      <c r="AZ479" s="5">
        <f t="shared" si="198"/>
        <v>1.1822231833910033</v>
      </c>
      <c r="BA479">
        <f>Table8[[#This Row],[Model Score2]]</f>
        <v>0</v>
      </c>
      <c r="BB479">
        <f>IFERROR(INDEX(Player_Model!$BG$2:$BG$596,MATCH($A479,Player_Model!$A$2:$A$596,0)),"")</f>
        <v>235</v>
      </c>
      <c r="BC479" t="str">
        <f t="shared" si="199"/>
        <v>AVOID</v>
      </c>
      <c r="BD479">
        <f>IF(H479=1,Table8[[#This Row],[Model Score]],-10000)</f>
        <v>-10000</v>
      </c>
      <c r="BE479">
        <f>IFERROR(INDEX(Player_Model!$BF$2:$BF$596,MATCH($A479,Player_Model!$A$2:$A$596,0)),"")</f>
        <v>253</v>
      </c>
      <c r="BF479">
        <f>IFERROR(INDEX(Player_Model!$BG$2:$BG$596,MATCH($A479,Player_Model!$A$2:$A$596,0)),"")</f>
        <v>235</v>
      </c>
      <c r="BG479">
        <f>IFERROR(INDEX(Player_Model!$BE$2:$BE$596,MATCH($A479,Player_Model!$A$2:$A$596,0)),0)</f>
        <v>0</v>
      </c>
    </row>
    <row r="480" spans="1:59" x14ac:dyDescent="0.25">
      <c r="A480" t="str">
        <f>tblPlayers[first_name]&amp;" "&amp;tblPlayers[second_name]</f>
        <v>Mateo Kovačić</v>
      </c>
      <c r="B480" t="str">
        <f>_xlfn.SWITCH(tblPlayers[element_type],1,"GK",2,"DEF",3,"MID",4,"FWD")</f>
        <v>MID</v>
      </c>
      <c r="C480">
        <f>tblPlayers[team]</f>
        <v>15</v>
      </c>
      <c r="D480" t="str">
        <f>INDEX(tblTeams[Column1.short_name],MATCH(C480,tblTeams[Column1.id],0))</f>
        <v>MCI</v>
      </c>
      <c r="E480" s="4">
        <f>INDEX(FPL_Raw_Data!$F:$F,MATCH(A480,FPL_Raw_Data!$AA:$AA,0))/10</f>
        <v>5.4</v>
      </c>
      <c r="F480" s="4" t="str">
        <f>tblPlayers[[#This Row],[status]]</f>
        <v>a</v>
      </c>
      <c r="G480" s="4" t="b">
        <f>tblPlayers[[#This Row],[can_select]]</f>
        <v>1</v>
      </c>
      <c r="H480">
        <f>IF(AND(Table8[[#This Row],[Availability Status]]="a",Table8[[#This Row],[Can Select]]=TRUE),1,0)</f>
        <v>1</v>
      </c>
      <c r="I480">
        <f>tblPlayers[minutes]</f>
        <v>42</v>
      </c>
      <c r="J480" s="2">
        <f>Table8[[#This Row],[Minutes]]/90</f>
        <v>0.46666666666666667</v>
      </c>
      <c r="K480" s="5">
        <f>IFERROR(Z480/(FIXTURE_ANALYSIS!$B$1-1),0)</f>
        <v>0</v>
      </c>
      <c r="L480">
        <f>tblPlayers[total_points]</f>
        <v>2</v>
      </c>
      <c r="M480">
        <f>tblPlayers[points_per_game]</f>
        <v>1</v>
      </c>
      <c r="N480">
        <f>tblPlayers[form]</f>
        <v>0.7</v>
      </c>
      <c r="O480">
        <f>tblPlayers[expected_goals]</f>
        <v>0</v>
      </c>
      <c r="P480">
        <f>tblPlayers[expected_assists]</f>
        <v>0.02</v>
      </c>
      <c r="Q480">
        <f>tblPlayers[expected_goal_involvements]</f>
        <v>0.02</v>
      </c>
      <c r="R480" s="2">
        <f t="shared" si="175"/>
        <v>4.2857142857142856</v>
      </c>
      <c r="S480" s="5">
        <f t="shared" si="176"/>
        <v>0</v>
      </c>
      <c r="T480" s="5">
        <f t="shared" si="177"/>
        <v>4.2857142857142858E-2</v>
      </c>
      <c r="U480" s="5">
        <f t="shared" si="178"/>
        <v>4.2857142857142858E-2</v>
      </c>
      <c r="V480" s="3">
        <f t="shared" si="179"/>
        <v>0.37037037037037035</v>
      </c>
      <c r="W480" s="5">
        <f t="shared" si="180"/>
        <v>3.7037037037037034E-3</v>
      </c>
      <c r="X480" s="5">
        <f>IFERROR(IF(OR($B480="MID",$B480="FWD"),INDEX(FIXTURE_ANALYSIS!$Q:$Q,MATCH($D480,FIXTURE_ANALYSIS!$A:$A,0)),INDEX(FIXTURE_ANALYSIS!$R:$R,MATCH($D480,FIXTURE_ANALYSIS!$A:$A,0))),1)</f>
        <v>1.1822231833910033</v>
      </c>
      <c r="Y480" s="5">
        <f t="shared" si="181"/>
        <v>1.1822231833910033</v>
      </c>
      <c r="Z480" s="8">
        <f>INDEX(FPL_Raw_Data!$T:$T,MATCH(A480,FPL_Raw_Data!$AA:$AA,0))</f>
        <v>0</v>
      </c>
      <c r="AA480" s="8">
        <f>INDEX(FPL_Raw_Data!$S:$S,MATCH(A480,FPL_Raw_Data!$AA:$AA,0))</f>
        <v>2</v>
      </c>
      <c r="AB480" s="2">
        <f t="shared" si="182"/>
        <v>0.16666666666666666</v>
      </c>
      <c r="AC480" s="2">
        <f>INDEX(FPL_Raw_Data!$Q:$Q,MATCH(A480,FPL_Raw_Data!$AA:$AA,0))</f>
        <v>0</v>
      </c>
      <c r="AD480" s="8">
        <f>INDEX(FPL_Raw_Data!$R:$R,MATCH(A480,FPL_Raw_Data!$AA:$AA,0))</f>
        <v>12</v>
      </c>
      <c r="AE480" s="8">
        <f>INDEX(FPL_Raw_Data!$N:$N,MATCH(A480,FPL_Raw_Data!$AA:$AA,0))</f>
        <v>0</v>
      </c>
      <c r="AF480" s="8">
        <f>INDEX(FPL_Raw_Data!$L:$L,MATCH(A480,FPL_Raw_Data!$AA:$AA,0))</f>
        <v>0</v>
      </c>
      <c r="AG480" s="2">
        <f>INDEX(FPL_Raw_Data!$M:$M,MATCH(A480,FPL_Raw_Data!$AA:$AA,0))</f>
        <v>0</v>
      </c>
      <c r="AH480" s="2">
        <f t="shared" si="183"/>
        <v>0</v>
      </c>
      <c r="AI480" s="2">
        <f t="shared" si="184"/>
        <v>0.12857142857142856</v>
      </c>
      <c r="AJ480" s="2">
        <f t="shared" si="185"/>
        <v>0</v>
      </c>
      <c r="AK480" s="2">
        <f t="shared" si="186"/>
        <v>0.33333333333333331</v>
      </c>
      <c r="AL480" s="2">
        <f t="shared" si="187"/>
        <v>0</v>
      </c>
      <c r="AM480" s="2">
        <f t="shared" si="188"/>
        <v>0</v>
      </c>
      <c r="AN480" s="2">
        <f t="shared" si="189"/>
        <v>0</v>
      </c>
      <c r="AO480" s="3">
        <f t="shared" si="190"/>
        <v>70.8</v>
      </c>
      <c r="AP480">
        <f t="shared" si="191"/>
        <v>59.9</v>
      </c>
      <c r="AQ480">
        <f t="shared" si="192"/>
        <v>52</v>
      </c>
      <c r="AR480">
        <f t="shared" si="193"/>
        <v>54.300000000000004</v>
      </c>
      <c r="AS480" s="2">
        <f t="shared" si="194"/>
        <v>0</v>
      </c>
      <c r="AT480" s="2">
        <f>IFERROR(INDEX(Player_Model!$BC$2:$BC$596,MATCH($A480,Player_Model!$A$2:$A$596,0)),0)</f>
        <v>0</v>
      </c>
      <c r="AU480" s="2">
        <f>Table8[[#This Row],[Model Expected Points]]*Table8[[#This Row],[Fixture Adjustment]]</f>
        <v>0</v>
      </c>
      <c r="AV480" s="2">
        <f>Table8[[#This Row],[Fixture Adjusted Points / 90]]/Table8[[#This Row],[Price]]</f>
        <v>0</v>
      </c>
      <c r="AW480">
        <f t="shared" si="195"/>
        <v>65.349999999999994</v>
      </c>
      <c r="AX480">
        <f t="shared" si="196"/>
        <v>0.16666666666666666</v>
      </c>
      <c r="AY480" s="2">
        <f t="shared" si="197"/>
        <v>0</v>
      </c>
      <c r="AZ480" s="5">
        <f t="shared" si="198"/>
        <v>1.1822231833910033</v>
      </c>
      <c r="BA480">
        <f>Table8[[#This Row],[Model Score2]]</f>
        <v>0</v>
      </c>
      <c r="BB480">
        <f>IFERROR(INDEX(Player_Model!$BG$2:$BG$596,MATCH($A480,Player_Model!$A$2:$A$596,0)),"")</f>
        <v>236</v>
      </c>
      <c r="BC480" t="str">
        <f t="shared" si="199"/>
        <v>AVOID</v>
      </c>
      <c r="BD480">
        <f>IF(H480=1,Table8[[#This Row],[Model Score]],-10000)</f>
        <v>0</v>
      </c>
      <c r="BE480">
        <f>IFERROR(INDEX(Player_Model!$BF$2:$BF$596,MATCH($A480,Player_Model!$A$2:$A$596,0)),"")</f>
        <v>253</v>
      </c>
      <c r="BF480">
        <f>IFERROR(INDEX(Player_Model!$BG$2:$BG$596,MATCH($A480,Player_Model!$A$2:$A$596,0)),"")</f>
        <v>236</v>
      </c>
      <c r="BG480">
        <f>IFERROR(INDEX(Player_Model!$BE$2:$BE$596,MATCH($A480,Player_Model!$A$2:$A$596,0)),0)</f>
        <v>0</v>
      </c>
    </row>
    <row r="481" spans="1:59" x14ac:dyDescent="0.25">
      <c r="A481" t="str">
        <f>tblPlayers[first_name]&amp;" "&amp;tblPlayers[second_name]</f>
        <v>Claudio Echeverri</v>
      </c>
      <c r="B481" t="str">
        <f>_xlfn.SWITCH(tblPlayers[element_type],1,"GK",2,"DEF",3,"MID",4,"FWD")</f>
        <v>MID</v>
      </c>
      <c r="C481">
        <f>tblPlayers[team]</f>
        <v>15</v>
      </c>
      <c r="D481" t="str">
        <f>INDEX(tblTeams[Column1.short_name],MATCH(C481,tblTeams[Column1.id],0))</f>
        <v>MCI</v>
      </c>
      <c r="E481" s="4">
        <f>INDEX(FPL_Raw_Data!$F:$F,MATCH(A481,FPL_Raw_Data!$AA:$AA,0))/10</f>
        <v>4.9000000000000004</v>
      </c>
      <c r="F481" s="4" t="str">
        <f>tblPlayers[[#This Row],[status]]</f>
        <v>u</v>
      </c>
      <c r="G481" s="4" t="b">
        <f>tblPlayers[[#This Row],[can_select]]</f>
        <v>0</v>
      </c>
      <c r="H481">
        <f>IF(AND(Table8[[#This Row],[Availability Status]]="a",Table8[[#This Row],[Can Select]]=TRUE),1,0)</f>
        <v>0</v>
      </c>
      <c r="I481">
        <f>tblPlayers[minutes]</f>
        <v>0</v>
      </c>
      <c r="J481" s="2">
        <f>Table8[[#This Row],[Minutes]]/90</f>
        <v>0</v>
      </c>
      <c r="K481" s="5">
        <f>IFERROR(Z481/(FIXTURE_ANALYSIS!$B$1-1),0)</f>
        <v>0</v>
      </c>
      <c r="L481">
        <f>tblPlayers[total_points]</f>
        <v>0</v>
      </c>
      <c r="M481">
        <f>tblPlayers[points_per_game]</f>
        <v>0</v>
      </c>
      <c r="N481">
        <f>tblPlayers[form]</f>
        <v>0</v>
      </c>
      <c r="O481">
        <f>tblPlayers[expected_goals]</f>
        <v>0</v>
      </c>
      <c r="P481">
        <f>tblPlayers[expected_assists]</f>
        <v>0</v>
      </c>
      <c r="Q481">
        <f>tblPlayers[expected_goal_involvements]</f>
        <v>0</v>
      </c>
      <c r="R481" s="2">
        <f t="shared" si="175"/>
        <v>0</v>
      </c>
      <c r="S481" s="5">
        <f t="shared" si="176"/>
        <v>0</v>
      </c>
      <c r="T481" s="5">
        <f t="shared" si="177"/>
        <v>0</v>
      </c>
      <c r="U481" s="5">
        <f t="shared" si="178"/>
        <v>0</v>
      </c>
      <c r="V481" s="3">
        <f t="shared" si="179"/>
        <v>0</v>
      </c>
      <c r="W481" s="5">
        <f t="shared" si="180"/>
        <v>0</v>
      </c>
      <c r="X481" s="5">
        <f>IFERROR(IF(OR($B481="MID",$B481="FWD"),INDEX(FIXTURE_ANALYSIS!$Q:$Q,MATCH($D481,FIXTURE_ANALYSIS!$A:$A,0)),INDEX(FIXTURE_ANALYSIS!$R:$R,MATCH($D481,FIXTURE_ANALYSIS!$A:$A,0))),1)</f>
        <v>1.1822231833910033</v>
      </c>
      <c r="Y481" s="5">
        <f t="shared" si="181"/>
        <v>1.1822231833910033</v>
      </c>
      <c r="Z481" s="8">
        <f>INDEX(FPL_Raw_Data!$T:$T,MATCH(A481,FPL_Raw_Data!$AA:$AA,0))</f>
        <v>0</v>
      </c>
      <c r="AA481" s="8">
        <f>INDEX(FPL_Raw_Data!$S:$S,MATCH(A481,FPL_Raw_Data!$AA:$AA,0))</f>
        <v>0</v>
      </c>
      <c r="AB481" s="2">
        <f t="shared" si="182"/>
        <v>0</v>
      </c>
      <c r="AC481" s="2">
        <f>INDEX(FPL_Raw_Data!$Q:$Q,MATCH(A481,FPL_Raw_Data!$AA:$AA,0))</f>
        <v>0</v>
      </c>
      <c r="AD481" s="8">
        <f>INDEX(FPL_Raw_Data!$R:$R,MATCH(A481,FPL_Raw_Data!$AA:$AA,0))</f>
        <v>0</v>
      </c>
      <c r="AE481" s="8">
        <f>INDEX(FPL_Raw_Data!$N:$N,MATCH(A481,FPL_Raw_Data!$AA:$AA,0))</f>
        <v>0</v>
      </c>
      <c r="AF481" s="8">
        <f>INDEX(FPL_Raw_Data!$L:$L,MATCH(A481,FPL_Raw_Data!$AA:$AA,0))</f>
        <v>0</v>
      </c>
      <c r="AG481" s="2">
        <f>INDEX(FPL_Raw_Data!$M:$M,MATCH(A481,FPL_Raw_Data!$AA:$AA,0))</f>
        <v>0</v>
      </c>
      <c r="AH481" s="2">
        <f t="shared" si="183"/>
        <v>0</v>
      </c>
      <c r="AI481" s="2">
        <f t="shared" si="184"/>
        <v>0</v>
      </c>
      <c r="AJ481" s="2">
        <f t="shared" si="185"/>
        <v>0</v>
      </c>
      <c r="AK481" s="2">
        <f t="shared" si="186"/>
        <v>0</v>
      </c>
      <c r="AL481" s="2">
        <f t="shared" si="187"/>
        <v>0</v>
      </c>
      <c r="AM481" s="2">
        <f t="shared" si="188"/>
        <v>0</v>
      </c>
      <c r="AN481" s="2">
        <f t="shared" si="189"/>
        <v>0</v>
      </c>
      <c r="AO481" s="3">
        <f t="shared" si="190"/>
        <v>0.1</v>
      </c>
      <c r="AP481">
        <f t="shared" si="191"/>
        <v>0</v>
      </c>
      <c r="AQ481">
        <f t="shared" si="192"/>
        <v>0.1</v>
      </c>
      <c r="AR481">
        <f t="shared" si="193"/>
        <v>0</v>
      </c>
      <c r="AS481" s="2">
        <f t="shared" si="194"/>
        <v>0</v>
      </c>
      <c r="AT481" s="2">
        <f>IFERROR(INDEX(Player_Model!$BC$2:$BC$596,MATCH($A481,Player_Model!$A$2:$A$596,0)),0)</f>
        <v>0</v>
      </c>
      <c r="AU481" s="2">
        <f>Table8[[#This Row],[Model Expected Points]]*Table8[[#This Row],[Fixture Adjustment]]</f>
        <v>0</v>
      </c>
      <c r="AV481" s="2">
        <f>Table8[[#This Row],[Fixture Adjusted Points / 90]]/Table8[[#This Row],[Price]]</f>
        <v>0</v>
      </c>
      <c r="AW481">
        <f t="shared" si="195"/>
        <v>0.05</v>
      </c>
      <c r="AX481">
        <f t="shared" si="196"/>
        <v>0</v>
      </c>
      <c r="AY481" s="2">
        <f t="shared" si="197"/>
        <v>0</v>
      </c>
      <c r="AZ481" s="5">
        <f t="shared" si="198"/>
        <v>1.1822231833910033</v>
      </c>
      <c r="BA481">
        <f>Table8[[#This Row],[Model Score2]]</f>
        <v>0</v>
      </c>
      <c r="BB481">
        <f>IFERROR(INDEX(Player_Model!$BG$2:$BG$596,MATCH($A481,Player_Model!$A$2:$A$596,0)),"")</f>
        <v>237</v>
      </c>
      <c r="BC481" t="str">
        <f t="shared" si="199"/>
        <v>AVOID</v>
      </c>
      <c r="BD481">
        <f>IF(H481=1,Table8[[#This Row],[Model Score]],-10000)</f>
        <v>-10000</v>
      </c>
      <c r="BE481">
        <f>IFERROR(INDEX(Player_Model!$BF$2:$BF$596,MATCH($A481,Player_Model!$A$2:$A$596,0)),"")</f>
        <v>253</v>
      </c>
      <c r="BF481">
        <f>IFERROR(INDEX(Player_Model!$BG$2:$BG$596,MATCH($A481,Player_Model!$A$2:$A$596,0)),"")</f>
        <v>237</v>
      </c>
      <c r="BG481">
        <f>IFERROR(INDEX(Player_Model!$BE$2:$BE$596,MATCH($A481,Player_Model!$A$2:$A$596,0)),0)</f>
        <v>0</v>
      </c>
    </row>
    <row r="482" spans="1:59" x14ac:dyDescent="0.25">
      <c r="A482" t="str">
        <f>tblPlayers[first_name]&amp;" "&amp;tblPlayers[second_name]</f>
        <v>Kalvin Phillips</v>
      </c>
      <c r="B482" t="str">
        <f>_xlfn.SWITCH(tblPlayers[element_type],1,"GK",2,"DEF",3,"MID",4,"FWD")</f>
        <v>MID</v>
      </c>
      <c r="C482">
        <f>tblPlayers[team]</f>
        <v>15</v>
      </c>
      <c r="D482" t="str">
        <f>INDEX(tblTeams[Column1.short_name],MATCH(C482,tblTeams[Column1.id],0))</f>
        <v>MCI</v>
      </c>
      <c r="E482" s="4">
        <f>INDEX(FPL_Raw_Data!$F:$F,MATCH(A482,FPL_Raw_Data!$AA:$AA,0))/10</f>
        <v>5</v>
      </c>
      <c r="F482" s="4" t="str">
        <f>tblPlayers[[#This Row],[status]]</f>
        <v>u</v>
      </c>
      <c r="G482" s="4" t="b">
        <f>tblPlayers[[#This Row],[can_select]]</f>
        <v>0</v>
      </c>
      <c r="H482">
        <f>IF(AND(Table8[[#This Row],[Availability Status]]="a",Table8[[#This Row],[Can Select]]=TRUE),1,0)</f>
        <v>0</v>
      </c>
      <c r="I482">
        <f>tblPlayers[minutes]</f>
        <v>0</v>
      </c>
      <c r="J482" s="2">
        <f>Table8[[#This Row],[Minutes]]/90</f>
        <v>0</v>
      </c>
      <c r="K482" s="5">
        <f>IFERROR(Z482/(FIXTURE_ANALYSIS!$B$1-1),0)</f>
        <v>0</v>
      </c>
      <c r="L482">
        <f>tblPlayers[total_points]</f>
        <v>0</v>
      </c>
      <c r="M482">
        <f>tblPlayers[points_per_game]</f>
        <v>0</v>
      </c>
      <c r="N482">
        <f>tblPlayers[form]</f>
        <v>0</v>
      </c>
      <c r="O482">
        <f>tblPlayers[expected_goals]</f>
        <v>0</v>
      </c>
      <c r="P482">
        <f>tblPlayers[expected_assists]</f>
        <v>0</v>
      </c>
      <c r="Q482">
        <f>tblPlayers[expected_goal_involvements]</f>
        <v>0</v>
      </c>
      <c r="R482" s="2">
        <f t="shared" si="175"/>
        <v>0</v>
      </c>
      <c r="S482" s="5">
        <f t="shared" si="176"/>
        <v>0</v>
      </c>
      <c r="T482" s="5">
        <f t="shared" si="177"/>
        <v>0</v>
      </c>
      <c r="U482" s="5">
        <f t="shared" si="178"/>
        <v>0</v>
      </c>
      <c r="V482" s="3">
        <f t="shared" si="179"/>
        <v>0</v>
      </c>
      <c r="W482" s="5">
        <f t="shared" si="180"/>
        <v>0</v>
      </c>
      <c r="X482" s="5">
        <f>IFERROR(IF(OR($B482="MID",$B482="FWD"),INDEX(FIXTURE_ANALYSIS!$Q:$Q,MATCH($D482,FIXTURE_ANALYSIS!$A:$A,0)),INDEX(FIXTURE_ANALYSIS!$R:$R,MATCH($D482,FIXTURE_ANALYSIS!$A:$A,0))),1)</f>
        <v>1.1822231833910033</v>
      </c>
      <c r="Y482" s="5">
        <f t="shared" si="181"/>
        <v>1.1822231833910033</v>
      </c>
      <c r="Z482" s="8">
        <f>INDEX(FPL_Raw_Data!$T:$T,MATCH(A482,FPL_Raw_Data!$AA:$AA,0))</f>
        <v>0</v>
      </c>
      <c r="AA482" s="8">
        <f>INDEX(FPL_Raw_Data!$S:$S,MATCH(A482,FPL_Raw_Data!$AA:$AA,0))</f>
        <v>0</v>
      </c>
      <c r="AB482" s="2">
        <f t="shared" si="182"/>
        <v>0</v>
      </c>
      <c r="AC482" s="2">
        <f>INDEX(FPL_Raw_Data!$Q:$Q,MATCH(A482,FPL_Raw_Data!$AA:$AA,0))</f>
        <v>0</v>
      </c>
      <c r="AD482" s="8">
        <f>INDEX(FPL_Raw_Data!$R:$R,MATCH(A482,FPL_Raw_Data!$AA:$AA,0))</f>
        <v>0</v>
      </c>
      <c r="AE482" s="8">
        <f>INDEX(FPL_Raw_Data!$N:$N,MATCH(A482,FPL_Raw_Data!$AA:$AA,0))</f>
        <v>0</v>
      </c>
      <c r="AF482" s="8">
        <f>INDEX(FPL_Raw_Data!$L:$L,MATCH(A482,FPL_Raw_Data!$AA:$AA,0))</f>
        <v>0</v>
      </c>
      <c r="AG482" s="2">
        <f>INDEX(FPL_Raw_Data!$M:$M,MATCH(A482,FPL_Raw_Data!$AA:$AA,0))</f>
        <v>0</v>
      </c>
      <c r="AH482" s="2">
        <f t="shared" si="183"/>
        <v>0</v>
      </c>
      <c r="AI482" s="2">
        <f t="shared" si="184"/>
        <v>0</v>
      </c>
      <c r="AJ482" s="2">
        <f t="shared" si="185"/>
        <v>0</v>
      </c>
      <c r="AK482" s="2">
        <f t="shared" si="186"/>
        <v>0</v>
      </c>
      <c r="AL482" s="2">
        <f t="shared" si="187"/>
        <v>0</v>
      </c>
      <c r="AM482" s="2">
        <f t="shared" si="188"/>
        <v>0</v>
      </c>
      <c r="AN482" s="2">
        <f t="shared" si="189"/>
        <v>0</v>
      </c>
      <c r="AO482" s="3">
        <f t="shared" si="190"/>
        <v>0.1</v>
      </c>
      <c r="AP482">
        <f t="shared" si="191"/>
        <v>0</v>
      </c>
      <c r="AQ482">
        <f t="shared" si="192"/>
        <v>0.1</v>
      </c>
      <c r="AR482">
        <f t="shared" si="193"/>
        <v>0</v>
      </c>
      <c r="AS482" s="2">
        <f t="shared" si="194"/>
        <v>0</v>
      </c>
      <c r="AT482" s="2">
        <f>IFERROR(INDEX(Player_Model!$BC$2:$BC$596,MATCH($A482,Player_Model!$A$2:$A$596,0)),0)</f>
        <v>0</v>
      </c>
      <c r="AU482" s="2">
        <f>Table8[[#This Row],[Model Expected Points]]*Table8[[#This Row],[Fixture Adjustment]]</f>
        <v>0</v>
      </c>
      <c r="AV482" s="2">
        <f>Table8[[#This Row],[Fixture Adjusted Points / 90]]/Table8[[#This Row],[Price]]</f>
        <v>0</v>
      </c>
      <c r="AW482">
        <f t="shared" si="195"/>
        <v>0.05</v>
      </c>
      <c r="AX482">
        <f t="shared" si="196"/>
        <v>0</v>
      </c>
      <c r="AY482" s="2">
        <f t="shared" si="197"/>
        <v>0</v>
      </c>
      <c r="AZ482" s="5">
        <f t="shared" si="198"/>
        <v>1.1822231833910033</v>
      </c>
      <c r="BA482">
        <f>Table8[[#This Row],[Model Score2]]</f>
        <v>0</v>
      </c>
      <c r="BB482">
        <f>IFERROR(INDEX(Player_Model!$BG$2:$BG$596,MATCH($A482,Player_Model!$A$2:$A$596,0)),"")</f>
        <v>238</v>
      </c>
      <c r="BC482" t="str">
        <f t="shared" si="199"/>
        <v>AVOID</v>
      </c>
      <c r="BD482">
        <f>IF(H482=1,Table8[[#This Row],[Model Score]],-10000)</f>
        <v>-10000</v>
      </c>
      <c r="BE482">
        <f>IFERROR(INDEX(Player_Model!$BF$2:$BF$596,MATCH($A482,Player_Model!$A$2:$A$596,0)),"")</f>
        <v>253</v>
      </c>
      <c r="BF482">
        <f>IFERROR(INDEX(Player_Model!$BG$2:$BG$596,MATCH($A482,Player_Model!$A$2:$A$596,0)),"")</f>
        <v>238</v>
      </c>
      <c r="BG482">
        <f>IFERROR(INDEX(Player_Model!$BE$2:$BE$596,MATCH($A482,Player_Model!$A$2:$A$596,0)),0)</f>
        <v>0</v>
      </c>
    </row>
    <row r="483" spans="1:59" x14ac:dyDescent="0.25">
      <c r="A483" t="str">
        <f>tblPlayers[first_name]&amp;" "&amp;tblPlayers[second_name]</f>
        <v>Divine Mukasa</v>
      </c>
      <c r="B483" t="str">
        <f>_xlfn.SWITCH(tblPlayers[element_type],1,"GK",2,"DEF",3,"MID",4,"FWD")</f>
        <v>MID</v>
      </c>
      <c r="C483">
        <f>tblPlayers[team]</f>
        <v>15</v>
      </c>
      <c r="D483" t="str">
        <f>INDEX(tblTeams[Column1.short_name],MATCH(C483,tblTeams[Column1.id],0))</f>
        <v>MCI</v>
      </c>
      <c r="E483" s="4">
        <f>INDEX(FPL_Raw_Data!$F:$F,MATCH(A483,FPL_Raw_Data!$AA:$AA,0))/10</f>
        <v>4.5</v>
      </c>
      <c r="F483" s="4" t="str">
        <f>tblPlayers[[#This Row],[status]]</f>
        <v>u</v>
      </c>
      <c r="G483" s="4" t="b">
        <f>tblPlayers[[#This Row],[can_select]]</f>
        <v>0</v>
      </c>
      <c r="H483">
        <f>IF(AND(Table8[[#This Row],[Availability Status]]="a",Table8[[#This Row],[Can Select]]=TRUE),1,0)</f>
        <v>0</v>
      </c>
      <c r="I483">
        <f>tblPlayers[minutes]</f>
        <v>0</v>
      </c>
      <c r="J483" s="2">
        <f>Table8[[#This Row],[Minutes]]/90</f>
        <v>0</v>
      </c>
      <c r="K483" s="5">
        <f>IFERROR(Z483/(FIXTURE_ANALYSIS!$B$1-1),0)</f>
        <v>0</v>
      </c>
      <c r="L483">
        <f>tblPlayers[total_points]</f>
        <v>0</v>
      </c>
      <c r="M483">
        <f>tblPlayers[points_per_game]</f>
        <v>0</v>
      </c>
      <c r="N483">
        <f>tblPlayers[form]</f>
        <v>0</v>
      </c>
      <c r="O483">
        <f>tblPlayers[expected_goals]</f>
        <v>0</v>
      </c>
      <c r="P483">
        <f>tblPlayers[expected_assists]</f>
        <v>0</v>
      </c>
      <c r="Q483">
        <f>tblPlayers[expected_goal_involvements]</f>
        <v>0</v>
      </c>
      <c r="R483" s="2">
        <f t="shared" si="175"/>
        <v>0</v>
      </c>
      <c r="S483" s="5">
        <f t="shared" si="176"/>
        <v>0</v>
      </c>
      <c r="T483" s="5">
        <f t="shared" si="177"/>
        <v>0</v>
      </c>
      <c r="U483" s="5">
        <f t="shared" si="178"/>
        <v>0</v>
      </c>
      <c r="V483" s="3">
        <f t="shared" si="179"/>
        <v>0</v>
      </c>
      <c r="W483" s="5">
        <f t="shared" si="180"/>
        <v>0</v>
      </c>
      <c r="X483" s="5">
        <f>IFERROR(IF(OR($B483="MID",$B483="FWD"),INDEX(FIXTURE_ANALYSIS!$Q:$Q,MATCH($D483,FIXTURE_ANALYSIS!$A:$A,0)),INDEX(FIXTURE_ANALYSIS!$R:$R,MATCH($D483,FIXTURE_ANALYSIS!$A:$A,0))),1)</f>
        <v>1.1822231833910033</v>
      </c>
      <c r="Y483" s="5">
        <f t="shared" si="181"/>
        <v>1.1822231833910033</v>
      </c>
      <c r="Z483" s="8">
        <f>INDEX(FPL_Raw_Data!$T:$T,MATCH(A483,FPL_Raw_Data!$AA:$AA,0))</f>
        <v>0</v>
      </c>
      <c r="AA483" s="8">
        <f>INDEX(FPL_Raw_Data!$S:$S,MATCH(A483,FPL_Raw_Data!$AA:$AA,0))</f>
        <v>0</v>
      </c>
      <c r="AB483" s="2">
        <f t="shared" si="182"/>
        <v>0</v>
      </c>
      <c r="AC483" s="2">
        <f>INDEX(FPL_Raw_Data!$Q:$Q,MATCH(A483,FPL_Raw_Data!$AA:$AA,0))</f>
        <v>0</v>
      </c>
      <c r="AD483" s="8">
        <f>INDEX(FPL_Raw_Data!$R:$R,MATCH(A483,FPL_Raw_Data!$AA:$AA,0))</f>
        <v>0</v>
      </c>
      <c r="AE483" s="8">
        <f>INDEX(FPL_Raw_Data!$N:$N,MATCH(A483,FPL_Raw_Data!$AA:$AA,0))</f>
        <v>0</v>
      </c>
      <c r="AF483" s="8">
        <f>INDEX(FPL_Raw_Data!$L:$L,MATCH(A483,FPL_Raw_Data!$AA:$AA,0))</f>
        <v>0</v>
      </c>
      <c r="AG483" s="2">
        <f>INDEX(FPL_Raw_Data!$M:$M,MATCH(A483,FPL_Raw_Data!$AA:$AA,0))</f>
        <v>0</v>
      </c>
      <c r="AH483" s="2">
        <f t="shared" si="183"/>
        <v>0</v>
      </c>
      <c r="AI483" s="2">
        <f t="shared" si="184"/>
        <v>0</v>
      </c>
      <c r="AJ483" s="2">
        <f t="shared" si="185"/>
        <v>0</v>
      </c>
      <c r="AK483" s="2">
        <f t="shared" si="186"/>
        <v>0</v>
      </c>
      <c r="AL483" s="2">
        <f t="shared" si="187"/>
        <v>0</v>
      </c>
      <c r="AM483" s="2">
        <f t="shared" si="188"/>
        <v>0</v>
      </c>
      <c r="AN483" s="2">
        <f t="shared" si="189"/>
        <v>0</v>
      </c>
      <c r="AO483" s="3">
        <f t="shared" si="190"/>
        <v>0.1</v>
      </c>
      <c r="AP483">
        <f t="shared" si="191"/>
        <v>0</v>
      </c>
      <c r="AQ483">
        <f t="shared" si="192"/>
        <v>0.1</v>
      </c>
      <c r="AR483">
        <f t="shared" si="193"/>
        <v>0</v>
      </c>
      <c r="AS483" s="2">
        <f t="shared" si="194"/>
        <v>0</v>
      </c>
      <c r="AT483" s="2">
        <f>IFERROR(INDEX(Player_Model!$BC$2:$BC$596,MATCH($A483,Player_Model!$A$2:$A$596,0)),0)</f>
        <v>0</v>
      </c>
      <c r="AU483" s="2">
        <f>Table8[[#This Row],[Model Expected Points]]*Table8[[#This Row],[Fixture Adjustment]]</f>
        <v>0</v>
      </c>
      <c r="AV483" s="2">
        <f>Table8[[#This Row],[Fixture Adjusted Points / 90]]/Table8[[#This Row],[Price]]</f>
        <v>0</v>
      </c>
      <c r="AW483">
        <f t="shared" si="195"/>
        <v>0.05</v>
      </c>
      <c r="AX483">
        <f t="shared" si="196"/>
        <v>0</v>
      </c>
      <c r="AY483" s="2">
        <f t="shared" si="197"/>
        <v>0</v>
      </c>
      <c r="AZ483" s="5">
        <f t="shared" si="198"/>
        <v>1.1822231833910033</v>
      </c>
      <c r="BA483">
        <f>Table8[[#This Row],[Model Score2]]</f>
        <v>0</v>
      </c>
      <c r="BB483">
        <f>IFERROR(INDEX(Player_Model!$BG$2:$BG$596,MATCH($A483,Player_Model!$A$2:$A$596,0)),"")</f>
        <v>239</v>
      </c>
      <c r="BC483" t="str">
        <f t="shared" si="199"/>
        <v>AVOID</v>
      </c>
      <c r="BD483">
        <f>IF(H483=1,Table8[[#This Row],[Model Score]],-10000)</f>
        <v>-10000</v>
      </c>
      <c r="BE483">
        <f>IFERROR(INDEX(Player_Model!$BF$2:$BF$596,MATCH($A483,Player_Model!$A$2:$A$596,0)),"")</f>
        <v>253</v>
      </c>
      <c r="BF483">
        <f>IFERROR(INDEX(Player_Model!$BG$2:$BG$596,MATCH($A483,Player_Model!$A$2:$A$596,0)),"")</f>
        <v>239</v>
      </c>
      <c r="BG483">
        <f>IFERROR(INDEX(Player_Model!$BE$2:$BE$596,MATCH($A483,Player_Model!$A$2:$A$596,0)),0)</f>
        <v>0</v>
      </c>
    </row>
    <row r="484" spans="1:59" x14ac:dyDescent="0.25">
      <c r="A484" t="str">
        <f>tblPlayers[first_name]&amp;" "&amp;tblPlayers[second_name]</f>
        <v>Jeremy Monga</v>
      </c>
      <c r="B484" t="str">
        <f>_xlfn.SWITCH(tblPlayers[element_type],1,"GK",2,"DEF",3,"MID",4,"FWD")</f>
        <v>MID</v>
      </c>
      <c r="C484">
        <f>tblPlayers[team]</f>
        <v>15</v>
      </c>
      <c r="D484" t="str">
        <f>INDEX(tblTeams[Column1.short_name],MATCH(C484,tblTeams[Column1.id],0))</f>
        <v>MCI</v>
      </c>
      <c r="E484" s="4">
        <f>INDEX(FPL_Raw_Data!$F:$F,MATCH(A484,FPL_Raw_Data!$AA:$AA,0))/10</f>
        <v>4.9000000000000004</v>
      </c>
      <c r="F484" s="4" t="str">
        <f>tblPlayers[[#This Row],[status]]</f>
        <v>u</v>
      </c>
      <c r="G484" s="4" t="b">
        <f>tblPlayers[[#This Row],[can_select]]</f>
        <v>0</v>
      </c>
      <c r="H484">
        <f>IF(AND(Table8[[#This Row],[Availability Status]]="a",Table8[[#This Row],[Can Select]]=TRUE),1,0)</f>
        <v>0</v>
      </c>
      <c r="I484">
        <f>tblPlayers[minutes]</f>
        <v>0</v>
      </c>
      <c r="J484" s="2">
        <f>Table8[[#This Row],[Minutes]]/90</f>
        <v>0</v>
      </c>
      <c r="K484" s="5">
        <f>IFERROR(Z484/(FIXTURE_ANALYSIS!$B$1-1),0)</f>
        <v>0</v>
      </c>
      <c r="L484">
        <f>tblPlayers[total_points]</f>
        <v>0</v>
      </c>
      <c r="M484">
        <f>tblPlayers[points_per_game]</f>
        <v>0</v>
      </c>
      <c r="N484">
        <f>tblPlayers[form]</f>
        <v>0</v>
      </c>
      <c r="O484">
        <f>tblPlayers[expected_goals]</f>
        <v>0</v>
      </c>
      <c r="P484">
        <f>tblPlayers[expected_assists]</f>
        <v>0</v>
      </c>
      <c r="Q484">
        <f>tblPlayers[expected_goal_involvements]</f>
        <v>0</v>
      </c>
      <c r="R484" s="2">
        <f t="shared" si="175"/>
        <v>0</v>
      </c>
      <c r="S484" s="5">
        <f t="shared" si="176"/>
        <v>0</v>
      </c>
      <c r="T484" s="5">
        <f t="shared" si="177"/>
        <v>0</v>
      </c>
      <c r="U484" s="5">
        <f t="shared" si="178"/>
        <v>0</v>
      </c>
      <c r="V484" s="3">
        <f t="shared" si="179"/>
        <v>0</v>
      </c>
      <c r="W484" s="5">
        <f t="shared" si="180"/>
        <v>0</v>
      </c>
      <c r="X484" s="5">
        <f>IFERROR(IF(OR($B484="MID",$B484="FWD"),INDEX(FIXTURE_ANALYSIS!$Q:$Q,MATCH($D484,FIXTURE_ANALYSIS!$A:$A,0)),INDEX(FIXTURE_ANALYSIS!$R:$R,MATCH($D484,FIXTURE_ANALYSIS!$A:$A,0))),1)</f>
        <v>1.1822231833910033</v>
      </c>
      <c r="Y484" s="5">
        <f t="shared" si="181"/>
        <v>1.1822231833910033</v>
      </c>
      <c r="Z484" s="8">
        <f>INDEX(FPL_Raw_Data!$T:$T,MATCH(A484,FPL_Raw_Data!$AA:$AA,0))</f>
        <v>0</v>
      </c>
      <c r="AA484" s="8">
        <f>INDEX(FPL_Raw_Data!$S:$S,MATCH(A484,FPL_Raw_Data!$AA:$AA,0))</f>
        <v>0</v>
      </c>
      <c r="AB484" s="2">
        <f t="shared" si="182"/>
        <v>0</v>
      </c>
      <c r="AC484" s="2">
        <f>INDEX(FPL_Raw_Data!$Q:$Q,MATCH(A484,FPL_Raw_Data!$AA:$AA,0))</f>
        <v>0</v>
      </c>
      <c r="AD484" s="8">
        <f>INDEX(FPL_Raw_Data!$R:$R,MATCH(A484,FPL_Raw_Data!$AA:$AA,0))</f>
        <v>0</v>
      </c>
      <c r="AE484" s="8">
        <f>INDEX(FPL_Raw_Data!$N:$N,MATCH(A484,FPL_Raw_Data!$AA:$AA,0))</f>
        <v>0</v>
      </c>
      <c r="AF484" s="8">
        <f>INDEX(FPL_Raw_Data!$L:$L,MATCH(A484,FPL_Raw_Data!$AA:$AA,0))</f>
        <v>0</v>
      </c>
      <c r="AG484" s="2">
        <f>INDEX(FPL_Raw_Data!$M:$M,MATCH(A484,FPL_Raw_Data!$AA:$AA,0))</f>
        <v>0</v>
      </c>
      <c r="AH484" s="2">
        <f t="shared" si="183"/>
        <v>0</v>
      </c>
      <c r="AI484" s="2">
        <f t="shared" si="184"/>
        <v>0</v>
      </c>
      <c r="AJ484" s="2">
        <f t="shared" si="185"/>
        <v>0</v>
      </c>
      <c r="AK484" s="2">
        <f t="shared" si="186"/>
        <v>0</v>
      </c>
      <c r="AL484" s="2">
        <f t="shared" si="187"/>
        <v>0</v>
      </c>
      <c r="AM484" s="2">
        <f t="shared" si="188"/>
        <v>0</v>
      </c>
      <c r="AN484" s="2">
        <f t="shared" si="189"/>
        <v>0</v>
      </c>
      <c r="AO484" s="3">
        <f t="shared" si="190"/>
        <v>0.1</v>
      </c>
      <c r="AP484">
        <f t="shared" si="191"/>
        <v>0</v>
      </c>
      <c r="AQ484">
        <f t="shared" si="192"/>
        <v>0.1</v>
      </c>
      <c r="AR484">
        <f t="shared" si="193"/>
        <v>0</v>
      </c>
      <c r="AS484" s="2">
        <f t="shared" si="194"/>
        <v>0</v>
      </c>
      <c r="AT484" s="2">
        <f>IFERROR(INDEX(Player_Model!$BC$2:$BC$596,MATCH($A484,Player_Model!$A$2:$A$596,0)),0)</f>
        <v>0</v>
      </c>
      <c r="AU484" s="2">
        <f>Table8[[#This Row],[Model Expected Points]]*Table8[[#This Row],[Fixture Adjustment]]</f>
        <v>0</v>
      </c>
      <c r="AV484" s="2">
        <f>Table8[[#This Row],[Fixture Adjusted Points / 90]]/Table8[[#This Row],[Price]]</f>
        <v>0</v>
      </c>
      <c r="AW484">
        <f t="shared" si="195"/>
        <v>0.05</v>
      </c>
      <c r="AX484">
        <f t="shared" si="196"/>
        <v>0</v>
      </c>
      <c r="AY484" s="2">
        <f t="shared" si="197"/>
        <v>0</v>
      </c>
      <c r="AZ484" s="5">
        <f t="shared" si="198"/>
        <v>1.1822231833910033</v>
      </c>
      <c r="BA484">
        <f>Table8[[#This Row],[Model Score2]]</f>
        <v>0</v>
      </c>
      <c r="BB484">
        <f>IFERROR(INDEX(Player_Model!$BG$2:$BG$596,MATCH($A484,Player_Model!$A$2:$A$596,0)),"")</f>
        <v>240</v>
      </c>
      <c r="BC484" t="str">
        <f t="shared" si="199"/>
        <v>AVOID</v>
      </c>
      <c r="BD484">
        <f>IF(H484=1,Table8[[#This Row],[Model Score]],-10000)</f>
        <v>-10000</v>
      </c>
      <c r="BE484">
        <f>IFERROR(INDEX(Player_Model!$BF$2:$BF$596,MATCH($A484,Player_Model!$A$2:$A$596,0)),"")</f>
        <v>253</v>
      </c>
      <c r="BF484">
        <f>IFERROR(INDEX(Player_Model!$BG$2:$BG$596,MATCH($A484,Player_Model!$A$2:$A$596,0)),"")</f>
        <v>240</v>
      </c>
      <c r="BG484">
        <f>IFERROR(INDEX(Player_Model!$BE$2:$BE$596,MATCH($A484,Player_Model!$A$2:$A$596,0)),0)</f>
        <v>0</v>
      </c>
    </row>
    <row r="485" spans="1:59" x14ac:dyDescent="0.25">
      <c r="A485" t="str">
        <f>tblPlayers[first_name]&amp;" "&amp;tblPlayers[second_name]</f>
        <v>Erling Haaland</v>
      </c>
      <c r="B485" t="str">
        <f>_xlfn.SWITCH(tblPlayers[element_type],1,"GK",2,"DEF",3,"MID",4,"FWD")</f>
        <v>FWD</v>
      </c>
      <c r="C485">
        <f>tblPlayers[team]</f>
        <v>15</v>
      </c>
      <c r="D485" t="str">
        <f>INDEX(tblTeams[Column1.short_name],MATCH(C485,tblTeams[Column1.id],0))</f>
        <v>MCI</v>
      </c>
      <c r="E485" s="4">
        <f>INDEX(FPL_Raw_Data!$F:$F,MATCH(A485,FPL_Raw_Data!$AA:$AA,0))/10</f>
        <v>15.5</v>
      </c>
      <c r="F485" s="4" t="str">
        <f>tblPlayers[[#This Row],[status]]</f>
        <v>a</v>
      </c>
      <c r="G485" s="4" t="b">
        <f>tblPlayers[[#This Row],[can_select]]</f>
        <v>1</v>
      </c>
      <c r="H485">
        <f>IF(AND(Table8[[#This Row],[Availability Status]]="a",Table8[[#This Row],[Can Select]]=TRUE),1,0)</f>
        <v>1</v>
      </c>
      <c r="I485">
        <f>tblPlayers[minutes]</f>
        <v>270</v>
      </c>
      <c r="J485" s="2">
        <f>Table8[[#This Row],[Minutes]]/90</f>
        <v>3</v>
      </c>
      <c r="K485" s="5">
        <f>IFERROR(Z485/(FIXTURE_ANALYSIS!$B$1-1),0)</f>
        <v>1</v>
      </c>
      <c r="L485">
        <f>tblPlayers[total_points]</f>
        <v>24</v>
      </c>
      <c r="M485">
        <f>tblPlayers[points_per_game]</f>
        <v>8</v>
      </c>
      <c r="N485">
        <f>tblPlayers[form]</f>
        <v>8</v>
      </c>
      <c r="O485">
        <f>tblPlayers[expected_goals]</f>
        <v>2.46</v>
      </c>
      <c r="P485">
        <f>tblPlayers[expected_assists]</f>
        <v>0.5</v>
      </c>
      <c r="Q485">
        <f>tblPlayers[expected_goal_involvements]</f>
        <v>2.96</v>
      </c>
      <c r="R485" s="2">
        <f t="shared" si="175"/>
        <v>8</v>
      </c>
      <c r="S485" s="5">
        <f t="shared" si="176"/>
        <v>0.82000000000000006</v>
      </c>
      <c r="T485" s="5">
        <f t="shared" si="177"/>
        <v>0.16666666666666669</v>
      </c>
      <c r="U485" s="5">
        <f t="shared" si="178"/>
        <v>0.98666666666666658</v>
      </c>
      <c r="V485" s="3">
        <f t="shared" si="179"/>
        <v>1.5483870967741935</v>
      </c>
      <c r="W485" s="5">
        <f t="shared" si="180"/>
        <v>0.19096774193548388</v>
      </c>
      <c r="X485" s="5">
        <f>IFERROR(IF(OR($B485="MID",$B485="FWD"),INDEX(FIXTURE_ANALYSIS!$Q:$Q,MATCH($D485,FIXTURE_ANALYSIS!$A:$A,0)),INDEX(FIXTURE_ANALYSIS!$R:$R,MATCH($D485,FIXTURE_ANALYSIS!$A:$A,0))),1)</f>
        <v>1.1822231833910033</v>
      </c>
      <c r="Y485" s="5">
        <f t="shared" si="181"/>
        <v>1.1822231833910033</v>
      </c>
      <c r="Z485" s="8">
        <f>INDEX(FPL_Raw_Data!$T:$T,MATCH(A485,FPL_Raw_Data!$AA:$AA,0))</f>
        <v>3</v>
      </c>
      <c r="AA485" s="8">
        <f>INDEX(FPL_Raw_Data!$S:$S,MATCH(A485,FPL_Raw_Data!$AA:$AA,0))</f>
        <v>15</v>
      </c>
      <c r="AB485" s="2">
        <f t="shared" si="182"/>
        <v>1</v>
      </c>
      <c r="AC485" s="2">
        <f>INDEX(FPL_Raw_Data!$Q:$Q,MATCH(A485,FPL_Raw_Data!$AA:$AA,0))</f>
        <v>6</v>
      </c>
      <c r="AD485" s="8">
        <f>INDEX(FPL_Raw_Data!$R:$R,MATCH(A485,FPL_Raw_Data!$AA:$AA,0))</f>
        <v>106</v>
      </c>
      <c r="AE485" s="8">
        <f>INDEX(FPL_Raw_Data!$N:$N,MATCH(A485,FPL_Raw_Data!$AA:$AA,0))</f>
        <v>1</v>
      </c>
      <c r="AF485" s="8">
        <f>INDEX(FPL_Raw_Data!$L:$L,MATCH(A485,FPL_Raw_Data!$AA:$AA,0))</f>
        <v>3</v>
      </c>
      <c r="AG485" s="2">
        <f>INDEX(FPL_Raw_Data!$M:$M,MATCH(A485,FPL_Raw_Data!$AA:$AA,0))</f>
        <v>0</v>
      </c>
      <c r="AH485" s="2">
        <f t="shared" si="183"/>
        <v>3.2800000000000002</v>
      </c>
      <c r="AI485" s="2">
        <f t="shared" si="184"/>
        <v>0.5</v>
      </c>
      <c r="AJ485" s="2">
        <f t="shared" si="185"/>
        <v>2</v>
      </c>
      <c r="AK485" s="2">
        <f t="shared" si="186"/>
        <v>2</v>
      </c>
      <c r="AL485" s="2">
        <f t="shared" si="187"/>
        <v>0.33333333333333331</v>
      </c>
      <c r="AM485" s="2">
        <f t="shared" si="188"/>
        <v>0</v>
      </c>
      <c r="AN485" s="2">
        <f t="shared" si="189"/>
        <v>2</v>
      </c>
      <c r="AO485" s="3">
        <f t="shared" si="190"/>
        <v>89.3</v>
      </c>
      <c r="AP485">
        <f t="shared" si="191"/>
        <v>97.8</v>
      </c>
      <c r="AQ485">
        <f t="shared" si="192"/>
        <v>79.400000000000006</v>
      </c>
      <c r="AR485">
        <f t="shared" si="193"/>
        <v>93.7</v>
      </c>
      <c r="AS485" s="2">
        <f t="shared" si="194"/>
        <v>100</v>
      </c>
      <c r="AT485" s="2">
        <f>IFERROR(INDEX(Player_Model!$BC$2:$BC$596,MATCH($A485,Player_Model!$A$2:$A$596,0)),0)</f>
        <v>7.7831264366143147</v>
      </c>
      <c r="AU485" s="2">
        <f>Table8[[#This Row],[Model Expected Points]]*Table8[[#This Row],[Fixture Adjustment]]</f>
        <v>9.2013925126288516</v>
      </c>
      <c r="AV485" s="2">
        <f>Table8[[#This Row],[Fixture Adjusted Points / 90]]/Table8[[#This Row],[Price]]</f>
        <v>0.59363822662121624</v>
      </c>
      <c r="AW485">
        <f t="shared" si="195"/>
        <v>93.55</v>
      </c>
      <c r="AX485">
        <f t="shared" si="196"/>
        <v>0</v>
      </c>
      <c r="AY485" s="2">
        <f t="shared" si="197"/>
        <v>100</v>
      </c>
      <c r="AZ485" s="5">
        <f t="shared" si="198"/>
        <v>1.1822231833910033</v>
      </c>
      <c r="BA485">
        <f>Table8[[#This Row],[Model Score2]]</f>
        <v>7.7831264366143147</v>
      </c>
      <c r="BB485">
        <f>IFERROR(INDEX(Player_Model!$BG$2:$BG$596,MATCH($A485,Player_Model!$A$2:$A$596,0)),"")</f>
        <v>1</v>
      </c>
      <c r="BC485" t="str">
        <f t="shared" si="199"/>
        <v>TOP PICK</v>
      </c>
      <c r="BD485">
        <f>IF(H485=1,Table8[[#This Row],[Model Score]],-10000)</f>
        <v>7.7831264366143147</v>
      </c>
      <c r="BE485">
        <f>IFERROR(INDEX(Player_Model!$BF$2:$BF$596,MATCH($A485,Player_Model!$A$2:$A$596,0)),"")</f>
        <v>12</v>
      </c>
      <c r="BF485">
        <f>IFERROR(INDEX(Player_Model!$BG$2:$BG$596,MATCH($A485,Player_Model!$A$2:$A$596,0)),"")</f>
        <v>1</v>
      </c>
      <c r="BG485">
        <f>IFERROR(INDEX(Player_Model!$BE$2:$BE$596,MATCH($A485,Player_Model!$A$2:$A$596,0)),0)</f>
        <v>7.7831264366143147</v>
      </c>
    </row>
    <row r="486" spans="1:59" x14ac:dyDescent="0.25">
      <c r="A486" t="str">
        <f>tblPlayers[first_name]&amp;" "&amp;tblPlayers[second_name]</f>
        <v>Elliot Anderson</v>
      </c>
      <c r="B486" t="str">
        <f>_xlfn.SWITCH(tblPlayers[element_type],1,"GK",2,"DEF",3,"MID",4,"FWD")</f>
        <v>MID</v>
      </c>
      <c r="C486">
        <f>tblPlayers[team]</f>
        <v>15</v>
      </c>
      <c r="D486" t="str">
        <f>INDEX(tblTeams[Column1.short_name],MATCH(C486,tblTeams[Column1.id],0))</f>
        <v>MCI</v>
      </c>
      <c r="E486" s="4">
        <f>INDEX(FPL_Raw_Data!$F:$F,MATCH(A486,FPL_Raw_Data!$AA:$AA,0))/10</f>
        <v>6.3</v>
      </c>
      <c r="F486" s="4" t="str">
        <f>tblPlayers[[#This Row],[status]]</f>
        <v>a</v>
      </c>
      <c r="G486" s="4" t="b">
        <f>tblPlayers[[#This Row],[can_select]]</f>
        <v>1</v>
      </c>
      <c r="H486">
        <f>IF(AND(Table8[[#This Row],[Availability Status]]="a",Table8[[#This Row],[Can Select]]=TRUE),1,0)</f>
        <v>1</v>
      </c>
      <c r="I486">
        <f>tblPlayers[minutes]</f>
        <v>233</v>
      </c>
      <c r="J486" s="2">
        <f>Table8[[#This Row],[Minutes]]/90</f>
        <v>2.588888888888889</v>
      </c>
      <c r="K486" s="5">
        <f>IFERROR(Z486/(FIXTURE_ANALYSIS!$B$1-1),0)</f>
        <v>1</v>
      </c>
      <c r="L486">
        <f>tblPlayers[total_points]</f>
        <v>8</v>
      </c>
      <c r="M486">
        <f>tblPlayers[points_per_game]</f>
        <v>2.7</v>
      </c>
      <c r="N486">
        <f>tblPlayers[form]</f>
        <v>2.7</v>
      </c>
      <c r="O486">
        <f>tblPlayers[expected_goals]</f>
        <v>0.09</v>
      </c>
      <c r="P486">
        <f>tblPlayers[expected_assists]</f>
        <v>0.64</v>
      </c>
      <c r="Q486">
        <f>tblPlayers[expected_goal_involvements]</f>
        <v>0.73</v>
      </c>
      <c r="R486" s="2">
        <f t="shared" si="175"/>
        <v>3.0901287553648067</v>
      </c>
      <c r="S486" s="5">
        <f t="shared" si="176"/>
        <v>3.476394849785408E-2</v>
      </c>
      <c r="T486" s="5">
        <f t="shared" si="177"/>
        <v>0.24721030042918457</v>
      </c>
      <c r="U486" s="5">
        <f t="shared" si="178"/>
        <v>0.2819742489270386</v>
      </c>
      <c r="V486" s="3">
        <f t="shared" si="179"/>
        <v>1.2698412698412698</v>
      </c>
      <c r="W486" s="5">
        <f t="shared" si="180"/>
        <v>0.11587301587301588</v>
      </c>
      <c r="X486" s="5">
        <f>IFERROR(IF(OR($B486="MID",$B486="FWD"),INDEX(FIXTURE_ANALYSIS!$Q:$Q,MATCH($D486,FIXTURE_ANALYSIS!$A:$A,0)),INDEX(FIXTURE_ANALYSIS!$R:$R,MATCH($D486,FIXTURE_ANALYSIS!$A:$A,0))),1)</f>
        <v>1.1822231833910033</v>
      </c>
      <c r="Y486" s="5">
        <f t="shared" si="181"/>
        <v>1.1822231833910033</v>
      </c>
      <c r="Z486" s="8">
        <f>INDEX(FPL_Raw_Data!$T:$T,MATCH(A486,FPL_Raw_Data!$AA:$AA,0))</f>
        <v>3</v>
      </c>
      <c r="AA486" s="8">
        <f>INDEX(FPL_Raw_Data!$S:$S,MATCH(A486,FPL_Raw_Data!$AA:$AA,0))</f>
        <v>31</v>
      </c>
      <c r="AB486" s="2">
        <f t="shared" si="182"/>
        <v>1</v>
      </c>
      <c r="AC486" s="2">
        <f>INDEX(FPL_Raw_Data!$Q:$Q,MATCH(A486,FPL_Raw_Data!$AA:$AA,0))</f>
        <v>0</v>
      </c>
      <c r="AD486" s="8">
        <f>INDEX(FPL_Raw_Data!$R:$R,MATCH(A486,FPL_Raw_Data!$AA:$AA,0))</f>
        <v>62</v>
      </c>
      <c r="AE486" s="8">
        <f>INDEX(FPL_Raw_Data!$N:$N,MATCH(A486,FPL_Raw_Data!$AA:$AA,0))</f>
        <v>1</v>
      </c>
      <c r="AF486" s="8">
        <f>INDEX(FPL_Raw_Data!$L:$L,MATCH(A486,FPL_Raw_Data!$AA:$AA,0))</f>
        <v>0</v>
      </c>
      <c r="AG486" s="2">
        <f>INDEX(FPL_Raw_Data!$M:$M,MATCH(A486,FPL_Raw_Data!$AA:$AA,0))</f>
        <v>0</v>
      </c>
      <c r="AH486" s="2">
        <f t="shared" si="183"/>
        <v>0.1738197424892704</v>
      </c>
      <c r="AI486" s="2">
        <f t="shared" si="184"/>
        <v>0.74163090128755371</v>
      </c>
      <c r="AJ486" s="2">
        <f t="shared" si="185"/>
        <v>2</v>
      </c>
      <c r="AK486" s="2">
        <f t="shared" si="186"/>
        <v>2</v>
      </c>
      <c r="AL486" s="2">
        <f t="shared" si="187"/>
        <v>0.33333333333333331</v>
      </c>
      <c r="AM486" s="2">
        <f t="shared" si="188"/>
        <v>0.33333333333333331</v>
      </c>
      <c r="AN486" s="2">
        <f t="shared" si="189"/>
        <v>0</v>
      </c>
      <c r="AO486" s="3">
        <f t="shared" si="190"/>
        <v>60.9</v>
      </c>
      <c r="AP486">
        <f t="shared" si="191"/>
        <v>82.3</v>
      </c>
      <c r="AQ486">
        <f t="shared" si="192"/>
        <v>74.2</v>
      </c>
      <c r="AR486">
        <f t="shared" si="193"/>
        <v>86.5</v>
      </c>
      <c r="AS486" s="2">
        <f t="shared" si="194"/>
        <v>100</v>
      </c>
      <c r="AT486" s="2">
        <f>IFERROR(INDEX(Player_Model!$BC$2:$BC$596,MATCH($A486,Player_Model!$A$2:$A$596,0)),0)</f>
        <v>6.1718790984304324</v>
      </c>
      <c r="AU486" s="2">
        <f>Table8[[#This Row],[Model Expected Points]]*Table8[[#This Row],[Fixture Adjustment]]</f>
        <v>7.2965385552508213</v>
      </c>
      <c r="AV486" s="2">
        <f>Table8[[#This Row],[Fixture Adjusted Points / 90]]/Table8[[#This Row],[Price]]</f>
        <v>1.158180723055686</v>
      </c>
      <c r="AW486">
        <f t="shared" si="195"/>
        <v>71.599999999999994</v>
      </c>
      <c r="AX486">
        <f t="shared" si="196"/>
        <v>1</v>
      </c>
      <c r="AY486" s="2">
        <f t="shared" si="197"/>
        <v>100</v>
      </c>
      <c r="AZ486" s="5">
        <f t="shared" si="198"/>
        <v>1.1822231833910033</v>
      </c>
      <c r="BA486">
        <f>Table8[[#This Row],[Model Score2]]</f>
        <v>6.1718790984304324</v>
      </c>
      <c r="BB486">
        <f>IFERROR(INDEX(Player_Model!$BG$2:$BG$596,MATCH($A486,Player_Model!$A$2:$A$596,0)),"")</f>
        <v>16</v>
      </c>
      <c r="BC486" t="str">
        <f t="shared" si="199"/>
        <v>AVOID</v>
      </c>
      <c r="BD486">
        <f>IF(H486=1,Table8[[#This Row],[Model Score]],-10000)</f>
        <v>6.1718790984304324</v>
      </c>
      <c r="BE486">
        <f>IFERROR(INDEX(Player_Model!$BF$2:$BF$596,MATCH($A486,Player_Model!$A$2:$A$596,0)),"")</f>
        <v>39</v>
      </c>
      <c r="BF486">
        <f>IFERROR(INDEX(Player_Model!$BG$2:$BG$596,MATCH($A486,Player_Model!$A$2:$A$596,0)),"")</f>
        <v>16</v>
      </c>
      <c r="BG486">
        <f>IFERROR(INDEX(Player_Model!$BE$2:$BE$596,MATCH($A486,Player_Model!$A$2:$A$596,0)),0)</f>
        <v>6.1718790984304324</v>
      </c>
    </row>
    <row r="487" spans="1:59" x14ac:dyDescent="0.25">
      <c r="A487" t="str">
        <f>tblPlayers[first_name]&amp;" "&amp;tblPlayers[second_name]</f>
        <v>Gerónimo Rulli</v>
      </c>
      <c r="B487" t="str">
        <f>_xlfn.SWITCH(tblPlayers[element_type],1,"GK",2,"DEF",3,"MID",4,"FWD")</f>
        <v>GK</v>
      </c>
      <c r="C487">
        <f>tblPlayers[team]</f>
        <v>15</v>
      </c>
      <c r="D487" t="str">
        <f>INDEX(tblTeams[Column1.short_name],MATCH(C487,tblTeams[Column1.id],0))</f>
        <v>MCI</v>
      </c>
      <c r="E487" s="4">
        <f>INDEX(FPL_Raw_Data!$F:$F,MATCH(A487,FPL_Raw_Data!$AA:$AA,0))/10</f>
        <v>5</v>
      </c>
      <c r="F487" s="4" t="str">
        <f>tblPlayers[[#This Row],[status]]</f>
        <v>a</v>
      </c>
      <c r="G487" s="4" t="b">
        <f>tblPlayers[[#This Row],[can_select]]</f>
        <v>1</v>
      </c>
      <c r="H487">
        <f>IF(AND(Table8[[#This Row],[Availability Status]]="a",Table8[[#This Row],[Can Select]]=TRUE),1,0)</f>
        <v>1</v>
      </c>
      <c r="I487">
        <f>tblPlayers[minutes]</f>
        <v>0</v>
      </c>
      <c r="J487" s="2">
        <f>Table8[[#This Row],[Minutes]]/90</f>
        <v>0</v>
      </c>
      <c r="K487" s="5">
        <f>IFERROR(Z487/(FIXTURE_ANALYSIS!$B$1-1),0)</f>
        <v>0</v>
      </c>
      <c r="L487">
        <f>tblPlayers[total_points]</f>
        <v>0</v>
      </c>
      <c r="M487">
        <f>tblPlayers[points_per_game]</f>
        <v>0</v>
      </c>
      <c r="N487">
        <f>tblPlayers[form]</f>
        <v>0</v>
      </c>
      <c r="O487">
        <f>tblPlayers[expected_goals]</f>
        <v>0</v>
      </c>
      <c r="P487">
        <f>tblPlayers[expected_assists]</f>
        <v>0</v>
      </c>
      <c r="Q487">
        <f>tblPlayers[expected_goal_involvements]</f>
        <v>0</v>
      </c>
      <c r="R487" s="2">
        <f t="shared" si="175"/>
        <v>0</v>
      </c>
      <c r="S487" s="5">
        <f t="shared" si="176"/>
        <v>0</v>
      </c>
      <c r="T487" s="5">
        <f t="shared" si="177"/>
        <v>0</v>
      </c>
      <c r="U487" s="5">
        <f t="shared" si="178"/>
        <v>0</v>
      </c>
      <c r="V487" s="3">
        <f t="shared" si="179"/>
        <v>0</v>
      </c>
      <c r="W487" s="5">
        <f t="shared" si="180"/>
        <v>0</v>
      </c>
      <c r="X487" s="5">
        <f>IFERROR(IF(OR($B487="MID",$B487="FWD"),INDEX(FIXTURE_ANALYSIS!$Q:$Q,MATCH($D487,FIXTURE_ANALYSIS!$A:$A,0)),INDEX(FIXTURE_ANALYSIS!$R:$R,MATCH($D487,FIXTURE_ANALYSIS!$A:$A,0))),1)</f>
        <v>1.1338276422764224</v>
      </c>
      <c r="Y487" s="5">
        <f t="shared" si="181"/>
        <v>1.1338276422764224</v>
      </c>
      <c r="Z487" s="8">
        <f>INDEX(FPL_Raw_Data!$T:$T,MATCH(A487,FPL_Raw_Data!$AA:$AA,0))</f>
        <v>0</v>
      </c>
      <c r="AA487" s="8">
        <f>INDEX(FPL_Raw_Data!$S:$S,MATCH(A487,FPL_Raw_Data!$AA:$AA,0))</f>
        <v>0</v>
      </c>
      <c r="AB487" s="2">
        <f t="shared" si="182"/>
        <v>0</v>
      </c>
      <c r="AC487" s="2">
        <f>INDEX(FPL_Raw_Data!$Q:$Q,MATCH(A487,FPL_Raw_Data!$AA:$AA,0))</f>
        <v>0</v>
      </c>
      <c r="AD487" s="8">
        <f>INDEX(FPL_Raw_Data!$R:$R,MATCH(A487,FPL_Raw_Data!$AA:$AA,0))</f>
        <v>0</v>
      </c>
      <c r="AE487" s="8">
        <f>INDEX(FPL_Raw_Data!$N:$N,MATCH(A487,FPL_Raw_Data!$AA:$AA,0))</f>
        <v>0</v>
      </c>
      <c r="AF487" s="8">
        <f>INDEX(FPL_Raw_Data!$L:$L,MATCH(A487,FPL_Raw_Data!$AA:$AA,0))</f>
        <v>0</v>
      </c>
      <c r="AG487" s="2">
        <f>INDEX(FPL_Raw_Data!$M:$M,MATCH(A487,FPL_Raw_Data!$AA:$AA,0))</f>
        <v>0</v>
      </c>
      <c r="AH487" s="2">
        <f t="shared" si="183"/>
        <v>0</v>
      </c>
      <c r="AI487" s="2">
        <f t="shared" si="184"/>
        <v>0</v>
      </c>
      <c r="AJ487" s="2">
        <f t="shared" si="185"/>
        <v>0</v>
      </c>
      <c r="AK487" s="2">
        <f t="shared" si="186"/>
        <v>0</v>
      </c>
      <c r="AL487" s="2">
        <f t="shared" si="187"/>
        <v>0</v>
      </c>
      <c r="AM487" s="2">
        <f t="shared" si="188"/>
        <v>0</v>
      </c>
      <c r="AN487" s="2">
        <f t="shared" si="189"/>
        <v>0</v>
      </c>
      <c r="AO487" s="3">
        <f t="shared" si="190"/>
        <v>0.1</v>
      </c>
      <c r="AP487">
        <f t="shared" si="191"/>
        <v>0</v>
      </c>
      <c r="AQ487">
        <f t="shared" si="192"/>
        <v>0.1</v>
      </c>
      <c r="AR487">
        <f t="shared" si="193"/>
        <v>0</v>
      </c>
      <c r="AS487" s="2">
        <f t="shared" si="194"/>
        <v>0</v>
      </c>
      <c r="AT487" s="2">
        <f>IFERROR(INDEX(Player_Model!$BC$2:$BC$596,MATCH($A487,Player_Model!$A$2:$A$596,0)),0)</f>
        <v>0</v>
      </c>
      <c r="AU487" s="2">
        <f>Table8[[#This Row],[Model Expected Points]]*Table8[[#This Row],[Fixture Adjustment]]</f>
        <v>0</v>
      </c>
      <c r="AV487" s="2">
        <f>Table8[[#This Row],[Fixture Adjusted Points / 90]]/Table8[[#This Row],[Price]]</f>
        <v>0</v>
      </c>
      <c r="AW487">
        <f t="shared" si="195"/>
        <v>0</v>
      </c>
      <c r="AX487">
        <f t="shared" si="196"/>
        <v>0.5669138211382112</v>
      </c>
      <c r="AY487" s="2">
        <f t="shared" si="197"/>
        <v>0</v>
      </c>
      <c r="AZ487" s="5">
        <f t="shared" si="198"/>
        <v>1.1338276422764224</v>
      </c>
      <c r="BA487">
        <f>Table8[[#This Row],[Model Score2]]</f>
        <v>0</v>
      </c>
      <c r="BB487">
        <f>IFERROR(INDEX(Player_Model!$BG$2:$BG$596,MATCH($A487,Player_Model!$A$2:$A$596,0)),"")</f>
        <v>57</v>
      </c>
      <c r="BC487" t="str">
        <f t="shared" si="199"/>
        <v>AVOID</v>
      </c>
      <c r="BD487">
        <f>IF(H487=1,Table8[[#This Row],[Model Score]],-10000)</f>
        <v>0</v>
      </c>
      <c r="BE487">
        <f>IFERROR(INDEX(Player_Model!$BF$2:$BF$596,MATCH($A487,Player_Model!$A$2:$A$596,0)),"")</f>
        <v>253</v>
      </c>
      <c r="BF487">
        <f>IFERROR(INDEX(Player_Model!$BG$2:$BG$596,MATCH($A487,Player_Model!$A$2:$A$596,0)),"")</f>
        <v>57</v>
      </c>
      <c r="BG487">
        <f>IFERROR(INDEX(Player_Model!$BE$2:$BE$596,MATCH($A487,Player_Model!$A$2:$A$596,0)),0)</f>
        <v>0</v>
      </c>
    </row>
    <row r="488" spans="1:59" x14ac:dyDescent="0.25">
      <c r="A488" t="str">
        <f>tblPlayers[first_name]&amp;" "&amp;tblPlayers[second_name]</f>
        <v>Ayyoub Bouaddi</v>
      </c>
      <c r="B488" t="str">
        <f>_xlfn.SWITCH(tblPlayers[element_type],1,"GK",2,"DEF",3,"MID",4,"FWD")</f>
        <v>MID</v>
      </c>
      <c r="C488">
        <f>tblPlayers[team]</f>
        <v>15</v>
      </c>
      <c r="D488" t="str">
        <f>INDEX(tblTeams[Column1.short_name],MATCH(C488,tblTeams[Column1.id],0))</f>
        <v>MCI</v>
      </c>
      <c r="E488" s="4">
        <f>INDEX(FPL_Raw_Data!$F:$F,MATCH(A488,FPL_Raw_Data!$AA:$AA,0))/10</f>
        <v>5.5</v>
      </c>
      <c r="F488" s="4" t="str">
        <f>tblPlayers[[#This Row],[status]]</f>
        <v>a</v>
      </c>
      <c r="G488" s="4" t="b">
        <f>tblPlayers[[#This Row],[can_select]]</f>
        <v>1</v>
      </c>
      <c r="H488">
        <f>IF(AND(Table8[[#This Row],[Availability Status]]="a",Table8[[#This Row],[Can Select]]=TRUE),1,0)</f>
        <v>1</v>
      </c>
      <c r="I488">
        <f>tblPlayers[minutes]</f>
        <v>22</v>
      </c>
      <c r="J488" s="2">
        <f>Table8[[#This Row],[Minutes]]/90</f>
        <v>0.24444444444444444</v>
      </c>
      <c r="K488" s="5">
        <f>IFERROR(Z488/(FIXTURE_ANALYSIS!$B$1-1),0)</f>
        <v>0</v>
      </c>
      <c r="L488">
        <f>tblPlayers[total_points]</f>
        <v>2</v>
      </c>
      <c r="M488">
        <f>tblPlayers[points_per_game]</f>
        <v>1</v>
      </c>
      <c r="N488">
        <f>tblPlayers[form]</f>
        <v>1</v>
      </c>
      <c r="O488">
        <f>tblPlayers[expected_goals]</f>
        <v>0</v>
      </c>
      <c r="P488">
        <f>tblPlayers[expected_assists]</f>
        <v>0.12</v>
      </c>
      <c r="Q488">
        <f>tblPlayers[expected_goal_involvements]</f>
        <v>0.12</v>
      </c>
      <c r="R488" s="2">
        <f t="shared" si="175"/>
        <v>8.1818181818181817</v>
      </c>
      <c r="S488" s="5">
        <f t="shared" si="176"/>
        <v>0</v>
      </c>
      <c r="T488" s="5">
        <f t="shared" si="177"/>
        <v>0.49090909090909085</v>
      </c>
      <c r="U488" s="5">
        <f t="shared" si="178"/>
        <v>0.49090909090909085</v>
      </c>
      <c r="V488" s="3">
        <f t="shared" si="179"/>
        <v>0.36363636363636365</v>
      </c>
      <c r="W488" s="5">
        <f t="shared" si="180"/>
        <v>2.1818181818181816E-2</v>
      </c>
      <c r="X488" s="5">
        <f>IFERROR(IF(OR($B488="MID",$B488="FWD"),INDEX(FIXTURE_ANALYSIS!$Q:$Q,MATCH($D488,FIXTURE_ANALYSIS!$A:$A,0)),INDEX(FIXTURE_ANALYSIS!$R:$R,MATCH($D488,FIXTURE_ANALYSIS!$A:$A,0))),1)</f>
        <v>1.1822231833910033</v>
      </c>
      <c r="Y488" s="5">
        <f t="shared" si="181"/>
        <v>1.1822231833910033</v>
      </c>
      <c r="Z488" s="8">
        <f>INDEX(FPL_Raw_Data!$T:$T,MATCH(A488,FPL_Raw_Data!$AA:$AA,0))</f>
        <v>0</v>
      </c>
      <c r="AA488" s="8">
        <f>INDEX(FPL_Raw_Data!$S:$S,MATCH(A488,FPL_Raw_Data!$AA:$AA,0))</f>
        <v>6</v>
      </c>
      <c r="AB488" s="2">
        <f t="shared" si="182"/>
        <v>0.5</v>
      </c>
      <c r="AC488" s="2">
        <f>INDEX(FPL_Raw_Data!$Q:$Q,MATCH(A488,FPL_Raw_Data!$AA:$AA,0))</f>
        <v>0</v>
      </c>
      <c r="AD488" s="8">
        <f>INDEX(FPL_Raw_Data!$R:$R,MATCH(A488,FPL_Raw_Data!$AA:$AA,0))</f>
        <v>8</v>
      </c>
      <c r="AE488" s="8">
        <f>INDEX(FPL_Raw_Data!$N:$N,MATCH(A488,FPL_Raw_Data!$AA:$AA,0))</f>
        <v>0</v>
      </c>
      <c r="AF488" s="8">
        <f>INDEX(FPL_Raw_Data!$L:$L,MATCH(A488,FPL_Raw_Data!$AA:$AA,0))</f>
        <v>0</v>
      </c>
      <c r="AG488" s="2">
        <f>INDEX(FPL_Raw_Data!$M:$M,MATCH(A488,FPL_Raw_Data!$AA:$AA,0))</f>
        <v>0</v>
      </c>
      <c r="AH488" s="2">
        <f t="shared" si="183"/>
        <v>0</v>
      </c>
      <c r="AI488" s="2">
        <f t="shared" si="184"/>
        <v>1.4727272727272727</v>
      </c>
      <c r="AJ488" s="2">
        <f t="shared" si="185"/>
        <v>0</v>
      </c>
      <c r="AK488" s="2">
        <f t="shared" si="186"/>
        <v>1</v>
      </c>
      <c r="AL488" s="2">
        <f t="shared" si="187"/>
        <v>0</v>
      </c>
      <c r="AM488" s="2">
        <f t="shared" si="188"/>
        <v>0</v>
      </c>
      <c r="AN488" s="2">
        <f t="shared" si="189"/>
        <v>0</v>
      </c>
      <c r="AO488" s="3">
        <f t="shared" si="190"/>
        <v>89.8</v>
      </c>
      <c r="AP488">
        <f t="shared" si="191"/>
        <v>91.7</v>
      </c>
      <c r="AQ488">
        <f t="shared" si="192"/>
        <v>51.5</v>
      </c>
      <c r="AR488">
        <f t="shared" si="193"/>
        <v>67</v>
      </c>
      <c r="AS488" s="2">
        <f t="shared" si="194"/>
        <v>0</v>
      </c>
      <c r="AT488" s="2">
        <f>IFERROR(INDEX(Player_Model!$BC$2:$BC$596,MATCH($A488,Player_Model!$A$2:$A$596,0)),0)</f>
        <v>0</v>
      </c>
      <c r="AU488" s="2">
        <f>Table8[[#This Row],[Model Expected Points]]*Table8[[#This Row],[Fixture Adjustment]]</f>
        <v>0</v>
      </c>
      <c r="AV488" s="2">
        <f>Table8[[#This Row],[Fixture Adjusted Points / 90]]/Table8[[#This Row],[Price]]</f>
        <v>0</v>
      </c>
      <c r="AW488">
        <f t="shared" si="195"/>
        <v>90.75</v>
      </c>
      <c r="AX488">
        <f t="shared" si="196"/>
        <v>0.5</v>
      </c>
      <c r="AY488" s="2">
        <f t="shared" si="197"/>
        <v>0</v>
      </c>
      <c r="AZ488" s="5">
        <f t="shared" si="198"/>
        <v>1.1822231833910033</v>
      </c>
      <c r="BA488">
        <f>Table8[[#This Row],[Model Score2]]</f>
        <v>0</v>
      </c>
      <c r="BB488">
        <f>IFERROR(INDEX(Player_Model!$BG$2:$BG$596,MATCH($A488,Player_Model!$A$2:$A$596,0)),"")</f>
        <v>241</v>
      </c>
      <c r="BC488" t="str">
        <f t="shared" si="199"/>
        <v>AVOID</v>
      </c>
      <c r="BD488">
        <f>IF(H488=1,Table8[[#This Row],[Model Score]],-10000)</f>
        <v>0</v>
      </c>
      <c r="BE488">
        <f>IFERROR(INDEX(Player_Model!$BF$2:$BF$596,MATCH($A488,Player_Model!$A$2:$A$596,0)),"")</f>
        <v>253</v>
      </c>
      <c r="BF488">
        <f>IFERROR(INDEX(Player_Model!$BG$2:$BG$596,MATCH($A488,Player_Model!$A$2:$A$596,0)),"")</f>
        <v>241</v>
      </c>
      <c r="BG488">
        <f>IFERROR(INDEX(Player_Model!$BE$2:$BE$596,MATCH($A488,Player_Model!$A$2:$A$596,0)),0)</f>
        <v>0</v>
      </c>
    </row>
    <row r="489" spans="1:59" x14ac:dyDescent="0.25">
      <c r="A489" t="str">
        <f>tblPlayers[first_name]&amp;" "&amp;tblPlayers[second_name]</f>
        <v>Ryan McAidoo</v>
      </c>
      <c r="B489" t="str">
        <f>_xlfn.SWITCH(tblPlayers[element_type],1,"GK",2,"DEF",3,"MID",4,"FWD")</f>
        <v>MID</v>
      </c>
      <c r="C489">
        <f>tblPlayers[team]</f>
        <v>15</v>
      </c>
      <c r="D489" t="str">
        <f>INDEX(tblTeams[Column1.short_name],MATCH(C489,tblTeams[Column1.id],0))</f>
        <v>MCI</v>
      </c>
      <c r="E489" s="4">
        <f>INDEX(FPL_Raw_Data!$F:$F,MATCH(A489,FPL_Raw_Data!$AA:$AA,0))/10</f>
        <v>4.5</v>
      </c>
      <c r="F489" s="4" t="str">
        <f>tblPlayers[[#This Row],[status]]</f>
        <v>a</v>
      </c>
      <c r="G489" s="4" t="b">
        <f>tblPlayers[[#This Row],[can_select]]</f>
        <v>1</v>
      </c>
      <c r="H489">
        <f>IF(AND(Table8[[#This Row],[Availability Status]]="a",Table8[[#This Row],[Can Select]]=TRUE),1,0)</f>
        <v>1</v>
      </c>
      <c r="I489">
        <f>tblPlayers[minutes]</f>
        <v>11</v>
      </c>
      <c r="J489" s="2">
        <f>Table8[[#This Row],[Minutes]]/90</f>
        <v>0.12222222222222222</v>
      </c>
      <c r="K489" s="5">
        <f>IFERROR(Z489/(FIXTURE_ANALYSIS!$B$1-1),0)</f>
        <v>0</v>
      </c>
      <c r="L489">
        <f>tblPlayers[total_points]</f>
        <v>2</v>
      </c>
      <c r="M489">
        <f>tblPlayers[points_per_game]</f>
        <v>1</v>
      </c>
      <c r="N489">
        <f>tblPlayers[form]</f>
        <v>1</v>
      </c>
      <c r="O489">
        <f>tblPlayers[expected_goals]</f>
        <v>0.1</v>
      </c>
      <c r="P489">
        <f>tblPlayers[expected_assists]</f>
        <v>0</v>
      </c>
      <c r="Q489">
        <f>tblPlayers[expected_goal_involvements]</f>
        <v>0.1</v>
      </c>
      <c r="R489" s="2">
        <f t="shared" si="175"/>
        <v>16.363636363636363</v>
      </c>
      <c r="S489" s="5">
        <f t="shared" si="176"/>
        <v>0.81818181818181834</v>
      </c>
      <c r="T489" s="5">
        <f t="shared" si="177"/>
        <v>0</v>
      </c>
      <c r="U489" s="5">
        <f t="shared" si="178"/>
        <v>0.81818181818181834</v>
      </c>
      <c r="V489" s="3">
        <f t="shared" si="179"/>
        <v>0.44444444444444442</v>
      </c>
      <c r="W489" s="5">
        <f t="shared" si="180"/>
        <v>2.2222222222222223E-2</v>
      </c>
      <c r="X489" s="5">
        <f>IFERROR(IF(OR($B489="MID",$B489="FWD"),INDEX(FIXTURE_ANALYSIS!$Q:$Q,MATCH($D489,FIXTURE_ANALYSIS!$A:$A,0)),INDEX(FIXTURE_ANALYSIS!$R:$R,MATCH($D489,FIXTURE_ANALYSIS!$A:$A,0))),1)</f>
        <v>1.1822231833910033</v>
      </c>
      <c r="Y489" s="5">
        <f t="shared" si="181"/>
        <v>1.1822231833910033</v>
      </c>
      <c r="Z489" s="8">
        <f>INDEX(FPL_Raw_Data!$T:$T,MATCH(A489,FPL_Raw_Data!$AA:$AA,0))</f>
        <v>0</v>
      </c>
      <c r="AA489" s="8">
        <f>INDEX(FPL_Raw_Data!$S:$S,MATCH(A489,FPL_Raw_Data!$AA:$AA,0))</f>
        <v>4</v>
      </c>
      <c r="AB489" s="2">
        <f t="shared" si="182"/>
        <v>0.33333333333333331</v>
      </c>
      <c r="AC489" s="2">
        <f>INDEX(FPL_Raw_Data!$Q:$Q,MATCH(A489,FPL_Raw_Data!$AA:$AA,0))</f>
        <v>0</v>
      </c>
      <c r="AD489" s="8">
        <f>INDEX(FPL_Raw_Data!$R:$R,MATCH(A489,FPL_Raw_Data!$AA:$AA,0))</f>
        <v>8</v>
      </c>
      <c r="AE489" s="8">
        <f>INDEX(FPL_Raw_Data!$N:$N,MATCH(A489,FPL_Raw_Data!$AA:$AA,0))</f>
        <v>0</v>
      </c>
      <c r="AF489" s="8">
        <f>INDEX(FPL_Raw_Data!$L:$L,MATCH(A489,FPL_Raw_Data!$AA:$AA,0))</f>
        <v>0</v>
      </c>
      <c r="AG489" s="2">
        <f>INDEX(FPL_Raw_Data!$M:$M,MATCH(A489,FPL_Raw_Data!$AA:$AA,0))</f>
        <v>0</v>
      </c>
      <c r="AH489" s="2">
        <f t="shared" si="183"/>
        <v>4.0909090909090917</v>
      </c>
      <c r="AI489" s="2">
        <f t="shared" si="184"/>
        <v>0</v>
      </c>
      <c r="AJ489" s="2">
        <f t="shared" si="185"/>
        <v>0</v>
      </c>
      <c r="AK489" s="2">
        <f t="shared" si="186"/>
        <v>0.66666666666666663</v>
      </c>
      <c r="AL489" s="2">
        <f t="shared" si="187"/>
        <v>0</v>
      </c>
      <c r="AM489" s="2">
        <f t="shared" si="188"/>
        <v>0</v>
      </c>
      <c r="AN489" s="2">
        <f t="shared" si="189"/>
        <v>0</v>
      </c>
      <c r="AO489" s="3">
        <f t="shared" si="190"/>
        <v>95.899999999999991</v>
      </c>
      <c r="AP489">
        <f t="shared" si="191"/>
        <v>95.899999999999991</v>
      </c>
      <c r="AQ489">
        <f t="shared" si="192"/>
        <v>56.000000000000007</v>
      </c>
      <c r="AR489">
        <f t="shared" si="193"/>
        <v>68.300000000000011</v>
      </c>
      <c r="AS489" s="2">
        <f t="shared" si="194"/>
        <v>0</v>
      </c>
      <c r="AT489" s="2">
        <f>IFERROR(INDEX(Player_Model!$BC$2:$BC$596,MATCH($A489,Player_Model!$A$2:$A$596,0)),0)</f>
        <v>0</v>
      </c>
      <c r="AU489" s="2">
        <f>Table8[[#This Row],[Model Expected Points]]*Table8[[#This Row],[Fixture Adjustment]]</f>
        <v>0</v>
      </c>
      <c r="AV489" s="2">
        <f>Table8[[#This Row],[Fixture Adjusted Points / 90]]/Table8[[#This Row],[Price]]</f>
        <v>0</v>
      </c>
      <c r="AW489">
        <f t="shared" si="195"/>
        <v>95.899999999999991</v>
      </c>
      <c r="AX489">
        <f t="shared" si="196"/>
        <v>0.33333333333333331</v>
      </c>
      <c r="AY489" s="2">
        <f t="shared" si="197"/>
        <v>0</v>
      </c>
      <c r="AZ489" s="5">
        <f t="shared" si="198"/>
        <v>1.1822231833910033</v>
      </c>
      <c r="BA489">
        <f>Table8[[#This Row],[Model Score2]]</f>
        <v>0</v>
      </c>
      <c r="BB489">
        <f>IFERROR(INDEX(Player_Model!$BG$2:$BG$596,MATCH($A489,Player_Model!$A$2:$A$596,0)),"")</f>
        <v>242</v>
      </c>
      <c r="BC489" t="str">
        <f t="shared" si="199"/>
        <v>AVOID</v>
      </c>
      <c r="BD489">
        <f>IF(H489=1,Table8[[#This Row],[Model Score]],-10000)</f>
        <v>0</v>
      </c>
      <c r="BE489">
        <f>IFERROR(INDEX(Player_Model!$BF$2:$BF$596,MATCH($A489,Player_Model!$A$2:$A$596,0)),"")</f>
        <v>253</v>
      </c>
      <c r="BF489">
        <f>IFERROR(INDEX(Player_Model!$BG$2:$BG$596,MATCH($A489,Player_Model!$A$2:$A$596,0)),"")</f>
        <v>242</v>
      </c>
      <c r="BG489">
        <f>IFERROR(INDEX(Player_Model!$BE$2:$BE$596,MATCH($A489,Player_Model!$A$2:$A$596,0)),0)</f>
        <v>0</v>
      </c>
    </row>
    <row r="490" spans="1:59" x14ac:dyDescent="0.25">
      <c r="A490" t="str">
        <f>tblPlayers[first_name]&amp;" "&amp;tblPlayers[second_name]</f>
        <v>Kaden Braithwaite</v>
      </c>
      <c r="B490" t="str">
        <f>_xlfn.SWITCH(tblPlayers[element_type],1,"GK",2,"DEF",3,"MID",4,"FWD")</f>
        <v>DEF</v>
      </c>
      <c r="C490">
        <f>tblPlayers[team]</f>
        <v>15</v>
      </c>
      <c r="D490" t="str">
        <f>INDEX(tblTeams[Column1.short_name],MATCH(C490,tblTeams[Column1.id],0))</f>
        <v>MCI</v>
      </c>
      <c r="E490" s="4">
        <f>INDEX(FPL_Raw_Data!$F:$F,MATCH(A490,FPL_Raw_Data!$AA:$AA,0))/10</f>
        <v>4</v>
      </c>
      <c r="F490" s="4" t="str">
        <f>tblPlayers[[#This Row],[status]]</f>
        <v>a</v>
      </c>
      <c r="G490" s="4" t="b">
        <f>tblPlayers[[#This Row],[can_select]]</f>
        <v>1</v>
      </c>
      <c r="H490">
        <f>IF(AND(Table8[[#This Row],[Availability Status]]="a",Table8[[#This Row],[Can Select]]=TRUE),1,0)</f>
        <v>1</v>
      </c>
      <c r="I490">
        <f>tblPlayers[minutes]</f>
        <v>1</v>
      </c>
      <c r="J490" s="2">
        <f>Table8[[#This Row],[Minutes]]/90</f>
        <v>1.1111111111111112E-2</v>
      </c>
      <c r="K490" s="5">
        <f>IFERROR(Z490/(FIXTURE_ANALYSIS!$B$1-1),0)</f>
        <v>0</v>
      </c>
      <c r="L490">
        <f>tblPlayers[total_points]</f>
        <v>1</v>
      </c>
      <c r="M490">
        <f>tblPlayers[points_per_game]</f>
        <v>1</v>
      </c>
      <c r="N490">
        <f>tblPlayers[form]</f>
        <v>0.5</v>
      </c>
      <c r="O490">
        <f>tblPlayers[expected_goals]</f>
        <v>0</v>
      </c>
      <c r="P490">
        <f>tblPlayers[expected_assists]</f>
        <v>0</v>
      </c>
      <c r="Q490">
        <f>tblPlayers[expected_goal_involvements]</f>
        <v>0</v>
      </c>
      <c r="R490" s="2">
        <f t="shared" si="175"/>
        <v>90</v>
      </c>
      <c r="S490" s="5">
        <f t="shared" si="176"/>
        <v>0</v>
      </c>
      <c r="T490" s="5">
        <f t="shared" si="177"/>
        <v>0</v>
      </c>
      <c r="U490" s="5">
        <f t="shared" si="178"/>
        <v>0</v>
      </c>
      <c r="V490" s="3">
        <f t="shared" si="179"/>
        <v>0.25</v>
      </c>
      <c r="W490" s="5">
        <f t="shared" si="180"/>
        <v>0</v>
      </c>
      <c r="X490" s="5">
        <f>IFERROR(IF(OR($B490="MID",$B490="FWD"),INDEX(FIXTURE_ANALYSIS!$Q:$Q,MATCH($D490,FIXTURE_ANALYSIS!$A:$A,0)),INDEX(FIXTURE_ANALYSIS!$R:$R,MATCH($D490,FIXTURE_ANALYSIS!$A:$A,0))),1)</f>
        <v>1.1338276422764224</v>
      </c>
      <c r="Y490" s="5">
        <f t="shared" si="181"/>
        <v>1.1338276422764224</v>
      </c>
      <c r="Z490" s="8">
        <f>INDEX(FPL_Raw_Data!$T:$T,MATCH(A490,FPL_Raw_Data!$AA:$AA,0))</f>
        <v>0</v>
      </c>
      <c r="AA490" s="8">
        <f>INDEX(FPL_Raw_Data!$S:$S,MATCH(A490,FPL_Raw_Data!$AA:$AA,0))</f>
        <v>0</v>
      </c>
      <c r="AB490" s="2">
        <f t="shared" si="182"/>
        <v>0</v>
      </c>
      <c r="AC490" s="2">
        <f>INDEX(FPL_Raw_Data!$Q:$Q,MATCH(A490,FPL_Raw_Data!$AA:$AA,0))</f>
        <v>0</v>
      </c>
      <c r="AD490" s="8">
        <f>INDEX(FPL_Raw_Data!$R:$R,MATCH(A490,FPL_Raw_Data!$AA:$AA,0))</f>
        <v>3</v>
      </c>
      <c r="AE490" s="8">
        <f>INDEX(FPL_Raw_Data!$N:$N,MATCH(A490,FPL_Raw_Data!$AA:$AA,0))</f>
        <v>0</v>
      </c>
      <c r="AF490" s="8">
        <f>INDEX(FPL_Raw_Data!$L:$L,MATCH(A490,FPL_Raw_Data!$AA:$AA,0))</f>
        <v>0</v>
      </c>
      <c r="AG490" s="2">
        <f>INDEX(FPL_Raw_Data!$M:$M,MATCH(A490,FPL_Raw_Data!$AA:$AA,0))</f>
        <v>0</v>
      </c>
      <c r="AH490" s="2">
        <f t="shared" si="183"/>
        <v>0</v>
      </c>
      <c r="AI490" s="2">
        <f t="shared" si="184"/>
        <v>0</v>
      </c>
      <c r="AJ490" s="2">
        <f t="shared" si="185"/>
        <v>0</v>
      </c>
      <c r="AK490" s="2">
        <f t="shared" si="186"/>
        <v>0</v>
      </c>
      <c r="AL490" s="2">
        <f t="shared" si="187"/>
        <v>0</v>
      </c>
      <c r="AM490" s="2">
        <f t="shared" si="188"/>
        <v>0</v>
      </c>
      <c r="AN490" s="2">
        <f t="shared" si="189"/>
        <v>0</v>
      </c>
      <c r="AO490" s="3">
        <f t="shared" si="190"/>
        <v>98.1</v>
      </c>
      <c r="AP490">
        <f t="shared" si="191"/>
        <v>0</v>
      </c>
      <c r="AQ490">
        <f t="shared" si="192"/>
        <v>49.1</v>
      </c>
      <c r="AR490">
        <f t="shared" si="193"/>
        <v>0</v>
      </c>
      <c r="AS490" s="2">
        <f t="shared" si="194"/>
        <v>0</v>
      </c>
      <c r="AT490" s="2">
        <f>IFERROR(INDEX(Player_Model!$BC$2:$BC$596,MATCH($A490,Player_Model!$A$2:$A$596,0)),0)</f>
        <v>-0.37794254742547412</v>
      </c>
      <c r="AU490" s="2">
        <f>Table8[[#This Row],[Model Expected Points]]*Table8[[#This Row],[Fixture Adjustment]]</f>
        <v>-0.42852170746337026</v>
      </c>
      <c r="AV490" s="2">
        <f>Table8[[#This Row],[Fixture Adjusted Points / 90]]/Table8[[#This Row],[Price]]</f>
        <v>-0.10713042686584257</v>
      </c>
      <c r="AW490">
        <f t="shared" si="195"/>
        <v>0</v>
      </c>
      <c r="AX490">
        <f t="shared" si="196"/>
        <v>0.5669138211382112</v>
      </c>
      <c r="AY490" s="2">
        <f t="shared" si="197"/>
        <v>0</v>
      </c>
      <c r="AZ490" s="5">
        <f t="shared" si="198"/>
        <v>1.1338276422764224</v>
      </c>
      <c r="BA490">
        <f>Table8[[#This Row],[Model Score2]]</f>
        <v>-0.37794254742547412</v>
      </c>
      <c r="BB490">
        <f>IFERROR(INDEX(Player_Model!$BG$2:$BG$596,MATCH($A490,Player_Model!$A$2:$A$596,0)),"")</f>
        <v>118</v>
      </c>
      <c r="BC490" t="str">
        <f t="shared" si="199"/>
        <v>AVOID</v>
      </c>
      <c r="BD490">
        <f>IF(H490=1,Table8[[#This Row],[Model Score]],-10000)</f>
        <v>-0.37794254742547412</v>
      </c>
      <c r="BE490">
        <f>IFERROR(INDEX(Player_Model!$BF$2:$BF$596,MATCH($A490,Player_Model!$A$2:$A$596,0)),"")</f>
        <v>517</v>
      </c>
      <c r="BF490">
        <f>IFERROR(INDEX(Player_Model!$BG$2:$BG$596,MATCH($A490,Player_Model!$A$2:$A$596,0)),"")</f>
        <v>118</v>
      </c>
      <c r="BG490">
        <f>IFERROR(INDEX(Player_Model!$BE$2:$BE$596,MATCH($A490,Player_Model!$A$2:$A$596,0)),0)</f>
        <v>-0.37794254742547412</v>
      </c>
    </row>
    <row r="491" spans="1:59" x14ac:dyDescent="0.25">
      <c r="A491" t="str">
        <f>tblPlayers[first_name]&amp;" "&amp;tblPlayers[second_name]</f>
        <v>Allan Andrade Elias</v>
      </c>
      <c r="B491" t="str">
        <f>_xlfn.SWITCH(tblPlayers[element_type],1,"GK",2,"DEF",3,"MID",4,"FWD")</f>
        <v>MID</v>
      </c>
      <c r="C491">
        <f>tblPlayers[team]</f>
        <v>15</v>
      </c>
      <c r="D491" t="str">
        <f>INDEX(tblTeams[Column1.short_name],MATCH(C491,tblTeams[Column1.id],0))</f>
        <v>MCI</v>
      </c>
      <c r="E491" s="4">
        <f>INDEX(FPL_Raw_Data!$F:$F,MATCH(A491,FPL_Raw_Data!$AA:$AA,0))/10</f>
        <v>6</v>
      </c>
      <c r="F491" s="4" t="str">
        <f>tblPlayers[[#This Row],[status]]</f>
        <v>a</v>
      </c>
      <c r="G491" s="4" t="b">
        <f>tblPlayers[[#This Row],[can_select]]</f>
        <v>1</v>
      </c>
      <c r="H491">
        <f>IF(AND(Table8[[#This Row],[Availability Status]]="a",Table8[[#This Row],[Can Select]]=TRUE),1,0)</f>
        <v>1</v>
      </c>
      <c r="I491">
        <f>tblPlayers[minutes]</f>
        <v>0</v>
      </c>
      <c r="J491" s="2">
        <f>Table8[[#This Row],[Minutes]]/90</f>
        <v>0</v>
      </c>
      <c r="K491" s="5">
        <f>IFERROR(Z491/(FIXTURE_ANALYSIS!$B$1-1),0)</f>
        <v>0</v>
      </c>
      <c r="L491">
        <f>tblPlayers[total_points]</f>
        <v>0</v>
      </c>
      <c r="M491">
        <f>tblPlayers[points_per_game]</f>
        <v>0</v>
      </c>
      <c r="N491">
        <f>tblPlayers[form]</f>
        <v>0</v>
      </c>
      <c r="O491">
        <f>tblPlayers[expected_goals]</f>
        <v>0</v>
      </c>
      <c r="P491">
        <f>tblPlayers[expected_assists]</f>
        <v>0</v>
      </c>
      <c r="Q491">
        <f>tblPlayers[expected_goal_involvements]</f>
        <v>0</v>
      </c>
      <c r="R491" s="2">
        <f t="shared" si="175"/>
        <v>0</v>
      </c>
      <c r="S491" s="5">
        <f t="shared" si="176"/>
        <v>0</v>
      </c>
      <c r="T491" s="5">
        <f t="shared" si="177"/>
        <v>0</v>
      </c>
      <c r="U491" s="5">
        <f t="shared" si="178"/>
        <v>0</v>
      </c>
      <c r="V491" s="3">
        <f t="shared" si="179"/>
        <v>0</v>
      </c>
      <c r="W491" s="5">
        <f t="shared" si="180"/>
        <v>0</v>
      </c>
      <c r="X491" s="5">
        <f>IFERROR(IF(OR($B491="MID",$B491="FWD"),INDEX(FIXTURE_ANALYSIS!$Q:$Q,MATCH($D491,FIXTURE_ANALYSIS!$A:$A,0)),INDEX(FIXTURE_ANALYSIS!$R:$R,MATCH($D491,FIXTURE_ANALYSIS!$A:$A,0))),1)</f>
        <v>1.1822231833910033</v>
      </c>
      <c r="Y491" s="5">
        <f t="shared" si="181"/>
        <v>1.1822231833910033</v>
      </c>
      <c r="Z491" s="8">
        <f>INDEX(FPL_Raw_Data!$T:$T,MATCH(A491,FPL_Raw_Data!$AA:$AA,0))</f>
        <v>0</v>
      </c>
      <c r="AA491" s="8">
        <f>INDEX(FPL_Raw_Data!$S:$S,MATCH(A491,FPL_Raw_Data!$AA:$AA,0))</f>
        <v>0</v>
      </c>
      <c r="AB491" s="2">
        <f t="shared" si="182"/>
        <v>0</v>
      </c>
      <c r="AC491" s="2">
        <f>INDEX(FPL_Raw_Data!$Q:$Q,MATCH(A491,FPL_Raw_Data!$AA:$AA,0))</f>
        <v>0</v>
      </c>
      <c r="AD491" s="8">
        <f>INDEX(FPL_Raw_Data!$R:$R,MATCH(A491,FPL_Raw_Data!$AA:$AA,0))</f>
        <v>0</v>
      </c>
      <c r="AE491" s="8">
        <f>INDEX(FPL_Raw_Data!$N:$N,MATCH(A491,FPL_Raw_Data!$AA:$AA,0))</f>
        <v>0</v>
      </c>
      <c r="AF491" s="8">
        <f>INDEX(FPL_Raw_Data!$L:$L,MATCH(A491,FPL_Raw_Data!$AA:$AA,0))</f>
        <v>0</v>
      </c>
      <c r="AG491" s="2">
        <f>INDEX(FPL_Raw_Data!$M:$M,MATCH(A491,FPL_Raw_Data!$AA:$AA,0))</f>
        <v>0</v>
      </c>
      <c r="AH491" s="2">
        <f t="shared" si="183"/>
        <v>0</v>
      </c>
      <c r="AI491" s="2">
        <f t="shared" si="184"/>
        <v>0</v>
      </c>
      <c r="AJ491" s="2">
        <f t="shared" si="185"/>
        <v>0</v>
      </c>
      <c r="AK491" s="2">
        <f t="shared" si="186"/>
        <v>0</v>
      </c>
      <c r="AL491" s="2">
        <f t="shared" si="187"/>
        <v>0</v>
      </c>
      <c r="AM491" s="2">
        <f t="shared" si="188"/>
        <v>0</v>
      </c>
      <c r="AN491" s="2">
        <f t="shared" si="189"/>
        <v>0</v>
      </c>
      <c r="AO491" s="3">
        <f t="shared" si="190"/>
        <v>0.1</v>
      </c>
      <c r="AP491">
        <f t="shared" si="191"/>
        <v>0</v>
      </c>
      <c r="AQ491">
        <f t="shared" si="192"/>
        <v>0.1</v>
      </c>
      <c r="AR491">
        <f t="shared" si="193"/>
        <v>0</v>
      </c>
      <c r="AS491" s="2">
        <f t="shared" si="194"/>
        <v>0</v>
      </c>
      <c r="AT491" s="2">
        <f>IFERROR(INDEX(Player_Model!$BC$2:$BC$596,MATCH($A491,Player_Model!$A$2:$A$596,0)),0)</f>
        <v>0</v>
      </c>
      <c r="AU491" s="2">
        <f>Table8[[#This Row],[Model Expected Points]]*Table8[[#This Row],[Fixture Adjustment]]</f>
        <v>0</v>
      </c>
      <c r="AV491" s="2">
        <f>Table8[[#This Row],[Fixture Adjusted Points / 90]]/Table8[[#This Row],[Price]]</f>
        <v>0</v>
      </c>
      <c r="AW491">
        <f t="shared" si="195"/>
        <v>0.05</v>
      </c>
      <c r="AX491">
        <f t="shared" si="196"/>
        <v>0</v>
      </c>
      <c r="AY491" s="2">
        <f t="shared" si="197"/>
        <v>0</v>
      </c>
      <c r="AZ491" s="5">
        <f t="shared" si="198"/>
        <v>1.1822231833910033</v>
      </c>
      <c r="BA491">
        <f>Table8[[#This Row],[Model Score2]]</f>
        <v>0</v>
      </c>
      <c r="BB491">
        <f>IFERROR(INDEX(Player_Model!$BG$2:$BG$596,MATCH($A491,Player_Model!$A$2:$A$596,0)),"")</f>
        <v>243</v>
      </c>
      <c r="BC491" t="str">
        <f t="shared" si="199"/>
        <v>AVOID</v>
      </c>
      <c r="BD491">
        <f>IF(H491=1,Table8[[#This Row],[Model Score]],-10000)</f>
        <v>0</v>
      </c>
      <c r="BE491">
        <f>IFERROR(INDEX(Player_Model!$BF$2:$BF$596,MATCH($A491,Player_Model!$A$2:$A$596,0)),"")</f>
        <v>253</v>
      </c>
      <c r="BF491">
        <f>IFERROR(INDEX(Player_Model!$BG$2:$BG$596,MATCH($A491,Player_Model!$A$2:$A$596,0)),"")</f>
        <v>243</v>
      </c>
      <c r="BG491">
        <f>IFERROR(INDEX(Player_Model!$BE$2:$BE$596,MATCH($A491,Player_Model!$A$2:$A$596,0)),0)</f>
        <v>0</v>
      </c>
    </row>
    <row r="492" spans="1:59" x14ac:dyDescent="0.25">
      <c r="A492" t="str">
        <f>tblPlayers[first_name]&amp;" "&amp;tblPlayers[second_name]</f>
        <v>Floyd Samba</v>
      </c>
      <c r="B492" t="str">
        <f>_xlfn.SWITCH(tblPlayers[element_type],1,"GK",2,"DEF",3,"MID",4,"FWD")</f>
        <v>MID</v>
      </c>
      <c r="C492">
        <f>tblPlayers[team]</f>
        <v>15</v>
      </c>
      <c r="D492" t="str">
        <f>INDEX(tblTeams[Column1.short_name],MATCH(C492,tblTeams[Column1.id],0))</f>
        <v>MCI</v>
      </c>
      <c r="E492" s="4">
        <f>INDEX(FPL_Raw_Data!$F:$F,MATCH(A492,FPL_Raw_Data!$AA:$AA,0))/10</f>
        <v>4.5</v>
      </c>
      <c r="F492" s="4" t="str">
        <f>tblPlayers[[#This Row],[status]]</f>
        <v>a</v>
      </c>
      <c r="G492" s="4" t="b">
        <f>tblPlayers[[#This Row],[can_select]]</f>
        <v>1</v>
      </c>
      <c r="H492">
        <f>IF(AND(Table8[[#This Row],[Availability Status]]="a",Table8[[#This Row],[Can Select]]=TRUE),1,0)</f>
        <v>1</v>
      </c>
      <c r="I492">
        <f>tblPlayers[minutes]</f>
        <v>0</v>
      </c>
      <c r="J492" s="2">
        <f>Table8[[#This Row],[Minutes]]/90</f>
        <v>0</v>
      </c>
      <c r="K492" s="5">
        <f>IFERROR(Z492/(FIXTURE_ANALYSIS!$B$1-1),0)</f>
        <v>0</v>
      </c>
      <c r="L492">
        <f>tblPlayers[total_points]</f>
        <v>0</v>
      </c>
      <c r="M492">
        <f>tblPlayers[points_per_game]</f>
        <v>0</v>
      </c>
      <c r="N492">
        <f>tblPlayers[form]</f>
        <v>0</v>
      </c>
      <c r="O492">
        <f>tblPlayers[expected_goals]</f>
        <v>0</v>
      </c>
      <c r="P492">
        <f>tblPlayers[expected_assists]</f>
        <v>0</v>
      </c>
      <c r="Q492">
        <f>tblPlayers[expected_goal_involvements]</f>
        <v>0</v>
      </c>
      <c r="R492" s="2">
        <f t="shared" si="175"/>
        <v>0</v>
      </c>
      <c r="S492" s="5">
        <f t="shared" si="176"/>
        <v>0</v>
      </c>
      <c r="T492" s="5">
        <f t="shared" si="177"/>
        <v>0</v>
      </c>
      <c r="U492" s="5">
        <f t="shared" si="178"/>
        <v>0</v>
      </c>
      <c r="V492" s="3">
        <f t="shared" si="179"/>
        <v>0</v>
      </c>
      <c r="W492" s="5">
        <f t="shared" si="180"/>
        <v>0</v>
      </c>
      <c r="X492" s="5">
        <f>IFERROR(IF(OR($B492="MID",$B492="FWD"),INDEX(FIXTURE_ANALYSIS!$Q:$Q,MATCH($D492,FIXTURE_ANALYSIS!$A:$A,0)),INDEX(FIXTURE_ANALYSIS!$R:$R,MATCH($D492,FIXTURE_ANALYSIS!$A:$A,0))),1)</f>
        <v>1.1822231833910033</v>
      </c>
      <c r="Y492" s="5">
        <f t="shared" si="181"/>
        <v>1.1822231833910033</v>
      </c>
      <c r="Z492" s="8">
        <f>INDEX(FPL_Raw_Data!$T:$T,MATCH(A492,FPL_Raw_Data!$AA:$AA,0))</f>
        <v>0</v>
      </c>
      <c r="AA492" s="8">
        <f>INDEX(FPL_Raw_Data!$S:$S,MATCH(A492,FPL_Raw_Data!$AA:$AA,0))</f>
        <v>0</v>
      </c>
      <c r="AB492" s="2">
        <f t="shared" si="182"/>
        <v>0</v>
      </c>
      <c r="AC492" s="2">
        <f>INDEX(FPL_Raw_Data!$Q:$Q,MATCH(A492,FPL_Raw_Data!$AA:$AA,0))</f>
        <v>0</v>
      </c>
      <c r="AD492" s="8">
        <f>INDEX(FPL_Raw_Data!$R:$R,MATCH(A492,FPL_Raw_Data!$AA:$AA,0))</f>
        <v>0</v>
      </c>
      <c r="AE492" s="8">
        <f>INDEX(FPL_Raw_Data!$N:$N,MATCH(A492,FPL_Raw_Data!$AA:$AA,0))</f>
        <v>0</v>
      </c>
      <c r="AF492" s="8">
        <f>INDEX(FPL_Raw_Data!$L:$L,MATCH(A492,FPL_Raw_Data!$AA:$AA,0))</f>
        <v>0</v>
      </c>
      <c r="AG492" s="2">
        <f>INDEX(FPL_Raw_Data!$M:$M,MATCH(A492,FPL_Raw_Data!$AA:$AA,0))</f>
        <v>0</v>
      </c>
      <c r="AH492" s="2">
        <f t="shared" si="183"/>
        <v>0</v>
      </c>
      <c r="AI492" s="2">
        <f t="shared" si="184"/>
        <v>0</v>
      </c>
      <c r="AJ492" s="2">
        <f t="shared" si="185"/>
        <v>0</v>
      </c>
      <c r="AK492" s="2">
        <f t="shared" si="186"/>
        <v>0</v>
      </c>
      <c r="AL492" s="2">
        <f t="shared" si="187"/>
        <v>0</v>
      </c>
      <c r="AM492" s="2">
        <f t="shared" si="188"/>
        <v>0</v>
      </c>
      <c r="AN492" s="2">
        <f t="shared" si="189"/>
        <v>0</v>
      </c>
      <c r="AO492" s="3">
        <f t="shared" si="190"/>
        <v>0.1</v>
      </c>
      <c r="AP492">
        <f t="shared" si="191"/>
        <v>0</v>
      </c>
      <c r="AQ492">
        <f t="shared" si="192"/>
        <v>0.1</v>
      </c>
      <c r="AR492">
        <f t="shared" si="193"/>
        <v>0</v>
      </c>
      <c r="AS492" s="2">
        <f t="shared" si="194"/>
        <v>0</v>
      </c>
      <c r="AT492" s="2">
        <f>IFERROR(INDEX(Player_Model!$BC$2:$BC$596,MATCH($A492,Player_Model!$A$2:$A$596,0)),0)</f>
        <v>0</v>
      </c>
      <c r="AU492" s="2">
        <f>Table8[[#This Row],[Model Expected Points]]*Table8[[#This Row],[Fixture Adjustment]]</f>
        <v>0</v>
      </c>
      <c r="AV492" s="2">
        <f>Table8[[#This Row],[Fixture Adjusted Points / 90]]/Table8[[#This Row],[Price]]</f>
        <v>0</v>
      </c>
      <c r="AW492">
        <f t="shared" si="195"/>
        <v>0.05</v>
      </c>
      <c r="AX492">
        <f t="shared" si="196"/>
        <v>0</v>
      </c>
      <c r="AY492" s="2">
        <f t="shared" si="197"/>
        <v>0</v>
      </c>
      <c r="AZ492" s="5">
        <f t="shared" si="198"/>
        <v>1.1822231833910033</v>
      </c>
      <c r="BA492">
        <f>Table8[[#This Row],[Model Score2]]</f>
        <v>0</v>
      </c>
      <c r="BB492">
        <f>IFERROR(INDEX(Player_Model!$BG$2:$BG$596,MATCH($A492,Player_Model!$A$2:$A$596,0)),"")</f>
        <v>244</v>
      </c>
      <c r="BC492" t="str">
        <f t="shared" si="199"/>
        <v>AVOID</v>
      </c>
      <c r="BD492">
        <f>IF(H492=1,Table8[[#This Row],[Model Score]],-10000)</f>
        <v>0</v>
      </c>
      <c r="BE492">
        <f>IFERROR(INDEX(Player_Model!$BF$2:$BF$596,MATCH($A492,Player_Model!$A$2:$A$596,0)),"")</f>
        <v>253</v>
      </c>
      <c r="BF492">
        <f>IFERROR(INDEX(Player_Model!$BG$2:$BG$596,MATCH($A492,Player_Model!$A$2:$A$596,0)),"")</f>
        <v>244</v>
      </c>
      <c r="BG492">
        <f>IFERROR(INDEX(Player_Model!$BE$2:$BE$596,MATCH($A492,Player_Model!$A$2:$A$596,0)),0)</f>
        <v>0</v>
      </c>
    </row>
    <row r="493" spans="1:59" x14ac:dyDescent="0.25">
      <c r="A493" t="str">
        <f>tblPlayers[first_name]&amp;" "&amp;tblPlayers[second_name]</f>
        <v>Youri Tielemans</v>
      </c>
      <c r="B493" t="str">
        <f>_xlfn.SWITCH(tblPlayers[element_type],1,"GK",2,"DEF",3,"MID",4,"FWD")</f>
        <v>MID</v>
      </c>
      <c r="C493">
        <f>tblPlayers[team]</f>
        <v>16</v>
      </c>
      <c r="D493" t="str">
        <f>INDEX(tblTeams[Column1.short_name],MATCH(C493,tblTeams[Column1.id],0))</f>
        <v>MUN</v>
      </c>
      <c r="E493" s="4">
        <f>INDEX(FPL_Raw_Data!$F:$F,MATCH(A493,FPL_Raw_Data!$AA:$AA,0))/10</f>
        <v>5.9</v>
      </c>
      <c r="F493" s="4" t="str">
        <f>tblPlayers[[#This Row],[status]]</f>
        <v>a</v>
      </c>
      <c r="G493" s="4" t="b">
        <f>tblPlayers[[#This Row],[can_select]]</f>
        <v>1</v>
      </c>
      <c r="H493">
        <f>IF(AND(Table8[[#This Row],[Availability Status]]="a",Table8[[#This Row],[Can Select]]=TRUE),1,0)</f>
        <v>1</v>
      </c>
      <c r="I493">
        <f>tblPlayers[minutes]</f>
        <v>246</v>
      </c>
      <c r="J493" s="2">
        <f>Table8[[#This Row],[Minutes]]/90</f>
        <v>2.7333333333333334</v>
      </c>
      <c r="K493" s="5">
        <f>IFERROR(Z493/(FIXTURE_ANALYSIS!$B$1-1),0)</f>
        <v>1</v>
      </c>
      <c r="L493">
        <f>tblPlayers[total_points]</f>
        <v>8</v>
      </c>
      <c r="M493">
        <f>tblPlayers[points_per_game]</f>
        <v>2.7</v>
      </c>
      <c r="N493">
        <f>tblPlayers[form]</f>
        <v>2.7</v>
      </c>
      <c r="O493">
        <f>tblPlayers[expected_goals]</f>
        <v>0.56000000000000005</v>
      </c>
      <c r="P493">
        <f>tblPlayers[expected_assists]</f>
        <v>0.28000000000000003</v>
      </c>
      <c r="Q493">
        <f>tblPlayers[expected_goal_involvements]</f>
        <v>0.84</v>
      </c>
      <c r="R493" s="2">
        <f t="shared" si="175"/>
        <v>2.9268292682926833</v>
      </c>
      <c r="S493" s="5">
        <f t="shared" si="176"/>
        <v>0.20487804878048785</v>
      </c>
      <c r="T493" s="5">
        <f t="shared" si="177"/>
        <v>0.10243902439024392</v>
      </c>
      <c r="U493" s="5">
        <f t="shared" si="178"/>
        <v>0.3073170731707317</v>
      </c>
      <c r="V493" s="3">
        <f t="shared" si="179"/>
        <v>1.3559322033898304</v>
      </c>
      <c r="W493" s="5">
        <f t="shared" si="180"/>
        <v>0.14237288135593218</v>
      </c>
      <c r="X493" s="5">
        <f>IFERROR(IF(OR($B493="MID",$B493="FWD"),INDEX(FIXTURE_ANALYSIS!$Q:$Q,MATCH($D493,FIXTURE_ANALYSIS!$A:$A,0)),INDEX(FIXTURE_ANALYSIS!$R:$R,MATCH($D493,FIXTURE_ANALYSIS!$A:$A,0))),1)</f>
        <v>1.0979325259515571</v>
      </c>
      <c r="Y493" s="5">
        <f t="shared" si="181"/>
        <v>1.0979325259515571</v>
      </c>
      <c r="Z493" s="8">
        <f>INDEX(FPL_Raw_Data!$T:$T,MATCH(A493,FPL_Raw_Data!$AA:$AA,0))</f>
        <v>3</v>
      </c>
      <c r="AA493" s="8">
        <f>INDEX(FPL_Raw_Data!$S:$S,MATCH(A493,FPL_Raw_Data!$AA:$AA,0))</f>
        <v>25</v>
      </c>
      <c r="AB493" s="2">
        <f t="shared" si="182"/>
        <v>1</v>
      </c>
      <c r="AC493" s="2">
        <f>INDEX(FPL_Raw_Data!$Q:$Q,MATCH(A493,FPL_Raw_Data!$AA:$AA,0))</f>
        <v>0</v>
      </c>
      <c r="AD493" s="8">
        <f>INDEX(FPL_Raw_Data!$R:$R,MATCH(A493,FPL_Raw_Data!$AA:$AA,0))</f>
        <v>56</v>
      </c>
      <c r="AE493" s="8">
        <f>INDEX(FPL_Raw_Data!$N:$N,MATCH(A493,FPL_Raw_Data!$AA:$AA,0))</f>
        <v>0</v>
      </c>
      <c r="AF493" s="8">
        <f>INDEX(FPL_Raw_Data!$L:$L,MATCH(A493,FPL_Raw_Data!$AA:$AA,0))</f>
        <v>0</v>
      </c>
      <c r="AG493" s="2">
        <f>INDEX(FPL_Raw_Data!$M:$M,MATCH(A493,FPL_Raw_Data!$AA:$AA,0))</f>
        <v>0</v>
      </c>
      <c r="AH493" s="2">
        <f t="shared" si="183"/>
        <v>1.0243902439024393</v>
      </c>
      <c r="AI493" s="2">
        <f t="shared" si="184"/>
        <v>0.30731707317073176</v>
      </c>
      <c r="AJ493" s="2">
        <f t="shared" si="185"/>
        <v>2</v>
      </c>
      <c r="AK493" s="2">
        <f t="shared" si="186"/>
        <v>2</v>
      </c>
      <c r="AL493" s="2">
        <f t="shared" si="187"/>
        <v>0</v>
      </c>
      <c r="AM493" s="2">
        <f t="shared" si="188"/>
        <v>0</v>
      </c>
      <c r="AN493" s="2">
        <f t="shared" si="189"/>
        <v>0</v>
      </c>
      <c r="AO493" s="3">
        <f t="shared" si="190"/>
        <v>57.699999999999996</v>
      </c>
      <c r="AP493">
        <f t="shared" si="191"/>
        <v>84.1</v>
      </c>
      <c r="AQ493">
        <f t="shared" si="192"/>
        <v>75.7</v>
      </c>
      <c r="AR493">
        <f t="shared" si="193"/>
        <v>90.9</v>
      </c>
      <c r="AS493" s="2">
        <f t="shared" si="194"/>
        <v>100</v>
      </c>
      <c r="AT493" s="2">
        <f>IFERROR(INDEX(Player_Model!$BC$2:$BC$596,MATCH($A493,Player_Model!$A$2:$A$596,0)),0)</f>
        <v>5.2294377770611602</v>
      </c>
      <c r="AU493" s="2">
        <f>Table8[[#This Row],[Model Expected Points]]*Table8[[#This Row],[Fixture Adjustment]]</f>
        <v>5.7415698278752556</v>
      </c>
      <c r="AV493" s="2">
        <f>Table8[[#This Row],[Fixture Adjusted Points / 90]]/Table8[[#This Row],[Price]]</f>
        <v>0.97314742845343305</v>
      </c>
      <c r="AW493">
        <f t="shared" si="195"/>
        <v>70.899999999999991</v>
      </c>
      <c r="AX493">
        <f t="shared" si="196"/>
        <v>1</v>
      </c>
      <c r="AY493" s="2">
        <f t="shared" si="197"/>
        <v>100</v>
      </c>
      <c r="AZ493" s="5">
        <f t="shared" si="198"/>
        <v>1.0979325259515571</v>
      </c>
      <c r="BA493">
        <f>Table8[[#This Row],[Model Score2]]</f>
        <v>5.2294377770611602</v>
      </c>
      <c r="BB493">
        <f>IFERROR(INDEX(Player_Model!$BG$2:$BG$596,MATCH($A493,Player_Model!$A$2:$A$596,0)),"")</f>
        <v>38</v>
      </c>
      <c r="BC493" t="str">
        <f t="shared" si="199"/>
        <v>AVOID</v>
      </c>
      <c r="BD493">
        <f>IF(H493=1,Table8[[#This Row],[Model Score]],-10000)</f>
        <v>5.2294377770611602</v>
      </c>
      <c r="BE493">
        <f>IFERROR(INDEX(Player_Model!$BF$2:$BF$596,MATCH($A493,Player_Model!$A$2:$A$596,0)),"")</f>
        <v>81</v>
      </c>
      <c r="BF493">
        <f>IFERROR(INDEX(Player_Model!$BG$2:$BG$596,MATCH($A493,Player_Model!$A$2:$A$596,0)),"")</f>
        <v>38</v>
      </c>
      <c r="BG493">
        <f>IFERROR(INDEX(Player_Model!$BE$2:$BE$596,MATCH($A493,Player_Model!$A$2:$A$596,0)),0)</f>
        <v>5.2294377770611602</v>
      </c>
    </row>
    <row r="494" spans="1:59" x14ac:dyDescent="0.25">
      <c r="A494" t="str">
        <f>tblPlayers[first_name]&amp;" "&amp;tblPlayers[second_name]</f>
        <v>Carlos Baleba</v>
      </c>
      <c r="B494" t="str">
        <f>_xlfn.SWITCH(tblPlayers[element_type],1,"GK",2,"DEF",3,"MID",4,"FWD")</f>
        <v>MID</v>
      </c>
      <c r="C494">
        <f>tblPlayers[team]</f>
        <v>16</v>
      </c>
      <c r="D494" t="str">
        <f>INDEX(tblTeams[Column1.short_name],MATCH(C494,tblTeams[Column1.id],0))</f>
        <v>MUN</v>
      </c>
      <c r="E494" s="4">
        <f>INDEX(FPL_Raw_Data!$F:$F,MATCH(A494,FPL_Raw_Data!$AA:$AA,0))/10</f>
        <v>5</v>
      </c>
      <c r="F494" s="4" t="str">
        <f>tblPlayers[[#This Row],[status]]</f>
        <v>i</v>
      </c>
      <c r="G494" s="4" t="b">
        <f>tblPlayers[[#This Row],[can_select]]</f>
        <v>1</v>
      </c>
      <c r="H494">
        <f>IF(AND(Table8[[#This Row],[Availability Status]]="a",Table8[[#This Row],[Can Select]]=TRUE),1,0)</f>
        <v>0</v>
      </c>
      <c r="I494">
        <f>tblPlayers[minutes]</f>
        <v>0</v>
      </c>
      <c r="J494" s="2">
        <f>Table8[[#This Row],[Minutes]]/90</f>
        <v>0</v>
      </c>
      <c r="K494" s="5">
        <f>IFERROR(Z494/(FIXTURE_ANALYSIS!$B$1-1),0)</f>
        <v>0</v>
      </c>
      <c r="L494">
        <f>tblPlayers[total_points]</f>
        <v>0</v>
      </c>
      <c r="M494">
        <f>tblPlayers[points_per_game]</f>
        <v>0</v>
      </c>
      <c r="N494">
        <f>tblPlayers[form]</f>
        <v>0</v>
      </c>
      <c r="O494">
        <f>tblPlayers[expected_goals]</f>
        <v>0</v>
      </c>
      <c r="P494">
        <f>tblPlayers[expected_assists]</f>
        <v>0</v>
      </c>
      <c r="Q494">
        <f>tblPlayers[expected_goal_involvements]</f>
        <v>0</v>
      </c>
      <c r="R494" s="2">
        <f t="shared" si="175"/>
        <v>0</v>
      </c>
      <c r="S494" s="5">
        <f t="shared" si="176"/>
        <v>0</v>
      </c>
      <c r="T494" s="5">
        <f t="shared" si="177"/>
        <v>0</v>
      </c>
      <c r="U494" s="5">
        <f t="shared" si="178"/>
        <v>0</v>
      </c>
      <c r="V494" s="3">
        <f t="shared" si="179"/>
        <v>0</v>
      </c>
      <c r="W494" s="5">
        <f t="shared" si="180"/>
        <v>0</v>
      </c>
      <c r="X494" s="5">
        <f>IFERROR(IF(OR($B494="MID",$B494="FWD"),INDEX(FIXTURE_ANALYSIS!$Q:$Q,MATCH($D494,FIXTURE_ANALYSIS!$A:$A,0)),INDEX(FIXTURE_ANALYSIS!$R:$R,MATCH($D494,FIXTURE_ANALYSIS!$A:$A,0))),1)</f>
        <v>1.0979325259515571</v>
      </c>
      <c r="Y494" s="5">
        <f t="shared" si="181"/>
        <v>1.0979325259515571</v>
      </c>
      <c r="Z494" s="8">
        <f>INDEX(FPL_Raw_Data!$T:$T,MATCH(A494,FPL_Raw_Data!$AA:$AA,0))</f>
        <v>0</v>
      </c>
      <c r="AA494" s="8">
        <f>INDEX(FPL_Raw_Data!$S:$S,MATCH(A494,FPL_Raw_Data!$AA:$AA,0))</f>
        <v>0</v>
      </c>
      <c r="AB494" s="2">
        <f t="shared" si="182"/>
        <v>0</v>
      </c>
      <c r="AC494" s="2">
        <f>INDEX(FPL_Raw_Data!$Q:$Q,MATCH(A494,FPL_Raw_Data!$AA:$AA,0))</f>
        <v>0</v>
      </c>
      <c r="AD494" s="8">
        <f>INDEX(FPL_Raw_Data!$R:$R,MATCH(A494,FPL_Raw_Data!$AA:$AA,0))</f>
        <v>0</v>
      </c>
      <c r="AE494" s="8">
        <f>INDEX(FPL_Raw_Data!$N:$N,MATCH(A494,FPL_Raw_Data!$AA:$AA,0))</f>
        <v>0</v>
      </c>
      <c r="AF494" s="8">
        <f>INDEX(FPL_Raw_Data!$L:$L,MATCH(A494,FPL_Raw_Data!$AA:$AA,0))</f>
        <v>0</v>
      </c>
      <c r="AG494" s="2">
        <f>INDEX(FPL_Raw_Data!$M:$M,MATCH(A494,FPL_Raw_Data!$AA:$AA,0))</f>
        <v>0</v>
      </c>
      <c r="AH494" s="2">
        <f t="shared" si="183"/>
        <v>0</v>
      </c>
      <c r="AI494" s="2">
        <f t="shared" si="184"/>
        <v>0</v>
      </c>
      <c r="AJ494" s="2">
        <f t="shared" si="185"/>
        <v>0</v>
      </c>
      <c r="AK494" s="2">
        <f t="shared" si="186"/>
        <v>0</v>
      </c>
      <c r="AL494" s="2">
        <f t="shared" si="187"/>
        <v>0</v>
      </c>
      <c r="AM494" s="2">
        <f t="shared" si="188"/>
        <v>0</v>
      </c>
      <c r="AN494" s="2">
        <f t="shared" si="189"/>
        <v>0</v>
      </c>
      <c r="AO494" s="3">
        <f t="shared" si="190"/>
        <v>0.1</v>
      </c>
      <c r="AP494">
        <f t="shared" si="191"/>
        <v>0</v>
      </c>
      <c r="AQ494">
        <f t="shared" si="192"/>
        <v>0.1</v>
      </c>
      <c r="AR494">
        <f t="shared" si="193"/>
        <v>0</v>
      </c>
      <c r="AS494" s="2">
        <f t="shared" si="194"/>
        <v>0</v>
      </c>
      <c r="AT494" s="2">
        <f>IFERROR(INDEX(Player_Model!$BC$2:$BC$596,MATCH($A494,Player_Model!$A$2:$A$596,0)),0)</f>
        <v>0</v>
      </c>
      <c r="AU494" s="2">
        <f>Table8[[#This Row],[Model Expected Points]]*Table8[[#This Row],[Fixture Adjustment]]</f>
        <v>0</v>
      </c>
      <c r="AV494" s="2">
        <f>Table8[[#This Row],[Fixture Adjusted Points / 90]]/Table8[[#This Row],[Price]]</f>
        <v>0</v>
      </c>
      <c r="AW494">
        <f t="shared" si="195"/>
        <v>0.05</v>
      </c>
      <c r="AX494">
        <f t="shared" si="196"/>
        <v>0</v>
      </c>
      <c r="AY494" s="2">
        <f t="shared" si="197"/>
        <v>0</v>
      </c>
      <c r="AZ494" s="5">
        <f t="shared" si="198"/>
        <v>1.0979325259515571</v>
      </c>
      <c r="BA494">
        <f>Table8[[#This Row],[Model Score2]]</f>
        <v>0</v>
      </c>
      <c r="BB494">
        <f>IFERROR(INDEX(Player_Model!$BG$2:$BG$596,MATCH($A494,Player_Model!$A$2:$A$596,0)),"")</f>
        <v>245</v>
      </c>
      <c r="BC494" t="str">
        <f t="shared" si="199"/>
        <v>AVOID</v>
      </c>
      <c r="BD494">
        <f>IF(H494=1,Table8[[#This Row],[Model Score]],-10000)</f>
        <v>-10000</v>
      </c>
      <c r="BE494">
        <f>IFERROR(INDEX(Player_Model!$BF$2:$BF$596,MATCH($A494,Player_Model!$A$2:$A$596,0)),"")</f>
        <v>253</v>
      </c>
      <c r="BF494">
        <f>IFERROR(INDEX(Player_Model!$BG$2:$BG$596,MATCH($A494,Player_Model!$A$2:$A$596,0)),"")</f>
        <v>245</v>
      </c>
      <c r="BG494">
        <f>IFERROR(INDEX(Player_Model!$BE$2:$BE$596,MATCH($A494,Player_Model!$A$2:$A$596,0)),0)</f>
        <v>0</v>
      </c>
    </row>
    <row r="495" spans="1:59" x14ac:dyDescent="0.25">
      <c r="A495" t="str">
        <f>tblPlayers[first_name]&amp;" "&amp;tblPlayers[second_name]</f>
        <v>Andrey Nascimento dos Santos</v>
      </c>
      <c r="B495" t="str">
        <f>_xlfn.SWITCH(tblPlayers[element_type],1,"GK",2,"DEF",3,"MID",4,"FWD")</f>
        <v>MID</v>
      </c>
      <c r="C495">
        <f>tblPlayers[team]</f>
        <v>16</v>
      </c>
      <c r="D495" t="str">
        <f>INDEX(tblTeams[Column1.short_name],MATCH(C495,tblTeams[Column1.id],0))</f>
        <v>MUN</v>
      </c>
      <c r="E495" s="4">
        <f>INDEX(FPL_Raw_Data!$F:$F,MATCH(A495,FPL_Raw_Data!$AA:$AA,0))/10</f>
        <v>4.9000000000000004</v>
      </c>
      <c r="F495" s="4" t="str">
        <f>tblPlayers[[#This Row],[status]]</f>
        <v>a</v>
      </c>
      <c r="G495" s="4" t="b">
        <f>tblPlayers[[#This Row],[can_select]]</f>
        <v>1</v>
      </c>
      <c r="H495">
        <f>IF(AND(Table8[[#This Row],[Availability Status]]="a",Table8[[#This Row],[Can Select]]=TRUE),1,0)</f>
        <v>1</v>
      </c>
      <c r="I495">
        <f>tblPlayers[minutes]</f>
        <v>82</v>
      </c>
      <c r="J495" s="2">
        <f>Table8[[#This Row],[Minutes]]/90</f>
        <v>0.91111111111111109</v>
      </c>
      <c r="K495" s="5">
        <f>IFERROR(Z495/(FIXTURE_ANALYSIS!$B$1-1),0)</f>
        <v>0.33333333333333331</v>
      </c>
      <c r="L495">
        <f>tblPlayers[total_points]</f>
        <v>4</v>
      </c>
      <c r="M495">
        <f>tblPlayers[points_per_game]</f>
        <v>1.3</v>
      </c>
      <c r="N495">
        <f>tblPlayers[form]</f>
        <v>1.3</v>
      </c>
      <c r="O495">
        <f>tblPlayers[expected_goals]</f>
        <v>0</v>
      </c>
      <c r="P495">
        <f>tblPlayers[expected_assists]</f>
        <v>0.24</v>
      </c>
      <c r="Q495">
        <f>tblPlayers[expected_goal_involvements]</f>
        <v>0.24</v>
      </c>
      <c r="R495" s="2">
        <f t="shared" si="175"/>
        <v>4.3902439024390247</v>
      </c>
      <c r="S495" s="5">
        <f t="shared" si="176"/>
        <v>0</v>
      </c>
      <c r="T495" s="5">
        <f t="shared" si="177"/>
        <v>0.26341463414634148</v>
      </c>
      <c r="U495" s="5">
        <f t="shared" si="178"/>
        <v>0.26341463414634148</v>
      </c>
      <c r="V495" s="3">
        <f t="shared" si="179"/>
        <v>0.81632653061224481</v>
      </c>
      <c r="W495" s="5">
        <f t="shared" si="180"/>
        <v>4.8979591836734691E-2</v>
      </c>
      <c r="X495" s="5">
        <f>IFERROR(IF(OR($B495="MID",$B495="FWD"),INDEX(FIXTURE_ANALYSIS!$Q:$Q,MATCH($D495,FIXTURE_ANALYSIS!$A:$A,0)),INDEX(FIXTURE_ANALYSIS!$R:$R,MATCH($D495,FIXTURE_ANALYSIS!$A:$A,0))),1)</f>
        <v>1.0979325259515571</v>
      </c>
      <c r="Y495" s="5">
        <f t="shared" si="181"/>
        <v>1.0979325259515571</v>
      </c>
      <c r="Z495" s="8">
        <f>INDEX(FPL_Raw_Data!$T:$T,MATCH(A495,FPL_Raw_Data!$AA:$AA,0))</f>
        <v>1</v>
      </c>
      <c r="AA495" s="8">
        <f>INDEX(FPL_Raw_Data!$S:$S,MATCH(A495,FPL_Raw_Data!$AA:$AA,0))</f>
        <v>18</v>
      </c>
      <c r="AB495" s="2">
        <f t="shared" si="182"/>
        <v>1</v>
      </c>
      <c r="AC495" s="2">
        <f>INDEX(FPL_Raw_Data!$Q:$Q,MATCH(A495,FPL_Raw_Data!$AA:$AA,0))</f>
        <v>0</v>
      </c>
      <c r="AD495" s="8">
        <f>INDEX(FPL_Raw_Data!$R:$R,MATCH(A495,FPL_Raw_Data!$AA:$AA,0))</f>
        <v>23</v>
      </c>
      <c r="AE495" s="8">
        <f>INDEX(FPL_Raw_Data!$N:$N,MATCH(A495,FPL_Raw_Data!$AA:$AA,0))</f>
        <v>0</v>
      </c>
      <c r="AF495" s="8">
        <f>INDEX(FPL_Raw_Data!$L:$L,MATCH(A495,FPL_Raw_Data!$AA:$AA,0))</f>
        <v>0</v>
      </c>
      <c r="AG495" s="2">
        <f>INDEX(FPL_Raw_Data!$M:$M,MATCH(A495,FPL_Raw_Data!$AA:$AA,0))</f>
        <v>0</v>
      </c>
      <c r="AH495" s="2">
        <f t="shared" si="183"/>
        <v>0</v>
      </c>
      <c r="AI495" s="2">
        <f t="shared" si="184"/>
        <v>0.79024390243902443</v>
      </c>
      <c r="AJ495" s="2">
        <f t="shared" si="185"/>
        <v>0.66666666666666663</v>
      </c>
      <c r="AK495" s="2">
        <f t="shared" si="186"/>
        <v>2</v>
      </c>
      <c r="AL495" s="2">
        <f t="shared" si="187"/>
        <v>0</v>
      </c>
      <c r="AM495" s="2">
        <f t="shared" si="188"/>
        <v>0</v>
      </c>
      <c r="AN495" s="2">
        <f t="shared" si="189"/>
        <v>0</v>
      </c>
      <c r="AO495" s="3">
        <f t="shared" si="190"/>
        <v>72.2</v>
      </c>
      <c r="AP495">
        <f t="shared" si="191"/>
        <v>81.399999999999991</v>
      </c>
      <c r="AQ495">
        <f t="shared" si="192"/>
        <v>65.900000000000006</v>
      </c>
      <c r="AR495">
        <f t="shared" si="193"/>
        <v>75.7</v>
      </c>
      <c r="AS495" s="2">
        <f t="shared" si="194"/>
        <v>33.333333333333329</v>
      </c>
      <c r="AT495" s="2">
        <f>IFERROR(INDEX(Player_Model!$BC$2:$BC$596,MATCH($A495,Player_Model!$A$2:$A$596,0)),0)</f>
        <v>7.0275501733165786</v>
      </c>
      <c r="AU495" s="2">
        <f>Table8[[#This Row],[Model Expected Points]]*Table8[[#This Row],[Fixture Adjustment]]</f>
        <v>7.7157759130407744</v>
      </c>
      <c r="AV495" s="2">
        <f>Table8[[#This Row],[Fixture Adjusted Points / 90]]/Table8[[#This Row],[Price]]</f>
        <v>1.5746481455185253</v>
      </c>
      <c r="AW495">
        <f t="shared" si="195"/>
        <v>76.8</v>
      </c>
      <c r="AX495">
        <f t="shared" si="196"/>
        <v>1</v>
      </c>
      <c r="AY495" s="2">
        <f t="shared" si="197"/>
        <v>33.333333333333329</v>
      </c>
      <c r="AZ495" s="5">
        <f t="shared" si="198"/>
        <v>1.0979325259515571</v>
      </c>
      <c r="BA495">
        <f>Table8[[#This Row],[Model Score2]]</f>
        <v>7.0275501733165786</v>
      </c>
      <c r="BB495">
        <f>IFERROR(INDEX(Player_Model!$BG$2:$BG$596,MATCH($A495,Player_Model!$A$2:$A$596,0)),"")</f>
        <v>8</v>
      </c>
      <c r="BC495" t="str">
        <f t="shared" si="199"/>
        <v>CONSIDER</v>
      </c>
      <c r="BD495">
        <f>IF(H495=1,Table8[[#This Row],[Model Score]],-10000)</f>
        <v>7.0275501733165786</v>
      </c>
      <c r="BE495">
        <f>IFERROR(INDEX(Player_Model!$BF$2:$BF$596,MATCH($A495,Player_Model!$A$2:$A$596,0)),"")</f>
        <v>21</v>
      </c>
      <c r="BF495">
        <f>IFERROR(INDEX(Player_Model!$BG$2:$BG$596,MATCH($A495,Player_Model!$A$2:$A$596,0)),"")</f>
        <v>8</v>
      </c>
      <c r="BG495">
        <f>IFERROR(INDEX(Player_Model!$BE$2:$BE$596,MATCH($A495,Player_Model!$A$2:$A$596,0)),0)</f>
        <v>7.0275501733165786</v>
      </c>
    </row>
    <row r="496" spans="1:59" x14ac:dyDescent="0.25">
      <c r="A496" t="str">
        <f>tblPlayers[first_name]&amp;" "&amp;tblPlayers[second_name]</f>
        <v>Karl Darlow</v>
      </c>
      <c r="B496" t="str">
        <f>_xlfn.SWITCH(tblPlayers[element_type],1,"GK",2,"DEF",3,"MID",4,"FWD")</f>
        <v>GK</v>
      </c>
      <c r="C496">
        <f>tblPlayers[team]</f>
        <v>16</v>
      </c>
      <c r="D496" t="str">
        <f>INDEX(tblTeams[Column1.short_name],MATCH(C496,tblTeams[Column1.id],0))</f>
        <v>MUN</v>
      </c>
      <c r="E496" s="4">
        <f>INDEX(FPL_Raw_Data!$F:$F,MATCH(A496,FPL_Raw_Data!$AA:$AA,0))/10</f>
        <v>4.5</v>
      </c>
      <c r="F496" s="4" t="str">
        <f>tblPlayers[[#This Row],[status]]</f>
        <v>a</v>
      </c>
      <c r="G496" s="4" t="b">
        <f>tblPlayers[[#This Row],[can_select]]</f>
        <v>1</v>
      </c>
      <c r="H496">
        <f>IF(AND(Table8[[#This Row],[Availability Status]]="a",Table8[[#This Row],[Can Select]]=TRUE),1,0)</f>
        <v>1</v>
      </c>
      <c r="I496">
        <f>tblPlayers[minutes]</f>
        <v>0</v>
      </c>
      <c r="J496" s="2">
        <f>Table8[[#This Row],[Minutes]]/90</f>
        <v>0</v>
      </c>
      <c r="K496" s="5">
        <f>IFERROR(Z496/(FIXTURE_ANALYSIS!$B$1-1),0)</f>
        <v>0</v>
      </c>
      <c r="L496">
        <f>tblPlayers[total_points]</f>
        <v>0</v>
      </c>
      <c r="M496">
        <f>tblPlayers[points_per_game]</f>
        <v>0</v>
      </c>
      <c r="N496">
        <f>tblPlayers[form]</f>
        <v>0</v>
      </c>
      <c r="O496">
        <f>tblPlayers[expected_goals]</f>
        <v>0</v>
      </c>
      <c r="P496">
        <f>tblPlayers[expected_assists]</f>
        <v>0</v>
      </c>
      <c r="Q496">
        <f>tblPlayers[expected_goal_involvements]</f>
        <v>0</v>
      </c>
      <c r="R496" s="2">
        <f t="shared" si="175"/>
        <v>0</v>
      </c>
      <c r="S496" s="5">
        <f t="shared" si="176"/>
        <v>0</v>
      </c>
      <c r="T496" s="5">
        <f t="shared" si="177"/>
        <v>0</v>
      </c>
      <c r="U496" s="5">
        <f t="shared" si="178"/>
        <v>0</v>
      </c>
      <c r="V496" s="3">
        <f t="shared" si="179"/>
        <v>0</v>
      </c>
      <c r="W496" s="5">
        <f t="shared" si="180"/>
        <v>0</v>
      </c>
      <c r="X496" s="5">
        <f>IFERROR(IF(OR($B496="MID",$B496="FWD"),INDEX(FIXTURE_ANALYSIS!$Q:$Q,MATCH($D496,FIXTURE_ANALYSIS!$A:$A,0)),INDEX(FIXTURE_ANALYSIS!$R:$R,MATCH($D496,FIXTURE_ANALYSIS!$A:$A,0))),1)</f>
        <v>0.92487600988862551</v>
      </c>
      <c r="Y496" s="5">
        <f t="shared" si="181"/>
        <v>0.92487600988862551</v>
      </c>
      <c r="Z496" s="8">
        <f>INDEX(FPL_Raw_Data!$T:$T,MATCH(A496,FPL_Raw_Data!$AA:$AA,0))</f>
        <v>0</v>
      </c>
      <c r="AA496" s="8">
        <f>INDEX(FPL_Raw_Data!$S:$S,MATCH(A496,FPL_Raw_Data!$AA:$AA,0))</f>
        <v>0</v>
      </c>
      <c r="AB496" s="2">
        <f t="shared" si="182"/>
        <v>0</v>
      </c>
      <c r="AC496" s="2">
        <f>INDEX(FPL_Raw_Data!$Q:$Q,MATCH(A496,FPL_Raw_Data!$AA:$AA,0))</f>
        <v>0</v>
      </c>
      <c r="AD496" s="8">
        <f>INDEX(FPL_Raw_Data!$R:$R,MATCH(A496,FPL_Raw_Data!$AA:$AA,0))</f>
        <v>0</v>
      </c>
      <c r="AE496" s="8">
        <f>INDEX(FPL_Raw_Data!$N:$N,MATCH(A496,FPL_Raw_Data!$AA:$AA,0))</f>
        <v>0</v>
      </c>
      <c r="AF496" s="8">
        <f>INDEX(FPL_Raw_Data!$L:$L,MATCH(A496,FPL_Raw_Data!$AA:$AA,0))</f>
        <v>0</v>
      </c>
      <c r="AG496" s="2">
        <f>INDEX(FPL_Raw_Data!$M:$M,MATCH(A496,FPL_Raw_Data!$AA:$AA,0))</f>
        <v>0</v>
      </c>
      <c r="AH496" s="2">
        <f t="shared" si="183"/>
        <v>0</v>
      </c>
      <c r="AI496" s="2">
        <f t="shared" si="184"/>
        <v>0</v>
      </c>
      <c r="AJ496" s="2">
        <f t="shared" si="185"/>
        <v>0</v>
      </c>
      <c r="AK496" s="2">
        <f t="shared" si="186"/>
        <v>0</v>
      </c>
      <c r="AL496" s="2">
        <f t="shared" si="187"/>
        <v>0</v>
      </c>
      <c r="AM496" s="2">
        <f t="shared" si="188"/>
        <v>0</v>
      </c>
      <c r="AN496" s="2">
        <f t="shared" si="189"/>
        <v>0</v>
      </c>
      <c r="AO496" s="3">
        <f t="shared" si="190"/>
        <v>0.1</v>
      </c>
      <c r="AP496">
        <f t="shared" si="191"/>
        <v>0</v>
      </c>
      <c r="AQ496">
        <f t="shared" si="192"/>
        <v>0.1</v>
      </c>
      <c r="AR496">
        <f t="shared" si="193"/>
        <v>0</v>
      </c>
      <c r="AS496" s="2">
        <f t="shared" si="194"/>
        <v>0</v>
      </c>
      <c r="AT496" s="2">
        <f>IFERROR(INDEX(Player_Model!$BC$2:$BC$596,MATCH($A496,Player_Model!$A$2:$A$596,0)),0)</f>
        <v>0</v>
      </c>
      <c r="AU496" s="2">
        <f>Table8[[#This Row],[Model Expected Points]]*Table8[[#This Row],[Fixture Adjustment]]</f>
        <v>0</v>
      </c>
      <c r="AV496" s="2">
        <f>Table8[[#This Row],[Fixture Adjusted Points / 90]]/Table8[[#This Row],[Price]]</f>
        <v>0</v>
      </c>
      <c r="AW496">
        <f t="shared" si="195"/>
        <v>0</v>
      </c>
      <c r="AX496">
        <f t="shared" si="196"/>
        <v>0.46243800494431275</v>
      </c>
      <c r="AY496" s="2">
        <f t="shared" si="197"/>
        <v>0</v>
      </c>
      <c r="AZ496" s="5">
        <f t="shared" si="198"/>
        <v>0.92487600988862551</v>
      </c>
      <c r="BA496">
        <f>Table8[[#This Row],[Model Score2]]</f>
        <v>0</v>
      </c>
      <c r="BB496">
        <f>IFERROR(INDEX(Player_Model!$BG$2:$BG$596,MATCH($A496,Player_Model!$A$2:$A$596,0)),"")</f>
        <v>58</v>
      </c>
      <c r="BC496" t="str">
        <f t="shared" si="199"/>
        <v>AVOID</v>
      </c>
      <c r="BD496">
        <f>IF(H496=1,Table8[[#This Row],[Model Score]],-10000)</f>
        <v>0</v>
      </c>
      <c r="BE496">
        <f>IFERROR(INDEX(Player_Model!$BF$2:$BF$596,MATCH($A496,Player_Model!$A$2:$A$596,0)),"")</f>
        <v>253</v>
      </c>
      <c r="BF496">
        <f>IFERROR(INDEX(Player_Model!$BG$2:$BG$596,MATCH($A496,Player_Model!$A$2:$A$596,0)),"")</f>
        <v>58</v>
      </c>
      <c r="BG496">
        <f>IFERROR(INDEX(Player_Model!$BE$2:$BE$596,MATCH($A496,Player_Model!$A$2:$A$596,0)),0)</f>
        <v>0</v>
      </c>
    </row>
    <row r="497" spans="1:59" x14ac:dyDescent="0.25">
      <c r="A497" t="str">
        <f>tblPlayers[first_name]&amp;" "&amp;tblPlayers[second_name]</f>
        <v>Senne Lammens</v>
      </c>
      <c r="B497" t="str">
        <f>_xlfn.SWITCH(tblPlayers[element_type],1,"GK",2,"DEF",3,"MID",4,"FWD")</f>
        <v>GK</v>
      </c>
      <c r="C497">
        <f>tblPlayers[team]</f>
        <v>16</v>
      </c>
      <c r="D497" t="str">
        <f>INDEX(tblTeams[Column1.short_name],MATCH(C497,tblTeams[Column1.id],0))</f>
        <v>MUN</v>
      </c>
      <c r="E497" s="4">
        <f>INDEX(FPL_Raw_Data!$F:$F,MATCH(A497,FPL_Raw_Data!$AA:$AA,0))/10</f>
        <v>5</v>
      </c>
      <c r="F497" s="4" t="str">
        <f>tblPlayers[[#This Row],[status]]</f>
        <v>a</v>
      </c>
      <c r="G497" s="4" t="b">
        <f>tblPlayers[[#This Row],[can_select]]</f>
        <v>1</v>
      </c>
      <c r="H497">
        <f>IF(AND(Table8[[#This Row],[Availability Status]]="a",Table8[[#This Row],[Can Select]]=TRUE),1,0)</f>
        <v>1</v>
      </c>
      <c r="I497">
        <f>tblPlayers[minutes]</f>
        <v>270</v>
      </c>
      <c r="J497" s="2">
        <f>Table8[[#This Row],[Minutes]]/90</f>
        <v>3</v>
      </c>
      <c r="K497" s="5">
        <f>IFERROR(Z497/(FIXTURE_ANALYSIS!$B$1-1),0)</f>
        <v>1</v>
      </c>
      <c r="L497">
        <f>tblPlayers[total_points]</f>
        <v>5</v>
      </c>
      <c r="M497">
        <f>tblPlayers[points_per_game]</f>
        <v>1.7</v>
      </c>
      <c r="N497">
        <f>tblPlayers[form]</f>
        <v>1.7</v>
      </c>
      <c r="O497">
        <f>tblPlayers[expected_goals]</f>
        <v>0</v>
      </c>
      <c r="P497">
        <f>tblPlayers[expected_assists]</f>
        <v>0</v>
      </c>
      <c r="Q497">
        <f>tblPlayers[expected_goal_involvements]</f>
        <v>0</v>
      </c>
      <c r="R497" s="2">
        <f t="shared" si="175"/>
        <v>1.6666666666666665</v>
      </c>
      <c r="S497" s="5">
        <f t="shared" si="176"/>
        <v>0</v>
      </c>
      <c r="T497" s="5">
        <f t="shared" si="177"/>
        <v>0</v>
      </c>
      <c r="U497" s="5">
        <f t="shared" si="178"/>
        <v>0</v>
      </c>
      <c r="V497" s="3">
        <f t="shared" si="179"/>
        <v>1</v>
      </c>
      <c r="W497" s="5">
        <f t="shared" si="180"/>
        <v>0</v>
      </c>
      <c r="X497" s="5">
        <f>IFERROR(IF(OR($B497="MID",$B497="FWD"),INDEX(FIXTURE_ANALYSIS!$Q:$Q,MATCH($D497,FIXTURE_ANALYSIS!$A:$A,0)),INDEX(FIXTURE_ANALYSIS!$R:$R,MATCH($D497,FIXTURE_ANALYSIS!$A:$A,0))),1)</f>
        <v>0.92487600988862551</v>
      </c>
      <c r="Y497" s="5">
        <f t="shared" si="181"/>
        <v>0.92487600988862551</v>
      </c>
      <c r="Z497" s="8">
        <f>INDEX(FPL_Raw_Data!$T:$T,MATCH(A497,FPL_Raw_Data!$AA:$AA,0))</f>
        <v>3</v>
      </c>
      <c r="AA497" s="8">
        <f>INDEX(FPL_Raw_Data!$S:$S,MATCH(A497,FPL_Raw_Data!$AA:$AA,0))</f>
        <v>0</v>
      </c>
      <c r="AB497" s="2">
        <f t="shared" si="182"/>
        <v>0</v>
      </c>
      <c r="AC497" s="2">
        <f>INDEX(FPL_Raw_Data!$Q:$Q,MATCH(A497,FPL_Raw_Data!$AA:$AA,0))</f>
        <v>0</v>
      </c>
      <c r="AD497" s="8">
        <f>INDEX(FPL_Raw_Data!$R:$R,MATCH(A497,FPL_Raw_Data!$AA:$AA,0))</f>
        <v>31</v>
      </c>
      <c r="AE497" s="8">
        <f>INDEX(FPL_Raw_Data!$N:$N,MATCH(A497,FPL_Raw_Data!$AA:$AA,0))</f>
        <v>0</v>
      </c>
      <c r="AF497" s="8">
        <f>INDEX(FPL_Raw_Data!$L:$L,MATCH(A497,FPL_Raw_Data!$AA:$AA,0))</f>
        <v>0</v>
      </c>
      <c r="AG497" s="2">
        <f>INDEX(FPL_Raw_Data!$M:$M,MATCH(A497,FPL_Raw_Data!$AA:$AA,0))</f>
        <v>0</v>
      </c>
      <c r="AH497" s="2">
        <f t="shared" si="183"/>
        <v>0</v>
      </c>
      <c r="AI497" s="2">
        <f t="shared" si="184"/>
        <v>0</v>
      </c>
      <c r="AJ497" s="2">
        <f t="shared" si="185"/>
        <v>2</v>
      </c>
      <c r="AK497" s="2">
        <f t="shared" si="186"/>
        <v>0</v>
      </c>
      <c r="AL497" s="2">
        <f t="shared" si="187"/>
        <v>0</v>
      </c>
      <c r="AM497" s="2">
        <f t="shared" si="188"/>
        <v>0</v>
      </c>
      <c r="AN497" s="2">
        <f t="shared" si="189"/>
        <v>0</v>
      </c>
      <c r="AO497" s="3">
        <f t="shared" si="190"/>
        <v>44.4</v>
      </c>
      <c r="AP497">
        <f t="shared" si="191"/>
        <v>0</v>
      </c>
      <c r="AQ497">
        <f t="shared" si="192"/>
        <v>68.600000000000009</v>
      </c>
      <c r="AR497">
        <f t="shared" si="193"/>
        <v>0</v>
      </c>
      <c r="AS497" s="2">
        <f t="shared" si="194"/>
        <v>100</v>
      </c>
      <c r="AT497" s="2">
        <f>IFERROR(INDEX(Player_Model!$BC$2:$BC$596,MATCH($A497,Player_Model!$A$2:$A$596,0)),0)</f>
        <v>2.7746280296658767</v>
      </c>
      <c r="AU497" s="2">
        <f>Table8[[#This Row],[Model Expected Points]]*Table8[[#This Row],[Fixture Adjustment]]</f>
        <v>2.5661869010025149</v>
      </c>
      <c r="AV497" s="2">
        <f>Table8[[#This Row],[Fixture Adjusted Points / 90]]/Table8[[#This Row],[Price]]</f>
        <v>0.51323738020050302</v>
      </c>
      <c r="AW497">
        <f t="shared" si="195"/>
        <v>0</v>
      </c>
      <c r="AX497">
        <f t="shared" si="196"/>
        <v>50.46243800494431</v>
      </c>
      <c r="AY497" s="2">
        <f t="shared" si="197"/>
        <v>100</v>
      </c>
      <c r="AZ497" s="5">
        <f t="shared" si="198"/>
        <v>0.92487600988862551</v>
      </c>
      <c r="BA497">
        <f>Table8[[#This Row],[Model Score2]]</f>
        <v>2.7746280296658767</v>
      </c>
      <c r="BB497">
        <f>IFERROR(INDEX(Player_Model!$BG$2:$BG$596,MATCH($A497,Player_Model!$A$2:$A$596,0)),"")</f>
        <v>17</v>
      </c>
      <c r="BC497" t="str">
        <f t="shared" si="199"/>
        <v>AVOID</v>
      </c>
      <c r="BD497">
        <f>IF(H497=1,Table8[[#This Row],[Model Score]],-10000)</f>
        <v>2.7746280296658767</v>
      </c>
      <c r="BE497">
        <f>IFERROR(INDEX(Player_Model!$BF$2:$BF$596,MATCH($A497,Player_Model!$A$2:$A$596,0)),"")</f>
        <v>212</v>
      </c>
      <c r="BF497">
        <f>IFERROR(INDEX(Player_Model!$BG$2:$BG$596,MATCH($A497,Player_Model!$A$2:$A$596,0)),"")</f>
        <v>17</v>
      </c>
      <c r="BG497">
        <f>IFERROR(INDEX(Player_Model!$BE$2:$BE$596,MATCH($A497,Player_Model!$A$2:$A$596,0)),0)</f>
        <v>2.7746280296658767</v>
      </c>
    </row>
    <row r="498" spans="1:59" x14ac:dyDescent="0.25">
      <c r="A498" t="str">
        <f>tblPlayers[first_name]&amp;" "&amp;tblPlayers[second_name]</f>
        <v>Altay Bayındır</v>
      </c>
      <c r="B498" t="str">
        <f>_xlfn.SWITCH(tblPlayers[element_type],1,"GK",2,"DEF",3,"MID",4,"FWD")</f>
        <v>GK</v>
      </c>
      <c r="C498">
        <f>tblPlayers[team]</f>
        <v>16</v>
      </c>
      <c r="D498" t="str">
        <f>INDEX(tblTeams[Column1.short_name],MATCH(C498,tblTeams[Column1.id],0))</f>
        <v>MUN</v>
      </c>
      <c r="E498" s="4">
        <f>INDEX(FPL_Raw_Data!$F:$F,MATCH(A498,FPL_Raw_Data!$AA:$AA,0))/10</f>
        <v>4.5</v>
      </c>
      <c r="F498" s="4" t="str">
        <f>tblPlayers[[#This Row],[status]]</f>
        <v>u</v>
      </c>
      <c r="G498" s="4" t="b">
        <f>tblPlayers[[#This Row],[can_select]]</f>
        <v>0</v>
      </c>
      <c r="H498">
        <f>IF(AND(Table8[[#This Row],[Availability Status]]="a",Table8[[#This Row],[Can Select]]=TRUE),1,0)</f>
        <v>0</v>
      </c>
      <c r="I498">
        <f>tblPlayers[minutes]</f>
        <v>0</v>
      </c>
      <c r="J498" s="2">
        <f>Table8[[#This Row],[Minutes]]/90</f>
        <v>0</v>
      </c>
      <c r="K498" s="5">
        <f>IFERROR(Z498/(FIXTURE_ANALYSIS!$B$1-1),0)</f>
        <v>0</v>
      </c>
      <c r="L498">
        <f>tblPlayers[total_points]</f>
        <v>0</v>
      </c>
      <c r="M498">
        <f>tblPlayers[points_per_game]</f>
        <v>0</v>
      </c>
      <c r="N498">
        <f>tblPlayers[form]</f>
        <v>0</v>
      </c>
      <c r="O498">
        <f>tblPlayers[expected_goals]</f>
        <v>0</v>
      </c>
      <c r="P498">
        <f>tblPlayers[expected_assists]</f>
        <v>0</v>
      </c>
      <c r="Q498">
        <f>tblPlayers[expected_goal_involvements]</f>
        <v>0</v>
      </c>
      <c r="R498" s="2">
        <f t="shared" si="175"/>
        <v>0</v>
      </c>
      <c r="S498" s="5">
        <f t="shared" si="176"/>
        <v>0</v>
      </c>
      <c r="T498" s="5">
        <f t="shared" si="177"/>
        <v>0</v>
      </c>
      <c r="U498" s="5">
        <f t="shared" si="178"/>
        <v>0</v>
      </c>
      <c r="V498" s="3">
        <f t="shared" si="179"/>
        <v>0</v>
      </c>
      <c r="W498" s="5">
        <f t="shared" si="180"/>
        <v>0</v>
      </c>
      <c r="X498" s="5">
        <f>IFERROR(IF(OR($B498="MID",$B498="FWD"),INDEX(FIXTURE_ANALYSIS!$Q:$Q,MATCH($D498,FIXTURE_ANALYSIS!$A:$A,0)),INDEX(FIXTURE_ANALYSIS!$R:$R,MATCH($D498,FIXTURE_ANALYSIS!$A:$A,0))),1)</f>
        <v>0.92487600988862551</v>
      </c>
      <c r="Y498" s="5">
        <f t="shared" si="181"/>
        <v>0.92487600988862551</v>
      </c>
      <c r="Z498" s="8">
        <f>INDEX(FPL_Raw_Data!$T:$T,MATCH(A498,FPL_Raw_Data!$AA:$AA,0))</f>
        <v>0</v>
      </c>
      <c r="AA498" s="8">
        <f>INDEX(FPL_Raw_Data!$S:$S,MATCH(A498,FPL_Raw_Data!$AA:$AA,0))</f>
        <v>0</v>
      </c>
      <c r="AB498" s="2">
        <f t="shared" si="182"/>
        <v>0</v>
      </c>
      <c r="AC498" s="2">
        <f>INDEX(FPL_Raw_Data!$Q:$Q,MATCH(A498,FPL_Raw_Data!$AA:$AA,0))</f>
        <v>0</v>
      </c>
      <c r="AD498" s="8">
        <f>INDEX(FPL_Raw_Data!$R:$R,MATCH(A498,FPL_Raw_Data!$AA:$AA,0))</f>
        <v>0</v>
      </c>
      <c r="AE498" s="8">
        <f>INDEX(FPL_Raw_Data!$N:$N,MATCH(A498,FPL_Raw_Data!$AA:$AA,0))</f>
        <v>0</v>
      </c>
      <c r="AF498" s="8">
        <f>INDEX(FPL_Raw_Data!$L:$L,MATCH(A498,FPL_Raw_Data!$AA:$AA,0))</f>
        <v>0</v>
      </c>
      <c r="AG498" s="2">
        <f>INDEX(FPL_Raw_Data!$M:$M,MATCH(A498,FPL_Raw_Data!$AA:$AA,0))</f>
        <v>0</v>
      </c>
      <c r="AH498" s="2">
        <f t="shared" si="183"/>
        <v>0</v>
      </c>
      <c r="AI498" s="2">
        <f t="shared" si="184"/>
        <v>0</v>
      </c>
      <c r="AJ498" s="2">
        <f t="shared" si="185"/>
        <v>0</v>
      </c>
      <c r="AK498" s="2">
        <f t="shared" si="186"/>
        <v>0</v>
      </c>
      <c r="AL498" s="2">
        <f t="shared" si="187"/>
        <v>0</v>
      </c>
      <c r="AM498" s="2">
        <f t="shared" si="188"/>
        <v>0</v>
      </c>
      <c r="AN498" s="2">
        <f t="shared" si="189"/>
        <v>0</v>
      </c>
      <c r="AO498" s="3">
        <f t="shared" si="190"/>
        <v>0.1</v>
      </c>
      <c r="AP498">
        <f t="shared" si="191"/>
        <v>0</v>
      </c>
      <c r="AQ498">
        <f t="shared" si="192"/>
        <v>0.1</v>
      </c>
      <c r="AR498">
        <f t="shared" si="193"/>
        <v>0</v>
      </c>
      <c r="AS498" s="2">
        <f t="shared" si="194"/>
        <v>0</v>
      </c>
      <c r="AT498" s="2">
        <f>IFERROR(INDEX(Player_Model!$BC$2:$BC$596,MATCH($A498,Player_Model!$A$2:$A$596,0)),0)</f>
        <v>0</v>
      </c>
      <c r="AU498" s="2">
        <f>Table8[[#This Row],[Model Expected Points]]*Table8[[#This Row],[Fixture Adjustment]]</f>
        <v>0</v>
      </c>
      <c r="AV498" s="2">
        <f>Table8[[#This Row],[Fixture Adjusted Points / 90]]/Table8[[#This Row],[Price]]</f>
        <v>0</v>
      </c>
      <c r="AW498">
        <f t="shared" si="195"/>
        <v>0</v>
      </c>
      <c r="AX498">
        <f t="shared" si="196"/>
        <v>0.46243800494431275</v>
      </c>
      <c r="AY498" s="2">
        <f t="shared" si="197"/>
        <v>0</v>
      </c>
      <c r="AZ498" s="5">
        <f t="shared" si="198"/>
        <v>0.92487600988862551</v>
      </c>
      <c r="BA498">
        <f>Table8[[#This Row],[Model Score2]]</f>
        <v>0</v>
      </c>
      <c r="BB498">
        <f>IFERROR(INDEX(Player_Model!$BG$2:$BG$596,MATCH($A498,Player_Model!$A$2:$A$596,0)),"")</f>
        <v>59</v>
      </c>
      <c r="BC498" t="str">
        <f t="shared" si="199"/>
        <v>AVOID</v>
      </c>
      <c r="BD498">
        <f>IF(H498=1,Table8[[#This Row],[Model Score]],-10000)</f>
        <v>-10000</v>
      </c>
      <c r="BE498">
        <f>IFERROR(INDEX(Player_Model!$BF$2:$BF$596,MATCH($A498,Player_Model!$A$2:$A$596,0)),"")</f>
        <v>253</v>
      </c>
      <c r="BF498">
        <f>IFERROR(INDEX(Player_Model!$BG$2:$BG$596,MATCH($A498,Player_Model!$A$2:$A$596,0)),"")</f>
        <v>59</v>
      </c>
      <c r="BG498">
        <f>IFERROR(INDEX(Player_Model!$BE$2:$BE$596,MATCH($A498,Player_Model!$A$2:$A$596,0)),0)</f>
        <v>0</v>
      </c>
    </row>
    <row r="499" spans="1:59" x14ac:dyDescent="0.25">
      <c r="A499" t="str">
        <f>tblPlayers[first_name]&amp;" "&amp;tblPlayers[second_name]</f>
        <v>Tom Heaton</v>
      </c>
      <c r="B499" t="str">
        <f>_xlfn.SWITCH(tblPlayers[element_type],1,"GK",2,"DEF",3,"MID",4,"FWD")</f>
        <v>GK</v>
      </c>
      <c r="C499">
        <f>tblPlayers[team]</f>
        <v>16</v>
      </c>
      <c r="D499" t="str">
        <f>INDEX(tblTeams[Column1.short_name],MATCH(C499,tblTeams[Column1.id],0))</f>
        <v>MUN</v>
      </c>
      <c r="E499" s="4">
        <f>INDEX(FPL_Raw_Data!$F:$F,MATCH(A499,FPL_Raw_Data!$AA:$AA,0))/10</f>
        <v>4</v>
      </c>
      <c r="F499" s="4" t="str">
        <f>tblPlayers[[#This Row],[status]]</f>
        <v>i</v>
      </c>
      <c r="G499" s="4" t="b">
        <f>tblPlayers[[#This Row],[can_select]]</f>
        <v>1</v>
      </c>
      <c r="H499">
        <f>IF(AND(Table8[[#This Row],[Availability Status]]="a",Table8[[#This Row],[Can Select]]=TRUE),1,0)</f>
        <v>0</v>
      </c>
      <c r="I499">
        <f>tblPlayers[minutes]</f>
        <v>0</v>
      </c>
      <c r="J499" s="2">
        <f>Table8[[#This Row],[Minutes]]/90</f>
        <v>0</v>
      </c>
      <c r="K499" s="5">
        <f>IFERROR(Z499/(FIXTURE_ANALYSIS!$B$1-1),0)</f>
        <v>0</v>
      </c>
      <c r="L499">
        <f>tblPlayers[total_points]</f>
        <v>0</v>
      </c>
      <c r="M499">
        <f>tblPlayers[points_per_game]</f>
        <v>0</v>
      </c>
      <c r="N499">
        <f>tblPlayers[form]</f>
        <v>0</v>
      </c>
      <c r="O499">
        <f>tblPlayers[expected_goals]</f>
        <v>0</v>
      </c>
      <c r="P499">
        <f>tblPlayers[expected_assists]</f>
        <v>0</v>
      </c>
      <c r="Q499">
        <f>tblPlayers[expected_goal_involvements]</f>
        <v>0</v>
      </c>
      <c r="R499" s="2">
        <f t="shared" si="175"/>
        <v>0</v>
      </c>
      <c r="S499" s="5">
        <f t="shared" si="176"/>
        <v>0</v>
      </c>
      <c r="T499" s="5">
        <f t="shared" si="177"/>
        <v>0</v>
      </c>
      <c r="U499" s="5">
        <f t="shared" si="178"/>
        <v>0</v>
      </c>
      <c r="V499" s="3">
        <f t="shared" si="179"/>
        <v>0</v>
      </c>
      <c r="W499" s="5">
        <f t="shared" si="180"/>
        <v>0</v>
      </c>
      <c r="X499" s="5">
        <f>IFERROR(IF(OR($B499="MID",$B499="FWD"),INDEX(FIXTURE_ANALYSIS!$Q:$Q,MATCH($D499,FIXTURE_ANALYSIS!$A:$A,0)),INDEX(FIXTURE_ANALYSIS!$R:$R,MATCH($D499,FIXTURE_ANALYSIS!$A:$A,0))),1)</f>
        <v>0.92487600988862551</v>
      </c>
      <c r="Y499" s="5">
        <f t="shared" si="181"/>
        <v>0.92487600988862551</v>
      </c>
      <c r="Z499" s="8">
        <f>INDEX(FPL_Raw_Data!$T:$T,MATCH(A499,FPL_Raw_Data!$AA:$AA,0))</f>
        <v>0</v>
      </c>
      <c r="AA499" s="8">
        <f>INDEX(FPL_Raw_Data!$S:$S,MATCH(A499,FPL_Raw_Data!$AA:$AA,0))</f>
        <v>0</v>
      </c>
      <c r="AB499" s="2">
        <f t="shared" si="182"/>
        <v>0</v>
      </c>
      <c r="AC499" s="2">
        <f>INDEX(FPL_Raw_Data!$Q:$Q,MATCH(A499,FPL_Raw_Data!$AA:$AA,0))</f>
        <v>0</v>
      </c>
      <c r="AD499" s="8">
        <f>INDEX(FPL_Raw_Data!$R:$R,MATCH(A499,FPL_Raw_Data!$AA:$AA,0))</f>
        <v>0</v>
      </c>
      <c r="AE499" s="8">
        <f>INDEX(FPL_Raw_Data!$N:$N,MATCH(A499,FPL_Raw_Data!$AA:$AA,0))</f>
        <v>0</v>
      </c>
      <c r="AF499" s="8">
        <f>INDEX(FPL_Raw_Data!$L:$L,MATCH(A499,FPL_Raw_Data!$AA:$AA,0))</f>
        <v>0</v>
      </c>
      <c r="AG499" s="2">
        <f>INDEX(FPL_Raw_Data!$M:$M,MATCH(A499,FPL_Raw_Data!$AA:$AA,0))</f>
        <v>0</v>
      </c>
      <c r="AH499" s="2">
        <f t="shared" si="183"/>
        <v>0</v>
      </c>
      <c r="AI499" s="2">
        <f t="shared" si="184"/>
        <v>0</v>
      </c>
      <c r="AJ499" s="2">
        <f t="shared" si="185"/>
        <v>0</v>
      </c>
      <c r="AK499" s="2">
        <f t="shared" si="186"/>
        <v>0</v>
      </c>
      <c r="AL499" s="2">
        <f t="shared" si="187"/>
        <v>0</v>
      </c>
      <c r="AM499" s="2">
        <f t="shared" si="188"/>
        <v>0</v>
      </c>
      <c r="AN499" s="2">
        <f t="shared" si="189"/>
        <v>0</v>
      </c>
      <c r="AO499" s="3">
        <f t="shared" si="190"/>
        <v>0.1</v>
      </c>
      <c r="AP499">
        <f t="shared" si="191"/>
        <v>0</v>
      </c>
      <c r="AQ499">
        <f t="shared" si="192"/>
        <v>0.1</v>
      </c>
      <c r="AR499">
        <f t="shared" si="193"/>
        <v>0</v>
      </c>
      <c r="AS499" s="2">
        <f t="shared" si="194"/>
        <v>0</v>
      </c>
      <c r="AT499" s="2">
        <f>IFERROR(INDEX(Player_Model!$BC$2:$BC$596,MATCH($A499,Player_Model!$A$2:$A$596,0)),0)</f>
        <v>0</v>
      </c>
      <c r="AU499" s="2">
        <f>Table8[[#This Row],[Model Expected Points]]*Table8[[#This Row],[Fixture Adjustment]]</f>
        <v>0</v>
      </c>
      <c r="AV499" s="2">
        <f>Table8[[#This Row],[Fixture Adjusted Points / 90]]/Table8[[#This Row],[Price]]</f>
        <v>0</v>
      </c>
      <c r="AW499">
        <f t="shared" si="195"/>
        <v>0</v>
      </c>
      <c r="AX499">
        <f t="shared" si="196"/>
        <v>0.46243800494431275</v>
      </c>
      <c r="AY499" s="2">
        <f t="shared" si="197"/>
        <v>0</v>
      </c>
      <c r="AZ499" s="5">
        <f t="shared" si="198"/>
        <v>0.92487600988862551</v>
      </c>
      <c r="BA499">
        <f>Table8[[#This Row],[Model Score2]]</f>
        <v>0</v>
      </c>
      <c r="BB499">
        <f>IFERROR(INDEX(Player_Model!$BG$2:$BG$596,MATCH($A499,Player_Model!$A$2:$A$596,0)),"")</f>
        <v>60</v>
      </c>
      <c r="BC499" t="str">
        <f t="shared" si="199"/>
        <v>AVOID</v>
      </c>
      <c r="BD499">
        <f>IF(H499=1,Table8[[#This Row],[Model Score]],-10000)</f>
        <v>-10000</v>
      </c>
      <c r="BE499">
        <f>IFERROR(INDEX(Player_Model!$BF$2:$BF$596,MATCH($A499,Player_Model!$A$2:$A$596,0)),"")</f>
        <v>253</v>
      </c>
      <c r="BF499">
        <f>IFERROR(INDEX(Player_Model!$BG$2:$BG$596,MATCH($A499,Player_Model!$A$2:$A$596,0)),"")</f>
        <v>60</v>
      </c>
      <c r="BG499">
        <f>IFERROR(INDEX(Player_Model!$BE$2:$BE$596,MATCH($A499,Player_Model!$A$2:$A$596,0)),0)</f>
        <v>0</v>
      </c>
    </row>
    <row r="500" spans="1:59" x14ac:dyDescent="0.25">
      <c r="A500" t="str">
        <f>tblPlayers[first_name]&amp;" "&amp;tblPlayers[second_name]</f>
        <v>Patrick Dorgu</v>
      </c>
      <c r="B500" t="str">
        <f>_xlfn.SWITCH(tblPlayers[element_type],1,"GK",2,"DEF",3,"MID",4,"FWD")</f>
        <v>MID</v>
      </c>
      <c r="C500">
        <f>tblPlayers[team]</f>
        <v>16</v>
      </c>
      <c r="D500" t="str">
        <f>INDEX(tblTeams[Column1.short_name],MATCH(C500,tblTeams[Column1.id],0))</f>
        <v>MUN</v>
      </c>
      <c r="E500" s="4">
        <f>INDEX(FPL_Raw_Data!$F:$F,MATCH(A500,FPL_Raw_Data!$AA:$AA,0))/10</f>
        <v>5.9</v>
      </c>
      <c r="F500" s="4" t="str">
        <f>tblPlayers[[#This Row],[status]]</f>
        <v>a</v>
      </c>
      <c r="G500" s="4" t="b">
        <f>tblPlayers[[#This Row],[can_select]]</f>
        <v>1</v>
      </c>
      <c r="H500">
        <f>IF(AND(Table8[[#This Row],[Availability Status]]="a",Table8[[#This Row],[Can Select]]=TRUE),1,0)</f>
        <v>1</v>
      </c>
      <c r="I500">
        <f>tblPlayers[minutes]</f>
        <v>75</v>
      </c>
      <c r="J500" s="2">
        <f>Table8[[#This Row],[Minutes]]/90</f>
        <v>0.83333333333333337</v>
      </c>
      <c r="K500" s="5">
        <f>IFERROR(Z500/(FIXTURE_ANALYSIS!$B$1-1),0)</f>
        <v>0.33333333333333331</v>
      </c>
      <c r="L500">
        <f>tblPlayers[total_points]</f>
        <v>2</v>
      </c>
      <c r="M500">
        <f>tblPlayers[points_per_game]</f>
        <v>0.7</v>
      </c>
      <c r="N500">
        <f>tblPlayers[form]</f>
        <v>0.7</v>
      </c>
      <c r="O500">
        <f>tblPlayers[expected_goals]</f>
        <v>0.65</v>
      </c>
      <c r="P500">
        <f>tblPlayers[expected_assists]</f>
        <v>0.05</v>
      </c>
      <c r="Q500">
        <f>tblPlayers[expected_goal_involvements]</f>
        <v>0.7</v>
      </c>
      <c r="R500" s="2">
        <f t="shared" si="175"/>
        <v>2.4000000000000004</v>
      </c>
      <c r="S500" s="5">
        <f t="shared" si="176"/>
        <v>0.77999999999999992</v>
      </c>
      <c r="T500" s="5">
        <f t="shared" si="177"/>
        <v>6.0000000000000005E-2</v>
      </c>
      <c r="U500" s="5">
        <f t="shared" si="178"/>
        <v>0.83999999999999986</v>
      </c>
      <c r="V500" s="3">
        <f t="shared" si="179"/>
        <v>0.33898305084745761</v>
      </c>
      <c r="W500" s="5">
        <f t="shared" si="180"/>
        <v>0.11864406779661016</v>
      </c>
      <c r="X500" s="5">
        <f>IFERROR(IF(OR($B500="MID",$B500="FWD"),INDEX(FIXTURE_ANALYSIS!$Q:$Q,MATCH($D500,FIXTURE_ANALYSIS!$A:$A,0)),INDEX(FIXTURE_ANALYSIS!$R:$R,MATCH($D500,FIXTURE_ANALYSIS!$A:$A,0))),1)</f>
        <v>1.0979325259515571</v>
      </c>
      <c r="Y500" s="5">
        <f t="shared" si="181"/>
        <v>1.0979325259515571</v>
      </c>
      <c r="Z500" s="8">
        <f>INDEX(FPL_Raw_Data!$T:$T,MATCH(A500,FPL_Raw_Data!$AA:$AA,0))</f>
        <v>1</v>
      </c>
      <c r="AA500" s="8">
        <f>INDEX(FPL_Raw_Data!$S:$S,MATCH(A500,FPL_Raw_Data!$AA:$AA,0))</f>
        <v>6</v>
      </c>
      <c r="AB500" s="2">
        <f t="shared" si="182"/>
        <v>0.5</v>
      </c>
      <c r="AC500" s="2">
        <f>INDEX(FPL_Raw_Data!$Q:$Q,MATCH(A500,FPL_Raw_Data!$AA:$AA,0))</f>
        <v>0</v>
      </c>
      <c r="AD500" s="8">
        <f>INDEX(FPL_Raw_Data!$R:$R,MATCH(A500,FPL_Raw_Data!$AA:$AA,0))</f>
        <v>-4</v>
      </c>
      <c r="AE500" s="8">
        <f>INDEX(FPL_Raw_Data!$N:$N,MATCH(A500,FPL_Raw_Data!$AA:$AA,0))</f>
        <v>0</v>
      </c>
      <c r="AF500" s="8">
        <f>INDEX(FPL_Raw_Data!$L:$L,MATCH(A500,FPL_Raw_Data!$AA:$AA,0))</f>
        <v>0</v>
      </c>
      <c r="AG500" s="2">
        <f>INDEX(FPL_Raw_Data!$M:$M,MATCH(A500,FPL_Raw_Data!$AA:$AA,0))</f>
        <v>0</v>
      </c>
      <c r="AH500" s="2">
        <f t="shared" si="183"/>
        <v>3.8999999999999995</v>
      </c>
      <c r="AI500" s="2">
        <f t="shared" si="184"/>
        <v>0.18000000000000002</v>
      </c>
      <c r="AJ500" s="2">
        <f t="shared" si="185"/>
        <v>0.66666666666666663</v>
      </c>
      <c r="AK500" s="2">
        <f t="shared" si="186"/>
        <v>1</v>
      </c>
      <c r="AL500" s="2">
        <f t="shared" si="187"/>
        <v>0</v>
      </c>
      <c r="AM500" s="2">
        <f t="shared" si="188"/>
        <v>0</v>
      </c>
      <c r="AN500" s="2">
        <f t="shared" si="189"/>
        <v>0</v>
      </c>
      <c r="AO500" s="3">
        <f t="shared" si="190"/>
        <v>51.5</v>
      </c>
      <c r="AP500">
        <f t="shared" si="191"/>
        <v>96.399999999999991</v>
      </c>
      <c r="AQ500">
        <f t="shared" si="192"/>
        <v>50.8</v>
      </c>
      <c r="AR500">
        <f t="shared" si="193"/>
        <v>87.2</v>
      </c>
      <c r="AS500" s="2">
        <f t="shared" si="194"/>
        <v>33.333333333333329</v>
      </c>
      <c r="AT500" s="2">
        <f>IFERROR(INDEX(Player_Model!$BC$2:$BC$596,MATCH($A500,Player_Model!$A$2:$A$596,0)),0)</f>
        <v>5.3924018603201853</v>
      </c>
      <c r="AU500" s="2">
        <f>Table8[[#This Row],[Model Expected Points]]*Table8[[#This Row],[Fixture Adjustment]]</f>
        <v>5.9204933954472168</v>
      </c>
      <c r="AV500" s="2">
        <f>Table8[[#This Row],[Fixture Adjusted Points / 90]]/Table8[[#This Row],[Price]]</f>
        <v>1.0034734568554604</v>
      </c>
      <c r="AW500">
        <f t="shared" si="195"/>
        <v>73.949999999999989</v>
      </c>
      <c r="AX500">
        <f t="shared" si="196"/>
        <v>0.5</v>
      </c>
      <c r="AY500" s="2">
        <f t="shared" si="197"/>
        <v>33.333333333333329</v>
      </c>
      <c r="AZ500" s="5">
        <f t="shared" si="198"/>
        <v>1.0979325259515571</v>
      </c>
      <c r="BA500">
        <f>Table8[[#This Row],[Model Score2]]</f>
        <v>5.3924018603201853</v>
      </c>
      <c r="BB500">
        <f>IFERROR(INDEX(Player_Model!$BG$2:$BG$596,MATCH($A500,Player_Model!$A$2:$A$596,0)),"")</f>
        <v>31</v>
      </c>
      <c r="BC500" t="str">
        <f t="shared" si="199"/>
        <v>AVOID</v>
      </c>
      <c r="BD500">
        <f>IF(H500=1,Table8[[#This Row],[Model Score]],-10000)</f>
        <v>5.3924018603201853</v>
      </c>
      <c r="BE500">
        <f>IFERROR(INDEX(Player_Model!$BF$2:$BF$596,MATCH($A500,Player_Model!$A$2:$A$596,0)),"")</f>
        <v>70</v>
      </c>
      <c r="BF500">
        <f>IFERROR(INDEX(Player_Model!$BG$2:$BG$596,MATCH($A500,Player_Model!$A$2:$A$596,0)),"")</f>
        <v>31</v>
      </c>
      <c r="BG500">
        <f>IFERROR(INDEX(Player_Model!$BE$2:$BE$596,MATCH($A500,Player_Model!$A$2:$A$596,0)),0)</f>
        <v>5.3924018603201853</v>
      </c>
    </row>
    <row r="501" spans="1:59" x14ac:dyDescent="0.25">
      <c r="A501" t="str">
        <f>tblPlayers[first_name]&amp;" "&amp;tblPlayers[second_name]</f>
        <v>Matthijs de Ligt</v>
      </c>
      <c r="B501" t="str">
        <f>_xlfn.SWITCH(tblPlayers[element_type],1,"GK",2,"DEF",3,"MID",4,"FWD")</f>
        <v>DEF</v>
      </c>
      <c r="C501">
        <f>tblPlayers[team]</f>
        <v>16</v>
      </c>
      <c r="D501" t="str">
        <f>INDEX(tblTeams[Column1.short_name],MATCH(C501,tblTeams[Column1.id],0))</f>
        <v>MUN</v>
      </c>
      <c r="E501" s="4">
        <f>INDEX(FPL_Raw_Data!$F:$F,MATCH(A501,FPL_Raw_Data!$AA:$AA,0))/10</f>
        <v>5</v>
      </c>
      <c r="F501" s="4" t="str">
        <f>tblPlayers[[#This Row],[status]]</f>
        <v>i</v>
      </c>
      <c r="G501" s="4" t="b">
        <f>tblPlayers[[#This Row],[can_select]]</f>
        <v>1</v>
      </c>
      <c r="H501">
        <f>IF(AND(Table8[[#This Row],[Availability Status]]="a",Table8[[#This Row],[Can Select]]=TRUE),1,0)</f>
        <v>0</v>
      </c>
      <c r="I501">
        <f>tblPlayers[minutes]</f>
        <v>0</v>
      </c>
      <c r="J501" s="2">
        <f>Table8[[#This Row],[Minutes]]/90</f>
        <v>0</v>
      </c>
      <c r="K501" s="5">
        <f>IFERROR(Z501/(FIXTURE_ANALYSIS!$B$1-1),0)</f>
        <v>0</v>
      </c>
      <c r="L501">
        <f>tblPlayers[total_points]</f>
        <v>0</v>
      </c>
      <c r="M501">
        <f>tblPlayers[points_per_game]</f>
        <v>0</v>
      </c>
      <c r="N501">
        <f>tblPlayers[form]</f>
        <v>0</v>
      </c>
      <c r="O501">
        <f>tblPlayers[expected_goals]</f>
        <v>0</v>
      </c>
      <c r="P501">
        <f>tblPlayers[expected_assists]</f>
        <v>0</v>
      </c>
      <c r="Q501">
        <f>tblPlayers[expected_goal_involvements]</f>
        <v>0</v>
      </c>
      <c r="R501" s="2">
        <f t="shared" si="175"/>
        <v>0</v>
      </c>
      <c r="S501" s="5">
        <f t="shared" si="176"/>
        <v>0</v>
      </c>
      <c r="T501" s="5">
        <f t="shared" si="177"/>
        <v>0</v>
      </c>
      <c r="U501" s="5">
        <f t="shared" si="178"/>
        <v>0</v>
      </c>
      <c r="V501" s="3">
        <f t="shared" si="179"/>
        <v>0</v>
      </c>
      <c r="W501" s="5">
        <f t="shared" si="180"/>
        <v>0</v>
      </c>
      <c r="X501" s="5">
        <f>IFERROR(IF(OR($B501="MID",$B501="FWD"),INDEX(FIXTURE_ANALYSIS!$Q:$Q,MATCH($D501,FIXTURE_ANALYSIS!$A:$A,0)),INDEX(FIXTURE_ANALYSIS!$R:$R,MATCH($D501,FIXTURE_ANALYSIS!$A:$A,0))),1)</f>
        <v>0.92487600988862551</v>
      </c>
      <c r="Y501" s="5">
        <f t="shared" si="181"/>
        <v>0.92487600988862551</v>
      </c>
      <c r="Z501" s="8">
        <f>INDEX(FPL_Raw_Data!$T:$T,MATCH(A501,FPL_Raw_Data!$AA:$AA,0))</f>
        <v>0</v>
      </c>
      <c r="AA501" s="8">
        <f>INDEX(FPL_Raw_Data!$S:$S,MATCH(A501,FPL_Raw_Data!$AA:$AA,0))</f>
        <v>0</v>
      </c>
      <c r="AB501" s="2">
        <f t="shared" si="182"/>
        <v>0</v>
      </c>
      <c r="AC501" s="2">
        <f>INDEX(FPL_Raw_Data!$Q:$Q,MATCH(A501,FPL_Raw_Data!$AA:$AA,0))</f>
        <v>0</v>
      </c>
      <c r="AD501" s="8">
        <f>INDEX(FPL_Raw_Data!$R:$R,MATCH(A501,FPL_Raw_Data!$AA:$AA,0))</f>
        <v>0</v>
      </c>
      <c r="AE501" s="8">
        <f>INDEX(FPL_Raw_Data!$N:$N,MATCH(A501,FPL_Raw_Data!$AA:$AA,0))</f>
        <v>0</v>
      </c>
      <c r="AF501" s="8">
        <f>INDEX(FPL_Raw_Data!$L:$L,MATCH(A501,FPL_Raw_Data!$AA:$AA,0))</f>
        <v>0</v>
      </c>
      <c r="AG501" s="2">
        <f>INDEX(FPL_Raw_Data!$M:$M,MATCH(A501,FPL_Raw_Data!$AA:$AA,0))</f>
        <v>0</v>
      </c>
      <c r="AH501" s="2">
        <f t="shared" si="183"/>
        <v>0</v>
      </c>
      <c r="AI501" s="2">
        <f t="shared" si="184"/>
        <v>0</v>
      </c>
      <c r="AJ501" s="2">
        <f t="shared" si="185"/>
        <v>0</v>
      </c>
      <c r="AK501" s="2">
        <f t="shared" si="186"/>
        <v>0</v>
      </c>
      <c r="AL501" s="2">
        <f t="shared" si="187"/>
        <v>0</v>
      </c>
      <c r="AM501" s="2">
        <f t="shared" si="188"/>
        <v>0</v>
      </c>
      <c r="AN501" s="2">
        <f t="shared" si="189"/>
        <v>0</v>
      </c>
      <c r="AO501" s="3">
        <f t="shared" si="190"/>
        <v>0.1</v>
      </c>
      <c r="AP501">
        <f t="shared" si="191"/>
        <v>0</v>
      </c>
      <c r="AQ501">
        <f t="shared" si="192"/>
        <v>0.1</v>
      </c>
      <c r="AR501">
        <f t="shared" si="193"/>
        <v>0</v>
      </c>
      <c r="AS501" s="2">
        <f t="shared" si="194"/>
        <v>0</v>
      </c>
      <c r="AT501" s="2">
        <f>IFERROR(INDEX(Player_Model!$BC$2:$BC$596,MATCH($A501,Player_Model!$A$2:$A$596,0)),0)</f>
        <v>-0.92487600988862551</v>
      </c>
      <c r="AU501" s="2">
        <f>Table8[[#This Row],[Model Expected Points]]*Table8[[#This Row],[Fixture Adjustment]]</f>
        <v>-0.85539563366750493</v>
      </c>
      <c r="AV501" s="2">
        <f>Table8[[#This Row],[Fixture Adjusted Points / 90]]/Table8[[#This Row],[Price]]</f>
        <v>-0.17107912673350098</v>
      </c>
      <c r="AW501">
        <f t="shared" si="195"/>
        <v>0</v>
      </c>
      <c r="AX501">
        <f t="shared" si="196"/>
        <v>0.46243800494431275</v>
      </c>
      <c r="AY501" s="2">
        <f t="shared" si="197"/>
        <v>0</v>
      </c>
      <c r="AZ501" s="5">
        <f t="shared" si="198"/>
        <v>0.92487600988862551</v>
      </c>
      <c r="BA501">
        <f>Table8[[#This Row],[Model Score2]]</f>
        <v>-0.92487600988862551</v>
      </c>
      <c r="BB501">
        <f>IFERROR(INDEX(Player_Model!$BG$2:$BG$596,MATCH($A501,Player_Model!$A$2:$A$596,0)),"")</f>
        <v>170</v>
      </c>
      <c r="BC501" t="str">
        <f t="shared" si="199"/>
        <v>AVOID</v>
      </c>
      <c r="BD501">
        <f>IF(H501=1,Table8[[#This Row],[Model Score]],-10000)</f>
        <v>-10000</v>
      </c>
      <c r="BE501">
        <f>IFERROR(INDEX(Player_Model!$BF$2:$BF$596,MATCH($A501,Player_Model!$A$2:$A$596,0)),"")</f>
        <v>573</v>
      </c>
      <c r="BF501">
        <f>IFERROR(INDEX(Player_Model!$BG$2:$BG$596,MATCH($A501,Player_Model!$A$2:$A$596,0)),"")</f>
        <v>170</v>
      </c>
      <c r="BG501">
        <f>IFERROR(INDEX(Player_Model!$BE$2:$BE$596,MATCH($A501,Player_Model!$A$2:$A$596,0)),0)</f>
        <v>-0.92487600988862551</v>
      </c>
    </row>
    <row r="502" spans="1:59" x14ac:dyDescent="0.25">
      <c r="A502" t="str">
        <f>tblPlayers[first_name]&amp;" "&amp;tblPlayers[second_name]</f>
        <v>Diogo Dalot Teixeira</v>
      </c>
      <c r="B502" t="str">
        <f>_xlfn.SWITCH(tblPlayers[element_type],1,"GK",2,"DEF",3,"MID",4,"FWD")</f>
        <v>DEF</v>
      </c>
      <c r="C502">
        <f>tblPlayers[team]</f>
        <v>16</v>
      </c>
      <c r="D502" t="str">
        <f>INDEX(tblTeams[Column1.short_name],MATCH(C502,tblTeams[Column1.id],0))</f>
        <v>MUN</v>
      </c>
      <c r="E502" s="4">
        <f>INDEX(FPL_Raw_Data!$F:$F,MATCH(A502,FPL_Raw_Data!$AA:$AA,0))/10</f>
        <v>4.9000000000000004</v>
      </c>
      <c r="F502" s="4" t="str">
        <f>tblPlayers[[#This Row],[status]]</f>
        <v>a</v>
      </c>
      <c r="G502" s="4" t="b">
        <f>tblPlayers[[#This Row],[can_select]]</f>
        <v>1</v>
      </c>
      <c r="H502">
        <f>IF(AND(Table8[[#This Row],[Availability Status]]="a",Table8[[#This Row],[Can Select]]=TRUE),1,0)</f>
        <v>1</v>
      </c>
      <c r="I502">
        <f>tblPlayers[minutes]</f>
        <v>166</v>
      </c>
      <c r="J502" s="2">
        <f>Table8[[#This Row],[Minutes]]/90</f>
        <v>1.8444444444444446</v>
      </c>
      <c r="K502" s="5">
        <f>IFERROR(Z502/(FIXTURE_ANALYSIS!$B$1-1),0)</f>
        <v>0.66666666666666663</v>
      </c>
      <c r="L502">
        <f>tblPlayers[total_points]</f>
        <v>4</v>
      </c>
      <c r="M502">
        <f>tblPlayers[points_per_game]</f>
        <v>1.3</v>
      </c>
      <c r="N502">
        <f>tblPlayers[form]</f>
        <v>1.3</v>
      </c>
      <c r="O502">
        <f>tblPlayers[expected_goals]</f>
        <v>0.16</v>
      </c>
      <c r="P502">
        <f>tblPlayers[expected_assists]</f>
        <v>0.13</v>
      </c>
      <c r="Q502">
        <f>tblPlayers[expected_goal_involvements]</f>
        <v>0.28999999999999998</v>
      </c>
      <c r="R502" s="2">
        <f t="shared" si="175"/>
        <v>2.168674698795181</v>
      </c>
      <c r="S502" s="5">
        <f t="shared" si="176"/>
        <v>8.6746987951807228E-2</v>
      </c>
      <c r="T502" s="5">
        <f t="shared" si="177"/>
        <v>7.0481927710843384E-2</v>
      </c>
      <c r="U502" s="5">
        <f t="shared" si="178"/>
        <v>0.15722891566265057</v>
      </c>
      <c r="V502" s="3">
        <f t="shared" si="179"/>
        <v>0.81632653061224481</v>
      </c>
      <c r="W502" s="5">
        <f t="shared" si="180"/>
        <v>5.918367346938775E-2</v>
      </c>
      <c r="X502" s="5">
        <f>IFERROR(IF(OR($B502="MID",$B502="FWD"),INDEX(FIXTURE_ANALYSIS!$Q:$Q,MATCH($D502,FIXTURE_ANALYSIS!$A:$A,0)),INDEX(FIXTURE_ANALYSIS!$R:$R,MATCH($D502,FIXTURE_ANALYSIS!$A:$A,0))),1)</f>
        <v>0.92487600988862551</v>
      </c>
      <c r="Y502" s="5">
        <f t="shared" si="181"/>
        <v>0.92487600988862551</v>
      </c>
      <c r="Z502" s="8">
        <f>INDEX(FPL_Raw_Data!$T:$T,MATCH(A502,FPL_Raw_Data!$AA:$AA,0))</f>
        <v>2</v>
      </c>
      <c r="AA502" s="8">
        <f>INDEX(FPL_Raw_Data!$S:$S,MATCH(A502,FPL_Raw_Data!$AA:$AA,0))</f>
        <v>11</v>
      </c>
      <c r="AB502" s="2">
        <f t="shared" si="182"/>
        <v>1</v>
      </c>
      <c r="AC502" s="2">
        <f>INDEX(FPL_Raw_Data!$Q:$Q,MATCH(A502,FPL_Raw_Data!$AA:$AA,0))</f>
        <v>0</v>
      </c>
      <c r="AD502" s="8">
        <f>INDEX(FPL_Raw_Data!$R:$R,MATCH(A502,FPL_Raw_Data!$AA:$AA,0))</f>
        <v>26</v>
      </c>
      <c r="AE502" s="8">
        <f>INDEX(FPL_Raw_Data!$N:$N,MATCH(A502,FPL_Raw_Data!$AA:$AA,0))</f>
        <v>0</v>
      </c>
      <c r="AF502" s="8">
        <f>INDEX(FPL_Raw_Data!$L:$L,MATCH(A502,FPL_Raw_Data!$AA:$AA,0))</f>
        <v>0</v>
      </c>
      <c r="AG502" s="2">
        <f>INDEX(FPL_Raw_Data!$M:$M,MATCH(A502,FPL_Raw_Data!$AA:$AA,0))</f>
        <v>0</v>
      </c>
      <c r="AH502" s="2">
        <f t="shared" si="183"/>
        <v>0.52048192771084334</v>
      </c>
      <c r="AI502" s="2">
        <f t="shared" si="184"/>
        <v>0.21144578313253015</v>
      </c>
      <c r="AJ502" s="2">
        <f t="shared" si="185"/>
        <v>1.3333333333333333</v>
      </c>
      <c r="AK502" s="2">
        <f t="shared" si="186"/>
        <v>2</v>
      </c>
      <c r="AL502" s="2">
        <f t="shared" si="187"/>
        <v>0</v>
      </c>
      <c r="AM502" s="2">
        <f t="shared" si="188"/>
        <v>0</v>
      </c>
      <c r="AN502" s="2">
        <f t="shared" si="189"/>
        <v>0</v>
      </c>
      <c r="AO502" s="3">
        <f t="shared" si="190"/>
        <v>49.3</v>
      </c>
      <c r="AP502">
        <f t="shared" si="191"/>
        <v>73.2</v>
      </c>
      <c r="AQ502">
        <f t="shared" si="192"/>
        <v>65.900000000000006</v>
      </c>
      <c r="AR502">
        <f t="shared" si="193"/>
        <v>77.600000000000009</v>
      </c>
      <c r="AS502" s="2">
        <f t="shared" si="194"/>
        <v>66.666666666666657</v>
      </c>
      <c r="AT502" s="2">
        <f>IFERROR(INDEX(Player_Model!$BC$2:$BC$596,MATCH($A502,Player_Model!$A$2:$A$596,0)),0)</f>
        <v>2.6548773893785822</v>
      </c>
      <c r="AU502" s="2">
        <f>Table8[[#This Row],[Model Expected Points]]*Table8[[#This Row],[Fixture Adjustment]]</f>
        <v>2.4554324066319939</v>
      </c>
      <c r="AV502" s="2">
        <f>Table8[[#This Row],[Fixture Adjusted Points / 90]]/Table8[[#This Row],[Price]]</f>
        <v>0.50110865441469254</v>
      </c>
      <c r="AW502">
        <f t="shared" si="195"/>
        <v>73.2</v>
      </c>
      <c r="AX502">
        <f t="shared" si="196"/>
        <v>0.96243800494431275</v>
      </c>
      <c r="AY502" s="2">
        <f t="shared" si="197"/>
        <v>66.666666666666657</v>
      </c>
      <c r="AZ502" s="5">
        <f t="shared" si="198"/>
        <v>0.92487600988862551</v>
      </c>
      <c r="BA502">
        <f>Table8[[#This Row],[Model Score2]]</f>
        <v>2.6548773893785822</v>
      </c>
      <c r="BB502">
        <f>IFERROR(INDEX(Player_Model!$BG$2:$BG$596,MATCH($A502,Player_Model!$A$2:$A$596,0)),"")</f>
        <v>70</v>
      </c>
      <c r="BC502" t="str">
        <f t="shared" si="199"/>
        <v>AVOID</v>
      </c>
      <c r="BD502">
        <f>IF(H502=1,Table8[[#This Row],[Model Score]],-10000)</f>
        <v>2.6548773893785822</v>
      </c>
      <c r="BE502">
        <f>IFERROR(INDEX(Player_Model!$BF$2:$BF$596,MATCH($A502,Player_Model!$A$2:$A$596,0)),"")</f>
        <v>219</v>
      </c>
      <c r="BF502">
        <f>IFERROR(INDEX(Player_Model!$BG$2:$BG$596,MATCH($A502,Player_Model!$A$2:$A$596,0)),"")</f>
        <v>70</v>
      </c>
      <c r="BG502">
        <f>IFERROR(INDEX(Player_Model!$BE$2:$BE$596,MATCH($A502,Player_Model!$A$2:$A$596,0)),0)</f>
        <v>2.6548773893785822</v>
      </c>
    </row>
    <row r="503" spans="1:59" x14ac:dyDescent="0.25">
      <c r="A503" t="str">
        <f>tblPlayers[first_name]&amp;" "&amp;tblPlayers[second_name]</f>
        <v>Harry Maguire</v>
      </c>
      <c r="B503" t="str">
        <f>_xlfn.SWITCH(tblPlayers[element_type],1,"GK",2,"DEF",3,"MID",4,"FWD")</f>
        <v>DEF</v>
      </c>
      <c r="C503">
        <f>tblPlayers[team]</f>
        <v>16</v>
      </c>
      <c r="D503" t="str">
        <f>INDEX(tblTeams[Column1.short_name],MATCH(C503,tblTeams[Column1.id],0))</f>
        <v>MUN</v>
      </c>
      <c r="E503" s="4">
        <f>INDEX(FPL_Raw_Data!$F:$F,MATCH(A503,FPL_Raw_Data!$AA:$AA,0))/10</f>
        <v>5</v>
      </c>
      <c r="F503" s="4" t="str">
        <f>tblPlayers[[#This Row],[status]]</f>
        <v>a</v>
      </c>
      <c r="G503" s="4" t="b">
        <f>tblPlayers[[#This Row],[can_select]]</f>
        <v>1</v>
      </c>
      <c r="H503">
        <f>IF(AND(Table8[[#This Row],[Availability Status]]="a",Table8[[#This Row],[Can Select]]=TRUE),1,0)</f>
        <v>1</v>
      </c>
      <c r="I503">
        <f>tblPlayers[minutes]</f>
        <v>270</v>
      </c>
      <c r="J503" s="2">
        <f>Table8[[#This Row],[Minutes]]/90</f>
        <v>3</v>
      </c>
      <c r="K503" s="5">
        <f>IFERROR(Z503/(FIXTURE_ANALYSIS!$B$1-1),0)</f>
        <v>1</v>
      </c>
      <c r="L503">
        <f>tblPlayers[total_points]</f>
        <v>7</v>
      </c>
      <c r="M503">
        <f>tblPlayers[points_per_game]</f>
        <v>2.2999999999999998</v>
      </c>
      <c r="N503">
        <f>tblPlayers[form]</f>
        <v>2.2999999999999998</v>
      </c>
      <c r="O503">
        <f>tblPlayers[expected_goals]</f>
        <v>7.0000000000000007E-2</v>
      </c>
      <c r="P503">
        <f>tblPlayers[expected_assists]</f>
        <v>0.42</v>
      </c>
      <c r="Q503">
        <f>tblPlayers[expected_goal_involvements]</f>
        <v>0.49</v>
      </c>
      <c r="R503" s="2">
        <f t="shared" si="175"/>
        <v>2.3333333333333335</v>
      </c>
      <c r="S503" s="5">
        <f t="shared" si="176"/>
        <v>2.3333333333333334E-2</v>
      </c>
      <c r="T503" s="5">
        <f t="shared" si="177"/>
        <v>0.13999999999999999</v>
      </c>
      <c r="U503" s="5">
        <f t="shared" si="178"/>
        <v>0.16333333333333333</v>
      </c>
      <c r="V503" s="3">
        <f t="shared" si="179"/>
        <v>1.4</v>
      </c>
      <c r="W503" s="5">
        <f t="shared" si="180"/>
        <v>9.8000000000000004E-2</v>
      </c>
      <c r="X503" s="5">
        <f>IFERROR(IF(OR($B503="MID",$B503="FWD"),INDEX(FIXTURE_ANALYSIS!$Q:$Q,MATCH($D503,FIXTURE_ANALYSIS!$A:$A,0)),INDEX(FIXTURE_ANALYSIS!$R:$R,MATCH($D503,FIXTURE_ANALYSIS!$A:$A,0))),1)</f>
        <v>0.92487600988862551</v>
      </c>
      <c r="Y503" s="5">
        <f t="shared" si="181"/>
        <v>0.92487600988862551</v>
      </c>
      <c r="Z503" s="8">
        <f>INDEX(FPL_Raw_Data!$T:$T,MATCH(A503,FPL_Raw_Data!$AA:$AA,0))</f>
        <v>3</v>
      </c>
      <c r="AA503" s="8">
        <f>INDEX(FPL_Raw_Data!$S:$S,MATCH(A503,FPL_Raw_Data!$AA:$AA,0))</f>
        <v>21</v>
      </c>
      <c r="AB503" s="2">
        <f t="shared" si="182"/>
        <v>1</v>
      </c>
      <c r="AC503" s="2">
        <f>INDEX(FPL_Raw_Data!$Q:$Q,MATCH(A503,FPL_Raw_Data!$AA:$AA,0))</f>
        <v>0</v>
      </c>
      <c r="AD503" s="8">
        <f>INDEX(FPL_Raw_Data!$R:$R,MATCH(A503,FPL_Raw_Data!$AA:$AA,0))</f>
        <v>29</v>
      </c>
      <c r="AE503" s="8">
        <f>INDEX(FPL_Raw_Data!$N:$N,MATCH(A503,FPL_Raw_Data!$AA:$AA,0))</f>
        <v>0</v>
      </c>
      <c r="AF503" s="8">
        <f>INDEX(FPL_Raw_Data!$L:$L,MATCH(A503,FPL_Raw_Data!$AA:$AA,0))</f>
        <v>0</v>
      </c>
      <c r="AG503" s="2">
        <f>INDEX(FPL_Raw_Data!$M:$M,MATCH(A503,FPL_Raw_Data!$AA:$AA,0))</f>
        <v>1</v>
      </c>
      <c r="AH503" s="2">
        <f t="shared" si="183"/>
        <v>0.14000000000000001</v>
      </c>
      <c r="AI503" s="2">
        <f t="shared" si="184"/>
        <v>0.41999999999999993</v>
      </c>
      <c r="AJ503" s="2">
        <f t="shared" si="185"/>
        <v>2</v>
      </c>
      <c r="AK503" s="2">
        <f t="shared" si="186"/>
        <v>2</v>
      </c>
      <c r="AL503" s="2">
        <f t="shared" si="187"/>
        <v>0</v>
      </c>
      <c r="AM503" s="2">
        <f t="shared" si="188"/>
        <v>0</v>
      </c>
      <c r="AN503" s="2">
        <f t="shared" si="189"/>
        <v>0</v>
      </c>
      <c r="AO503" s="3">
        <f t="shared" si="190"/>
        <v>50</v>
      </c>
      <c r="AP503">
        <f t="shared" si="191"/>
        <v>73.5</v>
      </c>
      <c r="AQ503">
        <f t="shared" si="192"/>
        <v>76</v>
      </c>
      <c r="AR503">
        <f t="shared" si="193"/>
        <v>83.8</v>
      </c>
      <c r="AS503" s="2">
        <f t="shared" si="194"/>
        <v>100</v>
      </c>
      <c r="AT503" s="2">
        <f>IFERROR(INDEX(Player_Model!$BC$2:$BC$596,MATCH($A503,Player_Model!$A$2:$A$596,0)),0)</f>
        <v>2.7379098640252248</v>
      </c>
      <c r="AU503" s="2">
        <f>Table8[[#This Row],[Model Expected Points]]*Table8[[#This Row],[Fixture Adjustment]]</f>
        <v>2.532227150474359</v>
      </c>
      <c r="AV503" s="2">
        <f>Table8[[#This Row],[Fixture Adjusted Points / 90]]/Table8[[#This Row],[Price]]</f>
        <v>0.50644543009487175</v>
      </c>
      <c r="AW503">
        <f t="shared" si="195"/>
        <v>73.5</v>
      </c>
      <c r="AX503">
        <f t="shared" si="196"/>
        <v>0.96243800494431275</v>
      </c>
      <c r="AY503" s="2">
        <f t="shared" si="197"/>
        <v>100</v>
      </c>
      <c r="AZ503" s="5">
        <f t="shared" si="198"/>
        <v>0.92487600988862551</v>
      </c>
      <c r="BA503">
        <f>Table8[[#This Row],[Model Score2]]</f>
        <v>2.7379098640252248</v>
      </c>
      <c r="BB503">
        <f>IFERROR(INDEX(Player_Model!$BG$2:$BG$596,MATCH($A503,Player_Model!$A$2:$A$596,0)),"")</f>
        <v>66</v>
      </c>
      <c r="BC503" t="str">
        <f t="shared" si="199"/>
        <v>AVOID</v>
      </c>
      <c r="BD503">
        <f>IF(H503=1,Table8[[#This Row],[Model Score]],-10000)</f>
        <v>2.7379098640252248</v>
      </c>
      <c r="BE503">
        <f>IFERROR(INDEX(Player_Model!$BF$2:$BF$596,MATCH($A503,Player_Model!$A$2:$A$596,0)),"")</f>
        <v>215</v>
      </c>
      <c r="BF503">
        <f>IFERROR(INDEX(Player_Model!$BG$2:$BG$596,MATCH($A503,Player_Model!$A$2:$A$596,0)),"")</f>
        <v>66</v>
      </c>
      <c r="BG503">
        <f>IFERROR(INDEX(Player_Model!$BE$2:$BE$596,MATCH($A503,Player_Model!$A$2:$A$596,0)),0)</f>
        <v>2.7379098640252248</v>
      </c>
    </row>
    <row r="504" spans="1:59" x14ac:dyDescent="0.25">
      <c r="A504" t="str">
        <f>tblPlayers[first_name]&amp;" "&amp;tblPlayers[second_name]</f>
        <v>Lisandro Martínez</v>
      </c>
      <c r="B504" t="str">
        <f>_xlfn.SWITCH(tblPlayers[element_type],1,"GK",2,"DEF",3,"MID",4,"FWD")</f>
        <v>DEF</v>
      </c>
      <c r="C504">
        <f>tblPlayers[team]</f>
        <v>16</v>
      </c>
      <c r="D504" t="str">
        <f>INDEX(tblTeams[Column1.short_name],MATCH(C504,tblTeams[Column1.id],0))</f>
        <v>MUN</v>
      </c>
      <c r="E504" s="4">
        <f>INDEX(FPL_Raw_Data!$F:$F,MATCH(A504,FPL_Raw_Data!$AA:$AA,0))/10</f>
        <v>5</v>
      </c>
      <c r="F504" s="4" t="str">
        <f>tblPlayers[[#This Row],[status]]</f>
        <v>a</v>
      </c>
      <c r="G504" s="4" t="b">
        <f>tblPlayers[[#This Row],[can_select]]</f>
        <v>1</v>
      </c>
      <c r="H504">
        <f>IF(AND(Table8[[#This Row],[Availability Status]]="a",Table8[[#This Row],[Can Select]]=TRUE),1,0)</f>
        <v>1</v>
      </c>
      <c r="I504">
        <f>tblPlayers[minutes]</f>
        <v>180</v>
      </c>
      <c r="J504" s="2">
        <f>Table8[[#This Row],[Minutes]]/90</f>
        <v>2</v>
      </c>
      <c r="K504" s="5">
        <f>IFERROR(Z504/(FIXTURE_ANALYSIS!$B$1-1),0)</f>
        <v>0.66666666666666663</v>
      </c>
      <c r="L504">
        <f>tblPlayers[total_points]</f>
        <v>4</v>
      </c>
      <c r="M504">
        <f>tblPlayers[points_per_game]</f>
        <v>2</v>
      </c>
      <c r="N504">
        <f>tblPlayers[form]</f>
        <v>1.3</v>
      </c>
      <c r="O504">
        <f>tblPlayers[expected_goals]</f>
        <v>0.03</v>
      </c>
      <c r="P504">
        <f>tblPlayers[expected_assists]</f>
        <v>0.06</v>
      </c>
      <c r="Q504">
        <f>tblPlayers[expected_goal_involvements]</f>
        <v>0.09</v>
      </c>
      <c r="R504" s="2">
        <f t="shared" si="175"/>
        <v>2</v>
      </c>
      <c r="S504" s="5">
        <f t="shared" si="176"/>
        <v>1.4999999999999999E-2</v>
      </c>
      <c r="T504" s="5">
        <f t="shared" si="177"/>
        <v>0.03</v>
      </c>
      <c r="U504" s="5">
        <f t="shared" si="178"/>
        <v>4.4999999999999998E-2</v>
      </c>
      <c r="V504" s="3">
        <f t="shared" si="179"/>
        <v>0.8</v>
      </c>
      <c r="W504" s="5">
        <f t="shared" si="180"/>
        <v>1.7999999999999999E-2</v>
      </c>
      <c r="X504" s="5">
        <f>IFERROR(IF(OR($B504="MID",$B504="FWD"),INDEX(FIXTURE_ANALYSIS!$Q:$Q,MATCH($D504,FIXTURE_ANALYSIS!$A:$A,0)),INDEX(FIXTURE_ANALYSIS!$R:$R,MATCH($D504,FIXTURE_ANALYSIS!$A:$A,0))),1)</f>
        <v>0.92487600988862551</v>
      </c>
      <c r="Y504" s="5">
        <f t="shared" si="181"/>
        <v>0.92487600988862551</v>
      </c>
      <c r="Z504" s="8">
        <f>INDEX(FPL_Raw_Data!$T:$T,MATCH(A504,FPL_Raw_Data!$AA:$AA,0))</f>
        <v>2</v>
      </c>
      <c r="AA504" s="8">
        <f>INDEX(FPL_Raw_Data!$S:$S,MATCH(A504,FPL_Raw_Data!$AA:$AA,0))</f>
        <v>10</v>
      </c>
      <c r="AB504" s="2">
        <f t="shared" si="182"/>
        <v>1</v>
      </c>
      <c r="AC504" s="2">
        <f>INDEX(FPL_Raw_Data!$Q:$Q,MATCH(A504,FPL_Raw_Data!$AA:$AA,0))</f>
        <v>0</v>
      </c>
      <c r="AD504" s="8">
        <f>INDEX(FPL_Raw_Data!$R:$R,MATCH(A504,FPL_Raw_Data!$AA:$AA,0))</f>
        <v>9</v>
      </c>
      <c r="AE504" s="8">
        <f>INDEX(FPL_Raw_Data!$N:$N,MATCH(A504,FPL_Raw_Data!$AA:$AA,0))</f>
        <v>0</v>
      </c>
      <c r="AF504" s="8">
        <f>INDEX(FPL_Raw_Data!$L:$L,MATCH(A504,FPL_Raw_Data!$AA:$AA,0))</f>
        <v>0</v>
      </c>
      <c r="AG504" s="2">
        <f>INDEX(FPL_Raw_Data!$M:$M,MATCH(A504,FPL_Raw_Data!$AA:$AA,0))</f>
        <v>0</v>
      </c>
      <c r="AH504" s="2">
        <f t="shared" si="183"/>
        <v>0.09</v>
      </c>
      <c r="AI504" s="2">
        <f t="shared" si="184"/>
        <v>0.09</v>
      </c>
      <c r="AJ504" s="2">
        <f t="shared" si="185"/>
        <v>1.3333333333333333</v>
      </c>
      <c r="AK504" s="2">
        <f t="shared" si="186"/>
        <v>2</v>
      </c>
      <c r="AL504" s="2">
        <f t="shared" si="187"/>
        <v>0</v>
      </c>
      <c r="AM504" s="2">
        <f t="shared" si="188"/>
        <v>0</v>
      </c>
      <c r="AN504" s="2">
        <f t="shared" si="189"/>
        <v>0</v>
      </c>
      <c r="AO504" s="3">
        <f t="shared" si="190"/>
        <v>45.9</v>
      </c>
      <c r="AP504">
        <f t="shared" si="191"/>
        <v>60.099999999999994</v>
      </c>
      <c r="AQ504">
        <f t="shared" si="192"/>
        <v>65.3</v>
      </c>
      <c r="AR504">
        <f t="shared" si="193"/>
        <v>64.600000000000009</v>
      </c>
      <c r="AS504" s="2">
        <f t="shared" si="194"/>
        <v>66.666666666666657</v>
      </c>
      <c r="AT504" s="2">
        <f>IFERROR(INDEX(Player_Model!$BC$2:$BC$596,MATCH($A504,Player_Model!$A$2:$A$596,0)),0)</f>
        <v>2.054927544004284</v>
      </c>
      <c r="AU504" s="2">
        <f>Table8[[#This Row],[Model Expected Points]]*Table8[[#This Row],[Fixture Adjustment]]</f>
        <v>1.900553187508915</v>
      </c>
      <c r="AV504" s="2">
        <f>Table8[[#This Row],[Fixture Adjusted Points / 90]]/Table8[[#This Row],[Price]]</f>
        <v>0.38011063750178298</v>
      </c>
      <c r="AW504">
        <f t="shared" si="195"/>
        <v>60.099999999999994</v>
      </c>
      <c r="AX504">
        <f t="shared" si="196"/>
        <v>0.96243800494431275</v>
      </c>
      <c r="AY504" s="2">
        <f t="shared" si="197"/>
        <v>66.666666666666657</v>
      </c>
      <c r="AZ504" s="5">
        <f t="shared" si="198"/>
        <v>0.92487600988862551</v>
      </c>
      <c r="BA504">
        <f>Table8[[#This Row],[Model Score2]]</f>
        <v>2.054927544004284</v>
      </c>
      <c r="BB504">
        <f>IFERROR(INDEX(Player_Model!$BG$2:$BG$596,MATCH($A504,Player_Model!$A$2:$A$596,0)),"")</f>
        <v>87</v>
      </c>
      <c r="BC504" t="str">
        <f t="shared" si="199"/>
        <v>AVOID</v>
      </c>
      <c r="BD504">
        <f>IF(H504=1,Table8[[#This Row],[Model Score]],-10000)</f>
        <v>2.054927544004284</v>
      </c>
      <c r="BE504">
        <f>IFERROR(INDEX(Player_Model!$BF$2:$BF$596,MATCH($A504,Player_Model!$A$2:$A$596,0)),"")</f>
        <v>242</v>
      </c>
      <c r="BF504">
        <f>IFERROR(INDEX(Player_Model!$BG$2:$BG$596,MATCH($A504,Player_Model!$A$2:$A$596,0)),"")</f>
        <v>87</v>
      </c>
      <c r="BG504">
        <f>IFERROR(INDEX(Player_Model!$BE$2:$BE$596,MATCH($A504,Player_Model!$A$2:$A$596,0)),0)</f>
        <v>2.054927544004284</v>
      </c>
    </row>
    <row r="505" spans="1:59" x14ac:dyDescent="0.25">
      <c r="A505" t="str">
        <f>tblPlayers[first_name]&amp;" "&amp;tblPlayers[second_name]</f>
        <v>Leny Yoro</v>
      </c>
      <c r="B505" t="str">
        <f>_xlfn.SWITCH(tblPlayers[element_type],1,"GK",2,"DEF",3,"MID",4,"FWD")</f>
        <v>DEF</v>
      </c>
      <c r="C505">
        <f>tblPlayers[team]</f>
        <v>16</v>
      </c>
      <c r="D505" t="str">
        <f>INDEX(tblTeams[Column1.short_name],MATCH(C505,tblTeams[Column1.id],0))</f>
        <v>MUN</v>
      </c>
      <c r="E505" s="4">
        <f>INDEX(FPL_Raw_Data!$F:$F,MATCH(A505,FPL_Raw_Data!$AA:$AA,0))/10</f>
        <v>4.9000000000000004</v>
      </c>
      <c r="F505" s="4" t="str">
        <f>tblPlayers[[#This Row],[status]]</f>
        <v>a</v>
      </c>
      <c r="G505" s="4" t="b">
        <f>tblPlayers[[#This Row],[can_select]]</f>
        <v>1</v>
      </c>
      <c r="H505">
        <f>IF(AND(Table8[[#This Row],[Availability Status]]="a",Table8[[#This Row],[Can Select]]=TRUE),1,0)</f>
        <v>1</v>
      </c>
      <c r="I505">
        <f>tblPlayers[minutes]</f>
        <v>22</v>
      </c>
      <c r="J505" s="2">
        <f>Table8[[#This Row],[Minutes]]/90</f>
        <v>0.24444444444444444</v>
      </c>
      <c r="K505" s="5">
        <f>IFERROR(Z505/(FIXTURE_ANALYSIS!$B$1-1),0)</f>
        <v>0</v>
      </c>
      <c r="L505">
        <f>tblPlayers[total_points]</f>
        <v>2</v>
      </c>
      <c r="M505">
        <f>tblPlayers[points_per_game]</f>
        <v>1</v>
      </c>
      <c r="N505">
        <f>tblPlayers[form]</f>
        <v>0.7</v>
      </c>
      <c r="O505">
        <f>tblPlayers[expected_goals]</f>
        <v>0</v>
      </c>
      <c r="P505">
        <f>tblPlayers[expected_assists]</f>
        <v>0.02</v>
      </c>
      <c r="Q505">
        <f>tblPlayers[expected_goal_involvements]</f>
        <v>0.02</v>
      </c>
      <c r="R505" s="2">
        <f t="shared" si="175"/>
        <v>8.1818181818181817</v>
      </c>
      <c r="S505" s="5">
        <f t="shared" si="176"/>
        <v>0</v>
      </c>
      <c r="T505" s="5">
        <f t="shared" si="177"/>
        <v>8.1818181818181818E-2</v>
      </c>
      <c r="U505" s="5">
        <f t="shared" si="178"/>
        <v>8.1818181818181818E-2</v>
      </c>
      <c r="V505" s="3">
        <f t="shared" si="179"/>
        <v>0.4081632653061224</v>
      </c>
      <c r="W505" s="5">
        <f t="shared" si="180"/>
        <v>4.081632653061224E-3</v>
      </c>
      <c r="X505" s="5">
        <f>IFERROR(IF(OR($B505="MID",$B505="FWD"),INDEX(FIXTURE_ANALYSIS!$Q:$Q,MATCH($D505,FIXTURE_ANALYSIS!$A:$A,0)),INDEX(FIXTURE_ANALYSIS!$R:$R,MATCH($D505,FIXTURE_ANALYSIS!$A:$A,0))),1)</f>
        <v>0.92487600988862551</v>
      </c>
      <c r="Y505" s="5">
        <f t="shared" si="181"/>
        <v>0.92487600988862551</v>
      </c>
      <c r="Z505" s="8">
        <f>INDEX(FPL_Raw_Data!$T:$T,MATCH(A505,FPL_Raw_Data!$AA:$AA,0))</f>
        <v>0</v>
      </c>
      <c r="AA505" s="8">
        <f>INDEX(FPL_Raw_Data!$S:$S,MATCH(A505,FPL_Raw_Data!$AA:$AA,0))</f>
        <v>5</v>
      </c>
      <c r="AB505" s="2">
        <f t="shared" si="182"/>
        <v>0.5</v>
      </c>
      <c r="AC505" s="2">
        <f>INDEX(FPL_Raw_Data!$Q:$Q,MATCH(A505,FPL_Raw_Data!$AA:$AA,0))</f>
        <v>0</v>
      </c>
      <c r="AD505" s="8">
        <f>INDEX(FPL_Raw_Data!$R:$R,MATCH(A505,FPL_Raw_Data!$AA:$AA,0))</f>
        <v>-1</v>
      </c>
      <c r="AE505" s="8">
        <f>INDEX(FPL_Raw_Data!$N:$N,MATCH(A505,FPL_Raw_Data!$AA:$AA,0))</f>
        <v>0</v>
      </c>
      <c r="AF505" s="8">
        <f>INDEX(FPL_Raw_Data!$L:$L,MATCH(A505,FPL_Raw_Data!$AA:$AA,0))</f>
        <v>0</v>
      </c>
      <c r="AG505" s="2">
        <f>INDEX(FPL_Raw_Data!$M:$M,MATCH(A505,FPL_Raw_Data!$AA:$AA,0))</f>
        <v>0</v>
      </c>
      <c r="AH505" s="2">
        <f t="shared" si="183"/>
        <v>0</v>
      </c>
      <c r="AI505" s="2">
        <f t="shared" si="184"/>
        <v>0.24545454545454545</v>
      </c>
      <c r="AJ505" s="2">
        <f t="shared" si="185"/>
        <v>0</v>
      </c>
      <c r="AK505" s="2">
        <f t="shared" si="186"/>
        <v>1</v>
      </c>
      <c r="AL505" s="2">
        <f t="shared" si="187"/>
        <v>0</v>
      </c>
      <c r="AM505" s="2">
        <f t="shared" si="188"/>
        <v>0</v>
      </c>
      <c r="AN505" s="2">
        <f t="shared" si="189"/>
        <v>0</v>
      </c>
      <c r="AO505" s="3">
        <f t="shared" si="190"/>
        <v>89.8</v>
      </c>
      <c r="AP505">
        <f t="shared" si="191"/>
        <v>65.900000000000006</v>
      </c>
      <c r="AQ505">
        <f t="shared" si="192"/>
        <v>54.800000000000004</v>
      </c>
      <c r="AR505">
        <f t="shared" si="193"/>
        <v>55.2</v>
      </c>
      <c r="AS505" s="2">
        <f t="shared" si="194"/>
        <v>0</v>
      </c>
      <c r="AT505" s="2">
        <f>IFERROR(INDEX(Player_Model!$BC$2:$BC$596,MATCH($A505,Player_Model!$A$2:$A$596,0)),0)</f>
        <v>-0.92487600988862551</v>
      </c>
      <c r="AU505" s="2">
        <f>Table8[[#This Row],[Model Expected Points]]*Table8[[#This Row],[Fixture Adjustment]]</f>
        <v>-0.85539563366750493</v>
      </c>
      <c r="AV505" s="2">
        <f>Table8[[#This Row],[Fixture Adjusted Points / 90]]/Table8[[#This Row],[Price]]</f>
        <v>-0.17457053748316426</v>
      </c>
      <c r="AW505">
        <f t="shared" si="195"/>
        <v>65.900000000000006</v>
      </c>
      <c r="AX505">
        <f t="shared" si="196"/>
        <v>0.71243800494431275</v>
      </c>
      <c r="AY505" s="2">
        <f t="shared" si="197"/>
        <v>0</v>
      </c>
      <c r="AZ505" s="5">
        <f t="shared" si="198"/>
        <v>0.92487600988862551</v>
      </c>
      <c r="BA505">
        <f>Table8[[#This Row],[Model Score2]]</f>
        <v>-0.92487600988862551</v>
      </c>
      <c r="BB505">
        <f>IFERROR(INDEX(Player_Model!$BG$2:$BG$596,MATCH($A505,Player_Model!$A$2:$A$596,0)),"")</f>
        <v>171</v>
      </c>
      <c r="BC505" t="str">
        <f t="shared" si="199"/>
        <v>AVOID</v>
      </c>
      <c r="BD505">
        <f>IF(H505=1,Table8[[#This Row],[Model Score]],-10000)</f>
        <v>-0.92487600988862551</v>
      </c>
      <c r="BE505">
        <f>IFERROR(INDEX(Player_Model!$BF$2:$BF$596,MATCH($A505,Player_Model!$A$2:$A$596,0)),"")</f>
        <v>573</v>
      </c>
      <c r="BF505">
        <f>IFERROR(INDEX(Player_Model!$BG$2:$BG$596,MATCH($A505,Player_Model!$A$2:$A$596,0)),"")</f>
        <v>171</v>
      </c>
      <c r="BG505">
        <f>IFERROR(INDEX(Player_Model!$BE$2:$BE$596,MATCH($A505,Player_Model!$A$2:$A$596,0)),0)</f>
        <v>-0.92487600988862551</v>
      </c>
    </row>
    <row r="506" spans="1:59" x14ac:dyDescent="0.25">
      <c r="A506" t="str">
        <f>tblPlayers[first_name]&amp;" "&amp;tblPlayers[second_name]</f>
        <v>Ayden Heaven</v>
      </c>
      <c r="B506" t="str">
        <f>_xlfn.SWITCH(tblPlayers[element_type],1,"GK",2,"DEF",3,"MID",4,"FWD")</f>
        <v>DEF</v>
      </c>
      <c r="C506">
        <f>tblPlayers[team]</f>
        <v>16</v>
      </c>
      <c r="D506" t="str">
        <f>INDEX(tblTeams[Column1.short_name],MATCH(C506,tblTeams[Column1.id],0))</f>
        <v>MUN</v>
      </c>
      <c r="E506" s="4">
        <f>INDEX(FPL_Raw_Data!$F:$F,MATCH(A506,FPL_Raw_Data!$AA:$AA,0))/10</f>
        <v>4.4000000000000004</v>
      </c>
      <c r="F506" s="4" t="str">
        <f>tblPlayers[[#This Row],[status]]</f>
        <v>a</v>
      </c>
      <c r="G506" s="4" t="b">
        <f>tblPlayers[[#This Row],[can_select]]</f>
        <v>1</v>
      </c>
      <c r="H506">
        <f>IF(AND(Table8[[#This Row],[Availability Status]]="a",Table8[[#This Row],[Can Select]]=TRUE),1,0)</f>
        <v>1</v>
      </c>
      <c r="I506">
        <f>tblPlayers[minutes]</f>
        <v>90</v>
      </c>
      <c r="J506" s="2">
        <f>Table8[[#This Row],[Minutes]]/90</f>
        <v>1</v>
      </c>
      <c r="K506" s="5">
        <f>IFERROR(Z506/(FIXTURE_ANALYSIS!$B$1-1),0)</f>
        <v>0.33333333333333331</v>
      </c>
      <c r="L506">
        <f>tblPlayers[total_points]</f>
        <v>1</v>
      </c>
      <c r="M506">
        <f>tblPlayers[points_per_game]</f>
        <v>1</v>
      </c>
      <c r="N506">
        <f>tblPlayers[form]</f>
        <v>0.3</v>
      </c>
      <c r="O506">
        <f>tblPlayers[expected_goals]</f>
        <v>0.12</v>
      </c>
      <c r="P506">
        <f>tblPlayers[expected_assists]</f>
        <v>0.04</v>
      </c>
      <c r="Q506">
        <f>tblPlayers[expected_goal_involvements]</f>
        <v>0.16</v>
      </c>
      <c r="R506" s="2">
        <f t="shared" si="175"/>
        <v>1</v>
      </c>
      <c r="S506" s="5">
        <f t="shared" si="176"/>
        <v>0.12</v>
      </c>
      <c r="T506" s="5">
        <f t="shared" si="177"/>
        <v>0.04</v>
      </c>
      <c r="U506" s="5">
        <f t="shared" si="178"/>
        <v>0.16</v>
      </c>
      <c r="V506" s="3">
        <f t="shared" si="179"/>
        <v>0.22727272727272727</v>
      </c>
      <c r="W506" s="5">
        <f t="shared" si="180"/>
        <v>3.6363636363636362E-2</v>
      </c>
      <c r="X506" s="5">
        <f>IFERROR(IF(OR($B506="MID",$B506="FWD"),INDEX(FIXTURE_ANALYSIS!$Q:$Q,MATCH($D506,FIXTURE_ANALYSIS!$A:$A,0)),INDEX(FIXTURE_ANALYSIS!$R:$R,MATCH($D506,FIXTURE_ANALYSIS!$A:$A,0))),1)</f>
        <v>0.92487600988862551</v>
      </c>
      <c r="Y506" s="5">
        <f t="shared" si="181"/>
        <v>0.92487600988862551</v>
      </c>
      <c r="Z506" s="8">
        <f>INDEX(FPL_Raw_Data!$T:$T,MATCH(A506,FPL_Raw_Data!$AA:$AA,0))</f>
        <v>1</v>
      </c>
      <c r="AA506" s="8">
        <f>INDEX(FPL_Raw_Data!$S:$S,MATCH(A506,FPL_Raw_Data!$AA:$AA,0))</f>
        <v>2</v>
      </c>
      <c r="AB506" s="2">
        <f t="shared" si="182"/>
        <v>0.2</v>
      </c>
      <c r="AC506" s="2">
        <f>INDEX(FPL_Raw_Data!$Q:$Q,MATCH(A506,FPL_Raw_Data!$AA:$AA,0))</f>
        <v>0</v>
      </c>
      <c r="AD506" s="8">
        <f>INDEX(FPL_Raw_Data!$R:$R,MATCH(A506,FPL_Raw_Data!$AA:$AA,0))</f>
        <v>5</v>
      </c>
      <c r="AE506" s="8">
        <f>INDEX(FPL_Raw_Data!$N:$N,MATCH(A506,FPL_Raw_Data!$AA:$AA,0))</f>
        <v>0</v>
      </c>
      <c r="AF506" s="8">
        <f>INDEX(FPL_Raw_Data!$L:$L,MATCH(A506,FPL_Raw_Data!$AA:$AA,0))</f>
        <v>0</v>
      </c>
      <c r="AG506" s="2">
        <f>INDEX(FPL_Raw_Data!$M:$M,MATCH(A506,FPL_Raw_Data!$AA:$AA,0))</f>
        <v>0</v>
      </c>
      <c r="AH506" s="2">
        <f t="shared" si="183"/>
        <v>0.72</v>
      </c>
      <c r="AI506" s="2">
        <f t="shared" si="184"/>
        <v>0.12</v>
      </c>
      <c r="AJ506" s="2">
        <f t="shared" si="185"/>
        <v>0.66666666666666663</v>
      </c>
      <c r="AK506" s="2">
        <f t="shared" si="186"/>
        <v>0.4</v>
      </c>
      <c r="AL506" s="2">
        <f t="shared" si="187"/>
        <v>0</v>
      </c>
      <c r="AM506" s="2">
        <f t="shared" si="188"/>
        <v>0</v>
      </c>
      <c r="AN506" s="2">
        <f t="shared" si="189"/>
        <v>0</v>
      </c>
      <c r="AO506" s="3">
        <f t="shared" si="190"/>
        <v>42</v>
      </c>
      <c r="AP506">
        <f t="shared" si="191"/>
        <v>73.400000000000006</v>
      </c>
      <c r="AQ506">
        <f t="shared" si="192"/>
        <v>48.8</v>
      </c>
      <c r="AR506">
        <f t="shared" si="193"/>
        <v>72.5</v>
      </c>
      <c r="AS506" s="2">
        <f t="shared" si="194"/>
        <v>33.333333333333329</v>
      </c>
      <c r="AT506" s="2">
        <f>IFERROR(INDEX(Player_Model!$BC$2:$BC$596,MATCH($A506,Player_Model!$A$2:$A$596,0)),0)</f>
        <v>1.7269894074395449</v>
      </c>
      <c r="AU506" s="2">
        <f>Table8[[#This Row],[Model Expected Points]]*Table8[[#This Row],[Fixture Adjustment]]</f>
        <v>1.5972510722726081</v>
      </c>
      <c r="AV506" s="2">
        <f>Table8[[#This Row],[Fixture Adjusted Points / 90]]/Table8[[#This Row],[Price]]</f>
        <v>0.36301160733468363</v>
      </c>
      <c r="AW506">
        <f t="shared" si="195"/>
        <v>73.400000000000006</v>
      </c>
      <c r="AX506">
        <f t="shared" si="196"/>
        <v>0.56243800494431273</v>
      </c>
      <c r="AY506" s="2">
        <f t="shared" si="197"/>
        <v>33.333333333333329</v>
      </c>
      <c r="AZ506" s="5">
        <f t="shared" si="198"/>
        <v>0.92487600988862551</v>
      </c>
      <c r="BA506">
        <f>Table8[[#This Row],[Model Score2]]</f>
        <v>1.7269894074395449</v>
      </c>
      <c r="BB506">
        <f>IFERROR(INDEX(Player_Model!$BG$2:$BG$596,MATCH($A506,Player_Model!$A$2:$A$596,0)),"")</f>
        <v>93</v>
      </c>
      <c r="BC506" t="str">
        <f t="shared" si="199"/>
        <v>AVOID</v>
      </c>
      <c r="BD506">
        <f>IF(H506=1,Table8[[#This Row],[Model Score]],-10000)</f>
        <v>1.7269894074395449</v>
      </c>
      <c r="BE506">
        <f>IFERROR(INDEX(Player_Model!$BF$2:$BF$596,MATCH($A506,Player_Model!$A$2:$A$596,0)),"")</f>
        <v>249</v>
      </c>
      <c r="BF506">
        <f>IFERROR(INDEX(Player_Model!$BG$2:$BG$596,MATCH($A506,Player_Model!$A$2:$A$596,0)),"")</f>
        <v>93</v>
      </c>
      <c r="BG506">
        <f>IFERROR(INDEX(Player_Model!$BE$2:$BE$596,MATCH($A506,Player_Model!$A$2:$A$596,0)),0)</f>
        <v>1.7269894074395449</v>
      </c>
    </row>
    <row r="507" spans="1:59" x14ac:dyDescent="0.25">
      <c r="A507" t="str">
        <f>tblPlayers[first_name]&amp;" "&amp;tblPlayers[second_name]</f>
        <v>Noussair Mazraoui</v>
      </c>
      <c r="B507" t="str">
        <f>_xlfn.SWITCH(tblPlayers[element_type],1,"GK",2,"DEF",3,"MID",4,"FWD")</f>
        <v>DEF</v>
      </c>
      <c r="C507">
        <f>tblPlayers[team]</f>
        <v>16</v>
      </c>
      <c r="D507" t="str">
        <f>INDEX(tblTeams[Column1.short_name],MATCH(C507,tblTeams[Column1.id],0))</f>
        <v>MUN</v>
      </c>
      <c r="E507" s="4">
        <f>INDEX(FPL_Raw_Data!$F:$F,MATCH(A507,FPL_Raw_Data!$AA:$AA,0))/10</f>
        <v>4.5</v>
      </c>
      <c r="F507" s="4" t="str">
        <f>tblPlayers[[#This Row],[status]]</f>
        <v>a</v>
      </c>
      <c r="G507" s="4" t="b">
        <f>tblPlayers[[#This Row],[can_select]]</f>
        <v>1</v>
      </c>
      <c r="H507">
        <f>IF(AND(Table8[[#This Row],[Availability Status]]="a",Table8[[#This Row],[Can Select]]=TRUE),1,0)</f>
        <v>1</v>
      </c>
      <c r="I507">
        <f>tblPlayers[minutes]</f>
        <v>97</v>
      </c>
      <c r="J507" s="2">
        <f>Table8[[#This Row],[Minutes]]/90</f>
        <v>1.0777777777777777</v>
      </c>
      <c r="K507" s="5">
        <f>IFERROR(Z507/(FIXTURE_ANALYSIS!$B$1-1),0)</f>
        <v>0.33333333333333331</v>
      </c>
      <c r="L507">
        <f>tblPlayers[total_points]</f>
        <v>3</v>
      </c>
      <c r="M507">
        <f>tblPlayers[points_per_game]</f>
        <v>1</v>
      </c>
      <c r="N507">
        <f>tblPlayers[form]</f>
        <v>1</v>
      </c>
      <c r="O507">
        <f>tblPlayers[expected_goals]</f>
        <v>0.22</v>
      </c>
      <c r="P507">
        <f>tblPlayers[expected_assists]</f>
        <v>0.06</v>
      </c>
      <c r="Q507">
        <f>tblPlayers[expected_goal_involvements]</f>
        <v>0.28000000000000003</v>
      </c>
      <c r="R507" s="2">
        <f t="shared" si="175"/>
        <v>2.7835051546391751</v>
      </c>
      <c r="S507" s="5">
        <f t="shared" si="176"/>
        <v>0.20412371134020618</v>
      </c>
      <c r="T507" s="5">
        <f t="shared" si="177"/>
        <v>5.5670103092783502E-2</v>
      </c>
      <c r="U507" s="5">
        <f t="shared" si="178"/>
        <v>0.25979381443298971</v>
      </c>
      <c r="V507" s="3">
        <f t="shared" si="179"/>
        <v>0.66666666666666663</v>
      </c>
      <c r="W507" s="5">
        <f t="shared" si="180"/>
        <v>6.2222222222222227E-2</v>
      </c>
      <c r="X507" s="5">
        <f>IFERROR(IF(OR($B507="MID",$B507="FWD"),INDEX(FIXTURE_ANALYSIS!$Q:$Q,MATCH($D507,FIXTURE_ANALYSIS!$A:$A,0)),INDEX(FIXTURE_ANALYSIS!$R:$R,MATCH($D507,FIXTURE_ANALYSIS!$A:$A,0))),1)</f>
        <v>0.92487600988862551</v>
      </c>
      <c r="Y507" s="5">
        <f t="shared" si="181"/>
        <v>0.92487600988862551</v>
      </c>
      <c r="Z507" s="8">
        <f>INDEX(FPL_Raw_Data!$T:$T,MATCH(A507,FPL_Raw_Data!$AA:$AA,0))</f>
        <v>1</v>
      </c>
      <c r="AA507" s="8">
        <f>INDEX(FPL_Raw_Data!$S:$S,MATCH(A507,FPL_Raw_Data!$AA:$AA,0))</f>
        <v>6</v>
      </c>
      <c r="AB507" s="2">
        <f t="shared" si="182"/>
        <v>0.6</v>
      </c>
      <c r="AC507" s="2">
        <f>INDEX(FPL_Raw_Data!$Q:$Q,MATCH(A507,FPL_Raw_Data!$AA:$AA,0))</f>
        <v>0</v>
      </c>
      <c r="AD507" s="8">
        <f>INDEX(FPL_Raw_Data!$R:$R,MATCH(A507,FPL_Raw_Data!$AA:$AA,0))</f>
        <v>6</v>
      </c>
      <c r="AE507" s="8">
        <f>INDEX(FPL_Raw_Data!$N:$N,MATCH(A507,FPL_Raw_Data!$AA:$AA,0))</f>
        <v>0</v>
      </c>
      <c r="AF507" s="8">
        <f>INDEX(FPL_Raw_Data!$L:$L,MATCH(A507,FPL_Raw_Data!$AA:$AA,0))</f>
        <v>0</v>
      </c>
      <c r="AG507" s="2">
        <f>INDEX(FPL_Raw_Data!$M:$M,MATCH(A507,FPL_Raw_Data!$AA:$AA,0))</f>
        <v>0</v>
      </c>
      <c r="AH507" s="2">
        <f t="shared" si="183"/>
        <v>1.2247422680412372</v>
      </c>
      <c r="AI507" s="2">
        <f t="shared" si="184"/>
        <v>0.1670103092783505</v>
      </c>
      <c r="AJ507" s="2">
        <f t="shared" si="185"/>
        <v>0.66666666666666663</v>
      </c>
      <c r="AK507" s="2">
        <f t="shared" si="186"/>
        <v>1.2</v>
      </c>
      <c r="AL507" s="2">
        <f t="shared" si="187"/>
        <v>0</v>
      </c>
      <c r="AM507" s="2">
        <f t="shared" si="188"/>
        <v>0</v>
      </c>
      <c r="AN507" s="2">
        <f t="shared" si="189"/>
        <v>0</v>
      </c>
      <c r="AO507" s="3">
        <f t="shared" si="190"/>
        <v>55.800000000000004</v>
      </c>
      <c r="AP507">
        <f t="shared" si="191"/>
        <v>80.900000000000006</v>
      </c>
      <c r="AQ507">
        <f t="shared" si="192"/>
        <v>62.2</v>
      </c>
      <c r="AR507">
        <f t="shared" si="193"/>
        <v>78.2</v>
      </c>
      <c r="AS507" s="2">
        <f t="shared" si="194"/>
        <v>33.333333333333329</v>
      </c>
      <c r="AT507" s="2">
        <f>IFERROR(INDEX(Player_Model!$BC$2:$BC$596,MATCH($A507,Player_Model!$A$2:$A$596,0)),0)</f>
        <v>2.2735852480154399</v>
      </c>
      <c r="AU507" s="2">
        <f>Table8[[#This Row],[Model Expected Points]]*Table8[[#This Row],[Fixture Adjustment]]</f>
        <v>2.1027844523261612</v>
      </c>
      <c r="AV507" s="2">
        <f>Table8[[#This Row],[Fixture Adjusted Points / 90]]/Table8[[#This Row],[Price]]</f>
        <v>0.46728543385025806</v>
      </c>
      <c r="AW507">
        <f t="shared" si="195"/>
        <v>80.900000000000006</v>
      </c>
      <c r="AX507">
        <f t="shared" si="196"/>
        <v>0.76243800494431269</v>
      </c>
      <c r="AY507" s="2">
        <f t="shared" si="197"/>
        <v>33.333333333333329</v>
      </c>
      <c r="AZ507" s="5">
        <f t="shared" si="198"/>
        <v>0.92487600988862551</v>
      </c>
      <c r="BA507">
        <f>Table8[[#This Row],[Model Score2]]</f>
        <v>2.2735852480154399</v>
      </c>
      <c r="BB507">
        <f>IFERROR(INDEX(Player_Model!$BG$2:$BG$596,MATCH($A507,Player_Model!$A$2:$A$596,0)),"")</f>
        <v>79</v>
      </c>
      <c r="BC507" t="str">
        <f t="shared" si="199"/>
        <v>AVOID</v>
      </c>
      <c r="BD507">
        <f>IF(H507=1,Table8[[#This Row],[Model Score]],-10000)</f>
        <v>2.2735852480154399</v>
      </c>
      <c r="BE507">
        <f>IFERROR(INDEX(Player_Model!$BF$2:$BF$596,MATCH($A507,Player_Model!$A$2:$A$596,0)),"")</f>
        <v>234</v>
      </c>
      <c r="BF507">
        <f>IFERROR(INDEX(Player_Model!$BG$2:$BG$596,MATCH($A507,Player_Model!$A$2:$A$596,0)),"")</f>
        <v>79</v>
      </c>
      <c r="BG507">
        <f>IFERROR(INDEX(Player_Model!$BE$2:$BE$596,MATCH($A507,Player_Model!$A$2:$A$596,0)),0)</f>
        <v>2.2735852480154399</v>
      </c>
    </row>
    <row r="508" spans="1:59" x14ac:dyDescent="0.25">
      <c r="A508" t="str">
        <f>tblPlayers[first_name]&amp;" "&amp;tblPlayers[second_name]</f>
        <v>Luke Shaw</v>
      </c>
      <c r="B508" t="str">
        <f>_xlfn.SWITCH(tblPlayers[element_type],1,"GK",2,"DEF",3,"MID",4,"FWD")</f>
        <v>DEF</v>
      </c>
      <c r="C508">
        <f>tblPlayers[team]</f>
        <v>16</v>
      </c>
      <c r="D508" t="str">
        <f>INDEX(tblTeams[Column1.short_name],MATCH(C508,tblTeams[Column1.id],0))</f>
        <v>MUN</v>
      </c>
      <c r="E508" s="4">
        <f>INDEX(FPL_Raw_Data!$F:$F,MATCH(A508,FPL_Raw_Data!$AA:$AA,0))/10</f>
        <v>4.4000000000000004</v>
      </c>
      <c r="F508" s="4" t="str">
        <f>tblPlayers[[#This Row],[status]]</f>
        <v>a</v>
      </c>
      <c r="G508" s="4" t="b">
        <f>tblPlayers[[#This Row],[can_select]]</f>
        <v>1</v>
      </c>
      <c r="H508">
        <f>IF(AND(Table8[[#This Row],[Availability Status]]="a",Table8[[#This Row],[Can Select]]=TRUE),1,0)</f>
        <v>1</v>
      </c>
      <c r="I508">
        <f>tblPlayers[minutes]</f>
        <v>252</v>
      </c>
      <c r="J508" s="2">
        <f>Table8[[#This Row],[Minutes]]/90</f>
        <v>2.8</v>
      </c>
      <c r="K508" s="5">
        <f>IFERROR(Z508/(FIXTURE_ANALYSIS!$B$1-1),0)</f>
        <v>1</v>
      </c>
      <c r="L508">
        <f>tblPlayers[total_points]</f>
        <v>7</v>
      </c>
      <c r="M508">
        <f>tblPlayers[points_per_game]</f>
        <v>2.2999999999999998</v>
      </c>
      <c r="N508">
        <f>tblPlayers[form]</f>
        <v>2.2999999999999998</v>
      </c>
      <c r="O508">
        <f>tblPlayers[expected_goals]</f>
        <v>0.02</v>
      </c>
      <c r="P508">
        <f>tblPlayers[expected_assists]</f>
        <v>0.51</v>
      </c>
      <c r="Q508">
        <f>tblPlayers[expected_goal_involvements]</f>
        <v>0.53</v>
      </c>
      <c r="R508" s="2">
        <f t="shared" si="175"/>
        <v>2.5</v>
      </c>
      <c r="S508" s="5">
        <f t="shared" si="176"/>
        <v>7.1428571428571426E-3</v>
      </c>
      <c r="T508" s="5">
        <f t="shared" si="177"/>
        <v>0.18214285714285713</v>
      </c>
      <c r="U508" s="5">
        <f t="shared" si="178"/>
        <v>0.18928571428571431</v>
      </c>
      <c r="V508" s="3">
        <f t="shared" si="179"/>
        <v>1.5909090909090908</v>
      </c>
      <c r="W508" s="5">
        <f t="shared" si="180"/>
        <v>0.12045454545454545</v>
      </c>
      <c r="X508" s="5">
        <f>IFERROR(IF(OR($B508="MID",$B508="FWD"),INDEX(FIXTURE_ANALYSIS!$Q:$Q,MATCH($D508,FIXTURE_ANALYSIS!$A:$A,0)),INDEX(FIXTURE_ANALYSIS!$R:$R,MATCH($D508,FIXTURE_ANALYSIS!$A:$A,0))),1)</f>
        <v>0.92487600988862551</v>
      </c>
      <c r="Y508" s="5">
        <f t="shared" si="181"/>
        <v>0.92487600988862551</v>
      </c>
      <c r="Z508" s="8">
        <f>INDEX(FPL_Raw_Data!$T:$T,MATCH(A508,FPL_Raw_Data!$AA:$AA,0))</f>
        <v>3</v>
      </c>
      <c r="AA508" s="8">
        <f>INDEX(FPL_Raw_Data!$S:$S,MATCH(A508,FPL_Raw_Data!$AA:$AA,0))</f>
        <v>20</v>
      </c>
      <c r="AB508" s="2">
        <f t="shared" si="182"/>
        <v>1</v>
      </c>
      <c r="AC508" s="2">
        <f>INDEX(FPL_Raw_Data!$Q:$Q,MATCH(A508,FPL_Raw_Data!$AA:$AA,0))</f>
        <v>0</v>
      </c>
      <c r="AD508" s="8">
        <f>INDEX(FPL_Raw_Data!$R:$R,MATCH(A508,FPL_Raw_Data!$AA:$AA,0))</f>
        <v>47</v>
      </c>
      <c r="AE508" s="8">
        <f>INDEX(FPL_Raw_Data!$N:$N,MATCH(A508,FPL_Raw_Data!$AA:$AA,0))</f>
        <v>0</v>
      </c>
      <c r="AF508" s="8">
        <f>INDEX(FPL_Raw_Data!$L:$L,MATCH(A508,FPL_Raw_Data!$AA:$AA,0))</f>
        <v>0</v>
      </c>
      <c r="AG508" s="2">
        <f>INDEX(FPL_Raw_Data!$M:$M,MATCH(A508,FPL_Raw_Data!$AA:$AA,0))</f>
        <v>1</v>
      </c>
      <c r="AH508" s="2">
        <f t="shared" si="183"/>
        <v>4.2857142857142858E-2</v>
      </c>
      <c r="AI508" s="2">
        <f t="shared" si="184"/>
        <v>0.54642857142857137</v>
      </c>
      <c r="AJ508" s="2">
        <f t="shared" si="185"/>
        <v>2</v>
      </c>
      <c r="AK508" s="2">
        <f t="shared" si="186"/>
        <v>2</v>
      </c>
      <c r="AL508" s="2">
        <f t="shared" si="187"/>
        <v>0</v>
      </c>
      <c r="AM508" s="2">
        <f t="shared" si="188"/>
        <v>0</v>
      </c>
      <c r="AN508" s="2">
        <f t="shared" si="189"/>
        <v>0</v>
      </c>
      <c r="AO508" s="3">
        <f t="shared" si="190"/>
        <v>52.800000000000004</v>
      </c>
      <c r="AP508">
        <f t="shared" si="191"/>
        <v>75.400000000000006</v>
      </c>
      <c r="AQ508">
        <f t="shared" si="192"/>
        <v>80.800000000000011</v>
      </c>
      <c r="AR508">
        <f t="shared" si="193"/>
        <v>87.7</v>
      </c>
      <c r="AS508" s="2">
        <f t="shared" si="194"/>
        <v>100</v>
      </c>
      <c r="AT508" s="2">
        <f>IFERROR(INDEX(Player_Model!$BC$2:$BC$596,MATCH($A508,Player_Model!$A$2:$A$596,0)),0)</f>
        <v>2.7621533582948112</v>
      </c>
      <c r="AU508" s="2">
        <f>Table8[[#This Row],[Model Expected Points]]*Table8[[#This Row],[Fixture Adjustment]]</f>
        <v>2.5546493767201719</v>
      </c>
      <c r="AV508" s="2">
        <f>Table8[[#This Row],[Fixture Adjusted Points / 90]]/Table8[[#This Row],[Price]]</f>
        <v>0.58060213107276626</v>
      </c>
      <c r="AW508">
        <f t="shared" si="195"/>
        <v>75.400000000000006</v>
      </c>
      <c r="AX508">
        <f t="shared" si="196"/>
        <v>0.96243800494431275</v>
      </c>
      <c r="AY508" s="2">
        <f t="shared" si="197"/>
        <v>100</v>
      </c>
      <c r="AZ508" s="5">
        <f t="shared" si="198"/>
        <v>0.92487600988862551</v>
      </c>
      <c r="BA508">
        <f>Table8[[#This Row],[Model Score2]]</f>
        <v>2.7621533582948112</v>
      </c>
      <c r="BB508">
        <f>IFERROR(INDEX(Player_Model!$BG$2:$BG$596,MATCH($A508,Player_Model!$A$2:$A$596,0)),"")</f>
        <v>65</v>
      </c>
      <c r="BC508" t="str">
        <f t="shared" si="199"/>
        <v>AVOID</v>
      </c>
      <c r="BD508">
        <f>IF(H508=1,Table8[[#This Row],[Model Score]],-10000)</f>
        <v>2.7621533582948112</v>
      </c>
      <c r="BE508">
        <f>IFERROR(INDEX(Player_Model!$BF$2:$BF$596,MATCH($A508,Player_Model!$A$2:$A$596,0)),"")</f>
        <v>214</v>
      </c>
      <c r="BF508">
        <f>IFERROR(INDEX(Player_Model!$BG$2:$BG$596,MATCH($A508,Player_Model!$A$2:$A$596,0)),"")</f>
        <v>65</v>
      </c>
      <c r="BG508">
        <f>IFERROR(INDEX(Player_Model!$BE$2:$BE$596,MATCH($A508,Player_Model!$A$2:$A$596,0)),0)</f>
        <v>2.7621533582948112</v>
      </c>
    </row>
    <row r="509" spans="1:59" x14ac:dyDescent="0.25">
      <c r="A509" t="str">
        <f>tblPlayers[first_name]&amp;" "&amp;tblPlayers[second_name]</f>
        <v>Harry Amass</v>
      </c>
      <c r="B509" t="str">
        <f>_xlfn.SWITCH(tblPlayers[element_type],1,"GK",2,"DEF",3,"MID",4,"FWD")</f>
        <v>DEF</v>
      </c>
      <c r="C509">
        <f>tblPlayers[team]</f>
        <v>16</v>
      </c>
      <c r="D509" t="str">
        <f>INDEX(tblTeams[Column1.short_name],MATCH(C509,tblTeams[Column1.id],0))</f>
        <v>MUN</v>
      </c>
      <c r="E509" s="4">
        <f>INDEX(FPL_Raw_Data!$F:$F,MATCH(A509,FPL_Raw_Data!$AA:$AA,0))/10</f>
        <v>4</v>
      </c>
      <c r="F509" s="4" t="str">
        <f>tblPlayers[[#This Row],[status]]</f>
        <v>a</v>
      </c>
      <c r="G509" s="4" t="b">
        <f>tblPlayers[[#This Row],[can_select]]</f>
        <v>1</v>
      </c>
      <c r="H509">
        <f>IF(AND(Table8[[#This Row],[Availability Status]]="a",Table8[[#This Row],[Can Select]]=TRUE),1,0)</f>
        <v>1</v>
      </c>
      <c r="I509">
        <f>tblPlayers[minutes]</f>
        <v>0</v>
      </c>
      <c r="J509" s="2">
        <f>Table8[[#This Row],[Minutes]]/90</f>
        <v>0</v>
      </c>
      <c r="K509" s="5">
        <f>IFERROR(Z509/(FIXTURE_ANALYSIS!$B$1-1),0)</f>
        <v>0</v>
      </c>
      <c r="L509">
        <f>tblPlayers[total_points]</f>
        <v>0</v>
      </c>
      <c r="M509">
        <f>tblPlayers[points_per_game]</f>
        <v>0</v>
      </c>
      <c r="N509">
        <f>tblPlayers[form]</f>
        <v>0</v>
      </c>
      <c r="O509">
        <f>tblPlayers[expected_goals]</f>
        <v>0</v>
      </c>
      <c r="P509">
        <f>tblPlayers[expected_assists]</f>
        <v>0</v>
      </c>
      <c r="Q509">
        <f>tblPlayers[expected_goal_involvements]</f>
        <v>0</v>
      </c>
      <c r="R509" s="2">
        <f t="shared" si="175"/>
        <v>0</v>
      </c>
      <c r="S509" s="5">
        <f t="shared" si="176"/>
        <v>0</v>
      </c>
      <c r="T509" s="5">
        <f t="shared" si="177"/>
        <v>0</v>
      </c>
      <c r="U509" s="5">
        <f t="shared" si="178"/>
        <v>0</v>
      </c>
      <c r="V509" s="3">
        <f t="shared" si="179"/>
        <v>0</v>
      </c>
      <c r="W509" s="5">
        <f t="shared" si="180"/>
        <v>0</v>
      </c>
      <c r="X509" s="5">
        <f>IFERROR(IF(OR($B509="MID",$B509="FWD"),INDEX(FIXTURE_ANALYSIS!$Q:$Q,MATCH($D509,FIXTURE_ANALYSIS!$A:$A,0)),INDEX(FIXTURE_ANALYSIS!$R:$R,MATCH($D509,FIXTURE_ANALYSIS!$A:$A,0))),1)</f>
        <v>0.92487600988862551</v>
      </c>
      <c r="Y509" s="5">
        <f t="shared" si="181"/>
        <v>0.92487600988862551</v>
      </c>
      <c r="Z509" s="8">
        <f>INDEX(FPL_Raw_Data!$T:$T,MATCH(A509,FPL_Raw_Data!$AA:$AA,0))</f>
        <v>0</v>
      </c>
      <c r="AA509" s="8">
        <f>INDEX(FPL_Raw_Data!$S:$S,MATCH(A509,FPL_Raw_Data!$AA:$AA,0))</f>
        <v>0</v>
      </c>
      <c r="AB509" s="2">
        <f t="shared" si="182"/>
        <v>0</v>
      </c>
      <c r="AC509" s="2">
        <f>INDEX(FPL_Raw_Data!$Q:$Q,MATCH(A509,FPL_Raw_Data!$AA:$AA,0))</f>
        <v>0</v>
      </c>
      <c r="AD509" s="8">
        <f>INDEX(FPL_Raw_Data!$R:$R,MATCH(A509,FPL_Raw_Data!$AA:$AA,0))</f>
        <v>0</v>
      </c>
      <c r="AE509" s="8">
        <f>INDEX(FPL_Raw_Data!$N:$N,MATCH(A509,FPL_Raw_Data!$AA:$AA,0))</f>
        <v>0</v>
      </c>
      <c r="AF509" s="8">
        <f>INDEX(FPL_Raw_Data!$L:$L,MATCH(A509,FPL_Raw_Data!$AA:$AA,0))</f>
        <v>0</v>
      </c>
      <c r="AG509" s="2">
        <f>INDEX(FPL_Raw_Data!$M:$M,MATCH(A509,FPL_Raw_Data!$AA:$AA,0))</f>
        <v>0</v>
      </c>
      <c r="AH509" s="2">
        <f t="shared" si="183"/>
        <v>0</v>
      </c>
      <c r="AI509" s="2">
        <f t="shared" si="184"/>
        <v>0</v>
      </c>
      <c r="AJ509" s="2">
        <f t="shared" si="185"/>
        <v>0</v>
      </c>
      <c r="AK509" s="2">
        <f t="shared" si="186"/>
        <v>0</v>
      </c>
      <c r="AL509" s="2">
        <f t="shared" si="187"/>
        <v>0</v>
      </c>
      <c r="AM509" s="2">
        <f t="shared" si="188"/>
        <v>0</v>
      </c>
      <c r="AN509" s="2">
        <f t="shared" si="189"/>
        <v>0</v>
      </c>
      <c r="AO509" s="3">
        <f t="shared" si="190"/>
        <v>0.1</v>
      </c>
      <c r="AP509">
        <f t="shared" si="191"/>
        <v>0</v>
      </c>
      <c r="AQ509">
        <f t="shared" si="192"/>
        <v>0.1</v>
      </c>
      <c r="AR509">
        <f t="shared" si="193"/>
        <v>0</v>
      </c>
      <c r="AS509" s="2">
        <f t="shared" si="194"/>
        <v>0</v>
      </c>
      <c r="AT509" s="2">
        <f>IFERROR(INDEX(Player_Model!$BC$2:$BC$596,MATCH($A509,Player_Model!$A$2:$A$596,0)),0)</f>
        <v>-0.92487600988862551</v>
      </c>
      <c r="AU509" s="2">
        <f>Table8[[#This Row],[Model Expected Points]]*Table8[[#This Row],[Fixture Adjustment]]</f>
        <v>-0.85539563366750493</v>
      </c>
      <c r="AV509" s="2">
        <f>Table8[[#This Row],[Fixture Adjusted Points / 90]]/Table8[[#This Row],[Price]]</f>
        <v>-0.21384890841687623</v>
      </c>
      <c r="AW509">
        <f t="shared" si="195"/>
        <v>0</v>
      </c>
      <c r="AX509">
        <f t="shared" si="196"/>
        <v>0.46243800494431275</v>
      </c>
      <c r="AY509" s="2">
        <f t="shared" si="197"/>
        <v>0</v>
      </c>
      <c r="AZ509" s="5">
        <f t="shared" si="198"/>
        <v>0.92487600988862551</v>
      </c>
      <c r="BA509">
        <f>Table8[[#This Row],[Model Score2]]</f>
        <v>-0.92487600988862551</v>
      </c>
      <c r="BB509">
        <f>IFERROR(INDEX(Player_Model!$BG$2:$BG$596,MATCH($A509,Player_Model!$A$2:$A$596,0)),"")</f>
        <v>172</v>
      </c>
      <c r="BC509" t="str">
        <f t="shared" si="199"/>
        <v>AVOID</v>
      </c>
      <c r="BD509">
        <f>IF(H509=1,Table8[[#This Row],[Model Score]],-10000)</f>
        <v>-0.92487600988862551</v>
      </c>
      <c r="BE509">
        <f>IFERROR(INDEX(Player_Model!$BF$2:$BF$596,MATCH($A509,Player_Model!$A$2:$A$596,0)),"")</f>
        <v>573</v>
      </c>
      <c r="BF509">
        <f>IFERROR(INDEX(Player_Model!$BG$2:$BG$596,MATCH($A509,Player_Model!$A$2:$A$596,0)),"")</f>
        <v>172</v>
      </c>
      <c r="BG509">
        <f>IFERROR(INDEX(Player_Model!$BE$2:$BE$596,MATCH($A509,Player_Model!$A$2:$A$596,0)),0)</f>
        <v>-0.92487600988862551</v>
      </c>
    </row>
    <row r="510" spans="1:59" x14ac:dyDescent="0.25">
      <c r="A510" t="str">
        <f>tblPlayers[first_name]&amp;" "&amp;tblPlayers[second_name]</f>
        <v>Tyler Fredricson</v>
      </c>
      <c r="B510" t="str">
        <f>_xlfn.SWITCH(tblPlayers[element_type],1,"GK",2,"DEF",3,"MID",4,"FWD")</f>
        <v>DEF</v>
      </c>
      <c r="C510">
        <f>tblPlayers[team]</f>
        <v>16</v>
      </c>
      <c r="D510" t="str">
        <f>INDEX(tblTeams[Column1.short_name],MATCH(C510,tblTeams[Column1.id],0))</f>
        <v>MUN</v>
      </c>
      <c r="E510" s="4">
        <f>INDEX(FPL_Raw_Data!$F:$F,MATCH(A510,FPL_Raw_Data!$AA:$AA,0))/10</f>
        <v>4</v>
      </c>
      <c r="F510" s="4" t="str">
        <f>tblPlayers[[#This Row],[status]]</f>
        <v>u</v>
      </c>
      <c r="G510" s="4" t="b">
        <f>tblPlayers[[#This Row],[can_select]]</f>
        <v>0</v>
      </c>
      <c r="H510">
        <f>IF(AND(Table8[[#This Row],[Availability Status]]="a",Table8[[#This Row],[Can Select]]=TRUE),1,0)</f>
        <v>0</v>
      </c>
      <c r="I510">
        <f>tblPlayers[minutes]</f>
        <v>0</v>
      </c>
      <c r="J510" s="2">
        <f>Table8[[#This Row],[Minutes]]/90</f>
        <v>0</v>
      </c>
      <c r="K510" s="5">
        <f>IFERROR(Z510/(FIXTURE_ANALYSIS!$B$1-1),0)</f>
        <v>0</v>
      </c>
      <c r="L510">
        <f>tblPlayers[total_points]</f>
        <v>0</v>
      </c>
      <c r="M510">
        <f>tblPlayers[points_per_game]</f>
        <v>0</v>
      </c>
      <c r="N510">
        <f>tblPlayers[form]</f>
        <v>0</v>
      </c>
      <c r="O510">
        <f>tblPlayers[expected_goals]</f>
        <v>0</v>
      </c>
      <c r="P510">
        <f>tblPlayers[expected_assists]</f>
        <v>0</v>
      </c>
      <c r="Q510">
        <f>tblPlayers[expected_goal_involvements]</f>
        <v>0</v>
      </c>
      <c r="R510" s="2">
        <f t="shared" si="175"/>
        <v>0</v>
      </c>
      <c r="S510" s="5">
        <f t="shared" si="176"/>
        <v>0</v>
      </c>
      <c r="T510" s="5">
        <f t="shared" si="177"/>
        <v>0</v>
      </c>
      <c r="U510" s="5">
        <f t="shared" si="178"/>
        <v>0</v>
      </c>
      <c r="V510" s="3">
        <f t="shared" si="179"/>
        <v>0</v>
      </c>
      <c r="W510" s="5">
        <f t="shared" si="180"/>
        <v>0</v>
      </c>
      <c r="X510" s="5">
        <f>IFERROR(IF(OR($B510="MID",$B510="FWD"),INDEX(FIXTURE_ANALYSIS!$Q:$Q,MATCH($D510,FIXTURE_ANALYSIS!$A:$A,0)),INDEX(FIXTURE_ANALYSIS!$R:$R,MATCH($D510,FIXTURE_ANALYSIS!$A:$A,0))),1)</f>
        <v>0.92487600988862551</v>
      </c>
      <c r="Y510" s="5">
        <f t="shared" si="181"/>
        <v>0.92487600988862551</v>
      </c>
      <c r="Z510" s="8">
        <f>INDEX(FPL_Raw_Data!$T:$T,MATCH(A510,FPL_Raw_Data!$AA:$AA,0))</f>
        <v>0</v>
      </c>
      <c r="AA510" s="8">
        <f>INDEX(FPL_Raw_Data!$S:$S,MATCH(A510,FPL_Raw_Data!$AA:$AA,0))</f>
        <v>0</v>
      </c>
      <c r="AB510" s="2">
        <f t="shared" si="182"/>
        <v>0</v>
      </c>
      <c r="AC510" s="2">
        <f>INDEX(FPL_Raw_Data!$Q:$Q,MATCH(A510,FPL_Raw_Data!$AA:$AA,0))</f>
        <v>0</v>
      </c>
      <c r="AD510" s="8">
        <f>INDEX(FPL_Raw_Data!$R:$R,MATCH(A510,FPL_Raw_Data!$AA:$AA,0))</f>
        <v>0</v>
      </c>
      <c r="AE510" s="8">
        <f>INDEX(FPL_Raw_Data!$N:$N,MATCH(A510,FPL_Raw_Data!$AA:$AA,0))</f>
        <v>0</v>
      </c>
      <c r="AF510" s="8">
        <f>INDEX(FPL_Raw_Data!$L:$L,MATCH(A510,FPL_Raw_Data!$AA:$AA,0))</f>
        <v>0</v>
      </c>
      <c r="AG510" s="2">
        <f>INDEX(FPL_Raw_Data!$M:$M,MATCH(A510,FPL_Raw_Data!$AA:$AA,0))</f>
        <v>0</v>
      </c>
      <c r="AH510" s="2">
        <f t="shared" si="183"/>
        <v>0</v>
      </c>
      <c r="AI510" s="2">
        <f t="shared" si="184"/>
        <v>0</v>
      </c>
      <c r="AJ510" s="2">
        <f t="shared" si="185"/>
        <v>0</v>
      </c>
      <c r="AK510" s="2">
        <f t="shared" si="186"/>
        <v>0</v>
      </c>
      <c r="AL510" s="2">
        <f t="shared" si="187"/>
        <v>0</v>
      </c>
      <c r="AM510" s="2">
        <f t="shared" si="188"/>
        <v>0</v>
      </c>
      <c r="AN510" s="2">
        <f t="shared" si="189"/>
        <v>0</v>
      </c>
      <c r="AO510" s="3">
        <f t="shared" si="190"/>
        <v>0.1</v>
      </c>
      <c r="AP510">
        <f t="shared" si="191"/>
        <v>0</v>
      </c>
      <c r="AQ510">
        <f t="shared" si="192"/>
        <v>0.1</v>
      </c>
      <c r="AR510">
        <f t="shared" si="193"/>
        <v>0</v>
      </c>
      <c r="AS510" s="2">
        <f t="shared" si="194"/>
        <v>0</v>
      </c>
      <c r="AT510" s="2">
        <f>IFERROR(INDEX(Player_Model!$BC$2:$BC$596,MATCH($A510,Player_Model!$A$2:$A$596,0)),0)</f>
        <v>-0.92487600988862551</v>
      </c>
      <c r="AU510" s="2">
        <f>Table8[[#This Row],[Model Expected Points]]*Table8[[#This Row],[Fixture Adjustment]]</f>
        <v>-0.85539563366750493</v>
      </c>
      <c r="AV510" s="2">
        <f>Table8[[#This Row],[Fixture Adjusted Points / 90]]/Table8[[#This Row],[Price]]</f>
        <v>-0.21384890841687623</v>
      </c>
      <c r="AW510">
        <f t="shared" si="195"/>
        <v>0</v>
      </c>
      <c r="AX510">
        <f t="shared" si="196"/>
        <v>0.46243800494431275</v>
      </c>
      <c r="AY510" s="2">
        <f t="shared" si="197"/>
        <v>0</v>
      </c>
      <c r="AZ510" s="5">
        <f t="shared" si="198"/>
        <v>0.92487600988862551</v>
      </c>
      <c r="BA510">
        <f>Table8[[#This Row],[Model Score2]]</f>
        <v>-0.92487600988862551</v>
      </c>
      <c r="BB510">
        <f>IFERROR(INDEX(Player_Model!$BG$2:$BG$596,MATCH($A510,Player_Model!$A$2:$A$596,0)),"")</f>
        <v>173</v>
      </c>
      <c r="BC510" t="str">
        <f t="shared" si="199"/>
        <v>AVOID</v>
      </c>
      <c r="BD510">
        <f>IF(H510=1,Table8[[#This Row],[Model Score]],-10000)</f>
        <v>-10000</v>
      </c>
      <c r="BE510">
        <f>IFERROR(INDEX(Player_Model!$BF$2:$BF$596,MATCH($A510,Player_Model!$A$2:$A$596,0)),"")</f>
        <v>573</v>
      </c>
      <c r="BF510">
        <f>IFERROR(INDEX(Player_Model!$BG$2:$BG$596,MATCH($A510,Player_Model!$A$2:$A$596,0)),"")</f>
        <v>173</v>
      </c>
      <c r="BG510">
        <f>IFERROR(INDEX(Player_Model!$BE$2:$BE$596,MATCH($A510,Player_Model!$A$2:$A$596,0)),0)</f>
        <v>-0.92487600988862551</v>
      </c>
    </row>
    <row r="511" spans="1:59" x14ac:dyDescent="0.25">
      <c r="A511" t="str">
        <f>tblPlayers[first_name]&amp;" "&amp;tblPlayers[second_name]</f>
        <v>Bruno Borges Fernandes</v>
      </c>
      <c r="B511" t="str">
        <f>_xlfn.SWITCH(tblPlayers[element_type],1,"GK",2,"DEF",3,"MID",4,"FWD")</f>
        <v>MID</v>
      </c>
      <c r="C511">
        <f>tblPlayers[team]</f>
        <v>16</v>
      </c>
      <c r="D511" t="str">
        <f>INDEX(tblTeams[Column1.short_name],MATCH(C511,tblTeams[Column1.id],0))</f>
        <v>MUN</v>
      </c>
      <c r="E511" s="4">
        <f>INDEX(FPL_Raw_Data!$F:$F,MATCH(A511,FPL_Raw_Data!$AA:$AA,0))/10</f>
        <v>12</v>
      </c>
      <c r="F511" s="4" t="str">
        <f>tblPlayers[[#This Row],[status]]</f>
        <v>a</v>
      </c>
      <c r="G511" s="4" t="b">
        <f>tblPlayers[[#This Row],[can_select]]</f>
        <v>1</v>
      </c>
      <c r="H511">
        <f>IF(AND(Table8[[#This Row],[Availability Status]]="a",Table8[[#This Row],[Can Select]]=TRUE),1,0)</f>
        <v>1</v>
      </c>
      <c r="I511">
        <f>tblPlayers[minutes]</f>
        <v>270</v>
      </c>
      <c r="J511" s="2">
        <f>Table8[[#This Row],[Minutes]]/90</f>
        <v>3</v>
      </c>
      <c r="K511" s="5">
        <f>IFERROR(Z511/(FIXTURE_ANALYSIS!$B$1-1),0)</f>
        <v>1</v>
      </c>
      <c r="L511">
        <f>tblPlayers[total_points]</f>
        <v>27</v>
      </c>
      <c r="M511">
        <f>tblPlayers[points_per_game]</f>
        <v>9</v>
      </c>
      <c r="N511">
        <f>tblPlayers[form]</f>
        <v>9</v>
      </c>
      <c r="O511">
        <f>tblPlayers[expected_goals]</f>
        <v>2.25</v>
      </c>
      <c r="P511">
        <f>tblPlayers[expected_assists]</f>
        <v>0.8</v>
      </c>
      <c r="Q511">
        <f>tblPlayers[expected_goal_involvements]</f>
        <v>3.05</v>
      </c>
      <c r="R511" s="2">
        <f t="shared" si="175"/>
        <v>9</v>
      </c>
      <c r="S511" s="5">
        <f t="shared" si="176"/>
        <v>0.75</v>
      </c>
      <c r="T511" s="5">
        <f t="shared" si="177"/>
        <v>0.26666666666666672</v>
      </c>
      <c r="U511" s="5">
        <f t="shared" si="178"/>
        <v>1.0166666666666666</v>
      </c>
      <c r="V511" s="3">
        <f t="shared" si="179"/>
        <v>2.25</v>
      </c>
      <c r="W511" s="5">
        <f t="shared" si="180"/>
        <v>0.25416666666666665</v>
      </c>
      <c r="X511" s="5">
        <f>IFERROR(IF(OR($B511="MID",$B511="FWD"),INDEX(FIXTURE_ANALYSIS!$Q:$Q,MATCH($D511,FIXTURE_ANALYSIS!$A:$A,0)),INDEX(FIXTURE_ANALYSIS!$R:$R,MATCH($D511,FIXTURE_ANALYSIS!$A:$A,0))),1)</f>
        <v>1.0979325259515571</v>
      </c>
      <c r="Y511" s="5">
        <f t="shared" si="181"/>
        <v>1.0979325259515571</v>
      </c>
      <c r="Z511" s="8">
        <f>INDEX(FPL_Raw_Data!$T:$T,MATCH(A511,FPL_Raw_Data!$AA:$AA,0))</f>
        <v>3</v>
      </c>
      <c r="AA511" s="8">
        <f>INDEX(FPL_Raw_Data!$S:$S,MATCH(A511,FPL_Raw_Data!$AA:$AA,0))</f>
        <v>16</v>
      </c>
      <c r="AB511" s="2">
        <f t="shared" si="182"/>
        <v>1</v>
      </c>
      <c r="AC511" s="2">
        <f>INDEX(FPL_Raw_Data!$Q:$Q,MATCH(A511,FPL_Raw_Data!$AA:$AA,0))</f>
        <v>3</v>
      </c>
      <c r="AD511" s="8">
        <f>INDEX(FPL_Raw_Data!$R:$R,MATCH(A511,FPL_Raw_Data!$AA:$AA,0))</f>
        <v>116</v>
      </c>
      <c r="AE511" s="8">
        <f>INDEX(FPL_Raw_Data!$N:$N,MATCH(A511,FPL_Raw_Data!$AA:$AA,0))</f>
        <v>0</v>
      </c>
      <c r="AF511" s="8">
        <f>INDEX(FPL_Raw_Data!$L:$L,MATCH(A511,FPL_Raw_Data!$AA:$AA,0))</f>
        <v>3</v>
      </c>
      <c r="AG511" s="2">
        <f>INDEX(FPL_Raw_Data!$M:$M,MATCH(A511,FPL_Raw_Data!$AA:$AA,0))</f>
        <v>1</v>
      </c>
      <c r="AH511" s="2">
        <f t="shared" si="183"/>
        <v>3.75</v>
      </c>
      <c r="AI511" s="2">
        <f t="shared" si="184"/>
        <v>0.80000000000000016</v>
      </c>
      <c r="AJ511" s="2">
        <f t="shared" si="185"/>
        <v>2</v>
      </c>
      <c r="AK511" s="2">
        <f t="shared" si="186"/>
        <v>2</v>
      </c>
      <c r="AL511" s="2">
        <f t="shared" si="187"/>
        <v>0</v>
      </c>
      <c r="AM511" s="2">
        <f t="shared" si="188"/>
        <v>0</v>
      </c>
      <c r="AN511" s="2">
        <f t="shared" si="189"/>
        <v>1</v>
      </c>
      <c r="AO511" s="3">
        <f t="shared" si="190"/>
        <v>91.4</v>
      </c>
      <c r="AP511">
        <f t="shared" si="191"/>
        <v>98.1</v>
      </c>
      <c r="AQ511">
        <f t="shared" si="192"/>
        <v>89.5</v>
      </c>
      <c r="AR511">
        <f t="shared" si="193"/>
        <v>97.3</v>
      </c>
      <c r="AS511" s="2">
        <f t="shared" si="194"/>
        <v>100</v>
      </c>
      <c r="AT511" s="2">
        <f>IFERROR(INDEX(Player_Model!$BC$2:$BC$596,MATCH($A511,Player_Model!$A$2:$A$596,0)),0)</f>
        <v>7.9365198900238525</v>
      </c>
      <c r="AU511" s="2">
        <f>Table8[[#This Row],[Model Expected Points]]*Table8[[#This Row],[Fixture Adjustment]]</f>
        <v>8.7137633301186632</v>
      </c>
      <c r="AV511" s="2">
        <f>Table8[[#This Row],[Fixture Adjusted Points / 90]]/Table8[[#This Row],[Price]]</f>
        <v>0.72614694417655523</v>
      </c>
      <c r="AW511">
        <f t="shared" si="195"/>
        <v>94.75</v>
      </c>
      <c r="AX511">
        <f t="shared" si="196"/>
        <v>1</v>
      </c>
      <c r="AY511" s="2">
        <f t="shared" si="197"/>
        <v>100</v>
      </c>
      <c r="AZ511" s="5">
        <f t="shared" si="198"/>
        <v>1.0979325259515571</v>
      </c>
      <c r="BA511">
        <f>Table8[[#This Row],[Model Score2]]</f>
        <v>7.9365198900238525</v>
      </c>
      <c r="BB511">
        <f>IFERROR(INDEX(Player_Model!$BG$2:$BG$596,MATCH($A511,Player_Model!$A$2:$A$596,0)),"")</f>
        <v>1</v>
      </c>
      <c r="BC511" t="str">
        <f t="shared" si="199"/>
        <v>TOP PICK</v>
      </c>
      <c r="BD511">
        <f>IF(H511=1,Table8[[#This Row],[Model Score]],-10000)</f>
        <v>7.9365198900238525</v>
      </c>
      <c r="BE511">
        <f>IFERROR(INDEX(Player_Model!$BF$2:$BF$596,MATCH($A511,Player_Model!$A$2:$A$596,0)),"")</f>
        <v>10</v>
      </c>
      <c r="BF511">
        <f>IFERROR(INDEX(Player_Model!$BG$2:$BG$596,MATCH($A511,Player_Model!$A$2:$A$596,0)),"")</f>
        <v>1</v>
      </c>
      <c r="BG511">
        <f>IFERROR(INDEX(Player_Model!$BE$2:$BE$596,MATCH($A511,Player_Model!$A$2:$A$596,0)),0)</f>
        <v>7.9365198900238525</v>
      </c>
    </row>
    <row r="512" spans="1:59" x14ac:dyDescent="0.25">
      <c r="A512" t="str">
        <f>tblPlayers[first_name]&amp;" "&amp;tblPlayers[second_name]</f>
        <v>Bryan Mbeumo</v>
      </c>
      <c r="B512" t="str">
        <f>_xlfn.SWITCH(tblPlayers[element_type],1,"GK",2,"DEF",3,"MID",4,"FWD")</f>
        <v>MID</v>
      </c>
      <c r="C512">
        <f>tblPlayers[team]</f>
        <v>16</v>
      </c>
      <c r="D512" t="str">
        <f>INDEX(tblTeams[Column1.short_name],MATCH(C512,tblTeams[Column1.id],0))</f>
        <v>MUN</v>
      </c>
      <c r="E512" s="4">
        <f>INDEX(FPL_Raw_Data!$F:$F,MATCH(A512,FPL_Raw_Data!$AA:$AA,0))/10</f>
        <v>7.9</v>
      </c>
      <c r="F512" s="4" t="str">
        <f>tblPlayers[[#This Row],[status]]</f>
        <v>a</v>
      </c>
      <c r="G512" s="4" t="b">
        <f>tblPlayers[[#This Row],[can_select]]</f>
        <v>1</v>
      </c>
      <c r="H512">
        <f>IF(AND(Table8[[#This Row],[Availability Status]]="a",Table8[[#This Row],[Can Select]]=TRUE),1,0)</f>
        <v>1</v>
      </c>
      <c r="I512">
        <f>tblPlayers[minutes]</f>
        <v>270</v>
      </c>
      <c r="J512" s="2">
        <f>Table8[[#This Row],[Minutes]]/90</f>
        <v>3</v>
      </c>
      <c r="K512" s="5">
        <f>IFERROR(Z512/(FIXTURE_ANALYSIS!$B$1-1),0)</f>
        <v>1</v>
      </c>
      <c r="L512">
        <f>tblPlayers[total_points]</f>
        <v>21</v>
      </c>
      <c r="M512">
        <f>tblPlayers[points_per_game]</f>
        <v>7</v>
      </c>
      <c r="N512">
        <f>tblPlayers[form]</f>
        <v>7</v>
      </c>
      <c r="O512">
        <f>tblPlayers[expected_goals]</f>
        <v>2.31</v>
      </c>
      <c r="P512">
        <f>tblPlayers[expected_assists]</f>
        <v>0.47</v>
      </c>
      <c r="Q512">
        <f>tblPlayers[expected_goal_involvements]</f>
        <v>2.78</v>
      </c>
      <c r="R512" s="2">
        <f t="shared" si="175"/>
        <v>7</v>
      </c>
      <c r="S512" s="5">
        <f t="shared" si="176"/>
        <v>0.77</v>
      </c>
      <c r="T512" s="5">
        <f t="shared" si="177"/>
        <v>0.15666666666666665</v>
      </c>
      <c r="U512" s="5">
        <f t="shared" si="178"/>
        <v>0.92666666666666653</v>
      </c>
      <c r="V512" s="3">
        <f t="shared" si="179"/>
        <v>2.6582278481012658</v>
      </c>
      <c r="W512" s="5">
        <f t="shared" si="180"/>
        <v>0.35189873417721512</v>
      </c>
      <c r="X512" s="5">
        <f>IFERROR(IF(OR($B512="MID",$B512="FWD"),INDEX(FIXTURE_ANALYSIS!$Q:$Q,MATCH($D512,FIXTURE_ANALYSIS!$A:$A,0)),INDEX(FIXTURE_ANALYSIS!$R:$R,MATCH($D512,FIXTURE_ANALYSIS!$A:$A,0))),1)</f>
        <v>1.0979325259515571</v>
      </c>
      <c r="Y512" s="5">
        <f t="shared" si="181"/>
        <v>1.0979325259515571</v>
      </c>
      <c r="Z512" s="8">
        <f>INDEX(FPL_Raw_Data!$T:$T,MATCH(A512,FPL_Raw_Data!$AA:$AA,0))</f>
        <v>3</v>
      </c>
      <c r="AA512" s="8">
        <f>INDEX(FPL_Raw_Data!$S:$S,MATCH(A512,FPL_Raw_Data!$AA:$AA,0))</f>
        <v>17</v>
      </c>
      <c r="AB512" s="2">
        <f t="shared" si="182"/>
        <v>1</v>
      </c>
      <c r="AC512" s="2">
        <f>INDEX(FPL_Raw_Data!$Q:$Q,MATCH(A512,FPL_Raw_Data!$AA:$AA,0))</f>
        <v>3</v>
      </c>
      <c r="AD512" s="8">
        <f>INDEX(FPL_Raw_Data!$R:$R,MATCH(A512,FPL_Raw_Data!$AA:$AA,0))</f>
        <v>78</v>
      </c>
      <c r="AE512" s="8">
        <f>INDEX(FPL_Raw_Data!$N:$N,MATCH(A512,FPL_Raw_Data!$AA:$AA,0))</f>
        <v>0</v>
      </c>
      <c r="AF512" s="8">
        <f>INDEX(FPL_Raw_Data!$L:$L,MATCH(A512,FPL_Raw_Data!$AA:$AA,0))</f>
        <v>2</v>
      </c>
      <c r="AG512" s="2">
        <f>INDEX(FPL_Raw_Data!$M:$M,MATCH(A512,FPL_Raw_Data!$AA:$AA,0))</f>
        <v>1</v>
      </c>
      <c r="AH512" s="2">
        <f t="shared" si="183"/>
        <v>3.85</v>
      </c>
      <c r="AI512" s="2">
        <f t="shared" si="184"/>
        <v>0.47</v>
      </c>
      <c r="AJ512" s="2">
        <f t="shared" si="185"/>
        <v>2</v>
      </c>
      <c r="AK512" s="2">
        <f t="shared" si="186"/>
        <v>2</v>
      </c>
      <c r="AL512" s="2">
        <f t="shared" si="187"/>
        <v>0</v>
      </c>
      <c r="AM512" s="2">
        <f t="shared" si="188"/>
        <v>0</v>
      </c>
      <c r="AN512" s="2">
        <f t="shared" si="189"/>
        <v>1</v>
      </c>
      <c r="AO512" s="3">
        <f t="shared" si="190"/>
        <v>86.1</v>
      </c>
      <c r="AP512">
        <f t="shared" si="191"/>
        <v>97.399999999999991</v>
      </c>
      <c r="AQ512">
        <f t="shared" si="192"/>
        <v>92.7</v>
      </c>
      <c r="AR512">
        <f t="shared" si="193"/>
        <v>99.4</v>
      </c>
      <c r="AS512" s="2">
        <f t="shared" si="194"/>
        <v>100</v>
      </c>
      <c r="AT512" s="2">
        <f>IFERROR(INDEX(Player_Model!$BC$2:$BC$596,MATCH($A512,Player_Model!$A$2:$A$596,0)),0)</f>
        <v>7.7877949870553209</v>
      </c>
      <c r="AU512" s="2">
        <f>Table8[[#This Row],[Model Expected Points]]*Table8[[#This Row],[Fixture Adjustment]]</f>
        <v>8.5504734217305227</v>
      </c>
      <c r="AV512" s="2">
        <f>Table8[[#This Row],[Fixture Adjusted Points / 90]]/Table8[[#This Row],[Price]]</f>
        <v>1.0823384078139902</v>
      </c>
      <c r="AW512">
        <f t="shared" si="195"/>
        <v>91.75</v>
      </c>
      <c r="AX512">
        <f t="shared" si="196"/>
        <v>1</v>
      </c>
      <c r="AY512" s="2">
        <f t="shared" si="197"/>
        <v>100</v>
      </c>
      <c r="AZ512" s="5">
        <f t="shared" si="198"/>
        <v>1.0979325259515571</v>
      </c>
      <c r="BA512">
        <f>Table8[[#This Row],[Model Score2]]</f>
        <v>7.7877949870553209</v>
      </c>
      <c r="BB512">
        <f>IFERROR(INDEX(Player_Model!$BG$2:$BG$596,MATCH($A512,Player_Model!$A$2:$A$596,0)),"")</f>
        <v>2</v>
      </c>
      <c r="BC512" t="str">
        <f t="shared" si="199"/>
        <v>STRONG PICK</v>
      </c>
      <c r="BD512">
        <f>IF(H512=1,Table8[[#This Row],[Model Score]],-10000)</f>
        <v>7.7877949870553209</v>
      </c>
      <c r="BE512">
        <f>IFERROR(INDEX(Player_Model!$BF$2:$BF$596,MATCH($A512,Player_Model!$A$2:$A$596,0)),"")</f>
        <v>11</v>
      </c>
      <c r="BF512">
        <f>IFERROR(INDEX(Player_Model!$BG$2:$BG$596,MATCH($A512,Player_Model!$A$2:$A$596,0)),"")</f>
        <v>2</v>
      </c>
      <c r="BG512">
        <f>IFERROR(INDEX(Player_Model!$BE$2:$BE$596,MATCH($A512,Player_Model!$A$2:$A$596,0)),0)</f>
        <v>7.7877949870553209</v>
      </c>
    </row>
    <row r="513" spans="1:59" x14ac:dyDescent="0.25">
      <c r="A513" t="str">
        <f>tblPlayers[first_name]&amp;" "&amp;tblPlayers[second_name]</f>
        <v>Matheus Santos Carneiro da Cunha</v>
      </c>
      <c r="B513" t="str">
        <f>_xlfn.SWITCH(tblPlayers[element_type],1,"GK",2,"DEF",3,"MID",4,"FWD")</f>
        <v>MID</v>
      </c>
      <c r="C513">
        <f>tblPlayers[team]</f>
        <v>16</v>
      </c>
      <c r="D513" t="str">
        <f>INDEX(tblTeams[Column1.short_name],MATCH(C513,tblTeams[Column1.id],0))</f>
        <v>MUN</v>
      </c>
      <c r="E513" s="4">
        <f>INDEX(FPL_Raw_Data!$F:$F,MATCH(A513,FPL_Raw_Data!$AA:$AA,0))/10</f>
        <v>7.9</v>
      </c>
      <c r="F513" s="4" t="str">
        <f>tblPlayers[[#This Row],[status]]</f>
        <v>a</v>
      </c>
      <c r="G513" s="4" t="b">
        <f>tblPlayers[[#This Row],[can_select]]</f>
        <v>1</v>
      </c>
      <c r="H513">
        <f>IF(AND(Table8[[#This Row],[Availability Status]]="a",Table8[[#This Row],[Can Select]]=TRUE),1,0)</f>
        <v>1</v>
      </c>
      <c r="I513">
        <f>tblPlayers[minutes]</f>
        <v>227</v>
      </c>
      <c r="J513" s="2">
        <f>Table8[[#This Row],[Minutes]]/90</f>
        <v>2.5222222222222221</v>
      </c>
      <c r="K513" s="5">
        <f>IFERROR(Z513/(FIXTURE_ANALYSIS!$B$1-1),0)</f>
        <v>1</v>
      </c>
      <c r="L513">
        <f>tblPlayers[total_points]</f>
        <v>14</v>
      </c>
      <c r="M513">
        <f>tblPlayers[points_per_game]</f>
        <v>4.7</v>
      </c>
      <c r="N513">
        <f>tblPlayers[form]</f>
        <v>4.7</v>
      </c>
      <c r="O513">
        <f>tblPlayers[expected_goals]</f>
        <v>0.47</v>
      </c>
      <c r="P513">
        <f>tblPlayers[expected_assists]</f>
        <v>0.41</v>
      </c>
      <c r="Q513">
        <f>tblPlayers[expected_goal_involvements]</f>
        <v>0.88</v>
      </c>
      <c r="R513" s="2">
        <f t="shared" si="175"/>
        <v>5.5506607929515415</v>
      </c>
      <c r="S513" s="5">
        <f t="shared" si="176"/>
        <v>0.18634361233480176</v>
      </c>
      <c r="T513" s="5">
        <f t="shared" si="177"/>
        <v>0.16255506607929515</v>
      </c>
      <c r="U513" s="5">
        <f t="shared" si="178"/>
        <v>0.34889867841409689</v>
      </c>
      <c r="V513" s="3">
        <f t="shared" si="179"/>
        <v>1.7721518987341771</v>
      </c>
      <c r="W513" s="5">
        <f t="shared" si="180"/>
        <v>0.11139240506329114</v>
      </c>
      <c r="X513" s="5">
        <f>IFERROR(IF(OR($B513="MID",$B513="FWD"),INDEX(FIXTURE_ANALYSIS!$Q:$Q,MATCH($D513,FIXTURE_ANALYSIS!$A:$A,0)),INDEX(FIXTURE_ANALYSIS!$R:$R,MATCH($D513,FIXTURE_ANALYSIS!$A:$A,0))),1)</f>
        <v>1.0979325259515571</v>
      </c>
      <c r="Y513" s="5">
        <f t="shared" si="181"/>
        <v>1.0979325259515571</v>
      </c>
      <c r="Z513" s="8">
        <f>INDEX(FPL_Raw_Data!$T:$T,MATCH(A513,FPL_Raw_Data!$AA:$AA,0))</f>
        <v>3</v>
      </c>
      <c r="AA513" s="8">
        <f>INDEX(FPL_Raw_Data!$S:$S,MATCH(A513,FPL_Raw_Data!$AA:$AA,0))</f>
        <v>8</v>
      </c>
      <c r="AB513" s="2">
        <f t="shared" si="182"/>
        <v>0.66666666666666663</v>
      </c>
      <c r="AC513" s="2">
        <f>INDEX(FPL_Raw_Data!$Q:$Q,MATCH(A513,FPL_Raw_Data!$AA:$AA,0))</f>
        <v>1</v>
      </c>
      <c r="AD513" s="8">
        <f>INDEX(FPL_Raw_Data!$R:$R,MATCH(A513,FPL_Raw_Data!$AA:$AA,0))</f>
        <v>55</v>
      </c>
      <c r="AE513" s="8">
        <f>INDEX(FPL_Raw_Data!$N:$N,MATCH(A513,FPL_Raw_Data!$AA:$AA,0))</f>
        <v>1</v>
      </c>
      <c r="AF513" s="8">
        <f>INDEX(FPL_Raw_Data!$L:$L,MATCH(A513,FPL_Raw_Data!$AA:$AA,0))</f>
        <v>0</v>
      </c>
      <c r="AG513" s="2">
        <f>INDEX(FPL_Raw_Data!$M:$M,MATCH(A513,FPL_Raw_Data!$AA:$AA,0))</f>
        <v>2</v>
      </c>
      <c r="AH513" s="2">
        <f t="shared" si="183"/>
        <v>0.93171806167400884</v>
      </c>
      <c r="AI513" s="2">
        <f t="shared" si="184"/>
        <v>0.48766519823788546</v>
      </c>
      <c r="AJ513" s="2">
        <f t="shared" si="185"/>
        <v>2</v>
      </c>
      <c r="AK513" s="2">
        <f t="shared" si="186"/>
        <v>1.3333333333333333</v>
      </c>
      <c r="AL513" s="2">
        <f t="shared" si="187"/>
        <v>0.33333333333333331</v>
      </c>
      <c r="AM513" s="2">
        <f t="shared" si="188"/>
        <v>0.33333333333333331</v>
      </c>
      <c r="AN513" s="2">
        <f t="shared" si="189"/>
        <v>0.33333333333333331</v>
      </c>
      <c r="AO513" s="3">
        <f t="shared" si="190"/>
        <v>78.7</v>
      </c>
      <c r="AP513">
        <f t="shared" si="191"/>
        <v>86.5</v>
      </c>
      <c r="AQ513">
        <f t="shared" si="192"/>
        <v>83.3</v>
      </c>
      <c r="AR513">
        <f t="shared" si="193"/>
        <v>85.6</v>
      </c>
      <c r="AS513" s="2">
        <f t="shared" si="194"/>
        <v>100</v>
      </c>
      <c r="AT513" s="2">
        <f>IFERROR(INDEX(Player_Model!$BC$2:$BC$596,MATCH($A513,Player_Model!$A$2:$A$596,0)),0)</f>
        <v>4.8129677055478775</v>
      </c>
      <c r="AU513" s="2">
        <f>Table8[[#This Row],[Model Expected Points]]*Table8[[#This Row],[Fixture Adjustment]]</f>
        <v>5.2843137902754513</v>
      </c>
      <c r="AV513" s="2">
        <f>Table8[[#This Row],[Fixture Adjusted Points / 90]]/Table8[[#This Row],[Price]]</f>
        <v>0.66890047978170264</v>
      </c>
      <c r="AW513">
        <f t="shared" si="195"/>
        <v>82.6</v>
      </c>
      <c r="AX513">
        <f t="shared" si="196"/>
        <v>0.66666666666666663</v>
      </c>
      <c r="AY513" s="2">
        <f t="shared" si="197"/>
        <v>100</v>
      </c>
      <c r="AZ513" s="5">
        <f t="shared" si="198"/>
        <v>1.0979325259515571</v>
      </c>
      <c r="BA513">
        <f>Table8[[#This Row],[Model Score2]]</f>
        <v>4.8129677055478775</v>
      </c>
      <c r="BB513">
        <f>IFERROR(INDEX(Player_Model!$BG$2:$BG$596,MATCH($A513,Player_Model!$A$2:$A$596,0)),"")</f>
        <v>50</v>
      </c>
      <c r="BC513" t="str">
        <f t="shared" si="199"/>
        <v>AVOID</v>
      </c>
      <c r="BD513">
        <f>IF(H513=1,Table8[[#This Row],[Model Score]],-10000)</f>
        <v>4.8129677055478775</v>
      </c>
      <c r="BE513">
        <f>IFERROR(INDEX(Player_Model!$BF$2:$BF$596,MATCH($A513,Player_Model!$A$2:$A$596,0)),"")</f>
        <v>107</v>
      </c>
      <c r="BF513">
        <f>IFERROR(INDEX(Player_Model!$BG$2:$BG$596,MATCH($A513,Player_Model!$A$2:$A$596,0)),"")</f>
        <v>50</v>
      </c>
      <c r="BG513">
        <f>IFERROR(INDEX(Player_Model!$BE$2:$BE$596,MATCH($A513,Player_Model!$A$2:$A$596,0)),0)</f>
        <v>4.8129677055478775</v>
      </c>
    </row>
    <row r="514" spans="1:59" x14ac:dyDescent="0.25">
      <c r="A514" t="str">
        <f>tblPlayers[first_name]&amp;" "&amp;tblPlayers[second_name]</f>
        <v>Marcus Rashford</v>
      </c>
      <c r="B514" t="str">
        <f>_xlfn.SWITCH(tblPlayers[element_type],1,"GK",2,"DEF",3,"MID",4,"FWD")</f>
        <v>MID</v>
      </c>
      <c r="C514">
        <f>tblPlayers[team]</f>
        <v>16</v>
      </c>
      <c r="D514" t="str">
        <f>INDEX(tblTeams[Column1.short_name],MATCH(C514,tblTeams[Column1.id],0))</f>
        <v>MUN</v>
      </c>
      <c r="E514" s="4">
        <f>INDEX(FPL_Raw_Data!$F:$F,MATCH(A514,FPL_Raw_Data!$AA:$AA,0))/10</f>
        <v>7</v>
      </c>
      <c r="F514" s="4" t="str">
        <f>tblPlayers[[#This Row],[status]]</f>
        <v>a</v>
      </c>
      <c r="G514" s="4" t="b">
        <f>tblPlayers[[#This Row],[can_select]]</f>
        <v>1</v>
      </c>
      <c r="H514">
        <f>IF(AND(Table8[[#This Row],[Availability Status]]="a",Table8[[#This Row],[Can Select]]=TRUE),1,0)</f>
        <v>1</v>
      </c>
      <c r="I514">
        <f>tblPlayers[minutes]</f>
        <v>193</v>
      </c>
      <c r="J514" s="2">
        <f>Table8[[#This Row],[Minutes]]/90</f>
        <v>2.1444444444444444</v>
      </c>
      <c r="K514" s="5">
        <f>IFERROR(Z514/(FIXTURE_ANALYSIS!$B$1-1),0)</f>
        <v>0.66666666666666663</v>
      </c>
      <c r="L514">
        <f>tblPlayers[total_points]</f>
        <v>6</v>
      </c>
      <c r="M514">
        <f>tblPlayers[points_per_game]</f>
        <v>2</v>
      </c>
      <c r="N514">
        <f>tblPlayers[form]</f>
        <v>2</v>
      </c>
      <c r="O514">
        <f>tblPlayers[expected_goals]</f>
        <v>0.26</v>
      </c>
      <c r="P514">
        <f>tblPlayers[expected_assists]</f>
        <v>0.21</v>
      </c>
      <c r="Q514">
        <f>tblPlayers[expected_goal_involvements]</f>
        <v>0.47</v>
      </c>
      <c r="R514" s="2">
        <f t="shared" ref="R514:R577" si="200">IF(I514=0,0,L514/I514*90)</f>
        <v>2.7979274611398965</v>
      </c>
      <c r="S514" s="5">
        <f t="shared" ref="S514:S577" si="201">IF(I514=0,0,O514/I514*90)</f>
        <v>0.12124352331606217</v>
      </c>
      <c r="T514" s="5">
        <f t="shared" ref="T514:T577" si="202">IF(I514=0,0,P514/I514*90)</f>
        <v>9.7927461139896366E-2</v>
      </c>
      <c r="U514" s="5">
        <f t="shared" ref="U514:U577" si="203">IF(I514=0,0,Q514/I514*90)</f>
        <v>0.21917098445595851</v>
      </c>
      <c r="V514" s="3">
        <f t="shared" ref="V514:V577" si="204">IF(E514=0,0,L514/E514)</f>
        <v>0.8571428571428571</v>
      </c>
      <c r="W514" s="5">
        <f t="shared" ref="W514:W577" si="205">IF(E514=0,0,Q514/E514)</f>
        <v>6.7142857142857143E-2</v>
      </c>
      <c r="X514" s="5">
        <f>IFERROR(IF(OR($B514="MID",$B514="FWD"),INDEX(FIXTURE_ANALYSIS!$Q:$Q,MATCH($D514,FIXTURE_ANALYSIS!$A:$A,0)),INDEX(FIXTURE_ANALYSIS!$R:$R,MATCH($D514,FIXTURE_ANALYSIS!$A:$A,0))),1)</f>
        <v>1.0979325259515571</v>
      </c>
      <c r="Y514" s="5">
        <f t="shared" ref="Y514:Y577" si="206">X514</f>
        <v>1.0979325259515571</v>
      </c>
      <c r="Z514" s="8">
        <f>INDEX(FPL_Raw_Data!$T:$T,MATCH(A514,FPL_Raw_Data!$AA:$AA,0))</f>
        <v>2</v>
      </c>
      <c r="AA514" s="8">
        <f>INDEX(FPL_Raw_Data!$S:$S,MATCH(A514,FPL_Raw_Data!$AA:$AA,0))</f>
        <v>11</v>
      </c>
      <c r="AB514" s="2">
        <f t="shared" ref="AB514:AB577" si="207">IF(B514="DEF",MIN(AA514/10,1),IF(OR(B514="MID",B514="FWD"),MIN(AA514/12,1),0))</f>
        <v>0.91666666666666663</v>
      </c>
      <c r="AC514" s="2">
        <f>INDEX(FPL_Raw_Data!$Q:$Q,MATCH(A514,FPL_Raw_Data!$AA:$AA,0))</f>
        <v>0</v>
      </c>
      <c r="AD514" s="8">
        <f>INDEX(FPL_Raw_Data!$R:$R,MATCH(A514,FPL_Raw_Data!$AA:$AA,0))</f>
        <v>37</v>
      </c>
      <c r="AE514" s="8">
        <f>INDEX(FPL_Raw_Data!$N:$N,MATCH(A514,FPL_Raw_Data!$AA:$AA,0))</f>
        <v>1</v>
      </c>
      <c r="AF514" s="8">
        <f>INDEX(FPL_Raw_Data!$L:$L,MATCH(A514,FPL_Raw_Data!$AA:$AA,0))</f>
        <v>0</v>
      </c>
      <c r="AG514" s="2">
        <f>INDEX(FPL_Raw_Data!$M:$M,MATCH(A514,FPL_Raw_Data!$AA:$AA,0))</f>
        <v>0</v>
      </c>
      <c r="AH514" s="2">
        <f t="shared" ref="AH514:AH577" si="208">IF(B514="GK",S514*10,IF(B514="DEF",S514*6,IF(B514="MID",S514*5,S514*4)))</f>
        <v>0.60621761658031081</v>
      </c>
      <c r="AI514" s="2">
        <f t="shared" ref="AI514:AI577" si="209">T514*3</f>
        <v>0.2937823834196891</v>
      </c>
      <c r="AJ514" s="2">
        <f t="shared" ref="AJ514:AJ577" si="210">K514*2</f>
        <v>1.3333333333333333</v>
      </c>
      <c r="AK514" s="2">
        <f t="shared" ref="AK514:AK577" si="211">AB514*2</f>
        <v>1.8333333333333333</v>
      </c>
      <c r="AL514" s="2">
        <f t="shared" ref="AL514:AL577" si="212">IFERROR(AE514/Z514,0)</f>
        <v>0.5</v>
      </c>
      <c r="AM514" s="2">
        <f t="shared" ref="AM514:AM577" si="213">IF(OR(B514="GK",B514="DEF"),AL514*4,IF(B514="MID",AL514*1,0))</f>
        <v>0.5</v>
      </c>
      <c r="AN514" s="2">
        <f t="shared" ref="AN514:AN577" si="214">IFERROR(AC514/Z514,0)</f>
        <v>0</v>
      </c>
      <c r="AO514" s="3">
        <f t="shared" ref="AO514:AO577" si="215">IFERROR(_xlfn.PERCENTRANK.INC($R$2:$R$700,R514)*100,0)</f>
        <v>56.2</v>
      </c>
      <c r="AP514">
        <f t="shared" ref="AP514:AP577" si="216">IFERROR(_xlfn.PERCENTRANK.INC($U$2:$U$700,U514)*100,0)</f>
        <v>78.100000000000009</v>
      </c>
      <c r="AQ514">
        <f t="shared" ref="AQ514:AQ577" si="217">IFERROR(_xlfn.PERCENTRANK.INC($V$2:$V$700,V514)*100,0)</f>
        <v>66.400000000000006</v>
      </c>
      <c r="AR514">
        <f t="shared" ref="AR514:AR577" si="218">IFERROR(_xlfn.PERCENTRANK.INC($W$2:$W$700,W514)*100,0)</f>
        <v>79.100000000000009</v>
      </c>
      <c r="AS514" s="2">
        <f t="shared" ref="AS514:AS577" si="219">K514*100</f>
        <v>66.666666666666657</v>
      </c>
      <c r="AT514" s="2">
        <f>IFERROR(INDEX(Player_Model!$BC$2:$BC$596,MATCH($A514,Player_Model!$A$2:$A$596,0)),0)</f>
        <v>4.3907569097206878</v>
      </c>
      <c r="AU514" s="2">
        <f>Table8[[#This Row],[Model Expected Points]]*Table8[[#This Row],[Fixture Adjustment]]</f>
        <v>4.8207548247288878</v>
      </c>
      <c r="AV514" s="2">
        <f>Table8[[#This Row],[Fixture Adjusted Points / 90]]/Table8[[#This Row],[Price]]</f>
        <v>0.6886792606755554</v>
      </c>
      <c r="AW514">
        <f t="shared" ref="AW514:AW577" si="220">IF(OR(B514="MID",B514="FWD"),AVERAGE(AO514,AP514),IF(B514="DEF",AP514,0))</f>
        <v>67.150000000000006</v>
      </c>
      <c r="AX514">
        <f t="shared" ref="AX514:AX577" si="221">IF(B514="GK",AVERAGE(AS514,X514),IF(B514="DEF",AVERAGE(AB514,X514),IF(B514="MID",AB514,0)))</f>
        <v>0.91666666666666663</v>
      </c>
      <c r="AY514" s="2">
        <f t="shared" ref="AY514:AY577" si="222">AS514</f>
        <v>66.666666666666657</v>
      </c>
      <c r="AZ514" s="5">
        <f t="shared" ref="AZ514:AZ577" si="223">X514</f>
        <v>1.0979325259515571</v>
      </c>
      <c r="BA514">
        <f>Table8[[#This Row],[Model Score2]]</f>
        <v>4.3907569097206878</v>
      </c>
      <c r="BB514">
        <f>IFERROR(INDEX(Player_Model!$BG$2:$BG$596,MATCH($A514,Player_Model!$A$2:$A$596,0)),"")</f>
        <v>63</v>
      </c>
      <c r="BC514" t="str">
        <f t="shared" ref="BC514:BC577" si="224">IF(BB514=1,"TOP PICK",IF(BB514&lt;=5,"STRONG PICK",IF(BB514&lt;=10,"CONSIDER","AVOID")))</f>
        <v>AVOID</v>
      </c>
      <c r="BD514">
        <f>IF(H514=1,Table8[[#This Row],[Model Score]],-10000)</f>
        <v>4.3907569097206878</v>
      </c>
      <c r="BE514">
        <f>IFERROR(INDEX(Player_Model!$BF$2:$BF$596,MATCH($A514,Player_Model!$A$2:$A$596,0)),"")</f>
        <v>129</v>
      </c>
      <c r="BF514">
        <f>IFERROR(INDEX(Player_Model!$BG$2:$BG$596,MATCH($A514,Player_Model!$A$2:$A$596,0)),"")</f>
        <v>63</v>
      </c>
      <c r="BG514">
        <f>IFERROR(INDEX(Player_Model!$BE$2:$BE$596,MATCH($A514,Player_Model!$A$2:$A$596,0)),0)</f>
        <v>4.3907569097206878</v>
      </c>
    </row>
    <row r="515" spans="1:59" x14ac:dyDescent="0.25">
      <c r="A515" t="str">
        <f>tblPlayers[first_name]&amp;" "&amp;tblPlayers[second_name]</f>
        <v>Mason Mount</v>
      </c>
      <c r="B515" t="str">
        <f>_xlfn.SWITCH(tblPlayers[element_type],1,"GK",2,"DEF",3,"MID",4,"FWD")</f>
        <v>MID</v>
      </c>
      <c r="C515">
        <f>tblPlayers[team]</f>
        <v>16</v>
      </c>
      <c r="D515" t="str">
        <f>INDEX(tblTeams[Column1.short_name],MATCH(C515,tblTeams[Column1.id],0))</f>
        <v>MUN</v>
      </c>
      <c r="E515" s="4">
        <f>INDEX(FPL_Raw_Data!$F:$F,MATCH(A515,FPL_Raw_Data!$AA:$AA,0))/10</f>
        <v>5.4</v>
      </c>
      <c r="F515" s="4" t="str">
        <f>tblPlayers[[#This Row],[status]]</f>
        <v>a</v>
      </c>
      <c r="G515" s="4" t="b">
        <f>tblPlayers[[#This Row],[can_select]]</f>
        <v>1</v>
      </c>
      <c r="H515">
        <f>IF(AND(Table8[[#This Row],[Availability Status]]="a",Table8[[#This Row],[Can Select]]=TRUE),1,0)</f>
        <v>1</v>
      </c>
      <c r="I515">
        <f>tblPlayers[minutes]</f>
        <v>0</v>
      </c>
      <c r="J515" s="2">
        <f>Table8[[#This Row],[Minutes]]/90</f>
        <v>0</v>
      </c>
      <c r="K515" s="5">
        <f>IFERROR(Z515/(FIXTURE_ANALYSIS!$B$1-1),0)</f>
        <v>0</v>
      </c>
      <c r="L515">
        <f>tblPlayers[total_points]</f>
        <v>0</v>
      </c>
      <c r="M515">
        <f>tblPlayers[points_per_game]</f>
        <v>0</v>
      </c>
      <c r="N515">
        <f>tblPlayers[form]</f>
        <v>0</v>
      </c>
      <c r="O515">
        <f>tblPlayers[expected_goals]</f>
        <v>0</v>
      </c>
      <c r="P515">
        <f>tblPlayers[expected_assists]</f>
        <v>0</v>
      </c>
      <c r="Q515">
        <f>tblPlayers[expected_goal_involvements]</f>
        <v>0</v>
      </c>
      <c r="R515" s="2">
        <f t="shared" si="200"/>
        <v>0</v>
      </c>
      <c r="S515" s="5">
        <f t="shared" si="201"/>
        <v>0</v>
      </c>
      <c r="T515" s="5">
        <f t="shared" si="202"/>
        <v>0</v>
      </c>
      <c r="U515" s="5">
        <f t="shared" si="203"/>
        <v>0</v>
      </c>
      <c r="V515" s="3">
        <f t="shared" si="204"/>
        <v>0</v>
      </c>
      <c r="W515" s="5">
        <f t="shared" si="205"/>
        <v>0</v>
      </c>
      <c r="X515" s="5">
        <f>IFERROR(IF(OR($B515="MID",$B515="FWD"),INDEX(FIXTURE_ANALYSIS!$Q:$Q,MATCH($D515,FIXTURE_ANALYSIS!$A:$A,0)),INDEX(FIXTURE_ANALYSIS!$R:$R,MATCH($D515,FIXTURE_ANALYSIS!$A:$A,0))),1)</f>
        <v>1.0979325259515571</v>
      </c>
      <c r="Y515" s="5">
        <f t="shared" si="206"/>
        <v>1.0979325259515571</v>
      </c>
      <c r="Z515" s="8">
        <f>INDEX(FPL_Raw_Data!$T:$T,MATCH(A515,FPL_Raw_Data!$AA:$AA,0))</f>
        <v>0</v>
      </c>
      <c r="AA515" s="8">
        <f>INDEX(FPL_Raw_Data!$S:$S,MATCH(A515,FPL_Raw_Data!$AA:$AA,0))</f>
        <v>0</v>
      </c>
      <c r="AB515" s="2">
        <f t="shared" si="207"/>
        <v>0</v>
      </c>
      <c r="AC515" s="2">
        <f>INDEX(FPL_Raw_Data!$Q:$Q,MATCH(A515,FPL_Raw_Data!$AA:$AA,0))</f>
        <v>0</v>
      </c>
      <c r="AD515" s="8">
        <f>INDEX(FPL_Raw_Data!$R:$R,MATCH(A515,FPL_Raw_Data!$AA:$AA,0))</f>
        <v>0</v>
      </c>
      <c r="AE515" s="8">
        <f>INDEX(FPL_Raw_Data!$N:$N,MATCH(A515,FPL_Raw_Data!$AA:$AA,0))</f>
        <v>0</v>
      </c>
      <c r="AF515" s="8">
        <f>INDEX(FPL_Raw_Data!$L:$L,MATCH(A515,FPL_Raw_Data!$AA:$AA,0))</f>
        <v>0</v>
      </c>
      <c r="AG515" s="2">
        <f>INDEX(FPL_Raw_Data!$M:$M,MATCH(A515,FPL_Raw_Data!$AA:$AA,0))</f>
        <v>0</v>
      </c>
      <c r="AH515" s="2">
        <f t="shared" si="208"/>
        <v>0</v>
      </c>
      <c r="AI515" s="2">
        <f t="shared" si="209"/>
        <v>0</v>
      </c>
      <c r="AJ515" s="2">
        <f t="shared" si="210"/>
        <v>0</v>
      </c>
      <c r="AK515" s="2">
        <f t="shared" si="211"/>
        <v>0</v>
      </c>
      <c r="AL515" s="2">
        <f t="shared" si="212"/>
        <v>0</v>
      </c>
      <c r="AM515" s="2">
        <f t="shared" si="213"/>
        <v>0</v>
      </c>
      <c r="AN515" s="2">
        <f t="shared" si="214"/>
        <v>0</v>
      </c>
      <c r="AO515" s="3">
        <f t="shared" si="215"/>
        <v>0.1</v>
      </c>
      <c r="AP515">
        <f t="shared" si="216"/>
        <v>0</v>
      </c>
      <c r="AQ515">
        <f t="shared" si="217"/>
        <v>0.1</v>
      </c>
      <c r="AR515">
        <f t="shared" si="218"/>
        <v>0</v>
      </c>
      <c r="AS515" s="2">
        <f t="shared" si="219"/>
        <v>0</v>
      </c>
      <c r="AT515" s="2">
        <f>IFERROR(INDEX(Player_Model!$BC$2:$BC$596,MATCH($A515,Player_Model!$A$2:$A$596,0)),0)</f>
        <v>0</v>
      </c>
      <c r="AU515" s="2">
        <f>Table8[[#This Row],[Model Expected Points]]*Table8[[#This Row],[Fixture Adjustment]]</f>
        <v>0</v>
      </c>
      <c r="AV515" s="2">
        <f>Table8[[#This Row],[Fixture Adjusted Points / 90]]/Table8[[#This Row],[Price]]</f>
        <v>0</v>
      </c>
      <c r="AW515">
        <f t="shared" si="220"/>
        <v>0.05</v>
      </c>
      <c r="AX515">
        <f t="shared" si="221"/>
        <v>0</v>
      </c>
      <c r="AY515" s="2">
        <f t="shared" si="222"/>
        <v>0</v>
      </c>
      <c r="AZ515" s="5">
        <f t="shared" si="223"/>
        <v>1.0979325259515571</v>
      </c>
      <c r="BA515">
        <f>Table8[[#This Row],[Model Score2]]</f>
        <v>0</v>
      </c>
      <c r="BB515">
        <f>IFERROR(INDEX(Player_Model!$BG$2:$BG$596,MATCH($A515,Player_Model!$A$2:$A$596,0)),"")</f>
        <v>246</v>
      </c>
      <c r="BC515" t="str">
        <f t="shared" si="224"/>
        <v>AVOID</v>
      </c>
      <c r="BD515">
        <f>IF(H515=1,Table8[[#This Row],[Model Score]],-10000)</f>
        <v>0</v>
      </c>
      <c r="BE515">
        <f>IFERROR(INDEX(Player_Model!$BF$2:$BF$596,MATCH($A515,Player_Model!$A$2:$A$596,0)),"")</f>
        <v>253</v>
      </c>
      <c r="BF515">
        <f>IFERROR(INDEX(Player_Model!$BG$2:$BG$596,MATCH($A515,Player_Model!$A$2:$A$596,0)),"")</f>
        <v>246</v>
      </c>
      <c r="BG515">
        <f>IFERROR(INDEX(Player_Model!$BE$2:$BE$596,MATCH($A515,Player_Model!$A$2:$A$596,0)),0)</f>
        <v>0</v>
      </c>
    </row>
    <row r="516" spans="1:59" x14ac:dyDescent="0.25">
      <c r="A516" t="str">
        <f>tblPlayers[first_name]&amp;" "&amp;tblPlayers[second_name]</f>
        <v>Amad Diallo</v>
      </c>
      <c r="B516" t="str">
        <f>_xlfn.SWITCH(tblPlayers[element_type],1,"GK",2,"DEF",3,"MID",4,"FWD")</f>
        <v>MID</v>
      </c>
      <c r="C516">
        <f>tblPlayers[team]</f>
        <v>16</v>
      </c>
      <c r="D516" t="str">
        <f>INDEX(tblTeams[Column1.short_name],MATCH(C516,tblTeams[Column1.id],0))</f>
        <v>MUN</v>
      </c>
      <c r="E516" s="4">
        <f>INDEX(FPL_Raw_Data!$F:$F,MATCH(A516,FPL_Raw_Data!$AA:$AA,0))/10</f>
        <v>5.8</v>
      </c>
      <c r="F516" s="4" t="str">
        <f>tblPlayers[[#This Row],[status]]</f>
        <v>i</v>
      </c>
      <c r="G516" s="4" t="b">
        <f>tblPlayers[[#This Row],[can_select]]</f>
        <v>1</v>
      </c>
      <c r="H516">
        <f>IF(AND(Table8[[#This Row],[Availability Status]]="a",Table8[[#This Row],[Can Select]]=TRUE),1,0)</f>
        <v>0</v>
      </c>
      <c r="I516">
        <f>tblPlayers[minutes]</f>
        <v>0</v>
      </c>
      <c r="J516" s="2">
        <f>Table8[[#This Row],[Minutes]]/90</f>
        <v>0</v>
      </c>
      <c r="K516" s="5">
        <f>IFERROR(Z516/(FIXTURE_ANALYSIS!$B$1-1),0)</f>
        <v>0</v>
      </c>
      <c r="L516">
        <f>tblPlayers[total_points]</f>
        <v>0</v>
      </c>
      <c r="M516">
        <f>tblPlayers[points_per_game]</f>
        <v>0</v>
      </c>
      <c r="N516">
        <f>tblPlayers[form]</f>
        <v>0</v>
      </c>
      <c r="O516">
        <f>tblPlayers[expected_goals]</f>
        <v>0</v>
      </c>
      <c r="P516">
        <f>tblPlayers[expected_assists]</f>
        <v>0</v>
      </c>
      <c r="Q516">
        <f>tblPlayers[expected_goal_involvements]</f>
        <v>0</v>
      </c>
      <c r="R516" s="2">
        <f t="shared" si="200"/>
        <v>0</v>
      </c>
      <c r="S516" s="5">
        <f t="shared" si="201"/>
        <v>0</v>
      </c>
      <c r="T516" s="5">
        <f t="shared" si="202"/>
        <v>0</v>
      </c>
      <c r="U516" s="5">
        <f t="shared" si="203"/>
        <v>0</v>
      </c>
      <c r="V516" s="3">
        <f t="shared" si="204"/>
        <v>0</v>
      </c>
      <c r="W516" s="5">
        <f t="shared" si="205"/>
        <v>0</v>
      </c>
      <c r="X516" s="5">
        <f>IFERROR(IF(OR($B516="MID",$B516="FWD"),INDEX(FIXTURE_ANALYSIS!$Q:$Q,MATCH($D516,FIXTURE_ANALYSIS!$A:$A,0)),INDEX(FIXTURE_ANALYSIS!$R:$R,MATCH($D516,FIXTURE_ANALYSIS!$A:$A,0))),1)</f>
        <v>1.0979325259515571</v>
      </c>
      <c r="Y516" s="5">
        <f t="shared" si="206"/>
        <v>1.0979325259515571</v>
      </c>
      <c r="Z516" s="8">
        <f>INDEX(FPL_Raw_Data!$T:$T,MATCH(A516,FPL_Raw_Data!$AA:$AA,0))</f>
        <v>0</v>
      </c>
      <c r="AA516" s="8">
        <f>INDEX(FPL_Raw_Data!$S:$S,MATCH(A516,FPL_Raw_Data!$AA:$AA,0))</f>
        <v>0</v>
      </c>
      <c r="AB516" s="2">
        <f t="shared" si="207"/>
        <v>0</v>
      </c>
      <c r="AC516" s="2">
        <f>INDEX(FPL_Raw_Data!$Q:$Q,MATCH(A516,FPL_Raw_Data!$AA:$AA,0))</f>
        <v>0</v>
      </c>
      <c r="AD516" s="8">
        <f>INDEX(FPL_Raw_Data!$R:$R,MATCH(A516,FPL_Raw_Data!$AA:$AA,0))</f>
        <v>0</v>
      </c>
      <c r="AE516" s="8">
        <f>INDEX(FPL_Raw_Data!$N:$N,MATCH(A516,FPL_Raw_Data!$AA:$AA,0))</f>
        <v>0</v>
      </c>
      <c r="AF516" s="8">
        <f>INDEX(FPL_Raw_Data!$L:$L,MATCH(A516,FPL_Raw_Data!$AA:$AA,0))</f>
        <v>0</v>
      </c>
      <c r="AG516" s="2">
        <f>INDEX(FPL_Raw_Data!$M:$M,MATCH(A516,FPL_Raw_Data!$AA:$AA,0))</f>
        <v>0</v>
      </c>
      <c r="AH516" s="2">
        <f t="shared" si="208"/>
        <v>0</v>
      </c>
      <c r="AI516" s="2">
        <f t="shared" si="209"/>
        <v>0</v>
      </c>
      <c r="AJ516" s="2">
        <f t="shared" si="210"/>
        <v>0</v>
      </c>
      <c r="AK516" s="2">
        <f t="shared" si="211"/>
        <v>0</v>
      </c>
      <c r="AL516" s="2">
        <f t="shared" si="212"/>
        <v>0</v>
      </c>
      <c r="AM516" s="2">
        <f t="shared" si="213"/>
        <v>0</v>
      </c>
      <c r="AN516" s="2">
        <f t="shared" si="214"/>
        <v>0</v>
      </c>
      <c r="AO516" s="3">
        <f t="shared" si="215"/>
        <v>0.1</v>
      </c>
      <c r="AP516">
        <f t="shared" si="216"/>
        <v>0</v>
      </c>
      <c r="AQ516">
        <f t="shared" si="217"/>
        <v>0.1</v>
      </c>
      <c r="AR516">
        <f t="shared" si="218"/>
        <v>0</v>
      </c>
      <c r="AS516" s="2">
        <f t="shared" si="219"/>
        <v>0</v>
      </c>
      <c r="AT516" s="2">
        <f>IFERROR(INDEX(Player_Model!$BC$2:$BC$596,MATCH($A516,Player_Model!$A$2:$A$596,0)),0)</f>
        <v>0</v>
      </c>
      <c r="AU516" s="2">
        <f>Table8[[#This Row],[Model Expected Points]]*Table8[[#This Row],[Fixture Adjustment]]</f>
        <v>0</v>
      </c>
      <c r="AV516" s="2">
        <f>Table8[[#This Row],[Fixture Adjusted Points / 90]]/Table8[[#This Row],[Price]]</f>
        <v>0</v>
      </c>
      <c r="AW516">
        <f t="shared" si="220"/>
        <v>0.05</v>
      </c>
      <c r="AX516">
        <f t="shared" si="221"/>
        <v>0</v>
      </c>
      <c r="AY516" s="2">
        <f t="shared" si="222"/>
        <v>0</v>
      </c>
      <c r="AZ516" s="5">
        <f t="shared" si="223"/>
        <v>1.0979325259515571</v>
      </c>
      <c r="BA516">
        <f>Table8[[#This Row],[Model Score2]]</f>
        <v>0</v>
      </c>
      <c r="BB516">
        <f>IFERROR(INDEX(Player_Model!$BG$2:$BG$596,MATCH($A516,Player_Model!$A$2:$A$596,0)),"")</f>
        <v>247</v>
      </c>
      <c r="BC516" t="str">
        <f t="shared" si="224"/>
        <v>AVOID</v>
      </c>
      <c r="BD516">
        <f>IF(H516=1,Table8[[#This Row],[Model Score]],-10000)</f>
        <v>-10000</v>
      </c>
      <c r="BE516">
        <f>IFERROR(INDEX(Player_Model!$BF$2:$BF$596,MATCH($A516,Player_Model!$A$2:$A$596,0)),"")</f>
        <v>253</v>
      </c>
      <c r="BF516">
        <f>IFERROR(INDEX(Player_Model!$BG$2:$BG$596,MATCH($A516,Player_Model!$A$2:$A$596,0)),"")</f>
        <v>247</v>
      </c>
      <c r="BG516">
        <f>IFERROR(INDEX(Player_Model!$BE$2:$BE$596,MATCH($A516,Player_Model!$A$2:$A$596,0)),0)</f>
        <v>0</v>
      </c>
    </row>
    <row r="517" spans="1:59" x14ac:dyDescent="0.25">
      <c r="A517" t="str">
        <f>tblPlayers[first_name]&amp;" "&amp;tblPlayers[second_name]</f>
        <v>Kobbie Mainoo</v>
      </c>
      <c r="B517" t="str">
        <f>_xlfn.SWITCH(tblPlayers[element_type],1,"GK",2,"DEF",3,"MID",4,"FWD")</f>
        <v>MID</v>
      </c>
      <c r="C517">
        <f>tblPlayers[team]</f>
        <v>16</v>
      </c>
      <c r="D517" t="str">
        <f>INDEX(tblTeams[Column1.short_name],MATCH(C517,tblTeams[Column1.id],0))</f>
        <v>MUN</v>
      </c>
      <c r="E517" s="4">
        <f>INDEX(FPL_Raw_Data!$F:$F,MATCH(A517,FPL_Raw_Data!$AA:$AA,0))/10</f>
        <v>5.5</v>
      </c>
      <c r="F517" s="4" t="str">
        <f>tblPlayers[[#This Row],[status]]</f>
        <v>a</v>
      </c>
      <c r="G517" s="4" t="b">
        <f>tblPlayers[[#This Row],[can_select]]</f>
        <v>1</v>
      </c>
      <c r="H517">
        <f>IF(AND(Table8[[#This Row],[Availability Status]]="a",Table8[[#This Row],[Can Select]]=TRUE),1,0)</f>
        <v>1</v>
      </c>
      <c r="I517">
        <f>tblPlayers[minutes]</f>
        <v>185</v>
      </c>
      <c r="J517" s="2">
        <f>Table8[[#This Row],[Minutes]]/90</f>
        <v>2.0555555555555554</v>
      </c>
      <c r="K517" s="5">
        <f>IFERROR(Z517/(FIXTURE_ANALYSIS!$B$1-1),0)</f>
        <v>0.66666666666666663</v>
      </c>
      <c r="L517">
        <f>tblPlayers[total_points]</f>
        <v>14</v>
      </c>
      <c r="M517">
        <f>tblPlayers[points_per_game]</f>
        <v>4.7</v>
      </c>
      <c r="N517">
        <f>tblPlayers[form]</f>
        <v>4.7</v>
      </c>
      <c r="O517">
        <f>tblPlayers[expected_goals]</f>
        <v>0.21</v>
      </c>
      <c r="P517">
        <f>tblPlayers[expected_assists]</f>
        <v>0.35</v>
      </c>
      <c r="Q517">
        <f>tblPlayers[expected_goal_involvements]</f>
        <v>0.56000000000000005</v>
      </c>
      <c r="R517" s="2">
        <f t="shared" si="200"/>
        <v>6.8108108108108114</v>
      </c>
      <c r="S517" s="5">
        <f t="shared" si="201"/>
        <v>0.10216216216216216</v>
      </c>
      <c r="T517" s="5">
        <f t="shared" si="202"/>
        <v>0.17027027027027028</v>
      </c>
      <c r="U517" s="5">
        <f t="shared" si="203"/>
        <v>0.27243243243243243</v>
      </c>
      <c r="V517" s="3">
        <f t="shared" si="204"/>
        <v>2.5454545454545454</v>
      </c>
      <c r="W517" s="5">
        <f t="shared" si="205"/>
        <v>0.10181818181818182</v>
      </c>
      <c r="X517" s="5">
        <f>IFERROR(IF(OR($B517="MID",$B517="FWD"),INDEX(FIXTURE_ANALYSIS!$Q:$Q,MATCH($D517,FIXTURE_ANALYSIS!$A:$A,0)),INDEX(FIXTURE_ANALYSIS!$R:$R,MATCH($D517,FIXTURE_ANALYSIS!$A:$A,0))),1)</f>
        <v>1.0979325259515571</v>
      </c>
      <c r="Y517" s="5">
        <f t="shared" si="206"/>
        <v>1.0979325259515571</v>
      </c>
      <c r="Z517" s="8">
        <f>INDEX(FPL_Raw_Data!$T:$T,MATCH(A517,FPL_Raw_Data!$AA:$AA,0))</f>
        <v>2</v>
      </c>
      <c r="AA517" s="8">
        <f>INDEX(FPL_Raw_Data!$S:$S,MATCH(A517,FPL_Raw_Data!$AA:$AA,0))</f>
        <v>31</v>
      </c>
      <c r="AB517" s="2">
        <f t="shared" si="207"/>
        <v>1</v>
      </c>
      <c r="AC517" s="2">
        <f>INDEX(FPL_Raw_Data!$Q:$Q,MATCH(A517,FPL_Raw_Data!$AA:$AA,0))</f>
        <v>2</v>
      </c>
      <c r="AD517" s="8">
        <f>INDEX(FPL_Raw_Data!$R:$R,MATCH(A517,FPL_Raw_Data!$AA:$AA,0))</f>
        <v>64</v>
      </c>
      <c r="AE517" s="8">
        <f>INDEX(FPL_Raw_Data!$N:$N,MATCH(A517,FPL_Raw_Data!$AA:$AA,0))</f>
        <v>0</v>
      </c>
      <c r="AF517" s="8">
        <f>INDEX(FPL_Raw_Data!$L:$L,MATCH(A517,FPL_Raw_Data!$AA:$AA,0))</f>
        <v>0</v>
      </c>
      <c r="AG517" s="2">
        <f>INDEX(FPL_Raw_Data!$M:$M,MATCH(A517,FPL_Raw_Data!$AA:$AA,0))</f>
        <v>1</v>
      </c>
      <c r="AH517" s="2">
        <f t="shared" si="208"/>
        <v>0.51081081081081081</v>
      </c>
      <c r="AI517" s="2">
        <f t="shared" si="209"/>
        <v>0.51081081081081081</v>
      </c>
      <c r="AJ517" s="2">
        <f t="shared" si="210"/>
        <v>1.3333333333333333</v>
      </c>
      <c r="AK517" s="2">
        <f t="shared" si="211"/>
        <v>2</v>
      </c>
      <c r="AL517" s="2">
        <f t="shared" si="212"/>
        <v>0</v>
      </c>
      <c r="AM517" s="2">
        <f t="shared" si="213"/>
        <v>0</v>
      </c>
      <c r="AN517" s="2">
        <f t="shared" si="214"/>
        <v>1</v>
      </c>
      <c r="AO517" s="3">
        <f t="shared" si="215"/>
        <v>85.1</v>
      </c>
      <c r="AP517">
        <f t="shared" si="216"/>
        <v>81.8</v>
      </c>
      <c r="AQ517">
        <f t="shared" si="217"/>
        <v>92.2</v>
      </c>
      <c r="AR517">
        <f t="shared" si="218"/>
        <v>84.1</v>
      </c>
      <c r="AS517" s="2">
        <f t="shared" si="219"/>
        <v>66.666666666666657</v>
      </c>
      <c r="AT517" s="2">
        <f>IFERROR(INDEX(Player_Model!$BC$2:$BC$596,MATCH($A517,Player_Model!$A$2:$A$596,0)),0)</f>
        <v>5.6600441279891518</v>
      </c>
      <c r="AU517" s="2">
        <f>Table8[[#This Row],[Model Expected Points]]*Table8[[#This Row],[Fixture Adjustment]]</f>
        <v>6.2143465464404075</v>
      </c>
      <c r="AV517" s="2">
        <f>Table8[[#This Row],[Fixture Adjusted Points / 90]]/Table8[[#This Row],[Price]]</f>
        <v>1.1298811902618924</v>
      </c>
      <c r="AW517">
        <f t="shared" si="220"/>
        <v>83.449999999999989</v>
      </c>
      <c r="AX517">
        <f t="shared" si="221"/>
        <v>1</v>
      </c>
      <c r="AY517" s="2">
        <f t="shared" si="222"/>
        <v>66.666666666666657</v>
      </c>
      <c r="AZ517" s="5">
        <f t="shared" si="223"/>
        <v>1.0979325259515571</v>
      </c>
      <c r="BA517">
        <f>Table8[[#This Row],[Model Score2]]</f>
        <v>5.6600441279891518</v>
      </c>
      <c r="BB517">
        <f>IFERROR(INDEX(Player_Model!$BG$2:$BG$596,MATCH($A517,Player_Model!$A$2:$A$596,0)),"")</f>
        <v>24</v>
      </c>
      <c r="BC517" t="str">
        <f t="shared" si="224"/>
        <v>AVOID</v>
      </c>
      <c r="BD517">
        <f>IF(H517=1,Table8[[#This Row],[Model Score]],-10000)</f>
        <v>5.6600441279891518</v>
      </c>
      <c r="BE517">
        <f>IFERROR(INDEX(Player_Model!$BF$2:$BF$596,MATCH($A517,Player_Model!$A$2:$A$596,0)),"")</f>
        <v>58</v>
      </c>
      <c r="BF517">
        <f>IFERROR(INDEX(Player_Model!$BG$2:$BG$596,MATCH($A517,Player_Model!$A$2:$A$596,0)),"")</f>
        <v>24</v>
      </c>
      <c r="BG517">
        <f>IFERROR(INDEX(Player_Model!$BE$2:$BE$596,MATCH($A517,Player_Model!$A$2:$A$596,0)),0)</f>
        <v>5.6600441279891518</v>
      </c>
    </row>
    <row r="518" spans="1:59" x14ac:dyDescent="0.25">
      <c r="A518" t="str">
        <f>tblPlayers[first_name]&amp;" "&amp;tblPlayers[second_name]</f>
        <v>Manuel Ugarte Ribeiro</v>
      </c>
      <c r="B518" t="str">
        <f>_xlfn.SWITCH(tblPlayers[element_type],1,"GK",2,"DEF",3,"MID",4,"FWD")</f>
        <v>MID</v>
      </c>
      <c r="C518">
        <f>tblPlayers[team]</f>
        <v>16</v>
      </c>
      <c r="D518" t="str">
        <f>INDEX(tblTeams[Column1.short_name],MATCH(C518,tblTeams[Column1.id],0))</f>
        <v>MUN</v>
      </c>
      <c r="E518" s="4">
        <f>INDEX(FPL_Raw_Data!$F:$F,MATCH(A518,FPL_Raw_Data!$AA:$AA,0))/10</f>
        <v>5</v>
      </c>
      <c r="F518" s="4" t="str">
        <f>tblPlayers[[#This Row],[status]]</f>
        <v>i</v>
      </c>
      <c r="G518" s="4" t="b">
        <f>tblPlayers[[#This Row],[can_select]]</f>
        <v>1</v>
      </c>
      <c r="H518">
        <f>IF(AND(Table8[[#This Row],[Availability Status]]="a",Table8[[#This Row],[Can Select]]=TRUE),1,0)</f>
        <v>0</v>
      </c>
      <c r="I518">
        <f>tblPlayers[minutes]</f>
        <v>0</v>
      </c>
      <c r="J518" s="2">
        <f>Table8[[#This Row],[Minutes]]/90</f>
        <v>0</v>
      </c>
      <c r="K518" s="5">
        <f>IFERROR(Z518/(FIXTURE_ANALYSIS!$B$1-1),0)</f>
        <v>0</v>
      </c>
      <c r="L518">
        <f>tblPlayers[total_points]</f>
        <v>0</v>
      </c>
      <c r="M518">
        <f>tblPlayers[points_per_game]</f>
        <v>0</v>
      </c>
      <c r="N518">
        <f>tblPlayers[form]</f>
        <v>0</v>
      </c>
      <c r="O518">
        <f>tblPlayers[expected_goals]</f>
        <v>0</v>
      </c>
      <c r="P518">
        <f>tblPlayers[expected_assists]</f>
        <v>0</v>
      </c>
      <c r="Q518">
        <f>tblPlayers[expected_goal_involvements]</f>
        <v>0</v>
      </c>
      <c r="R518" s="2">
        <f t="shared" si="200"/>
        <v>0</v>
      </c>
      <c r="S518" s="5">
        <f t="shared" si="201"/>
        <v>0</v>
      </c>
      <c r="T518" s="5">
        <f t="shared" si="202"/>
        <v>0</v>
      </c>
      <c r="U518" s="5">
        <f t="shared" si="203"/>
        <v>0</v>
      </c>
      <c r="V518" s="3">
        <f t="shared" si="204"/>
        <v>0</v>
      </c>
      <c r="W518" s="5">
        <f t="shared" si="205"/>
        <v>0</v>
      </c>
      <c r="X518" s="5">
        <f>IFERROR(IF(OR($B518="MID",$B518="FWD"),INDEX(FIXTURE_ANALYSIS!$Q:$Q,MATCH($D518,FIXTURE_ANALYSIS!$A:$A,0)),INDEX(FIXTURE_ANALYSIS!$R:$R,MATCH($D518,FIXTURE_ANALYSIS!$A:$A,0))),1)</f>
        <v>1.0979325259515571</v>
      </c>
      <c r="Y518" s="5">
        <f t="shared" si="206"/>
        <v>1.0979325259515571</v>
      </c>
      <c r="Z518" s="8">
        <f>INDEX(FPL_Raw_Data!$T:$T,MATCH(A518,FPL_Raw_Data!$AA:$AA,0))</f>
        <v>0</v>
      </c>
      <c r="AA518" s="8">
        <f>INDEX(FPL_Raw_Data!$S:$S,MATCH(A518,FPL_Raw_Data!$AA:$AA,0))</f>
        <v>0</v>
      </c>
      <c r="AB518" s="2">
        <f t="shared" si="207"/>
        <v>0</v>
      </c>
      <c r="AC518" s="2">
        <f>INDEX(FPL_Raw_Data!$Q:$Q,MATCH(A518,FPL_Raw_Data!$AA:$AA,0))</f>
        <v>0</v>
      </c>
      <c r="AD518" s="8">
        <f>INDEX(FPL_Raw_Data!$R:$R,MATCH(A518,FPL_Raw_Data!$AA:$AA,0))</f>
        <v>0</v>
      </c>
      <c r="AE518" s="8">
        <f>INDEX(FPL_Raw_Data!$N:$N,MATCH(A518,FPL_Raw_Data!$AA:$AA,0))</f>
        <v>0</v>
      </c>
      <c r="AF518" s="8">
        <f>INDEX(FPL_Raw_Data!$L:$L,MATCH(A518,FPL_Raw_Data!$AA:$AA,0))</f>
        <v>0</v>
      </c>
      <c r="AG518" s="2">
        <f>INDEX(FPL_Raw_Data!$M:$M,MATCH(A518,FPL_Raw_Data!$AA:$AA,0))</f>
        <v>0</v>
      </c>
      <c r="AH518" s="2">
        <f t="shared" si="208"/>
        <v>0</v>
      </c>
      <c r="AI518" s="2">
        <f t="shared" si="209"/>
        <v>0</v>
      </c>
      <c r="AJ518" s="2">
        <f t="shared" si="210"/>
        <v>0</v>
      </c>
      <c r="AK518" s="2">
        <f t="shared" si="211"/>
        <v>0</v>
      </c>
      <c r="AL518" s="2">
        <f t="shared" si="212"/>
        <v>0</v>
      </c>
      <c r="AM518" s="2">
        <f t="shared" si="213"/>
        <v>0</v>
      </c>
      <c r="AN518" s="2">
        <f t="shared" si="214"/>
        <v>0</v>
      </c>
      <c r="AO518" s="3">
        <f t="shared" si="215"/>
        <v>0.1</v>
      </c>
      <c r="AP518">
        <f t="shared" si="216"/>
        <v>0</v>
      </c>
      <c r="AQ518">
        <f t="shared" si="217"/>
        <v>0.1</v>
      </c>
      <c r="AR518">
        <f t="shared" si="218"/>
        <v>0</v>
      </c>
      <c r="AS518" s="2">
        <f t="shared" si="219"/>
        <v>0</v>
      </c>
      <c r="AT518" s="2">
        <f>IFERROR(INDEX(Player_Model!$BC$2:$BC$596,MATCH($A518,Player_Model!$A$2:$A$596,0)),0)</f>
        <v>0</v>
      </c>
      <c r="AU518" s="2">
        <f>Table8[[#This Row],[Model Expected Points]]*Table8[[#This Row],[Fixture Adjustment]]</f>
        <v>0</v>
      </c>
      <c r="AV518" s="2">
        <f>Table8[[#This Row],[Fixture Adjusted Points / 90]]/Table8[[#This Row],[Price]]</f>
        <v>0</v>
      </c>
      <c r="AW518">
        <f t="shared" si="220"/>
        <v>0.05</v>
      </c>
      <c r="AX518">
        <f t="shared" si="221"/>
        <v>0</v>
      </c>
      <c r="AY518" s="2">
        <f t="shared" si="222"/>
        <v>0</v>
      </c>
      <c r="AZ518" s="5">
        <f t="shared" si="223"/>
        <v>1.0979325259515571</v>
      </c>
      <c r="BA518">
        <f>Table8[[#This Row],[Model Score2]]</f>
        <v>0</v>
      </c>
      <c r="BB518">
        <f>IFERROR(INDEX(Player_Model!$BG$2:$BG$596,MATCH($A518,Player_Model!$A$2:$A$596,0)),"")</f>
        <v>248</v>
      </c>
      <c r="BC518" t="str">
        <f t="shared" si="224"/>
        <v>AVOID</v>
      </c>
      <c r="BD518">
        <f>IF(H518=1,Table8[[#This Row],[Model Score]],-10000)</f>
        <v>-10000</v>
      </c>
      <c r="BE518">
        <f>IFERROR(INDEX(Player_Model!$BF$2:$BF$596,MATCH($A518,Player_Model!$A$2:$A$596,0)),"")</f>
        <v>253</v>
      </c>
      <c r="BF518">
        <f>IFERROR(INDEX(Player_Model!$BG$2:$BG$596,MATCH($A518,Player_Model!$A$2:$A$596,0)),"")</f>
        <v>248</v>
      </c>
      <c r="BG518">
        <f>IFERROR(INDEX(Player_Model!$BE$2:$BE$596,MATCH($A518,Player_Model!$A$2:$A$596,0)),0)</f>
        <v>0</v>
      </c>
    </row>
    <row r="519" spans="1:59" x14ac:dyDescent="0.25">
      <c r="A519" t="str">
        <f>tblPlayers[first_name]&amp;" "&amp;tblPlayers[second_name]</f>
        <v>Jack Fletcher</v>
      </c>
      <c r="B519" t="str">
        <f>_xlfn.SWITCH(tblPlayers[element_type],1,"GK",2,"DEF",3,"MID",4,"FWD")</f>
        <v>MID</v>
      </c>
      <c r="C519">
        <f>tblPlayers[team]</f>
        <v>16</v>
      </c>
      <c r="D519" t="str">
        <f>INDEX(tblTeams[Column1.short_name],MATCH(C519,tblTeams[Column1.id],0))</f>
        <v>MUN</v>
      </c>
      <c r="E519" s="4">
        <f>INDEX(FPL_Raw_Data!$F:$F,MATCH(A519,FPL_Raw_Data!$AA:$AA,0))/10</f>
        <v>5</v>
      </c>
      <c r="F519" s="4" t="str">
        <f>tblPlayers[[#This Row],[status]]</f>
        <v>a</v>
      </c>
      <c r="G519" s="4" t="b">
        <f>tblPlayers[[#This Row],[can_select]]</f>
        <v>1</v>
      </c>
      <c r="H519">
        <f>IF(AND(Table8[[#This Row],[Availability Status]]="a",Table8[[#This Row],[Can Select]]=TRUE),1,0)</f>
        <v>1</v>
      </c>
      <c r="I519">
        <f>tblPlayers[minutes]</f>
        <v>0</v>
      </c>
      <c r="J519" s="2">
        <f>Table8[[#This Row],[Minutes]]/90</f>
        <v>0</v>
      </c>
      <c r="K519" s="5">
        <f>IFERROR(Z519/(FIXTURE_ANALYSIS!$B$1-1),0)</f>
        <v>0</v>
      </c>
      <c r="L519">
        <f>tblPlayers[total_points]</f>
        <v>0</v>
      </c>
      <c r="M519">
        <f>tblPlayers[points_per_game]</f>
        <v>0</v>
      </c>
      <c r="N519">
        <f>tblPlayers[form]</f>
        <v>0</v>
      </c>
      <c r="O519">
        <f>tblPlayers[expected_goals]</f>
        <v>0</v>
      </c>
      <c r="P519">
        <f>tblPlayers[expected_assists]</f>
        <v>0</v>
      </c>
      <c r="Q519">
        <f>tblPlayers[expected_goal_involvements]</f>
        <v>0</v>
      </c>
      <c r="R519" s="2">
        <f t="shared" si="200"/>
        <v>0</v>
      </c>
      <c r="S519" s="5">
        <f t="shared" si="201"/>
        <v>0</v>
      </c>
      <c r="T519" s="5">
        <f t="shared" si="202"/>
        <v>0</v>
      </c>
      <c r="U519" s="5">
        <f t="shared" si="203"/>
        <v>0</v>
      </c>
      <c r="V519" s="3">
        <f t="shared" si="204"/>
        <v>0</v>
      </c>
      <c r="W519" s="5">
        <f t="shared" si="205"/>
        <v>0</v>
      </c>
      <c r="X519" s="5">
        <f>IFERROR(IF(OR($B519="MID",$B519="FWD"),INDEX(FIXTURE_ANALYSIS!$Q:$Q,MATCH($D519,FIXTURE_ANALYSIS!$A:$A,0)),INDEX(FIXTURE_ANALYSIS!$R:$R,MATCH($D519,FIXTURE_ANALYSIS!$A:$A,0))),1)</f>
        <v>1.0979325259515571</v>
      </c>
      <c r="Y519" s="5">
        <f t="shared" si="206"/>
        <v>1.0979325259515571</v>
      </c>
      <c r="Z519" s="8">
        <f>INDEX(FPL_Raw_Data!$T:$T,MATCH(A519,FPL_Raw_Data!$AA:$AA,0))</f>
        <v>0</v>
      </c>
      <c r="AA519" s="8">
        <f>INDEX(FPL_Raw_Data!$S:$S,MATCH(A519,FPL_Raw_Data!$AA:$AA,0))</f>
        <v>0</v>
      </c>
      <c r="AB519" s="2">
        <f t="shared" si="207"/>
        <v>0</v>
      </c>
      <c r="AC519" s="2">
        <f>INDEX(FPL_Raw_Data!$Q:$Q,MATCH(A519,FPL_Raw_Data!$AA:$AA,0))</f>
        <v>0</v>
      </c>
      <c r="AD519" s="8">
        <f>INDEX(FPL_Raw_Data!$R:$R,MATCH(A519,FPL_Raw_Data!$AA:$AA,0))</f>
        <v>0</v>
      </c>
      <c r="AE519" s="8">
        <f>INDEX(FPL_Raw_Data!$N:$N,MATCH(A519,FPL_Raw_Data!$AA:$AA,0))</f>
        <v>0</v>
      </c>
      <c r="AF519" s="8">
        <f>INDEX(FPL_Raw_Data!$L:$L,MATCH(A519,FPL_Raw_Data!$AA:$AA,0))</f>
        <v>0</v>
      </c>
      <c r="AG519" s="2">
        <f>INDEX(FPL_Raw_Data!$M:$M,MATCH(A519,FPL_Raw_Data!$AA:$AA,0))</f>
        <v>0</v>
      </c>
      <c r="AH519" s="2">
        <f t="shared" si="208"/>
        <v>0</v>
      </c>
      <c r="AI519" s="2">
        <f t="shared" si="209"/>
        <v>0</v>
      </c>
      <c r="AJ519" s="2">
        <f t="shared" si="210"/>
        <v>0</v>
      </c>
      <c r="AK519" s="2">
        <f t="shared" si="211"/>
        <v>0</v>
      </c>
      <c r="AL519" s="2">
        <f t="shared" si="212"/>
        <v>0</v>
      </c>
      <c r="AM519" s="2">
        <f t="shared" si="213"/>
        <v>0</v>
      </c>
      <c r="AN519" s="2">
        <f t="shared" si="214"/>
        <v>0</v>
      </c>
      <c r="AO519" s="3">
        <f t="shared" si="215"/>
        <v>0.1</v>
      </c>
      <c r="AP519">
        <f t="shared" si="216"/>
        <v>0</v>
      </c>
      <c r="AQ519">
        <f t="shared" si="217"/>
        <v>0.1</v>
      </c>
      <c r="AR519">
        <f t="shared" si="218"/>
        <v>0</v>
      </c>
      <c r="AS519" s="2">
        <f t="shared" si="219"/>
        <v>0</v>
      </c>
      <c r="AT519" s="2">
        <f>IFERROR(INDEX(Player_Model!$BC$2:$BC$596,MATCH($A519,Player_Model!$A$2:$A$596,0)),0)</f>
        <v>0</v>
      </c>
      <c r="AU519" s="2">
        <f>Table8[[#This Row],[Model Expected Points]]*Table8[[#This Row],[Fixture Adjustment]]</f>
        <v>0</v>
      </c>
      <c r="AV519" s="2">
        <f>Table8[[#This Row],[Fixture Adjusted Points / 90]]/Table8[[#This Row],[Price]]</f>
        <v>0</v>
      </c>
      <c r="AW519">
        <f t="shared" si="220"/>
        <v>0.05</v>
      </c>
      <c r="AX519">
        <f t="shared" si="221"/>
        <v>0</v>
      </c>
      <c r="AY519" s="2">
        <f t="shared" si="222"/>
        <v>0</v>
      </c>
      <c r="AZ519" s="5">
        <f t="shared" si="223"/>
        <v>1.0979325259515571</v>
      </c>
      <c r="BA519">
        <f>Table8[[#This Row],[Model Score2]]</f>
        <v>0</v>
      </c>
      <c r="BB519">
        <f>IFERROR(INDEX(Player_Model!$BG$2:$BG$596,MATCH($A519,Player_Model!$A$2:$A$596,0)),"")</f>
        <v>249</v>
      </c>
      <c r="BC519" t="str">
        <f t="shared" si="224"/>
        <v>AVOID</v>
      </c>
      <c r="BD519">
        <f>IF(H519=1,Table8[[#This Row],[Model Score]],-10000)</f>
        <v>0</v>
      </c>
      <c r="BE519">
        <f>IFERROR(INDEX(Player_Model!$BF$2:$BF$596,MATCH($A519,Player_Model!$A$2:$A$596,0)),"")</f>
        <v>253</v>
      </c>
      <c r="BF519">
        <f>IFERROR(INDEX(Player_Model!$BG$2:$BG$596,MATCH($A519,Player_Model!$A$2:$A$596,0)),"")</f>
        <v>249</v>
      </c>
      <c r="BG519">
        <f>IFERROR(INDEX(Player_Model!$BE$2:$BE$596,MATCH($A519,Player_Model!$A$2:$A$596,0)),0)</f>
        <v>0</v>
      </c>
    </row>
    <row r="520" spans="1:59" x14ac:dyDescent="0.25">
      <c r="A520" t="str">
        <f>tblPlayers[first_name]&amp;" "&amp;tblPlayers[second_name]</f>
        <v>Shea Lacey</v>
      </c>
      <c r="B520" t="str">
        <f>_xlfn.SWITCH(tblPlayers[element_type],1,"GK",2,"DEF",3,"MID",4,"FWD")</f>
        <v>MID</v>
      </c>
      <c r="C520">
        <f>tblPlayers[team]</f>
        <v>16</v>
      </c>
      <c r="D520" t="str">
        <f>INDEX(tblTeams[Column1.short_name],MATCH(C520,tblTeams[Column1.id],0))</f>
        <v>MUN</v>
      </c>
      <c r="E520" s="4">
        <f>INDEX(FPL_Raw_Data!$F:$F,MATCH(A520,FPL_Raw_Data!$AA:$AA,0))/10</f>
        <v>5</v>
      </c>
      <c r="F520" s="4" t="str">
        <f>tblPlayers[[#This Row],[status]]</f>
        <v>a</v>
      </c>
      <c r="G520" s="4" t="b">
        <f>tblPlayers[[#This Row],[can_select]]</f>
        <v>1</v>
      </c>
      <c r="H520">
        <f>IF(AND(Table8[[#This Row],[Availability Status]]="a",Table8[[#This Row],[Can Select]]=TRUE),1,0)</f>
        <v>1</v>
      </c>
      <c r="I520">
        <f>tblPlayers[minutes]</f>
        <v>10</v>
      </c>
      <c r="J520" s="2">
        <f>Table8[[#This Row],[Minutes]]/90</f>
        <v>0.1111111111111111</v>
      </c>
      <c r="K520" s="5">
        <f>IFERROR(Z520/(FIXTURE_ANALYSIS!$B$1-1),0)</f>
        <v>0</v>
      </c>
      <c r="L520">
        <f>tblPlayers[total_points]</f>
        <v>1</v>
      </c>
      <c r="M520">
        <f>tblPlayers[points_per_game]</f>
        <v>1</v>
      </c>
      <c r="N520">
        <f>tblPlayers[form]</f>
        <v>0.3</v>
      </c>
      <c r="O520">
        <f>tblPlayers[expected_goals]</f>
        <v>0</v>
      </c>
      <c r="P520">
        <f>tblPlayers[expected_assists]</f>
        <v>0</v>
      </c>
      <c r="Q520">
        <f>tblPlayers[expected_goal_involvements]</f>
        <v>0</v>
      </c>
      <c r="R520" s="2">
        <f t="shared" si="200"/>
        <v>9</v>
      </c>
      <c r="S520" s="5">
        <f t="shared" si="201"/>
        <v>0</v>
      </c>
      <c r="T520" s="5">
        <f t="shared" si="202"/>
        <v>0</v>
      </c>
      <c r="U520" s="5">
        <f t="shared" si="203"/>
        <v>0</v>
      </c>
      <c r="V520" s="3">
        <f t="shared" si="204"/>
        <v>0.2</v>
      </c>
      <c r="W520" s="5">
        <f t="shared" si="205"/>
        <v>0</v>
      </c>
      <c r="X520" s="5">
        <f>IFERROR(IF(OR($B520="MID",$B520="FWD"),INDEX(FIXTURE_ANALYSIS!$Q:$Q,MATCH($D520,FIXTURE_ANALYSIS!$A:$A,0)),INDEX(FIXTURE_ANALYSIS!$R:$R,MATCH($D520,FIXTURE_ANALYSIS!$A:$A,0))),1)</f>
        <v>1.0979325259515571</v>
      </c>
      <c r="Y520" s="5">
        <f t="shared" si="206"/>
        <v>1.0979325259515571</v>
      </c>
      <c r="Z520" s="8">
        <f>INDEX(FPL_Raw_Data!$T:$T,MATCH(A520,FPL_Raw_Data!$AA:$AA,0))</f>
        <v>0</v>
      </c>
      <c r="AA520" s="8">
        <f>INDEX(FPL_Raw_Data!$S:$S,MATCH(A520,FPL_Raw_Data!$AA:$AA,0))</f>
        <v>1</v>
      </c>
      <c r="AB520" s="2">
        <f t="shared" si="207"/>
        <v>8.3333333333333329E-2</v>
      </c>
      <c r="AC520" s="2">
        <f>INDEX(FPL_Raw_Data!$Q:$Q,MATCH(A520,FPL_Raw_Data!$AA:$AA,0))</f>
        <v>0</v>
      </c>
      <c r="AD520" s="8">
        <f>INDEX(FPL_Raw_Data!$R:$R,MATCH(A520,FPL_Raw_Data!$AA:$AA,0))</f>
        <v>3</v>
      </c>
      <c r="AE520" s="8">
        <f>INDEX(FPL_Raw_Data!$N:$N,MATCH(A520,FPL_Raw_Data!$AA:$AA,0))</f>
        <v>0</v>
      </c>
      <c r="AF520" s="8">
        <f>INDEX(FPL_Raw_Data!$L:$L,MATCH(A520,FPL_Raw_Data!$AA:$AA,0))</f>
        <v>0</v>
      </c>
      <c r="AG520" s="2">
        <f>INDEX(FPL_Raw_Data!$M:$M,MATCH(A520,FPL_Raw_Data!$AA:$AA,0))</f>
        <v>0</v>
      </c>
      <c r="AH520" s="2">
        <f t="shared" si="208"/>
        <v>0</v>
      </c>
      <c r="AI520" s="2">
        <f t="shared" si="209"/>
        <v>0</v>
      </c>
      <c r="AJ520" s="2">
        <f t="shared" si="210"/>
        <v>0</v>
      </c>
      <c r="AK520" s="2">
        <f t="shared" si="211"/>
        <v>0.16666666666666666</v>
      </c>
      <c r="AL520" s="2">
        <f t="shared" si="212"/>
        <v>0</v>
      </c>
      <c r="AM520" s="2">
        <f t="shared" si="213"/>
        <v>0</v>
      </c>
      <c r="AN520" s="2">
        <f t="shared" si="214"/>
        <v>0</v>
      </c>
      <c r="AO520" s="3">
        <f t="shared" si="215"/>
        <v>91.4</v>
      </c>
      <c r="AP520">
        <f t="shared" si="216"/>
        <v>0</v>
      </c>
      <c r="AQ520">
        <f t="shared" si="217"/>
        <v>44.4</v>
      </c>
      <c r="AR520">
        <f t="shared" si="218"/>
        <v>0</v>
      </c>
      <c r="AS520" s="2">
        <f t="shared" si="219"/>
        <v>0</v>
      </c>
      <c r="AT520" s="2">
        <f>IFERROR(INDEX(Player_Model!$BC$2:$BC$596,MATCH($A520,Player_Model!$A$2:$A$596,0)),0)</f>
        <v>0</v>
      </c>
      <c r="AU520" s="2">
        <f>Table8[[#This Row],[Model Expected Points]]*Table8[[#This Row],[Fixture Adjustment]]</f>
        <v>0</v>
      </c>
      <c r="AV520" s="2">
        <f>Table8[[#This Row],[Fixture Adjusted Points / 90]]/Table8[[#This Row],[Price]]</f>
        <v>0</v>
      </c>
      <c r="AW520">
        <f t="shared" si="220"/>
        <v>45.7</v>
      </c>
      <c r="AX520">
        <f t="shared" si="221"/>
        <v>8.3333333333333329E-2</v>
      </c>
      <c r="AY520" s="2">
        <f t="shared" si="222"/>
        <v>0</v>
      </c>
      <c r="AZ520" s="5">
        <f t="shared" si="223"/>
        <v>1.0979325259515571</v>
      </c>
      <c r="BA520">
        <f>Table8[[#This Row],[Model Score2]]</f>
        <v>0</v>
      </c>
      <c r="BB520">
        <f>IFERROR(INDEX(Player_Model!$BG$2:$BG$596,MATCH($A520,Player_Model!$A$2:$A$596,0)),"")</f>
        <v>250</v>
      </c>
      <c r="BC520" t="str">
        <f t="shared" si="224"/>
        <v>AVOID</v>
      </c>
      <c r="BD520">
        <f>IF(H520=1,Table8[[#This Row],[Model Score]],-10000)</f>
        <v>0</v>
      </c>
      <c r="BE520">
        <f>IFERROR(INDEX(Player_Model!$BF$2:$BF$596,MATCH($A520,Player_Model!$A$2:$A$596,0)),"")</f>
        <v>253</v>
      </c>
      <c r="BF520">
        <f>IFERROR(INDEX(Player_Model!$BG$2:$BG$596,MATCH($A520,Player_Model!$A$2:$A$596,0)),"")</f>
        <v>250</v>
      </c>
      <c r="BG520">
        <f>IFERROR(INDEX(Player_Model!$BE$2:$BE$596,MATCH($A520,Player_Model!$A$2:$A$596,0)),0)</f>
        <v>0</v>
      </c>
    </row>
    <row r="521" spans="1:59" x14ac:dyDescent="0.25">
      <c r="A521" t="str">
        <f>tblPlayers[first_name]&amp;" "&amp;tblPlayers[second_name]</f>
        <v>Toby Collyer</v>
      </c>
      <c r="B521" t="str">
        <f>_xlfn.SWITCH(tblPlayers[element_type],1,"GK",2,"DEF",3,"MID",4,"FWD")</f>
        <v>MID</v>
      </c>
      <c r="C521">
        <f>tblPlayers[team]</f>
        <v>16</v>
      </c>
      <c r="D521" t="str">
        <f>INDEX(tblTeams[Column1.short_name],MATCH(C521,tblTeams[Column1.id],0))</f>
        <v>MUN</v>
      </c>
      <c r="E521" s="4">
        <f>INDEX(FPL_Raw_Data!$F:$F,MATCH(A521,FPL_Raw_Data!$AA:$AA,0))/10</f>
        <v>5</v>
      </c>
      <c r="F521" s="4" t="str">
        <f>tblPlayers[[#This Row],[status]]</f>
        <v>u</v>
      </c>
      <c r="G521" s="4" t="b">
        <f>tblPlayers[[#This Row],[can_select]]</f>
        <v>0</v>
      </c>
      <c r="H521">
        <f>IF(AND(Table8[[#This Row],[Availability Status]]="a",Table8[[#This Row],[Can Select]]=TRUE),1,0)</f>
        <v>0</v>
      </c>
      <c r="I521">
        <f>tblPlayers[minutes]</f>
        <v>0</v>
      </c>
      <c r="J521" s="2">
        <f>Table8[[#This Row],[Minutes]]/90</f>
        <v>0</v>
      </c>
      <c r="K521" s="5">
        <f>IFERROR(Z521/(FIXTURE_ANALYSIS!$B$1-1),0)</f>
        <v>0</v>
      </c>
      <c r="L521">
        <f>tblPlayers[total_points]</f>
        <v>0</v>
      </c>
      <c r="M521">
        <f>tblPlayers[points_per_game]</f>
        <v>0</v>
      </c>
      <c r="N521">
        <f>tblPlayers[form]</f>
        <v>0</v>
      </c>
      <c r="O521">
        <f>tblPlayers[expected_goals]</f>
        <v>0</v>
      </c>
      <c r="P521">
        <f>tblPlayers[expected_assists]</f>
        <v>0</v>
      </c>
      <c r="Q521">
        <f>tblPlayers[expected_goal_involvements]</f>
        <v>0</v>
      </c>
      <c r="R521" s="2">
        <f t="shared" si="200"/>
        <v>0</v>
      </c>
      <c r="S521" s="5">
        <f t="shared" si="201"/>
        <v>0</v>
      </c>
      <c r="T521" s="5">
        <f t="shared" si="202"/>
        <v>0</v>
      </c>
      <c r="U521" s="5">
        <f t="shared" si="203"/>
        <v>0</v>
      </c>
      <c r="V521" s="3">
        <f t="shared" si="204"/>
        <v>0</v>
      </c>
      <c r="W521" s="5">
        <f t="shared" si="205"/>
        <v>0</v>
      </c>
      <c r="X521" s="5">
        <f>IFERROR(IF(OR($B521="MID",$B521="FWD"),INDEX(FIXTURE_ANALYSIS!$Q:$Q,MATCH($D521,FIXTURE_ANALYSIS!$A:$A,0)),INDEX(FIXTURE_ANALYSIS!$R:$R,MATCH($D521,FIXTURE_ANALYSIS!$A:$A,0))),1)</f>
        <v>1.0979325259515571</v>
      </c>
      <c r="Y521" s="5">
        <f t="shared" si="206"/>
        <v>1.0979325259515571</v>
      </c>
      <c r="Z521" s="8">
        <f>INDEX(FPL_Raw_Data!$T:$T,MATCH(A521,FPL_Raw_Data!$AA:$AA,0))</f>
        <v>0</v>
      </c>
      <c r="AA521" s="8">
        <f>INDEX(FPL_Raw_Data!$S:$S,MATCH(A521,FPL_Raw_Data!$AA:$AA,0))</f>
        <v>0</v>
      </c>
      <c r="AB521" s="2">
        <f t="shared" si="207"/>
        <v>0</v>
      </c>
      <c r="AC521" s="2">
        <f>INDEX(FPL_Raw_Data!$Q:$Q,MATCH(A521,FPL_Raw_Data!$AA:$AA,0))</f>
        <v>0</v>
      </c>
      <c r="AD521" s="8">
        <f>INDEX(FPL_Raw_Data!$R:$R,MATCH(A521,FPL_Raw_Data!$AA:$AA,0))</f>
        <v>0</v>
      </c>
      <c r="AE521" s="8">
        <f>INDEX(FPL_Raw_Data!$N:$N,MATCH(A521,FPL_Raw_Data!$AA:$AA,0))</f>
        <v>0</v>
      </c>
      <c r="AF521" s="8">
        <f>INDEX(FPL_Raw_Data!$L:$L,MATCH(A521,FPL_Raw_Data!$AA:$AA,0))</f>
        <v>0</v>
      </c>
      <c r="AG521" s="2">
        <f>INDEX(FPL_Raw_Data!$M:$M,MATCH(A521,FPL_Raw_Data!$AA:$AA,0))</f>
        <v>0</v>
      </c>
      <c r="AH521" s="2">
        <f t="shared" si="208"/>
        <v>0</v>
      </c>
      <c r="AI521" s="2">
        <f t="shared" si="209"/>
        <v>0</v>
      </c>
      <c r="AJ521" s="2">
        <f t="shared" si="210"/>
        <v>0</v>
      </c>
      <c r="AK521" s="2">
        <f t="shared" si="211"/>
        <v>0</v>
      </c>
      <c r="AL521" s="2">
        <f t="shared" si="212"/>
        <v>0</v>
      </c>
      <c r="AM521" s="2">
        <f t="shared" si="213"/>
        <v>0</v>
      </c>
      <c r="AN521" s="2">
        <f t="shared" si="214"/>
        <v>0</v>
      </c>
      <c r="AO521" s="3">
        <f t="shared" si="215"/>
        <v>0.1</v>
      </c>
      <c r="AP521">
        <f t="shared" si="216"/>
        <v>0</v>
      </c>
      <c r="AQ521">
        <f t="shared" si="217"/>
        <v>0.1</v>
      </c>
      <c r="AR521">
        <f t="shared" si="218"/>
        <v>0</v>
      </c>
      <c r="AS521" s="2">
        <f t="shared" si="219"/>
        <v>0</v>
      </c>
      <c r="AT521" s="2">
        <f>IFERROR(INDEX(Player_Model!$BC$2:$BC$596,MATCH($A521,Player_Model!$A$2:$A$596,0)),0)</f>
        <v>0</v>
      </c>
      <c r="AU521" s="2">
        <f>Table8[[#This Row],[Model Expected Points]]*Table8[[#This Row],[Fixture Adjustment]]</f>
        <v>0</v>
      </c>
      <c r="AV521" s="2">
        <f>Table8[[#This Row],[Fixture Adjusted Points / 90]]/Table8[[#This Row],[Price]]</f>
        <v>0</v>
      </c>
      <c r="AW521">
        <f t="shared" si="220"/>
        <v>0.05</v>
      </c>
      <c r="AX521">
        <f t="shared" si="221"/>
        <v>0</v>
      </c>
      <c r="AY521" s="2">
        <f t="shared" si="222"/>
        <v>0</v>
      </c>
      <c r="AZ521" s="5">
        <f t="shared" si="223"/>
        <v>1.0979325259515571</v>
      </c>
      <c r="BA521">
        <f>Table8[[#This Row],[Model Score2]]</f>
        <v>0</v>
      </c>
      <c r="BB521">
        <f>IFERROR(INDEX(Player_Model!$BG$2:$BG$596,MATCH($A521,Player_Model!$A$2:$A$596,0)),"")</f>
        <v>251</v>
      </c>
      <c r="BC521" t="str">
        <f t="shared" si="224"/>
        <v>AVOID</v>
      </c>
      <c r="BD521">
        <f>IF(H521=1,Table8[[#This Row],[Model Score]],-10000)</f>
        <v>-10000</v>
      </c>
      <c r="BE521">
        <f>IFERROR(INDEX(Player_Model!$BF$2:$BF$596,MATCH($A521,Player_Model!$A$2:$A$596,0)),"")</f>
        <v>253</v>
      </c>
      <c r="BF521">
        <f>IFERROR(INDEX(Player_Model!$BG$2:$BG$596,MATCH($A521,Player_Model!$A$2:$A$596,0)),"")</f>
        <v>251</v>
      </c>
      <c r="BG521">
        <f>IFERROR(INDEX(Player_Model!$BE$2:$BE$596,MATCH($A521,Player_Model!$A$2:$A$596,0)),0)</f>
        <v>0</v>
      </c>
    </row>
    <row r="522" spans="1:59" x14ac:dyDescent="0.25">
      <c r="A522" t="str">
        <f>tblPlayers[first_name]&amp;" "&amp;tblPlayers[second_name]</f>
        <v>Bendito Mantato</v>
      </c>
      <c r="B522" t="str">
        <f>_xlfn.SWITCH(tblPlayers[element_type],1,"GK",2,"DEF",3,"MID",4,"FWD")</f>
        <v>MID</v>
      </c>
      <c r="C522">
        <f>tblPlayers[team]</f>
        <v>16</v>
      </c>
      <c r="D522" t="str">
        <f>INDEX(tblTeams[Column1.short_name],MATCH(C522,tblTeams[Column1.id],0))</f>
        <v>MUN</v>
      </c>
      <c r="E522" s="4">
        <f>INDEX(FPL_Raw_Data!$F:$F,MATCH(A522,FPL_Raw_Data!$AA:$AA,0))/10</f>
        <v>4.5</v>
      </c>
      <c r="F522" s="4" t="str">
        <f>tblPlayers[[#This Row],[status]]</f>
        <v>a</v>
      </c>
      <c r="G522" s="4" t="b">
        <f>tblPlayers[[#This Row],[can_select]]</f>
        <v>1</v>
      </c>
      <c r="H522">
        <f>IF(AND(Table8[[#This Row],[Availability Status]]="a",Table8[[#This Row],[Can Select]]=TRUE),1,0)</f>
        <v>1</v>
      </c>
      <c r="I522">
        <f>tblPlayers[minutes]</f>
        <v>0</v>
      </c>
      <c r="J522" s="2">
        <f>Table8[[#This Row],[Minutes]]/90</f>
        <v>0</v>
      </c>
      <c r="K522" s="5">
        <f>IFERROR(Z522/(FIXTURE_ANALYSIS!$B$1-1),0)</f>
        <v>0</v>
      </c>
      <c r="L522">
        <f>tblPlayers[total_points]</f>
        <v>0</v>
      </c>
      <c r="M522">
        <f>tblPlayers[points_per_game]</f>
        <v>0</v>
      </c>
      <c r="N522">
        <f>tblPlayers[form]</f>
        <v>0</v>
      </c>
      <c r="O522">
        <f>tblPlayers[expected_goals]</f>
        <v>0</v>
      </c>
      <c r="P522">
        <f>tblPlayers[expected_assists]</f>
        <v>0</v>
      </c>
      <c r="Q522">
        <f>tblPlayers[expected_goal_involvements]</f>
        <v>0</v>
      </c>
      <c r="R522" s="2">
        <f t="shared" si="200"/>
        <v>0</v>
      </c>
      <c r="S522" s="5">
        <f t="shared" si="201"/>
        <v>0</v>
      </c>
      <c r="T522" s="5">
        <f t="shared" si="202"/>
        <v>0</v>
      </c>
      <c r="U522" s="5">
        <f t="shared" si="203"/>
        <v>0</v>
      </c>
      <c r="V522" s="3">
        <f t="shared" si="204"/>
        <v>0</v>
      </c>
      <c r="W522" s="5">
        <f t="shared" si="205"/>
        <v>0</v>
      </c>
      <c r="X522" s="5">
        <f>IFERROR(IF(OR($B522="MID",$B522="FWD"),INDEX(FIXTURE_ANALYSIS!$Q:$Q,MATCH($D522,FIXTURE_ANALYSIS!$A:$A,0)),INDEX(FIXTURE_ANALYSIS!$R:$R,MATCH($D522,FIXTURE_ANALYSIS!$A:$A,0))),1)</f>
        <v>1.0979325259515571</v>
      </c>
      <c r="Y522" s="5">
        <f t="shared" si="206"/>
        <v>1.0979325259515571</v>
      </c>
      <c r="Z522" s="8">
        <f>INDEX(FPL_Raw_Data!$T:$T,MATCH(A522,FPL_Raw_Data!$AA:$AA,0))</f>
        <v>0</v>
      </c>
      <c r="AA522" s="8">
        <f>INDEX(FPL_Raw_Data!$S:$S,MATCH(A522,FPL_Raw_Data!$AA:$AA,0))</f>
        <v>0</v>
      </c>
      <c r="AB522" s="2">
        <f t="shared" si="207"/>
        <v>0</v>
      </c>
      <c r="AC522" s="2">
        <f>INDEX(FPL_Raw_Data!$Q:$Q,MATCH(A522,FPL_Raw_Data!$AA:$AA,0))</f>
        <v>0</v>
      </c>
      <c r="AD522" s="8">
        <f>INDEX(FPL_Raw_Data!$R:$R,MATCH(A522,FPL_Raw_Data!$AA:$AA,0))</f>
        <v>0</v>
      </c>
      <c r="AE522" s="8">
        <f>INDEX(FPL_Raw_Data!$N:$N,MATCH(A522,FPL_Raw_Data!$AA:$AA,0))</f>
        <v>0</v>
      </c>
      <c r="AF522" s="8">
        <f>INDEX(FPL_Raw_Data!$L:$L,MATCH(A522,FPL_Raw_Data!$AA:$AA,0))</f>
        <v>0</v>
      </c>
      <c r="AG522" s="2">
        <f>INDEX(FPL_Raw_Data!$M:$M,MATCH(A522,FPL_Raw_Data!$AA:$AA,0))</f>
        <v>0</v>
      </c>
      <c r="AH522" s="2">
        <f t="shared" si="208"/>
        <v>0</v>
      </c>
      <c r="AI522" s="2">
        <f t="shared" si="209"/>
        <v>0</v>
      </c>
      <c r="AJ522" s="2">
        <f t="shared" si="210"/>
        <v>0</v>
      </c>
      <c r="AK522" s="2">
        <f t="shared" si="211"/>
        <v>0</v>
      </c>
      <c r="AL522" s="2">
        <f t="shared" si="212"/>
        <v>0</v>
      </c>
      <c r="AM522" s="2">
        <f t="shared" si="213"/>
        <v>0</v>
      </c>
      <c r="AN522" s="2">
        <f t="shared" si="214"/>
        <v>0</v>
      </c>
      <c r="AO522" s="3">
        <f t="shared" si="215"/>
        <v>0.1</v>
      </c>
      <c r="AP522">
        <f t="shared" si="216"/>
        <v>0</v>
      </c>
      <c r="AQ522">
        <f t="shared" si="217"/>
        <v>0.1</v>
      </c>
      <c r="AR522">
        <f t="shared" si="218"/>
        <v>0</v>
      </c>
      <c r="AS522" s="2">
        <f t="shared" si="219"/>
        <v>0</v>
      </c>
      <c r="AT522" s="2">
        <f>IFERROR(INDEX(Player_Model!$BC$2:$BC$596,MATCH($A522,Player_Model!$A$2:$A$596,0)),0)</f>
        <v>0</v>
      </c>
      <c r="AU522" s="2">
        <f>Table8[[#This Row],[Model Expected Points]]*Table8[[#This Row],[Fixture Adjustment]]</f>
        <v>0</v>
      </c>
      <c r="AV522" s="2">
        <f>Table8[[#This Row],[Fixture Adjusted Points / 90]]/Table8[[#This Row],[Price]]</f>
        <v>0</v>
      </c>
      <c r="AW522">
        <f t="shared" si="220"/>
        <v>0.05</v>
      </c>
      <c r="AX522">
        <f t="shared" si="221"/>
        <v>0</v>
      </c>
      <c r="AY522" s="2">
        <f t="shared" si="222"/>
        <v>0</v>
      </c>
      <c r="AZ522" s="5">
        <f t="shared" si="223"/>
        <v>1.0979325259515571</v>
      </c>
      <c r="BA522">
        <f>Table8[[#This Row],[Model Score2]]</f>
        <v>0</v>
      </c>
      <c r="BB522">
        <f>IFERROR(INDEX(Player_Model!$BG$2:$BG$596,MATCH($A522,Player_Model!$A$2:$A$596,0)),"")</f>
        <v>252</v>
      </c>
      <c r="BC522" t="str">
        <f t="shared" si="224"/>
        <v>AVOID</v>
      </c>
      <c r="BD522">
        <f>IF(H522=1,Table8[[#This Row],[Model Score]],-10000)</f>
        <v>0</v>
      </c>
      <c r="BE522">
        <f>IFERROR(INDEX(Player_Model!$BF$2:$BF$596,MATCH($A522,Player_Model!$A$2:$A$596,0)),"")</f>
        <v>253</v>
      </c>
      <c r="BF522">
        <f>IFERROR(INDEX(Player_Model!$BG$2:$BG$596,MATCH($A522,Player_Model!$A$2:$A$596,0)),"")</f>
        <v>252</v>
      </c>
      <c r="BG522">
        <f>IFERROR(INDEX(Player_Model!$BE$2:$BE$596,MATCH($A522,Player_Model!$A$2:$A$596,0)),0)</f>
        <v>0</v>
      </c>
    </row>
    <row r="523" spans="1:59" x14ac:dyDescent="0.25">
      <c r="A523" t="str">
        <f>tblPlayers[first_name]&amp;" "&amp;tblPlayers[second_name]</f>
        <v>Tyler Fletcher</v>
      </c>
      <c r="B523" t="str">
        <f>_xlfn.SWITCH(tblPlayers[element_type],1,"GK",2,"DEF",3,"MID",4,"FWD")</f>
        <v>MID</v>
      </c>
      <c r="C523">
        <f>tblPlayers[team]</f>
        <v>16</v>
      </c>
      <c r="D523" t="str">
        <f>INDEX(tblTeams[Column1.short_name],MATCH(C523,tblTeams[Column1.id],0))</f>
        <v>MUN</v>
      </c>
      <c r="E523" s="4">
        <f>INDEX(FPL_Raw_Data!$F:$F,MATCH(A523,FPL_Raw_Data!$AA:$AA,0))/10</f>
        <v>4.5</v>
      </c>
      <c r="F523" s="4" t="str">
        <f>tblPlayers[[#This Row],[status]]</f>
        <v>a</v>
      </c>
      <c r="G523" s="4" t="b">
        <f>tblPlayers[[#This Row],[can_select]]</f>
        <v>1</v>
      </c>
      <c r="H523">
        <f>IF(AND(Table8[[#This Row],[Availability Status]]="a",Table8[[#This Row],[Can Select]]=TRUE),1,0)</f>
        <v>1</v>
      </c>
      <c r="I523">
        <f>tblPlayers[minutes]</f>
        <v>0</v>
      </c>
      <c r="J523" s="2">
        <f>Table8[[#This Row],[Minutes]]/90</f>
        <v>0</v>
      </c>
      <c r="K523" s="5">
        <f>IFERROR(Z523/(FIXTURE_ANALYSIS!$B$1-1),0)</f>
        <v>0</v>
      </c>
      <c r="L523">
        <f>tblPlayers[total_points]</f>
        <v>0</v>
      </c>
      <c r="M523">
        <f>tblPlayers[points_per_game]</f>
        <v>0</v>
      </c>
      <c r="N523">
        <f>tblPlayers[form]</f>
        <v>0</v>
      </c>
      <c r="O523">
        <f>tblPlayers[expected_goals]</f>
        <v>0</v>
      </c>
      <c r="P523">
        <f>tblPlayers[expected_assists]</f>
        <v>0</v>
      </c>
      <c r="Q523">
        <f>tblPlayers[expected_goal_involvements]</f>
        <v>0</v>
      </c>
      <c r="R523" s="2">
        <f t="shared" si="200"/>
        <v>0</v>
      </c>
      <c r="S523" s="5">
        <f t="shared" si="201"/>
        <v>0</v>
      </c>
      <c r="T523" s="5">
        <f t="shared" si="202"/>
        <v>0</v>
      </c>
      <c r="U523" s="5">
        <f t="shared" si="203"/>
        <v>0</v>
      </c>
      <c r="V523" s="3">
        <f t="shared" si="204"/>
        <v>0</v>
      </c>
      <c r="W523" s="5">
        <f t="shared" si="205"/>
        <v>0</v>
      </c>
      <c r="X523" s="5">
        <f>IFERROR(IF(OR($B523="MID",$B523="FWD"),INDEX(FIXTURE_ANALYSIS!$Q:$Q,MATCH($D523,FIXTURE_ANALYSIS!$A:$A,0)),INDEX(FIXTURE_ANALYSIS!$R:$R,MATCH($D523,FIXTURE_ANALYSIS!$A:$A,0))),1)</f>
        <v>1.0979325259515571</v>
      </c>
      <c r="Y523" s="5">
        <f t="shared" si="206"/>
        <v>1.0979325259515571</v>
      </c>
      <c r="Z523" s="8">
        <f>INDEX(FPL_Raw_Data!$T:$T,MATCH(A523,FPL_Raw_Data!$AA:$AA,0))</f>
        <v>0</v>
      </c>
      <c r="AA523" s="8">
        <f>INDEX(FPL_Raw_Data!$S:$S,MATCH(A523,FPL_Raw_Data!$AA:$AA,0))</f>
        <v>0</v>
      </c>
      <c r="AB523" s="2">
        <f t="shared" si="207"/>
        <v>0</v>
      </c>
      <c r="AC523" s="2">
        <f>INDEX(FPL_Raw_Data!$Q:$Q,MATCH(A523,FPL_Raw_Data!$AA:$AA,0))</f>
        <v>0</v>
      </c>
      <c r="AD523" s="8">
        <f>INDEX(FPL_Raw_Data!$R:$R,MATCH(A523,FPL_Raw_Data!$AA:$AA,0))</f>
        <v>0</v>
      </c>
      <c r="AE523" s="8">
        <f>INDEX(FPL_Raw_Data!$N:$N,MATCH(A523,FPL_Raw_Data!$AA:$AA,0))</f>
        <v>0</v>
      </c>
      <c r="AF523" s="8">
        <f>INDEX(FPL_Raw_Data!$L:$L,MATCH(A523,FPL_Raw_Data!$AA:$AA,0))</f>
        <v>0</v>
      </c>
      <c r="AG523" s="2">
        <f>INDEX(FPL_Raw_Data!$M:$M,MATCH(A523,FPL_Raw_Data!$AA:$AA,0))</f>
        <v>0</v>
      </c>
      <c r="AH523" s="2">
        <f t="shared" si="208"/>
        <v>0</v>
      </c>
      <c r="AI523" s="2">
        <f t="shared" si="209"/>
        <v>0</v>
      </c>
      <c r="AJ523" s="2">
        <f t="shared" si="210"/>
        <v>0</v>
      </c>
      <c r="AK523" s="2">
        <f t="shared" si="211"/>
        <v>0</v>
      </c>
      <c r="AL523" s="2">
        <f t="shared" si="212"/>
        <v>0</v>
      </c>
      <c r="AM523" s="2">
        <f t="shared" si="213"/>
        <v>0</v>
      </c>
      <c r="AN523" s="2">
        <f t="shared" si="214"/>
        <v>0</v>
      </c>
      <c r="AO523" s="3">
        <f t="shared" si="215"/>
        <v>0.1</v>
      </c>
      <c r="AP523">
        <f t="shared" si="216"/>
        <v>0</v>
      </c>
      <c r="AQ523">
        <f t="shared" si="217"/>
        <v>0.1</v>
      </c>
      <c r="AR523">
        <f t="shared" si="218"/>
        <v>0</v>
      </c>
      <c r="AS523" s="2">
        <f t="shared" si="219"/>
        <v>0</v>
      </c>
      <c r="AT523" s="2">
        <f>IFERROR(INDEX(Player_Model!$BC$2:$BC$596,MATCH($A523,Player_Model!$A$2:$A$596,0)),0)</f>
        <v>0</v>
      </c>
      <c r="AU523" s="2">
        <f>Table8[[#This Row],[Model Expected Points]]*Table8[[#This Row],[Fixture Adjustment]]</f>
        <v>0</v>
      </c>
      <c r="AV523" s="2">
        <f>Table8[[#This Row],[Fixture Adjusted Points / 90]]/Table8[[#This Row],[Price]]</f>
        <v>0</v>
      </c>
      <c r="AW523">
        <f t="shared" si="220"/>
        <v>0.05</v>
      </c>
      <c r="AX523">
        <f t="shared" si="221"/>
        <v>0</v>
      </c>
      <c r="AY523" s="2">
        <f t="shared" si="222"/>
        <v>0</v>
      </c>
      <c r="AZ523" s="5">
        <f t="shared" si="223"/>
        <v>1.0979325259515571</v>
      </c>
      <c r="BA523">
        <f>Table8[[#This Row],[Model Score2]]</f>
        <v>0</v>
      </c>
      <c r="BB523">
        <f>IFERROR(INDEX(Player_Model!$BG$2:$BG$596,MATCH($A523,Player_Model!$A$2:$A$596,0)),"")</f>
        <v>253</v>
      </c>
      <c r="BC523" t="str">
        <f t="shared" si="224"/>
        <v>AVOID</v>
      </c>
      <c r="BD523">
        <f>IF(H523=1,Table8[[#This Row],[Model Score]],-10000)</f>
        <v>0</v>
      </c>
      <c r="BE523">
        <f>IFERROR(INDEX(Player_Model!$BF$2:$BF$596,MATCH($A523,Player_Model!$A$2:$A$596,0)),"")</f>
        <v>253</v>
      </c>
      <c r="BF523">
        <f>IFERROR(INDEX(Player_Model!$BG$2:$BG$596,MATCH($A523,Player_Model!$A$2:$A$596,0)),"")</f>
        <v>253</v>
      </c>
      <c r="BG523">
        <f>IFERROR(INDEX(Player_Model!$BE$2:$BE$596,MATCH($A523,Player_Model!$A$2:$A$596,0)),0)</f>
        <v>0</v>
      </c>
    </row>
    <row r="524" spans="1:59" x14ac:dyDescent="0.25">
      <c r="A524" t="str">
        <f>tblPlayers[first_name]&amp;" "&amp;tblPlayers[second_name]</f>
        <v>Benjamin Sesko</v>
      </c>
      <c r="B524" t="str">
        <f>_xlfn.SWITCH(tblPlayers[element_type],1,"GK",2,"DEF",3,"MID",4,"FWD")</f>
        <v>FWD</v>
      </c>
      <c r="C524">
        <f>tblPlayers[team]</f>
        <v>16</v>
      </c>
      <c r="D524" t="str">
        <f>INDEX(tblTeams[Column1.short_name],MATCH(C524,tblTeams[Column1.id],0))</f>
        <v>MUN</v>
      </c>
      <c r="E524" s="4">
        <f>INDEX(FPL_Raw_Data!$F:$F,MATCH(A524,FPL_Raw_Data!$AA:$AA,0))/10</f>
        <v>7</v>
      </c>
      <c r="F524" s="4" t="str">
        <f>tblPlayers[[#This Row],[status]]</f>
        <v>a</v>
      </c>
      <c r="G524" s="4" t="b">
        <f>tblPlayers[[#This Row],[can_select]]</f>
        <v>1</v>
      </c>
      <c r="H524">
        <f>IF(AND(Table8[[#This Row],[Availability Status]]="a",Table8[[#This Row],[Can Select]]=TRUE),1,0)</f>
        <v>1</v>
      </c>
      <c r="I524">
        <f>tblPlayers[minutes]</f>
        <v>53</v>
      </c>
      <c r="J524" s="2">
        <f>Table8[[#This Row],[Minutes]]/90</f>
        <v>0.58888888888888891</v>
      </c>
      <c r="K524" s="5">
        <f>IFERROR(Z524/(FIXTURE_ANALYSIS!$B$1-1),0)</f>
        <v>0</v>
      </c>
      <c r="L524">
        <f>tblPlayers[total_points]</f>
        <v>7</v>
      </c>
      <c r="M524">
        <f>tblPlayers[points_per_game]</f>
        <v>2.2999999999999998</v>
      </c>
      <c r="N524">
        <f>tblPlayers[form]</f>
        <v>2.2999999999999998</v>
      </c>
      <c r="O524">
        <f>tblPlayers[expected_goals]</f>
        <v>0.33</v>
      </c>
      <c r="P524">
        <f>tblPlayers[expected_assists]</f>
        <v>0.01</v>
      </c>
      <c r="Q524">
        <f>tblPlayers[expected_goal_involvements]</f>
        <v>0.34</v>
      </c>
      <c r="R524" s="2">
        <f t="shared" si="200"/>
        <v>11.886792452830189</v>
      </c>
      <c r="S524" s="5">
        <f t="shared" si="201"/>
        <v>0.56037735849056602</v>
      </c>
      <c r="T524" s="5">
        <f t="shared" si="202"/>
        <v>1.6981132075471698E-2</v>
      </c>
      <c r="U524" s="5">
        <f t="shared" si="203"/>
        <v>0.57735849056603783</v>
      </c>
      <c r="V524" s="3">
        <f t="shared" si="204"/>
        <v>1</v>
      </c>
      <c r="W524" s="5">
        <f t="shared" si="205"/>
        <v>4.8571428571428578E-2</v>
      </c>
      <c r="X524" s="5">
        <f>IFERROR(IF(OR($B524="MID",$B524="FWD"),INDEX(FIXTURE_ANALYSIS!$Q:$Q,MATCH($D524,FIXTURE_ANALYSIS!$A:$A,0)),INDEX(FIXTURE_ANALYSIS!$R:$R,MATCH($D524,FIXTURE_ANALYSIS!$A:$A,0))),1)</f>
        <v>1.0979325259515571</v>
      </c>
      <c r="Y524" s="5">
        <f t="shared" si="206"/>
        <v>1.0979325259515571</v>
      </c>
      <c r="Z524" s="8">
        <f>INDEX(FPL_Raw_Data!$T:$T,MATCH(A524,FPL_Raw_Data!$AA:$AA,0))</f>
        <v>0</v>
      </c>
      <c r="AA524" s="8">
        <f>INDEX(FPL_Raw_Data!$S:$S,MATCH(A524,FPL_Raw_Data!$AA:$AA,0))</f>
        <v>3</v>
      </c>
      <c r="AB524" s="2">
        <f t="shared" si="207"/>
        <v>0.25</v>
      </c>
      <c r="AC524" s="2">
        <f>INDEX(FPL_Raw_Data!$Q:$Q,MATCH(A524,FPL_Raw_Data!$AA:$AA,0))</f>
        <v>0</v>
      </c>
      <c r="AD524" s="8">
        <f>INDEX(FPL_Raw_Data!$R:$R,MATCH(A524,FPL_Raw_Data!$AA:$AA,0))</f>
        <v>35</v>
      </c>
      <c r="AE524" s="8">
        <f>INDEX(FPL_Raw_Data!$N:$N,MATCH(A524,FPL_Raw_Data!$AA:$AA,0))</f>
        <v>0</v>
      </c>
      <c r="AF524" s="8">
        <f>INDEX(FPL_Raw_Data!$L:$L,MATCH(A524,FPL_Raw_Data!$AA:$AA,0))</f>
        <v>1</v>
      </c>
      <c r="AG524" s="2">
        <f>INDEX(FPL_Raw_Data!$M:$M,MATCH(A524,FPL_Raw_Data!$AA:$AA,0))</f>
        <v>0</v>
      </c>
      <c r="AH524" s="2">
        <f t="shared" si="208"/>
        <v>2.2415094339622641</v>
      </c>
      <c r="AI524" s="2">
        <f t="shared" si="209"/>
        <v>5.0943396226415097E-2</v>
      </c>
      <c r="AJ524" s="2">
        <f t="shared" si="210"/>
        <v>0</v>
      </c>
      <c r="AK524" s="2">
        <f t="shared" si="211"/>
        <v>0.5</v>
      </c>
      <c r="AL524" s="2">
        <f t="shared" si="212"/>
        <v>0</v>
      </c>
      <c r="AM524" s="2">
        <f t="shared" si="213"/>
        <v>0</v>
      </c>
      <c r="AN524" s="2">
        <f t="shared" si="214"/>
        <v>0</v>
      </c>
      <c r="AO524" s="3">
        <f t="shared" si="215"/>
        <v>95.1</v>
      </c>
      <c r="AP524">
        <f t="shared" si="216"/>
        <v>94.399999999999991</v>
      </c>
      <c r="AQ524">
        <f t="shared" si="217"/>
        <v>68.600000000000009</v>
      </c>
      <c r="AR524">
        <f t="shared" si="218"/>
        <v>75</v>
      </c>
      <c r="AS524" s="2">
        <f t="shared" si="219"/>
        <v>0</v>
      </c>
      <c r="AT524" s="2">
        <f>IFERROR(INDEX(Player_Model!$BC$2:$BC$596,MATCH($A524,Player_Model!$A$2:$A$596,0)),0)</f>
        <v>0</v>
      </c>
      <c r="AU524" s="2">
        <f>Table8[[#This Row],[Model Expected Points]]*Table8[[#This Row],[Fixture Adjustment]]</f>
        <v>0</v>
      </c>
      <c r="AV524" s="2">
        <f>Table8[[#This Row],[Fixture Adjusted Points / 90]]/Table8[[#This Row],[Price]]</f>
        <v>0</v>
      </c>
      <c r="AW524">
        <f t="shared" si="220"/>
        <v>94.75</v>
      </c>
      <c r="AX524">
        <f t="shared" si="221"/>
        <v>0</v>
      </c>
      <c r="AY524" s="2">
        <f t="shared" si="222"/>
        <v>0</v>
      </c>
      <c r="AZ524" s="5">
        <f t="shared" si="223"/>
        <v>1.0979325259515571</v>
      </c>
      <c r="BA524">
        <f>Table8[[#This Row],[Model Score2]]</f>
        <v>0</v>
      </c>
      <c r="BB524">
        <f>IFERROR(INDEX(Player_Model!$BG$2:$BG$596,MATCH($A524,Player_Model!$A$2:$A$596,0)),"")</f>
        <v>65</v>
      </c>
      <c r="BC524" t="str">
        <f t="shared" si="224"/>
        <v>AVOID</v>
      </c>
      <c r="BD524">
        <f>IF(H524=1,Table8[[#This Row],[Model Score]],-10000)</f>
        <v>0</v>
      </c>
      <c r="BE524">
        <f>IFERROR(INDEX(Player_Model!$BF$2:$BF$596,MATCH($A524,Player_Model!$A$2:$A$596,0)),"")</f>
        <v>253</v>
      </c>
      <c r="BF524">
        <f>IFERROR(INDEX(Player_Model!$BG$2:$BG$596,MATCH($A524,Player_Model!$A$2:$A$596,0)),"")</f>
        <v>65</v>
      </c>
      <c r="BG524">
        <f>IFERROR(INDEX(Player_Model!$BE$2:$BE$596,MATCH($A524,Player_Model!$A$2:$A$596,0)),0)</f>
        <v>0</v>
      </c>
    </row>
    <row r="525" spans="1:59" x14ac:dyDescent="0.25">
      <c r="A525" t="str">
        <f>tblPlayers[first_name]&amp;" "&amp;tblPlayers[second_name]</f>
        <v>Joshua Zirkzee</v>
      </c>
      <c r="B525" t="str">
        <f>_xlfn.SWITCH(tblPlayers[element_type],1,"GK",2,"DEF",3,"MID",4,"FWD")</f>
        <v>FWD</v>
      </c>
      <c r="C525">
        <f>tblPlayers[team]</f>
        <v>16</v>
      </c>
      <c r="D525" t="str">
        <f>INDEX(tblTeams[Column1.short_name],MATCH(C525,tblTeams[Column1.id],0))</f>
        <v>MUN</v>
      </c>
      <c r="E525" s="4">
        <f>INDEX(FPL_Raw_Data!$F:$F,MATCH(A525,FPL_Raw_Data!$AA:$AA,0))/10</f>
        <v>5.4</v>
      </c>
      <c r="F525" s="4" t="str">
        <f>tblPlayers[[#This Row],[status]]</f>
        <v>a</v>
      </c>
      <c r="G525" s="4" t="b">
        <f>tblPlayers[[#This Row],[can_select]]</f>
        <v>1</v>
      </c>
      <c r="H525">
        <f>IF(AND(Table8[[#This Row],[Availability Status]]="a",Table8[[#This Row],[Can Select]]=TRUE),1,0)</f>
        <v>1</v>
      </c>
      <c r="I525">
        <f>tblPlayers[minutes]</f>
        <v>0</v>
      </c>
      <c r="J525" s="2">
        <f>Table8[[#This Row],[Minutes]]/90</f>
        <v>0</v>
      </c>
      <c r="K525" s="5">
        <f>IFERROR(Z525/(FIXTURE_ANALYSIS!$B$1-1),0)</f>
        <v>0</v>
      </c>
      <c r="L525">
        <f>tblPlayers[total_points]</f>
        <v>0</v>
      </c>
      <c r="M525">
        <f>tblPlayers[points_per_game]</f>
        <v>0</v>
      </c>
      <c r="N525">
        <f>tblPlayers[form]</f>
        <v>0</v>
      </c>
      <c r="O525">
        <f>tblPlayers[expected_goals]</f>
        <v>0</v>
      </c>
      <c r="P525">
        <f>tblPlayers[expected_assists]</f>
        <v>0</v>
      </c>
      <c r="Q525">
        <f>tblPlayers[expected_goal_involvements]</f>
        <v>0</v>
      </c>
      <c r="R525" s="2">
        <f t="shared" si="200"/>
        <v>0</v>
      </c>
      <c r="S525" s="5">
        <f t="shared" si="201"/>
        <v>0</v>
      </c>
      <c r="T525" s="5">
        <f t="shared" si="202"/>
        <v>0</v>
      </c>
      <c r="U525" s="5">
        <f t="shared" si="203"/>
        <v>0</v>
      </c>
      <c r="V525" s="3">
        <f t="shared" si="204"/>
        <v>0</v>
      </c>
      <c r="W525" s="5">
        <f t="shared" si="205"/>
        <v>0</v>
      </c>
      <c r="X525" s="5">
        <f>IFERROR(IF(OR($B525="MID",$B525="FWD"),INDEX(FIXTURE_ANALYSIS!$Q:$Q,MATCH($D525,FIXTURE_ANALYSIS!$A:$A,0)),INDEX(FIXTURE_ANALYSIS!$R:$R,MATCH($D525,FIXTURE_ANALYSIS!$A:$A,0))),1)</f>
        <v>1.0979325259515571</v>
      </c>
      <c r="Y525" s="5">
        <f t="shared" si="206"/>
        <v>1.0979325259515571</v>
      </c>
      <c r="Z525" s="8">
        <f>INDEX(FPL_Raw_Data!$T:$T,MATCH(A525,FPL_Raw_Data!$AA:$AA,0))</f>
        <v>0</v>
      </c>
      <c r="AA525" s="8">
        <f>INDEX(FPL_Raw_Data!$S:$S,MATCH(A525,FPL_Raw_Data!$AA:$AA,0))</f>
        <v>0</v>
      </c>
      <c r="AB525" s="2">
        <f t="shared" si="207"/>
        <v>0</v>
      </c>
      <c r="AC525" s="2">
        <f>INDEX(FPL_Raw_Data!$Q:$Q,MATCH(A525,FPL_Raw_Data!$AA:$AA,0))</f>
        <v>0</v>
      </c>
      <c r="AD525" s="8">
        <f>INDEX(FPL_Raw_Data!$R:$R,MATCH(A525,FPL_Raw_Data!$AA:$AA,0))</f>
        <v>0</v>
      </c>
      <c r="AE525" s="8">
        <f>INDEX(FPL_Raw_Data!$N:$N,MATCH(A525,FPL_Raw_Data!$AA:$AA,0))</f>
        <v>0</v>
      </c>
      <c r="AF525" s="8">
        <f>INDEX(FPL_Raw_Data!$L:$L,MATCH(A525,FPL_Raw_Data!$AA:$AA,0))</f>
        <v>0</v>
      </c>
      <c r="AG525" s="2">
        <f>INDEX(FPL_Raw_Data!$M:$M,MATCH(A525,FPL_Raw_Data!$AA:$AA,0))</f>
        <v>0</v>
      </c>
      <c r="AH525" s="2">
        <f t="shared" si="208"/>
        <v>0</v>
      </c>
      <c r="AI525" s="2">
        <f t="shared" si="209"/>
        <v>0</v>
      </c>
      <c r="AJ525" s="2">
        <f t="shared" si="210"/>
        <v>0</v>
      </c>
      <c r="AK525" s="2">
        <f t="shared" si="211"/>
        <v>0</v>
      </c>
      <c r="AL525" s="2">
        <f t="shared" si="212"/>
        <v>0</v>
      </c>
      <c r="AM525" s="2">
        <f t="shared" si="213"/>
        <v>0</v>
      </c>
      <c r="AN525" s="2">
        <f t="shared" si="214"/>
        <v>0</v>
      </c>
      <c r="AO525" s="3">
        <f t="shared" si="215"/>
        <v>0.1</v>
      </c>
      <c r="AP525">
        <f t="shared" si="216"/>
        <v>0</v>
      </c>
      <c r="AQ525">
        <f t="shared" si="217"/>
        <v>0.1</v>
      </c>
      <c r="AR525">
        <f t="shared" si="218"/>
        <v>0</v>
      </c>
      <c r="AS525" s="2">
        <f t="shared" si="219"/>
        <v>0</v>
      </c>
      <c r="AT525" s="2">
        <f>IFERROR(INDEX(Player_Model!$BC$2:$BC$596,MATCH($A525,Player_Model!$A$2:$A$596,0)),0)</f>
        <v>0</v>
      </c>
      <c r="AU525" s="2">
        <f>Table8[[#This Row],[Model Expected Points]]*Table8[[#This Row],[Fixture Adjustment]]</f>
        <v>0</v>
      </c>
      <c r="AV525" s="2">
        <f>Table8[[#This Row],[Fixture Adjusted Points / 90]]/Table8[[#This Row],[Price]]</f>
        <v>0</v>
      </c>
      <c r="AW525">
        <f t="shared" si="220"/>
        <v>0.05</v>
      </c>
      <c r="AX525">
        <f t="shared" si="221"/>
        <v>0</v>
      </c>
      <c r="AY525" s="2">
        <f t="shared" si="222"/>
        <v>0</v>
      </c>
      <c r="AZ525" s="5">
        <f t="shared" si="223"/>
        <v>1.0979325259515571</v>
      </c>
      <c r="BA525">
        <f>Table8[[#This Row],[Model Score2]]</f>
        <v>0</v>
      </c>
      <c r="BB525">
        <f>IFERROR(INDEX(Player_Model!$BG$2:$BG$596,MATCH($A525,Player_Model!$A$2:$A$596,0)),"")</f>
        <v>66</v>
      </c>
      <c r="BC525" t="str">
        <f t="shared" si="224"/>
        <v>AVOID</v>
      </c>
      <c r="BD525">
        <f>IF(H525=1,Table8[[#This Row],[Model Score]],-10000)</f>
        <v>0</v>
      </c>
      <c r="BE525">
        <f>IFERROR(INDEX(Player_Model!$BF$2:$BF$596,MATCH($A525,Player_Model!$A$2:$A$596,0)),"")</f>
        <v>253</v>
      </c>
      <c r="BF525">
        <f>IFERROR(INDEX(Player_Model!$BG$2:$BG$596,MATCH($A525,Player_Model!$A$2:$A$596,0)),"")</f>
        <v>66</v>
      </c>
      <c r="BG525">
        <f>IFERROR(INDEX(Player_Model!$BE$2:$BE$596,MATCH($A525,Player_Model!$A$2:$A$596,0)),0)</f>
        <v>0</v>
      </c>
    </row>
    <row r="526" spans="1:59" x14ac:dyDescent="0.25">
      <c r="A526" t="str">
        <f>tblPlayers[first_name]&amp;" "&amp;tblPlayers[second_name]</f>
        <v>Chido Obi</v>
      </c>
      <c r="B526" t="str">
        <f>_xlfn.SWITCH(tblPlayers[element_type],1,"GK",2,"DEF",3,"MID",4,"FWD")</f>
        <v>FWD</v>
      </c>
      <c r="C526">
        <f>tblPlayers[team]</f>
        <v>16</v>
      </c>
      <c r="D526" t="str">
        <f>INDEX(tblTeams[Column1.short_name],MATCH(C526,tblTeams[Column1.id],0))</f>
        <v>MUN</v>
      </c>
      <c r="E526" s="4">
        <f>INDEX(FPL_Raw_Data!$F:$F,MATCH(A526,FPL_Raw_Data!$AA:$AA,0))/10</f>
        <v>4.5</v>
      </c>
      <c r="F526" s="4" t="str">
        <f>tblPlayers[[#This Row],[status]]</f>
        <v>a</v>
      </c>
      <c r="G526" s="4" t="b">
        <f>tblPlayers[[#This Row],[can_select]]</f>
        <v>1</v>
      </c>
      <c r="H526">
        <f>IF(AND(Table8[[#This Row],[Availability Status]]="a",Table8[[#This Row],[Can Select]]=TRUE),1,0)</f>
        <v>1</v>
      </c>
      <c r="I526">
        <f>tblPlayers[minutes]</f>
        <v>0</v>
      </c>
      <c r="J526" s="2">
        <f>Table8[[#This Row],[Minutes]]/90</f>
        <v>0</v>
      </c>
      <c r="K526" s="5">
        <f>IFERROR(Z526/(FIXTURE_ANALYSIS!$B$1-1),0)</f>
        <v>0</v>
      </c>
      <c r="L526">
        <f>tblPlayers[total_points]</f>
        <v>0</v>
      </c>
      <c r="M526">
        <f>tblPlayers[points_per_game]</f>
        <v>0</v>
      </c>
      <c r="N526">
        <f>tblPlayers[form]</f>
        <v>0</v>
      </c>
      <c r="O526">
        <f>tblPlayers[expected_goals]</f>
        <v>0</v>
      </c>
      <c r="P526">
        <f>tblPlayers[expected_assists]</f>
        <v>0</v>
      </c>
      <c r="Q526">
        <f>tblPlayers[expected_goal_involvements]</f>
        <v>0</v>
      </c>
      <c r="R526" s="2">
        <f t="shared" si="200"/>
        <v>0</v>
      </c>
      <c r="S526" s="5">
        <f t="shared" si="201"/>
        <v>0</v>
      </c>
      <c r="T526" s="5">
        <f t="shared" si="202"/>
        <v>0</v>
      </c>
      <c r="U526" s="5">
        <f t="shared" si="203"/>
        <v>0</v>
      </c>
      <c r="V526" s="3">
        <f t="shared" si="204"/>
        <v>0</v>
      </c>
      <c r="W526" s="5">
        <f t="shared" si="205"/>
        <v>0</v>
      </c>
      <c r="X526" s="5">
        <f>IFERROR(IF(OR($B526="MID",$B526="FWD"),INDEX(FIXTURE_ANALYSIS!$Q:$Q,MATCH($D526,FIXTURE_ANALYSIS!$A:$A,0)),INDEX(FIXTURE_ANALYSIS!$R:$R,MATCH($D526,FIXTURE_ANALYSIS!$A:$A,0))),1)</f>
        <v>1.0979325259515571</v>
      </c>
      <c r="Y526" s="5">
        <f t="shared" si="206"/>
        <v>1.0979325259515571</v>
      </c>
      <c r="Z526" s="8">
        <f>INDEX(FPL_Raw_Data!$T:$T,MATCH(A526,FPL_Raw_Data!$AA:$AA,0))</f>
        <v>0</v>
      </c>
      <c r="AA526" s="8">
        <f>INDEX(FPL_Raw_Data!$S:$S,MATCH(A526,FPL_Raw_Data!$AA:$AA,0))</f>
        <v>0</v>
      </c>
      <c r="AB526" s="2">
        <f t="shared" si="207"/>
        <v>0</v>
      </c>
      <c r="AC526" s="2">
        <f>INDEX(FPL_Raw_Data!$Q:$Q,MATCH(A526,FPL_Raw_Data!$AA:$AA,0))</f>
        <v>0</v>
      </c>
      <c r="AD526" s="8">
        <f>INDEX(FPL_Raw_Data!$R:$R,MATCH(A526,FPL_Raw_Data!$AA:$AA,0))</f>
        <v>0</v>
      </c>
      <c r="AE526" s="8">
        <f>INDEX(FPL_Raw_Data!$N:$N,MATCH(A526,FPL_Raw_Data!$AA:$AA,0))</f>
        <v>0</v>
      </c>
      <c r="AF526" s="8">
        <f>INDEX(FPL_Raw_Data!$L:$L,MATCH(A526,FPL_Raw_Data!$AA:$AA,0))</f>
        <v>0</v>
      </c>
      <c r="AG526" s="2">
        <f>INDEX(FPL_Raw_Data!$M:$M,MATCH(A526,FPL_Raw_Data!$AA:$AA,0))</f>
        <v>0</v>
      </c>
      <c r="AH526" s="2">
        <f t="shared" si="208"/>
        <v>0</v>
      </c>
      <c r="AI526" s="2">
        <f t="shared" si="209"/>
        <v>0</v>
      </c>
      <c r="AJ526" s="2">
        <f t="shared" si="210"/>
        <v>0</v>
      </c>
      <c r="AK526" s="2">
        <f t="shared" si="211"/>
        <v>0</v>
      </c>
      <c r="AL526" s="2">
        <f t="shared" si="212"/>
        <v>0</v>
      </c>
      <c r="AM526" s="2">
        <f t="shared" si="213"/>
        <v>0</v>
      </c>
      <c r="AN526" s="2">
        <f t="shared" si="214"/>
        <v>0</v>
      </c>
      <c r="AO526" s="3">
        <f t="shared" si="215"/>
        <v>0.1</v>
      </c>
      <c r="AP526">
        <f t="shared" si="216"/>
        <v>0</v>
      </c>
      <c r="AQ526">
        <f t="shared" si="217"/>
        <v>0.1</v>
      </c>
      <c r="AR526">
        <f t="shared" si="218"/>
        <v>0</v>
      </c>
      <c r="AS526" s="2">
        <f t="shared" si="219"/>
        <v>0</v>
      </c>
      <c r="AT526" s="2">
        <f>IFERROR(INDEX(Player_Model!$BC$2:$BC$596,MATCH($A526,Player_Model!$A$2:$A$596,0)),0)</f>
        <v>0</v>
      </c>
      <c r="AU526" s="2">
        <f>Table8[[#This Row],[Model Expected Points]]*Table8[[#This Row],[Fixture Adjustment]]</f>
        <v>0</v>
      </c>
      <c r="AV526" s="2">
        <f>Table8[[#This Row],[Fixture Adjusted Points / 90]]/Table8[[#This Row],[Price]]</f>
        <v>0</v>
      </c>
      <c r="AW526">
        <f t="shared" si="220"/>
        <v>0.05</v>
      </c>
      <c r="AX526">
        <f t="shared" si="221"/>
        <v>0</v>
      </c>
      <c r="AY526" s="2">
        <f t="shared" si="222"/>
        <v>0</v>
      </c>
      <c r="AZ526" s="5">
        <f t="shared" si="223"/>
        <v>1.0979325259515571</v>
      </c>
      <c r="BA526">
        <f>Table8[[#This Row],[Model Score2]]</f>
        <v>0</v>
      </c>
      <c r="BB526">
        <f>IFERROR(INDEX(Player_Model!$BG$2:$BG$596,MATCH($A526,Player_Model!$A$2:$A$596,0)),"")</f>
        <v>67</v>
      </c>
      <c r="BC526" t="str">
        <f t="shared" si="224"/>
        <v>AVOID</v>
      </c>
      <c r="BD526">
        <f>IF(H526=1,Table8[[#This Row],[Model Score]],-10000)</f>
        <v>0</v>
      </c>
      <c r="BE526">
        <f>IFERROR(INDEX(Player_Model!$BF$2:$BF$596,MATCH($A526,Player_Model!$A$2:$A$596,0)),"")</f>
        <v>253</v>
      </c>
      <c r="BF526">
        <f>IFERROR(INDEX(Player_Model!$BG$2:$BG$596,MATCH($A526,Player_Model!$A$2:$A$596,0)),"")</f>
        <v>67</v>
      </c>
      <c r="BG526">
        <f>IFERROR(INDEX(Player_Model!$BE$2:$BE$596,MATCH($A526,Player_Model!$A$2:$A$596,0)),0)</f>
        <v>0</v>
      </c>
    </row>
    <row r="527" spans="1:59" x14ac:dyDescent="0.25">
      <c r="A527" t="str">
        <f>tblPlayers[first_name]&amp;" "&amp;tblPlayers[second_name]</f>
        <v>Nico González Iglesias</v>
      </c>
      <c r="B527" t="str">
        <f>_xlfn.SWITCH(tblPlayers[element_type],1,"GK",2,"DEF",3,"MID",4,"FWD")</f>
        <v>MID</v>
      </c>
      <c r="C527">
        <f>tblPlayers[team]</f>
        <v>17</v>
      </c>
      <c r="D527" t="str">
        <f>INDEX(tblTeams[Column1.short_name],MATCH(C527,tblTeams[Column1.id],0))</f>
        <v>NEW</v>
      </c>
      <c r="E527" s="4">
        <f>INDEX(FPL_Raw_Data!$F:$F,MATCH(A527,FPL_Raw_Data!$AA:$AA,0))/10</f>
        <v>5.5</v>
      </c>
      <c r="F527" s="4" t="str">
        <f>tblPlayers[[#This Row],[status]]</f>
        <v>a</v>
      </c>
      <c r="G527" s="4" t="b">
        <f>tblPlayers[[#This Row],[can_select]]</f>
        <v>1</v>
      </c>
      <c r="H527">
        <f>IF(AND(Table8[[#This Row],[Availability Status]]="a",Table8[[#This Row],[Can Select]]=TRUE),1,0)</f>
        <v>1</v>
      </c>
      <c r="I527">
        <f>tblPlayers[minutes]</f>
        <v>146</v>
      </c>
      <c r="J527" s="2">
        <f>Table8[[#This Row],[Minutes]]/90</f>
        <v>1.6222222222222222</v>
      </c>
      <c r="K527" s="5">
        <f>IFERROR(Z527/(FIXTURE_ANALYSIS!$B$1-1),0)</f>
        <v>0.66666666666666663</v>
      </c>
      <c r="L527">
        <f>tblPlayers[total_points]</f>
        <v>4</v>
      </c>
      <c r="M527">
        <f>tblPlayers[points_per_game]</f>
        <v>2</v>
      </c>
      <c r="N527">
        <f>tblPlayers[form]</f>
        <v>1.3</v>
      </c>
      <c r="O527">
        <f>tblPlayers[expected_goals]</f>
        <v>0</v>
      </c>
      <c r="P527">
        <f>tblPlayers[expected_assists]</f>
        <v>0.21</v>
      </c>
      <c r="Q527">
        <f>tblPlayers[expected_goal_involvements]</f>
        <v>0.21</v>
      </c>
      <c r="R527" s="2">
        <f t="shared" si="200"/>
        <v>2.4657534246575343</v>
      </c>
      <c r="S527" s="5">
        <f t="shared" si="201"/>
        <v>0</v>
      </c>
      <c r="T527" s="5">
        <f t="shared" si="202"/>
        <v>0.12945205479452054</v>
      </c>
      <c r="U527" s="5">
        <f t="shared" si="203"/>
        <v>0.12945205479452054</v>
      </c>
      <c r="V527" s="3">
        <f t="shared" si="204"/>
        <v>0.72727272727272729</v>
      </c>
      <c r="W527" s="5">
        <f t="shared" si="205"/>
        <v>3.8181818181818178E-2</v>
      </c>
      <c r="X527" s="5">
        <f>IFERROR(IF(OR($B527="MID",$B527="FWD"),INDEX(FIXTURE_ANALYSIS!$Q:$Q,MATCH($D527,FIXTURE_ANALYSIS!$A:$A,0)),INDEX(FIXTURE_ANALYSIS!$R:$R,MATCH($D527,FIXTURE_ANALYSIS!$A:$A,0))),1)</f>
        <v>1.0060034602076122</v>
      </c>
      <c r="Y527" s="5">
        <f t="shared" si="206"/>
        <v>1.0060034602076122</v>
      </c>
      <c r="Z527" s="8">
        <f>INDEX(FPL_Raw_Data!$T:$T,MATCH(A527,FPL_Raw_Data!$AA:$AA,0))</f>
        <v>2</v>
      </c>
      <c r="AA527" s="8">
        <f>INDEX(FPL_Raw_Data!$S:$S,MATCH(A527,FPL_Raw_Data!$AA:$AA,0))</f>
        <v>11</v>
      </c>
      <c r="AB527" s="2">
        <f t="shared" si="207"/>
        <v>0.91666666666666663</v>
      </c>
      <c r="AC527" s="2">
        <f>INDEX(FPL_Raw_Data!$Q:$Q,MATCH(A527,FPL_Raw_Data!$AA:$AA,0))</f>
        <v>0</v>
      </c>
      <c r="AD527" s="8">
        <f>INDEX(FPL_Raw_Data!$R:$R,MATCH(A527,FPL_Raw_Data!$AA:$AA,0))</f>
        <v>20</v>
      </c>
      <c r="AE527" s="8">
        <f>INDEX(FPL_Raw_Data!$N:$N,MATCH(A527,FPL_Raw_Data!$AA:$AA,0))</f>
        <v>1</v>
      </c>
      <c r="AF527" s="8">
        <f>INDEX(FPL_Raw_Data!$L:$L,MATCH(A527,FPL_Raw_Data!$AA:$AA,0))</f>
        <v>0</v>
      </c>
      <c r="AG527" s="2">
        <f>INDEX(FPL_Raw_Data!$M:$M,MATCH(A527,FPL_Raw_Data!$AA:$AA,0))</f>
        <v>0</v>
      </c>
      <c r="AH527" s="2">
        <f t="shared" si="208"/>
        <v>0</v>
      </c>
      <c r="AI527" s="2">
        <f t="shared" si="209"/>
        <v>0.38835616438356163</v>
      </c>
      <c r="AJ527" s="2">
        <f t="shared" si="210"/>
        <v>1.3333333333333333</v>
      </c>
      <c r="AK527" s="2">
        <f t="shared" si="211"/>
        <v>1.8333333333333333</v>
      </c>
      <c r="AL527" s="2">
        <f t="shared" si="212"/>
        <v>0.5</v>
      </c>
      <c r="AM527" s="2">
        <f t="shared" si="213"/>
        <v>0.5</v>
      </c>
      <c r="AN527" s="2">
        <f t="shared" si="214"/>
        <v>0</v>
      </c>
      <c r="AO527" s="3">
        <f t="shared" si="215"/>
        <v>52.300000000000004</v>
      </c>
      <c r="AP527">
        <f t="shared" si="216"/>
        <v>70.7</v>
      </c>
      <c r="AQ527">
        <f t="shared" si="217"/>
        <v>64.3</v>
      </c>
      <c r="AR527">
        <f t="shared" si="218"/>
        <v>72.8</v>
      </c>
      <c r="AS527" s="2">
        <f t="shared" si="219"/>
        <v>66.666666666666657</v>
      </c>
      <c r="AT527" s="2">
        <f>IFERROR(INDEX(Player_Model!$BC$2:$BC$596,MATCH($A527,Player_Model!$A$2:$A$596,0)),0)</f>
        <v>4.0433378948880359</v>
      </c>
      <c r="AU527" s="2">
        <f>Table8[[#This Row],[Model Expected Points]]*Table8[[#This Row],[Fixture Adjustment]]</f>
        <v>4.0676119130459272</v>
      </c>
      <c r="AV527" s="2">
        <f>Table8[[#This Row],[Fixture Adjusted Points / 90]]/Table8[[#This Row],[Price]]</f>
        <v>0.73956580237198677</v>
      </c>
      <c r="AW527">
        <f t="shared" si="220"/>
        <v>61.5</v>
      </c>
      <c r="AX527">
        <f t="shared" si="221"/>
        <v>0.91666666666666663</v>
      </c>
      <c r="AY527" s="2">
        <f t="shared" si="222"/>
        <v>66.666666666666657</v>
      </c>
      <c r="AZ527" s="5">
        <f t="shared" si="223"/>
        <v>1.0060034602076122</v>
      </c>
      <c r="BA527">
        <f>Table8[[#This Row],[Model Score2]]</f>
        <v>4.0433378948880359</v>
      </c>
      <c r="BB527">
        <f>IFERROR(INDEX(Player_Model!$BG$2:$BG$596,MATCH($A527,Player_Model!$A$2:$A$596,0)),"")</f>
        <v>76</v>
      </c>
      <c r="BC527" t="str">
        <f t="shared" si="224"/>
        <v>AVOID</v>
      </c>
      <c r="BD527">
        <f>IF(H527=1,Table8[[#This Row],[Model Score]],-10000)</f>
        <v>4.0433378948880359</v>
      </c>
      <c r="BE527">
        <f>IFERROR(INDEX(Player_Model!$BF$2:$BF$596,MATCH($A527,Player_Model!$A$2:$A$596,0)),"")</f>
        <v>152</v>
      </c>
      <c r="BF527">
        <f>IFERROR(INDEX(Player_Model!$BG$2:$BG$596,MATCH($A527,Player_Model!$A$2:$A$596,0)),"")</f>
        <v>76</v>
      </c>
      <c r="BG527">
        <f>IFERROR(INDEX(Player_Model!$BE$2:$BE$596,MATCH($A527,Player_Model!$A$2:$A$596,0)),0)</f>
        <v>4.0433378948880359</v>
      </c>
    </row>
    <row r="528" spans="1:59" x14ac:dyDescent="0.25">
      <c r="A528" t="str">
        <f>tblPlayers[first_name]&amp;" "&amp;tblPlayers[second_name]</f>
        <v>Nick Pope</v>
      </c>
      <c r="B528" t="str">
        <f>_xlfn.SWITCH(tblPlayers[element_type],1,"GK",2,"DEF",3,"MID",4,"FWD")</f>
        <v>GK</v>
      </c>
      <c r="C528">
        <f>tblPlayers[team]</f>
        <v>17</v>
      </c>
      <c r="D528" t="str">
        <f>INDEX(tblTeams[Column1.short_name],MATCH(C528,tblTeams[Column1.id],0))</f>
        <v>NEW</v>
      </c>
      <c r="E528" s="4">
        <f>INDEX(FPL_Raw_Data!$F:$F,MATCH(A528,FPL_Raw_Data!$AA:$AA,0))/10</f>
        <v>4.9000000000000004</v>
      </c>
      <c r="F528" s="4" t="str">
        <f>tblPlayers[[#This Row],[status]]</f>
        <v>a</v>
      </c>
      <c r="G528" s="4" t="b">
        <f>tblPlayers[[#This Row],[can_select]]</f>
        <v>1</v>
      </c>
      <c r="H528">
        <f>IF(AND(Table8[[#This Row],[Availability Status]]="a",Table8[[#This Row],[Can Select]]=TRUE),1,0)</f>
        <v>1</v>
      </c>
      <c r="I528">
        <f>tblPlayers[minutes]</f>
        <v>0</v>
      </c>
      <c r="J528" s="2">
        <f>Table8[[#This Row],[Minutes]]/90</f>
        <v>0</v>
      </c>
      <c r="K528" s="5">
        <f>IFERROR(Z528/(FIXTURE_ANALYSIS!$B$1-1),0)</f>
        <v>0</v>
      </c>
      <c r="L528">
        <f>tblPlayers[total_points]</f>
        <v>0</v>
      </c>
      <c r="M528">
        <f>tblPlayers[points_per_game]</f>
        <v>0</v>
      </c>
      <c r="N528">
        <f>tblPlayers[form]</f>
        <v>0</v>
      </c>
      <c r="O528">
        <f>tblPlayers[expected_goals]</f>
        <v>0</v>
      </c>
      <c r="P528">
        <f>tblPlayers[expected_assists]</f>
        <v>0</v>
      </c>
      <c r="Q528">
        <f>tblPlayers[expected_goal_involvements]</f>
        <v>0</v>
      </c>
      <c r="R528" s="2">
        <f t="shared" si="200"/>
        <v>0</v>
      </c>
      <c r="S528" s="5">
        <f t="shared" si="201"/>
        <v>0</v>
      </c>
      <c r="T528" s="5">
        <f t="shared" si="202"/>
        <v>0</v>
      </c>
      <c r="U528" s="5">
        <f t="shared" si="203"/>
        <v>0</v>
      </c>
      <c r="V528" s="3">
        <f t="shared" si="204"/>
        <v>0</v>
      </c>
      <c r="W528" s="5">
        <f t="shared" si="205"/>
        <v>0</v>
      </c>
      <c r="X528" s="5">
        <f>IFERROR(IF(OR($B528="MID",$B528="FWD"),INDEX(FIXTURE_ANALYSIS!$Q:$Q,MATCH($D528,FIXTURE_ANALYSIS!$A:$A,0)),INDEX(FIXTURE_ANALYSIS!$R:$R,MATCH($D528,FIXTURE_ANALYSIS!$A:$A,0))),1)</f>
        <v>1.1861524334251605</v>
      </c>
      <c r="Y528" s="5">
        <f t="shared" si="206"/>
        <v>1.1861524334251605</v>
      </c>
      <c r="Z528" s="8">
        <f>INDEX(FPL_Raw_Data!$T:$T,MATCH(A528,FPL_Raw_Data!$AA:$AA,0))</f>
        <v>0</v>
      </c>
      <c r="AA528" s="8">
        <f>INDEX(FPL_Raw_Data!$S:$S,MATCH(A528,FPL_Raw_Data!$AA:$AA,0))</f>
        <v>0</v>
      </c>
      <c r="AB528" s="2">
        <f t="shared" si="207"/>
        <v>0</v>
      </c>
      <c r="AC528" s="2">
        <f>INDEX(FPL_Raw_Data!$Q:$Q,MATCH(A528,FPL_Raw_Data!$AA:$AA,0))</f>
        <v>0</v>
      </c>
      <c r="AD528" s="8">
        <f>INDEX(FPL_Raw_Data!$R:$R,MATCH(A528,FPL_Raw_Data!$AA:$AA,0))</f>
        <v>0</v>
      </c>
      <c r="AE528" s="8">
        <f>INDEX(FPL_Raw_Data!$N:$N,MATCH(A528,FPL_Raw_Data!$AA:$AA,0))</f>
        <v>0</v>
      </c>
      <c r="AF528" s="8">
        <f>INDEX(FPL_Raw_Data!$L:$L,MATCH(A528,FPL_Raw_Data!$AA:$AA,0))</f>
        <v>0</v>
      </c>
      <c r="AG528" s="2">
        <f>INDEX(FPL_Raw_Data!$M:$M,MATCH(A528,FPL_Raw_Data!$AA:$AA,0))</f>
        <v>0</v>
      </c>
      <c r="AH528" s="2">
        <f t="shared" si="208"/>
        <v>0</v>
      </c>
      <c r="AI528" s="2">
        <f t="shared" si="209"/>
        <v>0</v>
      </c>
      <c r="AJ528" s="2">
        <f t="shared" si="210"/>
        <v>0</v>
      </c>
      <c r="AK528" s="2">
        <f t="shared" si="211"/>
        <v>0</v>
      </c>
      <c r="AL528" s="2">
        <f t="shared" si="212"/>
        <v>0</v>
      </c>
      <c r="AM528" s="2">
        <f t="shared" si="213"/>
        <v>0</v>
      </c>
      <c r="AN528" s="2">
        <f t="shared" si="214"/>
        <v>0</v>
      </c>
      <c r="AO528" s="3">
        <f t="shared" si="215"/>
        <v>0.1</v>
      </c>
      <c r="AP528">
        <f t="shared" si="216"/>
        <v>0</v>
      </c>
      <c r="AQ528">
        <f t="shared" si="217"/>
        <v>0.1</v>
      </c>
      <c r="AR528">
        <f t="shared" si="218"/>
        <v>0</v>
      </c>
      <c r="AS528" s="2">
        <f t="shared" si="219"/>
        <v>0</v>
      </c>
      <c r="AT528" s="2">
        <f>IFERROR(INDEX(Player_Model!$BC$2:$BC$596,MATCH($A528,Player_Model!$A$2:$A$596,0)),0)</f>
        <v>0</v>
      </c>
      <c r="AU528" s="2">
        <f>Table8[[#This Row],[Model Expected Points]]*Table8[[#This Row],[Fixture Adjustment]]</f>
        <v>0</v>
      </c>
      <c r="AV528" s="2">
        <f>Table8[[#This Row],[Fixture Adjusted Points / 90]]/Table8[[#This Row],[Price]]</f>
        <v>0</v>
      </c>
      <c r="AW528">
        <f t="shared" si="220"/>
        <v>0</v>
      </c>
      <c r="AX528">
        <f t="shared" si="221"/>
        <v>0.59307621671258026</v>
      </c>
      <c r="AY528" s="2">
        <f t="shared" si="222"/>
        <v>0</v>
      </c>
      <c r="AZ528" s="5">
        <f t="shared" si="223"/>
        <v>1.1861524334251605</v>
      </c>
      <c r="BA528">
        <f>Table8[[#This Row],[Model Score2]]</f>
        <v>0</v>
      </c>
      <c r="BB528">
        <f>IFERROR(INDEX(Player_Model!$BG$2:$BG$596,MATCH($A528,Player_Model!$A$2:$A$596,0)),"")</f>
        <v>61</v>
      </c>
      <c r="BC528" t="str">
        <f t="shared" si="224"/>
        <v>AVOID</v>
      </c>
      <c r="BD528">
        <f>IF(H528=1,Table8[[#This Row],[Model Score]],-10000)</f>
        <v>0</v>
      </c>
      <c r="BE528">
        <f>IFERROR(INDEX(Player_Model!$BF$2:$BF$596,MATCH($A528,Player_Model!$A$2:$A$596,0)),"")</f>
        <v>253</v>
      </c>
      <c r="BF528">
        <f>IFERROR(INDEX(Player_Model!$BG$2:$BG$596,MATCH($A528,Player_Model!$A$2:$A$596,0)),"")</f>
        <v>61</v>
      </c>
      <c r="BG528">
        <f>IFERROR(INDEX(Player_Model!$BE$2:$BE$596,MATCH($A528,Player_Model!$A$2:$A$596,0)),0)</f>
        <v>0</v>
      </c>
    </row>
    <row r="529" spans="1:59" x14ac:dyDescent="0.25">
      <c r="A529" t="str">
        <f>tblPlayers[first_name]&amp;" "&amp;tblPlayers[second_name]</f>
        <v>Mark Gillespie</v>
      </c>
      <c r="B529" t="str">
        <f>_xlfn.SWITCH(tblPlayers[element_type],1,"GK",2,"DEF",3,"MID",4,"FWD")</f>
        <v>GK</v>
      </c>
      <c r="C529">
        <f>tblPlayers[team]</f>
        <v>17</v>
      </c>
      <c r="D529" t="str">
        <f>INDEX(tblTeams[Column1.short_name],MATCH(C529,tblTeams[Column1.id],0))</f>
        <v>NEW</v>
      </c>
      <c r="E529" s="4">
        <f>INDEX(FPL_Raw_Data!$F:$F,MATCH(A529,FPL_Raw_Data!$AA:$AA,0))/10</f>
        <v>4.5</v>
      </c>
      <c r="F529" s="4" t="str">
        <f>tblPlayers[[#This Row],[status]]</f>
        <v>a</v>
      </c>
      <c r="G529" s="4" t="b">
        <f>tblPlayers[[#This Row],[can_select]]</f>
        <v>1</v>
      </c>
      <c r="H529">
        <f>IF(AND(Table8[[#This Row],[Availability Status]]="a",Table8[[#This Row],[Can Select]]=TRUE),1,0)</f>
        <v>1</v>
      </c>
      <c r="I529">
        <f>tblPlayers[minutes]</f>
        <v>0</v>
      </c>
      <c r="J529" s="2">
        <f>Table8[[#This Row],[Minutes]]/90</f>
        <v>0</v>
      </c>
      <c r="K529" s="5">
        <f>IFERROR(Z529/(FIXTURE_ANALYSIS!$B$1-1),0)</f>
        <v>0</v>
      </c>
      <c r="L529">
        <f>tblPlayers[total_points]</f>
        <v>0</v>
      </c>
      <c r="M529">
        <f>tblPlayers[points_per_game]</f>
        <v>0</v>
      </c>
      <c r="N529">
        <f>tblPlayers[form]</f>
        <v>0</v>
      </c>
      <c r="O529">
        <f>tblPlayers[expected_goals]</f>
        <v>0</v>
      </c>
      <c r="P529">
        <f>tblPlayers[expected_assists]</f>
        <v>0</v>
      </c>
      <c r="Q529">
        <f>tblPlayers[expected_goal_involvements]</f>
        <v>0</v>
      </c>
      <c r="R529" s="2">
        <f t="shared" si="200"/>
        <v>0</v>
      </c>
      <c r="S529" s="5">
        <f t="shared" si="201"/>
        <v>0</v>
      </c>
      <c r="T529" s="5">
        <f t="shared" si="202"/>
        <v>0</v>
      </c>
      <c r="U529" s="5">
        <f t="shared" si="203"/>
        <v>0</v>
      </c>
      <c r="V529" s="3">
        <f t="shared" si="204"/>
        <v>0</v>
      </c>
      <c r="W529" s="5">
        <f t="shared" si="205"/>
        <v>0</v>
      </c>
      <c r="X529" s="5">
        <f>IFERROR(IF(OR($B529="MID",$B529="FWD"),INDEX(FIXTURE_ANALYSIS!$Q:$Q,MATCH($D529,FIXTURE_ANALYSIS!$A:$A,0)),INDEX(FIXTURE_ANALYSIS!$R:$R,MATCH($D529,FIXTURE_ANALYSIS!$A:$A,0))),1)</f>
        <v>1.1861524334251605</v>
      </c>
      <c r="Y529" s="5">
        <f t="shared" si="206"/>
        <v>1.1861524334251605</v>
      </c>
      <c r="Z529" s="8">
        <f>INDEX(FPL_Raw_Data!$T:$T,MATCH(A529,FPL_Raw_Data!$AA:$AA,0))</f>
        <v>0</v>
      </c>
      <c r="AA529" s="8">
        <f>INDEX(FPL_Raw_Data!$S:$S,MATCH(A529,FPL_Raw_Data!$AA:$AA,0))</f>
        <v>0</v>
      </c>
      <c r="AB529" s="2">
        <f t="shared" si="207"/>
        <v>0</v>
      </c>
      <c r="AC529" s="2">
        <f>INDEX(FPL_Raw_Data!$Q:$Q,MATCH(A529,FPL_Raw_Data!$AA:$AA,0))</f>
        <v>0</v>
      </c>
      <c r="AD529" s="8">
        <f>INDEX(FPL_Raw_Data!$R:$R,MATCH(A529,FPL_Raw_Data!$AA:$AA,0))</f>
        <v>0</v>
      </c>
      <c r="AE529" s="8">
        <f>INDEX(FPL_Raw_Data!$N:$N,MATCH(A529,FPL_Raw_Data!$AA:$AA,0))</f>
        <v>0</v>
      </c>
      <c r="AF529" s="8">
        <f>INDEX(FPL_Raw_Data!$L:$L,MATCH(A529,FPL_Raw_Data!$AA:$AA,0))</f>
        <v>0</v>
      </c>
      <c r="AG529" s="2">
        <f>INDEX(FPL_Raw_Data!$M:$M,MATCH(A529,FPL_Raw_Data!$AA:$AA,0))</f>
        <v>0</v>
      </c>
      <c r="AH529" s="2">
        <f t="shared" si="208"/>
        <v>0</v>
      </c>
      <c r="AI529" s="2">
        <f t="shared" si="209"/>
        <v>0</v>
      </c>
      <c r="AJ529" s="2">
        <f t="shared" si="210"/>
        <v>0</v>
      </c>
      <c r="AK529" s="2">
        <f t="shared" si="211"/>
        <v>0</v>
      </c>
      <c r="AL529" s="2">
        <f t="shared" si="212"/>
        <v>0</v>
      </c>
      <c r="AM529" s="2">
        <f t="shared" si="213"/>
        <v>0</v>
      </c>
      <c r="AN529" s="2">
        <f t="shared" si="214"/>
        <v>0</v>
      </c>
      <c r="AO529" s="3">
        <f t="shared" si="215"/>
        <v>0.1</v>
      </c>
      <c r="AP529">
        <f t="shared" si="216"/>
        <v>0</v>
      </c>
      <c r="AQ529">
        <f t="shared" si="217"/>
        <v>0.1</v>
      </c>
      <c r="AR529">
        <f t="shared" si="218"/>
        <v>0</v>
      </c>
      <c r="AS529" s="2">
        <f t="shared" si="219"/>
        <v>0</v>
      </c>
      <c r="AT529" s="2">
        <f>IFERROR(INDEX(Player_Model!$BC$2:$BC$596,MATCH($A529,Player_Model!$A$2:$A$596,0)),0)</f>
        <v>0</v>
      </c>
      <c r="AU529" s="2">
        <f>Table8[[#This Row],[Model Expected Points]]*Table8[[#This Row],[Fixture Adjustment]]</f>
        <v>0</v>
      </c>
      <c r="AV529" s="2">
        <f>Table8[[#This Row],[Fixture Adjusted Points / 90]]/Table8[[#This Row],[Price]]</f>
        <v>0</v>
      </c>
      <c r="AW529">
        <f t="shared" si="220"/>
        <v>0</v>
      </c>
      <c r="AX529">
        <f t="shared" si="221"/>
        <v>0.59307621671258026</v>
      </c>
      <c r="AY529" s="2">
        <f t="shared" si="222"/>
        <v>0</v>
      </c>
      <c r="AZ529" s="5">
        <f t="shared" si="223"/>
        <v>1.1861524334251605</v>
      </c>
      <c r="BA529">
        <f>Table8[[#This Row],[Model Score2]]</f>
        <v>0</v>
      </c>
      <c r="BB529">
        <f>IFERROR(INDEX(Player_Model!$BG$2:$BG$596,MATCH($A529,Player_Model!$A$2:$A$596,0)),"")</f>
        <v>62</v>
      </c>
      <c r="BC529" t="str">
        <f t="shared" si="224"/>
        <v>AVOID</v>
      </c>
      <c r="BD529">
        <f>IF(H529=1,Table8[[#This Row],[Model Score]],-10000)</f>
        <v>0</v>
      </c>
      <c r="BE529">
        <f>IFERROR(INDEX(Player_Model!$BF$2:$BF$596,MATCH($A529,Player_Model!$A$2:$A$596,0)),"")</f>
        <v>253</v>
      </c>
      <c r="BF529">
        <f>IFERROR(INDEX(Player_Model!$BG$2:$BG$596,MATCH($A529,Player_Model!$A$2:$A$596,0)),"")</f>
        <v>62</v>
      </c>
      <c r="BG529">
        <f>IFERROR(INDEX(Player_Model!$BE$2:$BE$596,MATCH($A529,Player_Model!$A$2:$A$596,0)),0)</f>
        <v>0</v>
      </c>
    </row>
    <row r="530" spans="1:59" x14ac:dyDescent="0.25">
      <c r="A530" t="str">
        <f>tblPlayers[first_name]&amp;" "&amp;tblPlayers[second_name]</f>
        <v>Ewen Jaouen</v>
      </c>
      <c r="B530" t="str">
        <f>_xlfn.SWITCH(tblPlayers[element_type],1,"GK",2,"DEF",3,"MID",4,"FWD")</f>
        <v>GK</v>
      </c>
      <c r="C530">
        <f>tblPlayers[team]</f>
        <v>17</v>
      </c>
      <c r="D530" t="str">
        <f>INDEX(tblTeams[Column1.short_name],MATCH(C530,tblTeams[Column1.id],0))</f>
        <v>NEW</v>
      </c>
      <c r="E530" s="4">
        <f>INDEX(FPL_Raw_Data!$F:$F,MATCH(A530,FPL_Raw_Data!$AA:$AA,0))/10</f>
        <v>4.5</v>
      </c>
      <c r="F530" s="4" t="str">
        <f>tblPlayers[[#This Row],[status]]</f>
        <v>a</v>
      </c>
      <c r="G530" s="4" t="b">
        <f>tblPlayers[[#This Row],[can_select]]</f>
        <v>1</v>
      </c>
      <c r="H530">
        <f>IF(AND(Table8[[#This Row],[Availability Status]]="a",Table8[[#This Row],[Can Select]]=TRUE),1,0)</f>
        <v>1</v>
      </c>
      <c r="I530">
        <f>tblPlayers[minutes]</f>
        <v>0</v>
      </c>
      <c r="J530" s="2">
        <f>Table8[[#This Row],[Minutes]]/90</f>
        <v>0</v>
      </c>
      <c r="K530" s="5">
        <f>IFERROR(Z530/(FIXTURE_ANALYSIS!$B$1-1),0)</f>
        <v>0</v>
      </c>
      <c r="L530">
        <f>tblPlayers[total_points]</f>
        <v>0</v>
      </c>
      <c r="M530">
        <f>tblPlayers[points_per_game]</f>
        <v>0</v>
      </c>
      <c r="N530">
        <f>tblPlayers[form]</f>
        <v>0</v>
      </c>
      <c r="O530">
        <f>tblPlayers[expected_goals]</f>
        <v>0</v>
      </c>
      <c r="P530">
        <f>tblPlayers[expected_assists]</f>
        <v>0</v>
      </c>
      <c r="Q530">
        <f>tblPlayers[expected_goal_involvements]</f>
        <v>0</v>
      </c>
      <c r="R530" s="2">
        <f t="shared" si="200"/>
        <v>0</v>
      </c>
      <c r="S530" s="5">
        <f t="shared" si="201"/>
        <v>0</v>
      </c>
      <c r="T530" s="5">
        <f t="shared" si="202"/>
        <v>0</v>
      </c>
      <c r="U530" s="5">
        <f t="shared" si="203"/>
        <v>0</v>
      </c>
      <c r="V530" s="3">
        <f t="shared" si="204"/>
        <v>0</v>
      </c>
      <c r="W530" s="5">
        <f t="shared" si="205"/>
        <v>0</v>
      </c>
      <c r="X530" s="5">
        <f>IFERROR(IF(OR($B530="MID",$B530="FWD"),INDEX(FIXTURE_ANALYSIS!$Q:$Q,MATCH($D530,FIXTURE_ANALYSIS!$A:$A,0)),INDEX(FIXTURE_ANALYSIS!$R:$R,MATCH($D530,FIXTURE_ANALYSIS!$A:$A,0))),1)</f>
        <v>1.1861524334251605</v>
      </c>
      <c r="Y530" s="5">
        <f t="shared" si="206"/>
        <v>1.1861524334251605</v>
      </c>
      <c r="Z530" s="8">
        <f>INDEX(FPL_Raw_Data!$T:$T,MATCH(A530,FPL_Raw_Data!$AA:$AA,0))</f>
        <v>0</v>
      </c>
      <c r="AA530" s="8">
        <f>INDEX(FPL_Raw_Data!$S:$S,MATCH(A530,FPL_Raw_Data!$AA:$AA,0))</f>
        <v>0</v>
      </c>
      <c r="AB530" s="2">
        <f t="shared" si="207"/>
        <v>0</v>
      </c>
      <c r="AC530" s="2">
        <f>INDEX(FPL_Raw_Data!$Q:$Q,MATCH(A530,FPL_Raw_Data!$AA:$AA,0))</f>
        <v>0</v>
      </c>
      <c r="AD530" s="8">
        <f>INDEX(FPL_Raw_Data!$R:$R,MATCH(A530,FPL_Raw_Data!$AA:$AA,0))</f>
        <v>0</v>
      </c>
      <c r="AE530" s="8">
        <f>INDEX(FPL_Raw_Data!$N:$N,MATCH(A530,FPL_Raw_Data!$AA:$AA,0))</f>
        <v>0</v>
      </c>
      <c r="AF530" s="8">
        <f>INDEX(FPL_Raw_Data!$L:$L,MATCH(A530,FPL_Raw_Data!$AA:$AA,0))</f>
        <v>0</v>
      </c>
      <c r="AG530" s="2">
        <f>INDEX(FPL_Raw_Data!$M:$M,MATCH(A530,FPL_Raw_Data!$AA:$AA,0))</f>
        <v>0</v>
      </c>
      <c r="AH530" s="2">
        <f t="shared" si="208"/>
        <v>0</v>
      </c>
      <c r="AI530" s="2">
        <f t="shared" si="209"/>
        <v>0</v>
      </c>
      <c r="AJ530" s="2">
        <f t="shared" si="210"/>
        <v>0</v>
      </c>
      <c r="AK530" s="2">
        <f t="shared" si="211"/>
        <v>0</v>
      </c>
      <c r="AL530" s="2">
        <f t="shared" si="212"/>
        <v>0</v>
      </c>
      <c r="AM530" s="2">
        <f t="shared" si="213"/>
        <v>0</v>
      </c>
      <c r="AN530" s="2">
        <f t="shared" si="214"/>
        <v>0</v>
      </c>
      <c r="AO530" s="3">
        <f t="shared" si="215"/>
        <v>0.1</v>
      </c>
      <c r="AP530">
        <f t="shared" si="216"/>
        <v>0</v>
      </c>
      <c r="AQ530">
        <f t="shared" si="217"/>
        <v>0.1</v>
      </c>
      <c r="AR530">
        <f t="shared" si="218"/>
        <v>0</v>
      </c>
      <c r="AS530" s="2">
        <f t="shared" si="219"/>
        <v>0</v>
      </c>
      <c r="AT530" s="2">
        <f>IFERROR(INDEX(Player_Model!$BC$2:$BC$596,MATCH($A530,Player_Model!$A$2:$A$596,0)),0)</f>
        <v>0</v>
      </c>
      <c r="AU530" s="2">
        <f>Table8[[#This Row],[Model Expected Points]]*Table8[[#This Row],[Fixture Adjustment]]</f>
        <v>0</v>
      </c>
      <c r="AV530" s="2">
        <f>Table8[[#This Row],[Fixture Adjusted Points / 90]]/Table8[[#This Row],[Price]]</f>
        <v>0</v>
      </c>
      <c r="AW530">
        <f t="shared" si="220"/>
        <v>0</v>
      </c>
      <c r="AX530">
        <f t="shared" si="221"/>
        <v>0.59307621671258026</v>
      </c>
      <c r="AY530" s="2">
        <f t="shared" si="222"/>
        <v>0</v>
      </c>
      <c r="AZ530" s="5">
        <f t="shared" si="223"/>
        <v>1.1861524334251605</v>
      </c>
      <c r="BA530">
        <f>Table8[[#This Row],[Model Score2]]</f>
        <v>0</v>
      </c>
      <c r="BB530">
        <f>IFERROR(INDEX(Player_Model!$BG$2:$BG$596,MATCH($A530,Player_Model!$A$2:$A$596,0)),"")</f>
        <v>63</v>
      </c>
      <c r="BC530" t="str">
        <f t="shared" si="224"/>
        <v>AVOID</v>
      </c>
      <c r="BD530">
        <f>IF(H530=1,Table8[[#This Row],[Model Score]],-10000)</f>
        <v>0</v>
      </c>
      <c r="BE530">
        <f>IFERROR(INDEX(Player_Model!$BF$2:$BF$596,MATCH($A530,Player_Model!$A$2:$A$596,0)),"")</f>
        <v>253</v>
      </c>
      <c r="BF530">
        <f>IFERROR(INDEX(Player_Model!$BG$2:$BG$596,MATCH($A530,Player_Model!$A$2:$A$596,0)),"")</f>
        <v>63</v>
      </c>
      <c r="BG530">
        <f>IFERROR(INDEX(Player_Model!$BE$2:$BE$596,MATCH($A530,Player_Model!$A$2:$A$596,0)),0)</f>
        <v>0</v>
      </c>
    </row>
    <row r="531" spans="1:59" x14ac:dyDescent="0.25">
      <c r="A531" t="str">
        <f>tblPlayers[first_name]&amp;" "&amp;tblPlayers[second_name]</f>
        <v>Malick Thiaw</v>
      </c>
      <c r="B531" t="str">
        <f>_xlfn.SWITCH(tblPlayers[element_type],1,"GK",2,"DEF",3,"MID",4,"FWD")</f>
        <v>DEF</v>
      </c>
      <c r="C531">
        <f>tblPlayers[team]</f>
        <v>17</v>
      </c>
      <c r="D531" t="str">
        <f>INDEX(tblTeams[Column1.short_name],MATCH(C531,tblTeams[Column1.id],0))</f>
        <v>NEW</v>
      </c>
      <c r="E531" s="4">
        <f>INDEX(FPL_Raw_Data!$F:$F,MATCH(A531,FPL_Raw_Data!$AA:$AA,0))/10</f>
        <v>5</v>
      </c>
      <c r="F531" s="4" t="str">
        <f>tblPlayers[[#This Row],[status]]</f>
        <v>a</v>
      </c>
      <c r="G531" s="4" t="b">
        <f>tblPlayers[[#This Row],[can_select]]</f>
        <v>1</v>
      </c>
      <c r="H531">
        <f>IF(AND(Table8[[#This Row],[Availability Status]]="a",Table8[[#This Row],[Can Select]]=TRUE),1,0)</f>
        <v>1</v>
      </c>
      <c r="I531">
        <f>tblPlayers[minutes]</f>
        <v>270</v>
      </c>
      <c r="J531" s="2">
        <f>Table8[[#This Row],[Minutes]]/90</f>
        <v>3</v>
      </c>
      <c r="K531" s="5">
        <f>IFERROR(Z531/(FIXTURE_ANALYSIS!$B$1-1),0)</f>
        <v>1</v>
      </c>
      <c r="L531">
        <f>tblPlayers[total_points]</f>
        <v>8</v>
      </c>
      <c r="M531">
        <f>tblPlayers[points_per_game]</f>
        <v>2.7</v>
      </c>
      <c r="N531">
        <f>tblPlayers[form]</f>
        <v>2.7</v>
      </c>
      <c r="O531">
        <f>tblPlayers[expected_goals]</f>
        <v>0</v>
      </c>
      <c r="P531">
        <f>tblPlayers[expected_assists]</f>
        <v>7.0000000000000007E-2</v>
      </c>
      <c r="Q531">
        <f>tblPlayers[expected_goal_involvements]</f>
        <v>7.0000000000000007E-2</v>
      </c>
      <c r="R531" s="2">
        <f t="shared" si="200"/>
        <v>2.666666666666667</v>
      </c>
      <c r="S531" s="5">
        <f t="shared" si="201"/>
        <v>0</v>
      </c>
      <c r="T531" s="5">
        <f t="shared" si="202"/>
        <v>2.3333333333333334E-2</v>
      </c>
      <c r="U531" s="5">
        <f t="shared" si="203"/>
        <v>2.3333333333333334E-2</v>
      </c>
      <c r="V531" s="3">
        <f t="shared" si="204"/>
        <v>1.6</v>
      </c>
      <c r="W531" s="5">
        <f t="shared" si="205"/>
        <v>1.4000000000000002E-2</v>
      </c>
      <c r="X531" s="5">
        <f>IFERROR(IF(OR($B531="MID",$B531="FWD"),INDEX(FIXTURE_ANALYSIS!$Q:$Q,MATCH($D531,FIXTURE_ANALYSIS!$A:$A,0)),INDEX(FIXTURE_ANALYSIS!$R:$R,MATCH($D531,FIXTURE_ANALYSIS!$A:$A,0))),1)</f>
        <v>1.1861524334251605</v>
      </c>
      <c r="Y531" s="5">
        <f t="shared" si="206"/>
        <v>1.1861524334251605</v>
      </c>
      <c r="Z531" s="8">
        <f>INDEX(FPL_Raw_Data!$T:$T,MATCH(A531,FPL_Raw_Data!$AA:$AA,0))</f>
        <v>3</v>
      </c>
      <c r="AA531" s="8">
        <f>INDEX(FPL_Raw_Data!$S:$S,MATCH(A531,FPL_Raw_Data!$AA:$AA,0))</f>
        <v>21</v>
      </c>
      <c r="AB531" s="2">
        <f t="shared" si="207"/>
        <v>1</v>
      </c>
      <c r="AC531" s="2">
        <f>INDEX(FPL_Raw_Data!$Q:$Q,MATCH(A531,FPL_Raw_Data!$AA:$AA,0))</f>
        <v>0</v>
      </c>
      <c r="AD531" s="8">
        <f>INDEX(FPL_Raw_Data!$R:$R,MATCH(A531,FPL_Raw_Data!$AA:$AA,0))</f>
        <v>25</v>
      </c>
      <c r="AE531" s="8">
        <f>INDEX(FPL_Raw_Data!$N:$N,MATCH(A531,FPL_Raw_Data!$AA:$AA,0))</f>
        <v>1</v>
      </c>
      <c r="AF531" s="8">
        <f>INDEX(FPL_Raw_Data!$L:$L,MATCH(A531,FPL_Raw_Data!$AA:$AA,0))</f>
        <v>0</v>
      </c>
      <c r="AG531" s="2">
        <f>INDEX(FPL_Raw_Data!$M:$M,MATCH(A531,FPL_Raw_Data!$AA:$AA,0))</f>
        <v>0</v>
      </c>
      <c r="AH531" s="2">
        <f t="shared" si="208"/>
        <v>0</v>
      </c>
      <c r="AI531" s="2">
        <f t="shared" si="209"/>
        <v>7.0000000000000007E-2</v>
      </c>
      <c r="AJ531" s="2">
        <f t="shared" si="210"/>
        <v>2</v>
      </c>
      <c r="AK531" s="2">
        <f t="shared" si="211"/>
        <v>2</v>
      </c>
      <c r="AL531" s="2">
        <f t="shared" si="212"/>
        <v>0.33333333333333331</v>
      </c>
      <c r="AM531" s="2">
        <f t="shared" si="213"/>
        <v>1.3333333333333333</v>
      </c>
      <c r="AN531" s="2">
        <f t="shared" si="214"/>
        <v>0</v>
      </c>
      <c r="AO531" s="3">
        <f t="shared" si="215"/>
        <v>54.2</v>
      </c>
      <c r="AP531">
        <f t="shared" si="216"/>
        <v>55.800000000000004</v>
      </c>
      <c r="AQ531">
        <f t="shared" si="217"/>
        <v>81.100000000000009</v>
      </c>
      <c r="AR531">
        <f t="shared" si="218"/>
        <v>62.4</v>
      </c>
      <c r="AS531" s="2">
        <f t="shared" si="219"/>
        <v>100</v>
      </c>
      <c r="AT531" s="2">
        <f>IFERROR(INDEX(Player_Model!$BC$2:$BC$596,MATCH($A531,Player_Model!$A$2:$A$596,0)),0)</f>
        <v>5.0125538155194542</v>
      </c>
      <c r="AU531" s="2">
        <f>Table8[[#This Row],[Model Expected Points]]*Table8[[#This Row],[Fixture Adjustment]]</f>
        <v>5.9456529059529739</v>
      </c>
      <c r="AV531" s="2">
        <f>Table8[[#This Row],[Fixture Adjusted Points / 90]]/Table8[[#This Row],[Price]]</f>
        <v>1.1891305811905948</v>
      </c>
      <c r="AW531">
        <f t="shared" si="220"/>
        <v>55.800000000000004</v>
      </c>
      <c r="AX531">
        <f t="shared" si="221"/>
        <v>1.0930762167125803</v>
      </c>
      <c r="AY531" s="2">
        <f t="shared" si="222"/>
        <v>100</v>
      </c>
      <c r="AZ531" s="5">
        <f t="shared" si="223"/>
        <v>1.1861524334251605</v>
      </c>
      <c r="BA531">
        <f>Table8[[#This Row],[Model Score2]]</f>
        <v>5.0125538155194542</v>
      </c>
      <c r="BB531">
        <f>IFERROR(INDEX(Player_Model!$BG$2:$BG$596,MATCH($A531,Player_Model!$A$2:$A$596,0)),"")</f>
        <v>36</v>
      </c>
      <c r="BC531" t="str">
        <f t="shared" si="224"/>
        <v>AVOID</v>
      </c>
      <c r="BD531">
        <f>IF(H531=1,Table8[[#This Row],[Model Score]],-10000)</f>
        <v>5.0125538155194542</v>
      </c>
      <c r="BE531">
        <f>IFERROR(INDEX(Player_Model!$BF$2:$BF$596,MATCH($A531,Player_Model!$A$2:$A$596,0)),"")</f>
        <v>92</v>
      </c>
      <c r="BF531">
        <f>IFERROR(INDEX(Player_Model!$BG$2:$BG$596,MATCH($A531,Player_Model!$A$2:$A$596,0)),"")</f>
        <v>36</v>
      </c>
      <c r="BG531">
        <f>IFERROR(INDEX(Player_Model!$BE$2:$BE$596,MATCH($A531,Player_Model!$A$2:$A$596,0)),0)</f>
        <v>5.0125538155194542</v>
      </c>
    </row>
    <row r="532" spans="1:59" x14ac:dyDescent="0.25">
      <c r="A532" t="str">
        <f>tblPlayers[first_name]&amp;" "&amp;tblPlayers[second_name]</f>
        <v>Fabian Schär</v>
      </c>
      <c r="B532" t="str">
        <f>_xlfn.SWITCH(tblPlayers[element_type],1,"GK",2,"DEF",3,"MID",4,"FWD")</f>
        <v>DEF</v>
      </c>
      <c r="C532">
        <f>tblPlayers[team]</f>
        <v>17</v>
      </c>
      <c r="D532" t="str">
        <f>INDEX(tblTeams[Column1.short_name],MATCH(C532,tblTeams[Column1.id],0))</f>
        <v>NEW</v>
      </c>
      <c r="E532" s="4">
        <f>INDEX(FPL_Raw_Data!$F:$F,MATCH(A532,FPL_Raw_Data!$AA:$AA,0))/10</f>
        <v>5</v>
      </c>
      <c r="F532" s="4" t="str">
        <f>tblPlayers[[#This Row],[status]]</f>
        <v>a</v>
      </c>
      <c r="G532" s="4" t="b">
        <f>tblPlayers[[#This Row],[can_select]]</f>
        <v>1</v>
      </c>
      <c r="H532">
        <f>IF(AND(Table8[[#This Row],[Availability Status]]="a",Table8[[#This Row],[Can Select]]=TRUE),1,0)</f>
        <v>1</v>
      </c>
      <c r="I532">
        <f>tblPlayers[minutes]</f>
        <v>1</v>
      </c>
      <c r="J532" s="2">
        <f>Table8[[#This Row],[Minutes]]/90</f>
        <v>1.1111111111111112E-2</v>
      </c>
      <c r="K532" s="5">
        <f>IFERROR(Z532/(FIXTURE_ANALYSIS!$B$1-1),0)</f>
        <v>0</v>
      </c>
      <c r="L532">
        <f>tblPlayers[total_points]</f>
        <v>1</v>
      </c>
      <c r="M532">
        <f>tblPlayers[points_per_game]</f>
        <v>1</v>
      </c>
      <c r="N532">
        <f>tblPlayers[form]</f>
        <v>0.3</v>
      </c>
      <c r="O532">
        <f>tblPlayers[expected_goals]</f>
        <v>0</v>
      </c>
      <c r="P532">
        <f>tblPlayers[expected_assists]</f>
        <v>0</v>
      </c>
      <c r="Q532">
        <f>tblPlayers[expected_goal_involvements]</f>
        <v>0</v>
      </c>
      <c r="R532" s="2">
        <f t="shared" si="200"/>
        <v>90</v>
      </c>
      <c r="S532" s="5">
        <f t="shared" si="201"/>
        <v>0</v>
      </c>
      <c r="T532" s="5">
        <f t="shared" si="202"/>
        <v>0</v>
      </c>
      <c r="U532" s="5">
        <f t="shared" si="203"/>
        <v>0</v>
      </c>
      <c r="V532" s="3">
        <f t="shared" si="204"/>
        <v>0.2</v>
      </c>
      <c r="W532" s="5">
        <f t="shared" si="205"/>
        <v>0</v>
      </c>
      <c r="X532" s="5">
        <f>IFERROR(IF(OR($B532="MID",$B532="FWD"),INDEX(FIXTURE_ANALYSIS!$Q:$Q,MATCH($D532,FIXTURE_ANALYSIS!$A:$A,0)),INDEX(FIXTURE_ANALYSIS!$R:$R,MATCH($D532,FIXTURE_ANALYSIS!$A:$A,0))),1)</f>
        <v>1.1861524334251605</v>
      </c>
      <c r="Y532" s="5">
        <f t="shared" si="206"/>
        <v>1.1861524334251605</v>
      </c>
      <c r="Z532" s="8">
        <f>INDEX(FPL_Raw_Data!$T:$T,MATCH(A532,FPL_Raw_Data!$AA:$AA,0))</f>
        <v>0</v>
      </c>
      <c r="AA532" s="8">
        <f>INDEX(FPL_Raw_Data!$S:$S,MATCH(A532,FPL_Raw_Data!$AA:$AA,0))</f>
        <v>0</v>
      </c>
      <c r="AB532" s="2">
        <f t="shared" si="207"/>
        <v>0</v>
      </c>
      <c r="AC532" s="2">
        <f>INDEX(FPL_Raw_Data!$Q:$Q,MATCH(A532,FPL_Raw_Data!$AA:$AA,0))</f>
        <v>0</v>
      </c>
      <c r="AD532" s="8">
        <f>INDEX(FPL_Raw_Data!$R:$R,MATCH(A532,FPL_Raw_Data!$AA:$AA,0))</f>
        <v>-1</v>
      </c>
      <c r="AE532" s="8">
        <f>INDEX(FPL_Raw_Data!$N:$N,MATCH(A532,FPL_Raw_Data!$AA:$AA,0))</f>
        <v>0</v>
      </c>
      <c r="AF532" s="8">
        <f>INDEX(FPL_Raw_Data!$L:$L,MATCH(A532,FPL_Raw_Data!$AA:$AA,0))</f>
        <v>0</v>
      </c>
      <c r="AG532" s="2">
        <f>INDEX(FPL_Raw_Data!$M:$M,MATCH(A532,FPL_Raw_Data!$AA:$AA,0))</f>
        <v>0</v>
      </c>
      <c r="AH532" s="2">
        <f t="shared" si="208"/>
        <v>0</v>
      </c>
      <c r="AI532" s="2">
        <f t="shared" si="209"/>
        <v>0</v>
      </c>
      <c r="AJ532" s="2">
        <f t="shared" si="210"/>
        <v>0</v>
      </c>
      <c r="AK532" s="2">
        <f t="shared" si="211"/>
        <v>0</v>
      </c>
      <c r="AL532" s="2">
        <f t="shared" si="212"/>
        <v>0</v>
      </c>
      <c r="AM532" s="2">
        <f t="shared" si="213"/>
        <v>0</v>
      </c>
      <c r="AN532" s="2">
        <f t="shared" si="214"/>
        <v>0</v>
      </c>
      <c r="AO532" s="3">
        <f t="shared" si="215"/>
        <v>98.1</v>
      </c>
      <c r="AP532">
        <f t="shared" si="216"/>
        <v>0</v>
      </c>
      <c r="AQ532">
        <f t="shared" si="217"/>
        <v>44.4</v>
      </c>
      <c r="AR532">
        <f t="shared" si="218"/>
        <v>0</v>
      </c>
      <c r="AS532" s="2">
        <f t="shared" si="219"/>
        <v>0</v>
      </c>
      <c r="AT532" s="2">
        <f>IFERROR(INDEX(Player_Model!$BC$2:$BC$596,MATCH($A532,Player_Model!$A$2:$A$596,0)),0)</f>
        <v>-0.79076828895010698</v>
      </c>
      <c r="AU532" s="2">
        <f>Table8[[#This Row],[Model Expected Points]]*Table8[[#This Row],[Fixture Adjustment]]</f>
        <v>-0.9379717302136199</v>
      </c>
      <c r="AV532" s="2">
        <f>Table8[[#This Row],[Fixture Adjusted Points / 90]]/Table8[[#This Row],[Price]]</f>
        <v>-0.18759434604272399</v>
      </c>
      <c r="AW532">
        <f t="shared" si="220"/>
        <v>0</v>
      </c>
      <c r="AX532">
        <f t="shared" si="221"/>
        <v>0.59307621671258026</v>
      </c>
      <c r="AY532" s="2">
        <f t="shared" si="222"/>
        <v>0</v>
      </c>
      <c r="AZ532" s="5">
        <f t="shared" si="223"/>
        <v>1.1861524334251605</v>
      </c>
      <c r="BA532">
        <f>Table8[[#This Row],[Model Score2]]</f>
        <v>-0.79076828895010698</v>
      </c>
      <c r="BB532">
        <f>IFERROR(INDEX(Player_Model!$BG$2:$BG$596,MATCH($A532,Player_Model!$A$2:$A$596,0)),"")</f>
        <v>145</v>
      </c>
      <c r="BC532" t="str">
        <f t="shared" si="224"/>
        <v>AVOID</v>
      </c>
      <c r="BD532">
        <f>IF(H532=1,Table8[[#This Row],[Model Score]],-10000)</f>
        <v>-0.79076828895010698</v>
      </c>
      <c r="BE532">
        <f>IFERROR(INDEX(Player_Model!$BF$2:$BF$596,MATCH($A532,Player_Model!$A$2:$A$596,0)),"")</f>
        <v>548</v>
      </c>
      <c r="BF532">
        <f>IFERROR(INDEX(Player_Model!$BG$2:$BG$596,MATCH($A532,Player_Model!$A$2:$A$596,0)),"")</f>
        <v>145</v>
      </c>
      <c r="BG532">
        <f>IFERROR(INDEX(Player_Model!$BE$2:$BE$596,MATCH($A532,Player_Model!$A$2:$A$596,0)),0)</f>
        <v>-0.79076828895010698</v>
      </c>
    </row>
    <row r="533" spans="1:59" x14ac:dyDescent="0.25">
      <c r="A533" t="str">
        <f>tblPlayers[first_name]&amp;" "&amp;tblPlayers[second_name]</f>
        <v>Sven Botman</v>
      </c>
      <c r="B533" t="str">
        <f>_xlfn.SWITCH(tblPlayers[element_type],1,"GK",2,"DEF",3,"MID",4,"FWD")</f>
        <v>DEF</v>
      </c>
      <c r="C533">
        <f>tblPlayers[team]</f>
        <v>17</v>
      </c>
      <c r="D533" t="str">
        <f>INDEX(tblTeams[Column1.short_name],MATCH(C533,tblTeams[Column1.id],0))</f>
        <v>NEW</v>
      </c>
      <c r="E533" s="4">
        <f>INDEX(FPL_Raw_Data!$F:$F,MATCH(A533,FPL_Raw_Data!$AA:$AA,0))/10</f>
        <v>5</v>
      </c>
      <c r="F533" s="4" t="str">
        <f>tblPlayers[[#This Row],[status]]</f>
        <v>a</v>
      </c>
      <c r="G533" s="4" t="b">
        <f>tblPlayers[[#This Row],[can_select]]</f>
        <v>1</v>
      </c>
      <c r="H533">
        <f>IF(AND(Table8[[#This Row],[Availability Status]]="a",Table8[[#This Row],[Can Select]]=TRUE),1,0)</f>
        <v>1</v>
      </c>
      <c r="I533">
        <f>tblPlayers[minutes]</f>
        <v>270</v>
      </c>
      <c r="J533" s="2">
        <f>Table8[[#This Row],[Minutes]]/90</f>
        <v>3</v>
      </c>
      <c r="K533" s="5">
        <f>IFERROR(Z533/(FIXTURE_ANALYSIS!$B$1-1),0)</f>
        <v>1</v>
      </c>
      <c r="L533">
        <f>tblPlayers[total_points]</f>
        <v>9</v>
      </c>
      <c r="M533">
        <f>tblPlayers[points_per_game]</f>
        <v>3</v>
      </c>
      <c r="N533">
        <f>tblPlayers[form]</f>
        <v>3</v>
      </c>
      <c r="O533">
        <f>tblPlayers[expected_goals]</f>
        <v>0.01</v>
      </c>
      <c r="P533">
        <f>tblPlayers[expected_assists]</f>
        <v>0.17</v>
      </c>
      <c r="Q533">
        <f>tblPlayers[expected_goal_involvements]</f>
        <v>0.18</v>
      </c>
      <c r="R533" s="2">
        <f t="shared" si="200"/>
        <v>3</v>
      </c>
      <c r="S533" s="5">
        <f t="shared" si="201"/>
        <v>3.3333333333333331E-3</v>
      </c>
      <c r="T533" s="5">
        <f t="shared" si="202"/>
        <v>5.6666666666666678E-2</v>
      </c>
      <c r="U533" s="5">
        <f t="shared" si="203"/>
        <v>0.06</v>
      </c>
      <c r="V533" s="3">
        <f t="shared" si="204"/>
        <v>1.8</v>
      </c>
      <c r="W533" s="5">
        <f t="shared" si="205"/>
        <v>3.5999999999999997E-2</v>
      </c>
      <c r="X533" s="5">
        <f>IFERROR(IF(OR($B533="MID",$B533="FWD"),INDEX(FIXTURE_ANALYSIS!$Q:$Q,MATCH($D533,FIXTURE_ANALYSIS!$A:$A,0)),INDEX(FIXTURE_ANALYSIS!$R:$R,MATCH($D533,FIXTURE_ANALYSIS!$A:$A,0))),1)</f>
        <v>1.1861524334251605</v>
      </c>
      <c r="Y533" s="5">
        <f t="shared" si="206"/>
        <v>1.1861524334251605</v>
      </c>
      <c r="Z533" s="8">
        <f>INDEX(FPL_Raw_Data!$T:$T,MATCH(A533,FPL_Raw_Data!$AA:$AA,0))</f>
        <v>3</v>
      </c>
      <c r="AA533" s="8">
        <f>INDEX(FPL_Raw_Data!$S:$S,MATCH(A533,FPL_Raw_Data!$AA:$AA,0))</f>
        <v>24</v>
      </c>
      <c r="AB533" s="2">
        <f t="shared" si="207"/>
        <v>1</v>
      </c>
      <c r="AC533" s="2">
        <f>INDEX(FPL_Raw_Data!$Q:$Q,MATCH(A533,FPL_Raw_Data!$AA:$AA,0))</f>
        <v>0</v>
      </c>
      <c r="AD533" s="8">
        <f>INDEX(FPL_Raw_Data!$R:$R,MATCH(A533,FPL_Raw_Data!$AA:$AA,0))</f>
        <v>29</v>
      </c>
      <c r="AE533" s="8">
        <f>INDEX(FPL_Raw_Data!$N:$N,MATCH(A533,FPL_Raw_Data!$AA:$AA,0))</f>
        <v>1</v>
      </c>
      <c r="AF533" s="8">
        <f>INDEX(FPL_Raw_Data!$L:$L,MATCH(A533,FPL_Raw_Data!$AA:$AA,0))</f>
        <v>0</v>
      </c>
      <c r="AG533" s="2">
        <f>INDEX(FPL_Raw_Data!$M:$M,MATCH(A533,FPL_Raw_Data!$AA:$AA,0))</f>
        <v>0</v>
      </c>
      <c r="AH533" s="2">
        <f t="shared" si="208"/>
        <v>1.9999999999999997E-2</v>
      </c>
      <c r="AI533" s="2">
        <f t="shared" si="209"/>
        <v>0.17000000000000004</v>
      </c>
      <c r="AJ533" s="2">
        <f t="shared" si="210"/>
        <v>2</v>
      </c>
      <c r="AK533" s="2">
        <f t="shared" si="211"/>
        <v>2</v>
      </c>
      <c r="AL533" s="2">
        <f t="shared" si="212"/>
        <v>0.33333333333333331</v>
      </c>
      <c r="AM533" s="2">
        <f t="shared" si="213"/>
        <v>1.3333333333333333</v>
      </c>
      <c r="AN533" s="2">
        <f t="shared" si="214"/>
        <v>0</v>
      </c>
      <c r="AO533" s="3">
        <f t="shared" si="215"/>
        <v>58.4</v>
      </c>
      <c r="AP533">
        <f t="shared" si="216"/>
        <v>62.7</v>
      </c>
      <c r="AQ533">
        <f t="shared" si="217"/>
        <v>83.8</v>
      </c>
      <c r="AR533">
        <f t="shared" si="218"/>
        <v>72.3</v>
      </c>
      <c r="AS533" s="2">
        <f t="shared" si="219"/>
        <v>100</v>
      </c>
      <c r="AT533" s="2">
        <f>IFERROR(INDEX(Player_Model!$BC$2:$BC$596,MATCH($A533,Player_Model!$A$2:$A$596,0)),0)</f>
        <v>5.3424078211995214</v>
      </c>
      <c r="AU533" s="2">
        <f>Table8[[#This Row],[Model Expected Points]]*Table8[[#This Row],[Fixture Adjustment]]</f>
        <v>6.3369100374654224</v>
      </c>
      <c r="AV533" s="2">
        <f>Table8[[#This Row],[Fixture Adjusted Points / 90]]/Table8[[#This Row],[Price]]</f>
        <v>1.2673820074930844</v>
      </c>
      <c r="AW533">
        <f t="shared" si="220"/>
        <v>62.7</v>
      </c>
      <c r="AX533">
        <f t="shared" si="221"/>
        <v>1.0930762167125803</v>
      </c>
      <c r="AY533" s="2">
        <f t="shared" si="222"/>
        <v>100</v>
      </c>
      <c r="AZ533" s="5">
        <f t="shared" si="223"/>
        <v>1.1861524334251605</v>
      </c>
      <c r="BA533">
        <f>Table8[[#This Row],[Model Score2]]</f>
        <v>5.3424078211995214</v>
      </c>
      <c r="BB533">
        <f>IFERROR(INDEX(Player_Model!$BG$2:$BG$596,MATCH($A533,Player_Model!$A$2:$A$596,0)),"")</f>
        <v>32</v>
      </c>
      <c r="BC533" t="str">
        <f t="shared" si="224"/>
        <v>AVOID</v>
      </c>
      <c r="BD533">
        <f>IF(H533=1,Table8[[#This Row],[Model Score]],-10000)</f>
        <v>5.3424078211995214</v>
      </c>
      <c r="BE533">
        <f>IFERROR(INDEX(Player_Model!$BF$2:$BF$596,MATCH($A533,Player_Model!$A$2:$A$596,0)),"")</f>
        <v>73</v>
      </c>
      <c r="BF533">
        <f>IFERROR(INDEX(Player_Model!$BG$2:$BG$596,MATCH($A533,Player_Model!$A$2:$A$596,0)),"")</f>
        <v>32</v>
      </c>
      <c r="BG533">
        <f>IFERROR(INDEX(Player_Model!$BE$2:$BE$596,MATCH($A533,Player_Model!$A$2:$A$596,0)),0)</f>
        <v>5.3424078211995214</v>
      </c>
    </row>
    <row r="534" spans="1:59" x14ac:dyDescent="0.25">
      <c r="A534" t="str">
        <f>tblPlayers[first_name]&amp;" "&amp;tblPlayers[second_name]</f>
        <v>Dan Burn</v>
      </c>
      <c r="B534" t="str">
        <f>_xlfn.SWITCH(tblPlayers[element_type],1,"GK",2,"DEF",3,"MID",4,"FWD")</f>
        <v>DEF</v>
      </c>
      <c r="C534">
        <f>tblPlayers[team]</f>
        <v>17</v>
      </c>
      <c r="D534" t="str">
        <f>INDEX(tblTeams[Column1.short_name],MATCH(C534,tblTeams[Column1.id],0))</f>
        <v>NEW</v>
      </c>
      <c r="E534" s="4">
        <f>INDEX(FPL_Raw_Data!$F:$F,MATCH(A534,FPL_Raw_Data!$AA:$AA,0))/10</f>
        <v>4.9000000000000004</v>
      </c>
      <c r="F534" s="4" t="str">
        <f>tblPlayers[[#This Row],[status]]</f>
        <v>i</v>
      </c>
      <c r="G534" s="4" t="b">
        <f>tblPlayers[[#This Row],[can_select]]</f>
        <v>1</v>
      </c>
      <c r="H534">
        <f>IF(AND(Table8[[#This Row],[Availability Status]]="a",Table8[[#This Row],[Can Select]]=TRUE),1,0)</f>
        <v>0</v>
      </c>
      <c r="I534">
        <f>tblPlayers[minutes]</f>
        <v>0</v>
      </c>
      <c r="J534" s="2">
        <f>Table8[[#This Row],[Minutes]]/90</f>
        <v>0</v>
      </c>
      <c r="K534" s="5">
        <f>IFERROR(Z534/(FIXTURE_ANALYSIS!$B$1-1),0)</f>
        <v>0</v>
      </c>
      <c r="L534">
        <f>tblPlayers[total_points]</f>
        <v>0</v>
      </c>
      <c r="M534">
        <f>tblPlayers[points_per_game]</f>
        <v>0</v>
      </c>
      <c r="N534">
        <f>tblPlayers[form]</f>
        <v>0</v>
      </c>
      <c r="O534">
        <f>tblPlayers[expected_goals]</f>
        <v>0</v>
      </c>
      <c r="P534">
        <f>tblPlayers[expected_assists]</f>
        <v>0</v>
      </c>
      <c r="Q534">
        <f>tblPlayers[expected_goal_involvements]</f>
        <v>0</v>
      </c>
      <c r="R534" s="2">
        <f t="shared" si="200"/>
        <v>0</v>
      </c>
      <c r="S534" s="5">
        <f t="shared" si="201"/>
        <v>0</v>
      </c>
      <c r="T534" s="5">
        <f t="shared" si="202"/>
        <v>0</v>
      </c>
      <c r="U534" s="5">
        <f t="shared" si="203"/>
        <v>0</v>
      </c>
      <c r="V534" s="3">
        <f t="shared" si="204"/>
        <v>0</v>
      </c>
      <c r="W534" s="5">
        <f t="shared" si="205"/>
        <v>0</v>
      </c>
      <c r="X534" s="5">
        <f>IFERROR(IF(OR($B534="MID",$B534="FWD"),INDEX(FIXTURE_ANALYSIS!$Q:$Q,MATCH($D534,FIXTURE_ANALYSIS!$A:$A,0)),INDEX(FIXTURE_ANALYSIS!$R:$R,MATCH($D534,FIXTURE_ANALYSIS!$A:$A,0))),1)</f>
        <v>1.1861524334251605</v>
      </c>
      <c r="Y534" s="5">
        <f t="shared" si="206"/>
        <v>1.1861524334251605</v>
      </c>
      <c r="Z534" s="8">
        <f>INDEX(FPL_Raw_Data!$T:$T,MATCH(A534,FPL_Raw_Data!$AA:$AA,0))</f>
        <v>0</v>
      </c>
      <c r="AA534" s="8">
        <f>INDEX(FPL_Raw_Data!$S:$S,MATCH(A534,FPL_Raw_Data!$AA:$AA,0))</f>
        <v>0</v>
      </c>
      <c r="AB534" s="2">
        <f t="shared" si="207"/>
        <v>0</v>
      </c>
      <c r="AC534" s="2">
        <f>INDEX(FPL_Raw_Data!$Q:$Q,MATCH(A534,FPL_Raw_Data!$AA:$AA,0))</f>
        <v>0</v>
      </c>
      <c r="AD534" s="8">
        <f>INDEX(FPL_Raw_Data!$R:$R,MATCH(A534,FPL_Raw_Data!$AA:$AA,0))</f>
        <v>0</v>
      </c>
      <c r="AE534" s="8">
        <f>INDEX(FPL_Raw_Data!$N:$N,MATCH(A534,FPL_Raw_Data!$AA:$AA,0))</f>
        <v>0</v>
      </c>
      <c r="AF534" s="8">
        <f>INDEX(FPL_Raw_Data!$L:$L,MATCH(A534,FPL_Raw_Data!$AA:$AA,0))</f>
        <v>0</v>
      </c>
      <c r="AG534" s="2">
        <f>INDEX(FPL_Raw_Data!$M:$M,MATCH(A534,FPL_Raw_Data!$AA:$AA,0))</f>
        <v>0</v>
      </c>
      <c r="AH534" s="2">
        <f t="shared" si="208"/>
        <v>0</v>
      </c>
      <c r="AI534" s="2">
        <f t="shared" si="209"/>
        <v>0</v>
      </c>
      <c r="AJ534" s="2">
        <f t="shared" si="210"/>
        <v>0</v>
      </c>
      <c r="AK534" s="2">
        <f t="shared" si="211"/>
        <v>0</v>
      </c>
      <c r="AL534" s="2">
        <f t="shared" si="212"/>
        <v>0</v>
      </c>
      <c r="AM534" s="2">
        <f t="shared" si="213"/>
        <v>0</v>
      </c>
      <c r="AN534" s="2">
        <f t="shared" si="214"/>
        <v>0</v>
      </c>
      <c r="AO534" s="3">
        <f t="shared" si="215"/>
        <v>0.1</v>
      </c>
      <c r="AP534">
        <f t="shared" si="216"/>
        <v>0</v>
      </c>
      <c r="AQ534">
        <f t="shared" si="217"/>
        <v>0.1</v>
      </c>
      <c r="AR534">
        <f t="shared" si="218"/>
        <v>0</v>
      </c>
      <c r="AS534" s="2">
        <f t="shared" si="219"/>
        <v>0</v>
      </c>
      <c r="AT534" s="2">
        <f>IFERROR(INDEX(Player_Model!$BC$2:$BC$596,MATCH($A534,Player_Model!$A$2:$A$596,0)),0)</f>
        <v>-0.79076828895010698</v>
      </c>
      <c r="AU534" s="2">
        <f>Table8[[#This Row],[Model Expected Points]]*Table8[[#This Row],[Fixture Adjustment]]</f>
        <v>-0.9379717302136199</v>
      </c>
      <c r="AV534" s="2">
        <f>Table8[[#This Row],[Fixture Adjusted Points / 90]]/Table8[[#This Row],[Price]]</f>
        <v>-0.1914228020844122</v>
      </c>
      <c r="AW534">
        <f t="shared" si="220"/>
        <v>0</v>
      </c>
      <c r="AX534">
        <f t="shared" si="221"/>
        <v>0.59307621671258026</v>
      </c>
      <c r="AY534" s="2">
        <f t="shared" si="222"/>
        <v>0</v>
      </c>
      <c r="AZ534" s="5">
        <f t="shared" si="223"/>
        <v>1.1861524334251605</v>
      </c>
      <c r="BA534">
        <f>Table8[[#This Row],[Model Score2]]</f>
        <v>-0.79076828895010698</v>
      </c>
      <c r="BB534">
        <f>IFERROR(INDEX(Player_Model!$BG$2:$BG$596,MATCH($A534,Player_Model!$A$2:$A$596,0)),"")</f>
        <v>146</v>
      </c>
      <c r="BC534" t="str">
        <f t="shared" si="224"/>
        <v>AVOID</v>
      </c>
      <c r="BD534">
        <f>IF(H534=1,Table8[[#This Row],[Model Score]],-10000)</f>
        <v>-10000</v>
      </c>
      <c r="BE534">
        <f>IFERROR(INDEX(Player_Model!$BF$2:$BF$596,MATCH($A534,Player_Model!$A$2:$A$596,0)),"")</f>
        <v>548</v>
      </c>
      <c r="BF534">
        <f>IFERROR(INDEX(Player_Model!$BG$2:$BG$596,MATCH($A534,Player_Model!$A$2:$A$596,0)),"")</f>
        <v>146</v>
      </c>
      <c r="BG534">
        <f>IFERROR(INDEX(Player_Model!$BE$2:$BE$596,MATCH($A534,Player_Model!$A$2:$A$596,0)),0)</f>
        <v>-0.79076828895010698</v>
      </c>
    </row>
    <row r="535" spans="1:59" x14ac:dyDescent="0.25">
      <c r="A535" t="str">
        <f>tblPlayers[first_name]&amp;" "&amp;tblPlayers[second_name]</f>
        <v>Lewis Hall</v>
      </c>
      <c r="B535" t="str">
        <f>_xlfn.SWITCH(tblPlayers[element_type],1,"GK",2,"DEF",3,"MID",4,"FWD")</f>
        <v>DEF</v>
      </c>
      <c r="C535">
        <f>tblPlayers[team]</f>
        <v>17</v>
      </c>
      <c r="D535" t="str">
        <f>INDEX(tblTeams[Column1.short_name],MATCH(C535,tblTeams[Column1.id],0))</f>
        <v>NEW</v>
      </c>
      <c r="E535" s="4">
        <f>INDEX(FPL_Raw_Data!$F:$F,MATCH(A535,FPL_Raw_Data!$AA:$AA,0))/10</f>
        <v>5.0999999999999996</v>
      </c>
      <c r="F535" s="4" t="str">
        <f>tblPlayers[[#This Row],[status]]</f>
        <v>a</v>
      </c>
      <c r="G535" s="4" t="b">
        <f>tblPlayers[[#This Row],[can_select]]</f>
        <v>1</v>
      </c>
      <c r="H535">
        <f>IF(AND(Table8[[#This Row],[Availability Status]]="a",Table8[[#This Row],[Can Select]]=TRUE),1,0)</f>
        <v>1</v>
      </c>
      <c r="I535">
        <f>tblPlayers[minutes]</f>
        <v>269</v>
      </c>
      <c r="J535" s="2">
        <f>Table8[[#This Row],[Minutes]]/90</f>
        <v>2.9888888888888889</v>
      </c>
      <c r="K535" s="5">
        <f>IFERROR(Z535/(FIXTURE_ANALYSIS!$B$1-1),0)</f>
        <v>1</v>
      </c>
      <c r="L535">
        <f>tblPlayers[total_points]</f>
        <v>18</v>
      </c>
      <c r="M535">
        <f>tblPlayers[points_per_game]</f>
        <v>6</v>
      </c>
      <c r="N535">
        <f>tblPlayers[form]</f>
        <v>6</v>
      </c>
      <c r="O535">
        <f>tblPlayers[expected_goals]</f>
        <v>0.04</v>
      </c>
      <c r="P535">
        <f>tblPlayers[expected_assists]</f>
        <v>0.67</v>
      </c>
      <c r="Q535">
        <f>tblPlayers[expected_goal_involvements]</f>
        <v>0.71</v>
      </c>
      <c r="R535" s="2">
        <f t="shared" si="200"/>
        <v>6.0223048327137541</v>
      </c>
      <c r="S535" s="5">
        <f t="shared" si="201"/>
        <v>1.3382899628252789E-2</v>
      </c>
      <c r="T535" s="5">
        <f t="shared" si="202"/>
        <v>0.22416356877323423</v>
      </c>
      <c r="U535" s="5">
        <f t="shared" si="203"/>
        <v>0.23754646840148697</v>
      </c>
      <c r="V535" s="3">
        <f t="shared" si="204"/>
        <v>3.5294117647058827</v>
      </c>
      <c r="W535" s="5">
        <f t="shared" si="205"/>
        <v>0.13921568627450981</v>
      </c>
      <c r="X535" s="5">
        <f>IFERROR(IF(OR($B535="MID",$B535="FWD"),INDEX(FIXTURE_ANALYSIS!$Q:$Q,MATCH($D535,FIXTURE_ANALYSIS!$A:$A,0)),INDEX(FIXTURE_ANALYSIS!$R:$R,MATCH($D535,FIXTURE_ANALYSIS!$A:$A,0))),1)</f>
        <v>1.1861524334251605</v>
      </c>
      <c r="Y535" s="5">
        <f t="shared" si="206"/>
        <v>1.1861524334251605</v>
      </c>
      <c r="Z535" s="8">
        <f>INDEX(FPL_Raw_Data!$T:$T,MATCH(A535,FPL_Raw_Data!$AA:$AA,0))</f>
        <v>3</v>
      </c>
      <c r="AA535" s="8">
        <f>INDEX(FPL_Raw_Data!$S:$S,MATCH(A535,FPL_Raw_Data!$AA:$AA,0))</f>
        <v>30</v>
      </c>
      <c r="AB535" s="2">
        <f t="shared" si="207"/>
        <v>1</v>
      </c>
      <c r="AC535" s="2">
        <f>INDEX(FPL_Raw_Data!$Q:$Q,MATCH(A535,FPL_Raw_Data!$AA:$AA,0))</f>
        <v>3</v>
      </c>
      <c r="AD535" s="8">
        <f>INDEX(FPL_Raw_Data!$R:$R,MATCH(A535,FPL_Raw_Data!$AA:$AA,0))</f>
        <v>80</v>
      </c>
      <c r="AE535" s="8">
        <f>INDEX(FPL_Raw_Data!$N:$N,MATCH(A535,FPL_Raw_Data!$AA:$AA,0))</f>
        <v>1</v>
      </c>
      <c r="AF535" s="8">
        <f>INDEX(FPL_Raw_Data!$L:$L,MATCH(A535,FPL_Raw_Data!$AA:$AA,0))</f>
        <v>0</v>
      </c>
      <c r="AG535" s="2">
        <f>INDEX(FPL_Raw_Data!$M:$M,MATCH(A535,FPL_Raw_Data!$AA:$AA,0))</f>
        <v>1</v>
      </c>
      <c r="AH535" s="2">
        <f t="shared" si="208"/>
        <v>8.0297397769516735E-2</v>
      </c>
      <c r="AI535" s="2">
        <f t="shared" si="209"/>
        <v>0.67249070631970276</v>
      </c>
      <c r="AJ535" s="2">
        <f t="shared" si="210"/>
        <v>2</v>
      </c>
      <c r="AK535" s="2">
        <f t="shared" si="211"/>
        <v>2</v>
      </c>
      <c r="AL535" s="2">
        <f t="shared" si="212"/>
        <v>0.33333333333333331</v>
      </c>
      <c r="AM535" s="2">
        <f t="shared" si="213"/>
        <v>1.3333333333333333</v>
      </c>
      <c r="AN535" s="2">
        <f t="shared" si="214"/>
        <v>1</v>
      </c>
      <c r="AO535" s="3">
        <f t="shared" si="215"/>
        <v>81.899999999999991</v>
      </c>
      <c r="AP535">
        <f t="shared" si="216"/>
        <v>79.2</v>
      </c>
      <c r="AQ535">
        <f t="shared" si="217"/>
        <v>96.899999999999991</v>
      </c>
      <c r="AR535">
        <f t="shared" si="218"/>
        <v>90.5</v>
      </c>
      <c r="AS535" s="2">
        <f t="shared" si="219"/>
        <v>100</v>
      </c>
      <c r="AT535" s="2">
        <f>IFERROR(INDEX(Player_Model!$BC$2:$BC$596,MATCH($A535,Player_Model!$A$2:$A$596,0)),0)</f>
        <v>6.414336065599973</v>
      </c>
      <c r="AU535" s="2">
        <f>Table8[[#This Row],[Model Expected Points]]*Table8[[#This Row],[Fixture Adjustment]]</f>
        <v>7.6083803330181778</v>
      </c>
      <c r="AV535" s="2">
        <f>Table8[[#This Row],[Fixture Adjusted Points / 90]]/Table8[[#This Row],[Price]]</f>
        <v>1.4918392809839565</v>
      </c>
      <c r="AW535">
        <f t="shared" si="220"/>
        <v>79.2</v>
      </c>
      <c r="AX535">
        <f t="shared" si="221"/>
        <v>1.0930762167125803</v>
      </c>
      <c r="AY535" s="2">
        <f t="shared" si="222"/>
        <v>100</v>
      </c>
      <c r="AZ535" s="5">
        <f t="shared" si="223"/>
        <v>1.1861524334251605</v>
      </c>
      <c r="BA535">
        <f>Table8[[#This Row],[Model Score2]]</f>
        <v>6.414336065599973</v>
      </c>
      <c r="BB535">
        <f>IFERROR(INDEX(Player_Model!$BG$2:$BG$596,MATCH($A535,Player_Model!$A$2:$A$596,0)),"")</f>
        <v>15</v>
      </c>
      <c r="BC535" t="str">
        <f t="shared" si="224"/>
        <v>AVOID</v>
      </c>
      <c r="BD535">
        <f>IF(H535=1,Table8[[#This Row],[Model Score]],-10000)</f>
        <v>6.414336065599973</v>
      </c>
      <c r="BE535">
        <f>IFERROR(INDEX(Player_Model!$BF$2:$BF$596,MATCH($A535,Player_Model!$A$2:$A$596,0)),"")</f>
        <v>30</v>
      </c>
      <c r="BF535">
        <f>IFERROR(INDEX(Player_Model!$BG$2:$BG$596,MATCH($A535,Player_Model!$A$2:$A$596,0)),"")</f>
        <v>15</v>
      </c>
      <c r="BG535">
        <f>IFERROR(INDEX(Player_Model!$BE$2:$BE$596,MATCH($A535,Player_Model!$A$2:$A$596,0)),0)</f>
        <v>6.414336065599973</v>
      </c>
    </row>
    <row r="536" spans="1:59" x14ac:dyDescent="0.25">
      <c r="A536" t="str">
        <f>tblPlayers[first_name]&amp;" "&amp;tblPlayers[second_name]</f>
        <v>Tino Livramento</v>
      </c>
      <c r="B536" t="str">
        <f>_xlfn.SWITCH(tblPlayers[element_type],1,"GK",2,"DEF",3,"MID",4,"FWD")</f>
        <v>DEF</v>
      </c>
      <c r="C536">
        <f>tblPlayers[team]</f>
        <v>17</v>
      </c>
      <c r="D536" t="str">
        <f>INDEX(tblTeams[Column1.short_name],MATCH(C536,tblTeams[Column1.id],0))</f>
        <v>NEW</v>
      </c>
      <c r="E536" s="4">
        <f>INDEX(FPL_Raw_Data!$F:$F,MATCH(A536,FPL_Raw_Data!$AA:$AA,0))/10</f>
        <v>4.9000000000000004</v>
      </c>
      <c r="F536" s="4" t="str">
        <f>tblPlayers[[#This Row],[status]]</f>
        <v>a</v>
      </c>
      <c r="G536" s="4" t="b">
        <f>tblPlayers[[#This Row],[can_select]]</f>
        <v>1</v>
      </c>
      <c r="H536">
        <f>IF(AND(Table8[[#This Row],[Availability Status]]="a",Table8[[#This Row],[Can Select]]=TRUE),1,0)</f>
        <v>1</v>
      </c>
      <c r="I536">
        <f>tblPlayers[minutes]</f>
        <v>1</v>
      </c>
      <c r="J536" s="2">
        <f>Table8[[#This Row],[Minutes]]/90</f>
        <v>1.1111111111111112E-2</v>
      </c>
      <c r="K536" s="5">
        <f>IFERROR(Z536/(FIXTURE_ANALYSIS!$B$1-1),0)</f>
        <v>0</v>
      </c>
      <c r="L536">
        <f>tblPlayers[total_points]</f>
        <v>1</v>
      </c>
      <c r="M536">
        <f>tblPlayers[points_per_game]</f>
        <v>1</v>
      </c>
      <c r="N536">
        <f>tblPlayers[form]</f>
        <v>0.3</v>
      </c>
      <c r="O536">
        <f>tblPlayers[expected_goals]</f>
        <v>0</v>
      </c>
      <c r="P536">
        <f>tblPlayers[expected_assists]</f>
        <v>0</v>
      </c>
      <c r="Q536">
        <f>tblPlayers[expected_goal_involvements]</f>
        <v>0</v>
      </c>
      <c r="R536" s="2">
        <f t="shared" si="200"/>
        <v>90</v>
      </c>
      <c r="S536" s="5">
        <f t="shared" si="201"/>
        <v>0</v>
      </c>
      <c r="T536" s="5">
        <f t="shared" si="202"/>
        <v>0</v>
      </c>
      <c r="U536" s="5">
        <f t="shared" si="203"/>
        <v>0</v>
      </c>
      <c r="V536" s="3">
        <f t="shared" si="204"/>
        <v>0.2040816326530612</v>
      </c>
      <c r="W536" s="5">
        <f t="shared" si="205"/>
        <v>0</v>
      </c>
      <c r="X536" s="5">
        <f>IFERROR(IF(OR($B536="MID",$B536="FWD"),INDEX(FIXTURE_ANALYSIS!$Q:$Q,MATCH($D536,FIXTURE_ANALYSIS!$A:$A,0)),INDEX(FIXTURE_ANALYSIS!$R:$R,MATCH($D536,FIXTURE_ANALYSIS!$A:$A,0))),1)</f>
        <v>1.1861524334251605</v>
      </c>
      <c r="Y536" s="5">
        <f t="shared" si="206"/>
        <v>1.1861524334251605</v>
      </c>
      <c r="Z536" s="8">
        <f>INDEX(FPL_Raw_Data!$T:$T,MATCH(A536,FPL_Raw_Data!$AA:$AA,0))</f>
        <v>0</v>
      </c>
      <c r="AA536" s="8">
        <f>INDEX(FPL_Raw_Data!$S:$S,MATCH(A536,FPL_Raw_Data!$AA:$AA,0))</f>
        <v>0</v>
      </c>
      <c r="AB536" s="2">
        <f t="shared" si="207"/>
        <v>0</v>
      </c>
      <c r="AC536" s="2">
        <f>INDEX(FPL_Raw_Data!$Q:$Q,MATCH(A536,FPL_Raw_Data!$AA:$AA,0))</f>
        <v>0</v>
      </c>
      <c r="AD536" s="8">
        <f>INDEX(FPL_Raw_Data!$R:$R,MATCH(A536,FPL_Raw_Data!$AA:$AA,0))</f>
        <v>3</v>
      </c>
      <c r="AE536" s="8">
        <f>INDEX(FPL_Raw_Data!$N:$N,MATCH(A536,FPL_Raw_Data!$AA:$AA,0))</f>
        <v>0</v>
      </c>
      <c r="AF536" s="8">
        <f>INDEX(FPL_Raw_Data!$L:$L,MATCH(A536,FPL_Raw_Data!$AA:$AA,0))</f>
        <v>0</v>
      </c>
      <c r="AG536" s="2">
        <f>INDEX(FPL_Raw_Data!$M:$M,MATCH(A536,FPL_Raw_Data!$AA:$AA,0))</f>
        <v>0</v>
      </c>
      <c r="AH536" s="2">
        <f t="shared" si="208"/>
        <v>0</v>
      </c>
      <c r="AI536" s="2">
        <f t="shared" si="209"/>
        <v>0</v>
      </c>
      <c r="AJ536" s="2">
        <f t="shared" si="210"/>
        <v>0</v>
      </c>
      <c r="AK536" s="2">
        <f t="shared" si="211"/>
        <v>0</v>
      </c>
      <c r="AL536" s="2">
        <f t="shared" si="212"/>
        <v>0</v>
      </c>
      <c r="AM536" s="2">
        <f t="shared" si="213"/>
        <v>0</v>
      </c>
      <c r="AN536" s="2">
        <f t="shared" si="214"/>
        <v>0</v>
      </c>
      <c r="AO536" s="3">
        <f t="shared" si="215"/>
        <v>98.1</v>
      </c>
      <c r="AP536">
        <f t="shared" si="216"/>
        <v>0</v>
      </c>
      <c r="AQ536">
        <f t="shared" si="217"/>
        <v>46.2</v>
      </c>
      <c r="AR536">
        <f t="shared" si="218"/>
        <v>0</v>
      </c>
      <c r="AS536" s="2">
        <f t="shared" si="219"/>
        <v>0</v>
      </c>
      <c r="AT536" s="2">
        <f>IFERROR(INDEX(Player_Model!$BC$2:$BC$596,MATCH($A536,Player_Model!$A$2:$A$596,0)),0)</f>
        <v>-0.79076828895010698</v>
      </c>
      <c r="AU536" s="2">
        <f>Table8[[#This Row],[Model Expected Points]]*Table8[[#This Row],[Fixture Adjustment]]</f>
        <v>-0.9379717302136199</v>
      </c>
      <c r="AV536" s="2">
        <f>Table8[[#This Row],[Fixture Adjusted Points / 90]]/Table8[[#This Row],[Price]]</f>
        <v>-0.1914228020844122</v>
      </c>
      <c r="AW536">
        <f t="shared" si="220"/>
        <v>0</v>
      </c>
      <c r="AX536">
        <f t="shared" si="221"/>
        <v>0.59307621671258026</v>
      </c>
      <c r="AY536" s="2">
        <f t="shared" si="222"/>
        <v>0</v>
      </c>
      <c r="AZ536" s="5">
        <f t="shared" si="223"/>
        <v>1.1861524334251605</v>
      </c>
      <c r="BA536">
        <f>Table8[[#This Row],[Model Score2]]</f>
        <v>-0.79076828895010698</v>
      </c>
      <c r="BB536">
        <f>IFERROR(INDEX(Player_Model!$BG$2:$BG$596,MATCH($A536,Player_Model!$A$2:$A$596,0)),"")</f>
        <v>147</v>
      </c>
      <c r="BC536" t="str">
        <f t="shared" si="224"/>
        <v>AVOID</v>
      </c>
      <c r="BD536">
        <f>IF(H536=1,Table8[[#This Row],[Model Score]],-10000)</f>
        <v>-0.79076828895010698</v>
      </c>
      <c r="BE536">
        <f>IFERROR(INDEX(Player_Model!$BF$2:$BF$596,MATCH($A536,Player_Model!$A$2:$A$596,0)),"")</f>
        <v>548</v>
      </c>
      <c r="BF536">
        <f>IFERROR(INDEX(Player_Model!$BG$2:$BG$596,MATCH($A536,Player_Model!$A$2:$A$596,0)),"")</f>
        <v>147</v>
      </c>
      <c r="BG536">
        <f>IFERROR(INDEX(Player_Model!$BE$2:$BE$596,MATCH($A536,Player_Model!$A$2:$A$596,0)),0)</f>
        <v>-0.79076828895010698</v>
      </c>
    </row>
    <row r="537" spans="1:59" x14ac:dyDescent="0.25">
      <c r="A537" t="str">
        <f>tblPlayers[first_name]&amp;" "&amp;tblPlayers[second_name]</f>
        <v>Alex Murphy</v>
      </c>
      <c r="B537" t="str">
        <f>_xlfn.SWITCH(tblPlayers[element_type],1,"GK",2,"DEF",3,"MID",4,"FWD")</f>
        <v>DEF</v>
      </c>
      <c r="C537">
        <f>tblPlayers[team]</f>
        <v>17</v>
      </c>
      <c r="D537" t="str">
        <f>INDEX(tblTeams[Column1.short_name],MATCH(C537,tblTeams[Column1.id],0))</f>
        <v>NEW</v>
      </c>
      <c r="E537" s="4">
        <f>INDEX(FPL_Raw_Data!$F:$F,MATCH(A537,FPL_Raw_Data!$AA:$AA,0))/10</f>
        <v>4</v>
      </c>
      <c r="F537" s="4" t="str">
        <f>tblPlayers[[#This Row],[status]]</f>
        <v>u</v>
      </c>
      <c r="G537" s="4" t="b">
        <f>tblPlayers[[#This Row],[can_select]]</f>
        <v>0</v>
      </c>
      <c r="H537">
        <f>IF(AND(Table8[[#This Row],[Availability Status]]="a",Table8[[#This Row],[Can Select]]=TRUE),1,0)</f>
        <v>0</v>
      </c>
      <c r="I537">
        <f>tblPlayers[minutes]</f>
        <v>0</v>
      </c>
      <c r="J537" s="2">
        <f>Table8[[#This Row],[Minutes]]/90</f>
        <v>0</v>
      </c>
      <c r="K537" s="5">
        <f>IFERROR(Z537/(FIXTURE_ANALYSIS!$B$1-1),0)</f>
        <v>0</v>
      </c>
      <c r="L537">
        <f>tblPlayers[total_points]</f>
        <v>0</v>
      </c>
      <c r="M537">
        <f>tblPlayers[points_per_game]</f>
        <v>0</v>
      </c>
      <c r="N537">
        <f>tblPlayers[form]</f>
        <v>0</v>
      </c>
      <c r="O537">
        <f>tblPlayers[expected_goals]</f>
        <v>0</v>
      </c>
      <c r="P537">
        <f>tblPlayers[expected_assists]</f>
        <v>0</v>
      </c>
      <c r="Q537">
        <f>tblPlayers[expected_goal_involvements]</f>
        <v>0</v>
      </c>
      <c r="R537" s="2">
        <f t="shared" si="200"/>
        <v>0</v>
      </c>
      <c r="S537" s="5">
        <f t="shared" si="201"/>
        <v>0</v>
      </c>
      <c r="T537" s="5">
        <f t="shared" si="202"/>
        <v>0</v>
      </c>
      <c r="U537" s="5">
        <f t="shared" si="203"/>
        <v>0</v>
      </c>
      <c r="V537" s="3">
        <f t="shared" si="204"/>
        <v>0</v>
      </c>
      <c r="W537" s="5">
        <f t="shared" si="205"/>
        <v>0</v>
      </c>
      <c r="X537" s="5">
        <f>IFERROR(IF(OR($B537="MID",$B537="FWD"),INDEX(FIXTURE_ANALYSIS!$Q:$Q,MATCH($D537,FIXTURE_ANALYSIS!$A:$A,0)),INDEX(FIXTURE_ANALYSIS!$R:$R,MATCH($D537,FIXTURE_ANALYSIS!$A:$A,0))),1)</f>
        <v>1.1861524334251605</v>
      </c>
      <c r="Y537" s="5">
        <f t="shared" si="206"/>
        <v>1.1861524334251605</v>
      </c>
      <c r="Z537" s="8">
        <f>INDEX(FPL_Raw_Data!$T:$T,MATCH(A537,FPL_Raw_Data!$AA:$AA,0))</f>
        <v>0</v>
      </c>
      <c r="AA537" s="8">
        <f>INDEX(FPL_Raw_Data!$S:$S,MATCH(A537,FPL_Raw_Data!$AA:$AA,0))</f>
        <v>0</v>
      </c>
      <c r="AB537" s="2">
        <f t="shared" si="207"/>
        <v>0</v>
      </c>
      <c r="AC537" s="2">
        <f>INDEX(FPL_Raw_Data!$Q:$Q,MATCH(A537,FPL_Raw_Data!$AA:$AA,0))</f>
        <v>0</v>
      </c>
      <c r="AD537" s="8">
        <f>INDEX(FPL_Raw_Data!$R:$R,MATCH(A537,FPL_Raw_Data!$AA:$AA,0))</f>
        <v>0</v>
      </c>
      <c r="AE537" s="8">
        <f>INDEX(FPL_Raw_Data!$N:$N,MATCH(A537,FPL_Raw_Data!$AA:$AA,0))</f>
        <v>0</v>
      </c>
      <c r="AF537" s="8">
        <f>INDEX(FPL_Raw_Data!$L:$L,MATCH(A537,FPL_Raw_Data!$AA:$AA,0))</f>
        <v>0</v>
      </c>
      <c r="AG537" s="2">
        <f>INDEX(FPL_Raw_Data!$M:$M,MATCH(A537,FPL_Raw_Data!$AA:$AA,0))</f>
        <v>0</v>
      </c>
      <c r="AH537" s="2">
        <f t="shared" si="208"/>
        <v>0</v>
      </c>
      <c r="AI537" s="2">
        <f t="shared" si="209"/>
        <v>0</v>
      </c>
      <c r="AJ537" s="2">
        <f t="shared" si="210"/>
        <v>0</v>
      </c>
      <c r="AK537" s="2">
        <f t="shared" si="211"/>
        <v>0</v>
      </c>
      <c r="AL537" s="2">
        <f t="shared" si="212"/>
        <v>0</v>
      </c>
      <c r="AM537" s="2">
        <f t="shared" si="213"/>
        <v>0</v>
      </c>
      <c r="AN537" s="2">
        <f t="shared" si="214"/>
        <v>0</v>
      </c>
      <c r="AO537" s="3">
        <f t="shared" si="215"/>
        <v>0.1</v>
      </c>
      <c r="AP537">
        <f t="shared" si="216"/>
        <v>0</v>
      </c>
      <c r="AQ537">
        <f t="shared" si="217"/>
        <v>0.1</v>
      </c>
      <c r="AR537">
        <f t="shared" si="218"/>
        <v>0</v>
      </c>
      <c r="AS537" s="2">
        <f t="shared" si="219"/>
        <v>0</v>
      </c>
      <c r="AT537" s="2">
        <f>IFERROR(INDEX(Player_Model!$BC$2:$BC$596,MATCH($A537,Player_Model!$A$2:$A$596,0)),0)</f>
        <v>-0.79076828895010698</v>
      </c>
      <c r="AU537" s="2">
        <f>Table8[[#This Row],[Model Expected Points]]*Table8[[#This Row],[Fixture Adjustment]]</f>
        <v>-0.9379717302136199</v>
      </c>
      <c r="AV537" s="2">
        <f>Table8[[#This Row],[Fixture Adjusted Points / 90]]/Table8[[#This Row],[Price]]</f>
        <v>-0.23449293255340498</v>
      </c>
      <c r="AW537">
        <f t="shared" si="220"/>
        <v>0</v>
      </c>
      <c r="AX537">
        <f t="shared" si="221"/>
        <v>0.59307621671258026</v>
      </c>
      <c r="AY537" s="2">
        <f t="shared" si="222"/>
        <v>0</v>
      </c>
      <c r="AZ537" s="5">
        <f t="shared" si="223"/>
        <v>1.1861524334251605</v>
      </c>
      <c r="BA537">
        <f>Table8[[#This Row],[Model Score2]]</f>
        <v>-0.79076828895010698</v>
      </c>
      <c r="BB537">
        <f>IFERROR(INDEX(Player_Model!$BG$2:$BG$596,MATCH($A537,Player_Model!$A$2:$A$596,0)),"")</f>
        <v>148</v>
      </c>
      <c r="BC537" t="str">
        <f t="shared" si="224"/>
        <v>AVOID</v>
      </c>
      <c r="BD537">
        <f>IF(H537=1,Table8[[#This Row],[Model Score]],-10000)</f>
        <v>-10000</v>
      </c>
      <c r="BE537">
        <f>IFERROR(INDEX(Player_Model!$BF$2:$BF$596,MATCH($A537,Player_Model!$A$2:$A$596,0)),"")</f>
        <v>548</v>
      </c>
      <c r="BF537">
        <f>IFERROR(INDEX(Player_Model!$BG$2:$BG$596,MATCH($A537,Player_Model!$A$2:$A$596,0)),"")</f>
        <v>148</v>
      </c>
      <c r="BG537">
        <f>IFERROR(INDEX(Player_Model!$BE$2:$BE$596,MATCH($A537,Player_Model!$A$2:$A$596,0)),0)</f>
        <v>-0.79076828895010698</v>
      </c>
    </row>
    <row r="538" spans="1:59" x14ac:dyDescent="0.25">
      <c r="A538" t="str">
        <f>tblPlayers[first_name]&amp;" "&amp;tblPlayers[second_name]</f>
        <v>Harvey Barnes</v>
      </c>
      <c r="B538" t="str">
        <f>_xlfn.SWITCH(tblPlayers[element_type],1,"GK",2,"DEF",3,"MID",4,"FWD")</f>
        <v>MID</v>
      </c>
      <c r="C538">
        <f>tblPlayers[team]</f>
        <v>17</v>
      </c>
      <c r="D538" t="str">
        <f>INDEX(tblTeams[Column1.short_name],MATCH(C538,tblTeams[Column1.id],0))</f>
        <v>NEW</v>
      </c>
      <c r="E538" s="4">
        <f>INDEX(FPL_Raw_Data!$F:$F,MATCH(A538,FPL_Raw_Data!$AA:$AA,0))/10</f>
        <v>6</v>
      </c>
      <c r="F538" s="4" t="str">
        <f>tblPlayers[[#This Row],[status]]</f>
        <v>a</v>
      </c>
      <c r="G538" s="4" t="b">
        <f>tblPlayers[[#This Row],[can_select]]</f>
        <v>1</v>
      </c>
      <c r="H538">
        <f>IF(AND(Table8[[#This Row],[Availability Status]]="a",Table8[[#This Row],[Can Select]]=TRUE),1,0)</f>
        <v>1</v>
      </c>
      <c r="I538">
        <f>tblPlayers[minutes]</f>
        <v>270</v>
      </c>
      <c r="J538" s="2">
        <f>Table8[[#This Row],[Minutes]]/90</f>
        <v>3</v>
      </c>
      <c r="K538" s="5">
        <f>IFERROR(Z538/(FIXTURE_ANALYSIS!$B$1-1),0)</f>
        <v>1</v>
      </c>
      <c r="L538">
        <f>tblPlayers[total_points]</f>
        <v>17</v>
      </c>
      <c r="M538">
        <f>tblPlayers[points_per_game]</f>
        <v>5.7</v>
      </c>
      <c r="N538">
        <f>tblPlayers[form]</f>
        <v>5.7</v>
      </c>
      <c r="O538">
        <f>tblPlayers[expected_goals]</f>
        <v>0.22</v>
      </c>
      <c r="P538">
        <f>tblPlayers[expected_assists]</f>
        <v>0.06</v>
      </c>
      <c r="Q538">
        <f>tblPlayers[expected_goal_involvements]</f>
        <v>0.28000000000000003</v>
      </c>
      <c r="R538" s="2">
        <f t="shared" si="200"/>
        <v>5.6666666666666661</v>
      </c>
      <c r="S538" s="5">
        <f t="shared" si="201"/>
        <v>7.3333333333333334E-2</v>
      </c>
      <c r="T538" s="5">
        <f t="shared" si="202"/>
        <v>1.9999999999999997E-2</v>
      </c>
      <c r="U538" s="5">
        <f t="shared" si="203"/>
        <v>9.3333333333333338E-2</v>
      </c>
      <c r="V538" s="3">
        <f t="shared" si="204"/>
        <v>2.8333333333333335</v>
      </c>
      <c r="W538" s="5">
        <f t="shared" si="205"/>
        <v>4.6666666666666669E-2</v>
      </c>
      <c r="X538" s="5">
        <f>IFERROR(IF(OR($B538="MID",$B538="FWD"),INDEX(FIXTURE_ANALYSIS!$Q:$Q,MATCH($D538,FIXTURE_ANALYSIS!$A:$A,0)),INDEX(FIXTURE_ANALYSIS!$R:$R,MATCH($D538,FIXTURE_ANALYSIS!$A:$A,0))),1)</f>
        <v>1.0060034602076122</v>
      </c>
      <c r="Y538" s="5">
        <f t="shared" si="206"/>
        <v>1.0060034602076122</v>
      </c>
      <c r="Z538" s="8">
        <f>INDEX(FPL_Raw_Data!$T:$T,MATCH(A538,FPL_Raw_Data!$AA:$AA,0))</f>
        <v>3</v>
      </c>
      <c r="AA538" s="8">
        <f>INDEX(FPL_Raw_Data!$S:$S,MATCH(A538,FPL_Raw_Data!$AA:$AA,0))</f>
        <v>18</v>
      </c>
      <c r="AB538" s="2">
        <f t="shared" si="207"/>
        <v>1</v>
      </c>
      <c r="AC538" s="2">
        <f>INDEX(FPL_Raw_Data!$Q:$Q,MATCH(A538,FPL_Raw_Data!$AA:$AA,0))</f>
        <v>2</v>
      </c>
      <c r="AD538" s="8">
        <f>INDEX(FPL_Raw_Data!$R:$R,MATCH(A538,FPL_Raw_Data!$AA:$AA,0))</f>
        <v>58</v>
      </c>
      <c r="AE538" s="8">
        <f>INDEX(FPL_Raw_Data!$N:$N,MATCH(A538,FPL_Raw_Data!$AA:$AA,0))</f>
        <v>1</v>
      </c>
      <c r="AF538" s="8">
        <f>INDEX(FPL_Raw_Data!$L:$L,MATCH(A538,FPL_Raw_Data!$AA:$AA,0))</f>
        <v>1</v>
      </c>
      <c r="AG538" s="2">
        <f>INDEX(FPL_Raw_Data!$M:$M,MATCH(A538,FPL_Raw_Data!$AA:$AA,0))</f>
        <v>1</v>
      </c>
      <c r="AH538" s="2">
        <f t="shared" si="208"/>
        <v>0.3666666666666667</v>
      </c>
      <c r="AI538" s="2">
        <f t="shared" si="209"/>
        <v>5.9999999999999991E-2</v>
      </c>
      <c r="AJ538" s="2">
        <f t="shared" si="210"/>
        <v>2</v>
      </c>
      <c r="AK538" s="2">
        <f t="shared" si="211"/>
        <v>2</v>
      </c>
      <c r="AL538" s="2">
        <f t="shared" si="212"/>
        <v>0.33333333333333331</v>
      </c>
      <c r="AM538" s="2">
        <f t="shared" si="213"/>
        <v>0.33333333333333331</v>
      </c>
      <c r="AN538" s="2">
        <f t="shared" si="214"/>
        <v>0.66666666666666663</v>
      </c>
      <c r="AO538" s="3">
        <f t="shared" si="215"/>
        <v>79.900000000000006</v>
      </c>
      <c r="AP538">
        <f t="shared" si="216"/>
        <v>67.5</v>
      </c>
      <c r="AQ538">
        <f t="shared" si="217"/>
        <v>93.899999999999991</v>
      </c>
      <c r="AR538">
        <f t="shared" si="218"/>
        <v>74.7</v>
      </c>
      <c r="AS538" s="2">
        <f t="shared" si="219"/>
        <v>100</v>
      </c>
      <c r="AT538" s="2">
        <f>IFERROR(INDEX(Player_Model!$BC$2:$BC$596,MATCH($A538,Player_Model!$A$2:$A$596,0)),0)</f>
        <v>3.9651761928562106</v>
      </c>
      <c r="AU538" s="2">
        <f>Table8[[#This Row],[Model Expected Points]]*Table8[[#This Row],[Fixture Adjustment]]</f>
        <v>3.9889809703461943</v>
      </c>
      <c r="AV538" s="2">
        <f>Table8[[#This Row],[Fixture Adjusted Points / 90]]/Table8[[#This Row],[Price]]</f>
        <v>0.66483016172436571</v>
      </c>
      <c r="AW538">
        <f t="shared" si="220"/>
        <v>73.7</v>
      </c>
      <c r="AX538">
        <f t="shared" si="221"/>
        <v>1</v>
      </c>
      <c r="AY538" s="2">
        <f t="shared" si="222"/>
        <v>100</v>
      </c>
      <c r="AZ538" s="5">
        <f t="shared" si="223"/>
        <v>1.0060034602076122</v>
      </c>
      <c r="BA538">
        <f>Table8[[#This Row],[Model Score2]]</f>
        <v>3.9651761928562106</v>
      </c>
      <c r="BB538">
        <f>IFERROR(INDEX(Player_Model!$BG$2:$BG$596,MATCH($A538,Player_Model!$A$2:$A$596,0)),"")</f>
        <v>78</v>
      </c>
      <c r="BC538" t="str">
        <f t="shared" si="224"/>
        <v>AVOID</v>
      </c>
      <c r="BD538">
        <f>IF(H538=1,Table8[[#This Row],[Model Score]],-10000)</f>
        <v>3.9651761928562106</v>
      </c>
      <c r="BE538">
        <f>IFERROR(INDEX(Player_Model!$BF$2:$BF$596,MATCH($A538,Player_Model!$A$2:$A$596,0)),"")</f>
        <v>155</v>
      </c>
      <c r="BF538">
        <f>IFERROR(INDEX(Player_Model!$BG$2:$BG$596,MATCH($A538,Player_Model!$A$2:$A$596,0)),"")</f>
        <v>78</v>
      </c>
      <c r="BG538">
        <f>IFERROR(INDEX(Player_Model!$BE$2:$BE$596,MATCH($A538,Player_Model!$A$2:$A$596,0)),0)</f>
        <v>3.9651761928562106</v>
      </c>
    </row>
    <row r="539" spans="1:59" x14ac:dyDescent="0.25">
      <c r="A539" t="str">
        <f>tblPlayers[first_name]&amp;" "&amp;tblPlayers[second_name]</f>
        <v>Anthony Elanga</v>
      </c>
      <c r="B539" t="str">
        <f>_xlfn.SWITCH(tblPlayers[element_type],1,"GK",2,"DEF",3,"MID",4,"FWD")</f>
        <v>MID</v>
      </c>
      <c r="C539">
        <f>tblPlayers[team]</f>
        <v>17</v>
      </c>
      <c r="D539" t="str">
        <f>INDEX(tblTeams[Column1.short_name],MATCH(C539,tblTeams[Column1.id],0))</f>
        <v>NEW</v>
      </c>
      <c r="E539" s="4">
        <f>INDEX(FPL_Raw_Data!$F:$F,MATCH(A539,FPL_Raw_Data!$AA:$AA,0))/10</f>
        <v>6.1</v>
      </c>
      <c r="F539" s="4" t="str">
        <f>tblPlayers[[#This Row],[status]]</f>
        <v>a</v>
      </c>
      <c r="G539" s="4" t="b">
        <f>tblPlayers[[#This Row],[can_select]]</f>
        <v>1</v>
      </c>
      <c r="H539">
        <f>IF(AND(Table8[[#This Row],[Availability Status]]="a",Table8[[#This Row],[Can Select]]=TRUE),1,0)</f>
        <v>1</v>
      </c>
      <c r="I539">
        <f>tblPlayers[minutes]</f>
        <v>232</v>
      </c>
      <c r="J539" s="2">
        <f>Table8[[#This Row],[Minutes]]/90</f>
        <v>2.5777777777777779</v>
      </c>
      <c r="K539" s="5">
        <f>IFERROR(Z539/(FIXTURE_ANALYSIS!$B$1-1),0)</f>
        <v>1</v>
      </c>
      <c r="L539">
        <f>tblPlayers[total_points]</f>
        <v>18</v>
      </c>
      <c r="M539">
        <f>tblPlayers[points_per_game]</f>
        <v>6</v>
      </c>
      <c r="N539">
        <f>tblPlayers[form]</f>
        <v>6</v>
      </c>
      <c r="O539">
        <f>tblPlayers[expected_goals]</f>
        <v>0.42</v>
      </c>
      <c r="P539">
        <f>tblPlayers[expected_assists]</f>
        <v>0.34</v>
      </c>
      <c r="Q539">
        <f>tblPlayers[expected_goal_involvements]</f>
        <v>0.76</v>
      </c>
      <c r="R539" s="2">
        <f t="shared" si="200"/>
        <v>6.9827586206896557</v>
      </c>
      <c r="S539" s="5">
        <f t="shared" si="201"/>
        <v>0.16293103448275861</v>
      </c>
      <c r="T539" s="5">
        <f t="shared" si="202"/>
        <v>0.13189655172413794</v>
      </c>
      <c r="U539" s="5">
        <f t="shared" si="203"/>
        <v>0.29482758620689659</v>
      </c>
      <c r="V539" s="3">
        <f t="shared" si="204"/>
        <v>2.9508196721311477</v>
      </c>
      <c r="W539" s="5">
        <f t="shared" si="205"/>
        <v>0.12459016393442623</v>
      </c>
      <c r="X539" s="5">
        <f>IFERROR(IF(OR($B539="MID",$B539="FWD"),INDEX(FIXTURE_ANALYSIS!$Q:$Q,MATCH($D539,FIXTURE_ANALYSIS!$A:$A,0)),INDEX(FIXTURE_ANALYSIS!$R:$R,MATCH($D539,FIXTURE_ANALYSIS!$A:$A,0))),1)</f>
        <v>1.0060034602076122</v>
      </c>
      <c r="Y539" s="5">
        <f t="shared" si="206"/>
        <v>1.0060034602076122</v>
      </c>
      <c r="Z539" s="8">
        <f>INDEX(FPL_Raw_Data!$T:$T,MATCH(A539,FPL_Raw_Data!$AA:$AA,0))</f>
        <v>3</v>
      </c>
      <c r="AA539" s="8">
        <f>INDEX(FPL_Raw_Data!$S:$S,MATCH(A539,FPL_Raw_Data!$AA:$AA,0))</f>
        <v>9</v>
      </c>
      <c r="AB539" s="2">
        <f t="shared" si="207"/>
        <v>0.75</v>
      </c>
      <c r="AC539" s="2">
        <f>INDEX(FPL_Raw_Data!$Q:$Q,MATCH(A539,FPL_Raw_Data!$AA:$AA,0))</f>
        <v>2</v>
      </c>
      <c r="AD539" s="8">
        <f>INDEX(FPL_Raw_Data!$R:$R,MATCH(A539,FPL_Raw_Data!$AA:$AA,0))</f>
        <v>71</v>
      </c>
      <c r="AE539" s="8">
        <f>INDEX(FPL_Raw_Data!$N:$N,MATCH(A539,FPL_Raw_Data!$AA:$AA,0))</f>
        <v>1</v>
      </c>
      <c r="AF539" s="8">
        <f>INDEX(FPL_Raw_Data!$L:$L,MATCH(A539,FPL_Raw_Data!$AA:$AA,0))</f>
        <v>2</v>
      </c>
      <c r="AG539" s="2">
        <f>INDEX(FPL_Raw_Data!$M:$M,MATCH(A539,FPL_Raw_Data!$AA:$AA,0))</f>
        <v>0</v>
      </c>
      <c r="AH539" s="2">
        <f t="shared" si="208"/>
        <v>0.81465517241379304</v>
      </c>
      <c r="AI539" s="2">
        <f t="shared" si="209"/>
        <v>0.39568965517241383</v>
      </c>
      <c r="AJ539" s="2">
        <f t="shared" si="210"/>
        <v>2</v>
      </c>
      <c r="AK539" s="2">
        <f t="shared" si="211"/>
        <v>1.5</v>
      </c>
      <c r="AL539" s="2">
        <f t="shared" si="212"/>
        <v>0.33333333333333331</v>
      </c>
      <c r="AM539" s="2">
        <f t="shared" si="213"/>
        <v>0.33333333333333331</v>
      </c>
      <c r="AN539" s="2">
        <f t="shared" si="214"/>
        <v>0.66666666666666663</v>
      </c>
      <c r="AO539" s="3">
        <f t="shared" si="215"/>
        <v>86</v>
      </c>
      <c r="AP539">
        <f t="shared" si="216"/>
        <v>83.1</v>
      </c>
      <c r="AQ539">
        <f t="shared" si="217"/>
        <v>94.699999999999989</v>
      </c>
      <c r="AR539">
        <f t="shared" si="218"/>
        <v>88.2</v>
      </c>
      <c r="AS539" s="2">
        <f t="shared" si="219"/>
        <v>100</v>
      </c>
      <c r="AT539" s="2">
        <f>IFERROR(INDEX(Player_Model!$BC$2:$BC$596,MATCH($A539,Player_Model!$A$2:$A$596,0)),0)</f>
        <v>4.1507337960758202</v>
      </c>
      <c r="AU539" s="2">
        <f>Table8[[#This Row],[Model Expected Points]]*Table8[[#This Row],[Fixture Adjustment]]</f>
        <v>4.1756525612529529</v>
      </c>
      <c r="AV539" s="2">
        <f>Table8[[#This Row],[Fixture Adjusted Points / 90]]/Table8[[#This Row],[Price]]</f>
        <v>0.68453320676277918</v>
      </c>
      <c r="AW539">
        <f t="shared" si="220"/>
        <v>84.55</v>
      </c>
      <c r="AX539">
        <f t="shared" si="221"/>
        <v>0.75</v>
      </c>
      <c r="AY539" s="2">
        <f t="shared" si="222"/>
        <v>100</v>
      </c>
      <c r="AZ539" s="5">
        <f t="shared" si="223"/>
        <v>1.0060034602076122</v>
      </c>
      <c r="BA539">
        <f>Table8[[#This Row],[Model Score2]]</f>
        <v>4.1507337960758202</v>
      </c>
      <c r="BB539">
        <f>IFERROR(INDEX(Player_Model!$BG$2:$BG$596,MATCH($A539,Player_Model!$A$2:$A$596,0)),"")</f>
        <v>72</v>
      </c>
      <c r="BC539" t="str">
        <f t="shared" si="224"/>
        <v>AVOID</v>
      </c>
      <c r="BD539">
        <f>IF(H539=1,Table8[[#This Row],[Model Score]],-10000)</f>
        <v>4.1507337960758202</v>
      </c>
      <c r="BE539">
        <f>IFERROR(INDEX(Player_Model!$BF$2:$BF$596,MATCH($A539,Player_Model!$A$2:$A$596,0)),"")</f>
        <v>147</v>
      </c>
      <c r="BF539">
        <f>IFERROR(INDEX(Player_Model!$BG$2:$BG$596,MATCH($A539,Player_Model!$A$2:$A$596,0)),"")</f>
        <v>72</v>
      </c>
      <c r="BG539">
        <f>IFERROR(INDEX(Player_Model!$BE$2:$BE$596,MATCH($A539,Player_Model!$A$2:$A$596,0)),0)</f>
        <v>4.1507337960758202</v>
      </c>
    </row>
    <row r="540" spans="1:59" x14ac:dyDescent="0.25">
      <c r="A540" t="str">
        <f>tblPlayers[first_name]&amp;" "&amp;tblPlayers[second_name]</f>
        <v>Jacob Ramsey</v>
      </c>
      <c r="B540" t="str">
        <f>_xlfn.SWITCH(tblPlayers[element_type],1,"GK",2,"DEF",3,"MID",4,"FWD")</f>
        <v>MID</v>
      </c>
      <c r="C540">
        <f>tblPlayers[team]</f>
        <v>17</v>
      </c>
      <c r="D540" t="str">
        <f>INDEX(tblTeams[Column1.short_name],MATCH(C540,tblTeams[Column1.id],0))</f>
        <v>NEW</v>
      </c>
      <c r="E540" s="4">
        <f>INDEX(FPL_Raw_Data!$F:$F,MATCH(A540,FPL_Raw_Data!$AA:$AA,0))/10</f>
        <v>4.9000000000000004</v>
      </c>
      <c r="F540" s="4" t="str">
        <f>tblPlayers[[#This Row],[status]]</f>
        <v>a</v>
      </c>
      <c r="G540" s="4" t="b">
        <f>tblPlayers[[#This Row],[can_select]]</f>
        <v>1</v>
      </c>
      <c r="H540">
        <f>IF(AND(Table8[[#This Row],[Availability Status]]="a",Table8[[#This Row],[Can Select]]=TRUE),1,0)</f>
        <v>1</v>
      </c>
      <c r="I540">
        <f>tblPlayers[minutes]</f>
        <v>69</v>
      </c>
      <c r="J540" s="2">
        <f>Table8[[#This Row],[Minutes]]/90</f>
        <v>0.76666666666666672</v>
      </c>
      <c r="K540" s="5">
        <f>IFERROR(Z540/(FIXTURE_ANALYSIS!$B$1-1),0)</f>
        <v>0</v>
      </c>
      <c r="L540">
        <f>tblPlayers[total_points]</f>
        <v>7</v>
      </c>
      <c r="M540">
        <f>tblPlayers[points_per_game]</f>
        <v>2.2999999999999998</v>
      </c>
      <c r="N540">
        <f>tblPlayers[form]</f>
        <v>2.2999999999999998</v>
      </c>
      <c r="O540">
        <f>tblPlayers[expected_goals]</f>
        <v>0.17</v>
      </c>
      <c r="P540">
        <f>tblPlayers[expected_assists]</f>
        <v>0.16</v>
      </c>
      <c r="Q540">
        <f>tblPlayers[expected_goal_involvements]</f>
        <v>0.33</v>
      </c>
      <c r="R540" s="2">
        <f t="shared" si="200"/>
        <v>9.1304347826086953</v>
      </c>
      <c r="S540" s="5">
        <f t="shared" si="201"/>
        <v>0.22173913043478263</v>
      </c>
      <c r="T540" s="5">
        <f t="shared" si="202"/>
        <v>0.20869565217391303</v>
      </c>
      <c r="U540" s="5">
        <f t="shared" si="203"/>
        <v>0.43043478260869561</v>
      </c>
      <c r="V540" s="3">
        <f t="shared" si="204"/>
        <v>1.4285714285714284</v>
      </c>
      <c r="W540" s="5">
        <f t="shared" si="205"/>
        <v>6.7346938775510207E-2</v>
      </c>
      <c r="X540" s="5">
        <f>IFERROR(IF(OR($B540="MID",$B540="FWD"),INDEX(FIXTURE_ANALYSIS!$Q:$Q,MATCH($D540,FIXTURE_ANALYSIS!$A:$A,0)),INDEX(FIXTURE_ANALYSIS!$R:$R,MATCH($D540,FIXTURE_ANALYSIS!$A:$A,0))),1)</f>
        <v>1.0060034602076122</v>
      </c>
      <c r="Y540" s="5">
        <f t="shared" si="206"/>
        <v>1.0060034602076122</v>
      </c>
      <c r="Z540" s="8">
        <f>INDEX(FPL_Raw_Data!$T:$T,MATCH(A540,FPL_Raw_Data!$AA:$AA,0))</f>
        <v>0</v>
      </c>
      <c r="AA540" s="8">
        <f>INDEX(FPL_Raw_Data!$S:$S,MATCH(A540,FPL_Raw_Data!$AA:$AA,0))</f>
        <v>11</v>
      </c>
      <c r="AB540" s="2">
        <f t="shared" si="207"/>
        <v>0.91666666666666663</v>
      </c>
      <c r="AC540" s="2">
        <f>INDEX(FPL_Raw_Data!$Q:$Q,MATCH(A540,FPL_Raw_Data!$AA:$AA,0))</f>
        <v>0</v>
      </c>
      <c r="AD540" s="8">
        <f>INDEX(FPL_Raw_Data!$R:$R,MATCH(A540,FPL_Raw_Data!$AA:$AA,0))</f>
        <v>26</v>
      </c>
      <c r="AE540" s="8">
        <f>INDEX(FPL_Raw_Data!$N:$N,MATCH(A540,FPL_Raw_Data!$AA:$AA,0))</f>
        <v>0</v>
      </c>
      <c r="AF540" s="8">
        <f>INDEX(FPL_Raw_Data!$L:$L,MATCH(A540,FPL_Raw_Data!$AA:$AA,0))</f>
        <v>1</v>
      </c>
      <c r="AG540" s="2">
        <f>INDEX(FPL_Raw_Data!$M:$M,MATCH(A540,FPL_Raw_Data!$AA:$AA,0))</f>
        <v>0</v>
      </c>
      <c r="AH540" s="2">
        <f t="shared" si="208"/>
        <v>1.1086956521739131</v>
      </c>
      <c r="AI540" s="2">
        <f t="shared" si="209"/>
        <v>0.62608695652173907</v>
      </c>
      <c r="AJ540" s="2">
        <f t="shared" si="210"/>
        <v>0</v>
      </c>
      <c r="AK540" s="2">
        <f t="shared" si="211"/>
        <v>1.8333333333333333</v>
      </c>
      <c r="AL540" s="2">
        <f t="shared" si="212"/>
        <v>0</v>
      </c>
      <c r="AM540" s="2">
        <f t="shared" si="213"/>
        <v>0</v>
      </c>
      <c r="AN540" s="2">
        <f t="shared" si="214"/>
        <v>0</v>
      </c>
      <c r="AO540" s="3">
        <f t="shared" si="215"/>
        <v>92.2</v>
      </c>
      <c r="AP540">
        <f t="shared" si="216"/>
        <v>90</v>
      </c>
      <c r="AQ540">
        <f t="shared" si="217"/>
        <v>77.100000000000009</v>
      </c>
      <c r="AR540">
        <f t="shared" si="218"/>
        <v>79.400000000000006</v>
      </c>
      <c r="AS540" s="2">
        <f t="shared" si="219"/>
        <v>0</v>
      </c>
      <c r="AT540" s="2">
        <f>IFERROR(INDEX(Player_Model!$BC$2:$BC$596,MATCH($A540,Player_Model!$A$2:$A$596,0)),0)</f>
        <v>0</v>
      </c>
      <c r="AU540" s="2">
        <f>Table8[[#This Row],[Model Expected Points]]*Table8[[#This Row],[Fixture Adjustment]]</f>
        <v>0</v>
      </c>
      <c r="AV540" s="2">
        <f>Table8[[#This Row],[Fixture Adjusted Points / 90]]/Table8[[#This Row],[Price]]</f>
        <v>0</v>
      </c>
      <c r="AW540">
        <f t="shared" si="220"/>
        <v>91.1</v>
      </c>
      <c r="AX540">
        <f t="shared" si="221"/>
        <v>0.91666666666666663</v>
      </c>
      <c r="AY540" s="2">
        <f t="shared" si="222"/>
        <v>0</v>
      </c>
      <c r="AZ540" s="5">
        <f t="shared" si="223"/>
        <v>1.0060034602076122</v>
      </c>
      <c r="BA540">
        <f>Table8[[#This Row],[Model Score2]]</f>
        <v>0</v>
      </c>
      <c r="BB540">
        <f>IFERROR(INDEX(Player_Model!$BG$2:$BG$596,MATCH($A540,Player_Model!$A$2:$A$596,0)),"")</f>
        <v>254</v>
      </c>
      <c r="BC540" t="str">
        <f t="shared" si="224"/>
        <v>AVOID</v>
      </c>
      <c r="BD540">
        <f>IF(H540=1,Table8[[#This Row],[Model Score]],-10000)</f>
        <v>0</v>
      </c>
      <c r="BE540">
        <f>IFERROR(INDEX(Player_Model!$BF$2:$BF$596,MATCH($A540,Player_Model!$A$2:$A$596,0)),"")</f>
        <v>253</v>
      </c>
      <c r="BF540">
        <f>IFERROR(INDEX(Player_Model!$BG$2:$BG$596,MATCH($A540,Player_Model!$A$2:$A$596,0)),"")</f>
        <v>254</v>
      </c>
      <c r="BG540">
        <f>IFERROR(INDEX(Player_Model!$BE$2:$BE$596,MATCH($A540,Player_Model!$A$2:$A$596,0)),0)</f>
        <v>0</v>
      </c>
    </row>
    <row r="541" spans="1:59" x14ac:dyDescent="0.25">
      <c r="A541" t="str">
        <f>tblPlayers[first_name]&amp;" "&amp;tblPlayers[second_name]</f>
        <v>Jacob Murphy</v>
      </c>
      <c r="B541" t="str">
        <f>_xlfn.SWITCH(tblPlayers[element_type],1,"GK",2,"DEF",3,"MID",4,"FWD")</f>
        <v>MID</v>
      </c>
      <c r="C541">
        <f>tblPlayers[team]</f>
        <v>17</v>
      </c>
      <c r="D541" t="str">
        <f>INDEX(tblTeams[Column1.short_name],MATCH(C541,tblTeams[Column1.id],0))</f>
        <v>NEW</v>
      </c>
      <c r="E541" s="4">
        <f>INDEX(FPL_Raw_Data!$F:$F,MATCH(A541,FPL_Raw_Data!$AA:$AA,0))/10</f>
        <v>5.9</v>
      </c>
      <c r="F541" s="4" t="str">
        <f>tblPlayers[[#This Row],[status]]</f>
        <v>a</v>
      </c>
      <c r="G541" s="4" t="b">
        <f>tblPlayers[[#This Row],[can_select]]</f>
        <v>1</v>
      </c>
      <c r="H541">
        <f>IF(AND(Table8[[#This Row],[Availability Status]]="a",Table8[[#This Row],[Can Select]]=TRUE),1,0)</f>
        <v>1</v>
      </c>
      <c r="I541">
        <f>tblPlayers[minutes]</f>
        <v>35</v>
      </c>
      <c r="J541" s="2">
        <f>Table8[[#This Row],[Minutes]]/90</f>
        <v>0.3888888888888889</v>
      </c>
      <c r="K541" s="5">
        <f>IFERROR(Z541/(FIXTURE_ANALYSIS!$B$1-1),0)</f>
        <v>0</v>
      </c>
      <c r="L541">
        <f>tblPlayers[total_points]</f>
        <v>2</v>
      </c>
      <c r="M541">
        <f>tblPlayers[points_per_game]</f>
        <v>0.7</v>
      </c>
      <c r="N541">
        <f>tblPlayers[form]</f>
        <v>0.7</v>
      </c>
      <c r="O541">
        <f>tblPlayers[expected_goals]</f>
        <v>0</v>
      </c>
      <c r="P541">
        <f>tblPlayers[expected_assists]</f>
        <v>0.2</v>
      </c>
      <c r="Q541">
        <f>tblPlayers[expected_goal_involvements]</f>
        <v>0.2</v>
      </c>
      <c r="R541" s="2">
        <f t="shared" si="200"/>
        <v>5.1428571428571423</v>
      </c>
      <c r="S541" s="5">
        <f t="shared" si="201"/>
        <v>0</v>
      </c>
      <c r="T541" s="5">
        <f t="shared" si="202"/>
        <v>0.51428571428571423</v>
      </c>
      <c r="U541" s="5">
        <f t="shared" si="203"/>
        <v>0.51428571428571423</v>
      </c>
      <c r="V541" s="3">
        <f t="shared" si="204"/>
        <v>0.33898305084745761</v>
      </c>
      <c r="W541" s="5">
        <f t="shared" si="205"/>
        <v>3.3898305084745763E-2</v>
      </c>
      <c r="X541" s="5">
        <f>IFERROR(IF(OR($B541="MID",$B541="FWD"),INDEX(FIXTURE_ANALYSIS!$Q:$Q,MATCH($D541,FIXTURE_ANALYSIS!$A:$A,0)),INDEX(FIXTURE_ANALYSIS!$R:$R,MATCH($D541,FIXTURE_ANALYSIS!$A:$A,0))),1)</f>
        <v>1.0060034602076122</v>
      </c>
      <c r="Y541" s="5">
        <f t="shared" si="206"/>
        <v>1.0060034602076122</v>
      </c>
      <c r="Z541" s="8">
        <f>INDEX(FPL_Raw_Data!$T:$T,MATCH(A541,FPL_Raw_Data!$AA:$AA,0))</f>
        <v>0</v>
      </c>
      <c r="AA541" s="8">
        <f>INDEX(FPL_Raw_Data!$S:$S,MATCH(A541,FPL_Raw_Data!$AA:$AA,0))</f>
        <v>6</v>
      </c>
      <c r="AB541" s="2">
        <f t="shared" si="207"/>
        <v>0.5</v>
      </c>
      <c r="AC541" s="2">
        <f>INDEX(FPL_Raw_Data!$Q:$Q,MATCH(A541,FPL_Raw_Data!$AA:$AA,0))</f>
        <v>0</v>
      </c>
      <c r="AD541" s="8">
        <f>INDEX(FPL_Raw_Data!$R:$R,MATCH(A541,FPL_Raw_Data!$AA:$AA,0))</f>
        <v>7</v>
      </c>
      <c r="AE541" s="8">
        <f>INDEX(FPL_Raw_Data!$N:$N,MATCH(A541,FPL_Raw_Data!$AA:$AA,0))</f>
        <v>0</v>
      </c>
      <c r="AF541" s="8">
        <f>INDEX(FPL_Raw_Data!$L:$L,MATCH(A541,FPL_Raw_Data!$AA:$AA,0))</f>
        <v>0</v>
      </c>
      <c r="AG541" s="2">
        <f>INDEX(FPL_Raw_Data!$M:$M,MATCH(A541,FPL_Raw_Data!$AA:$AA,0))</f>
        <v>0</v>
      </c>
      <c r="AH541" s="2">
        <f t="shared" si="208"/>
        <v>0</v>
      </c>
      <c r="AI541" s="2">
        <f t="shared" si="209"/>
        <v>1.5428571428571427</v>
      </c>
      <c r="AJ541" s="2">
        <f t="shared" si="210"/>
        <v>0</v>
      </c>
      <c r="AK541" s="2">
        <f t="shared" si="211"/>
        <v>1</v>
      </c>
      <c r="AL541" s="2">
        <f t="shared" si="212"/>
        <v>0</v>
      </c>
      <c r="AM541" s="2">
        <f t="shared" si="213"/>
        <v>0</v>
      </c>
      <c r="AN541" s="2">
        <f t="shared" si="214"/>
        <v>0</v>
      </c>
      <c r="AO541" s="3">
        <f t="shared" si="215"/>
        <v>77.100000000000009</v>
      </c>
      <c r="AP541">
        <f t="shared" si="216"/>
        <v>92.2</v>
      </c>
      <c r="AQ541">
        <f t="shared" si="217"/>
        <v>50.8</v>
      </c>
      <c r="AR541">
        <f t="shared" si="218"/>
        <v>71.5</v>
      </c>
      <c r="AS541" s="2">
        <f t="shared" si="219"/>
        <v>0</v>
      </c>
      <c r="AT541" s="2">
        <f>IFERROR(INDEX(Player_Model!$BC$2:$BC$596,MATCH($A541,Player_Model!$A$2:$A$596,0)),0)</f>
        <v>0</v>
      </c>
      <c r="AU541" s="2">
        <f>Table8[[#This Row],[Model Expected Points]]*Table8[[#This Row],[Fixture Adjustment]]</f>
        <v>0</v>
      </c>
      <c r="AV541" s="2">
        <f>Table8[[#This Row],[Fixture Adjusted Points / 90]]/Table8[[#This Row],[Price]]</f>
        <v>0</v>
      </c>
      <c r="AW541">
        <f t="shared" si="220"/>
        <v>84.65</v>
      </c>
      <c r="AX541">
        <f t="shared" si="221"/>
        <v>0.5</v>
      </c>
      <c r="AY541" s="2">
        <f t="shared" si="222"/>
        <v>0</v>
      </c>
      <c r="AZ541" s="5">
        <f t="shared" si="223"/>
        <v>1.0060034602076122</v>
      </c>
      <c r="BA541">
        <f>Table8[[#This Row],[Model Score2]]</f>
        <v>0</v>
      </c>
      <c r="BB541">
        <f>IFERROR(INDEX(Player_Model!$BG$2:$BG$596,MATCH($A541,Player_Model!$A$2:$A$596,0)),"")</f>
        <v>255</v>
      </c>
      <c r="BC541" t="str">
        <f t="shared" si="224"/>
        <v>AVOID</v>
      </c>
      <c r="BD541">
        <f>IF(H541=1,Table8[[#This Row],[Model Score]],-10000)</f>
        <v>0</v>
      </c>
      <c r="BE541">
        <f>IFERROR(INDEX(Player_Model!$BF$2:$BF$596,MATCH($A541,Player_Model!$A$2:$A$596,0)),"")</f>
        <v>253</v>
      </c>
      <c r="BF541">
        <f>IFERROR(INDEX(Player_Model!$BG$2:$BG$596,MATCH($A541,Player_Model!$A$2:$A$596,0)),"")</f>
        <v>255</v>
      </c>
      <c r="BG541">
        <f>IFERROR(INDEX(Player_Model!$BE$2:$BE$596,MATCH($A541,Player_Model!$A$2:$A$596,0)),0)</f>
        <v>0</v>
      </c>
    </row>
    <row r="542" spans="1:59" x14ac:dyDescent="0.25">
      <c r="A542" t="str">
        <f>tblPlayers[first_name]&amp;" "&amp;tblPlayers[second_name]</f>
        <v>Joelinton Cássio Apolinário de Lira</v>
      </c>
      <c r="B542" t="str">
        <f>_xlfn.SWITCH(tblPlayers[element_type],1,"GK",2,"DEF",3,"MID",4,"FWD")</f>
        <v>MID</v>
      </c>
      <c r="C542">
        <f>tblPlayers[team]</f>
        <v>17</v>
      </c>
      <c r="D542" t="str">
        <f>INDEX(tblTeams[Column1.short_name],MATCH(C542,tblTeams[Column1.id],0))</f>
        <v>NEW</v>
      </c>
      <c r="E542" s="4">
        <f>INDEX(FPL_Raw_Data!$F:$F,MATCH(A542,FPL_Raw_Data!$AA:$AA,0))/10</f>
        <v>5.4</v>
      </c>
      <c r="F542" s="4" t="str">
        <f>tblPlayers[[#This Row],[status]]</f>
        <v>i</v>
      </c>
      <c r="G542" s="4" t="b">
        <f>tblPlayers[[#This Row],[can_select]]</f>
        <v>1</v>
      </c>
      <c r="H542">
        <f>IF(AND(Table8[[#This Row],[Availability Status]]="a",Table8[[#This Row],[Can Select]]=TRUE),1,0)</f>
        <v>0</v>
      </c>
      <c r="I542">
        <f>tblPlayers[minutes]</f>
        <v>0</v>
      </c>
      <c r="J542" s="2">
        <f>Table8[[#This Row],[Minutes]]/90</f>
        <v>0</v>
      </c>
      <c r="K542" s="5">
        <f>IFERROR(Z542/(FIXTURE_ANALYSIS!$B$1-1),0)</f>
        <v>0</v>
      </c>
      <c r="L542">
        <f>tblPlayers[total_points]</f>
        <v>0</v>
      </c>
      <c r="M542">
        <f>tblPlayers[points_per_game]</f>
        <v>0</v>
      </c>
      <c r="N542">
        <f>tblPlayers[form]</f>
        <v>0</v>
      </c>
      <c r="O542">
        <f>tblPlayers[expected_goals]</f>
        <v>0</v>
      </c>
      <c r="P542">
        <f>tblPlayers[expected_assists]</f>
        <v>0</v>
      </c>
      <c r="Q542">
        <f>tblPlayers[expected_goal_involvements]</f>
        <v>0</v>
      </c>
      <c r="R542" s="2">
        <f t="shared" si="200"/>
        <v>0</v>
      </c>
      <c r="S542" s="5">
        <f t="shared" si="201"/>
        <v>0</v>
      </c>
      <c r="T542" s="5">
        <f t="shared" si="202"/>
        <v>0</v>
      </c>
      <c r="U542" s="5">
        <f t="shared" si="203"/>
        <v>0</v>
      </c>
      <c r="V542" s="3">
        <f t="shared" si="204"/>
        <v>0</v>
      </c>
      <c r="W542" s="5">
        <f t="shared" si="205"/>
        <v>0</v>
      </c>
      <c r="X542" s="5">
        <f>IFERROR(IF(OR($B542="MID",$B542="FWD"),INDEX(FIXTURE_ANALYSIS!$Q:$Q,MATCH($D542,FIXTURE_ANALYSIS!$A:$A,0)),INDEX(FIXTURE_ANALYSIS!$R:$R,MATCH($D542,FIXTURE_ANALYSIS!$A:$A,0))),1)</f>
        <v>1.0060034602076122</v>
      </c>
      <c r="Y542" s="5">
        <f t="shared" si="206"/>
        <v>1.0060034602076122</v>
      </c>
      <c r="Z542" s="8">
        <f>INDEX(FPL_Raw_Data!$T:$T,MATCH(A542,FPL_Raw_Data!$AA:$AA,0))</f>
        <v>0</v>
      </c>
      <c r="AA542" s="8">
        <f>INDEX(FPL_Raw_Data!$S:$S,MATCH(A542,FPL_Raw_Data!$AA:$AA,0))</f>
        <v>0</v>
      </c>
      <c r="AB542" s="2">
        <f t="shared" si="207"/>
        <v>0</v>
      </c>
      <c r="AC542" s="2">
        <f>INDEX(FPL_Raw_Data!$Q:$Q,MATCH(A542,FPL_Raw_Data!$AA:$AA,0))</f>
        <v>0</v>
      </c>
      <c r="AD542" s="8">
        <f>INDEX(FPL_Raw_Data!$R:$R,MATCH(A542,FPL_Raw_Data!$AA:$AA,0))</f>
        <v>0</v>
      </c>
      <c r="AE542" s="8">
        <f>INDEX(FPL_Raw_Data!$N:$N,MATCH(A542,FPL_Raw_Data!$AA:$AA,0))</f>
        <v>0</v>
      </c>
      <c r="AF542" s="8">
        <f>INDEX(FPL_Raw_Data!$L:$L,MATCH(A542,FPL_Raw_Data!$AA:$AA,0))</f>
        <v>0</v>
      </c>
      <c r="AG542" s="2">
        <f>INDEX(FPL_Raw_Data!$M:$M,MATCH(A542,FPL_Raw_Data!$AA:$AA,0))</f>
        <v>0</v>
      </c>
      <c r="AH542" s="2">
        <f t="shared" si="208"/>
        <v>0</v>
      </c>
      <c r="AI542" s="2">
        <f t="shared" si="209"/>
        <v>0</v>
      </c>
      <c r="AJ542" s="2">
        <f t="shared" si="210"/>
        <v>0</v>
      </c>
      <c r="AK542" s="2">
        <f t="shared" si="211"/>
        <v>0</v>
      </c>
      <c r="AL542" s="2">
        <f t="shared" si="212"/>
        <v>0</v>
      </c>
      <c r="AM542" s="2">
        <f t="shared" si="213"/>
        <v>0</v>
      </c>
      <c r="AN542" s="2">
        <f t="shared" si="214"/>
        <v>0</v>
      </c>
      <c r="AO542" s="3">
        <f t="shared" si="215"/>
        <v>0.1</v>
      </c>
      <c r="AP542">
        <f t="shared" si="216"/>
        <v>0</v>
      </c>
      <c r="AQ542">
        <f t="shared" si="217"/>
        <v>0.1</v>
      </c>
      <c r="AR542">
        <f t="shared" si="218"/>
        <v>0</v>
      </c>
      <c r="AS542" s="2">
        <f t="shared" si="219"/>
        <v>0</v>
      </c>
      <c r="AT542" s="2">
        <f>IFERROR(INDEX(Player_Model!$BC$2:$BC$596,MATCH($A542,Player_Model!$A$2:$A$596,0)),0)</f>
        <v>0</v>
      </c>
      <c r="AU542" s="2">
        <f>Table8[[#This Row],[Model Expected Points]]*Table8[[#This Row],[Fixture Adjustment]]</f>
        <v>0</v>
      </c>
      <c r="AV542" s="2">
        <f>Table8[[#This Row],[Fixture Adjusted Points / 90]]/Table8[[#This Row],[Price]]</f>
        <v>0</v>
      </c>
      <c r="AW542">
        <f t="shared" si="220"/>
        <v>0.05</v>
      </c>
      <c r="AX542">
        <f t="shared" si="221"/>
        <v>0</v>
      </c>
      <c r="AY542" s="2">
        <f t="shared" si="222"/>
        <v>0</v>
      </c>
      <c r="AZ542" s="5">
        <f t="shared" si="223"/>
        <v>1.0060034602076122</v>
      </c>
      <c r="BA542">
        <f>Table8[[#This Row],[Model Score2]]</f>
        <v>0</v>
      </c>
      <c r="BB542">
        <f>IFERROR(INDEX(Player_Model!$BG$2:$BG$596,MATCH($A542,Player_Model!$A$2:$A$596,0)),"")</f>
        <v>256</v>
      </c>
      <c r="BC542" t="str">
        <f t="shared" si="224"/>
        <v>AVOID</v>
      </c>
      <c r="BD542">
        <f>IF(H542=1,Table8[[#This Row],[Model Score]],-10000)</f>
        <v>-10000</v>
      </c>
      <c r="BE542">
        <f>IFERROR(INDEX(Player_Model!$BF$2:$BF$596,MATCH($A542,Player_Model!$A$2:$A$596,0)),"")</f>
        <v>253</v>
      </c>
      <c r="BF542">
        <f>IFERROR(INDEX(Player_Model!$BG$2:$BG$596,MATCH($A542,Player_Model!$A$2:$A$596,0)),"")</f>
        <v>256</v>
      </c>
      <c r="BG542">
        <f>IFERROR(INDEX(Player_Model!$BE$2:$BE$596,MATCH($A542,Player_Model!$A$2:$A$596,0)),0)</f>
        <v>0</v>
      </c>
    </row>
    <row r="543" spans="1:59" x14ac:dyDescent="0.25">
      <c r="A543" t="str">
        <f>tblPlayers[first_name]&amp;" "&amp;tblPlayers[second_name]</f>
        <v>Lewis Miley</v>
      </c>
      <c r="B543" t="str">
        <f>_xlfn.SWITCH(tblPlayers[element_type],1,"GK",2,"DEF",3,"MID",4,"FWD")</f>
        <v>MID</v>
      </c>
      <c r="C543">
        <f>tblPlayers[team]</f>
        <v>17</v>
      </c>
      <c r="D543" t="str">
        <f>INDEX(tblTeams[Column1.short_name],MATCH(C543,tblTeams[Column1.id],0))</f>
        <v>NEW</v>
      </c>
      <c r="E543" s="4">
        <f>INDEX(FPL_Raw_Data!$F:$F,MATCH(A543,FPL_Raw_Data!$AA:$AA,0))/10</f>
        <v>5.5</v>
      </c>
      <c r="F543" s="4" t="str">
        <f>tblPlayers[[#This Row],[status]]</f>
        <v>a</v>
      </c>
      <c r="G543" s="4" t="b">
        <f>tblPlayers[[#This Row],[can_select]]</f>
        <v>1</v>
      </c>
      <c r="H543">
        <f>IF(AND(Table8[[#This Row],[Availability Status]]="a",Table8[[#This Row],[Can Select]]=TRUE),1,0)</f>
        <v>1</v>
      </c>
      <c r="I543">
        <f>tblPlayers[minutes]</f>
        <v>227</v>
      </c>
      <c r="J543" s="2">
        <f>Table8[[#This Row],[Minutes]]/90</f>
        <v>2.5222222222222221</v>
      </c>
      <c r="K543" s="5">
        <f>IFERROR(Z543/(FIXTURE_ANALYSIS!$B$1-1),0)</f>
        <v>1</v>
      </c>
      <c r="L543">
        <f>tblPlayers[total_points]</f>
        <v>8</v>
      </c>
      <c r="M543">
        <f>tblPlayers[points_per_game]</f>
        <v>2.7</v>
      </c>
      <c r="N543">
        <f>tblPlayers[form]</f>
        <v>2.7</v>
      </c>
      <c r="O543">
        <f>tblPlayers[expected_goals]</f>
        <v>0.05</v>
      </c>
      <c r="P543">
        <f>tblPlayers[expected_assists]</f>
        <v>7.0000000000000007E-2</v>
      </c>
      <c r="Q543">
        <f>tblPlayers[expected_goal_involvements]</f>
        <v>0.12</v>
      </c>
      <c r="R543" s="2">
        <f t="shared" si="200"/>
        <v>3.1718061674008813</v>
      </c>
      <c r="S543" s="5">
        <f t="shared" si="201"/>
        <v>1.9823788546255508E-2</v>
      </c>
      <c r="T543" s="5">
        <f t="shared" si="202"/>
        <v>2.7753303964757711E-2</v>
      </c>
      <c r="U543" s="5">
        <f t="shared" si="203"/>
        <v>4.7577092511013212E-2</v>
      </c>
      <c r="V543" s="3">
        <f t="shared" si="204"/>
        <v>1.4545454545454546</v>
      </c>
      <c r="W543" s="5">
        <f t="shared" si="205"/>
        <v>2.1818181818181816E-2</v>
      </c>
      <c r="X543" s="5">
        <f>IFERROR(IF(OR($B543="MID",$B543="FWD"),INDEX(FIXTURE_ANALYSIS!$Q:$Q,MATCH($D543,FIXTURE_ANALYSIS!$A:$A,0)),INDEX(FIXTURE_ANALYSIS!$R:$R,MATCH($D543,FIXTURE_ANALYSIS!$A:$A,0))),1)</f>
        <v>1.0060034602076122</v>
      </c>
      <c r="Y543" s="5">
        <f t="shared" si="206"/>
        <v>1.0060034602076122</v>
      </c>
      <c r="Z543" s="8">
        <f>INDEX(FPL_Raw_Data!$T:$T,MATCH(A543,FPL_Raw_Data!$AA:$AA,0))</f>
        <v>3</v>
      </c>
      <c r="AA543" s="8">
        <f>INDEX(FPL_Raw_Data!$S:$S,MATCH(A543,FPL_Raw_Data!$AA:$AA,0))</f>
        <v>26</v>
      </c>
      <c r="AB543" s="2">
        <f t="shared" si="207"/>
        <v>1</v>
      </c>
      <c r="AC543" s="2">
        <f>INDEX(FPL_Raw_Data!$Q:$Q,MATCH(A543,FPL_Raw_Data!$AA:$AA,0))</f>
        <v>0</v>
      </c>
      <c r="AD543" s="8">
        <f>INDEX(FPL_Raw_Data!$R:$R,MATCH(A543,FPL_Raw_Data!$AA:$AA,0))</f>
        <v>40</v>
      </c>
      <c r="AE543" s="8">
        <f>INDEX(FPL_Raw_Data!$N:$N,MATCH(A543,FPL_Raw_Data!$AA:$AA,0))</f>
        <v>1</v>
      </c>
      <c r="AF543" s="8">
        <f>INDEX(FPL_Raw_Data!$L:$L,MATCH(A543,FPL_Raw_Data!$AA:$AA,0))</f>
        <v>0</v>
      </c>
      <c r="AG543" s="2">
        <f>INDEX(FPL_Raw_Data!$M:$M,MATCH(A543,FPL_Raw_Data!$AA:$AA,0))</f>
        <v>0</v>
      </c>
      <c r="AH543" s="2">
        <f t="shared" si="208"/>
        <v>9.911894273127754E-2</v>
      </c>
      <c r="AI543" s="2">
        <f t="shared" si="209"/>
        <v>8.3259911894273134E-2</v>
      </c>
      <c r="AJ543" s="2">
        <f t="shared" si="210"/>
        <v>2</v>
      </c>
      <c r="AK543" s="2">
        <f t="shared" si="211"/>
        <v>2</v>
      </c>
      <c r="AL543" s="2">
        <f t="shared" si="212"/>
        <v>0.33333333333333331</v>
      </c>
      <c r="AM543" s="2">
        <f t="shared" si="213"/>
        <v>0.33333333333333331</v>
      </c>
      <c r="AN543" s="2">
        <f t="shared" si="214"/>
        <v>0</v>
      </c>
      <c r="AO543" s="3">
        <f t="shared" si="215"/>
        <v>61.199999999999996</v>
      </c>
      <c r="AP543">
        <f t="shared" si="216"/>
        <v>61.199999999999996</v>
      </c>
      <c r="AQ543">
        <f t="shared" si="217"/>
        <v>77.2</v>
      </c>
      <c r="AR543">
        <f t="shared" si="218"/>
        <v>67</v>
      </c>
      <c r="AS543" s="2">
        <f t="shared" si="219"/>
        <v>100</v>
      </c>
      <c r="AT543" s="2">
        <f>IFERROR(INDEX(Player_Model!$BC$2:$BC$596,MATCH($A543,Player_Model!$A$2:$A$596,0)),0)</f>
        <v>4.426942135302637</v>
      </c>
      <c r="AU543" s="2">
        <f>Table8[[#This Row],[Model Expected Points]]*Table8[[#This Row],[Fixture Adjustment]]</f>
        <v>4.4535191062533279</v>
      </c>
      <c r="AV543" s="2">
        <f>Table8[[#This Row],[Fixture Adjusted Points / 90]]/Table8[[#This Row],[Price]]</f>
        <v>0.80973074659151412</v>
      </c>
      <c r="AW543">
        <f t="shared" si="220"/>
        <v>61.199999999999996</v>
      </c>
      <c r="AX543">
        <f t="shared" si="221"/>
        <v>1</v>
      </c>
      <c r="AY543" s="2">
        <f t="shared" si="222"/>
        <v>100</v>
      </c>
      <c r="AZ543" s="5">
        <f t="shared" si="223"/>
        <v>1.0060034602076122</v>
      </c>
      <c r="BA543">
        <f>Table8[[#This Row],[Model Score2]]</f>
        <v>4.426942135302637</v>
      </c>
      <c r="BB543">
        <f>IFERROR(INDEX(Player_Model!$BG$2:$BG$596,MATCH($A543,Player_Model!$A$2:$A$596,0)),"")</f>
        <v>61</v>
      </c>
      <c r="BC543" t="str">
        <f t="shared" si="224"/>
        <v>AVOID</v>
      </c>
      <c r="BD543">
        <f>IF(H543=1,Table8[[#This Row],[Model Score]],-10000)</f>
        <v>4.426942135302637</v>
      </c>
      <c r="BE543">
        <f>IFERROR(INDEX(Player_Model!$BF$2:$BF$596,MATCH($A543,Player_Model!$A$2:$A$596,0)),"")</f>
        <v>126</v>
      </c>
      <c r="BF543">
        <f>IFERROR(INDEX(Player_Model!$BG$2:$BG$596,MATCH($A543,Player_Model!$A$2:$A$596,0)),"")</f>
        <v>61</v>
      </c>
      <c r="BG543">
        <f>IFERROR(INDEX(Player_Model!$BE$2:$BE$596,MATCH($A543,Player_Model!$A$2:$A$596,0)),0)</f>
        <v>4.426942135302637</v>
      </c>
    </row>
    <row r="544" spans="1:59" x14ac:dyDescent="0.25">
      <c r="A544" t="str">
        <f>tblPlayers[first_name]&amp;" "&amp;tblPlayers[second_name]</f>
        <v>Joe Willock</v>
      </c>
      <c r="B544" t="str">
        <f>_xlfn.SWITCH(tblPlayers[element_type],1,"GK",2,"DEF",3,"MID",4,"FWD")</f>
        <v>MID</v>
      </c>
      <c r="C544">
        <f>tblPlayers[team]</f>
        <v>17</v>
      </c>
      <c r="D544" t="str">
        <f>INDEX(tblTeams[Column1.short_name],MATCH(C544,tblTeams[Column1.id],0))</f>
        <v>NEW</v>
      </c>
      <c r="E544" s="4">
        <f>INDEX(FPL_Raw_Data!$F:$F,MATCH(A544,FPL_Raw_Data!$AA:$AA,0))/10</f>
        <v>5</v>
      </c>
      <c r="F544" s="4" t="str">
        <f>tblPlayers[[#This Row],[status]]</f>
        <v>a</v>
      </c>
      <c r="G544" s="4" t="b">
        <f>tblPlayers[[#This Row],[can_select]]</f>
        <v>1</v>
      </c>
      <c r="H544">
        <f>IF(AND(Table8[[#This Row],[Availability Status]]="a",Table8[[#This Row],[Can Select]]=TRUE),1,0)</f>
        <v>1</v>
      </c>
      <c r="I544">
        <f>tblPlayers[minutes]</f>
        <v>166</v>
      </c>
      <c r="J544" s="2">
        <f>Table8[[#This Row],[Minutes]]/90</f>
        <v>1.8444444444444446</v>
      </c>
      <c r="K544" s="5">
        <f>IFERROR(Z544/(FIXTURE_ANALYSIS!$B$1-1),0)</f>
        <v>0.66666666666666663</v>
      </c>
      <c r="L544">
        <f>tblPlayers[total_points]</f>
        <v>11</v>
      </c>
      <c r="M544">
        <f>tblPlayers[points_per_game]</f>
        <v>3.7</v>
      </c>
      <c r="N544">
        <f>tblPlayers[form]</f>
        <v>3.7</v>
      </c>
      <c r="O544">
        <f>tblPlayers[expected_goals]</f>
        <v>0.52</v>
      </c>
      <c r="P544">
        <f>tblPlayers[expected_assists]</f>
        <v>0.2</v>
      </c>
      <c r="Q544">
        <f>tblPlayers[expected_goal_involvements]</f>
        <v>0.72</v>
      </c>
      <c r="R544" s="2">
        <f t="shared" si="200"/>
        <v>5.9638554216867474</v>
      </c>
      <c r="S544" s="5">
        <f t="shared" si="201"/>
        <v>0.28192771084337354</v>
      </c>
      <c r="T544" s="5">
        <f t="shared" si="202"/>
        <v>0.10843373493975905</v>
      </c>
      <c r="U544" s="5">
        <f t="shared" si="203"/>
        <v>0.39036144578313253</v>
      </c>
      <c r="V544" s="3">
        <f t="shared" si="204"/>
        <v>2.2000000000000002</v>
      </c>
      <c r="W544" s="5">
        <f t="shared" si="205"/>
        <v>0.14399999999999999</v>
      </c>
      <c r="X544" s="5">
        <f>IFERROR(IF(OR($B544="MID",$B544="FWD"),INDEX(FIXTURE_ANALYSIS!$Q:$Q,MATCH($D544,FIXTURE_ANALYSIS!$A:$A,0)),INDEX(FIXTURE_ANALYSIS!$R:$R,MATCH($D544,FIXTURE_ANALYSIS!$A:$A,0))),1)</f>
        <v>1.0060034602076122</v>
      </c>
      <c r="Y544" s="5">
        <f t="shared" si="206"/>
        <v>1.0060034602076122</v>
      </c>
      <c r="Z544" s="8">
        <f>INDEX(FPL_Raw_Data!$T:$T,MATCH(A544,FPL_Raw_Data!$AA:$AA,0))</f>
        <v>2</v>
      </c>
      <c r="AA544" s="8">
        <f>INDEX(FPL_Raw_Data!$S:$S,MATCH(A544,FPL_Raw_Data!$AA:$AA,0))</f>
        <v>8</v>
      </c>
      <c r="AB544" s="2">
        <f t="shared" si="207"/>
        <v>0.66666666666666663</v>
      </c>
      <c r="AC544" s="2">
        <f>INDEX(FPL_Raw_Data!$Q:$Q,MATCH(A544,FPL_Raw_Data!$AA:$AA,0))</f>
        <v>0</v>
      </c>
      <c r="AD544" s="8">
        <f>INDEX(FPL_Raw_Data!$R:$R,MATCH(A544,FPL_Raw_Data!$AA:$AA,0))</f>
        <v>34</v>
      </c>
      <c r="AE544" s="8">
        <f>INDEX(FPL_Raw_Data!$N:$N,MATCH(A544,FPL_Raw_Data!$AA:$AA,0))</f>
        <v>1</v>
      </c>
      <c r="AF544" s="8">
        <f>INDEX(FPL_Raw_Data!$L:$L,MATCH(A544,FPL_Raw_Data!$AA:$AA,0))</f>
        <v>1</v>
      </c>
      <c r="AG544" s="2">
        <f>INDEX(FPL_Raw_Data!$M:$M,MATCH(A544,FPL_Raw_Data!$AA:$AA,0))</f>
        <v>0</v>
      </c>
      <c r="AH544" s="2">
        <f t="shared" si="208"/>
        <v>1.4096385542168677</v>
      </c>
      <c r="AI544" s="2">
        <f t="shared" si="209"/>
        <v>0.32530120481927716</v>
      </c>
      <c r="AJ544" s="2">
        <f t="shared" si="210"/>
        <v>1.3333333333333333</v>
      </c>
      <c r="AK544" s="2">
        <f t="shared" si="211"/>
        <v>1.3333333333333333</v>
      </c>
      <c r="AL544" s="2">
        <f t="shared" si="212"/>
        <v>0.5</v>
      </c>
      <c r="AM544" s="2">
        <f t="shared" si="213"/>
        <v>0.5</v>
      </c>
      <c r="AN544" s="2">
        <f t="shared" si="214"/>
        <v>0</v>
      </c>
      <c r="AO544" s="3">
        <f t="shared" si="215"/>
        <v>81.100000000000009</v>
      </c>
      <c r="AP544">
        <f t="shared" si="216"/>
        <v>88.3</v>
      </c>
      <c r="AQ544">
        <f t="shared" si="217"/>
        <v>88.5</v>
      </c>
      <c r="AR544">
        <f t="shared" si="218"/>
        <v>91</v>
      </c>
      <c r="AS544" s="2">
        <f t="shared" si="219"/>
        <v>66.666666666666657</v>
      </c>
      <c r="AT544" s="2">
        <f>IFERROR(INDEX(Player_Model!$BC$2:$BC$596,MATCH($A544,Player_Model!$A$2:$A$596,0)),0)</f>
        <v>4.6506909803758116</v>
      </c>
      <c r="AU544" s="2">
        <f>Table8[[#This Row],[Model Expected Points]]*Table8[[#This Row],[Fixture Adjustment]]</f>
        <v>4.6786112186143987</v>
      </c>
      <c r="AV544" s="2">
        <f>Table8[[#This Row],[Fixture Adjusted Points / 90]]/Table8[[#This Row],[Price]]</f>
        <v>0.93572224372287971</v>
      </c>
      <c r="AW544">
        <f t="shared" si="220"/>
        <v>84.7</v>
      </c>
      <c r="AX544">
        <f t="shared" si="221"/>
        <v>0.66666666666666663</v>
      </c>
      <c r="AY544" s="2">
        <f t="shared" si="222"/>
        <v>66.666666666666657</v>
      </c>
      <c r="AZ544" s="5">
        <f t="shared" si="223"/>
        <v>1.0060034602076122</v>
      </c>
      <c r="BA544">
        <f>Table8[[#This Row],[Model Score2]]</f>
        <v>4.6506909803758116</v>
      </c>
      <c r="BB544">
        <f>IFERROR(INDEX(Player_Model!$BG$2:$BG$596,MATCH($A544,Player_Model!$A$2:$A$596,0)),"")</f>
        <v>55</v>
      </c>
      <c r="BC544" t="str">
        <f t="shared" si="224"/>
        <v>AVOID</v>
      </c>
      <c r="BD544">
        <f>IF(H544=1,Table8[[#This Row],[Model Score]],-10000)</f>
        <v>4.6506909803758116</v>
      </c>
      <c r="BE544">
        <f>IFERROR(INDEX(Player_Model!$BF$2:$BF$596,MATCH($A544,Player_Model!$A$2:$A$596,0)),"")</f>
        <v>117</v>
      </c>
      <c r="BF544">
        <f>IFERROR(INDEX(Player_Model!$BG$2:$BG$596,MATCH($A544,Player_Model!$A$2:$A$596,0)),"")</f>
        <v>55</v>
      </c>
      <c r="BG544">
        <f>IFERROR(INDEX(Player_Model!$BE$2:$BE$596,MATCH($A544,Player_Model!$A$2:$A$596,0)),0)</f>
        <v>4.6506909803758116</v>
      </c>
    </row>
    <row r="545" spans="1:59" x14ac:dyDescent="0.25">
      <c r="A545" t="str">
        <f>tblPlayers[first_name]&amp;" "&amp;tblPlayers[second_name]</f>
        <v>Bazoumana Touré</v>
      </c>
      <c r="B545" t="str">
        <f>_xlfn.SWITCH(tblPlayers[element_type],1,"GK",2,"DEF",3,"MID",4,"FWD")</f>
        <v>MID</v>
      </c>
      <c r="C545">
        <f>tblPlayers[team]</f>
        <v>17</v>
      </c>
      <c r="D545" t="str">
        <f>INDEX(tblTeams[Column1.short_name],MATCH(C545,tblTeams[Column1.id],0))</f>
        <v>NEW</v>
      </c>
      <c r="E545" s="4">
        <f>INDEX(FPL_Raw_Data!$F:$F,MATCH(A545,FPL_Raw_Data!$AA:$AA,0))/10</f>
        <v>5.9</v>
      </c>
      <c r="F545" s="4" t="str">
        <f>tblPlayers[[#This Row],[status]]</f>
        <v>a</v>
      </c>
      <c r="G545" s="4" t="b">
        <f>tblPlayers[[#This Row],[can_select]]</f>
        <v>1</v>
      </c>
      <c r="H545">
        <f>IF(AND(Table8[[#This Row],[Availability Status]]="a",Table8[[#This Row],[Can Select]]=TRUE),1,0)</f>
        <v>1</v>
      </c>
      <c r="I545">
        <f>tblPlayers[minutes]</f>
        <v>1</v>
      </c>
      <c r="J545" s="2">
        <f>Table8[[#This Row],[Minutes]]/90</f>
        <v>1.1111111111111112E-2</v>
      </c>
      <c r="K545" s="5">
        <f>IFERROR(Z545/(FIXTURE_ANALYSIS!$B$1-1),0)</f>
        <v>0</v>
      </c>
      <c r="L545">
        <f>tblPlayers[total_points]</f>
        <v>1</v>
      </c>
      <c r="M545">
        <f>tblPlayers[points_per_game]</f>
        <v>1</v>
      </c>
      <c r="N545">
        <f>tblPlayers[form]</f>
        <v>0.3</v>
      </c>
      <c r="O545">
        <f>tblPlayers[expected_goals]</f>
        <v>0</v>
      </c>
      <c r="P545">
        <f>tblPlayers[expected_assists]</f>
        <v>0</v>
      </c>
      <c r="Q545">
        <f>tblPlayers[expected_goal_involvements]</f>
        <v>0</v>
      </c>
      <c r="R545" s="2">
        <f t="shared" si="200"/>
        <v>90</v>
      </c>
      <c r="S545" s="5">
        <f t="shared" si="201"/>
        <v>0</v>
      </c>
      <c r="T545" s="5">
        <f t="shared" si="202"/>
        <v>0</v>
      </c>
      <c r="U545" s="5">
        <f t="shared" si="203"/>
        <v>0</v>
      </c>
      <c r="V545" s="3">
        <f t="shared" si="204"/>
        <v>0.16949152542372881</v>
      </c>
      <c r="W545" s="5">
        <f t="shared" si="205"/>
        <v>0</v>
      </c>
      <c r="X545" s="5">
        <f>IFERROR(IF(OR($B545="MID",$B545="FWD"),INDEX(FIXTURE_ANALYSIS!$Q:$Q,MATCH($D545,FIXTURE_ANALYSIS!$A:$A,0)),INDEX(FIXTURE_ANALYSIS!$R:$R,MATCH($D545,FIXTURE_ANALYSIS!$A:$A,0))),1)</f>
        <v>1.0060034602076122</v>
      </c>
      <c r="Y545" s="5">
        <f t="shared" si="206"/>
        <v>1.0060034602076122</v>
      </c>
      <c r="Z545" s="8">
        <f>INDEX(FPL_Raw_Data!$T:$T,MATCH(A545,FPL_Raw_Data!$AA:$AA,0))</f>
        <v>0</v>
      </c>
      <c r="AA545" s="8">
        <f>INDEX(FPL_Raw_Data!$S:$S,MATCH(A545,FPL_Raw_Data!$AA:$AA,0))</f>
        <v>0</v>
      </c>
      <c r="AB545" s="2">
        <f t="shared" si="207"/>
        <v>0</v>
      </c>
      <c r="AC545" s="2">
        <f>INDEX(FPL_Raw_Data!$Q:$Q,MATCH(A545,FPL_Raw_Data!$AA:$AA,0))</f>
        <v>0</v>
      </c>
      <c r="AD545" s="8">
        <f>INDEX(FPL_Raw_Data!$R:$R,MATCH(A545,FPL_Raw_Data!$AA:$AA,0))</f>
        <v>3</v>
      </c>
      <c r="AE545" s="8">
        <f>INDEX(FPL_Raw_Data!$N:$N,MATCH(A545,FPL_Raw_Data!$AA:$AA,0))</f>
        <v>0</v>
      </c>
      <c r="AF545" s="8">
        <f>INDEX(FPL_Raw_Data!$L:$L,MATCH(A545,FPL_Raw_Data!$AA:$AA,0))</f>
        <v>0</v>
      </c>
      <c r="AG545" s="2">
        <f>INDEX(FPL_Raw_Data!$M:$M,MATCH(A545,FPL_Raw_Data!$AA:$AA,0))</f>
        <v>0</v>
      </c>
      <c r="AH545" s="2">
        <f t="shared" si="208"/>
        <v>0</v>
      </c>
      <c r="AI545" s="2">
        <f t="shared" si="209"/>
        <v>0</v>
      </c>
      <c r="AJ545" s="2">
        <f t="shared" si="210"/>
        <v>0</v>
      </c>
      <c r="AK545" s="2">
        <f t="shared" si="211"/>
        <v>0</v>
      </c>
      <c r="AL545" s="2">
        <f t="shared" si="212"/>
        <v>0</v>
      </c>
      <c r="AM545" s="2">
        <f t="shared" si="213"/>
        <v>0</v>
      </c>
      <c r="AN545" s="2">
        <f t="shared" si="214"/>
        <v>0</v>
      </c>
      <c r="AO545" s="3">
        <f t="shared" si="215"/>
        <v>98.1</v>
      </c>
      <c r="AP545">
        <f t="shared" si="216"/>
        <v>0</v>
      </c>
      <c r="AQ545">
        <f t="shared" si="217"/>
        <v>42</v>
      </c>
      <c r="AR545">
        <f t="shared" si="218"/>
        <v>0</v>
      </c>
      <c r="AS545" s="2">
        <f t="shared" si="219"/>
        <v>0</v>
      </c>
      <c r="AT545" s="2">
        <f>IFERROR(INDEX(Player_Model!$BC$2:$BC$596,MATCH($A545,Player_Model!$A$2:$A$596,0)),0)</f>
        <v>0</v>
      </c>
      <c r="AU545" s="2">
        <f>Table8[[#This Row],[Model Expected Points]]*Table8[[#This Row],[Fixture Adjustment]]</f>
        <v>0</v>
      </c>
      <c r="AV545" s="2">
        <f>Table8[[#This Row],[Fixture Adjusted Points / 90]]/Table8[[#This Row],[Price]]</f>
        <v>0</v>
      </c>
      <c r="AW545">
        <f t="shared" si="220"/>
        <v>49.05</v>
      </c>
      <c r="AX545">
        <f t="shared" si="221"/>
        <v>0</v>
      </c>
      <c r="AY545" s="2">
        <f t="shared" si="222"/>
        <v>0</v>
      </c>
      <c r="AZ545" s="5">
        <f t="shared" si="223"/>
        <v>1.0060034602076122</v>
      </c>
      <c r="BA545">
        <f>Table8[[#This Row],[Model Score2]]</f>
        <v>0</v>
      </c>
      <c r="BB545">
        <f>IFERROR(INDEX(Player_Model!$BG$2:$BG$596,MATCH($A545,Player_Model!$A$2:$A$596,0)),"")</f>
        <v>257</v>
      </c>
      <c r="BC545" t="str">
        <f t="shared" si="224"/>
        <v>AVOID</v>
      </c>
      <c r="BD545">
        <f>IF(H545=1,Table8[[#This Row],[Model Score]],-10000)</f>
        <v>0</v>
      </c>
      <c r="BE545">
        <f>IFERROR(INDEX(Player_Model!$BF$2:$BF$596,MATCH($A545,Player_Model!$A$2:$A$596,0)),"")</f>
        <v>253</v>
      </c>
      <c r="BF545">
        <f>IFERROR(INDEX(Player_Model!$BG$2:$BG$596,MATCH($A545,Player_Model!$A$2:$A$596,0)),"")</f>
        <v>257</v>
      </c>
      <c r="BG545">
        <f>IFERROR(INDEX(Player_Model!$BE$2:$BE$596,MATCH($A545,Player_Model!$A$2:$A$596,0)),0)</f>
        <v>0</v>
      </c>
    </row>
    <row r="546" spans="1:59" x14ac:dyDescent="0.25">
      <c r="A546" t="str">
        <f>tblPlayers[first_name]&amp;" "&amp;tblPlayers[second_name]</f>
        <v>Sean Steur</v>
      </c>
      <c r="B546" t="str">
        <f>_xlfn.SWITCH(tblPlayers[element_type],1,"GK",2,"DEF",3,"MID",4,"FWD")</f>
        <v>MID</v>
      </c>
      <c r="C546">
        <f>tblPlayers[team]</f>
        <v>17</v>
      </c>
      <c r="D546" t="str">
        <f>INDEX(tblTeams[Column1.short_name],MATCH(C546,tblTeams[Column1.id],0))</f>
        <v>NEW</v>
      </c>
      <c r="E546" s="4">
        <f>INDEX(FPL_Raw_Data!$F:$F,MATCH(A546,FPL_Raw_Data!$AA:$AA,0))/10</f>
        <v>4.9000000000000004</v>
      </c>
      <c r="F546" s="4" t="str">
        <f>tblPlayers[[#This Row],[status]]</f>
        <v>a</v>
      </c>
      <c r="G546" s="4" t="b">
        <f>tblPlayers[[#This Row],[can_select]]</f>
        <v>1</v>
      </c>
      <c r="H546">
        <f>IF(AND(Table8[[#This Row],[Availability Status]]="a",Table8[[#This Row],[Can Select]]=TRUE),1,0)</f>
        <v>1</v>
      </c>
      <c r="I546">
        <f>tblPlayers[minutes]</f>
        <v>87</v>
      </c>
      <c r="J546" s="2">
        <f>Table8[[#This Row],[Minutes]]/90</f>
        <v>0.96666666666666667</v>
      </c>
      <c r="K546" s="5">
        <f>IFERROR(Z546/(FIXTURE_ANALYSIS!$B$1-1),0)</f>
        <v>0.33333333333333331</v>
      </c>
      <c r="L546">
        <f>tblPlayers[total_points]</f>
        <v>3</v>
      </c>
      <c r="M546">
        <f>tblPlayers[points_per_game]</f>
        <v>1</v>
      </c>
      <c r="N546">
        <f>tblPlayers[form]</f>
        <v>1</v>
      </c>
      <c r="O546">
        <f>tblPlayers[expected_goals]</f>
        <v>0</v>
      </c>
      <c r="P546">
        <f>tblPlayers[expected_assists]</f>
        <v>0</v>
      </c>
      <c r="Q546">
        <f>tblPlayers[expected_goal_involvements]</f>
        <v>0</v>
      </c>
      <c r="R546" s="2">
        <f t="shared" si="200"/>
        <v>3.103448275862069</v>
      </c>
      <c r="S546" s="5">
        <f t="shared" si="201"/>
        <v>0</v>
      </c>
      <c r="T546" s="5">
        <f t="shared" si="202"/>
        <v>0</v>
      </c>
      <c r="U546" s="5">
        <f t="shared" si="203"/>
        <v>0</v>
      </c>
      <c r="V546" s="3">
        <f t="shared" si="204"/>
        <v>0.61224489795918358</v>
      </c>
      <c r="W546" s="5">
        <f t="shared" si="205"/>
        <v>0</v>
      </c>
      <c r="X546" s="5">
        <f>IFERROR(IF(OR($B546="MID",$B546="FWD"),INDEX(FIXTURE_ANALYSIS!$Q:$Q,MATCH($D546,FIXTURE_ANALYSIS!$A:$A,0)),INDEX(FIXTURE_ANALYSIS!$R:$R,MATCH($D546,FIXTURE_ANALYSIS!$A:$A,0))),1)</f>
        <v>1.0060034602076122</v>
      </c>
      <c r="Y546" s="5">
        <f t="shared" si="206"/>
        <v>1.0060034602076122</v>
      </c>
      <c r="Z546" s="8">
        <f>INDEX(FPL_Raw_Data!$T:$T,MATCH(A546,FPL_Raw_Data!$AA:$AA,0))</f>
        <v>1</v>
      </c>
      <c r="AA546" s="8">
        <f>INDEX(FPL_Raw_Data!$S:$S,MATCH(A546,FPL_Raw_Data!$AA:$AA,0))</f>
        <v>7</v>
      </c>
      <c r="AB546" s="2">
        <f t="shared" si="207"/>
        <v>0.58333333333333337</v>
      </c>
      <c r="AC546" s="2">
        <f>INDEX(FPL_Raw_Data!$Q:$Q,MATCH(A546,FPL_Raw_Data!$AA:$AA,0))</f>
        <v>0</v>
      </c>
      <c r="AD546" s="8">
        <f>INDEX(FPL_Raw_Data!$R:$R,MATCH(A546,FPL_Raw_Data!$AA:$AA,0))</f>
        <v>10</v>
      </c>
      <c r="AE546" s="8">
        <f>INDEX(FPL_Raw_Data!$N:$N,MATCH(A546,FPL_Raw_Data!$AA:$AA,0))</f>
        <v>0</v>
      </c>
      <c r="AF546" s="8">
        <f>INDEX(FPL_Raw_Data!$L:$L,MATCH(A546,FPL_Raw_Data!$AA:$AA,0))</f>
        <v>0</v>
      </c>
      <c r="AG546" s="2">
        <f>INDEX(FPL_Raw_Data!$M:$M,MATCH(A546,FPL_Raw_Data!$AA:$AA,0))</f>
        <v>0</v>
      </c>
      <c r="AH546" s="2">
        <f t="shared" si="208"/>
        <v>0</v>
      </c>
      <c r="AI546" s="2">
        <f t="shared" si="209"/>
        <v>0</v>
      </c>
      <c r="AJ546" s="2">
        <f t="shared" si="210"/>
        <v>0.66666666666666663</v>
      </c>
      <c r="AK546" s="2">
        <f t="shared" si="211"/>
        <v>1.1666666666666667</v>
      </c>
      <c r="AL546" s="2">
        <f t="shared" si="212"/>
        <v>0</v>
      </c>
      <c r="AM546" s="2">
        <f t="shared" si="213"/>
        <v>0</v>
      </c>
      <c r="AN546" s="2">
        <f t="shared" si="214"/>
        <v>0</v>
      </c>
      <c r="AO546" s="3">
        <f t="shared" si="215"/>
        <v>61.1</v>
      </c>
      <c r="AP546">
        <f t="shared" si="216"/>
        <v>0</v>
      </c>
      <c r="AQ546">
        <f t="shared" si="217"/>
        <v>61.4</v>
      </c>
      <c r="AR546">
        <f t="shared" si="218"/>
        <v>0</v>
      </c>
      <c r="AS546" s="2">
        <f t="shared" si="219"/>
        <v>33.333333333333329</v>
      </c>
      <c r="AT546" s="2">
        <f>IFERROR(INDEX(Player_Model!$BC$2:$BC$596,MATCH($A546,Player_Model!$A$2:$A$596,0)),0)</f>
        <v>3.2261490275623426</v>
      </c>
      <c r="AU546" s="2">
        <f>Table8[[#This Row],[Model Expected Points]]*Table8[[#This Row],[Fixture Adjustment]]</f>
        <v>3.2455170848731401</v>
      </c>
      <c r="AV546" s="2">
        <f>Table8[[#This Row],[Fixture Adjusted Points / 90]]/Table8[[#This Row],[Price]]</f>
        <v>0.66235042548431422</v>
      </c>
      <c r="AW546">
        <f t="shared" si="220"/>
        <v>30.55</v>
      </c>
      <c r="AX546">
        <f t="shared" si="221"/>
        <v>0.58333333333333337</v>
      </c>
      <c r="AY546" s="2">
        <f t="shared" si="222"/>
        <v>33.333333333333329</v>
      </c>
      <c r="AZ546" s="5">
        <f t="shared" si="223"/>
        <v>1.0060034602076122</v>
      </c>
      <c r="BA546">
        <f>Table8[[#This Row],[Model Score2]]</f>
        <v>3.2261490275623426</v>
      </c>
      <c r="BB546">
        <f>IFERROR(INDEX(Player_Model!$BG$2:$BG$596,MATCH($A546,Player_Model!$A$2:$A$596,0)),"")</f>
        <v>100</v>
      </c>
      <c r="BC546" t="str">
        <f t="shared" si="224"/>
        <v>AVOID</v>
      </c>
      <c r="BD546">
        <f>IF(H546=1,Table8[[#This Row],[Model Score]],-10000)</f>
        <v>3.2261490275623426</v>
      </c>
      <c r="BE546">
        <f>IFERROR(INDEX(Player_Model!$BF$2:$BF$596,MATCH($A546,Player_Model!$A$2:$A$596,0)),"")</f>
        <v>192</v>
      </c>
      <c r="BF546">
        <f>IFERROR(INDEX(Player_Model!$BG$2:$BG$596,MATCH($A546,Player_Model!$A$2:$A$596,0)),"")</f>
        <v>100</v>
      </c>
      <c r="BG546">
        <f>IFERROR(INDEX(Player_Model!$BE$2:$BE$596,MATCH($A546,Player_Model!$A$2:$A$596,0)),0)</f>
        <v>3.2261490275623426</v>
      </c>
    </row>
    <row r="547" spans="1:59" x14ac:dyDescent="0.25">
      <c r="A547" t="str">
        <f>tblPlayers[first_name]&amp;" "&amp;tblPlayers[second_name]</f>
        <v>Nick Woltemade</v>
      </c>
      <c r="B547" t="str">
        <f>_xlfn.SWITCH(tblPlayers[element_type],1,"GK",2,"DEF",3,"MID",4,"FWD")</f>
        <v>FWD</v>
      </c>
      <c r="C547">
        <f>tblPlayers[team]</f>
        <v>17</v>
      </c>
      <c r="D547" t="str">
        <f>INDEX(tblTeams[Column1.short_name],MATCH(C547,tblTeams[Column1.id],0))</f>
        <v>NEW</v>
      </c>
      <c r="E547" s="4">
        <f>INDEX(FPL_Raw_Data!$F:$F,MATCH(A547,FPL_Raw_Data!$AA:$AA,0))/10</f>
        <v>5.9</v>
      </c>
      <c r="F547" s="4" t="str">
        <f>tblPlayers[[#This Row],[status]]</f>
        <v>u</v>
      </c>
      <c r="G547" s="4" t="b">
        <f>tblPlayers[[#This Row],[can_select]]</f>
        <v>0</v>
      </c>
      <c r="H547">
        <f>IF(AND(Table8[[#This Row],[Availability Status]]="a",Table8[[#This Row],[Can Select]]=TRUE),1,0)</f>
        <v>0</v>
      </c>
      <c r="I547">
        <f>tblPlayers[minutes]</f>
        <v>19</v>
      </c>
      <c r="J547" s="2">
        <f>Table8[[#This Row],[Minutes]]/90</f>
        <v>0.21111111111111111</v>
      </c>
      <c r="K547" s="5">
        <f>IFERROR(Z547/(FIXTURE_ANALYSIS!$B$1-1),0)</f>
        <v>0</v>
      </c>
      <c r="L547">
        <f>tblPlayers[total_points]</f>
        <v>4</v>
      </c>
      <c r="M547">
        <f>tblPlayers[points_per_game]</f>
        <v>4</v>
      </c>
      <c r="N547">
        <f>tblPlayers[form]</f>
        <v>1.3</v>
      </c>
      <c r="O547">
        <f>tblPlayers[expected_goals]</f>
        <v>0.02</v>
      </c>
      <c r="P547">
        <f>tblPlayers[expected_assists]</f>
        <v>0.01</v>
      </c>
      <c r="Q547">
        <f>tblPlayers[expected_goal_involvements]</f>
        <v>0.03</v>
      </c>
      <c r="R547" s="2">
        <f t="shared" si="200"/>
        <v>18.94736842105263</v>
      </c>
      <c r="S547" s="5">
        <f t="shared" si="201"/>
        <v>9.4736842105263161E-2</v>
      </c>
      <c r="T547" s="5">
        <f t="shared" si="202"/>
        <v>4.736842105263158E-2</v>
      </c>
      <c r="U547" s="5">
        <f t="shared" si="203"/>
        <v>0.14210526315789473</v>
      </c>
      <c r="V547" s="3">
        <f t="shared" si="204"/>
        <v>0.67796610169491522</v>
      </c>
      <c r="W547" s="5">
        <f t="shared" si="205"/>
        <v>5.084745762711864E-3</v>
      </c>
      <c r="X547" s="5">
        <f>IFERROR(IF(OR($B547="MID",$B547="FWD"),INDEX(FIXTURE_ANALYSIS!$Q:$Q,MATCH($D547,FIXTURE_ANALYSIS!$A:$A,0)),INDEX(FIXTURE_ANALYSIS!$R:$R,MATCH($D547,FIXTURE_ANALYSIS!$A:$A,0))),1)</f>
        <v>1.0060034602076122</v>
      </c>
      <c r="Y547" s="5">
        <f t="shared" si="206"/>
        <v>1.0060034602076122</v>
      </c>
      <c r="Z547" s="8">
        <f>INDEX(FPL_Raw_Data!$T:$T,MATCH(A547,FPL_Raw_Data!$AA:$AA,0))</f>
        <v>0</v>
      </c>
      <c r="AA547" s="8">
        <f>INDEX(FPL_Raw_Data!$S:$S,MATCH(A547,FPL_Raw_Data!$AA:$AA,0))</f>
        <v>0</v>
      </c>
      <c r="AB547" s="2">
        <f t="shared" si="207"/>
        <v>0</v>
      </c>
      <c r="AC547" s="2">
        <f>INDEX(FPL_Raw_Data!$Q:$Q,MATCH(A547,FPL_Raw_Data!$AA:$AA,0))</f>
        <v>0</v>
      </c>
      <c r="AD547" s="8">
        <f>INDEX(FPL_Raw_Data!$R:$R,MATCH(A547,FPL_Raw_Data!$AA:$AA,0))</f>
        <v>18</v>
      </c>
      <c r="AE547" s="8">
        <f>INDEX(FPL_Raw_Data!$N:$N,MATCH(A547,FPL_Raw_Data!$AA:$AA,0))</f>
        <v>0</v>
      </c>
      <c r="AF547" s="8">
        <f>INDEX(FPL_Raw_Data!$L:$L,MATCH(A547,FPL_Raw_Data!$AA:$AA,0))</f>
        <v>0</v>
      </c>
      <c r="AG547" s="2">
        <f>INDEX(FPL_Raw_Data!$M:$M,MATCH(A547,FPL_Raw_Data!$AA:$AA,0))</f>
        <v>1</v>
      </c>
      <c r="AH547" s="2">
        <f t="shared" si="208"/>
        <v>0.37894736842105264</v>
      </c>
      <c r="AI547" s="2">
        <f t="shared" si="209"/>
        <v>0.14210526315789473</v>
      </c>
      <c r="AJ547" s="2">
        <f t="shared" si="210"/>
        <v>0</v>
      </c>
      <c r="AK547" s="2">
        <f t="shared" si="211"/>
        <v>0</v>
      </c>
      <c r="AL547" s="2">
        <f t="shared" si="212"/>
        <v>0</v>
      </c>
      <c r="AM547" s="2">
        <f t="shared" si="213"/>
        <v>0</v>
      </c>
      <c r="AN547" s="2">
        <f t="shared" si="214"/>
        <v>0</v>
      </c>
      <c r="AO547" s="3">
        <f t="shared" si="215"/>
        <v>96.6</v>
      </c>
      <c r="AP547">
        <f t="shared" si="216"/>
        <v>71.8</v>
      </c>
      <c r="AQ547">
        <f t="shared" si="217"/>
        <v>63.800000000000004</v>
      </c>
      <c r="AR547">
        <f t="shared" si="218"/>
        <v>56.499999999999993</v>
      </c>
      <c r="AS547" s="2">
        <f t="shared" si="219"/>
        <v>0</v>
      </c>
      <c r="AT547" s="2">
        <f>IFERROR(INDEX(Player_Model!$BC$2:$BC$596,MATCH($A547,Player_Model!$A$2:$A$596,0)),0)</f>
        <v>0</v>
      </c>
      <c r="AU547" s="2">
        <f>Table8[[#This Row],[Model Expected Points]]*Table8[[#This Row],[Fixture Adjustment]]</f>
        <v>0</v>
      </c>
      <c r="AV547" s="2">
        <f>Table8[[#This Row],[Fixture Adjusted Points / 90]]/Table8[[#This Row],[Price]]</f>
        <v>0</v>
      </c>
      <c r="AW547">
        <f t="shared" si="220"/>
        <v>84.199999999999989</v>
      </c>
      <c r="AX547">
        <f t="shared" si="221"/>
        <v>0</v>
      </c>
      <c r="AY547" s="2">
        <f t="shared" si="222"/>
        <v>0</v>
      </c>
      <c r="AZ547" s="5">
        <f t="shared" si="223"/>
        <v>1.0060034602076122</v>
      </c>
      <c r="BA547">
        <f>Table8[[#This Row],[Model Score2]]</f>
        <v>0</v>
      </c>
      <c r="BB547">
        <f>IFERROR(INDEX(Player_Model!$BG$2:$BG$596,MATCH($A547,Player_Model!$A$2:$A$596,0)),"")</f>
        <v>68</v>
      </c>
      <c r="BC547" t="str">
        <f t="shared" si="224"/>
        <v>AVOID</v>
      </c>
      <c r="BD547">
        <f>IF(H547=1,Table8[[#This Row],[Model Score]],-10000)</f>
        <v>-10000</v>
      </c>
      <c r="BE547">
        <f>IFERROR(INDEX(Player_Model!$BF$2:$BF$596,MATCH($A547,Player_Model!$A$2:$A$596,0)),"")</f>
        <v>253</v>
      </c>
      <c r="BF547">
        <f>IFERROR(INDEX(Player_Model!$BG$2:$BG$596,MATCH($A547,Player_Model!$A$2:$A$596,0)),"")</f>
        <v>68</v>
      </c>
      <c r="BG547">
        <f>IFERROR(INDEX(Player_Model!$BE$2:$BE$596,MATCH($A547,Player_Model!$A$2:$A$596,0)),0)</f>
        <v>0</v>
      </c>
    </row>
    <row r="548" spans="1:59" x14ac:dyDescent="0.25">
      <c r="A548" t="str">
        <f>tblPlayers[first_name]&amp;" "&amp;tblPlayers[second_name]</f>
        <v>Yoane Wissa</v>
      </c>
      <c r="B548" t="str">
        <f>_xlfn.SWITCH(tblPlayers[element_type],1,"GK",2,"DEF",3,"MID",4,"FWD")</f>
        <v>FWD</v>
      </c>
      <c r="C548">
        <f>tblPlayers[team]</f>
        <v>17</v>
      </c>
      <c r="D548" t="str">
        <f>INDEX(tblTeams[Column1.short_name],MATCH(C548,tblTeams[Column1.id],0))</f>
        <v>NEW</v>
      </c>
      <c r="E548" s="4">
        <f>INDEX(FPL_Raw_Data!$F:$F,MATCH(A548,FPL_Raw_Data!$AA:$AA,0))/10</f>
        <v>6.2</v>
      </c>
      <c r="F548" s="4" t="str">
        <f>tblPlayers[[#This Row],[status]]</f>
        <v>a</v>
      </c>
      <c r="G548" s="4" t="b">
        <f>tblPlayers[[#This Row],[can_select]]</f>
        <v>1</v>
      </c>
      <c r="H548">
        <f>IF(AND(Table8[[#This Row],[Availability Status]]="a",Table8[[#This Row],[Can Select]]=TRUE),1,0)</f>
        <v>1</v>
      </c>
      <c r="I548">
        <f>tblPlayers[minutes]</f>
        <v>261</v>
      </c>
      <c r="J548" s="2">
        <f>Table8[[#This Row],[Minutes]]/90</f>
        <v>2.9</v>
      </c>
      <c r="K548" s="5">
        <f>IFERROR(Z548/(FIXTURE_ANALYSIS!$B$1-1),0)</f>
        <v>1</v>
      </c>
      <c r="L548">
        <f>tblPlayers[total_points]</f>
        <v>13</v>
      </c>
      <c r="M548">
        <f>tblPlayers[points_per_game]</f>
        <v>4.3</v>
      </c>
      <c r="N548">
        <f>tblPlayers[form]</f>
        <v>4.3</v>
      </c>
      <c r="O548">
        <f>tblPlayers[expected_goals]</f>
        <v>1.35</v>
      </c>
      <c r="P548">
        <f>tblPlayers[expected_assists]</f>
        <v>0.05</v>
      </c>
      <c r="Q548">
        <f>tblPlayers[expected_goal_involvements]</f>
        <v>1.4</v>
      </c>
      <c r="R548" s="2">
        <f t="shared" si="200"/>
        <v>4.4827586206896548</v>
      </c>
      <c r="S548" s="5">
        <f t="shared" si="201"/>
        <v>0.46551724137931033</v>
      </c>
      <c r="T548" s="5">
        <f t="shared" si="202"/>
        <v>1.7241379310344827E-2</v>
      </c>
      <c r="U548" s="5">
        <f t="shared" si="203"/>
        <v>0.48275862068965514</v>
      </c>
      <c r="V548" s="3">
        <f t="shared" si="204"/>
        <v>2.096774193548387</v>
      </c>
      <c r="W548" s="5">
        <f t="shared" si="205"/>
        <v>0.22580645161290319</v>
      </c>
      <c r="X548" s="5">
        <f>IFERROR(IF(OR($B548="MID",$B548="FWD"),INDEX(FIXTURE_ANALYSIS!$Q:$Q,MATCH($D548,FIXTURE_ANALYSIS!$A:$A,0)),INDEX(FIXTURE_ANALYSIS!$R:$R,MATCH($D548,FIXTURE_ANALYSIS!$A:$A,0))),1)</f>
        <v>1.0060034602076122</v>
      </c>
      <c r="Y548" s="5">
        <f t="shared" si="206"/>
        <v>1.0060034602076122</v>
      </c>
      <c r="Z548" s="8">
        <f>INDEX(FPL_Raw_Data!$T:$T,MATCH(A548,FPL_Raw_Data!$AA:$AA,0))</f>
        <v>3</v>
      </c>
      <c r="AA548" s="8">
        <f>INDEX(FPL_Raw_Data!$S:$S,MATCH(A548,FPL_Raw_Data!$AA:$AA,0))</f>
        <v>17</v>
      </c>
      <c r="AB548" s="2">
        <f t="shared" si="207"/>
        <v>1</v>
      </c>
      <c r="AC548" s="2">
        <f>INDEX(FPL_Raw_Data!$Q:$Q,MATCH(A548,FPL_Raw_Data!$AA:$AA,0))</f>
        <v>2</v>
      </c>
      <c r="AD548" s="8">
        <f>INDEX(FPL_Raw_Data!$R:$R,MATCH(A548,FPL_Raw_Data!$AA:$AA,0))</f>
        <v>51</v>
      </c>
      <c r="AE548" s="8">
        <f>INDEX(FPL_Raw_Data!$N:$N,MATCH(A548,FPL_Raw_Data!$AA:$AA,0))</f>
        <v>1</v>
      </c>
      <c r="AF548" s="8">
        <f>INDEX(FPL_Raw_Data!$L:$L,MATCH(A548,FPL_Raw_Data!$AA:$AA,0))</f>
        <v>1</v>
      </c>
      <c r="AG548" s="2">
        <f>INDEX(FPL_Raw_Data!$M:$M,MATCH(A548,FPL_Raw_Data!$AA:$AA,0))</f>
        <v>1</v>
      </c>
      <c r="AH548" s="2">
        <f t="shared" si="208"/>
        <v>1.8620689655172413</v>
      </c>
      <c r="AI548" s="2">
        <f t="shared" si="209"/>
        <v>5.1724137931034482E-2</v>
      </c>
      <c r="AJ548" s="2">
        <f t="shared" si="210"/>
        <v>2</v>
      </c>
      <c r="AK548" s="2">
        <f t="shared" si="211"/>
        <v>2</v>
      </c>
      <c r="AL548" s="2">
        <f t="shared" si="212"/>
        <v>0.33333333333333331</v>
      </c>
      <c r="AM548" s="2">
        <f t="shared" si="213"/>
        <v>0</v>
      </c>
      <c r="AN548" s="2">
        <f t="shared" si="214"/>
        <v>0.66666666666666663</v>
      </c>
      <c r="AO548" s="3">
        <f t="shared" si="215"/>
        <v>72.8</v>
      </c>
      <c r="AP548">
        <f t="shared" si="216"/>
        <v>91.4</v>
      </c>
      <c r="AQ548">
        <f t="shared" si="217"/>
        <v>87.2</v>
      </c>
      <c r="AR548">
        <f t="shared" si="218"/>
        <v>95.899999999999991</v>
      </c>
      <c r="AS548" s="2">
        <f t="shared" si="219"/>
        <v>100</v>
      </c>
      <c r="AT548" s="2">
        <f>IFERROR(INDEX(Player_Model!$BC$2:$BC$596,MATCH($A548,Player_Model!$A$2:$A$596,0)),0)</f>
        <v>4.9737151430710824</v>
      </c>
      <c r="AU548" s="2">
        <f>Table8[[#This Row],[Model Expected Points]]*Table8[[#This Row],[Fixture Adjustment]]</f>
        <v>5.0035746440165081</v>
      </c>
      <c r="AV548" s="2">
        <f>Table8[[#This Row],[Fixture Adjusted Points / 90]]/Table8[[#This Row],[Price]]</f>
        <v>0.80702816838975933</v>
      </c>
      <c r="AW548">
        <f t="shared" si="220"/>
        <v>82.1</v>
      </c>
      <c r="AX548">
        <f t="shared" si="221"/>
        <v>0</v>
      </c>
      <c r="AY548" s="2">
        <f t="shared" si="222"/>
        <v>100</v>
      </c>
      <c r="AZ548" s="5">
        <f t="shared" si="223"/>
        <v>1.0060034602076122</v>
      </c>
      <c r="BA548">
        <f>Table8[[#This Row],[Model Score2]]</f>
        <v>4.9737151430710824</v>
      </c>
      <c r="BB548">
        <f>IFERROR(INDEX(Player_Model!$BG$2:$BG$596,MATCH($A548,Player_Model!$A$2:$A$596,0)),"")</f>
        <v>11</v>
      </c>
      <c r="BC548" t="str">
        <f t="shared" si="224"/>
        <v>AVOID</v>
      </c>
      <c r="BD548">
        <f>IF(H548=1,Table8[[#This Row],[Model Score]],-10000)</f>
        <v>4.9737151430710824</v>
      </c>
      <c r="BE548">
        <f>IFERROR(INDEX(Player_Model!$BF$2:$BF$596,MATCH($A548,Player_Model!$A$2:$A$596,0)),"")</f>
        <v>95</v>
      </c>
      <c r="BF548">
        <f>IFERROR(INDEX(Player_Model!$BG$2:$BG$596,MATCH($A548,Player_Model!$A$2:$A$596,0)),"")</f>
        <v>11</v>
      </c>
      <c r="BG548">
        <f>IFERROR(INDEX(Player_Model!$BE$2:$BE$596,MATCH($A548,Player_Model!$A$2:$A$596,0)),0)</f>
        <v>4.9737151430710824</v>
      </c>
    </row>
    <row r="549" spans="1:59" x14ac:dyDescent="0.25">
      <c r="A549" t="str">
        <f>tblPlayers[first_name]&amp;" "&amp;tblPlayers[second_name]</f>
        <v>William Osula</v>
      </c>
      <c r="B549" t="str">
        <f>_xlfn.SWITCH(tblPlayers[element_type],1,"GK",2,"DEF",3,"MID",4,"FWD")</f>
        <v>FWD</v>
      </c>
      <c r="C549">
        <f>tblPlayers[team]</f>
        <v>17</v>
      </c>
      <c r="D549" t="str">
        <f>INDEX(tblTeams[Column1.short_name],MATCH(C549,tblTeams[Column1.id],0))</f>
        <v>NEW</v>
      </c>
      <c r="E549" s="4">
        <f>INDEX(FPL_Raw_Data!$F:$F,MATCH(A549,FPL_Raw_Data!$AA:$AA,0))/10</f>
        <v>5.9</v>
      </c>
      <c r="F549" s="4" t="str">
        <f>tblPlayers[[#This Row],[status]]</f>
        <v>i</v>
      </c>
      <c r="G549" s="4" t="b">
        <f>tblPlayers[[#This Row],[can_select]]</f>
        <v>1</v>
      </c>
      <c r="H549">
        <f>IF(AND(Table8[[#This Row],[Availability Status]]="a",Table8[[#This Row],[Can Select]]=TRUE),1,0)</f>
        <v>0</v>
      </c>
      <c r="I549">
        <f>tblPlayers[minutes]</f>
        <v>55</v>
      </c>
      <c r="J549" s="2">
        <f>Table8[[#This Row],[Minutes]]/90</f>
        <v>0.61111111111111116</v>
      </c>
      <c r="K549" s="5">
        <f>IFERROR(Z549/(FIXTURE_ANALYSIS!$B$1-1),0)</f>
        <v>0.33333333333333331</v>
      </c>
      <c r="L549">
        <f>tblPlayers[total_points]</f>
        <v>4</v>
      </c>
      <c r="M549">
        <f>tblPlayers[points_per_game]</f>
        <v>4</v>
      </c>
      <c r="N549">
        <f>tblPlayers[form]</f>
        <v>1.3</v>
      </c>
      <c r="O549">
        <f>tblPlayers[expected_goals]</f>
        <v>0.06</v>
      </c>
      <c r="P549">
        <f>tblPlayers[expected_assists]</f>
        <v>0.14000000000000001</v>
      </c>
      <c r="Q549">
        <f>tblPlayers[expected_goal_involvements]</f>
        <v>0.2</v>
      </c>
      <c r="R549" s="2">
        <f t="shared" si="200"/>
        <v>6.545454545454545</v>
      </c>
      <c r="S549" s="5">
        <f t="shared" si="201"/>
        <v>9.818181818181819E-2</v>
      </c>
      <c r="T549" s="5">
        <f t="shared" si="202"/>
        <v>0.2290909090909091</v>
      </c>
      <c r="U549" s="5">
        <f t="shared" si="203"/>
        <v>0.32727272727272727</v>
      </c>
      <c r="V549" s="3">
        <f t="shared" si="204"/>
        <v>0.67796610169491522</v>
      </c>
      <c r="W549" s="5">
        <f t="shared" si="205"/>
        <v>3.3898305084745763E-2</v>
      </c>
      <c r="X549" s="5">
        <f>IFERROR(IF(OR($B549="MID",$B549="FWD"),INDEX(FIXTURE_ANALYSIS!$Q:$Q,MATCH($D549,FIXTURE_ANALYSIS!$A:$A,0)),INDEX(FIXTURE_ANALYSIS!$R:$R,MATCH($D549,FIXTURE_ANALYSIS!$A:$A,0))),1)</f>
        <v>1.0060034602076122</v>
      </c>
      <c r="Y549" s="5">
        <f t="shared" si="206"/>
        <v>1.0060034602076122</v>
      </c>
      <c r="Z549" s="8">
        <f>INDEX(FPL_Raw_Data!$T:$T,MATCH(A549,FPL_Raw_Data!$AA:$AA,0))</f>
        <v>1</v>
      </c>
      <c r="AA549" s="8">
        <f>INDEX(FPL_Raw_Data!$S:$S,MATCH(A549,FPL_Raw_Data!$AA:$AA,0))</f>
        <v>5</v>
      </c>
      <c r="AB549" s="2">
        <f t="shared" si="207"/>
        <v>0.41666666666666669</v>
      </c>
      <c r="AC549" s="2">
        <f>INDEX(FPL_Raw_Data!$Q:$Q,MATCH(A549,FPL_Raw_Data!$AA:$AA,0))</f>
        <v>0</v>
      </c>
      <c r="AD549" s="8">
        <f>INDEX(FPL_Raw_Data!$R:$R,MATCH(A549,FPL_Raw_Data!$AA:$AA,0))</f>
        <v>18</v>
      </c>
      <c r="AE549" s="8">
        <f>INDEX(FPL_Raw_Data!$N:$N,MATCH(A549,FPL_Raw_Data!$AA:$AA,0))</f>
        <v>0</v>
      </c>
      <c r="AF549" s="8">
        <f>INDEX(FPL_Raw_Data!$L:$L,MATCH(A549,FPL_Raw_Data!$AA:$AA,0))</f>
        <v>0</v>
      </c>
      <c r="AG549" s="2">
        <f>INDEX(FPL_Raw_Data!$M:$M,MATCH(A549,FPL_Raw_Data!$AA:$AA,0))</f>
        <v>1</v>
      </c>
      <c r="AH549" s="2">
        <f t="shared" si="208"/>
        <v>0.39272727272727276</v>
      </c>
      <c r="AI549" s="2">
        <f t="shared" si="209"/>
        <v>0.68727272727272726</v>
      </c>
      <c r="AJ549" s="2">
        <f t="shared" si="210"/>
        <v>0.66666666666666663</v>
      </c>
      <c r="AK549" s="2">
        <f t="shared" si="211"/>
        <v>0.83333333333333337</v>
      </c>
      <c r="AL549" s="2">
        <f t="shared" si="212"/>
        <v>0</v>
      </c>
      <c r="AM549" s="2">
        <f t="shared" si="213"/>
        <v>0</v>
      </c>
      <c r="AN549" s="2">
        <f t="shared" si="214"/>
        <v>0</v>
      </c>
      <c r="AO549" s="3">
        <f t="shared" si="215"/>
        <v>84.1</v>
      </c>
      <c r="AP549">
        <f t="shared" si="216"/>
        <v>85.3</v>
      </c>
      <c r="AQ549">
        <f t="shared" si="217"/>
        <v>63.800000000000004</v>
      </c>
      <c r="AR549">
        <f t="shared" si="218"/>
        <v>71.5</v>
      </c>
      <c r="AS549" s="2">
        <f t="shared" si="219"/>
        <v>33.333333333333329</v>
      </c>
      <c r="AT549" s="2">
        <f>IFERROR(INDEX(Player_Model!$BC$2:$BC$596,MATCH($A549,Player_Model!$A$2:$A$596,0)),0)</f>
        <v>4.7292681603419533</v>
      </c>
      <c r="AU549" s="2">
        <f>Table8[[#This Row],[Model Expected Points]]*Table8[[#This Row],[Fixture Adjustment]]</f>
        <v>4.7576601335536939</v>
      </c>
      <c r="AV549" s="2">
        <f>Table8[[#This Row],[Fixture Adjusted Points / 90]]/Table8[[#This Row],[Price]]</f>
        <v>0.80638307348367688</v>
      </c>
      <c r="AW549">
        <f t="shared" si="220"/>
        <v>84.699999999999989</v>
      </c>
      <c r="AX549">
        <f t="shared" si="221"/>
        <v>0</v>
      </c>
      <c r="AY549" s="2">
        <f t="shared" si="222"/>
        <v>33.333333333333329</v>
      </c>
      <c r="AZ549" s="5">
        <f t="shared" si="223"/>
        <v>1.0060034602076122</v>
      </c>
      <c r="BA549">
        <f>Table8[[#This Row],[Model Score2]]</f>
        <v>4.7292681603419533</v>
      </c>
      <c r="BB549">
        <f>IFERROR(INDEX(Player_Model!$BG$2:$BG$596,MATCH($A549,Player_Model!$A$2:$A$596,0)),"")</f>
        <v>13</v>
      </c>
      <c r="BC549" t="str">
        <f t="shared" si="224"/>
        <v>AVOID</v>
      </c>
      <c r="BD549">
        <f>IF(H549=1,Table8[[#This Row],[Model Score]],-10000)</f>
        <v>-10000</v>
      </c>
      <c r="BE549">
        <f>IFERROR(INDEX(Player_Model!$BF$2:$BF$596,MATCH($A549,Player_Model!$A$2:$A$596,0)),"")</f>
        <v>112</v>
      </c>
      <c r="BF549">
        <f>IFERROR(INDEX(Player_Model!$BG$2:$BG$596,MATCH($A549,Player_Model!$A$2:$A$596,0)),"")</f>
        <v>13</v>
      </c>
      <c r="BG549">
        <f>IFERROR(INDEX(Player_Model!$BE$2:$BE$596,MATCH($A549,Player_Model!$A$2:$A$596,0)),0)</f>
        <v>4.7292681603419533</v>
      </c>
    </row>
    <row r="550" spans="1:59" x14ac:dyDescent="0.25">
      <c r="A550" t="str">
        <f>tblPlayers[first_name]&amp;" "&amp;tblPlayers[second_name]</f>
        <v>Sean Neave</v>
      </c>
      <c r="B550" t="str">
        <f>_xlfn.SWITCH(tblPlayers[element_type],1,"GK",2,"DEF",3,"MID",4,"FWD")</f>
        <v>FWD</v>
      </c>
      <c r="C550">
        <f>tblPlayers[team]</f>
        <v>17</v>
      </c>
      <c r="D550" t="str">
        <f>INDEX(tblTeams[Column1.short_name],MATCH(C550,tblTeams[Column1.id],0))</f>
        <v>NEW</v>
      </c>
      <c r="E550" s="4">
        <f>INDEX(FPL_Raw_Data!$F:$F,MATCH(A550,FPL_Raw_Data!$AA:$AA,0))/10</f>
        <v>4.5</v>
      </c>
      <c r="F550" s="4" t="str">
        <f>tblPlayers[[#This Row],[status]]</f>
        <v>u</v>
      </c>
      <c r="G550" s="4" t="b">
        <f>tblPlayers[[#This Row],[can_select]]</f>
        <v>0</v>
      </c>
      <c r="H550">
        <f>IF(AND(Table8[[#This Row],[Availability Status]]="a",Table8[[#This Row],[Can Select]]=TRUE),1,0)</f>
        <v>0</v>
      </c>
      <c r="I550">
        <f>tblPlayers[minutes]</f>
        <v>0</v>
      </c>
      <c r="J550" s="2">
        <f>Table8[[#This Row],[Minutes]]/90</f>
        <v>0</v>
      </c>
      <c r="K550" s="5">
        <f>IFERROR(Z550/(FIXTURE_ANALYSIS!$B$1-1),0)</f>
        <v>0</v>
      </c>
      <c r="L550">
        <f>tblPlayers[total_points]</f>
        <v>0</v>
      </c>
      <c r="M550">
        <f>tblPlayers[points_per_game]</f>
        <v>0</v>
      </c>
      <c r="N550">
        <f>tblPlayers[form]</f>
        <v>0</v>
      </c>
      <c r="O550">
        <f>tblPlayers[expected_goals]</f>
        <v>0</v>
      </c>
      <c r="P550">
        <f>tblPlayers[expected_assists]</f>
        <v>0</v>
      </c>
      <c r="Q550">
        <f>tblPlayers[expected_goal_involvements]</f>
        <v>0</v>
      </c>
      <c r="R550" s="2">
        <f t="shared" si="200"/>
        <v>0</v>
      </c>
      <c r="S550" s="5">
        <f t="shared" si="201"/>
        <v>0</v>
      </c>
      <c r="T550" s="5">
        <f t="shared" si="202"/>
        <v>0</v>
      </c>
      <c r="U550" s="5">
        <f t="shared" si="203"/>
        <v>0</v>
      </c>
      <c r="V550" s="3">
        <f t="shared" si="204"/>
        <v>0</v>
      </c>
      <c r="W550" s="5">
        <f t="shared" si="205"/>
        <v>0</v>
      </c>
      <c r="X550" s="5">
        <f>IFERROR(IF(OR($B550="MID",$B550="FWD"),INDEX(FIXTURE_ANALYSIS!$Q:$Q,MATCH($D550,FIXTURE_ANALYSIS!$A:$A,0)),INDEX(FIXTURE_ANALYSIS!$R:$R,MATCH($D550,FIXTURE_ANALYSIS!$A:$A,0))),1)</f>
        <v>1.0060034602076122</v>
      </c>
      <c r="Y550" s="5">
        <f t="shared" si="206"/>
        <v>1.0060034602076122</v>
      </c>
      <c r="Z550" s="8">
        <f>INDEX(FPL_Raw_Data!$T:$T,MATCH(A550,FPL_Raw_Data!$AA:$AA,0))</f>
        <v>0</v>
      </c>
      <c r="AA550" s="8">
        <f>INDEX(FPL_Raw_Data!$S:$S,MATCH(A550,FPL_Raw_Data!$AA:$AA,0))</f>
        <v>0</v>
      </c>
      <c r="AB550" s="2">
        <f t="shared" si="207"/>
        <v>0</v>
      </c>
      <c r="AC550" s="2">
        <f>INDEX(FPL_Raw_Data!$Q:$Q,MATCH(A550,FPL_Raw_Data!$AA:$AA,0))</f>
        <v>0</v>
      </c>
      <c r="AD550" s="8">
        <f>INDEX(FPL_Raw_Data!$R:$R,MATCH(A550,FPL_Raw_Data!$AA:$AA,0))</f>
        <v>0</v>
      </c>
      <c r="AE550" s="8">
        <f>INDEX(FPL_Raw_Data!$N:$N,MATCH(A550,FPL_Raw_Data!$AA:$AA,0))</f>
        <v>0</v>
      </c>
      <c r="AF550" s="8">
        <f>INDEX(FPL_Raw_Data!$L:$L,MATCH(A550,FPL_Raw_Data!$AA:$AA,0))</f>
        <v>0</v>
      </c>
      <c r="AG550" s="2">
        <f>INDEX(FPL_Raw_Data!$M:$M,MATCH(A550,FPL_Raw_Data!$AA:$AA,0))</f>
        <v>0</v>
      </c>
      <c r="AH550" s="2">
        <f t="shared" si="208"/>
        <v>0</v>
      </c>
      <c r="AI550" s="2">
        <f t="shared" si="209"/>
        <v>0</v>
      </c>
      <c r="AJ550" s="2">
        <f t="shared" si="210"/>
        <v>0</v>
      </c>
      <c r="AK550" s="2">
        <f t="shared" si="211"/>
        <v>0</v>
      </c>
      <c r="AL550" s="2">
        <f t="shared" si="212"/>
        <v>0</v>
      </c>
      <c r="AM550" s="2">
        <f t="shared" si="213"/>
        <v>0</v>
      </c>
      <c r="AN550" s="2">
        <f t="shared" si="214"/>
        <v>0</v>
      </c>
      <c r="AO550" s="3">
        <f t="shared" si="215"/>
        <v>0.1</v>
      </c>
      <c r="AP550">
        <f t="shared" si="216"/>
        <v>0</v>
      </c>
      <c r="AQ550">
        <f t="shared" si="217"/>
        <v>0.1</v>
      </c>
      <c r="AR550">
        <f t="shared" si="218"/>
        <v>0</v>
      </c>
      <c r="AS550" s="2">
        <f t="shared" si="219"/>
        <v>0</v>
      </c>
      <c r="AT550" s="2">
        <f>IFERROR(INDEX(Player_Model!$BC$2:$BC$596,MATCH($A550,Player_Model!$A$2:$A$596,0)),0)</f>
        <v>0</v>
      </c>
      <c r="AU550" s="2">
        <f>Table8[[#This Row],[Model Expected Points]]*Table8[[#This Row],[Fixture Adjustment]]</f>
        <v>0</v>
      </c>
      <c r="AV550" s="2">
        <f>Table8[[#This Row],[Fixture Adjusted Points / 90]]/Table8[[#This Row],[Price]]</f>
        <v>0</v>
      </c>
      <c r="AW550">
        <f t="shared" si="220"/>
        <v>0.05</v>
      </c>
      <c r="AX550">
        <f t="shared" si="221"/>
        <v>0</v>
      </c>
      <c r="AY550" s="2">
        <f t="shared" si="222"/>
        <v>0</v>
      </c>
      <c r="AZ550" s="5">
        <f t="shared" si="223"/>
        <v>1.0060034602076122</v>
      </c>
      <c r="BA550">
        <f>Table8[[#This Row],[Model Score2]]</f>
        <v>0</v>
      </c>
      <c r="BB550">
        <f>IFERROR(INDEX(Player_Model!$BG$2:$BG$596,MATCH($A550,Player_Model!$A$2:$A$596,0)),"")</f>
        <v>69</v>
      </c>
      <c r="BC550" t="str">
        <f t="shared" si="224"/>
        <v>AVOID</v>
      </c>
      <c r="BD550">
        <f>IF(H550=1,Table8[[#This Row],[Model Score]],-10000)</f>
        <v>-10000</v>
      </c>
      <c r="BE550">
        <f>IFERROR(INDEX(Player_Model!$BF$2:$BF$596,MATCH($A550,Player_Model!$A$2:$A$596,0)),"")</f>
        <v>253</v>
      </c>
      <c r="BF550">
        <f>IFERROR(INDEX(Player_Model!$BG$2:$BG$596,MATCH($A550,Player_Model!$A$2:$A$596,0)),"")</f>
        <v>69</v>
      </c>
      <c r="BG550">
        <f>IFERROR(INDEX(Player_Model!$BE$2:$BE$596,MATCH($A550,Player_Model!$A$2:$A$596,0)),0)</f>
        <v>0</v>
      </c>
    </row>
    <row r="551" spans="1:59" x14ac:dyDescent="0.25">
      <c r="A551" t="str">
        <f>tblPlayers[first_name]&amp;" "&amp;tblPlayers[second_name]</f>
        <v>Aladji Bamba</v>
      </c>
      <c r="B551" t="str">
        <f>_xlfn.SWITCH(tblPlayers[element_type],1,"GK",2,"DEF",3,"MID",4,"FWD")</f>
        <v>MID</v>
      </c>
      <c r="C551">
        <f>tblPlayers[team]</f>
        <v>17</v>
      </c>
      <c r="D551" t="str">
        <f>INDEX(tblTeams[Column1.short_name],MATCH(C551,tblTeams[Column1.id],0))</f>
        <v>NEW</v>
      </c>
      <c r="E551" s="4">
        <f>INDEX(FPL_Raw_Data!$F:$F,MATCH(A551,FPL_Raw_Data!$AA:$AA,0))/10</f>
        <v>4.9000000000000004</v>
      </c>
      <c r="F551" s="4" t="str">
        <f>tblPlayers[[#This Row],[status]]</f>
        <v>a</v>
      </c>
      <c r="G551" s="4" t="b">
        <f>tblPlayers[[#This Row],[can_select]]</f>
        <v>1</v>
      </c>
      <c r="H551">
        <f>IF(AND(Table8[[#This Row],[Availability Status]]="a",Table8[[#This Row],[Can Select]]=TRUE),1,0)</f>
        <v>1</v>
      </c>
      <c r="I551">
        <f>tblPlayers[minutes]</f>
        <v>14</v>
      </c>
      <c r="J551" s="2">
        <f>Table8[[#This Row],[Minutes]]/90</f>
        <v>0.15555555555555556</v>
      </c>
      <c r="K551" s="5">
        <f>IFERROR(Z551/(FIXTURE_ANALYSIS!$B$1-1),0)</f>
        <v>0</v>
      </c>
      <c r="L551">
        <f>tblPlayers[total_points]</f>
        <v>1</v>
      </c>
      <c r="M551">
        <f>tblPlayers[points_per_game]</f>
        <v>1</v>
      </c>
      <c r="N551">
        <f>tblPlayers[form]</f>
        <v>0.3</v>
      </c>
      <c r="O551">
        <f>tblPlayers[expected_goals]</f>
        <v>0</v>
      </c>
      <c r="P551">
        <f>tblPlayers[expected_assists]</f>
        <v>0</v>
      </c>
      <c r="Q551">
        <f>tblPlayers[expected_goal_involvements]</f>
        <v>0</v>
      </c>
      <c r="R551" s="2">
        <f t="shared" si="200"/>
        <v>6.4285714285714279</v>
      </c>
      <c r="S551" s="5">
        <f t="shared" si="201"/>
        <v>0</v>
      </c>
      <c r="T551" s="5">
        <f t="shared" si="202"/>
        <v>0</v>
      </c>
      <c r="U551" s="5">
        <f t="shared" si="203"/>
        <v>0</v>
      </c>
      <c r="V551" s="3">
        <f t="shared" si="204"/>
        <v>0.2040816326530612</v>
      </c>
      <c r="W551" s="5">
        <f t="shared" si="205"/>
        <v>0</v>
      </c>
      <c r="X551" s="5">
        <f>IFERROR(IF(OR($B551="MID",$B551="FWD"),INDEX(FIXTURE_ANALYSIS!$Q:$Q,MATCH($D551,FIXTURE_ANALYSIS!$A:$A,0)),INDEX(FIXTURE_ANALYSIS!$R:$R,MATCH($D551,FIXTURE_ANALYSIS!$A:$A,0))),1)</f>
        <v>1.0060034602076122</v>
      </c>
      <c r="Y551" s="5">
        <f t="shared" si="206"/>
        <v>1.0060034602076122</v>
      </c>
      <c r="Z551" s="8">
        <f>INDEX(FPL_Raw_Data!$T:$T,MATCH(A551,FPL_Raw_Data!$AA:$AA,0))</f>
        <v>0</v>
      </c>
      <c r="AA551" s="8">
        <f>INDEX(FPL_Raw_Data!$S:$S,MATCH(A551,FPL_Raw_Data!$AA:$AA,0))</f>
        <v>2</v>
      </c>
      <c r="AB551" s="2">
        <f t="shared" si="207"/>
        <v>0.16666666666666666</v>
      </c>
      <c r="AC551" s="2">
        <f>INDEX(FPL_Raw_Data!$Q:$Q,MATCH(A551,FPL_Raw_Data!$AA:$AA,0))</f>
        <v>0</v>
      </c>
      <c r="AD551" s="8">
        <f>INDEX(FPL_Raw_Data!$R:$R,MATCH(A551,FPL_Raw_Data!$AA:$AA,0))</f>
        <v>5</v>
      </c>
      <c r="AE551" s="8">
        <f>INDEX(FPL_Raw_Data!$N:$N,MATCH(A551,FPL_Raw_Data!$AA:$AA,0))</f>
        <v>0</v>
      </c>
      <c r="AF551" s="8">
        <f>INDEX(FPL_Raw_Data!$L:$L,MATCH(A551,FPL_Raw_Data!$AA:$AA,0))</f>
        <v>0</v>
      </c>
      <c r="AG551" s="2">
        <f>INDEX(FPL_Raw_Data!$M:$M,MATCH(A551,FPL_Raw_Data!$AA:$AA,0))</f>
        <v>0</v>
      </c>
      <c r="AH551" s="2">
        <f t="shared" si="208"/>
        <v>0</v>
      </c>
      <c r="AI551" s="2">
        <f t="shared" si="209"/>
        <v>0</v>
      </c>
      <c r="AJ551" s="2">
        <f t="shared" si="210"/>
        <v>0</v>
      </c>
      <c r="AK551" s="2">
        <f t="shared" si="211"/>
        <v>0.33333333333333331</v>
      </c>
      <c r="AL551" s="2">
        <f t="shared" si="212"/>
        <v>0</v>
      </c>
      <c r="AM551" s="2">
        <f t="shared" si="213"/>
        <v>0</v>
      </c>
      <c r="AN551" s="2">
        <f t="shared" si="214"/>
        <v>0</v>
      </c>
      <c r="AO551" s="3">
        <f t="shared" si="215"/>
        <v>83.1</v>
      </c>
      <c r="AP551">
        <f t="shared" si="216"/>
        <v>0</v>
      </c>
      <c r="AQ551">
        <f t="shared" si="217"/>
        <v>46.2</v>
      </c>
      <c r="AR551">
        <f t="shared" si="218"/>
        <v>0</v>
      </c>
      <c r="AS551" s="2">
        <f t="shared" si="219"/>
        <v>0</v>
      </c>
      <c r="AT551" s="2">
        <f>IFERROR(INDEX(Player_Model!$BC$2:$BC$596,MATCH($A551,Player_Model!$A$2:$A$596,0)),0)</f>
        <v>0</v>
      </c>
      <c r="AU551" s="2">
        <f>Table8[[#This Row],[Model Expected Points]]*Table8[[#This Row],[Fixture Adjustment]]</f>
        <v>0</v>
      </c>
      <c r="AV551" s="2">
        <f>Table8[[#This Row],[Fixture Adjusted Points / 90]]/Table8[[#This Row],[Price]]</f>
        <v>0</v>
      </c>
      <c r="AW551">
        <f t="shared" si="220"/>
        <v>41.55</v>
      </c>
      <c r="AX551">
        <f t="shared" si="221"/>
        <v>0.16666666666666666</v>
      </c>
      <c r="AY551" s="2">
        <f t="shared" si="222"/>
        <v>0</v>
      </c>
      <c r="AZ551" s="5">
        <f t="shared" si="223"/>
        <v>1.0060034602076122</v>
      </c>
      <c r="BA551">
        <f>Table8[[#This Row],[Model Score2]]</f>
        <v>0</v>
      </c>
      <c r="BB551">
        <f>IFERROR(INDEX(Player_Model!$BG$2:$BG$596,MATCH($A551,Player_Model!$A$2:$A$596,0)),"")</f>
        <v>258</v>
      </c>
      <c r="BC551" t="str">
        <f t="shared" si="224"/>
        <v>AVOID</v>
      </c>
      <c r="BD551">
        <f>IF(H551=1,Table8[[#This Row],[Model Score]],-10000)</f>
        <v>0</v>
      </c>
      <c r="BE551">
        <f>IFERROR(INDEX(Player_Model!$BF$2:$BF$596,MATCH($A551,Player_Model!$A$2:$A$596,0)),"")</f>
        <v>253</v>
      </c>
      <c r="BF551">
        <f>IFERROR(INDEX(Player_Model!$BG$2:$BG$596,MATCH($A551,Player_Model!$A$2:$A$596,0)),"")</f>
        <v>258</v>
      </c>
      <c r="BG551">
        <f>IFERROR(INDEX(Player_Model!$BE$2:$BE$596,MATCH($A551,Player_Model!$A$2:$A$596,0)),0)</f>
        <v>0</v>
      </c>
    </row>
    <row r="552" spans="1:59" x14ac:dyDescent="0.25">
      <c r="A552" t="str">
        <f>tblPlayers[first_name]&amp;" "&amp;tblPlayers[second_name]</f>
        <v>Lukás Hornícek</v>
      </c>
      <c r="B552" t="str">
        <f>_xlfn.SWITCH(tblPlayers[element_type],1,"GK",2,"DEF",3,"MID",4,"FWD")</f>
        <v>GK</v>
      </c>
      <c r="C552">
        <f>tblPlayers[team]</f>
        <v>17</v>
      </c>
      <c r="D552" t="str">
        <f>INDEX(tblTeams[Column1.short_name],MATCH(C552,tblTeams[Column1.id],0))</f>
        <v>NEW</v>
      </c>
      <c r="E552" s="4">
        <f>INDEX(FPL_Raw_Data!$F:$F,MATCH(A552,FPL_Raw_Data!$AA:$AA,0))/10</f>
        <v>5</v>
      </c>
      <c r="F552" s="4" t="str">
        <f>tblPlayers[[#This Row],[status]]</f>
        <v>a</v>
      </c>
      <c r="G552" s="4" t="b">
        <f>tblPlayers[[#This Row],[can_select]]</f>
        <v>1</v>
      </c>
      <c r="H552">
        <f>IF(AND(Table8[[#This Row],[Availability Status]]="a",Table8[[#This Row],[Can Select]]=TRUE),1,0)</f>
        <v>1</v>
      </c>
      <c r="I552">
        <f>tblPlayers[minutes]</f>
        <v>270</v>
      </c>
      <c r="J552" s="2">
        <f>Table8[[#This Row],[Minutes]]/90</f>
        <v>3</v>
      </c>
      <c r="K552" s="5">
        <f>IFERROR(Z552/(FIXTURE_ANALYSIS!$B$1-1),0)</f>
        <v>1</v>
      </c>
      <c r="L552">
        <f>tblPlayers[total_points]</f>
        <v>10</v>
      </c>
      <c r="M552">
        <f>tblPlayers[points_per_game]</f>
        <v>3.3</v>
      </c>
      <c r="N552">
        <f>tblPlayers[form]</f>
        <v>3.3</v>
      </c>
      <c r="O552">
        <f>tblPlayers[expected_goals]</f>
        <v>0</v>
      </c>
      <c r="P552">
        <f>tblPlayers[expected_assists]</f>
        <v>0</v>
      </c>
      <c r="Q552">
        <f>tblPlayers[expected_goal_involvements]</f>
        <v>0</v>
      </c>
      <c r="R552" s="2">
        <f t="shared" si="200"/>
        <v>3.333333333333333</v>
      </c>
      <c r="S552" s="5">
        <f t="shared" si="201"/>
        <v>0</v>
      </c>
      <c r="T552" s="5">
        <f t="shared" si="202"/>
        <v>0</v>
      </c>
      <c r="U552" s="5">
        <f t="shared" si="203"/>
        <v>0</v>
      </c>
      <c r="V552" s="3">
        <f t="shared" si="204"/>
        <v>2</v>
      </c>
      <c r="W552" s="5">
        <f t="shared" si="205"/>
        <v>0</v>
      </c>
      <c r="X552" s="5">
        <f>IFERROR(IF(OR($B552="MID",$B552="FWD"),INDEX(FIXTURE_ANALYSIS!$Q:$Q,MATCH($D552,FIXTURE_ANALYSIS!$A:$A,0)),INDEX(FIXTURE_ANALYSIS!$R:$R,MATCH($D552,FIXTURE_ANALYSIS!$A:$A,0))),1)</f>
        <v>1.1861524334251605</v>
      </c>
      <c r="Y552" s="5">
        <f t="shared" si="206"/>
        <v>1.1861524334251605</v>
      </c>
      <c r="Z552" s="8">
        <f>INDEX(FPL_Raw_Data!$T:$T,MATCH(A552,FPL_Raw_Data!$AA:$AA,0))</f>
        <v>3</v>
      </c>
      <c r="AA552" s="8">
        <f>INDEX(FPL_Raw_Data!$S:$S,MATCH(A552,FPL_Raw_Data!$AA:$AA,0))</f>
        <v>0</v>
      </c>
      <c r="AB552" s="2">
        <f t="shared" si="207"/>
        <v>0</v>
      </c>
      <c r="AC552" s="2">
        <f>INDEX(FPL_Raw_Data!$Q:$Q,MATCH(A552,FPL_Raw_Data!$AA:$AA,0))</f>
        <v>0</v>
      </c>
      <c r="AD552" s="8">
        <f>INDEX(FPL_Raw_Data!$R:$R,MATCH(A552,FPL_Raw_Data!$AA:$AA,0))</f>
        <v>56</v>
      </c>
      <c r="AE552" s="8">
        <f>INDEX(FPL_Raw_Data!$N:$N,MATCH(A552,FPL_Raw_Data!$AA:$AA,0))</f>
        <v>1</v>
      </c>
      <c r="AF552" s="8">
        <f>INDEX(FPL_Raw_Data!$L:$L,MATCH(A552,FPL_Raw_Data!$AA:$AA,0))</f>
        <v>0</v>
      </c>
      <c r="AG552" s="2">
        <f>INDEX(FPL_Raw_Data!$M:$M,MATCH(A552,FPL_Raw_Data!$AA:$AA,0))</f>
        <v>0</v>
      </c>
      <c r="AH552" s="2">
        <f t="shared" si="208"/>
        <v>0</v>
      </c>
      <c r="AI552" s="2">
        <f t="shared" si="209"/>
        <v>0</v>
      </c>
      <c r="AJ552" s="2">
        <f t="shared" si="210"/>
        <v>2</v>
      </c>
      <c r="AK552" s="2">
        <f t="shared" si="211"/>
        <v>0</v>
      </c>
      <c r="AL552" s="2">
        <f t="shared" si="212"/>
        <v>0.33333333333333331</v>
      </c>
      <c r="AM552" s="2">
        <f t="shared" si="213"/>
        <v>1.3333333333333333</v>
      </c>
      <c r="AN552" s="2">
        <f t="shared" si="214"/>
        <v>0</v>
      </c>
      <c r="AO552" s="3">
        <f t="shared" si="215"/>
        <v>62.2</v>
      </c>
      <c r="AP552">
        <f t="shared" si="216"/>
        <v>0</v>
      </c>
      <c r="AQ552">
        <f t="shared" si="217"/>
        <v>85.5</v>
      </c>
      <c r="AR552">
        <f t="shared" si="218"/>
        <v>0</v>
      </c>
      <c r="AS552" s="2">
        <f t="shared" si="219"/>
        <v>100</v>
      </c>
      <c r="AT552" s="2">
        <f>IFERROR(INDEX(Player_Model!$BC$2:$BC$596,MATCH($A552,Player_Model!$A$2:$A$596,0)),0)</f>
        <v>5.6671727374757666</v>
      </c>
      <c r="AU552" s="2">
        <f>Table8[[#This Row],[Model Expected Points]]*Table8[[#This Row],[Fixture Adjustment]]</f>
        <v>6.7221307331976092</v>
      </c>
      <c r="AV552" s="2">
        <f>Table8[[#This Row],[Fixture Adjusted Points / 90]]/Table8[[#This Row],[Price]]</f>
        <v>1.3444261466395218</v>
      </c>
      <c r="AW552">
        <f t="shared" si="220"/>
        <v>0</v>
      </c>
      <c r="AX552">
        <f t="shared" si="221"/>
        <v>50.593076216712582</v>
      </c>
      <c r="AY552" s="2">
        <f t="shared" si="222"/>
        <v>100</v>
      </c>
      <c r="AZ552" s="5">
        <f t="shared" si="223"/>
        <v>1.1861524334251605</v>
      </c>
      <c r="BA552">
        <f>Table8[[#This Row],[Model Score2]]</f>
        <v>5.6671727374757666</v>
      </c>
      <c r="BB552">
        <f>IFERROR(INDEX(Player_Model!$BG$2:$BG$596,MATCH($A552,Player_Model!$A$2:$A$596,0)),"")</f>
        <v>3</v>
      </c>
      <c r="BC552" t="str">
        <f t="shared" si="224"/>
        <v>STRONG PICK</v>
      </c>
      <c r="BD552">
        <f>IF(H552=1,Table8[[#This Row],[Model Score]],-10000)</f>
        <v>5.6671727374757666</v>
      </c>
      <c r="BE552">
        <f>IFERROR(INDEX(Player_Model!$BF$2:$BF$596,MATCH($A552,Player_Model!$A$2:$A$596,0)),"")</f>
        <v>57</v>
      </c>
      <c r="BF552">
        <f>IFERROR(INDEX(Player_Model!$BG$2:$BG$596,MATCH($A552,Player_Model!$A$2:$A$596,0)),"")</f>
        <v>3</v>
      </c>
      <c r="BG552">
        <f>IFERROR(INDEX(Player_Model!$BE$2:$BE$596,MATCH($A552,Player_Model!$A$2:$A$596,0)),0)</f>
        <v>5.6671727374757666</v>
      </c>
    </row>
    <row r="553" spans="1:59" x14ac:dyDescent="0.25">
      <c r="A553" t="str">
        <f>tblPlayers[first_name]&amp;" "&amp;tblPlayers[second_name]</f>
        <v>Amar Dedic</v>
      </c>
      <c r="B553" t="str">
        <f>_xlfn.SWITCH(tblPlayers[element_type],1,"GK",2,"DEF",3,"MID",4,"FWD")</f>
        <v>DEF</v>
      </c>
      <c r="C553">
        <f>tblPlayers[team]</f>
        <v>17</v>
      </c>
      <c r="D553" t="str">
        <f>INDEX(tblTeams[Column1.short_name],MATCH(C553,tblTeams[Column1.id],0))</f>
        <v>NEW</v>
      </c>
      <c r="E553" s="4">
        <f>INDEX(FPL_Raw_Data!$F:$F,MATCH(A553,FPL_Raw_Data!$AA:$AA,0))/10</f>
        <v>4.5</v>
      </c>
      <c r="F553" s="4" t="str">
        <f>tblPlayers[[#This Row],[status]]</f>
        <v>a</v>
      </c>
      <c r="G553" s="4" t="b">
        <f>tblPlayers[[#This Row],[can_select]]</f>
        <v>1</v>
      </c>
      <c r="H553">
        <f>IF(AND(Table8[[#This Row],[Availability Status]]="a",Table8[[#This Row],[Can Select]]=TRUE),1,0)</f>
        <v>1</v>
      </c>
      <c r="I553">
        <f>tblPlayers[minutes]</f>
        <v>270</v>
      </c>
      <c r="J553" s="2">
        <f>Table8[[#This Row],[Minutes]]/90</f>
        <v>3</v>
      </c>
      <c r="K553" s="5">
        <f>IFERROR(Z553/(FIXTURE_ANALYSIS!$B$1-1),0)</f>
        <v>1</v>
      </c>
      <c r="L553">
        <f>tblPlayers[total_points]</f>
        <v>13</v>
      </c>
      <c r="M553">
        <f>tblPlayers[points_per_game]</f>
        <v>4.3</v>
      </c>
      <c r="N553">
        <f>tblPlayers[form]</f>
        <v>4.3</v>
      </c>
      <c r="O553">
        <f>tblPlayers[expected_goals]</f>
        <v>0.14000000000000001</v>
      </c>
      <c r="P553">
        <f>tblPlayers[expected_assists]</f>
        <v>0.08</v>
      </c>
      <c r="Q553">
        <f>tblPlayers[expected_goal_involvements]</f>
        <v>0.22</v>
      </c>
      <c r="R553" s="2">
        <f t="shared" si="200"/>
        <v>4.333333333333333</v>
      </c>
      <c r="S553" s="5">
        <f t="shared" si="201"/>
        <v>4.6666666666666669E-2</v>
      </c>
      <c r="T553" s="5">
        <f t="shared" si="202"/>
        <v>2.6666666666666665E-2</v>
      </c>
      <c r="U553" s="5">
        <f t="shared" si="203"/>
        <v>7.3333333333333334E-2</v>
      </c>
      <c r="V553" s="3">
        <f t="shared" si="204"/>
        <v>2.8888888888888888</v>
      </c>
      <c r="W553" s="5">
        <f t="shared" si="205"/>
        <v>4.8888888888888891E-2</v>
      </c>
      <c r="X553" s="5">
        <f>IFERROR(IF(OR($B553="MID",$B553="FWD"),INDEX(FIXTURE_ANALYSIS!$Q:$Q,MATCH($D553,FIXTURE_ANALYSIS!$A:$A,0)),INDEX(FIXTURE_ANALYSIS!$R:$R,MATCH($D553,FIXTURE_ANALYSIS!$A:$A,0))),1)</f>
        <v>1.1861524334251605</v>
      </c>
      <c r="Y553" s="5">
        <f t="shared" si="206"/>
        <v>1.1861524334251605</v>
      </c>
      <c r="Z553" s="8">
        <f>INDEX(FPL_Raw_Data!$T:$T,MATCH(A553,FPL_Raw_Data!$AA:$AA,0))</f>
        <v>3</v>
      </c>
      <c r="AA553" s="8">
        <f>INDEX(FPL_Raw_Data!$S:$S,MATCH(A553,FPL_Raw_Data!$AA:$AA,0))</f>
        <v>18</v>
      </c>
      <c r="AB553" s="2">
        <f t="shared" si="207"/>
        <v>1</v>
      </c>
      <c r="AC553" s="2">
        <f>INDEX(FPL_Raw_Data!$Q:$Q,MATCH(A553,FPL_Raw_Data!$AA:$AA,0))</f>
        <v>2</v>
      </c>
      <c r="AD553" s="8">
        <f>INDEX(FPL_Raw_Data!$R:$R,MATCH(A553,FPL_Raw_Data!$AA:$AA,0))</f>
        <v>39</v>
      </c>
      <c r="AE553" s="8">
        <f>INDEX(FPL_Raw_Data!$N:$N,MATCH(A553,FPL_Raw_Data!$AA:$AA,0))</f>
        <v>1</v>
      </c>
      <c r="AF553" s="8">
        <f>INDEX(FPL_Raw_Data!$L:$L,MATCH(A553,FPL_Raw_Data!$AA:$AA,0))</f>
        <v>0</v>
      </c>
      <c r="AG553" s="2">
        <f>INDEX(FPL_Raw_Data!$M:$M,MATCH(A553,FPL_Raw_Data!$AA:$AA,0))</f>
        <v>1</v>
      </c>
      <c r="AH553" s="2">
        <f t="shared" si="208"/>
        <v>0.28000000000000003</v>
      </c>
      <c r="AI553" s="2">
        <f t="shared" si="209"/>
        <v>7.9999999999999988E-2</v>
      </c>
      <c r="AJ553" s="2">
        <f t="shared" si="210"/>
        <v>2</v>
      </c>
      <c r="AK553" s="2">
        <f t="shared" si="211"/>
        <v>2</v>
      </c>
      <c r="AL553" s="2">
        <f t="shared" si="212"/>
        <v>0.33333333333333331</v>
      </c>
      <c r="AM553" s="2">
        <f t="shared" si="213"/>
        <v>1.3333333333333333</v>
      </c>
      <c r="AN553" s="2">
        <f t="shared" si="214"/>
        <v>0.66666666666666663</v>
      </c>
      <c r="AO553" s="3">
        <f t="shared" si="215"/>
        <v>71.3</v>
      </c>
      <c r="AP553">
        <f t="shared" si="216"/>
        <v>65.400000000000006</v>
      </c>
      <c r="AQ553">
        <f t="shared" si="217"/>
        <v>94.1</v>
      </c>
      <c r="AR553">
        <f t="shared" si="218"/>
        <v>75.400000000000006</v>
      </c>
      <c r="AS553" s="2">
        <f t="shared" si="219"/>
        <v>100</v>
      </c>
      <c r="AT553" s="2">
        <f>IFERROR(INDEX(Player_Model!$BC$2:$BC$596,MATCH($A553,Player_Model!$A$2:$A$596,0)),0)</f>
        <v>5.0134709519436784</v>
      </c>
      <c r="AU553" s="2">
        <f>Table8[[#This Row],[Model Expected Points]]*Table8[[#This Row],[Fixture Adjustment]]</f>
        <v>5.9467407695543502</v>
      </c>
      <c r="AV553" s="2">
        <f>Table8[[#This Row],[Fixture Adjusted Points / 90]]/Table8[[#This Row],[Price]]</f>
        <v>1.3214979487898555</v>
      </c>
      <c r="AW553">
        <f t="shared" si="220"/>
        <v>65.400000000000006</v>
      </c>
      <c r="AX553">
        <f t="shared" si="221"/>
        <v>1.0930762167125803</v>
      </c>
      <c r="AY553" s="2">
        <f t="shared" si="222"/>
        <v>100</v>
      </c>
      <c r="AZ553" s="5">
        <f t="shared" si="223"/>
        <v>1.1861524334251605</v>
      </c>
      <c r="BA553">
        <f>Table8[[#This Row],[Model Score2]]</f>
        <v>5.0134709519436784</v>
      </c>
      <c r="BB553">
        <f>IFERROR(INDEX(Player_Model!$BG$2:$BG$596,MATCH($A553,Player_Model!$A$2:$A$596,0)),"")</f>
        <v>35</v>
      </c>
      <c r="BC553" t="str">
        <f t="shared" si="224"/>
        <v>AVOID</v>
      </c>
      <c r="BD553">
        <f>IF(H553=1,Table8[[#This Row],[Model Score]],-10000)</f>
        <v>5.0134709519436784</v>
      </c>
      <c r="BE553">
        <f>IFERROR(INDEX(Player_Model!$BF$2:$BF$596,MATCH($A553,Player_Model!$A$2:$A$596,0)),"")</f>
        <v>91</v>
      </c>
      <c r="BF553">
        <f>IFERROR(INDEX(Player_Model!$BG$2:$BG$596,MATCH($A553,Player_Model!$A$2:$A$596,0)),"")</f>
        <v>35</v>
      </c>
      <c r="BG553">
        <f>IFERROR(INDEX(Player_Model!$BE$2:$BE$596,MATCH($A553,Player_Model!$A$2:$A$596,0)),0)</f>
        <v>5.0134709519436784</v>
      </c>
    </row>
    <row r="554" spans="1:59" x14ac:dyDescent="0.25">
      <c r="A554" t="str">
        <f>tblPlayers[first_name]&amp;" "&amp;tblPlayers[second_name]</f>
        <v>Leo Shahar</v>
      </c>
      <c r="B554" t="str">
        <f>_xlfn.SWITCH(tblPlayers[element_type],1,"GK",2,"DEF",3,"MID",4,"FWD")</f>
        <v>DEF</v>
      </c>
      <c r="C554">
        <f>tblPlayers[team]</f>
        <v>17</v>
      </c>
      <c r="D554" t="str">
        <f>INDEX(tblTeams[Column1.short_name],MATCH(C554,tblTeams[Column1.id],0))</f>
        <v>NEW</v>
      </c>
      <c r="E554" s="4">
        <f>INDEX(FPL_Raw_Data!$F:$F,MATCH(A554,FPL_Raw_Data!$AA:$AA,0))/10</f>
        <v>4</v>
      </c>
      <c r="F554" s="4" t="str">
        <f>tblPlayers[[#This Row],[status]]</f>
        <v>a</v>
      </c>
      <c r="G554" s="4" t="b">
        <f>tblPlayers[[#This Row],[can_select]]</f>
        <v>1</v>
      </c>
      <c r="H554">
        <f>IF(AND(Table8[[#This Row],[Availability Status]]="a",Table8[[#This Row],[Can Select]]=TRUE),1,0)</f>
        <v>1</v>
      </c>
      <c r="I554">
        <f>tblPlayers[minutes]</f>
        <v>0</v>
      </c>
      <c r="J554" s="2">
        <f>Table8[[#This Row],[Minutes]]/90</f>
        <v>0</v>
      </c>
      <c r="K554" s="5">
        <f>IFERROR(Z554/(FIXTURE_ANALYSIS!$B$1-1),0)</f>
        <v>0</v>
      </c>
      <c r="L554">
        <f>tblPlayers[total_points]</f>
        <v>0</v>
      </c>
      <c r="M554">
        <f>tblPlayers[points_per_game]</f>
        <v>0</v>
      </c>
      <c r="N554">
        <f>tblPlayers[form]</f>
        <v>0</v>
      </c>
      <c r="O554">
        <f>tblPlayers[expected_goals]</f>
        <v>0</v>
      </c>
      <c r="P554">
        <f>tblPlayers[expected_assists]</f>
        <v>0</v>
      </c>
      <c r="Q554">
        <f>tblPlayers[expected_goal_involvements]</f>
        <v>0</v>
      </c>
      <c r="R554" s="2">
        <f t="shared" si="200"/>
        <v>0</v>
      </c>
      <c r="S554" s="5">
        <f t="shared" si="201"/>
        <v>0</v>
      </c>
      <c r="T554" s="5">
        <f t="shared" si="202"/>
        <v>0</v>
      </c>
      <c r="U554" s="5">
        <f t="shared" si="203"/>
        <v>0</v>
      </c>
      <c r="V554" s="3">
        <f t="shared" si="204"/>
        <v>0</v>
      </c>
      <c r="W554" s="5">
        <f t="shared" si="205"/>
        <v>0</v>
      </c>
      <c r="X554" s="5">
        <f>IFERROR(IF(OR($B554="MID",$B554="FWD"),INDEX(FIXTURE_ANALYSIS!$Q:$Q,MATCH($D554,FIXTURE_ANALYSIS!$A:$A,0)),INDEX(FIXTURE_ANALYSIS!$R:$R,MATCH($D554,FIXTURE_ANALYSIS!$A:$A,0))),1)</f>
        <v>1.1861524334251605</v>
      </c>
      <c r="Y554" s="5">
        <f t="shared" si="206"/>
        <v>1.1861524334251605</v>
      </c>
      <c r="Z554" s="8">
        <f>INDEX(FPL_Raw_Data!$T:$T,MATCH(A554,FPL_Raw_Data!$AA:$AA,0))</f>
        <v>0</v>
      </c>
      <c r="AA554" s="8">
        <f>INDEX(FPL_Raw_Data!$S:$S,MATCH(A554,FPL_Raw_Data!$AA:$AA,0))</f>
        <v>0</v>
      </c>
      <c r="AB554" s="2">
        <f t="shared" si="207"/>
        <v>0</v>
      </c>
      <c r="AC554" s="2">
        <f>INDEX(FPL_Raw_Data!$Q:$Q,MATCH(A554,FPL_Raw_Data!$AA:$AA,0))</f>
        <v>0</v>
      </c>
      <c r="AD554" s="8">
        <f>INDEX(FPL_Raw_Data!$R:$R,MATCH(A554,FPL_Raw_Data!$AA:$AA,0))</f>
        <v>0</v>
      </c>
      <c r="AE554" s="8">
        <f>INDEX(FPL_Raw_Data!$N:$N,MATCH(A554,FPL_Raw_Data!$AA:$AA,0))</f>
        <v>0</v>
      </c>
      <c r="AF554" s="8">
        <f>INDEX(FPL_Raw_Data!$L:$L,MATCH(A554,FPL_Raw_Data!$AA:$AA,0))</f>
        <v>0</v>
      </c>
      <c r="AG554" s="2">
        <f>INDEX(FPL_Raw_Data!$M:$M,MATCH(A554,FPL_Raw_Data!$AA:$AA,0))</f>
        <v>0</v>
      </c>
      <c r="AH554" s="2">
        <f t="shared" si="208"/>
        <v>0</v>
      </c>
      <c r="AI554" s="2">
        <f t="shared" si="209"/>
        <v>0</v>
      </c>
      <c r="AJ554" s="2">
        <f t="shared" si="210"/>
        <v>0</v>
      </c>
      <c r="AK554" s="2">
        <f t="shared" si="211"/>
        <v>0</v>
      </c>
      <c r="AL554" s="2">
        <f t="shared" si="212"/>
        <v>0</v>
      </c>
      <c r="AM554" s="2">
        <f t="shared" si="213"/>
        <v>0</v>
      </c>
      <c r="AN554" s="2">
        <f t="shared" si="214"/>
        <v>0</v>
      </c>
      <c r="AO554" s="3">
        <f t="shared" si="215"/>
        <v>0.1</v>
      </c>
      <c r="AP554">
        <f t="shared" si="216"/>
        <v>0</v>
      </c>
      <c r="AQ554">
        <f t="shared" si="217"/>
        <v>0.1</v>
      </c>
      <c r="AR554">
        <f t="shared" si="218"/>
        <v>0</v>
      </c>
      <c r="AS554" s="2">
        <f t="shared" si="219"/>
        <v>0</v>
      </c>
      <c r="AT554" s="2">
        <f>IFERROR(INDEX(Player_Model!$BC$2:$BC$596,MATCH($A554,Player_Model!$A$2:$A$596,0)),0)</f>
        <v>-0.79076828895010698</v>
      </c>
      <c r="AU554" s="2">
        <f>Table8[[#This Row],[Model Expected Points]]*Table8[[#This Row],[Fixture Adjustment]]</f>
        <v>-0.9379717302136199</v>
      </c>
      <c r="AV554" s="2">
        <f>Table8[[#This Row],[Fixture Adjusted Points / 90]]/Table8[[#This Row],[Price]]</f>
        <v>-0.23449293255340498</v>
      </c>
      <c r="AW554">
        <f t="shared" si="220"/>
        <v>0</v>
      </c>
      <c r="AX554">
        <f t="shared" si="221"/>
        <v>0.59307621671258026</v>
      </c>
      <c r="AY554" s="2">
        <f t="shared" si="222"/>
        <v>0</v>
      </c>
      <c r="AZ554" s="5">
        <f t="shared" si="223"/>
        <v>1.1861524334251605</v>
      </c>
      <c r="BA554">
        <f>Table8[[#This Row],[Model Score2]]</f>
        <v>-0.79076828895010698</v>
      </c>
      <c r="BB554">
        <f>IFERROR(INDEX(Player_Model!$BG$2:$BG$596,MATCH($A554,Player_Model!$A$2:$A$596,0)),"")</f>
        <v>149</v>
      </c>
      <c r="BC554" t="str">
        <f t="shared" si="224"/>
        <v>AVOID</v>
      </c>
      <c r="BD554">
        <f>IF(H554=1,Table8[[#This Row],[Model Score]],-10000)</f>
        <v>-0.79076828895010698</v>
      </c>
      <c r="BE554">
        <f>IFERROR(INDEX(Player_Model!$BF$2:$BF$596,MATCH($A554,Player_Model!$A$2:$A$596,0)),"")</f>
        <v>548</v>
      </c>
      <c r="BF554">
        <f>IFERROR(INDEX(Player_Model!$BG$2:$BG$596,MATCH($A554,Player_Model!$A$2:$A$596,0)),"")</f>
        <v>149</v>
      </c>
      <c r="BG554">
        <f>IFERROR(INDEX(Player_Model!$BE$2:$BE$596,MATCH($A554,Player_Model!$A$2:$A$596,0)),0)</f>
        <v>-0.79076828895010698</v>
      </c>
    </row>
    <row r="555" spans="1:59" x14ac:dyDescent="0.25">
      <c r="A555" t="str">
        <f>tblPlayers[first_name]&amp;" "&amp;tblPlayers[second_name]</f>
        <v>Matias Fernandez-Pardo</v>
      </c>
      <c r="B555" t="str">
        <f>_xlfn.SWITCH(tblPlayers[element_type],1,"GK",2,"DEF",3,"MID",4,"FWD")</f>
        <v>FWD</v>
      </c>
      <c r="C555">
        <f>tblPlayers[team]</f>
        <v>17</v>
      </c>
      <c r="D555" t="str">
        <f>INDEX(tblTeams[Column1.short_name],MATCH(C555,tblTeams[Column1.id],0))</f>
        <v>NEW</v>
      </c>
      <c r="E555" s="4">
        <f>INDEX(FPL_Raw_Data!$F:$F,MATCH(A555,FPL_Raw_Data!$AA:$AA,0))/10</f>
        <v>6</v>
      </c>
      <c r="F555" s="4" t="str">
        <f>tblPlayers[[#This Row],[status]]</f>
        <v>a</v>
      </c>
      <c r="G555" s="4" t="b">
        <f>tblPlayers[[#This Row],[can_select]]</f>
        <v>1</v>
      </c>
      <c r="H555">
        <f>IF(AND(Table8[[#This Row],[Availability Status]]="a",Table8[[#This Row],[Can Select]]=TRUE),1,0)</f>
        <v>1</v>
      </c>
      <c r="I555">
        <f>tblPlayers[minutes]</f>
        <v>27</v>
      </c>
      <c r="J555" s="2">
        <f>Table8[[#This Row],[Minutes]]/90</f>
        <v>0.3</v>
      </c>
      <c r="K555" s="5">
        <f>IFERROR(Z555/(FIXTURE_ANALYSIS!$B$1-1),0)</f>
        <v>0</v>
      </c>
      <c r="L555">
        <f>tblPlayers[total_points]</f>
        <v>1</v>
      </c>
      <c r="M555">
        <f>tblPlayers[points_per_game]</f>
        <v>1</v>
      </c>
      <c r="N555">
        <f>tblPlayers[form]</f>
        <v>1</v>
      </c>
      <c r="O555">
        <f>tblPlayers[expected_goals]</f>
        <v>0</v>
      </c>
      <c r="P555">
        <f>tblPlayers[expected_assists]</f>
        <v>0</v>
      </c>
      <c r="Q555">
        <f>tblPlayers[expected_goal_involvements]</f>
        <v>0</v>
      </c>
      <c r="R555" s="2">
        <f t="shared" si="200"/>
        <v>3.333333333333333</v>
      </c>
      <c r="S555" s="5">
        <f t="shared" si="201"/>
        <v>0</v>
      </c>
      <c r="T555" s="5">
        <f t="shared" si="202"/>
        <v>0</v>
      </c>
      <c r="U555" s="5">
        <f t="shared" si="203"/>
        <v>0</v>
      </c>
      <c r="V555" s="3">
        <f t="shared" si="204"/>
        <v>0.16666666666666666</v>
      </c>
      <c r="W555" s="5">
        <f t="shared" si="205"/>
        <v>0</v>
      </c>
      <c r="X555" s="5">
        <f>IFERROR(IF(OR($B555="MID",$B555="FWD"),INDEX(FIXTURE_ANALYSIS!$Q:$Q,MATCH($D555,FIXTURE_ANALYSIS!$A:$A,0)),INDEX(FIXTURE_ANALYSIS!$R:$R,MATCH($D555,FIXTURE_ANALYSIS!$A:$A,0))),1)</f>
        <v>1.0060034602076122</v>
      </c>
      <c r="Y555" s="5">
        <f t="shared" si="206"/>
        <v>1.0060034602076122</v>
      </c>
      <c r="Z555" s="8">
        <f>INDEX(FPL_Raw_Data!$T:$T,MATCH(A555,FPL_Raw_Data!$AA:$AA,0))</f>
        <v>0</v>
      </c>
      <c r="AA555" s="8">
        <f>INDEX(FPL_Raw_Data!$S:$S,MATCH(A555,FPL_Raw_Data!$AA:$AA,0))</f>
        <v>1</v>
      </c>
      <c r="AB555" s="2">
        <f t="shared" si="207"/>
        <v>8.3333333333333329E-2</v>
      </c>
      <c r="AC555" s="2">
        <f>INDEX(FPL_Raw_Data!$Q:$Q,MATCH(A555,FPL_Raw_Data!$AA:$AA,0))</f>
        <v>0</v>
      </c>
      <c r="AD555" s="8">
        <f>INDEX(FPL_Raw_Data!$R:$R,MATCH(A555,FPL_Raw_Data!$AA:$AA,0))</f>
        <v>4</v>
      </c>
      <c r="AE555" s="8">
        <f>INDEX(FPL_Raw_Data!$N:$N,MATCH(A555,FPL_Raw_Data!$AA:$AA,0))</f>
        <v>0</v>
      </c>
      <c r="AF555" s="8">
        <f>INDEX(FPL_Raw_Data!$L:$L,MATCH(A555,FPL_Raw_Data!$AA:$AA,0))</f>
        <v>0</v>
      </c>
      <c r="AG555" s="2">
        <f>INDEX(FPL_Raw_Data!$M:$M,MATCH(A555,FPL_Raw_Data!$AA:$AA,0))</f>
        <v>0</v>
      </c>
      <c r="AH555" s="2">
        <f t="shared" si="208"/>
        <v>0</v>
      </c>
      <c r="AI555" s="2">
        <f t="shared" si="209"/>
        <v>0</v>
      </c>
      <c r="AJ555" s="2">
        <f t="shared" si="210"/>
        <v>0</v>
      </c>
      <c r="AK555" s="2">
        <f t="shared" si="211"/>
        <v>0.16666666666666666</v>
      </c>
      <c r="AL555" s="2">
        <f t="shared" si="212"/>
        <v>0</v>
      </c>
      <c r="AM555" s="2">
        <f t="shared" si="213"/>
        <v>0</v>
      </c>
      <c r="AN555" s="2">
        <f t="shared" si="214"/>
        <v>0</v>
      </c>
      <c r="AO555" s="3">
        <f t="shared" si="215"/>
        <v>62.2</v>
      </c>
      <c r="AP555">
        <f t="shared" si="216"/>
        <v>0</v>
      </c>
      <c r="AQ555">
        <f t="shared" si="217"/>
        <v>41.5</v>
      </c>
      <c r="AR555">
        <f t="shared" si="218"/>
        <v>0</v>
      </c>
      <c r="AS555" s="2">
        <f t="shared" si="219"/>
        <v>0</v>
      </c>
      <c r="AT555" s="2">
        <f>IFERROR(INDEX(Player_Model!$BC$2:$BC$596,MATCH($A555,Player_Model!$A$2:$A$596,0)),0)</f>
        <v>0</v>
      </c>
      <c r="AU555" s="2">
        <f>Table8[[#This Row],[Model Expected Points]]*Table8[[#This Row],[Fixture Adjustment]]</f>
        <v>0</v>
      </c>
      <c r="AV555" s="2">
        <f>Table8[[#This Row],[Fixture Adjusted Points / 90]]/Table8[[#This Row],[Price]]</f>
        <v>0</v>
      </c>
      <c r="AW555">
        <f t="shared" si="220"/>
        <v>31.1</v>
      </c>
      <c r="AX555">
        <f t="shared" si="221"/>
        <v>0</v>
      </c>
      <c r="AY555" s="2">
        <f t="shared" si="222"/>
        <v>0</v>
      </c>
      <c r="AZ555" s="5">
        <f t="shared" si="223"/>
        <v>1.0060034602076122</v>
      </c>
      <c r="BA555">
        <f>Table8[[#This Row],[Model Score2]]</f>
        <v>0</v>
      </c>
      <c r="BB555">
        <f>IFERROR(INDEX(Player_Model!$BG$2:$BG$596,MATCH($A555,Player_Model!$A$2:$A$596,0)),"")</f>
        <v>70</v>
      </c>
      <c r="BC555" t="str">
        <f t="shared" si="224"/>
        <v>AVOID</v>
      </c>
      <c r="BD555">
        <f>IF(H555=1,Table8[[#This Row],[Model Score]],-10000)</f>
        <v>0</v>
      </c>
      <c r="BE555">
        <f>IFERROR(INDEX(Player_Model!$BF$2:$BF$596,MATCH($A555,Player_Model!$A$2:$A$596,0)),"")</f>
        <v>253</v>
      </c>
      <c r="BF555">
        <f>IFERROR(INDEX(Player_Model!$BG$2:$BG$596,MATCH($A555,Player_Model!$A$2:$A$596,0)),"")</f>
        <v>70</v>
      </c>
      <c r="BG555">
        <f>IFERROR(INDEX(Player_Model!$BE$2:$BE$596,MATCH($A555,Player_Model!$A$2:$A$596,0)),0)</f>
        <v>0</v>
      </c>
    </row>
    <row r="556" spans="1:59" x14ac:dyDescent="0.25">
      <c r="A556" t="str">
        <f>tblPlayers[first_name]&amp;" "&amp;tblPlayers[second_name]</f>
        <v>Liam Delap</v>
      </c>
      <c r="B556" t="str">
        <f>_xlfn.SWITCH(tblPlayers[element_type],1,"GK",2,"DEF",3,"MID",4,"FWD")</f>
        <v>FWD</v>
      </c>
      <c r="C556">
        <f>tblPlayers[team]</f>
        <v>18</v>
      </c>
      <c r="D556" t="str">
        <f>INDEX(tblTeams[Column1.short_name],MATCH(C556,tblTeams[Column1.id],0))</f>
        <v>NFO</v>
      </c>
      <c r="E556" s="4">
        <f>INDEX(FPL_Raw_Data!$F:$F,MATCH(A556,FPL_Raw_Data!$AA:$AA,0))/10</f>
        <v>5.5</v>
      </c>
      <c r="F556" s="4" t="str">
        <f>tblPlayers[[#This Row],[status]]</f>
        <v>a</v>
      </c>
      <c r="G556" s="4" t="b">
        <f>tblPlayers[[#This Row],[can_select]]</f>
        <v>1</v>
      </c>
      <c r="H556">
        <f>IF(AND(Table8[[#This Row],[Availability Status]]="a",Table8[[#This Row],[Can Select]]=TRUE),1,0)</f>
        <v>1</v>
      </c>
      <c r="I556">
        <f>tblPlayers[minutes]</f>
        <v>97</v>
      </c>
      <c r="J556" s="2">
        <f>Table8[[#This Row],[Minutes]]/90</f>
        <v>1.0777777777777777</v>
      </c>
      <c r="K556" s="5">
        <f>IFERROR(Z556/(FIXTURE_ANALYSIS!$B$1-1),0)</f>
        <v>0.33333333333333331</v>
      </c>
      <c r="L556">
        <f>tblPlayers[total_points]</f>
        <v>3</v>
      </c>
      <c r="M556">
        <f>tblPlayers[points_per_game]</f>
        <v>1.5</v>
      </c>
      <c r="N556">
        <f>tblPlayers[form]</f>
        <v>1</v>
      </c>
      <c r="O556">
        <f>tblPlayers[expected_goals]</f>
        <v>0.13</v>
      </c>
      <c r="P556">
        <f>tblPlayers[expected_assists]</f>
        <v>0.06</v>
      </c>
      <c r="Q556">
        <f>tblPlayers[expected_goal_involvements]</f>
        <v>0.19</v>
      </c>
      <c r="R556" s="2">
        <f t="shared" si="200"/>
        <v>2.7835051546391751</v>
      </c>
      <c r="S556" s="5">
        <f t="shared" si="201"/>
        <v>0.12061855670103093</v>
      </c>
      <c r="T556" s="5">
        <f t="shared" si="202"/>
        <v>5.5670103092783502E-2</v>
      </c>
      <c r="U556" s="5">
        <f t="shared" si="203"/>
        <v>0.17628865979381442</v>
      </c>
      <c r="V556" s="3">
        <f t="shared" si="204"/>
        <v>0.54545454545454541</v>
      </c>
      <c r="W556" s="5">
        <f t="shared" si="205"/>
        <v>3.4545454545454546E-2</v>
      </c>
      <c r="X556" s="5">
        <f>IFERROR(IF(OR($B556="MID",$B556="FWD"),INDEX(FIXTURE_ANALYSIS!$Q:$Q,MATCH($D556,FIXTURE_ANALYSIS!$A:$A,0)),INDEX(FIXTURE_ANALYSIS!$R:$R,MATCH($D556,FIXTURE_ANALYSIS!$A:$A,0))),1)</f>
        <v>0.87800173010380622</v>
      </c>
      <c r="Y556" s="5">
        <f t="shared" si="206"/>
        <v>0.87800173010380622</v>
      </c>
      <c r="Z556" s="8">
        <f>INDEX(FPL_Raw_Data!$T:$T,MATCH(A556,FPL_Raw_Data!$AA:$AA,0))</f>
        <v>1</v>
      </c>
      <c r="AA556" s="8">
        <f>INDEX(FPL_Raw_Data!$S:$S,MATCH(A556,FPL_Raw_Data!$AA:$AA,0))</f>
        <v>5</v>
      </c>
      <c r="AB556" s="2">
        <f t="shared" si="207"/>
        <v>0.41666666666666669</v>
      </c>
      <c r="AC556" s="2">
        <f>INDEX(FPL_Raw_Data!$Q:$Q,MATCH(A556,FPL_Raw_Data!$AA:$AA,0))</f>
        <v>0</v>
      </c>
      <c r="AD556" s="8">
        <f>INDEX(FPL_Raw_Data!$R:$R,MATCH(A556,FPL_Raw_Data!$AA:$AA,0))</f>
        <v>15</v>
      </c>
      <c r="AE556" s="8">
        <f>INDEX(FPL_Raw_Data!$N:$N,MATCH(A556,FPL_Raw_Data!$AA:$AA,0))</f>
        <v>1</v>
      </c>
      <c r="AF556" s="8">
        <f>INDEX(FPL_Raw_Data!$L:$L,MATCH(A556,FPL_Raw_Data!$AA:$AA,0))</f>
        <v>0</v>
      </c>
      <c r="AG556" s="2">
        <f>INDEX(FPL_Raw_Data!$M:$M,MATCH(A556,FPL_Raw_Data!$AA:$AA,0))</f>
        <v>0</v>
      </c>
      <c r="AH556" s="2">
        <f t="shared" si="208"/>
        <v>0.48247422680412372</v>
      </c>
      <c r="AI556" s="2">
        <f t="shared" si="209"/>
        <v>0.1670103092783505</v>
      </c>
      <c r="AJ556" s="2">
        <f t="shared" si="210"/>
        <v>0.66666666666666663</v>
      </c>
      <c r="AK556" s="2">
        <f t="shared" si="211"/>
        <v>0.83333333333333337</v>
      </c>
      <c r="AL556" s="2">
        <f t="shared" si="212"/>
        <v>1</v>
      </c>
      <c r="AM556" s="2">
        <f t="shared" si="213"/>
        <v>0</v>
      </c>
      <c r="AN556" s="2">
        <f t="shared" si="214"/>
        <v>0</v>
      </c>
      <c r="AO556" s="3">
        <f t="shared" si="215"/>
        <v>55.800000000000004</v>
      </c>
      <c r="AP556">
        <f t="shared" si="216"/>
        <v>74.2</v>
      </c>
      <c r="AQ556">
        <f t="shared" si="217"/>
        <v>59.4</v>
      </c>
      <c r="AR556">
        <f t="shared" si="218"/>
        <v>71.8</v>
      </c>
      <c r="AS556" s="2">
        <f t="shared" si="219"/>
        <v>33.333333333333329</v>
      </c>
      <c r="AT556" s="2">
        <f>IFERROR(INDEX(Player_Model!$BC$2:$BC$596,MATCH($A556,Player_Model!$A$2:$A$596,0)),0)</f>
        <v>3.2668004804392967</v>
      </c>
      <c r="AU556" s="2">
        <f>Table8[[#This Row],[Model Expected Points]]*Table8[[#This Row],[Fixture Adjustment]]</f>
        <v>2.8682564737296481</v>
      </c>
      <c r="AV556" s="2">
        <f>Table8[[#This Row],[Fixture Adjusted Points / 90]]/Table8[[#This Row],[Price]]</f>
        <v>0.52150117704175425</v>
      </c>
      <c r="AW556">
        <f t="shared" si="220"/>
        <v>65</v>
      </c>
      <c r="AX556">
        <f t="shared" si="221"/>
        <v>0</v>
      </c>
      <c r="AY556" s="2">
        <f t="shared" si="222"/>
        <v>33.333333333333329</v>
      </c>
      <c r="AZ556" s="5">
        <f t="shared" si="223"/>
        <v>0.87800173010380622</v>
      </c>
      <c r="BA556">
        <f>Table8[[#This Row],[Model Score2]]</f>
        <v>3.2668004804392967</v>
      </c>
      <c r="BB556">
        <f>IFERROR(INDEX(Player_Model!$BG$2:$BG$596,MATCH($A556,Player_Model!$A$2:$A$596,0)),"")</f>
        <v>19</v>
      </c>
      <c r="BC556" t="str">
        <f t="shared" si="224"/>
        <v>AVOID</v>
      </c>
      <c r="BD556">
        <f>IF(H556=1,Table8[[#This Row],[Model Score]],-10000)</f>
        <v>3.2668004804392967</v>
      </c>
      <c r="BE556">
        <f>IFERROR(INDEX(Player_Model!$BF$2:$BF$596,MATCH($A556,Player_Model!$A$2:$A$596,0)),"")</f>
        <v>189</v>
      </c>
      <c r="BF556">
        <f>IFERROR(INDEX(Player_Model!$BG$2:$BG$596,MATCH($A556,Player_Model!$A$2:$A$596,0)),"")</f>
        <v>19</v>
      </c>
      <c r="BG556">
        <f>IFERROR(INDEX(Player_Model!$BE$2:$BE$596,MATCH($A556,Player_Model!$A$2:$A$596,0)),0)</f>
        <v>3.2668004804392967</v>
      </c>
    </row>
    <row r="557" spans="1:59" x14ac:dyDescent="0.25">
      <c r="A557" t="str">
        <f>tblPlayers[first_name]&amp;" "&amp;tblPlayers[second_name]</f>
        <v>Daniel Muñoz Mejía</v>
      </c>
      <c r="B557" t="str">
        <f>_xlfn.SWITCH(tblPlayers[element_type],1,"GK",2,"DEF",3,"MID",4,"FWD")</f>
        <v>DEF</v>
      </c>
      <c r="C557">
        <f>tblPlayers[team]</f>
        <v>18</v>
      </c>
      <c r="D557" t="str">
        <f>INDEX(tblTeams[Column1.short_name],MATCH(C557,tblTeams[Column1.id],0))</f>
        <v>NFO</v>
      </c>
      <c r="E557" s="4">
        <f>INDEX(FPL_Raw_Data!$F:$F,MATCH(A557,FPL_Raw_Data!$AA:$AA,0))/10</f>
        <v>5.4</v>
      </c>
      <c r="F557" s="4" t="str">
        <f>tblPlayers[[#This Row],[status]]</f>
        <v>a</v>
      </c>
      <c r="G557" s="4" t="b">
        <f>tblPlayers[[#This Row],[can_select]]</f>
        <v>1</v>
      </c>
      <c r="H557">
        <f>IF(AND(Table8[[#This Row],[Availability Status]]="a",Table8[[#This Row],[Can Select]]=TRUE),1,0)</f>
        <v>1</v>
      </c>
      <c r="I557">
        <f>tblPlayers[minutes]</f>
        <v>85</v>
      </c>
      <c r="J557" s="2">
        <f>Table8[[#This Row],[Minutes]]/90</f>
        <v>0.94444444444444442</v>
      </c>
      <c r="K557" s="5">
        <f>IFERROR(Z557/(FIXTURE_ANALYSIS!$B$1-1),0)</f>
        <v>0.33333333333333331</v>
      </c>
      <c r="L557">
        <f>tblPlayers[total_points]</f>
        <v>1</v>
      </c>
      <c r="M557">
        <f>tblPlayers[points_per_game]</f>
        <v>0.5</v>
      </c>
      <c r="N557">
        <f>tblPlayers[form]</f>
        <v>0.3</v>
      </c>
      <c r="O557">
        <f>tblPlayers[expected_goals]</f>
        <v>0.26</v>
      </c>
      <c r="P557">
        <f>tblPlayers[expected_assists]</f>
        <v>0.01</v>
      </c>
      <c r="Q557">
        <f>tblPlayers[expected_goal_involvements]</f>
        <v>0.27</v>
      </c>
      <c r="R557" s="2">
        <f t="shared" si="200"/>
        <v>1.0588235294117647</v>
      </c>
      <c r="S557" s="5">
        <f t="shared" si="201"/>
        <v>0.27529411764705886</v>
      </c>
      <c r="T557" s="5">
        <f t="shared" si="202"/>
        <v>1.0588235294117647E-2</v>
      </c>
      <c r="U557" s="5">
        <f t="shared" si="203"/>
        <v>0.28588235294117648</v>
      </c>
      <c r="V557" s="3">
        <f t="shared" si="204"/>
        <v>0.18518518518518517</v>
      </c>
      <c r="W557" s="5">
        <f t="shared" si="205"/>
        <v>0.05</v>
      </c>
      <c r="X557" s="5">
        <f>IFERROR(IF(OR($B557="MID",$B557="FWD"),INDEX(FIXTURE_ANALYSIS!$Q:$Q,MATCH($D557,FIXTURE_ANALYSIS!$A:$A,0)),INDEX(FIXTURE_ANALYSIS!$R:$R,MATCH($D557,FIXTURE_ANALYSIS!$A:$A,0))),1)</f>
        <v>1.1658368376787216</v>
      </c>
      <c r="Y557" s="5">
        <f t="shared" si="206"/>
        <v>1.1658368376787216</v>
      </c>
      <c r="Z557" s="8">
        <f>INDEX(FPL_Raw_Data!$T:$T,MATCH(A557,FPL_Raw_Data!$AA:$AA,0))</f>
        <v>1</v>
      </c>
      <c r="AA557" s="8">
        <f>INDEX(FPL_Raw_Data!$S:$S,MATCH(A557,FPL_Raw_Data!$AA:$AA,0))</f>
        <v>5</v>
      </c>
      <c r="AB557" s="2">
        <f t="shared" si="207"/>
        <v>0.5</v>
      </c>
      <c r="AC557" s="2">
        <f>INDEX(FPL_Raw_Data!$Q:$Q,MATCH(A557,FPL_Raw_Data!$AA:$AA,0))</f>
        <v>0</v>
      </c>
      <c r="AD557" s="8">
        <f>INDEX(FPL_Raw_Data!$R:$R,MATCH(A557,FPL_Raw_Data!$AA:$AA,0))</f>
        <v>1</v>
      </c>
      <c r="AE557" s="8">
        <f>INDEX(FPL_Raw_Data!$N:$N,MATCH(A557,FPL_Raw_Data!$AA:$AA,0))</f>
        <v>0</v>
      </c>
      <c r="AF557" s="8">
        <f>INDEX(FPL_Raw_Data!$L:$L,MATCH(A557,FPL_Raw_Data!$AA:$AA,0))</f>
        <v>0</v>
      </c>
      <c r="AG557" s="2">
        <f>INDEX(FPL_Raw_Data!$M:$M,MATCH(A557,FPL_Raw_Data!$AA:$AA,0))</f>
        <v>0</v>
      </c>
      <c r="AH557" s="2">
        <f t="shared" si="208"/>
        <v>1.651764705882353</v>
      </c>
      <c r="AI557" s="2">
        <f t="shared" si="209"/>
        <v>3.1764705882352938E-2</v>
      </c>
      <c r="AJ557" s="2">
        <f t="shared" si="210"/>
        <v>0.66666666666666663</v>
      </c>
      <c r="AK557" s="2">
        <f t="shared" si="211"/>
        <v>1</v>
      </c>
      <c r="AL557" s="2">
        <f t="shared" si="212"/>
        <v>0</v>
      </c>
      <c r="AM557" s="2">
        <f t="shared" si="213"/>
        <v>0</v>
      </c>
      <c r="AN557" s="2">
        <f t="shared" si="214"/>
        <v>0</v>
      </c>
      <c r="AO557" s="3">
        <f t="shared" si="215"/>
        <v>42.699999999999996</v>
      </c>
      <c r="AP557">
        <f t="shared" si="216"/>
        <v>82.6</v>
      </c>
      <c r="AQ557">
        <f t="shared" si="217"/>
        <v>43.4</v>
      </c>
      <c r="AR557">
        <f t="shared" si="218"/>
        <v>75.900000000000006</v>
      </c>
      <c r="AS557" s="2">
        <f t="shared" si="219"/>
        <v>33.333333333333329</v>
      </c>
      <c r="AT557" s="2">
        <f>IFERROR(INDEX(Player_Model!$BC$2:$BC$596,MATCH($A557,Player_Model!$A$2:$A$596,0)),0)</f>
        <v>4.3701959634146341</v>
      </c>
      <c r="AU557" s="2">
        <f>Table8[[#This Row],[Model Expected Points]]*Table8[[#This Row],[Fixture Adjustment]]</f>
        <v>5.0949354420236315</v>
      </c>
      <c r="AV557" s="2">
        <f>Table8[[#This Row],[Fixture Adjusted Points / 90]]/Table8[[#This Row],[Price]]</f>
        <v>0.94350656333770944</v>
      </c>
      <c r="AW557">
        <f t="shared" si="220"/>
        <v>82.6</v>
      </c>
      <c r="AX557">
        <f t="shared" si="221"/>
        <v>0.8329184188393608</v>
      </c>
      <c r="AY557" s="2">
        <f t="shared" si="222"/>
        <v>33.333333333333329</v>
      </c>
      <c r="AZ557" s="5">
        <f t="shared" si="223"/>
        <v>1.1658368376787216</v>
      </c>
      <c r="BA557">
        <f>Table8[[#This Row],[Model Score2]]</f>
        <v>4.3701959634146341</v>
      </c>
      <c r="BB557">
        <f>IFERROR(INDEX(Player_Model!$BG$2:$BG$596,MATCH($A557,Player_Model!$A$2:$A$596,0)),"")</f>
        <v>45</v>
      </c>
      <c r="BC557" t="str">
        <f t="shared" si="224"/>
        <v>AVOID</v>
      </c>
      <c r="BD557">
        <f>IF(H557=1,Table8[[#This Row],[Model Score]],-10000)</f>
        <v>4.3701959634146341</v>
      </c>
      <c r="BE557">
        <f>IFERROR(INDEX(Player_Model!$BF$2:$BF$596,MATCH($A557,Player_Model!$A$2:$A$596,0)),"")</f>
        <v>133</v>
      </c>
      <c r="BF557">
        <f>IFERROR(INDEX(Player_Model!$BG$2:$BG$596,MATCH($A557,Player_Model!$A$2:$A$596,0)),"")</f>
        <v>45</v>
      </c>
      <c r="BG557">
        <f>IFERROR(INDEX(Player_Model!$BE$2:$BE$596,MATCH($A557,Player_Model!$A$2:$A$596,0)),0)</f>
        <v>4.3701959634146341</v>
      </c>
    </row>
    <row r="558" spans="1:59" x14ac:dyDescent="0.25">
      <c r="A558" t="str">
        <f>tblPlayers[first_name]&amp;" "&amp;tblPlayers[second_name]</f>
        <v>Matz Sels</v>
      </c>
      <c r="B558" t="str">
        <f>_xlfn.SWITCH(tblPlayers[element_type],1,"GK",2,"DEF",3,"MID",4,"FWD")</f>
        <v>GK</v>
      </c>
      <c r="C558">
        <f>tblPlayers[team]</f>
        <v>18</v>
      </c>
      <c r="D558" t="str">
        <f>INDEX(tblTeams[Column1.short_name],MATCH(C558,tblTeams[Column1.id],0))</f>
        <v>NFO</v>
      </c>
      <c r="E558" s="4">
        <f>INDEX(FPL_Raw_Data!$F:$F,MATCH(A558,FPL_Raw_Data!$AA:$AA,0))/10</f>
        <v>5</v>
      </c>
      <c r="F558" s="4" t="str">
        <f>tblPlayers[[#This Row],[status]]</f>
        <v>a</v>
      </c>
      <c r="G558" s="4" t="b">
        <f>tblPlayers[[#This Row],[can_select]]</f>
        <v>1</v>
      </c>
      <c r="H558">
        <f>IF(AND(Table8[[#This Row],[Availability Status]]="a",Table8[[#This Row],[Can Select]]=TRUE),1,0)</f>
        <v>1</v>
      </c>
      <c r="I558">
        <f>tblPlayers[minutes]</f>
        <v>270</v>
      </c>
      <c r="J558" s="2">
        <f>Table8[[#This Row],[Minutes]]/90</f>
        <v>3</v>
      </c>
      <c r="K558" s="5">
        <f>IFERROR(Z558/(FIXTURE_ANALYSIS!$B$1-1),0)</f>
        <v>1</v>
      </c>
      <c r="L558">
        <f>tblPlayers[total_points]</f>
        <v>9</v>
      </c>
      <c r="M558">
        <f>tblPlayers[points_per_game]</f>
        <v>3</v>
      </c>
      <c r="N558">
        <f>tblPlayers[form]</f>
        <v>3</v>
      </c>
      <c r="O558">
        <f>tblPlayers[expected_goals]</f>
        <v>0</v>
      </c>
      <c r="P558">
        <f>tblPlayers[expected_assists]</f>
        <v>0.01</v>
      </c>
      <c r="Q558">
        <f>tblPlayers[expected_goal_involvements]</f>
        <v>0.01</v>
      </c>
      <c r="R558" s="2">
        <f t="shared" si="200"/>
        <v>3</v>
      </c>
      <c r="S558" s="5">
        <f t="shared" si="201"/>
        <v>0</v>
      </c>
      <c r="T558" s="5">
        <f t="shared" si="202"/>
        <v>3.3333333333333331E-3</v>
      </c>
      <c r="U558" s="5">
        <f t="shared" si="203"/>
        <v>3.3333333333333331E-3</v>
      </c>
      <c r="V558" s="3">
        <f t="shared" si="204"/>
        <v>1.8</v>
      </c>
      <c r="W558" s="5">
        <f t="shared" si="205"/>
        <v>2E-3</v>
      </c>
      <c r="X558" s="5">
        <f>IFERROR(IF(OR($B558="MID",$B558="FWD"),INDEX(FIXTURE_ANALYSIS!$Q:$Q,MATCH($D558,FIXTURE_ANALYSIS!$A:$A,0)),INDEX(FIXTURE_ANALYSIS!$R:$R,MATCH($D558,FIXTURE_ANALYSIS!$A:$A,0))),1)</f>
        <v>1.1658368376787216</v>
      </c>
      <c r="Y558" s="5">
        <f t="shared" si="206"/>
        <v>1.1658368376787216</v>
      </c>
      <c r="Z558" s="8">
        <f>INDEX(FPL_Raw_Data!$T:$T,MATCH(A558,FPL_Raw_Data!$AA:$AA,0))</f>
        <v>3</v>
      </c>
      <c r="AA558" s="8">
        <f>INDEX(FPL_Raw_Data!$S:$S,MATCH(A558,FPL_Raw_Data!$AA:$AA,0))</f>
        <v>0</v>
      </c>
      <c r="AB558" s="2">
        <f t="shared" si="207"/>
        <v>0</v>
      </c>
      <c r="AC558" s="2">
        <f>INDEX(FPL_Raw_Data!$Q:$Q,MATCH(A558,FPL_Raw_Data!$AA:$AA,0))</f>
        <v>0</v>
      </c>
      <c r="AD558" s="8">
        <f>INDEX(FPL_Raw_Data!$R:$R,MATCH(A558,FPL_Raw_Data!$AA:$AA,0))</f>
        <v>38</v>
      </c>
      <c r="AE558" s="8">
        <f>INDEX(FPL_Raw_Data!$N:$N,MATCH(A558,FPL_Raw_Data!$AA:$AA,0))</f>
        <v>1</v>
      </c>
      <c r="AF558" s="8">
        <f>INDEX(FPL_Raw_Data!$L:$L,MATCH(A558,FPL_Raw_Data!$AA:$AA,0))</f>
        <v>0</v>
      </c>
      <c r="AG558" s="2">
        <f>INDEX(FPL_Raw_Data!$M:$M,MATCH(A558,FPL_Raw_Data!$AA:$AA,0))</f>
        <v>0</v>
      </c>
      <c r="AH558" s="2">
        <f t="shared" si="208"/>
        <v>0</v>
      </c>
      <c r="AI558" s="2">
        <f t="shared" si="209"/>
        <v>9.9999999999999985E-3</v>
      </c>
      <c r="AJ558" s="2">
        <f t="shared" si="210"/>
        <v>2</v>
      </c>
      <c r="AK558" s="2">
        <f t="shared" si="211"/>
        <v>0</v>
      </c>
      <c r="AL558" s="2">
        <f t="shared" si="212"/>
        <v>0.33333333333333331</v>
      </c>
      <c r="AM558" s="2">
        <f t="shared" si="213"/>
        <v>1.3333333333333333</v>
      </c>
      <c r="AN558" s="2">
        <f t="shared" si="214"/>
        <v>0</v>
      </c>
      <c r="AO558" s="3">
        <f t="shared" si="215"/>
        <v>58.4</v>
      </c>
      <c r="AP558">
        <f t="shared" si="216"/>
        <v>50.8</v>
      </c>
      <c r="AQ558">
        <f t="shared" si="217"/>
        <v>83.8</v>
      </c>
      <c r="AR558">
        <f t="shared" si="218"/>
        <v>51.5</v>
      </c>
      <c r="AS558" s="2">
        <f t="shared" si="219"/>
        <v>100</v>
      </c>
      <c r="AT558" s="2">
        <f>IFERROR(INDEX(Player_Model!$BC$2:$BC$596,MATCH($A558,Player_Model!$A$2:$A$596,0)),0)</f>
        <v>4.4162304881015038</v>
      </c>
      <c r="AU558" s="2">
        <f>Table8[[#This Row],[Model Expected Points]]*Table8[[#This Row],[Fixture Adjustment]]</f>
        <v>5.1486041867086145</v>
      </c>
      <c r="AV558" s="2">
        <f>Table8[[#This Row],[Fixture Adjusted Points / 90]]/Table8[[#This Row],[Price]]</f>
        <v>1.0297208373417228</v>
      </c>
      <c r="AW558">
        <f t="shared" si="220"/>
        <v>0</v>
      </c>
      <c r="AX558">
        <f t="shared" si="221"/>
        <v>50.582918418839363</v>
      </c>
      <c r="AY558" s="2">
        <f t="shared" si="222"/>
        <v>100</v>
      </c>
      <c r="AZ558" s="5">
        <f t="shared" si="223"/>
        <v>1.1658368376787216</v>
      </c>
      <c r="BA558">
        <f>Table8[[#This Row],[Model Score2]]</f>
        <v>4.4162304881015038</v>
      </c>
      <c r="BB558">
        <f>IFERROR(INDEX(Player_Model!$BG$2:$BG$596,MATCH($A558,Player_Model!$A$2:$A$596,0)),"")</f>
        <v>9</v>
      </c>
      <c r="BC558" t="str">
        <f t="shared" si="224"/>
        <v>CONSIDER</v>
      </c>
      <c r="BD558">
        <f>IF(H558=1,Table8[[#This Row],[Model Score]],-10000)</f>
        <v>4.4162304881015038</v>
      </c>
      <c r="BE558">
        <f>IFERROR(INDEX(Player_Model!$BF$2:$BF$596,MATCH($A558,Player_Model!$A$2:$A$596,0)),"")</f>
        <v>127</v>
      </c>
      <c r="BF558">
        <f>IFERROR(INDEX(Player_Model!$BG$2:$BG$596,MATCH($A558,Player_Model!$A$2:$A$596,0)),"")</f>
        <v>9</v>
      </c>
      <c r="BG558">
        <f>IFERROR(INDEX(Player_Model!$BE$2:$BE$596,MATCH($A558,Player_Model!$A$2:$A$596,0)),0)</f>
        <v>4.4162304881015038</v>
      </c>
    </row>
    <row r="559" spans="1:59" x14ac:dyDescent="0.25">
      <c r="A559" t="str">
        <f>tblPlayers[first_name]&amp;" "&amp;tblPlayers[second_name]</f>
        <v>John Victor Maciel Furtado</v>
      </c>
      <c r="B559" t="str">
        <f>_xlfn.SWITCH(tblPlayers[element_type],1,"GK",2,"DEF",3,"MID",4,"FWD")</f>
        <v>GK</v>
      </c>
      <c r="C559">
        <f>tblPlayers[team]</f>
        <v>18</v>
      </c>
      <c r="D559" t="str">
        <f>INDEX(tblTeams[Column1.short_name],MATCH(C559,tblTeams[Column1.id],0))</f>
        <v>NFO</v>
      </c>
      <c r="E559" s="4">
        <f>INDEX(FPL_Raw_Data!$F:$F,MATCH(A559,FPL_Raw_Data!$AA:$AA,0))/10</f>
        <v>4.5</v>
      </c>
      <c r="F559" s="4" t="str">
        <f>tblPlayers[[#This Row],[status]]</f>
        <v>a</v>
      </c>
      <c r="G559" s="4" t="b">
        <f>tblPlayers[[#This Row],[can_select]]</f>
        <v>1</v>
      </c>
      <c r="H559">
        <f>IF(AND(Table8[[#This Row],[Availability Status]]="a",Table8[[#This Row],[Can Select]]=TRUE),1,0)</f>
        <v>1</v>
      </c>
      <c r="I559">
        <f>tblPlayers[minutes]</f>
        <v>0</v>
      </c>
      <c r="J559" s="2">
        <f>Table8[[#This Row],[Minutes]]/90</f>
        <v>0</v>
      </c>
      <c r="K559" s="5">
        <f>IFERROR(Z559/(FIXTURE_ANALYSIS!$B$1-1),0)</f>
        <v>0</v>
      </c>
      <c r="L559">
        <f>tblPlayers[total_points]</f>
        <v>0</v>
      </c>
      <c r="M559">
        <f>tblPlayers[points_per_game]</f>
        <v>0</v>
      </c>
      <c r="N559">
        <f>tblPlayers[form]</f>
        <v>0</v>
      </c>
      <c r="O559">
        <f>tblPlayers[expected_goals]</f>
        <v>0</v>
      </c>
      <c r="P559">
        <f>tblPlayers[expected_assists]</f>
        <v>0</v>
      </c>
      <c r="Q559">
        <f>tblPlayers[expected_goal_involvements]</f>
        <v>0</v>
      </c>
      <c r="R559" s="2">
        <f t="shared" si="200"/>
        <v>0</v>
      </c>
      <c r="S559" s="5">
        <f t="shared" si="201"/>
        <v>0</v>
      </c>
      <c r="T559" s="5">
        <f t="shared" si="202"/>
        <v>0</v>
      </c>
      <c r="U559" s="5">
        <f t="shared" si="203"/>
        <v>0</v>
      </c>
      <c r="V559" s="3">
        <f t="shared" si="204"/>
        <v>0</v>
      </c>
      <c r="W559" s="5">
        <f t="shared" si="205"/>
        <v>0</v>
      </c>
      <c r="X559" s="5">
        <f>IFERROR(IF(OR($B559="MID",$B559="FWD"),INDEX(FIXTURE_ANALYSIS!$Q:$Q,MATCH($D559,FIXTURE_ANALYSIS!$A:$A,0)),INDEX(FIXTURE_ANALYSIS!$R:$R,MATCH($D559,FIXTURE_ANALYSIS!$A:$A,0))),1)</f>
        <v>1.1658368376787216</v>
      </c>
      <c r="Y559" s="5">
        <f t="shared" si="206"/>
        <v>1.1658368376787216</v>
      </c>
      <c r="Z559" s="8">
        <f>INDEX(FPL_Raw_Data!$T:$T,MATCH(A559,FPL_Raw_Data!$AA:$AA,0))</f>
        <v>0</v>
      </c>
      <c r="AA559" s="8">
        <f>INDEX(FPL_Raw_Data!$S:$S,MATCH(A559,FPL_Raw_Data!$AA:$AA,0))</f>
        <v>0</v>
      </c>
      <c r="AB559" s="2">
        <f t="shared" si="207"/>
        <v>0</v>
      </c>
      <c r="AC559" s="2">
        <f>INDEX(FPL_Raw_Data!$Q:$Q,MATCH(A559,FPL_Raw_Data!$AA:$AA,0))</f>
        <v>0</v>
      </c>
      <c r="AD559" s="8">
        <f>INDEX(FPL_Raw_Data!$R:$R,MATCH(A559,FPL_Raw_Data!$AA:$AA,0))</f>
        <v>0</v>
      </c>
      <c r="AE559" s="8">
        <f>INDEX(FPL_Raw_Data!$N:$N,MATCH(A559,FPL_Raw_Data!$AA:$AA,0))</f>
        <v>0</v>
      </c>
      <c r="AF559" s="8">
        <f>INDEX(FPL_Raw_Data!$L:$L,MATCH(A559,FPL_Raw_Data!$AA:$AA,0))</f>
        <v>0</v>
      </c>
      <c r="AG559" s="2">
        <f>INDEX(FPL_Raw_Data!$M:$M,MATCH(A559,FPL_Raw_Data!$AA:$AA,0))</f>
        <v>0</v>
      </c>
      <c r="AH559" s="2">
        <f t="shared" si="208"/>
        <v>0</v>
      </c>
      <c r="AI559" s="2">
        <f t="shared" si="209"/>
        <v>0</v>
      </c>
      <c r="AJ559" s="2">
        <f t="shared" si="210"/>
        <v>0</v>
      </c>
      <c r="AK559" s="2">
        <f t="shared" si="211"/>
        <v>0</v>
      </c>
      <c r="AL559" s="2">
        <f t="shared" si="212"/>
        <v>0</v>
      </c>
      <c r="AM559" s="2">
        <f t="shared" si="213"/>
        <v>0</v>
      </c>
      <c r="AN559" s="2">
        <f t="shared" si="214"/>
        <v>0</v>
      </c>
      <c r="AO559" s="3">
        <f t="shared" si="215"/>
        <v>0.1</v>
      </c>
      <c r="AP559">
        <f t="shared" si="216"/>
        <v>0</v>
      </c>
      <c r="AQ559">
        <f t="shared" si="217"/>
        <v>0.1</v>
      </c>
      <c r="AR559">
        <f t="shared" si="218"/>
        <v>0</v>
      </c>
      <c r="AS559" s="2">
        <f t="shared" si="219"/>
        <v>0</v>
      </c>
      <c r="AT559" s="2">
        <f>IFERROR(INDEX(Player_Model!$BC$2:$BC$596,MATCH($A559,Player_Model!$A$2:$A$596,0)),0)</f>
        <v>0</v>
      </c>
      <c r="AU559" s="2">
        <f>Table8[[#This Row],[Model Expected Points]]*Table8[[#This Row],[Fixture Adjustment]]</f>
        <v>0</v>
      </c>
      <c r="AV559" s="2">
        <f>Table8[[#This Row],[Fixture Adjusted Points / 90]]/Table8[[#This Row],[Price]]</f>
        <v>0</v>
      </c>
      <c r="AW559">
        <f t="shared" si="220"/>
        <v>0</v>
      </c>
      <c r="AX559">
        <f t="shared" si="221"/>
        <v>0.5829184188393608</v>
      </c>
      <c r="AY559" s="2">
        <f t="shared" si="222"/>
        <v>0</v>
      </c>
      <c r="AZ559" s="5">
        <f t="shared" si="223"/>
        <v>1.1658368376787216</v>
      </c>
      <c r="BA559">
        <f>Table8[[#This Row],[Model Score2]]</f>
        <v>0</v>
      </c>
      <c r="BB559">
        <f>IFERROR(INDEX(Player_Model!$BG$2:$BG$596,MATCH($A559,Player_Model!$A$2:$A$596,0)),"")</f>
        <v>64</v>
      </c>
      <c r="BC559" t="str">
        <f t="shared" si="224"/>
        <v>AVOID</v>
      </c>
      <c r="BD559">
        <f>IF(H559=1,Table8[[#This Row],[Model Score]],-10000)</f>
        <v>0</v>
      </c>
      <c r="BE559">
        <f>IFERROR(INDEX(Player_Model!$BF$2:$BF$596,MATCH($A559,Player_Model!$A$2:$A$596,0)),"")</f>
        <v>253</v>
      </c>
      <c r="BF559">
        <f>IFERROR(INDEX(Player_Model!$BG$2:$BG$596,MATCH($A559,Player_Model!$A$2:$A$596,0)),"")</f>
        <v>64</v>
      </c>
      <c r="BG559">
        <f>IFERROR(INDEX(Player_Model!$BE$2:$BE$596,MATCH($A559,Player_Model!$A$2:$A$596,0)),0)</f>
        <v>0</v>
      </c>
    </row>
    <row r="560" spans="1:59" x14ac:dyDescent="0.25">
      <c r="A560" t="str">
        <f>tblPlayers[first_name]&amp;" "&amp;tblPlayers[second_name]</f>
        <v>Neco Williams</v>
      </c>
      <c r="B560" t="str">
        <f>_xlfn.SWITCH(tblPlayers[element_type],1,"GK",2,"DEF",3,"MID",4,"FWD")</f>
        <v>DEF</v>
      </c>
      <c r="C560">
        <f>tblPlayers[team]</f>
        <v>18</v>
      </c>
      <c r="D560" t="str">
        <f>INDEX(tblTeams[Column1.short_name],MATCH(C560,tblTeams[Column1.id],0))</f>
        <v>NFO</v>
      </c>
      <c r="E560" s="4">
        <f>INDEX(FPL_Raw_Data!$F:$F,MATCH(A560,FPL_Raw_Data!$AA:$AA,0))/10</f>
        <v>5</v>
      </c>
      <c r="F560" s="4" t="str">
        <f>tblPlayers[[#This Row],[status]]</f>
        <v>a</v>
      </c>
      <c r="G560" s="4" t="b">
        <f>tblPlayers[[#This Row],[can_select]]</f>
        <v>1</v>
      </c>
      <c r="H560">
        <f>IF(AND(Table8[[#This Row],[Availability Status]]="a",Table8[[#This Row],[Can Select]]=TRUE),1,0)</f>
        <v>1</v>
      </c>
      <c r="I560">
        <f>tblPlayers[minutes]</f>
        <v>270</v>
      </c>
      <c r="J560" s="2">
        <f>Table8[[#This Row],[Minutes]]/90</f>
        <v>3</v>
      </c>
      <c r="K560" s="5">
        <f>IFERROR(Z560/(FIXTURE_ANALYSIS!$B$1-1),0)</f>
        <v>1</v>
      </c>
      <c r="L560">
        <f>tblPlayers[total_points]</f>
        <v>15</v>
      </c>
      <c r="M560">
        <f>tblPlayers[points_per_game]</f>
        <v>5</v>
      </c>
      <c r="N560">
        <f>tblPlayers[form]</f>
        <v>5</v>
      </c>
      <c r="O560">
        <f>tblPlayers[expected_goals]</f>
        <v>0.12</v>
      </c>
      <c r="P560">
        <f>tblPlayers[expected_assists]</f>
        <v>0.24</v>
      </c>
      <c r="Q560">
        <f>tblPlayers[expected_goal_involvements]</f>
        <v>0.36</v>
      </c>
      <c r="R560" s="2">
        <f t="shared" si="200"/>
        <v>5</v>
      </c>
      <c r="S560" s="5">
        <f t="shared" si="201"/>
        <v>3.9999999999999994E-2</v>
      </c>
      <c r="T560" s="5">
        <f t="shared" si="202"/>
        <v>7.9999999999999988E-2</v>
      </c>
      <c r="U560" s="5">
        <f t="shared" si="203"/>
        <v>0.12</v>
      </c>
      <c r="V560" s="3">
        <f t="shared" si="204"/>
        <v>3</v>
      </c>
      <c r="W560" s="5">
        <f t="shared" si="205"/>
        <v>7.1999999999999995E-2</v>
      </c>
      <c r="X560" s="5">
        <f>IFERROR(IF(OR($B560="MID",$B560="FWD"),INDEX(FIXTURE_ANALYSIS!$Q:$Q,MATCH($D560,FIXTURE_ANALYSIS!$A:$A,0)),INDEX(FIXTURE_ANALYSIS!$R:$R,MATCH($D560,FIXTURE_ANALYSIS!$A:$A,0))),1)</f>
        <v>1.1658368376787216</v>
      </c>
      <c r="Y560" s="5">
        <f t="shared" si="206"/>
        <v>1.1658368376787216</v>
      </c>
      <c r="Z560" s="8">
        <f>INDEX(FPL_Raw_Data!$T:$T,MATCH(A560,FPL_Raw_Data!$AA:$AA,0))</f>
        <v>3</v>
      </c>
      <c r="AA560" s="8">
        <f>INDEX(FPL_Raw_Data!$S:$S,MATCH(A560,FPL_Raw_Data!$AA:$AA,0))</f>
        <v>24</v>
      </c>
      <c r="AB560" s="2">
        <f t="shared" si="207"/>
        <v>1</v>
      </c>
      <c r="AC560" s="2">
        <f>INDEX(FPL_Raw_Data!$Q:$Q,MATCH(A560,FPL_Raw_Data!$AA:$AA,0))</f>
        <v>1</v>
      </c>
      <c r="AD560" s="8">
        <f>INDEX(FPL_Raw_Data!$R:$R,MATCH(A560,FPL_Raw_Data!$AA:$AA,0))</f>
        <v>57</v>
      </c>
      <c r="AE560" s="8">
        <f>INDEX(FPL_Raw_Data!$N:$N,MATCH(A560,FPL_Raw_Data!$AA:$AA,0))</f>
        <v>1</v>
      </c>
      <c r="AF560" s="8">
        <f>INDEX(FPL_Raw_Data!$L:$L,MATCH(A560,FPL_Raw_Data!$AA:$AA,0))</f>
        <v>0</v>
      </c>
      <c r="AG560" s="2">
        <f>INDEX(FPL_Raw_Data!$M:$M,MATCH(A560,FPL_Raw_Data!$AA:$AA,0))</f>
        <v>1</v>
      </c>
      <c r="AH560" s="2">
        <f t="shared" si="208"/>
        <v>0.23999999999999996</v>
      </c>
      <c r="AI560" s="2">
        <f t="shared" si="209"/>
        <v>0.23999999999999996</v>
      </c>
      <c r="AJ560" s="2">
        <f t="shared" si="210"/>
        <v>2</v>
      </c>
      <c r="AK560" s="2">
        <f t="shared" si="211"/>
        <v>2</v>
      </c>
      <c r="AL560" s="2">
        <f t="shared" si="212"/>
        <v>0.33333333333333331</v>
      </c>
      <c r="AM560" s="2">
        <f t="shared" si="213"/>
        <v>1.3333333333333333</v>
      </c>
      <c r="AN560" s="2">
        <f t="shared" si="214"/>
        <v>0.33333333333333331</v>
      </c>
      <c r="AO560" s="3">
        <f t="shared" si="215"/>
        <v>75.400000000000006</v>
      </c>
      <c r="AP560">
        <f t="shared" si="216"/>
        <v>70.3</v>
      </c>
      <c r="AQ560">
        <f t="shared" si="217"/>
        <v>94.899999999999991</v>
      </c>
      <c r="AR560">
        <f t="shared" si="218"/>
        <v>80.600000000000009</v>
      </c>
      <c r="AS560" s="2">
        <f t="shared" si="219"/>
        <v>100</v>
      </c>
      <c r="AT560" s="2">
        <f>IFERROR(INDEX(Player_Model!$BC$2:$BC$596,MATCH($A560,Player_Model!$A$2:$A$596,0)),0)</f>
        <v>5.7454410112828729</v>
      </c>
      <c r="AU560" s="2">
        <f>Table8[[#This Row],[Model Expected Points]]*Table8[[#This Row],[Fixture Adjustment]]</f>
        <v>6.6982467796636609</v>
      </c>
      <c r="AV560" s="2">
        <f>Table8[[#This Row],[Fixture Adjusted Points / 90]]/Table8[[#This Row],[Price]]</f>
        <v>1.3396493559327323</v>
      </c>
      <c r="AW560">
        <f t="shared" si="220"/>
        <v>70.3</v>
      </c>
      <c r="AX560">
        <f t="shared" si="221"/>
        <v>1.0829184188393608</v>
      </c>
      <c r="AY560" s="2">
        <f t="shared" si="222"/>
        <v>100</v>
      </c>
      <c r="AZ560" s="5">
        <f t="shared" si="223"/>
        <v>1.1658368376787216</v>
      </c>
      <c r="BA560">
        <f>Table8[[#This Row],[Model Score2]]</f>
        <v>5.7454410112828729</v>
      </c>
      <c r="BB560">
        <f>IFERROR(INDEX(Player_Model!$BG$2:$BG$596,MATCH($A560,Player_Model!$A$2:$A$596,0)),"")</f>
        <v>26</v>
      </c>
      <c r="BC560" t="str">
        <f t="shared" si="224"/>
        <v>AVOID</v>
      </c>
      <c r="BD560">
        <f>IF(H560=1,Table8[[#This Row],[Model Score]],-10000)</f>
        <v>5.7454410112828729</v>
      </c>
      <c r="BE560">
        <f>IFERROR(INDEX(Player_Model!$BF$2:$BF$596,MATCH($A560,Player_Model!$A$2:$A$596,0)),"")</f>
        <v>54</v>
      </c>
      <c r="BF560">
        <f>IFERROR(INDEX(Player_Model!$BG$2:$BG$596,MATCH($A560,Player_Model!$A$2:$A$596,0)),"")</f>
        <v>26</v>
      </c>
      <c r="BG560">
        <f>IFERROR(INDEX(Player_Model!$BE$2:$BE$596,MATCH($A560,Player_Model!$A$2:$A$596,0)),0)</f>
        <v>5.7454410112828729</v>
      </c>
    </row>
    <row r="561" spans="1:59" x14ac:dyDescent="0.25">
      <c r="A561" t="str">
        <f>tblPlayers[first_name]&amp;" "&amp;tblPlayers[second_name]</f>
        <v>Felipe Rodrigues da Silva</v>
      </c>
      <c r="B561" t="str">
        <f>_xlfn.SWITCH(tblPlayers[element_type],1,"GK",2,"DEF",3,"MID",4,"FWD")</f>
        <v>DEF</v>
      </c>
      <c r="C561">
        <f>tblPlayers[team]</f>
        <v>18</v>
      </c>
      <c r="D561" t="str">
        <f>INDEX(tblTeams[Column1.short_name],MATCH(C561,tblTeams[Column1.id],0))</f>
        <v>NFO</v>
      </c>
      <c r="E561" s="4">
        <f>INDEX(FPL_Raw_Data!$F:$F,MATCH(A561,FPL_Raw_Data!$AA:$AA,0))/10</f>
        <v>5</v>
      </c>
      <c r="F561" s="4" t="str">
        <f>tblPlayers[[#This Row],[status]]</f>
        <v>u</v>
      </c>
      <c r="G561" s="4" t="b">
        <f>tblPlayers[[#This Row],[can_select]]</f>
        <v>0</v>
      </c>
      <c r="H561">
        <f>IF(AND(Table8[[#This Row],[Availability Status]]="a",Table8[[#This Row],[Can Select]]=TRUE),1,0)</f>
        <v>0</v>
      </c>
      <c r="I561">
        <f>tblPlayers[minutes]</f>
        <v>0</v>
      </c>
      <c r="J561" s="2">
        <f>Table8[[#This Row],[Minutes]]/90</f>
        <v>0</v>
      </c>
      <c r="K561" s="5">
        <f>IFERROR(Z561/(FIXTURE_ANALYSIS!$B$1-1),0)</f>
        <v>0</v>
      </c>
      <c r="L561">
        <f>tblPlayers[total_points]</f>
        <v>0</v>
      </c>
      <c r="M561">
        <f>tblPlayers[points_per_game]</f>
        <v>0</v>
      </c>
      <c r="N561">
        <f>tblPlayers[form]</f>
        <v>0</v>
      </c>
      <c r="O561">
        <f>tblPlayers[expected_goals]</f>
        <v>0</v>
      </c>
      <c r="P561">
        <f>tblPlayers[expected_assists]</f>
        <v>0</v>
      </c>
      <c r="Q561">
        <f>tblPlayers[expected_goal_involvements]</f>
        <v>0</v>
      </c>
      <c r="R561" s="2">
        <f t="shared" si="200"/>
        <v>0</v>
      </c>
      <c r="S561" s="5">
        <f t="shared" si="201"/>
        <v>0</v>
      </c>
      <c r="T561" s="5">
        <f t="shared" si="202"/>
        <v>0</v>
      </c>
      <c r="U561" s="5">
        <f t="shared" si="203"/>
        <v>0</v>
      </c>
      <c r="V561" s="3">
        <f t="shared" si="204"/>
        <v>0</v>
      </c>
      <c r="W561" s="5">
        <f t="shared" si="205"/>
        <v>0</v>
      </c>
      <c r="X561" s="5">
        <f>IFERROR(IF(OR($B561="MID",$B561="FWD"),INDEX(FIXTURE_ANALYSIS!$Q:$Q,MATCH($D561,FIXTURE_ANALYSIS!$A:$A,0)),INDEX(FIXTURE_ANALYSIS!$R:$R,MATCH($D561,FIXTURE_ANALYSIS!$A:$A,0))),1)</f>
        <v>1.1658368376787216</v>
      </c>
      <c r="Y561" s="5">
        <f t="shared" si="206"/>
        <v>1.1658368376787216</v>
      </c>
      <c r="Z561" s="8">
        <f>INDEX(FPL_Raw_Data!$T:$T,MATCH(A561,FPL_Raw_Data!$AA:$AA,0))</f>
        <v>0</v>
      </c>
      <c r="AA561" s="8">
        <f>INDEX(FPL_Raw_Data!$S:$S,MATCH(A561,FPL_Raw_Data!$AA:$AA,0))</f>
        <v>0</v>
      </c>
      <c r="AB561" s="2">
        <f t="shared" si="207"/>
        <v>0</v>
      </c>
      <c r="AC561" s="2">
        <f>INDEX(FPL_Raw_Data!$Q:$Q,MATCH(A561,FPL_Raw_Data!$AA:$AA,0))</f>
        <v>0</v>
      </c>
      <c r="AD561" s="8">
        <f>INDEX(FPL_Raw_Data!$R:$R,MATCH(A561,FPL_Raw_Data!$AA:$AA,0))</f>
        <v>0</v>
      </c>
      <c r="AE561" s="8">
        <f>INDEX(FPL_Raw_Data!$N:$N,MATCH(A561,FPL_Raw_Data!$AA:$AA,0))</f>
        <v>0</v>
      </c>
      <c r="AF561" s="8">
        <f>INDEX(FPL_Raw_Data!$L:$L,MATCH(A561,FPL_Raw_Data!$AA:$AA,0))</f>
        <v>0</v>
      </c>
      <c r="AG561" s="2">
        <f>INDEX(FPL_Raw_Data!$M:$M,MATCH(A561,FPL_Raw_Data!$AA:$AA,0))</f>
        <v>0</v>
      </c>
      <c r="AH561" s="2">
        <f t="shared" si="208"/>
        <v>0</v>
      </c>
      <c r="AI561" s="2">
        <f t="shared" si="209"/>
        <v>0</v>
      </c>
      <c r="AJ561" s="2">
        <f t="shared" si="210"/>
        <v>0</v>
      </c>
      <c r="AK561" s="2">
        <f t="shared" si="211"/>
        <v>0</v>
      </c>
      <c r="AL561" s="2">
        <f t="shared" si="212"/>
        <v>0</v>
      </c>
      <c r="AM561" s="2">
        <f t="shared" si="213"/>
        <v>0</v>
      </c>
      <c r="AN561" s="2">
        <f t="shared" si="214"/>
        <v>0</v>
      </c>
      <c r="AO561" s="3">
        <f t="shared" si="215"/>
        <v>0.1</v>
      </c>
      <c r="AP561">
        <f t="shared" si="216"/>
        <v>0</v>
      </c>
      <c r="AQ561">
        <f t="shared" si="217"/>
        <v>0.1</v>
      </c>
      <c r="AR561">
        <f t="shared" si="218"/>
        <v>0</v>
      </c>
      <c r="AS561" s="2">
        <f t="shared" si="219"/>
        <v>0</v>
      </c>
      <c r="AT561" s="2">
        <f>IFERROR(INDEX(Player_Model!$BC$2:$BC$596,MATCH($A561,Player_Model!$A$2:$A$596,0)),0)</f>
        <v>-0.5829184188393608</v>
      </c>
      <c r="AU561" s="2">
        <f>Table8[[#This Row],[Model Expected Points]]*Table8[[#This Row],[Fixture Adjustment]]</f>
        <v>-0.67958776604436089</v>
      </c>
      <c r="AV561" s="2">
        <f>Table8[[#This Row],[Fixture Adjusted Points / 90]]/Table8[[#This Row],[Price]]</f>
        <v>-0.13591755320887217</v>
      </c>
      <c r="AW561">
        <f t="shared" si="220"/>
        <v>0</v>
      </c>
      <c r="AX561">
        <f t="shared" si="221"/>
        <v>0.5829184188393608</v>
      </c>
      <c r="AY561" s="2">
        <f t="shared" si="222"/>
        <v>0</v>
      </c>
      <c r="AZ561" s="5">
        <f t="shared" si="223"/>
        <v>1.1658368376787216</v>
      </c>
      <c r="BA561">
        <f>Table8[[#This Row],[Model Score2]]</f>
        <v>-0.5829184188393608</v>
      </c>
      <c r="BB561">
        <f>IFERROR(INDEX(Player_Model!$BG$2:$BG$596,MATCH($A561,Player_Model!$A$2:$A$596,0)),"")</f>
        <v>127</v>
      </c>
      <c r="BC561" t="str">
        <f t="shared" si="224"/>
        <v>AVOID</v>
      </c>
      <c r="BD561">
        <f>IF(H561=1,Table8[[#This Row],[Model Score]],-10000)</f>
        <v>-10000</v>
      </c>
      <c r="BE561">
        <f>IFERROR(INDEX(Player_Model!$BF$2:$BF$596,MATCH($A561,Player_Model!$A$2:$A$596,0)),"")</f>
        <v>530</v>
      </c>
      <c r="BF561">
        <f>IFERROR(INDEX(Player_Model!$BG$2:$BG$596,MATCH($A561,Player_Model!$A$2:$A$596,0)),"")</f>
        <v>127</v>
      </c>
      <c r="BG561">
        <f>IFERROR(INDEX(Player_Model!$BE$2:$BE$596,MATCH($A561,Player_Model!$A$2:$A$596,0)),0)</f>
        <v>-0.5829184188393608</v>
      </c>
    </row>
    <row r="562" spans="1:59" x14ac:dyDescent="0.25">
      <c r="A562" t="str">
        <f>tblPlayers[first_name]&amp;" "&amp;tblPlayers[second_name]</f>
        <v>Nikola Milenković</v>
      </c>
      <c r="B562" t="str">
        <f>_xlfn.SWITCH(tblPlayers[element_type],1,"GK",2,"DEF",3,"MID",4,"FWD")</f>
        <v>DEF</v>
      </c>
      <c r="C562">
        <f>tblPlayers[team]</f>
        <v>18</v>
      </c>
      <c r="D562" t="str">
        <f>INDEX(tblTeams[Column1.short_name],MATCH(C562,tblTeams[Column1.id],0))</f>
        <v>NFO</v>
      </c>
      <c r="E562" s="4">
        <f>INDEX(FPL_Raw_Data!$F:$F,MATCH(A562,FPL_Raw_Data!$AA:$AA,0))/10</f>
        <v>5.5</v>
      </c>
      <c r="F562" s="4" t="str">
        <f>tblPlayers[[#This Row],[status]]</f>
        <v>a</v>
      </c>
      <c r="G562" s="4" t="b">
        <f>tblPlayers[[#This Row],[can_select]]</f>
        <v>1</v>
      </c>
      <c r="H562">
        <f>IF(AND(Table8[[#This Row],[Availability Status]]="a",Table8[[#This Row],[Can Select]]=TRUE),1,0)</f>
        <v>1</v>
      </c>
      <c r="I562">
        <f>tblPlayers[minutes]</f>
        <v>270</v>
      </c>
      <c r="J562" s="2">
        <f>Table8[[#This Row],[Minutes]]/90</f>
        <v>3</v>
      </c>
      <c r="K562" s="5">
        <f>IFERROR(Z562/(FIXTURE_ANALYSIS!$B$1-1),0)</f>
        <v>1</v>
      </c>
      <c r="L562">
        <f>tblPlayers[total_points]</f>
        <v>12</v>
      </c>
      <c r="M562">
        <f>tblPlayers[points_per_game]</f>
        <v>4</v>
      </c>
      <c r="N562">
        <f>tblPlayers[form]</f>
        <v>4</v>
      </c>
      <c r="O562">
        <f>tblPlayers[expected_goals]</f>
        <v>0.11</v>
      </c>
      <c r="P562">
        <f>tblPlayers[expected_assists]</f>
        <v>0.03</v>
      </c>
      <c r="Q562">
        <f>tblPlayers[expected_goal_involvements]</f>
        <v>0.14000000000000001</v>
      </c>
      <c r="R562" s="2">
        <f t="shared" si="200"/>
        <v>4</v>
      </c>
      <c r="S562" s="5">
        <f t="shared" si="201"/>
        <v>3.6666666666666667E-2</v>
      </c>
      <c r="T562" s="5">
        <f t="shared" si="202"/>
        <v>9.9999999999999985E-3</v>
      </c>
      <c r="U562" s="5">
        <f t="shared" si="203"/>
        <v>4.6666666666666669E-2</v>
      </c>
      <c r="V562" s="3">
        <f t="shared" si="204"/>
        <v>2.1818181818181817</v>
      </c>
      <c r="W562" s="5">
        <f t="shared" si="205"/>
        <v>2.5454545454545455E-2</v>
      </c>
      <c r="X562" s="5">
        <f>IFERROR(IF(OR($B562="MID",$B562="FWD"),INDEX(FIXTURE_ANALYSIS!$Q:$Q,MATCH($D562,FIXTURE_ANALYSIS!$A:$A,0)),INDEX(FIXTURE_ANALYSIS!$R:$R,MATCH($D562,FIXTURE_ANALYSIS!$A:$A,0))),1)</f>
        <v>1.1658368376787216</v>
      </c>
      <c r="Y562" s="5">
        <f t="shared" si="206"/>
        <v>1.1658368376787216</v>
      </c>
      <c r="Z562" s="8">
        <f>INDEX(FPL_Raw_Data!$T:$T,MATCH(A562,FPL_Raw_Data!$AA:$AA,0))</f>
        <v>3</v>
      </c>
      <c r="AA562" s="8">
        <f>INDEX(FPL_Raw_Data!$S:$S,MATCH(A562,FPL_Raw_Data!$AA:$AA,0))</f>
        <v>31</v>
      </c>
      <c r="AB562" s="2">
        <f t="shared" si="207"/>
        <v>1</v>
      </c>
      <c r="AC562" s="2">
        <f>INDEX(FPL_Raw_Data!$Q:$Q,MATCH(A562,FPL_Raw_Data!$AA:$AA,0))</f>
        <v>0</v>
      </c>
      <c r="AD562" s="8">
        <f>INDEX(FPL_Raw_Data!$R:$R,MATCH(A562,FPL_Raw_Data!$AA:$AA,0))</f>
        <v>34</v>
      </c>
      <c r="AE562" s="8">
        <f>INDEX(FPL_Raw_Data!$N:$N,MATCH(A562,FPL_Raw_Data!$AA:$AA,0))</f>
        <v>1</v>
      </c>
      <c r="AF562" s="8">
        <f>INDEX(FPL_Raw_Data!$L:$L,MATCH(A562,FPL_Raw_Data!$AA:$AA,0))</f>
        <v>0</v>
      </c>
      <c r="AG562" s="2">
        <f>INDEX(FPL_Raw_Data!$M:$M,MATCH(A562,FPL_Raw_Data!$AA:$AA,0))</f>
        <v>0</v>
      </c>
      <c r="AH562" s="2">
        <f t="shared" si="208"/>
        <v>0.22</v>
      </c>
      <c r="AI562" s="2">
        <f t="shared" si="209"/>
        <v>2.9999999999999995E-2</v>
      </c>
      <c r="AJ562" s="2">
        <f t="shared" si="210"/>
        <v>2</v>
      </c>
      <c r="AK562" s="2">
        <f t="shared" si="211"/>
        <v>2</v>
      </c>
      <c r="AL562" s="2">
        <f t="shared" si="212"/>
        <v>0.33333333333333331</v>
      </c>
      <c r="AM562" s="2">
        <f t="shared" si="213"/>
        <v>1.3333333333333333</v>
      </c>
      <c r="AN562" s="2">
        <f t="shared" si="214"/>
        <v>0</v>
      </c>
      <c r="AO562" s="3">
        <f t="shared" si="215"/>
        <v>69.3</v>
      </c>
      <c r="AP562">
        <f t="shared" si="216"/>
        <v>60.4</v>
      </c>
      <c r="AQ562">
        <f t="shared" si="217"/>
        <v>87.8</v>
      </c>
      <c r="AR562">
        <f t="shared" si="218"/>
        <v>69.099999999999994</v>
      </c>
      <c r="AS562" s="2">
        <f t="shared" si="219"/>
        <v>100</v>
      </c>
      <c r="AT562" s="2">
        <f>IFERROR(INDEX(Player_Model!$BC$2:$BC$596,MATCH($A562,Player_Model!$A$2:$A$596,0)),0)</f>
        <v>6.0198544400131837</v>
      </c>
      <c r="AU562" s="2">
        <f>Table8[[#This Row],[Model Expected Points]]*Table8[[#This Row],[Fixture Adjustment]]</f>
        <v>7.0181680636311814</v>
      </c>
      <c r="AV562" s="2">
        <f>Table8[[#This Row],[Fixture Adjusted Points / 90]]/Table8[[#This Row],[Price]]</f>
        <v>1.2760305570238513</v>
      </c>
      <c r="AW562">
        <f t="shared" si="220"/>
        <v>60.4</v>
      </c>
      <c r="AX562">
        <f t="shared" si="221"/>
        <v>1.0829184188393608</v>
      </c>
      <c r="AY562" s="2">
        <f t="shared" si="222"/>
        <v>100</v>
      </c>
      <c r="AZ562" s="5">
        <f t="shared" si="223"/>
        <v>1.1658368376787216</v>
      </c>
      <c r="BA562">
        <f>Table8[[#This Row],[Model Score2]]</f>
        <v>6.0198544400131837</v>
      </c>
      <c r="BB562">
        <f>IFERROR(INDEX(Player_Model!$BG$2:$BG$596,MATCH($A562,Player_Model!$A$2:$A$596,0)),"")</f>
        <v>22</v>
      </c>
      <c r="BC562" t="str">
        <f t="shared" si="224"/>
        <v>AVOID</v>
      </c>
      <c r="BD562">
        <f>IF(H562=1,Table8[[#This Row],[Model Score]],-10000)</f>
        <v>6.0198544400131837</v>
      </c>
      <c r="BE562">
        <f>IFERROR(INDEX(Player_Model!$BF$2:$BF$596,MATCH($A562,Player_Model!$A$2:$A$596,0)),"")</f>
        <v>46</v>
      </c>
      <c r="BF562">
        <f>IFERROR(INDEX(Player_Model!$BG$2:$BG$596,MATCH($A562,Player_Model!$A$2:$A$596,0)),"")</f>
        <v>22</v>
      </c>
      <c r="BG562">
        <f>IFERROR(INDEX(Player_Model!$BE$2:$BE$596,MATCH($A562,Player_Model!$A$2:$A$596,0)),0)</f>
        <v>6.0198544400131837</v>
      </c>
    </row>
    <row r="563" spans="1:59" x14ac:dyDescent="0.25">
      <c r="A563" t="str">
        <f>tblPlayers[first_name]&amp;" "&amp;tblPlayers[second_name]</f>
        <v>Murillo Costa dos Santos</v>
      </c>
      <c r="B563" t="str">
        <f>_xlfn.SWITCH(tblPlayers[element_type],1,"GK",2,"DEF",3,"MID",4,"FWD")</f>
        <v>DEF</v>
      </c>
      <c r="C563">
        <f>tblPlayers[team]</f>
        <v>18</v>
      </c>
      <c r="D563" t="str">
        <f>INDEX(tblTeams[Column1.short_name],MATCH(C563,tblTeams[Column1.id],0))</f>
        <v>NFO</v>
      </c>
      <c r="E563" s="4">
        <f>INDEX(FPL_Raw_Data!$F:$F,MATCH(A563,FPL_Raw_Data!$AA:$AA,0))/10</f>
        <v>5.5</v>
      </c>
      <c r="F563" s="4" t="str">
        <f>tblPlayers[[#This Row],[status]]</f>
        <v>a</v>
      </c>
      <c r="G563" s="4" t="b">
        <f>tblPlayers[[#This Row],[can_select]]</f>
        <v>1</v>
      </c>
      <c r="H563">
        <f>IF(AND(Table8[[#This Row],[Availability Status]]="a",Table8[[#This Row],[Can Select]]=TRUE),1,0)</f>
        <v>1</v>
      </c>
      <c r="I563">
        <f>tblPlayers[minutes]</f>
        <v>269</v>
      </c>
      <c r="J563" s="2">
        <f>Table8[[#This Row],[Minutes]]/90</f>
        <v>2.9888888888888889</v>
      </c>
      <c r="K563" s="5">
        <f>IFERROR(Z563/(FIXTURE_ANALYSIS!$B$1-1),0)</f>
        <v>1</v>
      </c>
      <c r="L563">
        <f>tblPlayers[total_points]</f>
        <v>13</v>
      </c>
      <c r="M563">
        <f>tblPlayers[points_per_game]</f>
        <v>4.3</v>
      </c>
      <c r="N563">
        <f>tblPlayers[form]</f>
        <v>4.3</v>
      </c>
      <c r="O563">
        <f>tblPlayers[expected_goals]</f>
        <v>0.35</v>
      </c>
      <c r="P563">
        <f>tblPlayers[expected_assists]</f>
        <v>0.28000000000000003</v>
      </c>
      <c r="Q563">
        <f>tblPlayers[expected_goal_involvements]</f>
        <v>0.63</v>
      </c>
      <c r="R563" s="2">
        <f t="shared" si="200"/>
        <v>4.3494423791821566</v>
      </c>
      <c r="S563" s="5">
        <f t="shared" si="201"/>
        <v>0.11710037174721188</v>
      </c>
      <c r="T563" s="5">
        <f t="shared" si="202"/>
        <v>9.3680297397769521E-2</v>
      </c>
      <c r="U563" s="5">
        <f t="shared" si="203"/>
        <v>0.21078066914498142</v>
      </c>
      <c r="V563" s="3">
        <f t="shared" si="204"/>
        <v>2.3636363636363638</v>
      </c>
      <c r="W563" s="5">
        <f t="shared" si="205"/>
        <v>0.11454545454545455</v>
      </c>
      <c r="X563" s="5">
        <f>IFERROR(IF(OR($B563="MID",$B563="FWD"),INDEX(FIXTURE_ANALYSIS!$Q:$Q,MATCH($D563,FIXTURE_ANALYSIS!$A:$A,0)),INDEX(FIXTURE_ANALYSIS!$R:$R,MATCH($D563,FIXTURE_ANALYSIS!$A:$A,0))),1)</f>
        <v>1.1658368376787216</v>
      </c>
      <c r="Y563" s="5">
        <f t="shared" si="206"/>
        <v>1.1658368376787216</v>
      </c>
      <c r="Z563" s="8">
        <f>INDEX(FPL_Raw_Data!$T:$T,MATCH(A563,FPL_Raw_Data!$AA:$AA,0))</f>
        <v>3</v>
      </c>
      <c r="AA563" s="8">
        <f>INDEX(FPL_Raw_Data!$S:$S,MATCH(A563,FPL_Raw_Data!$AA:$AA,0))</f>
        <v>30</v>
      </c>
      <c r="AB563" s="2">
        <f t="shared" si="207"/>
        <v>1</v>
      </c>
      <c r="AC563" s="2">
        <f>INDEX(FPL_Raw_Data!$Q:$Q,MATCH(A563,FPL_Raw_Data!$AA:$AA,0))</f>
        <v>0</v>
      </c>
      <c r="AD563" s="8">
        <f>INDEX(FPL_Raw_Data!$R:$R,MATCH(A563,FPL_Raw_Data!$AA:$AA,0))</f>
        <v>42</v>
      </c>
      <c r="AE563" s="8">
        <f>INDEX(FPL_Raw_Data!$N:$N,MATCH(A563,FPL_Raw_Data!$AA:$AA,0))</f>
        <v>1</v>
      </c>
      <c r="AF563" s="8">
        <f>INDEX(FPL_Raw_Data!$L:$L,MATCH(A563,FPL_Raw_Data!$AA:$AA,0))</f>
        <v>0</v>
      </c>
      <c r="AG563" s="2">
        <f>INDEX(FPL_Raw_Data!$M:$M,MATCH(A563,FPL_Raw_Data!$AA:$AA,0))</f>
        <v>0</v>
      </c>
      <c r="AH563" s="2">
        <f t="shared" si="208"/>
        <v>0.70260223048327131</v>
      </c>
      <c r="AI563" s="2">
        <f t="shared" si="209"/>
        <v>0.28104089219330858</v>
      </c>
      <c r="AJ563" s="2">
        <f t="shared" si="210"/>
        <v>2</v>
      </c>
      <c r="AK563" s="2">
        <f t="shared" si="211"/>
        <v>2</v>
      </c>
      <c r="AL563" s="2">
        <f t="shared" si="212"/>
        <v>0.33333333333333331</v>
      </c>
      <c r="AM563" s="2">
        <f t="shared" si="213"/>
        <v>1.3333333333333333</v>
      </c>
      <c r="AN563" s="2">
        <f t="shared" si="214"/>
        <v>0</v>
      </c>
      <c r="AO563" s="3">
        <f t="shared" si="215"/>
        <v>72</v>
      </c>
      <c r="AP563">
        <f t="shared" si="216"/>
        <v>77.2</v>
      </c>
      <c r="AQ563">
        <f t="shared" si="217"/>
        <v>90.4</v>
      </c>
      <c r="AR563">
        <f t="shared" si="218"/>
        <v>86.1</v>
      </c>
      <c r="AS563" s="2">
        <f t="shared" si="219"/>
        <v>100</v>
      </c>
      <c r="AT563" s="2">
        <f>IFERROR(INDEX(Player_Model!$BC$2:$BC$596,MATCH($A563,Player_Model!$A$2:$A$596,0)),0)</f>
        <v>6.7012867551530322</v>
      </c>
      <c r="AU563" s="2">
        <f>Table8[[#This Row],[Model Expected Points]]*Table8[[#This Row],[Fixture Adjustment]]</f>
        <v>7.8126069590059126</v>
      </c>
      <c r="AV563" s="2">
        <f>Table8[[#This Row],[Fixture Adjusted Points / 90]]/Table8[[#This Row],[Price]]</f>
        <v>1.4204739925465295</v>
      </c>
      <c r="AW563">
        <f t="shared" si="220"/>
        <v>77.2</v>
      </c>
      <c r="AX563">
        <f t="shared" si="221"/>
        <v>1.0829184188393608</v>
      </c>
      <c r="AY563" s="2">
        <f t="shared" si="222"/>
        <v>100</v>
      </c>
      <c r="AZ563" s="5">
        <f t="shared" si="223"/>
        <v>1.1658368376787216</v>
      </c>
      <c r="BA563">
        <f>Table8[[#This Row],[Model Score2]]</f>
        <v>6.7012867551530322</v>
      </c>
      <c r="BB563">
        <f>IFERROR(INDEX(Player_Model!$BG$2:$BG$596,MATCH($A563,Player_Model!$A$2:$A$596,0)),"")</f>
        <v>12</v>
      </c>
      <c r="BC563" t="str">
        <f t="shared" si="224"/>
        <v>AVOID</v>
      </c>
      <c r="BD563">
        <f>IF(H563=1,Table8[[#This Row],[Model Score]],-10000)</f>
        <v>6.7012867551530322</v>
      </c>
      <c r="BE563">
        <f>IFERROR(INDEX(Player_Model!$BF$2:$BF$596,MATCH($A563,Player_Model!$A$2:$A$596,0)),"")</f>
        <v>26</v>
      </c>
      <c r="BF563">
        <f>IFERROR(INDEX(Player_Model!$BG$2:$BG$596,MATCH($A563,Player_Model!$A$2:$A$596,0)),"")</f>
        <v>12</v>
      </c>
      <c r="BG563">
        <f>IFERROR(INDEX(Player_Model!$BE$2:$BE$596,MATCH($A563,Player_Model!$A$2:$A$596,0)),0)</f>
        <v>6.7012867551530322</v>
      </c>
    </row>
    <row r="564" spans="1:59" x14ac:dyDescent="0.25">
      <c r="A564" t="str">
        <f>tblPlayers[first_name]&amp;" "&amp;tblPlayers[second_name]</f>
        <v>Ola Aina</v>
      </c>
      <c r="B564" t="str">
        <f>_xlfn.SWITCH(tblPlayers[element_type],1,"GK",2,"DEF",3,"MID",4,"FWD")</f>
        <v>DEF</v>
      </c>
      <c r="C564">
        <f>tblPlayers[team]</f>
        <v>18</v>
      </c>
      <c r="D564" t="str">
        <f>INDEX(tblTeams[Column1.short_name],MATCH(C564,tblTeams[Column1.id],0))</f>
        <v>NFO</v>
      </c>
      <c r="E564" s="4">
        <f>INDEX(FPL_Raw_Data!$F:$F,MATCH(A564,FPL_Raw_Data!$AA:$AA,0))/10</f>
        <v>4.5</v>
      </c>
      <c r="F564" s="4" t="str">
        <f>tblPlayers[[#This Row],[status]]</f>
        <v>a</v>
      </c>
      <c r="G564" s="4" t="b">
        <f>tblPlayers[[#This Row],[can_select]]</f>
        <v>1</v>
      </c>
      <c r="H564">
        <f>IF(AND(Table8[[#This Row],[Availability Status]]="a",Table8[[#This Row],[Can Select]]=TRUE),1,0)</f>
        <v>1</v>
      </c>
      <c r="I564">
        <f>tblPlayers[minutes]</f>
        <v>216</v>
      </c>
      <c r="J564" s="2">
        <f>Table8[[#This Row],[Minutes]]/90</f>
        <v>2.4</v>
      </c>
      <c r="K564" s="5">
        <f>IFERROR(Z564/(FIXTURE_ANALYSIS!$B$1-1),0)</f>
        <v>1</v>
      </c>
      <c r="L564">
        <f>tblPlayers[total_points]</f>
        <v>6</v>
      </c>
      <c r="M564">
        <f>tblPlayers[points_per_game]</f>
        <v>2</v>
      </c>
      <c r="N564">
        <f>tblPlayers[form]</f>
        <v>2</v>
      </c>
      <c r="O564">
        <f>tblPlayers[expected_goals]</f>
        <v>0.04</v>
      </c>
      <c r="P564">
        <f>tblPlayers[expected_assists]</f>
        <v>0.52</v>
      </c>
      <c r="Q564">
        <f>tblPlayers[expected_goal_involvements]</f>
        <v>0.56000000000000005</v>
      </c>
      <c r="R564" s="2">
        <f t="shared" si="200"/>
        <v>2.5</v>
      </c>
      <c r="S564" s="5">
        <f t="shared" si="201"/>
        <v>1.6666666666666666E-2</v>
      </c>
      <c r="T564" s="5">
        <f t="shared" si="202"/>
        <v>0.21666666666666667</v>
      </c>
      <c r="U564" s="5">
        <f t="shared" si="203"/>
        <v>0.23333333333333336</v>
      </c>
      <c r="V564" s="3">
        <f t="shared" si="204"/>
        <v>1.3333333333333333</v>
      </c>
      <c r="W564" s="5">
        <f t="shared" si="205"/>
        <v>0.12444444444444445</v>
      </c>
      <c r="X564" s="5">
        <f>IFERROR(IF(OR($B564="MID",$B564="FWD"),INDEX(FIXTURE_ANALYSIS!$Q:$Q,MATCH($D564,FIXTURE_ANALYSIS!$A:$A,0)),INDEX(FIXTURE_ANALYSIS!$R:$R,MATCH($D564,FIXTURE_ANALYSIS!$A:$A,0))),1)</f>
        <v>1.1658368376787216</v>
      </c>
      <c r="Y564" s="5">
        <f t="shared" si="206"/>
        <v>1.1658368376787216</v>
      </c>
      <c r="Z564" s="8">
        <f>INDEX(FPL_Raw_Data!$T:$T,MATCH(A564,FPL_Raw_Data!$AA:$AA,0))</f>
        <v>3</v>
      </c>
      <c r="AA564" s="8">
        <f>INDEX(FPL_Raw_Data!$S:$S,MATCH(A564,FPL_Raw_Data!$AA:$AA,0))</f>
        <v>14</v>
      </c>
      <c r="AB564" s="2">
        <f t="shared" si="207"/>
        <v>1</v>
      </c>
      <c r="AC564" s="2">
        <f>INDEX(FPL_Raw_Data!$Q:$Q,MATCH(A564,FPL_Raw_Data!$AA:$AA,0))</f>
        <v>0</v>
      </c>
      <c r="AD564" s="8">
        <f>INDEX(FPL_Raw_Data!$R:$R,MATCH(A564,FPL_Raw_Data!$AA:$AA,0))</f>
        <v>34</v>
      </c>
      <c r="AE564" s="8">
        <f>INDEX(FPL_Raw_Data!$N:$N,MATCH(A564,FPL_Raw_Data!$AA:$AA,0))</f>
        <v>1</v>
      </c>
      <c r="AF564" s="8">
        <f>INDEX(FPL_Raw_Data!$L:$L,MATCH(A564,FPL_Raw_Data!$AA:$AA,0))</f>
        <v>0</v>
      </c>
      <c r="AG564" s="2">
        <f>INDEX(FPL_Raw_Data!$M:$M,MATCH(A564,FPL_Raw_Data!$AA:$AA,0))</f>
        <v>0</v>
      </c>
      <c r="AH564" s="2">
        <f t="shared" si="208"/>
        <v>0.1</v>
      </c>
      <c r="AI564" s="2">
        <f t="shared" si="209"/>
        <v>0.65</v>
      </c>
      <c r="AJ564" s="2">
        <f t="shared" si="210"/>
        <v>2</v>
      </c>
      <c r="AK564" s="2">
        <f t="shared" si="211"/>
        <v>2</v>
      </c>
      <c r="AL564" s="2">
        <f t="shared" si="212"/>
        <v>0.33333333333333331</v>
      </c>
      <c r="AM564" s="2">
        <f t="shared" si="213"/>
        <v>1.3333333333333333</v>
      </c>
      <c r="AN564" s="2">
        <f t="shared" si="214"/>
        <v>0</v>
      </c>
      <c r="AO564" s="3">
        <f t="shared" si="215"/>
        <v>52.800000000000004</v>
      </c>
      <c r="AP564">
        <f t="shared" si="216"/>
        <v>78.900000000000006</v>
      </c>
      <c r="AQ564">
        <f t="shared" si="217"/>
        <v>74.900000000000006</v>
      </c>
      <c r="AR564">
        <f t="shared" si="218"/>
        <v>88</v>
      </c>
      <c r="AS564" s="2">
        <f t="shared" si="219"/>
        <v>100</v>
      </c>
      <c r="AT564" s="2">
        <f>IFERROR(INDEX(Player_Model!$BC$2:$BC$596,MATCH($A564,Player_Model!$A$2:$A$596,0)),0)</f>
        <v>5.3892407647133425</v>
      </c>
      <c r="AU564" s="2">
        <f>Table8[[#This Row],[Model Expected Points]]*Table8[[#This Row],[Fixture Adjustment]]</f>
        <v>6.2829754106226581</v>
      </c>
      <c r="AV564" s="2">
        <f>Table8[[#This Row],[Fixture Adjusted Points / 90]]/Table8[[#This Row],[Price]]</f>
        <v>1.3962167579161462</v>
      </c>
      <c r="AW564">
        <f t="shared" si="220"/>
        <v>78.900000000000006</v>
      </c>
      <c r="AX564">
        <f t="shared" si="221"/>
        <v>1.0829184188393608</v>
      </c>
      <c r="AY564" s="2">
        <f t="shared" si="222"/>
        <v>100</v>
      </c>
      <c r="AZ564" s="5">
        <f t="shared" si="223"/>
        <v>1.1658368376787216</v>
      </c>
      <c r="BA564">
        <f>Table8[[#This Row],[Model Score2]]</f>
        <v>5.3892407647133425</v>
      </c>
      <c r="BB564">
        <f>IFERROR(INDEX(Player_Model!$BG$2:$BG$596,MATCH($A564,Player_Model!$A$2:$A$596,0)),"")</f>
        <v>31</v>
      </c>
      <c r="BC564" t="str">
        <f t="shared" si="224"/>
        <v>AVOID</v>
      </c>
      <c r="BD564">
        <f>IF(H564=1,Table8[[#This Row],[Model Score]],-10000)</f>
        <v>5.3892407647133425</v>
      </c>
      <c r="BE564">
        <f>IFERROR(INDEX(Player_Model!$BF$2:$BF$596,MATCH($A564,Player_Model!$A$2:$A$596,0)),"")</f>
        <v>71</v>
      </c>
      <c r="BF564">
        <f>IFERROR(INDEX(Player_Model!$BG$2:$BG$596,MATCH($A564,Player_Model!$A$2:$A$596,0)),"")</f>
        <v>31</v>
      </c>
      <c r="BG564">
        <f>IFERROR(INDEX(Player_Model!$BE$2:$BE$596,MATCH($A564,Player_Model!$A$2:$A$596,0)),0)</f>
        <v>5.3892407647133425</v>
      </c>
    </row>
    <row r="565" spans="1:59" x14ac:dyDescent="0.25">
      <c r="A565" t="str">
        <f>tblPlayers[first_name]&amp;" "&amp;tblPlayers[second_name]</f>
        <v>Jair Paula da Cunha Filho</v>
      </c>
      <c r="B565" t="str">
        <f>_xlfn.SWITCH(tblPlayers[element_type],1,"GK",2,"DEF",3,"MID",4,"FWD")</f>
        <v>DEF</v>
      </c>
      <c r="C565">
        <f>tblPlayers[team]</f>
        <v>18</v>
      </c>
      <c r="D565" t="str">
        <f>INDEX(tblTeams[Column1.short_name],MATCH(C565,tblTeams[Column1.id],0))</f>
        <v>NFO</v>
      </c>
      <c r="E565" s="4">
        <f>INDEX(FPL_Raw_Data!$F:$F,MATCH(A565,FPL_Raw_Data!$AA:$AA,0))/10</f>
        <v>4.5</v>
      </c>
      <c r="F565" s="4" t="str">
        <f>tblPlayers[[#This Row],[status]]</f>
        <v>a</v>
      </c>
      <c r="G565" s="4" t="b">
        <f>tblPlayers[[#This Row],[can_select]]</f>
        <v>1</v>
      </c>
      <c r="H565">
        <f>IF(AND(Table8[[#This Row],[Availability Status]]="a",Table8[[#This Row],[Can Select]]=TRUE),1,0)</f>
        <v>1</v>
      </c>
      <c r="I565">
        <f>tblPlayers[minutes]</f>
        <v>270</v>
      </c>
      <c r="J565" s="2">
        <f>Table8[[#This Row],[Minutes]]/90</f>
        <v>3</v>
      </c>
      <c r="K565" s="5">
        <f>IFERROR(Z565/(FIXTURE_ANALYSIS!$B$1-1),0)</f>
        <v>1</v>
      </c>
      <c r="L565">
        <f>tblPlayers[total_points]</f>
        <v>10</v>
      </c>
      <c r="M565">
        <f>tblPlayers[points_per_game]</f>
        <v>3.3</v>
      </c>
      <c r="N565">
        <f>tblPlayers[form]</f>
        <v>3.3</v>
      </c>
      <c r="O565">
        <f>tblPlayers[expected_goals]</f>
        <v>0.03</v>
      </c>
      <c r="P565">
        <f>tblPlayers[expected_assists]</f>
        <v>0.01</v>
      </c>
      <c r="Q565">
        <f>tblPlayers[expected_goal_involvements]</f>
        <v>0.04</v>
      </c>
      <c r="R565" s="2">
        <f t="shared" si="200"/>
        <v>3.333333333333333</v>
      </c>
      <c r="S565" s="5">
        <f t="shared" si="201"/>
        <v>9.9999999999999985E-3</v>
      </c>
      <c r="T565" s="5">
        <f t="shared" si="202"/>
        <v>3.3333333333333331E-3</v>
      </c>
      <c r="U565" s="5">
        <f t="shared" si="203"/>
        <v>1.3333333333333332E-2</v>
      </c>
      <c r="V565" s="3">
        <f t="shared" si="204"/>
        <v>2.2222222222222223</v>
      </c>
      <c r="W565" s="5">
        <f t="shared" si="205"/>
        <v>8.8888888888888889E-3</v>
      </c>
      <c r="X565" s="5">
        <f>IFERROR(IF(OR($B565="MID",$B565="FWD"),INDEX(FIXTURE_ANALYSIS!$Q:$Q,MATCH($D565,FIXTURE_ANALYSIS!$A:$A,0)),INDEX(FIXTURE_ANALYSIS!$R:$R,MATCH($D565,FIXTURE_ANALYSIS!$A:$A,0))),1)</f>
        <v>1.1658368376787216</v>
      </c>
      <c r="Y565" s="5">
        <f t="shared" si="206"/>
        <v>1.1658368376787216</v>
      </c>
      <c r="Z565" s="8">
        <f>INDEX(FPL_Raw_Data!$T:$T,MATCH(A565,FPL_Raw_Data!$AA:$AA,0))</f>
        <v>3</v>
      </c>
      <c r="AA565" s="8">
        <f>INDEX(FPL_Raw_Data!$S:$S,MATCH(A565,FPL_Raw_Data!$AA:$AA,0))</f>
        <v>28</v>
      </c>
      <c r="AB565" s="2">
        <f t="shared" si="207"/>
        <v>1</v>
      </c>
      <c r="AC565" s="2">
        <f>INDEX(FPL_Raw_Data!$Q:$Q,MATCH(A565,FPL_Raw_Data!$AA:$AA,0))</f>
        <v>0</v>
      </c>
      <c r="AD565" s="8">
        <f>INDEX(FPL_Raw_Data!$R:$R,MATCH(A565,FPL_Raw_Data!$AA:$AA,0))</f>
        <v>35</v>
      </c>
      <c r="AE565" s="8">
        <f>INDEX(FPL_Raw_Data!$N:$N,MATCH(A565,FPL_Raw_Data!$AA:$AA,0))</f>
        <v>1</v>
      </c>
      <c r="AF565" s="8">
        <f>INDEX(FPL_Raw_Data!$L:$L,MATCH(A565,FPL_Raw_Data!$AA:$AA,0))</f>
        <v>0</v>
      </c>
      <c r="AG565" s="2">
        <f>INDEX(FPL_Raw_Data!$M:$M,MATCH(A565,FPL_Raw_Data!$AA:$AA,0))</f>
        <v>0</v>
      </c>
      <c r="AH565" s="2">
        <f t="shared" si="208"/>
        <v>5.9999999999999991E-2</v>
      </c>
      <c r="AI565" s="2">
        <f t="shared" si="209"/>
        <v>9.9999999999999985E-3</v>
      </c>
      <c r="AJ565" s="2">
        <f t="shared" si="210"/>
        <v>2</v>
      </c>
      <c r="AK565" s="2">
        <f t="shared" si="211"/>
        <v>2</v>
      </c>
      <c r="AL565" s="2">
        <f t="shared" si="212"/>
        <v>0.33333333333333331</v>
      </c>
      <c r="AM565" s="2">
        <f t="shared" si="213"/>
        <v>1.3333333333333333</v>
      </c>
      <c r="AN565" s="2">
        <f t="shared" si="214"/>
        <v>0</v>
      </c>
      <c r="AO565" s="3">
        <f t="shared" si="215"/>
        <v>62.2</v>
      </c>
      <c r="AP565">
        <f t="shared" si="216"/>
        <v>54</v>
      </c>
      <c r="AQ565">
        <f t="shared" si="217"/>
        <v>89.2</v>
      </c>
      <c r="AR565">
        <f t="shared" si="218"/>
        <v>59.4</v>
      </c>
      <c r="AS565" s="2">
        <f t="shared" si="219"/>
        <v>100</v>
      </c>
      <c r="AT565" s="2">
        <f>IFERROR(INDEX(Player_Model!$BC$2:$BC$596,MATCH($A565,Player_Model!$A$2:$A$596,0)),0)</f>
        <v>5.5896251317361152</v>
      </c>
      <c r="AU565" s="2">
        <f>Table8[[#This Row],[Model Expected Points]]*Table8[[#This Row],[Fixture Adjustment]]</f>
        <v>6.5165908873927405</v>
      </c>
      <c r="AV565" s="2">
        <f>Table8[[#This Row],[Fixture Adjusted Points / 90]]/Table8[[#This Row],[Price]]</f>
        <v>1.448131308309498</v>
      </c>
      <c r="AW565">
        <f t="shared" si="220"/>
        <v>54</v>
      </c>
      <c r="AX565">
        <f t="shared" si="221"/>
        <v>1.0829184188393608</v>
      </c>
      <c r="AY565" s="2">
        <f t="shared" si="222"/>
        <v>100</v>
      </c>
      <c r="AZ565" s="5">
        <f t="shared" si="223"/>
        <v>1.1658368376787216</v>
      </c>
      <c r="BA565">
        <f>Table8[[#This Row],[Model Score2]]</f>
        <v>5.5896251317361152</v>
      </c>
      <c r="BB565">
        <f>IFERROR(INDEX(Player_Model!$BG$2:$BG$596,MATCH($A565,Player_Model!$A$2:$A$596,0)),"")</f>
        <v>27</v>
      </c>
      <c r="BC565" t="str">
        <f t="shared" si="224"/>
        <v>AVOID</v>
      </c>
      <c r="BD565">
        <f>IF(H565=1,Table8[[#This Row],[Model Score]],-10000)</f>
        <v>5.5896251317361152</v>
      </c>
      <c r="BE565">
        <f>IFERROR(INDEX(Player_Model!$BF$2:$BF$596,MATCH($A565,Player_Model!$A$2:$A$596,0)),"")</f>
        <v>62</v>
      </c>
      <c r="BF565">
        <f>IFERROR(INDEX(Player_Model!$BG$2:$BG$596,MATCH($A565,Player_Model!$A$2:$A$596,0)),"")</f>
        <v>27</v>
      </c>
      <c r="BG565">
        <f>IFERROR(INDEX(Player_Model!$BE$2:$BE$596,MATCH($A565,Player_Model!$A$2:$A$596,0)),0)</f>
        <v>5.5896251317361152</v>
      </c>
    </row>
    <row r="566" spans="1:59" x14ac:dyDescent="0.25">
      <c r="A566" t="str">
        <f>tblPlayers[first_name]&amp;" "&amp;tblPlayers[second_name]</f>
        <v>Nicolò Savona</v>
      </c>
      <c r="B566" t="str">
        <f>_xlfn.SWITCH(tblPlayers[element_type],1,"GK",2,"DEF",3,"MID",4,"FWD")</f>
        <v>DEF</v>
      </c>
      <c r="C566">
        <f>tblPlayers[team]</f>
        <v>18</v>
      </c>
      <c r="D566" t="str">
        <f>INDEX(tblTeams[Column1.short_name],MATCH(C566,tblTeams[Column1.id],0))</f>
        <v>NFO</v>
      </c>
      <c r="E566" s="4">
        <f>INDEX(FPL_Raw_Data!$F:$F,MATCH(A566,FPL_Raw_Data!$AA:$AA,0))/10</f>
        <v>4.5</v>
      </c>
      <c r="F566" s="4" t="str">
        <f>tblPlayers[[#This Row],[status]]</f>
        <v>i</v>
      </c>
      <c r="G566" s="4" t="b">
        <f>tblPlayers[[#This Row],[can_select]]</f>
        <v>1</v>
      </c>
      <c r="H566">
        <f>IF(AND(Table8[[#This Row],[Availability Status]]="a",Table8[[#This Row],[Can Select]]=TRUE),1,0)</f>
        <v>0</v>
      </c>
      <c r="I566">
        <f>tblPlayers[minutes]</f>
        <v>0</v>
      </c>
      <c r="J566" s="2">
        <f>Table8[[#This Row],[Minutes]]/90</f>
        <v>0</v>
      </c>
      <c r="K566" s="5">
        <f>IFERROR(Z566/(FIXTURE_ANALYSIS!$B$1-1),0)</f>
        <v>0</v>
      </c>
      <c r="L566">
        <f>tblPlayers[total_points]</f>
        <v>0</v>
      </c>
      <c r="M566">
        <f>tblPlayers[points_per_game]</f>
        <v>0</v>
      </c>
      <c r="N566">
        <f>tblPlayers[form]</f>
        <v>0</v>
      </c>
      <c r="O566">
        <f>tblPlayers[expected_goals]</f>
        <v>0</v>
      </c>
      <c r="P566">
        <f>tblPlayers[expected_assists]</f>
        <v>0</v>
      </c>
      <c r="Q566">
        <f>tblPlayers[expected_goal_involvements]</f>
        <v>0</v>
      </c>
      <c r="R566" s="2">
        <f t="shared" si="200"/>
        <v>0</v>
      </c>
      <c r="S566" s="5">
        <f t="shared" si="201"/>
        <v>0</v>
      </c>
      <c r="T566" s="5">
        <f t="shared" si="202"/>
        <v>0</v>
      </c>
      <c r="U566" s="5">
        <f t="shared" si="203"/>
        <v>0</v>
      </c>
      <c r="V566" s="3">
        <f t="shared" si="204"/>
        <v>0</v>
      </c>
      <c r="W566" s="5">
        <f t="shared" si="205"/>
        <v>0</v>
      </c>
      <c r="X566" s="5">
        <f>IFERROR(IF(OR($B566="MID",$B566="FWD"),INDEX(FIXTURE_ANALYSIS!$Q:$Q,MATCH($D566,FIXTURE_ANALYSIS!$A:$A,0)),INDEX(FIXTURE_ANALYSIS!$R:$R,MATCH($D566,FIXTURE_ANALYSIS!$A:$A,0))),1)</f>
        <v>1.1658368376787216</v>
      </c>
      <c r="Y566" s="5">
        <f t="shared" si="206"/>
        <v>1.1658368376787216</v>
      </c>
      <c r="Z566" s="8">
        <f>INDEX(FPL_Raw_Data!$T:$T,MATCH(A566,FPL_Raw_Data!$AA:$AA,0))</f>
        <v>0</v>
      </c>
      <c r="AA566" s="8">
        <f>INDEX(FPL_Raw_Data!$S:$S,MATCH(A566,FPL_Raw_Data!$AA:$AA,0))</f>
        <v>0</v>
      </c>
      <c r="AB566" s="2">
        <f t="shared" si="207"/>
        <v>0</v>
      </c>
      <c r="AC566" s="2">
        <f>INDEX(FPL_Raw_Data!$Q:$Q,MATCH(A566,FPL_Raw_Data!$AA:$AA,0))</f>
        <v>0</v>
      </c>
      <c r="AD566" s="8">
        <f>INDEX(FPL_Raw_Data!$R:$R,MATCH(A566,FPL_Raw_Data!$AA:$AA,0))</f>
        <v>0</v>
      </c>
      <c r="AE566" s="8">
        <f>INDEX(FPL_Raw_Data!$N:$N,MATCH(A566,FPL_Raw_Data!$AA:$AA,0))</f>
        <v>0</v>
      </c>
      <c r="AF566" s="8">
        <f>INDEX(FPL_Raw_Data!$L:$L,MATCH(A566,FPL_Raw_Data!$AA:$AA,0))</f>
        <v>0</v>
      </c>
      <c r="AG566" s="2">
        <f>INDEX(FPL_Raw_Data!$M:$M,MATCH(A566,FPL_Raw_Data!$AA:$AA,0))</f>
        <v>0</v>
      </c>
      <c r="AH566" s="2">
        <f t="shared" si="208"/>
        <v>0</v>
      </c>
      <c r="AI566" s="2">
        <f t="shared" si="209"/>
        <v>0</v>
      </c>
      <c r="AJ566" s="2">
        <f t="shared" si="210"/>
        <v>0</v>
      </c>
      <c r="AK566" s="2">
        <f t="shared" si="211"/>
        <v>0</v>
      </c>
      <c r="AL566" s="2">
        <f t="shared" si="212"/>
        <v>0</v>
      </c>
      <c r="AM566" s="2">
        <f t="shared" si="213"/>
        <v>0</v>
      </c>
      <c r="AN566" s="2">
        <f t="shared" si="214"/>
        <v>0</v>
      </c>
      <c r="AO566" s="3">
        <f t="shared" si="215"/>
        <v>0.1</v>
      </c>
      <c r="AP566">
        <f t="shared" si="216"/>
        <v>0</v>
      </c>
      <c r="AQ566">
        <f t="shared" si="217"/>
        <v>0.1</v>
      </c>
      <c r="AR566">
        <f t="shared" si="218"/>
        <v>0</v>
      </c>
      <c r="AS566" s="2">
        <f t="shared" si="219"/>
        <v>0</v>
      </c>
      <c r="AT566" s="2">
        <f>IFERROR(INDEX(Player_Model!$BC$2:$BC$596,MATCH($A566,Player_Model!$A$2:$A$596,0)),0)</f>
        <v>-0.5829184188393608</v>
      </c>
      <c r="AU566" s="2">
        <f>Table8[[#This Row],[Model Expected Points]]*Table8[[#This Row],[Fixture Adjustment]]</f>
        <v>-0.67958776604436089</v>
      </c>
      <c r="AV566" s="2">
        <f>Table8[[#This Row],[Fixture Adjusted Points / 90]]/Table8[[#This Row],[Price]]</f>
        <v>-0.15101950356541352</v>
      </c>
      <c r="AW566">
        <f t="shared" si="220"/>
        <v>0</v>
      </c>
      <c r="AX566">
        <f t="shared" si="221"/>
        <v>0.5829184188393608</v>
      </c>
      <c r="AY566" s="2">
        <f t="shared" si="222"/>
        <v>0</v>
      </c>
      <c r="AZ566" s="5">
        <f t="shared" si="223"/>
        <v>1.1658368376787216</v>
      </c>
      <c r="BA566">
        <f>Table8[[#This Row],[Model Score2]]</f>
        <v>-0.5829184188393608</v>
      </c>
      <c r="BB566">
        <f>IFERROR(INDEX(Player_Model!$BG$2:$BG$596,MATCH($A566,Player_Model!$A$2:$A$596,0)),"")</f>
        <v>128</v>
      </c>
      <c r="BC566" t="str">
        <f t="shared" si="224"/>
        <v>AVOID</v>
      </c>
      <c r="BD566">
        <f>IF(H566=1,Table8[[#This Row],[Model Score]],-10000)</f>
        <v>-10000</v>
      </c>
      <c r="BE566">
        <f>IFERROR(INDEX(Player_Model!$BF$2:$BF$596,MATCH($A566,Player_Model!$A$2:$A$596,0)),"")</f>
        <v>530</v>
      </c>
      <c r="BF566">
        <f>IFERROR(INDEX(Player_Model!$BG$2:$BG$596,MATCH($A566,Player_Model!$A$2:$A$596,0)),"")</f>
        <v>128</v>
      </c>
      <c r="BG566">
        <f>IFERROR(INDEX(Player_Model!$BE$2:$BE$596,MATCH($A566,Player_Model!$A$2:$A$596,0)),0)</f>
        <v>-0.5829184188393608</v>
      </c>
    </row>
    <row r="567" spans="1:59" x14ac:dyDescent="0.25">
      <c r="A567" t="str">
        <f>tblPlayers[first_name]&amp;" "&amp;tblPlayers[second_name]</f>
        <v>Omar Richards</v>
      </c>
      <c r="B567" t="str">
        <f>_xlfn.SWITCH(tblPlayers[element_type],1,"GK",2,"DEF",3,"MID",4,"FWD")</f>
        <v>DEF</v>
      </c>
      <c r="C567">
        <f>tblPlayers[team]</f>
        <v>18</v>
      </c>
      <c r="D567" t="str">
        <f>INDEX(tblTeams[Column1.short_name],MATCH(C567,tblTeams[Column1.id],0))</f>
        <v>NFO</v>
      </c>
      <c r="E567" s="4">
        <f>INDEX(FPL_Raw_Data!$F:$F,MATCH(A567,FPL_Raw_Data!$AA:$AA,0))/10</f>
        <v>4</v>
      </c>
      <c r="F567" s="4" t="str">
        <f>tblPlayers[[#This Row],[status]]</f>
        <v>a</v>
      </c>
      <c r="G567" s="4" t="b">
        <f>tblPlayers[[#This Row],[can_select]]</f>
        <v>1</v>
      </c>
      <c r="H567">
        <f>IF(AND(Table8[[#This Row],[Availability Status]]="a",Table8[[#This Row],[Can Select]]=TRUE),1,0)</f>
        <v>1</v>
      </c>
      <c r="I567">
        <f>tblPlayers[minutes]</f>
        <v>0</v>
      </c>
      <c r="J567" s="2">
        <f>Table8[[#This Row],[Minutes]]/90</f>
        <v>0</v>
      </c>
      <c r="K567" s="5">
        <f>IFERROR(Z567/(FIXTURE_ANALYSIS!$B$1-1),0)</f>
        <v>0</v>
      </c>
      <c r="L567">
        <f>tblPlayers[total_points]</f>
        <v>0</v>
      </c>
      <c r="M567">
        <f>tblPlayers[points_per_game]</f>
        <v>0</v>
      </c>
      <c r="N567">
        <f>tblPlayers[form]</f>
        <v>0</v>
      </c>
      <c r="O567">
        <f>tblPlayers[expected_goals]</f>
        <v>0</v>
      </c>
      <c r="P567">
        <f>tblPlayers[expected_assists]</f>
        <v>0</v>
      </c>
      <c r="Q567">
        <f>tblPlayers[expected_goal_involvements]</f>
        <v>0</v>
      </c>
      <c r="R567" s="2">
        <f t="shared" si="200"/>
        <v>0</v>
      </c>
      <c r="S567" s="5">
        <f t="shared" si="201"/>
        <v>0</v>
      </c>
      <c r="T567" s="5">
        <f t="shared" si="202"/>
        <v>0</v>
      </c>
      <c r="U567" s="5">
        <f t="shared" si="203"/>
        <v>0</v>
      </c>
      <c r="V567" s="3">
        <f t="shared" si="204"/>
        <v>0</v>
      </c>
      <c r="W567" s="5">
        <f t="shared" si="205"/>
        <v>0</v>
      </c>
      <c r="X567" s="5">
        <f>IFERROR(IF(OR($B567="MID",$B567="FWD"),INDEX(FIXTURE_ANALYSIS!$Q:$Q,MATCH($D567,FIXTURE_ANALYSIS!$A:$A,0)),INDEX(FIXTURE_ANALYSIS!$R:$R,MATCH($D567,FIXTURE_ANALYSIS!$A:$A,0))),1)</f>
        <v>1.1658368376787216</v>
      </c>
      <c r="Y567" s="5">
        <f t="shared" si="206"/>
        <v>1.1658368376787216</v>
      </c>
      <c r="Z567" s="8">
        <f>INDEX(FPL_Raw_Data!$T:$T,MATCH(A567,FPL_Raw_Data!$AA:$AA,0))</f>
        <v>0</v>
      </c>
      <c r="AA567" s="8">
        <f>INDEX(FPL_Raw_Data!$S:$S,MATCH(A567,FPL_Raw_Data!$AA:$AA,0))</f>
        <v>0</v>
      </c>
      <c r="AB567" s="2">
        <f t="shared" si="207"/>
        <v>0</v>
      </c>
      <c r="AC567" s="2">
        <f>INDEX(FPL_Raw_Data!$Q:$Q,MATCH(A567,FPL_Raw_Data!$AA:$AA,0))</f>
        <v>0</v>
      </c>
      <c r="AD567" s="8">
        <f>INDEX(FPL_Raw_Data!$R:$R,MATCH(A567,FPL_Raw_Data!$AA:$AA,0))</f>
        <v>0</v>
      </c>
      <c r="AE567" s="8">
        <f>INDEX(FPL_Raw_Data!$N:$N,MATCH(A567,FPL_Raw_Data!$AA:$AA,0))</f>
        <v>0</v>
      </c>
      <c r="AF567" s="8">
        <f>INDEX(FPL_Raw_Data!$L:$L,MATCH(A567,FPL_Raw_Data!$AA:$AA,0))</f>
        <v>0</v>
      </c>
      <c r="AG567" s="2">
        <f>INDEX(FPL_Raw_Data!$M:$M,MATCH(A567,FPL_Raw_Data!$AA:$AA,0))</f>
        <v>0</v>
      </c>
      <c r="AH567" s="2">
        <f t="shared" si="208"/>
        <v>0</v>
      </c>
      <c r="AI567" s="2">
        <f t="shared" si="209"/>
        <v>0</v>
      </c>
      <c r="AJ567" s="2">
        <f t="shared" si="210"/>
        <v>0</v>
      </c>
      <c r="AK567" s="2">
        <f t="shared" si="211"/>
        <v>0</v>
      </c>
      <c r="AL567" s="2">
        <f t="shared" si="212"/>
        <v>0</v>
      </c>
      <c r="AM567" s="2">
        <f t="shared" si="213"/>
        <v>0</v>
      </c>
      <c r="AN567" s="2">
        <f t="shared" si="214"/>
        <v>0</v>
      </c>
      <c r="AO567" s="3">
        <f t="shared" si="215"/>
        <v>0.1</v>
      </c>
      <c r="AP567">
        <f t="shared" si="216"/>
        <v>0</v>
      </c>
      <c r="AQ567">
        <f t="shared" si="217"/>
        <v>0.1</v>
      </c>
      <c r="AR567">
        <f t="shared" si="218"/>
        <v>0</v>
      </c>
      <c r="AS567" s="2">
        <f t="shared" si="219"/>
        <v>0</v>
      </c>
      <c r="AT567" s="2">
        <f>IFERROR(INDEX(Player_Model!$BC$2:$BC$596,MATCH($A567,Player_Model!$A$2:$A$596,0)),0)</f>
        <v>-0.5829184188393608</v>
      </c>
      <c r="AU567" s="2">
        <f>Table8[[#This Row],[Model Expected Points]]*Table8[[#This Row],[Fixture Adjustment]]</f>
        <v>-0.67958776604436089</v>
      </c>
      <c r="AV567" s="2">
        <f>Table8[[#This Row],[Fixture Adjusted Points / 90]]/Table8[[#This Row],[Price]]</f>
        <v>-0.16989694151109022</v>
      </c>
      <c r="AW567">
        <f t="shared" si="220"/>
        <v>0</v>
      </c>
      <c r="AX567">
        <f t="shared" si="221"/>
        <v>0.5829184188393608</v>
      </c>
      <c r="AY567" s="2">
        <f t="shared" si="222"/>
        <v>0</v>
      </c>
      <c r="AZ567" s="5">
        <f t="shared" si="223"/>
        <v>1.1658368376787216</v>
      </c>
      <c r="BA567">
        <f>Table8[[#This Row],[Model Score2]]</f>
        <v>-0.5829184188393608</v>
      </c>
      <c r="BB567">
        <f>IFERROR(INDEX(Player_Model!$BG$2:$BG$596,MATCH($A567,Player_Model!$A$2:$A$596,0)),"")</f>
        <v>129</v>
      </c>
      <c r="BC567" t="str">
        <f t="shared" si="224"/>
        <v>AVOID</v>
      </c>
      <c r="BD567">
        <f>IF(H567=1,Table8[[#This Row],[Model Score]],-10000)</f>
        <v>-0.5829184188393608</v>
      </c>
      <c r="BE567">
        <f>IFERROR(INDEX(Player_Model!$BF$2:$BF$596,MATCH($A567,Player_Model!$A$2:$A$596,0)),"")</f>
        <v>530</v>
      </c>
      <c r="BF567">
        <f>IFERROR(INDEX(Player_Model!$BG$2:$BG$596,MATCH($A567,Player_Model!$A$2:$A$596,0)),"")</f>
        <v>129</v>
      </c>
      <c r="BG567">
        <f>IFERROR(INDEX(Player_Model!$BE$2:$BE$596,MATCH($A567,Player_Model!$A$2:$A$596,0)),0)</f>
        <v>-0.5829184188393608</v>
      </c>
    </row>
    <row r="568" spans="1:59" x14ac:dyDescent="0.25">
      <c r="A568" t="str">
        <f>tblPlayers[first_name]&amp;" "&amp;tblPlayers[second_name]</f>
        <v>Zach Abbott</v>
      </c>
      <c r="B568" t="str">
        <f>_xlfn.SWITCH(tblPlayers[element_type],1,"GK",2,"DEF",3,"MID",4,"FWD")</f>
        <v>DEF</v>
      </c>
      <c r="C568">
        <f>tblPlayers[team]</f>
        <v>18</v>
      </c>
      <c r="D568" t="str">
        <f>INDEX(tblTeams[Column1.short_name],MATCH(C568,tblTeams[Column1.id],0))</f>
        <v>NFO</v>
      </c>
      <c r="E568" s="4">
        <f>INDEX(FPL_Raw_Data!$F:$F,MATCH(A568,FPL_Raw_Data!$AA:$AA,0))/10</f>
        <v>4</v>
      </c>
      <c r="F568" s="4" t="str">
        <f>tblPlayers[[#This Row],[status]]</f>
        <v>u</v>
      </c>
      <c r="G568" s="4" t="b">
        <f>tblPlayers[[#This Row],[can_select]]</f>
        <v>0</v>
      </c>
      <c r="H568">
        <f>IF(AND(Table8[[#This Row],[Availability Status]]="a",Table8[[#This Row],[Can Select]]=TRUE),1,0)</f>
        <v>0</v>
      </c>
      <c r="I568">
        <f>tblPlayers[minutes]</f>
        <v>0</v>
      </c>
      <c r="J568" s="2">
        <f>Table8[[#This Row],[Minutes]]/90</f>
        <v>0</v>
      </c>
      <c r="K568" s="5">
        <f>IFERROR(Z568/(FIXTURE_ANALYSIS!$B$1-1),0)</f>
        <v>0</v>
      </c>
      <c r="L568">
        <f>tblPlayers[total_points]</f>
        <v>0</v>
      </c>
      <c r="M568">
        <f>tblPlayers[points_per_game]</f>
        <v>0</v>
      </c>
      <c r="N568">
        <f>tblPlayers[form]</f>
        <v>0</v>
      </c>
      <c r="O568">
        <f>tblPlayers[expected_goals]</f>
        <v>0</v>
      </c>
      <c r="P568">
        <f>tblPlayers[expected_assists]</f>
        <v>0</v>
      </c>
      <c r="Q568">
        <f>tblPlayers[expected_goal_involvements]</f>
        <v>0</v>
      </c>
      <c r="R568" s="2">
        <f t="shared" si="200"/>
        <v>0</v>
      </c>
      <c r="S568" s="5">
        <f t="shared" si="201"/>
        <v>0</v>
      </c>
      <c r="T568" s="5">
        <f t="shared" si="202"/>
        <v>0</v>
      </c>
      <c r="U568" s="5">
        <f t="shared" si="203"/>
        <v>0</v>
      </c>
      <c r="V568" s="3">
        <f t="shared" si="204"/>
        <v>0</v>
      </c>
      <c r="W568" s="5">
        <f t="shared" si="205"/>
        <v>0</v>
      </c>
      <c r="X568" s="5">
        <f>IFERROR(IF(OR($B568="MID",$B568="FWD"),INDEX(FIXTURE_ANALYSIS!$Q:$Q,MATCH($D568,FIXTURE_ANALYSIS!$A:$A,0)),INDEX(FIXTURE_ANALYSIS!$R:$R,MATCH($D568,FIXTURE_ANALYSIS!$A:$A,0))),1)</f>
        <v>1.1658368376787216</v>
      </c>
      <c r="Y568" s="5">
        <f t="shared" si="206"/>
        <v>1.1658368376787216</v>
      </c>
      <c r="Z568" s="8">
        <f>INDEX(FPL_Raw_Data!$T:$T,MATCH(A568,FPL_Raw_Data!$AA:$AA,0))</f>
        <v>0</v>
      </c>
      <c r="AA568" s="8">
        <f>INDEX(FPL_Raw_Data!$S:$S,MATCH(A568,FPL_Raw_Data!$AA:$AA,0))</f>
        <v>0</v>
      </c>
      <c r="AB568" s="2">
        <f t="shared" si="207"/>
        <v>0</v>
      </c>
      <c r="AC568" s="2">
        <f>INDEX(FPL_Raw_Data!$Q:$Q,MATCH(A568,FPL_Raw_Data!$AA:$AA,0))</f>
        <v>0</v>
      </c>
      <c r="AD568" s="8">
        <f>INDEX(FPL_Raw_Data!$R:$R,MATCH(A568,FPL_Raw_Data!$AA:$AA,0))</f>
        <v>0</v>
      </c>
      <c r="AE568" s="8">
        <f>INDEX(FPL_Raw_Data!$N:$N,MATCH(A568,FPL_Raw_Data!$AA:$AA,0))</f>
        <v>0</v>
      </c>
      <c r="AF568" s="8">
        <f>INDEX(FPL_Raw_Data!$L:$L,MATCH(A568,FPL_Raw_Data!$AA:$AA,0))</f>
        <v>0</v>
      </c>
      <c r="AG568" s="2">
        <f>INDEX(FPL_Raw_Data!$M:$M,MATCH(A568,FPL_Raw_Data!$AA:$AA,0))</f>
        <v>0</v>
      </c>
      <c r="AH568" s="2">
        <f t="shared" si="208"/>
        <v>0</v>
      </c>
      <c r="AI568" s="2">
        <f t="shared" si="209"/>
        <v>0</v>
      </c>
      <c r="AJ568" s="2">
        <f t="shared" si="210"/>
        <v>0</v>
      </c>
      <c r="AK568" s="2">
        <f t="shared" si="211"/>
        <v>0</v>
      </c>
      <c r="AL568" s="2">
        <f t="shared" si="212"/>
        <v>0</v>
      </c>
      <c r="AM568" s="2">
        <f t="shared" si="213"/>
        <v>0</v>
      </c>
      <c r="AN568" s="2">
        <f t="shared" si="214"/>
        <v>0</v>
      </c>
      <c r="AO568" s="3">
        <f t="shared" si="215"/>
        <v>0.1</v>
      </c>
      <c r="AP568">
        <f t="shared" si="216"/>
        <v>0</v>
      </c>
      <c r="AQ568">
        <f t="shared" si="217"/>
        <v>0.1</v>
      </c>
      <c r="AR568">
        <f t="shared" si="218"/>
        <v>0</v>
      </c>
      <c r="AS568" s="2">
        <f t="shared" si="219"/>
        <v>0</v>
      </c>
      <c r="AT568" s="2">
        <f>IFERROR(INDEX(Player_Model!$BC$2:$BC$596,MATCH($A568,Player_Model!$A$2:$A$596,0)),0)</f>
        <v>-0.5829184188393608</v>
      </c>
      <c r="AU568" s="2">
        <f>Table8[[#This Row],[Model Expected Points]]*Table8[[#This Row],[Fixture Adjustment]]</f>
        <v>-0.67958776604436089</v>
      </c>
      <c r="AV568" s="2">
        <f>Table8[[#This Row],[Fixture Adjusted Points / 90]]/Table8[[#This Row],[Price]]</f>
        <v>-0.16989694151109022</v>
      </c>
      <c r="AW568">
        <f t="shared" si="220"/>
        <v>0</v>
      </c>
      <c r="AX568">
        <f t="shared" si="221"/>
        <v>0.5829184188393608</v>
      </c>
      <c r="AY568" s="2">
        <f t="shared" si="222"/>
        <v>0</v>
      </c>
      <c r="AZ568" s="5">
        <f t="shared" si="223"/>
        <v>1.1658368376787216</v>
      </c>
      <c r="BA568">
        <f>Table8[[#This Row],[Model Score2]]</f>
        <v>-0.5829184188393608</v>
      </c>
      <c r="BB568">
        <f>IFERROR(INDEX(Player_Model!$BG$2:$BG$596,MATCH($A568,Player_Model!$A$2:$A$596,0)),"")</f>
        <v>130</v>
      </c>
      <c r="BC568" t="str">
        <f t="shared" si="224"/>
        <v>AVOID</v>
      </c>
      <c r="BD568">
        <f>IF(H568=1,Table8[[#This Row],[Model Score]],-10000)</f>
        <v>-10000</v>
      </c>
      <c r="BE568">
        <f>IFERROR(INDEX(Player_Model!$BF$2:$BF$596,MATCH($A568,Player_Model!$A$2:$A$596,0)),"")</f>
        <v>530</v>
      </c>
      <c r="BF568">
        <f>IFERROR(INDEX(Player_Model!$BG$2:$BG$596,MATCH($A568,Player_Model!$A$2:$A$596,0)),"")</f>
        <v>130</v>
      </c>
      <c r="BG568">
        <f>IFERROR(INDEX(Player_Model!$BE$2:$BE$596,MATCH($A568,Player_Model!$A$2:$A$596,0)),0)</f>
        <v>-0.5829184188393608</v>
      </c>
    </row>
    <row r="569" spans="1:59" x14ac:dyDescent="0.25">
      <c r="A569" t="str">
        <f>tblPlayers[first_name]&amp;" "&amp;tblPlayers[second_name]</f>
        <v>Luca Netz</v>
      </c>
      <c r="B569" t="str">
        <f>_xlfn.SWITCH(tblPlayers[element_type],1,"GK",2,"DEF",3,"MID",4,"FWD")</f>
        <v>DEF</v>
      </c>
      <c r="C569">
        <f>tblPlayers[team]</f>
        <v>18</v>
      </c>
      <c r="D569" t="str">
        <f>INDEX(tblTeams[Column1.short_name],MATCH(C569,tblTeams[Column1.id],0))</f>
        <v>NFO</v>
      </c>
      <c r="E569" s="4">
        <f>INDEX(FPL_Raw_Data!$F:$F,MATCH(A569,FPL_Raw_Data!$AA:$AA,0))/10</f>
        <v>4.5</v>
      </c>
      <c r="F569" s="4" t="str">
        <f>tblPlayers[[#This Row],[status]]</f>
        <v>a</v>
      </c>
      <c r="G569" s="4" t="b">
        <f>tblPlayers[[#This Row],[can_select]]</f>
        <v>1</v>
      </c>
      <c r="H569">
        <f>IF(AND(Table8[[#This Row],[Availability Status]]="a",Table8[[#This Row],[Can Select]]=TRUE),1,0)</f>
        <v>1</v>
      </c>
      <c r="I569">
        <f>tblPlayers[minutes]</f>
        <v>20</v>
      </c>
      <c r="J569" s="2">
        <f>Table8[[#This Row],[Minutes]]/90</f>
        <v>0.22222222222222221</v>
      </c>
      <c r="K569" s="5">
        <f>IFERROR(Z569/(FIXTURE_ANALYSIS!$B$1-1),0)</f>
        <v>0</v>
      </c>
      <c r="L569">
        <f>tblPlayers[total_points]</f>
        <v>2</v>
      </c>
      <c r="M569">
        <f>tblPlayers[points_per_game]</f>
        <v>1</v>
      </c>
      <c r="N569">
        <f>tblPlayers[form]</f>
        <v>0.7</v>
      </c>
      <c r="O569">
        <f>tblPlayers[expected_goals]</f>
        <v>0</v>
      </c>
      <c r="P569">
        <f>tblPlayers[expected_assists]</f>
        <v>0</v>
      </c>
      <c r="Q569">
        <f>tblPlayers[expected_goal_involvements]</f>
        <v>0</v>
      </c>
      <c r="R569" s="2">
        <f t="shared" si="200"/>
        <v>9</v>
      </c>
      <c r="S569" s="5">
        <f t="shared" si="201"/>
        <v>0</v>
      </c>
      <c r="T569" s="5">
        <f t="shared" si="202"/>
        <v>0</v>
      </c>
      <c r="U569" s="5">
        <f t="shared" si="203"/>
        <v>0</v>
      </c>
      <c r="V569" s="3">
        <f t="shared" si="204"/>
        <v>0.44444444444444442</v>
      </c>
      <c r="W569" s="5">
        <f t="shared" si="205"/>
        <v>0</v>
      </c>
      <c r="X569" s="5">
        <f>IFERROR(IF(OR($B569="MID",$B569="FWD"),INDEX(FIXTURE_ANALYSIS!$Q:$Q,MATCH($D569,FIXTURE_ANALYSIS!$A:$A,0)),INDEX(FIXTURE_ANALYSIS!$R:$R,MATCH($D569,FIXTURE_ANALYSIS!$A:$A,0))),1)</f>
        <v>1.1658368376787216</v>
      </c>
      <c r="Y569" s="5">
        <f t="shared" si="206"/>
        <v>1.1658368376787216</v>
      </c>
      <c r="Z569" s="8">
        <f>INDEX(FPL_Raw_Data!$T:$T,MATCH(A569,FPL_Raw_Data!$AA:$AA,0))</f>
        <v>0</v>
      </c>
      <c r="AA569" s="8">
        <f>INDEX(FPL_Raw_Data!$S:$S,MATCH(A569,FPL_Raw_Data!$AA:$AA,0))</f>
        <v>1</v>
      </c>
      <c r="AB569" s="2">
        <f t="shared" si="207"/>
        <v>0.1</v>
      </c>
      <c r="AC569" s="2">
        <f>INDEX(FPL_Raw_Data!$Q:$Q,MATCH(A569,FPL_Raw_Data!$AA:$AA,0))</f>
        <v>0</v>
      </c>
      <c r="AD569" s="8">
        <f>INDEX(FPL_Raw_Data!$R:$R,MATCH(A569,FPL_Raw_Data!$AA:$AA,0))</f>
        <v>3</v>
      </c>
      <c r="AE569" s="8">
        <f>INDEX(FPL_Raw_Data!$N:$N,MATCH(A569,FPL_Raw_Data!$AA:$AA,0))</f>
        <v>0</v>
      </c>
      <c r="AF569" s="8">
        <f>INDEX(FPL_Raw_Data!$L:$L,MATCH(A569,FPL_Raw_Data!$AA:$AA,0))</f>
        <v>0</v>
      </c>
      <c r="AG569" s="2">
        <f>INDEX(FPL_Raw_Data!$M:$M,MATCH(A569,FPL_Raw_Data!$AA:$AA,0))</f>
        <v>0</v>
      </c>
      <c r="AH569" s="2">
        <f t="shared" si="208"/>
        <v>0</v>
      </c>
      <c r="AI569" s="2">
        <f t="shared" si="209"/>
        <v>0</v>
      </c>
      <c r="AJ569" s="2">
        <f t="shared" si="210"/>
        <v>0</v>
      </c>
      <c r="AK569" s="2">
        <f t="shared" si="211"/>
        <v>0.2</v>
      </c>
      <c r="AL569" s="2">
        <f t="shared" si="212"/>
        <v>0</v>
      </c>
      <c r="AM569" s="2">
        <f t="shared" si="213"/>
        <v>0</v>
      </c>
      <c r="AN569" s="2">
        <f t="shared" si="214"/>
        <v>0</v>
      </c>
      <c r="AO569" s="3">
        <f t="shared" si="215"/>
        <v>91.4</v>
      </c>
      <c r="AP569">
        <f t="shared" si="216"/>
        <v>0</v>
      </c>
      <c r="AQ569">
        <f t="shared" si="217"/>
        <v>56.000000000000007</v>
      </c>
      <c r="AR569">
        <f t="shared" si="218"/>
        <v>0</v>
      </c>
      <c r="AS569" s="2">
        <f t="shared" si="219"/>
        <v>0</v>
      </c>
      <c r="AT569" s="2">
        <f>IFERROR(INDEX(Player_Model!$BC$2:$BC$596,MATCH($A569,Player_Model!$A$2:$A$596,0)),0)</f>
        <v>-0.5829184188393608</v>
      </c>
      <c r="AU569" s="2">
        <f>Table8[[#This Row],[Model Expected Points]]*Table8[[#This Row],[Fixture Adjustment]]</f>
        <v>-0.67958776604436089</v>
      </c>
      <c r="AV569" s="2">
        <f>Table8[[#This Row],[Fixture Adjusted Points / 90]]/Table8[[#This Row],[Price]]</f>
        <v>-0.15101950356541352</v>
      </c>
      <c r="AW569">
        <f t="shared" si="220"/>
        <v>0</v>
      </c>
      <c r="AX569">
        <f t="shared" si="221"/>
        <v>0.63291841883936084</v>
      </c>
      <c r="AY569" s="2">
        <f t="shared" si="222"/>
        <v>0</v>
      </c>
      <c r="AZ569" s="5">
        <f t="shared" si="223"/>
        <v>1.1658368376787216</v>
      </c>
      <c r="BA569">
        <f>Table8[[#This Row],[Model Score2]]</f>
        <v>-0.5829184188393608</v>
      </c>
      <c r="BB569">
        <f>IFERROR(INDEX(Player_Model!$BG$2:$BG$596,MATCH($A569,Player_Model!$A$2:$A$596,0)),"")</f>
        <v>131</v>
      </c>
      <c r="BC569" t="str">
        <f t="shared" si="224"/>
        <v>AVOID</v>
      </c>
      <c r="BD569">
        <f>IF(H569=1,Table8[[#This Row],[Model Score]],-10000)</f>
        <v>-0.5829184188393608</v>
      </c>
      <c r="BE569">
        <f>IFERROR(INDEX(Player_Model!$BF$2:$BF$596,MATCH($A569,Player_Model!$A$2:$A$596,0)),"")</f>
        <v>530</v>
      </c>
      <c r="BF569">
        <f>IFERROR(INDEX(Player_Model!$BG$2:$BG$596,MATCH($A569,Player_Model!$A$2:$A$596,0)),"")</f>
        <v>131</v>
      </c>
      <c r="BG569">
        <f>IFERROR(INDEX(Player_Model!$BE$2:$BE$596,MATCH($A569,Player_Model!$A$2:$A$596,0)),0)</f>
        <v>-0.5829184188393608</v>
      </c>
    </row>
    <row r="570" spans="1:59" x14ac:dyDescent="0.25">
      <c r="A570" t="str">
        <f>tblPlayers[first_name]&amp;" "&amp;tblPlayers[second_name]</f>
        <v>Tyler Bindon</v>
      </c>
      <c r="B570" t="str">
        <f>_xlfn.SWITCH(tblPlayers[element_type],1,"GK",2,"DEF",3,"MID",4,"FWD")</f>
        <v>DEF</v>
      </c>
      <c r="C570">
        <f>tblPlayers[team]</f>
        <v>18</v>
      </c>
      <c r="D570" t="str">
        <f>INDEX(tblTeams[Column1.short_name],MATCH(C570,tblTeams[Column1.id],0))</f>
        <v>NFO</v>
      </c>
      <c r="E570" s="4">
        <f>INDEX(FPL_Raw_Data!$F:$F,MATCH(A570,FPL_Raw_Data!$AA:$AA,0))/10</f>
        <v>4</v>
      </c>
      <c r="F570" s="4" t="str">
        <f>tblPlayers[[#This Row],[status]]</f>
        <v>u</v>
      </c>
      <c r="G570" s="4" t="b">
        <f>tblPlayers[[#This Row],[can_select]]</f>
        <v>0</v>
      </c>
      <c r="H570">
        <f>IF(AND(Table8[[#This Row],[Availability Status]]="a",Table8[[#This Row],[Can Select]]=TRUE),1,0)</f>
        <v>0</v>
      </c>
      <c r="I570">
        <f>tblPlayers[minutes]</f>
        <v>0</v>
      </c>
      <c r="J570" s="2">
        <f>Table8[[#This Row],[Minutes]]/90</f>
        <v>0</v>
      </c>
      <c r="K570" s="5">
        <f>IFERROR(Z570/(FIXTURE_ANALYSIS!$B$1-1),0)</f>
        <v>0</v>
      </c>
      <c r="L570">
        <f>tblPlayers[total_points]</f>
        <v>0</v>
      </c>
      <c r="M570">
        <f>tblPlayers[points_per_game]</f>
        <v>0</v>
      </c>
      <c r="N570">
        <f>tblPlayers[form]</f>
        <v>0</v>
      </c>
      <c r="O570">
        <f>tblPlayers[expected_goals]</f>
        <v>0</v>
      </c>
      <c r="P570">
        <f>tblPlayers[expected_assists]</f>
        <v>0</v>
      </c>
      <c r="Q570">
        <f>tblPlayers[expected_goal_involvements]</f>
        <v>0</v>
      </c>
      <c r="R570" s="2">
        <f t="shared" si="200"/>
        <v>0</v>
      </c>
      <c r="S570" s="5">
        <f t="shared" si="201"/>
        <v>0</v>
      </c>
      <c r="T570" s="5">
        <f t="shared" si="202"/>
        <v>0</v>
      </c>
      <c r="U570" s="5">
        <f t="shared" si="203"/>
        <v>0</v>
      </c>
      <c r="V570" s="3">
        <f t="shared" si="204"/>
        <v>0</v>
      </c>
      <c r="W570" s="5">
        <f t="shared" si="205"/>
        <v>0</v>
      </c>
      <c r="X570" s="5">
        <f>IFERROR(IF(OR($B570="MID",$B570="FWD"),INDEX(FIXTURE_ANALYSIS!$Q:$Q,MATCH($D570,FIXTURE_ANALYSIS!$A:$A,0)),INDEX(FIXTURE_ANALYSIS!$R:$R,MATCH($D570,FIXTURE_ANALYSIS!$A:$A,0))),1)</f>
        <v>1.1658368376787216</v>
      </c>
      <c r="Y570" s="5">
        <f t="shared" si="206"/>
        <v>1.1658368376787216</v>
      </c>
      <c r="Z570" s="8">
        <f>INDEX(FPL_Raw_Data!$T:$T,MATCH(A570,FPL_Raw_Data!$AA:$AA,0))</f>
        <v>0</v>
      </c>
      <c r="AA570" s="8">
        <f>INDEX(FPL_Raw_Data!$S:$S,MATCH(A570,FPL_Raw_Data!$AA:$AA,0))</f>
        <v>0</v>
      </c>
      <c r="AB570" s="2">
        <f t="shared" si="207"/>
        <v>0</v>
      </c>
      <c r="AC570" s="2">
        <f>INDEX(FPL_Raw_Data!$Q:$Q,MATCH(A570,FPL_Raw_Data!$AA:$AA,0))</f>
        <v>0</v>
      </c>
      <c r="AD570" s="8">
        <f>INDEX(FPL_Raw_Data!$R:$R,MATCH(A570,FPL_Raw_Data!$AA:$AA,0))</f>
        <v>0</v>
      </c>
      <c r="AE570" s="8">
        <f>INDEX(FPL_Raw_Data!$N:$N,MATCH(A570,FPL_Raw_Data!$AA:$AA,0))</f>
        <v>0</v>
      </c>
      <c r="AF570" s="8">
        <f>INDEX(FPL_Raw_Data!$L:$L,MATCH(A570,FPL_Raw_Data!$AA:$AA,0))</f>
        <v>0</v>
      </c>
      <c r="AG570" s="2">
        <f>INDEX(FPL_Raw_Data!$M:$M,MATCH(A570,FPL_Raw_Data!$AA:$AA,0))</f>
        <v>0</v>
      </c>
      <c r="AH570" s="2">
        <f t="shared" si="208"/>
        <v>0</v>
      </c>
      <c r="AI570" s="2">
        <f t="shared" si="209"/>
        <v>0</v>
      </c>
      <c r="AJ570" s="2">
        <f t="shared" si="210"/>
        <v>0</v>
      </c>
      <c r="AK570" s="2">
        <f t="shared" si="211"/>
        <v>0</v>
      </c>
      <c r="AL570" s="2">
        <f t="shared" si="212"/>
        <v>0</v>
      </c>
      <c r="AM570" s="2">
        <f t="shared" si="213"/>
        <v>0</v>
      </c>
      <c r="AN570" s="2">
        <f t="shared" si="214"/>
        <v>0</v>
      </c>
      <c r="AO570" s="3">
        <f t="shared" si="215"/>
        <v>0.1</v>
      </c>
      <c r="AP570">
        <f t="shared" si="216"/>
        <v>0</v>
      </c>
      <c r="AQ570">
        <f t="shared" si="217"/>
        <v>0.1</v>
      </c>
      <c r="AR570">
        <f t="shared" si="218"/>
        <v>0</v>
      </c>
      <c r="AS570" s="2">
        <f t="shared" si="219"/>
        <v>0</v>
      </c>
      <c r="AT570" s="2">
        <f>IFERROR(INDEX(Player_Model!$BC$2:$BC$596,MATCH($A570,Player_Model!$A$2:$A$596,0)),0)</f>
        <v>-0.5829184188393608</v>
      </c>
      <c r="AU570" s="2">
        <f>Table8[[#This Row],[Model Expected Points]]*Table8[[#This Row],[Fixture Adjustment]]</f>
        <v>-0.67958776604436089</v>
      </c>
      <c r="AV570" s="2">
        <f>Table8[[#This Row],[Fixture Adjusted Points / 90]]/Table8[[#This Row],[Price]]</f>
        <v>-0.16989694151109022</v>
      </c>
      <c r="AW570">
        <f t="shared" si="220"/>
        <v>0</v>
      </c>
      <c r="AX570">
        <f t="shared" si="221"/>
        <v>0.5829184188393608</v>
      </c>
      <c r="AY570" s="2">
        <f t="shared" si="222"/>
        <v>0</v>
      </c>
      <c r="AZ570" s="5">
        <f t="shared" si="223"/>
        <v>1.1658368376787216</v>
      </c>
      <c r="BA570">
        <f>Table8[[#This Row],[Model Score2]]</f>
        <v>-0.5829184188393608</v>
      </c>
      <c r="BB570">
        <f>IFERROR(INDEX(Player_Model!$BG$2:$BG$596,MATCH($A570,Player_Model!$A$2:$A$596,0)),"")</f>
        <v>132</v>
      </c>
      <c r="BC570" t="str">
        <f t="shared" si="224"/>
        <v>AVOID</v>
      </c>
      <c r="BD570">
        <f>IF(H570=1,Table8[[#This Row],[Model Score]],-10000)</f>
        <v>-10000</v>
      </c>
      <c r="BE570">
        <f>IFERROR(INDEX(Player_Model!$BF$2:$BF$596,MATCH($A570,Player_Model!$A$2:$A$596,0)),"")</f>
        <v>530</v>
      </c>
      <c r="BF570">
        <f>IFERROR(INDEX(Player_Model!$BG$2:$BG$596,MATCH($A570,Player_Model!$A$2:$A$596,0)),"")</f>
        <v>132</v>
      </c>
      <c r="BG570">
        <f>IFERROR(INDEX(Player_Model!$BE$2:$BE$596,MATCH($A570,Player_Model!$A$2:$A$596,0)),0)</f>
        <v>-0.5829184188393608</v>
      </c>
    </row>
    <row r="571" spans="1:59" x14ac:dyDescent="0.25">
      <c r="A571" t="str">
        <f>tblPlayers[first_name]&amp;" "&amp;tblPlayers[second_name]</f>
        <v>Morgan Gibbs-White</v>
      </c>
      <c r="B571" t="str">
        <f>_xlfn.SWITCH(tblPlayers[element_type],1,"GK",2,"DEF",3,"MID",4,"FWD")</f>
        <v>MID</v>
      </c>
      <c r="C571">
        <f>tblPlayers[team]</f>
        <v>18</v>
      </c>
      <c r="D571" t="str">
        <f>INDEX(tblTeams[Column1.short_name],MATCH(C571,tblTeams[Column1.id],0))</f>
        <v>NFO</v>
      </c>
      <c r="E571" s="4">
        <f>INDEX(FPL_Raw_Data!$F:$F,MATCH(A571,FPL_Raw_Data!$AA:$AA,0))/10</f>
        <v>7.9</v>
      </c>
      <c r="F571" s="4" t="str">
        <f>tblPlayers[[#This Row],[status]]</f>
        <v>a</v>
      </c>
      <c r="G571" s="4" t="b">
        <f>tblPlayers[[#This Row],[can_select]]</f>
        <v>1</v>
      </c>
      <c r="H571">
        <f>IF(AND(Table8[[#This Row],[Availability Status]]="a",Table8[[#This Row],[Can Select]]=TRUE),1,0)</f>
        <v>1</v>
      </c>
      <c r="I571">
        <f>tblPlayers[minutes]</f>
        <v>270</v>
      </c>
      <c r="J571" s="2">
        <f>Table8[[#This Row],[Minutes]]/90</f>
        <v>3</v>
      </c>
      <c r="K571" s="5">
        <f>IFERROR(Z571/(FIXTURE_ANALYSIS!$B$1-1),0)</f>
        <v>1</v>
      </c>
      <c r="L571">
        <f>tblPlayers[total_points]</f>
        <v>18</v>
      </c>
      <c r="M571">
        <f>tblPlayers[points_per_game]</f>
        <v>6</v>
      </c>
      <c r="N571">
        <f>tblPlayers[form]</f>
        <v>6</v>
      </c>
      <c r="O571">
        <f>tblPlayers[expected_goals]</f>
        <v>1.4</v>
      </c>
      <c r="P571">
        <f>tblPlayers[expected_assists]</f>
        <v>0.11</v>
      </c>
      <c r="Q571">
        <f>tblPlayers[expected_goal_involvements]</f>
        <v>1.51</v>
      </c>
      <c r="R571" s="2">
        <f t="shared" si="200"/>
        <v>6</v>
      </c>
      <c r="S571" s="5">
        <f t="shared" si="201"/>
        <v>0.46666666666666667</v>
      </c>
      <c r="T571" s="5">
        <f t="shared" si="202"/>
        <v>3.6666666666666667E-2</v>
      </c>
      <c r="U571" s="5">
        <f t="shared" si="203"/>
        <v>0.5033333333333333</v>
      </c>
      <c r="V571" s="3">
        <f t="shared" si="204"/>
        <v>2.2784810126582276</v>
      </c>
      <c r="W571" s="5">
        <f t="shared" si="205"/>
        <v>0.19113924050632911</v>
      </c>
      <c r="X571" s="5">
        <f>IFERROR(IF(OR($B571="MID",$B571="FWD"),INDEX(FIXTURE_ANALYSIS!$Q:$Q,MATCH($D571,FIXTURE_ANALYSIS!$A:$A,0)),INDEX(FIXTURE_ANALYSIS!$R:$R,MATCH($D571,FIXTURE_ANALYSIS!$A:$A,0))),1)</f>
        <v>0.87800173010380622</v>
      </c>
      <c r="Y571" s="5">
        <f t="shared" si="206"/>
        <v>0.87800173010380622</v>
      </c>
      <c r="Z571" s="8">
        <f>INDEX(FPL_Raw_Data!$T:$T,MATCH(A571,FPL_Raw_Data!$AA:$AA,0))</f>
        <v>3</v>
      </c>
      <c r="AA571" s="8">
        <f>INDEX(FPL_Raw_Data!$S:$S,MATCH(A571,FPL_Raw_Data!$AA:$AA,0))</f>
        <v>15</v>
      </c>
      <c r="AB571" s="2">
        <f t="shared" si="207"/>
        <v>1</v>
      </c>
      <c r="AC571" s="2">
        <f>INDEX(FPL_Raw_Data!$Q:$Q,MATCH(A571,FPL_Raw_Data!$AA:$AA,0))</f>
        <v>3</v>
      </c>
      <c r="AD571" s="8">
        <f>INDEX(FPL_Raw_Data!$R:$R,MATCH(A571,FPL_Raw_Data!$AA:$AA,0))</f>
        <v>49</v>
      </c>
      <c r="AE571" s="8">
        <f>INDEX(FPL_Raw_Data!$N:$N,MATCH(A571,FPL_Raw_Data!$AA:$AA,0))</f>
        <v>1</v>
      </c>
      <c r="AF571" s="8">
        <f>INDEX(FPL_Raw_Data!$L:$L,MATCH(A571,FPL_Raw_Data!$AA:$AA,0))</f>
        <v>1</v>
      </c>
      <c r="AG571" s="2">
        <f>INDEX(FPL_Raw_Data!$M:$M,MATCH(A571,FPL_Raw_Data!$AA:$AA,0))</f>
        <v>1</v>
      </c>
      <c r="AH571" s="2">
        <f t="shared" si="208"/>
        <v>2.3333333333333335</v>
      </c>
      <c r="AI571" s="2">
        <f t="shared" si="209"/>
        <v>0.11</v>
      </c>
      <c r="AJ571" s="2">
        <f t="shared" si="210"/>
        <v>2</v>
      </c>
      <c r="AK571" s="2">
        <f t="shared" si="211"/>
        <v>2</v>
      </c>
      <c r="AL571" s="2">
        <f t="shared" si="212"/>
        <v>0.33333333333333331</v>
      </c>
      <c r="AM571" s="2">
        <f t="shared" si="213"/>
        <v>0.33333333333333331</v>
      </c>
      <c r="AN571" s="2">
        <f t="shared" si="214"/>
        <v>1</v>
      </c>
      <c r="AO571" s="3">
        <f t="shared" si="215"/>
        <v>81.3</v>
      </c>
      <c r="AP571">
        <f t="shared" si="216"/>
        <v>92</v>
      </c>
      <c r="AQ571">
        <f t="shared" si="217"/>
        <v>89.8</v>
      </c>
      <c r="AR571">
        <f t="shared" si="218"/>
        <v>93.899999999999991</v>
      </c>
      <c r="AS571" s="2">
        <f t="shared" si="219"/>
        <v>100</v>
      </c>
      <c r="AT571" s="2">
        <f>IFERROR(INDEX(Player_Model!$BC$2:$BC$596,MATCH($A571,Player_Model!$A$2:$A$596,0)),0)</f>
        <v>4.8564199122349407</v>
      </c>
      <c r="AU571" s="2">
        <f>Table8[[#This Row],[Model Expected Points]]*Table8[[#This Row],[Fixture Adjustment]]</f>
        <v>4.2639450850528524</v>
      </c>
      <c r="AV571" s="2">
        <f>Table8[[#This Row],[Fixture Adjusted Points / 90]]/Table8[[#This Row],[Price]]</f>
        <v>0.53973988418390539</v>
      </c>
      <c r="AW571">
        <f t="shared" si="220"/>
        <v>86.65</v>
      </c>
      <c r="AX571">
        <f t="shared" si="221"/>
        <v>1</v>
      </c>
      <c r="AY571" s="2">
        <f t="shared" si="222"/>
        <v>100</v>
      </c>
      <c r="AZ571" s="5">
        <f t="shared" si="223"/>
        <v>0.87800173010380622</v>
      </c>
      <c r="BA571">
        <f>Table8[[#This Row],[Model Score2]]</f>
        <v>4.8564199122349407</v>
      </c>
      <c r="BB571">
        <f>IFERROR(INDEX(Player_Model!$BG$2:$BG$596,MATCH($A571,Player_Model!$A$2:$A$596,0)),"")</f>
        <v>49</v>
      </c>
      <c r="BC571" t="str">
        <f t="shared" si="224"/>
        <v>AVOID</v>
      </c>
      <c r="BD571">
        <f>IF(H571=1,Table8[[#This Row],[Model Score]],-10000)</f>
        <v>4.8564199122349407</v>
      </c>
      <c r="BE571">
        <f>IFERROR(INDEX(Player_Model!$BF$2:$BF$596,MATCH($A571,Player_Model!$A$2:$A$596,0)),"")</f>
        <v>106</v>
      </c>
      <c r="BF571">
        <f>IFERROR(INDEX(Player_Model!$BG$2:$BG$596,MATCH($A571,Player_Model!$A$2:$A$596,0)),"")</f>
        <v>49</v>
      </c>
      <c r="BG571">
        <f>IFERROR(INDEX(Player_Model!$BE$2:$BE$596,MATCH($A571,Player_Model!$A$2:$A$596,0)),0)</f>
        <v>4.8564199122349407</v>
      </c>
    </row>
    <row r="572" spans="1:59" x14ac:dyDescent="0.25">
      <c r="A572" t="str">
        <f>tblPlayers[first_name]&amp;" "&amp;tblPlayers[second_name]</f>
        <v>Callum Hudson-Odoi</v>
      </c>
      <c r="B572" t="str">
        <f>_xlfn.SWITCH(tblPlayers[element_type],1,"GK",2,"DEF",3,"MID",4,"FWD")</f>
        <v>MID</v>
      </c>
      <c r="C572">
        <f>tblPlayers[team]</f>
        <v>18</v>
      </c>
      <c r="D572" t="str">
        <f>INDEX(tblTeams[Column1.short_name],MATCH(C572,tblTeams[Column1.id],0))</f>
        <v>NFO</v>
      </c>
      <c r="E572" s="4">
        <f>INDEX(FPL_Raw_Data!$F:$F,MATCH(A572,FPL_Raw_Data!$AA:$AA,0))/10</f>
        <v>5.9</v>
      </c>
      <c r="F572" s="4" t="str">
        <f>tblPlayers[[#This Row],[status]]</f>
        <v>a</v>
      </c>
      <c r="G572" s="4" t="b">
        <f>tblPlayers[[#This Row],[can_select]]</f>
        <v>1</v>
      </c>
      <c r="H572">
        <f>IF(AND(Table8[[#This Row],[Availability Status]]="a",Table8[[#This Row],[Can Select]]=TRUE),1,0)</f>
        <v>1</v>
      </c>
      <c r="I572">
        <f>tblPlayers[minutes]</f>
        <v>1</v>
      </c>
      <c r="J572" s="2">
        <f>Table8[[#This Row],[Minutes]]/90</f>
        <v>1.1111111111111112E-2</v>
      </c>
      <c r="K572" s="5">
        <f>IFERROR(Z572/(FIXTURE_ANALYSIS!$B$1-1),0)</f>
        <v>0</v>
      </c>
      <c r="L572">
        <f>tblPlayers[total_points]</f>
        <v>1</v>
      </c>
      <c r="M572">
        <f>tblPlayers[points_per_game]</f>
        <v>1</v>
      </c>
      <c r="N572">
        <f>tblPlayers[form]</f>
        <v>0.3</v>
      </c>
      <c r="O572">
        <f>tblPlayers[expected_goals]</f>
        <v>0</v>
      </c>
      <c r="P572">
        <f>tblPlayers[expected_assists]</f>
        <v>0</v>
      </c>
      <c r="Q572">
        <f>tblPlayers[expected_goal_involvements]</f>
        <v>0</v>
      </c>
      <c r="R572" s="2">
        <f t="shared" si="200"/>
        <v>90</v>
      </c>
      <c r="S572" s="5">
        <f t="shared" si="201"/>
        <v>0</v>
      </c>
      <c r="T572" s="5">
        <f t="shared" si="202"/>
        <v>0</v>
      </c>
      <c r="U572" s="5">
        <f t="shared" si="203"/>
        <v>0</v>
      </c>
      <c r="V572" s="3">
        <f t="shared" si="204"/>
        <v>0.16949152542372881</v>
      </c>
      <c r="W572" s="5">
        <f t="shared" si="205"/>
        <v>0</v>
      </c>
      <c r="X572" s="5">
        <f>IFERROR(IF(OR($B572="MID",$B572="FWD"),INDEX(FIXTURE_ANALYSIS!$Q:$Q,MATCH($D572,FIXTURE_ANALYSIS!$A:$A,0)),INDEX(FIXTURE_ANALYSIS!$R:$R,MATCH($D572,FIXTURE_ANALYSIS!$A:$A,0))),1)</f>
        <v>0.87800173010380622</v>
      </c>
      <c r="Y572" s="5">
        <f t="shared" si="206"/>
        <v>0.87800173010380622</v>
      </c>
      <c r="Z572" s="8">
        <f>INDEX(FPL_Raw_Data!$T:$T,MATCH(A572,FPL_Raw_Data!$AA:$AA,0))</f>
        <v>0</v>
      </c>
      <c r="AA572" s="8">
        <f>INDEX(FPL_Raw_Data!$S:$S,MATCH(A572,FPL_Raw_Data!$AA:$AA,0))</f>
        <v>0</v>
      </c>
      <c r="AB572" s="2">
        <f t="shared" si="207"/>
        <v>0</v>
      </c>
      <c r="AC572" s="2">
        <f>INDEX(FPL_Raw_Data!$Q:$Q,MATCH(A572,FPL_Raw_Data!$AA:$AA,0))</f>
        <v>0</v>
      </c>
      <c r="AD572" s="8">
        <f>INDEX(FPL_Raw_Data!$R:$R,MATCH(A572,FPL_Raw_Data!$AA:$AA,0))</f>
        <v>2</v>
      </c>
      <c r="AE572" s="8">
        <f>INDEX(FPL_Raw_Data!$N:$N,MATCH(A572,FPL_Raw_Data!$AA:$AA,0))</f>
        <v>0</v>
      </c>
      <c r="AF572" s="8">
        <f>INDEX(FPL_Raw_Data!$L:$L,MATCH(A572,FPL_Raw_Data!$AA:$AA,0))</f>
        <v>0</v>
      </c>
      <c r="AG572" s="2">
        <f>INDEX(FPL_Raw_Data!$M:$M,MATCH(A572,FPL_Raw_Data!$AA:$AA,0))</f>
        <v>0</v>
      </c>
      <c r="AH572" s="2">
        <f t="shared" si="208"/>
        <v>0</v>
      </c>
      <c r="AI572" s="2">
        <f t="shared" si="209"/>
        <v>0</v>
      </c>
      <c r="AJ572" s="2">
        <f t="shared" si="210"/>
        <v>0</v>
      </c>
      <c r="AK572" s="2">
        <f t="shared" si="211"/>
        <v>0</v>
      </c>
      <c r="AL572" s="2">
        <f t="shared" si="212"/>
        <v>0</v>
      </c>
      <c r="AM572" s="2">
        <f t="shared" si="213"/>
        <v>0</v>
      </c>
      <c r="AN572" s="2">
        <f t="shared" si="214"/>
        <v>0</v>
      </c>
      <c r="AO572" s="3">
        <f t="shared" si="215"/>
        <v>98.1</v>
      </c>
      <c r="AP572">
        <f t="shared" si="216"/>
        <v>0</v>
      </c>
      <c r="AQ572">
        <f t="shared" si="217"/>
        <v>42</v>
      </c>
      <c r="AR572">
        <f t="shared" si="218"/>
        <v>0</v>
      </c>
      <c r="AS572" s="2">
        <f t="shared" si="219"/>
        <v>0</v>
      </c>
      <c r="AT572" s="2">
        <f>IFERROR(INDEX(Player_Model!$BC$2:$BC$596,MATCH($A572,Player_Model!$A$2:$A$596,0)),0)</f>
        <v>0</v>
      </c>
      <c r="AU572" s="2">
        <f>Table8[[#This Row],[Model Expected Points]]*Table8[[#This Row],[Fixture Adjustment]]</f>
        <v>0</v>
      </c>
      <c r="AV572" s="2">
        <f>Table8[[#This Row],[Fixture Adjusted Points / 90]]/Table8[[#This Row],[Price]]</f>
        <v>0</v>
      </c>
      <c r="AW572">
        <f t="shared" si="220"/>
        <v>49.05</v>
      </c>
      <c r="AX572">
        <f t="shared" si="221"/>
        <v>0</v>
      </c>
      <c r="AY572" s="2">
        <f t="shared" si="222"/>
        <v>0</v>
      </c>
      <c r="AZ572" s="5">
        <f t="shared" si="223"/>
        <v>0.87800173010380622</v>
      </c>
      <c r="BA572">
        <f>Table8[[#This Row],[Model Score2]]</f>
        <v>0</v>
      </c>
      <c r="BB572">
        <f>IFERROR(INDEX(Player_Model!$BG$2:$BG$596,MATCH($A572,Player_Model!$A$2:$A$596,0)),"")</f>
        <v>259</v>
      </c>
      <c r="BC572" t="str">
        <f t="shared" si="224"/>
        <v>AVOID</v>
      </c>
      <c r="BD572">
        <f>IF(H572=1,Table8[[#This Row],[Model Score]],-10000)</f>
        <v>0</v>
      </c>
      <c r="BE572">
        <f>IFERROR(INDEX(Player_Model!$BF$2:$BF$596,MATCH($A572,Player_Model!$A$2:$A$596,0)),"")</f>
        <v>253</v>
      </c>
      <c r="BF572">
        <f>IFERROR(INDEX(Player_Model!$BG$2:$BG$596,MATCH($A572,Player_Model!$A$2:$A$596,0)),"")</f>
        <v>259</v>
      </c>
      <c r="BG572">
        <f>IFERROR(INDEX(Player_Model!$BE$2:$BE$596,MATCH($A572,Player_Model!$A$2:$A$596,0)),0)</f>
        <v>0</v>
      </c>
    </row>
    <row r="573" spans="1:59" x14ac:dyDescent="0.25">
      <c r="A573" t="str">
        <f>tblPlayers[first_name]&amp;" "&amp;tblPlayers[second_name]</f>
        <v>Dan Ndoye</v>
      </c>
      <c r="B573" t="str">
        <f>_xlfn.SWITCH(tblPlayers[element_type],1,"GK",2,"DEF",3,"MID",4,"FWD")</f>
        <v>MID</v>
      </c>
      <c r="C573">
        <f>tblPlayers[team]</f>
        <v>18</v>
      </c>
      <c r="D573" t="str">
        <f>INDEX(tblTeams[Column1.short_name],MATCH(C573,tblTeams[Column1.id],0))</f>
        <v>NFO</v>
      </c>
      <c r="E573" s="4">
        <f>INDEX(FPL_Raw_Data!$F:$F,MATCH(A573,FPL_Raw_Data!$AA:$AA,0))/10</f>
        <v>5.5</v>
      </c>
      <c r="F573" s="4" t="str">
        <f>tblPlayers[[#This Row],[status]]</f>
        <v>a</v>
      </c>
      <c r="G573" s="4" t="b">
        <f>tblPlayers[[#This Row],[can_select]]</f>
        <v>1</v>
      </c>
      <c r="H573">
        <f>IF(AND(Table8[[#This Row],[Availability Status]]="a",Table8[[#This Row],[Can Select]]=TRUE),1,0)</f>
        <v>1</v>
      </c>
      <c r="I573">
        <f>tblPlayers[minutes]</f>
        <v>184</v>
      </c>
      <c r="J573" s="2">
        <f>Table8[[#This Row],[Minutes]]/90</f>
        <v>2.0444444444444443</v>
      </c>
      <c r="K573" s="5">
        <f>IFERROR(Z573/(FIXTURE_ANALYSIS!$B$1-1),0)</f>
        <v>1</v>
      </c>
      <c r="L573">
        <f>tblPlayers[total_points]</f>
        <v>13</v>
      </c>
      <c r="M573">
        <f>tblPlayers[points_per_game]</f>
        <v>4.3</v>
      </c>
      <c r="N573">
        <f>tblPlayers[form]</f>
        <v>4.3</v>
      </c>
      <c r="O573">
        <f>tblPlayers[expected_goals]</f>
        <v>0.35</v>
      </c>
      <c r="P573">
        <f>tblPlayers[expected_assists]</f>
        <v>0.63</v>
      </c>
      <c r="Q573">
        <f>tblPlayers[expected_goal_involvements]</f>
        <v>0.98</v>
      </c>
      <c r="R573" s="2">
        <f t="shared" si="200"/>
        <v>6.3586956521739122</v>
      </c>
      <c r="S573" s="5">
        <f t="shared" si="201"/>
        <v>0.17119565217391303</v>
      </c>
      <c r="T573" s="5">
        <f t="shared" si="202"/>
        <v>0.30815217391304345</v>
      </c>
      <c r="U573" s="5">
        <f t="shared" si="203"/>
        <v>0.47934782608695653</v>
      </c>
      <c r="V573" s="3">
        <f t="shared" si="204"/>
        <v>2.3636363636363638</v>
      </c>
      <c r="W573" s="5">
        <f t="shared" si="205"/>
        <v>0.17818181818181819</v>
      </c>
      <c r="X573" s="5">
        <f>IFERROR(IF(OR($B573="MID",$B573="FWD"),INDEX(FIXTURE_ANALYSIS!$Q:$Q,MATCH($D573,FIXTURE_ANALYSIS!$A:$A,0)),INDEX(FIXTURE_ANALYSIS!$R:$R,MATCH($D573,FIXTURE_ANALYSIS!$A:$A,0))),1)</f>
        <v>0.87800173010380622</v>
      </c>
      <c r="Y573" s="5">
        <f t="shared" si="206"/>
        <v>0.87800173010380622</v>
      </c>
      <c r="Z573" s="8">
        <f>INDEX(FPL_Raw_Data!$T:$T,MATCH(A573,FPL_Raw_Data!$AA:$AA,0))</f>
        <v>3</v>
      </c>
      <c r="AA573" s="8">
        <f>INDEX(FPL_Raw_Data!$S:$S,MATCH(A573,FPL_Raw_Data!$AA:$AA,0))</f>
        <v>17</v>
      </c>
      <c r="AB573" s="2">
        <f t="shared" si="207"/>
        <v>1</v>
      </c>
      <c r="AC573" s="2">
        <f>INDEX(FPL_Raw_Data!$Q:$Q,MATCH(A573,FPL_Raw_Data!$AA:$AA,0))</f>
        <v>2</v>
      </c>
      <c r="AD573" s="8">
        <f>INDEX(FPL_Raw_Data!$R:$R,MATCH(A573,FPL_Raw_Data!$AA:$AA,0))</f>
        <v>40</v>
      </c>
      <c r="AE573" s="8">
        <f>INDEX(FPL_Raw_Data!$N:$N,MATCH(A573,FPL_Raw_Data!$AA:$AA,0))</f>
        <v>1</v>
      </c>
      <c r="AF573" s="8">
        <f>INDEX(FPL_Raw_Data!$L:$L,MATCH(A573,FPL_Raw_Data!$AA:$AA,0))</f>
        <v>1</v>
      </c>
      <c r="AG573" s="2">
        <f>INDEX(FPL_Raw_Data!$M:$M,MATCH(A573,FPL_Raw_Data!$AA:$AA,0))</f>
        <v>0</v>
      </c>
      <c r="AH573" s="2">
        <f t="shared" si="208"/>
        <v>0.85597826086956519</v>
      </c>
      <c r="AI573" s="2">
        <f t="shared" si="209"/>
        <v>0.92445652173913029</v>
      </c>
      <c r="AJ573" s="2">
        <f t="shared" si="210"/>
        <v>2</v>
      </c>
      <c r="AK573" s="2">
        <f t="shared" si="211"/>
        <v>2</v>
      </c>
      <c r="AL573" s="2">
        <f t="shared" si="212"/>
        <v>0.33333333333333331</v>
      </c>
      <c r="AM573" s="2">
        <f t="shared" si="213"/>
        <v>0.33333333333333331</v>
      </c>
      <c r="AN573" s="2">
        <f t="shared" si="214"/>
        <v>0.66666666666666663</v>
      </c>
      <c r="AO573" s="3">
        <f t="shared" si="215"/>
        <v>82.899999999999991</v>
      </c>
      <c r="AP573">
        <f t="shared" si="216"/>
        <v>91.2</v>
      </c>
      <c r="AQ573">
        <f t="shared" si="217"/>
        <v>90.4</v>
      </c>
      <c r="AR573">
        <f t="shared" si="218"/>
        <v>93.2</v>
      </c>
      <c r="AS573" s="2">
        <f t="shared" si="219"/>
        <v>100</v>
      </c>
      <c r="AT573" s="2">
        <f>IFERROR(INDEX(Player_Model!$BC$2:$BC$596,MATCH($A573,Player_Model!$A$2:$A$596,0)),0)</f>
        <v>4.4803049836584119</v>
      </c>
      <c r="AU573" s="2">
        <f>Table8[[#This Row],[Model Expected Points]]*Table8[[#This Row],[Fixture Adjustment]]</f>
        <v>3.9337155270447908</v>
      </c>
      <c r="AV573" s="2">
        <f>Table8[[#This Row],[Fixture Adjusted Points / 90]]/Table8[[#This Row],[Price]]</f>
        <v>0.71522100491723473</v>
      </c>
      <c r="AW573">
        <f t="shared" si="220"/>
        <v>87.05</v>
      </c>
      <c r="AX573">
        <f t="shared" si="221"/>
        <v>1</v>
      </c>
      <c r="AY573" s="2">
        <f t="shared" si="222"/>
        <v>100</v>
      </c>
      <c r="AZ573" s="5">
        <f t="shared" si="223"/>
        <v>0.87800173010380622</v>
      </c>
      <c r="BA573">
        <f>Table8[[#This Row],[Model Score2]]</f>
        <v>4.4803049836584119</v>
      </c>
      <c r="BB573">
        <f>IFERROR(INDEX(Player_Model!$BG$2:$BG$596,MATCH($A573,Player_Model!$A$2:$A$596,0)),"")</f>
        <v>60</v>
      </c>
      <c r="BC573" t="str">
        <f t="shared" si="224"/>
        <v>AVOID</v>
      </c>
      <c r="BD573">
        <f>IF(H573=1,Table8[[#This Row],[Model Score]],-10000)</f>
        <v>4.4803049836584119</v>
      </c>
      <c r="BE573">
        <f>IFERROR(INDEX(Player_Model!$BF$2:$BF$596,MATCH($A573,Player_Model!$A$2:$A$596,0)),"")</f>
        <v>125</v>
      </c>
      <c r="BF573">
        <f>IFERROR(INDEX(Player_Model!$BG$2:$BG$596,MATCH($A573,Player_Model!$A$2:$A$596,0)),"")</f>
        <v>60</v>
      </c>
      <c r="BG573">
        <f>IFERROR(INDEX(Player_Model!$BE$2:$BE$596,MATCH($A573,Player_Model!$A$2:$A$596,0)),0)</f>
        <v>4.4803049836584119</v>
      </c>
    </row>
    <row r="574" spans="1:59" x14ac:dyDescent="0.25">
      <c r="A574" t="str">
        <f>tblPlayers[first_name]&amp;" "&amp;tblPlayers[second_name]</f>
        <v>Omari Hutchinson</v>
      </c>
      <c r="B574" t="str">
        <f>_xlfn.SWITCH(tblPlayers[element_type],1,"GK",2,"DEF",3,"MID",4,"FWD")</f>
        <v>MID</v>
      </c>
      <c r="C574">
        <f>tblPlayers[team]</f>
        <v>18</v>
      </c>
      <c r="D574" t="str">
        <f>INDEX(tblTeams[Column1.short_name],MATCH(C574,tblTeams[Column1.id],0))</f>
        <v>NFO</v>
      </c>
      <c r="E574" s="4">
        <f>INDEX(FPL_Raw_Data!$F:$F,MATCH(A574,FPL_Raw_Data!$AA:$AA,0))/10</f>
        <v>5.4</v>
      </c>
      <c r="F574" s="4" t="str">
        <f>tblPlayers[[#This Row],[status]]</f>
        <v>u</v>
      </c>
      <c r="G574" s="4" t="b">
        <f>tblPlayers[[#This Row],[can_select]]</f>
        <v>0</v>
      </c>
      <c r="H574">
        <f>IF(AND(Table8[[#This Row],[Availability Status]]="a",Table8[[#This Row],[Can Select]]=TRUE),1,0)</f>
        <v>0</v>
      </c>
      <c r="I574">
        <f>tblPlayers[minutes]</f>
        <v>0</v>
      </c>
      <c r="J574" s="2">
        <f>Table8[[#This Row],[Minutes]]/90</f>
        <v>0</v>
      </c>
      <c r="K574" s="5">
        <f>IFERROR(Z574/(FIXTURE_ANALYSIS!$B$1-1),0)</f>
        <v>0</v>
      </c>
      <c r="L574">
        <f>tblPlayers[total_points]</f>
        <v>0</v>
      </c>
      <c r="M574">
        <f>tblPlayers[points_per_game]</f>
        <v>0</v>
      </c>
      <c r="N574">
        <f>tblPlayers[form]</f>
        <v>0</v>
      </c>
      <c r="O574">
        <f>tblPlayers[expected_goals]</f>
        <v>0</v>
      </c>
      <c r="P574">
        <f>tblPlayers[expected_assists]</f>
        <v>0</v>
      </c>
      <c r="Q574">
        <f>tblPlayers[expected_goal_involvements]</f>
        <v>0</v>
      </c>
      <c r="R574" s="2">
        <f t="shared" si="200"/>
        <v>0</v>
      </c>
      <c r="S574" s="5">
        <f t="shared" si="201"/>
        <v>0</v>
      </c>
      <c r="T574" s="5">
        <f t="shared" si="202"/>
        <v>0</v>
      </c>
      <c r="U574" s="5">
        <f t="shared" si="203"/>
        <v>0</v>
      </c>
      <c r="V574" s="3">
        <f t="shared" si="204"/>
        <v>0</v>
      </c>
      <c r="W574" s="5">
        <f t="shared" si="205"/>
        <v>0</v>
      </c>
      <c r="X574" s="5">
        <f>IFERROR(IF(OR($B574="MID",$B574="FWD"),INDEX(FIXTURE_ANALYSIS!$Q:$Q,MATCH($D574,FIXTURE_ANALYSIS!$A:$A,0)),INDEX(FIXTURE_ANALYSIS!$R:$R,MATCH($D574,FIXTURE_ANALYSIS!$A:$A,0))),1)</f>
        <v>0.87800173010380622</v>
      </c>
      <c r="Y574" s="5">
        <f t="shared" si="206"/>
        <v>0.87800173010380622</v>
      </c>
      <c r="Z574" s="8">
        <f>INDEX(FPL_Raw_Data!$T:$T,MATCH(A574,FPL_Raw_Data!$AA:$AA,0))</f>
        <v>0</v>
      </c>
      <c r="AA574" s="8">
        <f>INDEX(FPL_Raw_Data!$S:$S,MATCH(A574,FPL_Raw_Data!$AA:$AA,0))</f>
        <v>0</v>
      </c>
      <c r="AB574" s="2">
        <f t="shared" si="207"/>
        <v>0</v>
      </c>
      <c r="AC574" s="2">
        <f>INDEX(FPL_Raw_Data!$Q:$Q,MATCH(A574,FPL_Raw_Data!$AA:$AA,0))</f>
        <v>0</v>
      </c>
      <c r="AD574" s="8">
        <f>INDEX(FPL_Raw_Data!$R:$R,MATCH(A574,FPL_Raw_Data!$AA:$AA,0))</f>
        <v>0</v>
      </c>
      <c r="AE574" s="8">
        <f>INDEX(FPL_Raw_Data!$N:$N,MATCH(A574,FPL_Raw_Data!$AA:$AA,0))</f>
        <v>0</v>
      </c>
      <c r="AF574" s="8">
        <f>INDEX(FPL_Raw_Data!$L:$L,MATCH(A574,FPL_Raw_Data!$AA:$AA,0))</f>
        <v>0</v>
      </c>
      <c r="AG574" s="2">
        <f>INDEX(FPL_Raw_Data!$M:$M,MATCH(A574,FPL_Raw_Data!$AA:$AA,0))</f>
        <v>0</v>
      </c>
      <c r="AH574" s="2">
        <f t="shared" si="208"/>
        <v>0</v>
      </c>
      <c r="AI574" s="2">
        <f t="shared" si="209"/>
        <v>0</v>
      </c>
      <c r="AJ574" s="2">
        <f t="shared" si="210"/>
        <v>0</v>
      </c>
      <c r="AK574" s="2">
        <f t="shared" si="211"/>
        <v>0</v>
      </c>
      <c r="AL574" s="2">
        <f t="shared" si="212"/>
        <v>0</v>
      </c>
      <c r="AM574" s="2">
        <f t="shared" si="213"/>
        <v>0</v>
      </c>
      <c r="AN574" s="2">
        <f t="shared" si="214"/>
        <v>0</v>
      </c>
      <c r="AO574" s="3">
        <f t="shared" si="215"/>
        <v>0.1</v>
      </c>
      <c r="AP574">
        <f t="shared" si="216"/>
        <v>0</v>
      </c>
      <c r="AQ574">
        <f t="shared" si="217"/>
        <v>0.1</v>
      </c>
      <c r="AR574">
        <f t="shared" si="218"/>
        <v>0</v>
      </c>
      <c r="AS574" s="2">
        <f t="shared" si="219"/>
        <v>0</v>
      </c>
      <c r="AT574" s="2">
        <f>IFERROR(INDEX(Player_Model!$BC$2:$BC$596,MATCH($A574,Player_Model!$A$2:$A$596,0)),0)</f>
        <v>0</v>
      </c>
      <c r="AU574" s="2">
        <f>Table8[[#This Row],[Model Expected Points]]*Table8[[#This Row],[Fixture Adjustment]]</f>
        <v>0</v>
      </c>
      <c r="AV574" s="2">
        <f>Table8[[#This Row],[Fixture Adjusted Points / 90]]/Table8[[#This Row],[Price]]</f>
        <v>0</v>
      </c>
      <c r="AW574">
        <f t="shared" si="220"/>
        <v>0.05</v>
      </c>
      <c r="AX574">
        <f t="shared" si="221"/>
        <v>0</v>
      </c>
      <c r="AY574" s="2">
        <f t="shared" si="222"/>
        <v>0</v>
      </c>
      <c r="AZ574" s="5">
        <f t="shared" si="223"/>
        <v>0.87800173010380622</v>
      </c>
      <c r="BA574">
        <f>Table8[[#This Row],[Model Score2]]</f>
        <v>0</v>
      </c>
      <c r="BB574">
        <f>IFERROR(INDEX(Player_Model!$BG$2:$BG$596,MATCH($A574,Player_Model!$A$2:$A$596,0)),"")</f>
        <v>260</v>
      </c>
      <c r="BC574" t="str">
        <f t="shared" si="224"/>
        <v>AVOID</v>
      </c>
      <c r="BD574">
        <f>IF(H574=1,Table8[[#This Row],[Model Score]],-10000)</f>
        <v>-10000</v>
      </c>
      <c r="BE574">
        <f>IFERROR(INDEX(Player_Model!$BF$2:$BF$596,MATCH($A574,Player_Model!$A$2:$A$596,0)),"")</f>
        <v>253</v>
      </c>
      <c r="BF574">
        <f>IFERROR(INDEX(Player_Model!$BG$2:$BG$596,MATCH($A574,Player_Model!$A$2:$A$596,0)),"")</f>
        <v>260</v>
      </c>
      <c r="BG574">
        <f>IFERROR(INDEX(Player_Model!$BE$2:$BE$596,MATCH($A574,Player_Model!$A$2:$A$596,0)),0)</f>
        <v>0</v>
      </c>
    </row>
    <row r="575" spans="1:59" x14ac:dyDescent="0.25">
      <c r="A575" t="str">
        <f>tblPlayers[first_name]&amp;" "&amp;tblPlayers[second_name]</f>
        <v>Dilane Bakwa</v>
      </c>
      <c r="B575" t="str">
        <f>_xlfn.SWITCH(tblPlayers[element_type],1,"GK",2,"DEF",3,"MID",4,"FWD")</f>
        <v>MID</v>
      </c>
      <c r="C575">
        <f>tblPlayers[team]</f>
        <v>18</v>
      </c>
      <c r="D575" t="str">
        <f>INDEX(tblTeams[Column1.short_name],MATCH(C575,tblTeams[Column1.id],0))</f>
        <v>NFO</v>
      </c>
      <c r="E575" s="4">
        <f>INDEX(FPL_Raw_Data!$F:$F,MATCH(A575,FPL_Raw_Data!$AA:$AA,0))/10</f>
        <v>5.5</v>
      </c>
      <c r="F575" s="4" t="str">
        <f>tblPlayers[[#This Row],[status]]</f>
        <v>u</v>
      </c>
      <c r="G575" s="4" t="b">
        <f>tblPlayers[[#This Row],[can_select]]</f>
        <v>0</v>
      </c>
      <c r="H575">
        <f>IF(AND(Table8[[#This Row],[Availability Status]]="a",Table8[[#This Row],[Can Select]]=TRUE),1,0)</f>
        <v>0</v>
      </c>
      <c r="I575">
        <f>tblPlayers[minutes]</f>
        <v>0</v>
      </c>
      <c r="J575" s="2">
        <f>Table8[[#This Row],[Minutes]]/90</f>
        <v>0</v>
      </c>
      <c r="K575" s="5">
        <f>IFERROR(Z575/(FIXTURE_ANALYSIS!$B$1-1),0)</f>
        <v>0</v>
      </c>
      <c r="L575">
        <f>tblPlayers[total_points]</f>
        <v>0</v>
      </c>
      <c r="M575">
        <f>tblPlayers[points_per_game]</f>
        <v>0</v>
      </c>
      <c r="N575">
        <f>tblPlayers[form]</f>
        <v>0</v>
      </c>
      <c r="O575">
        <f>tblPlayers[expected_goals]</f>
        <v>0</v>
      </c>
      <c r="P575">
        <f>tblPlayers[expected_assists]</f>
        <v>0</v>
      </c>
      <c r="Q575">
        <f>tblPlayers[expected_goal_involvements]</f>
        <v>0</v>
      </c>
      <c r="R575" s="2">
        <f t="shared" si="200"/>
        <v>0</v>
      </c>
      <c r="S575" s="5">
        <f t="shared" si="201"/>
        <v>0</v>
      </c>
      <c r="T575" s="5">
        <f t="shared" si="202"/>
        <v>0</v>
      </c>
      <c r="U575" s="5">
        <f t="shared" si="203"/>
        <v>0</v>
      </c>
      <c r="V575" s="3">
        <f t="shared" si="204"/>
        <v>0</v>
      </c>
      <c r="W575" s="5">
        <f t="shared" si="205"/>
        <v>0</v>
      </c>
      <c r="X575" s="5">
        <f>IFERROR(IF(OR($B575="MID",$B575="FWD"),INDEX(FIXTURE_ANALYSIS!$Q:$Q,MATCH($D575,FIXTURE_ANALYSIS!$A:$A,0)),INDEX(FIXTURE_ANALYSIS!$R:$R,MATCH($D575,FIXTURE_ANALYSIS!$A:$A,0))),1)</f>
        <v>0.87800173010380622</v>
      </c>
      <c r="Y575" s="5">
        <f t="shared" si="206"/>
        <v>0.87800173010380622</v>
      </c>
      <c r="Z575" s="8">
        <f>INDEX(FPL_Raw_Data!$T:$T,MATCH(A575,FPL_Raw_Data!$AA:$AA,0))</f>
        <v>0</v>
      </c>
      <c r="AA575" s="8">
        <f>INDEX(FPL_Raw_Data!$S:$S,MATCH(A575,FPL_Raw_Data!$AA:$AA,0))</f>
        <v>0</v>
      </c>
      <c r="AB575" s="2">
        <f t="shared" si="207"/>
        <v>0</v>
      </c>
      <c r="AC575" s="2">
        <f>INDEX(FPL_Raw_Data!$Q:$Q,MATCH(A575,FPL_Raw_Data!$AA:$AA,0))</f>
        <v>0</v>
      </c>
      <c r="AD575" s="8">
        <f>INDEX(FPL_Raw_Data!$R:$R,MATCH(A575,FPL_Raw_Data!$AA:$AA,0))</f>
        <v>0</v>
      </c>
      <c r="AE575" s="8">
        <f>INDEX(FPL_Raw_Data!$N:$N,MATCH(A575,FPL_Raw_Data!$AA:$AA,0))</f>
        <v>0</v>
      </c>
      <c r="AF575" s="8">
        <f>INDEX(FPL_Raw_Data!$L:$L,MATCH(A575,FPL_Raw_Data!$AA:$AA,0))</f>
        <v>0</v>
      </c>
      <c r="AG575" s="2">
        <f>INDEX(FPL_Raw_Data!$M:$M,MATCH(A575,FPL_Raw_Data!$AA:$AA,0))</f>
        <v>0</v>
      </c>
      <c r="AH575" s="2">
        <f t="shared" si="208"/>
        <v>0</v>
      </c>
      <c r="AI575" s="2">
        <f t="shared" si="209"/>
        <v>0</v>
      </c>
      <c r="AJ575" s="2">
        <f t="shared" si="210"/>
        <v>0</v>
      </c>
      <c r="AK575" s="2">
        <f t="shared" si="211"/>
        <v>0</v>
      </c>
      <c r="AL575" s="2">
        <f t="shared" si="212"/>
        <v>0</v>
      </c>
      <c r="AM575" s="2">
        <f t="shared" si="213"/>
        <v>0</v>
      </c>
      <c r="AN575" s="2">
        <f t="shared" si="214"/>
        <v>0</v>
      </c>
      <c r="AO575" s="3">
        <f t="shared" si="215"/>
        <v>0.1</v>
      </c>
      <c r="AP575">
        <f t="shared" si="216"/>
        <v>0</v>
      </c>
      <c r="AQ575">
        <f t="shared" si="217"/>
        <v>0.1</v>
      </c>
      <c r="AR575">
        <f t="shared" si="218"/>
        <v>0</v>
      </c>
      <c r="AS575" s="2">
        <f t="shared" si="219"/>
        <v>0</v>
      </c>
      <c r="AT575" s="2">
        <f>IFERROR(INDEX(Player_Model!$BC$2:$BC$596,MATCH($A575,Player_Model!$A$2:$A$596,0)),0)</f>
        <v>0</v>
      </c>
      <c r="AU575" s="2">
        <f>Table8[[#This Row],[Model Expected Points]]*Table8[[#This Row],[Fixture Adjustment]]</f>
        <v>0</v>
      </c>
      <c r="AV575" s="2">
        <f>Table8[[#This Row],[Fixture Adjusted Points / 90]]/Table8[[#This Row],[Price]]</f>
        <v>0</v>
      </c>
      <c r="AW575">
        <f t="shared" si="220"/>
        <v>0.05</v>
      </c>
      <c r="AX575">
        <f t="shared" si="221"/>
        <v>0</v>
      </c>
      <c r="AY575" s="2">
        <f t="shared" si="222"/>
        <v>0</v>
      </c>
      <c r="AZ575" s="5">
        <f t="shared" si="223"/>
        <v>0.87800173010380622</v>
      </c>
      <c r="BA575">
        <f>Table8[[#This Row],[Model Score2]]</f>
        <v>0</v>
      </c>
      <c r="BB575">
        <f>IFERROR(INDEX(Player_Model!$BG$2:$BG$596,MATCH($A575,Player_Model!$A$2:$A$596,0)),"")</f>
        <v>261</v>
      </c>
      <c r="BC575" t="str">
        <f t="shared" si="224"/>
        <v>AVOID</v>
      </c>
      <c r="BD575">
        <f>IF(H575=1,Table8[[#This Row],[Model Score]],-10000)</f>
        <v>-10000</v>
      </c>
      <c r="BE575">
        <f>IFERROR(INDEX(Player_Model!$BF$2:$BF$596,MATCH($A575,Player_Model!$A$2:$A$596,0)),"")</f>
        <v>253</v>
      </c>
      <c r="BF575">
        <f>IFERROR(INDEX(Player_Model!$BG$2:$BG$596,MATCH($A575,Player_Model!$A$2:$A$596,0)),"")</f>
        <v>261</v>
      </c>
      <c r="BG575">
        <f>IFERROR(INDEX(Player_Model!$BE$2:$BE$596,MATCH($A575,Player_Model!$A$2:$A$596,0)),0)</f>
        <v>0</v>
      </c>
    </row>
    <row r="576" spans="1:59" x14ac:dyDescent="0.25">
      <c r="A576" t="str">
        <f>tblPlayers[first_name]&amp;" "&amp;tblPlayers[second_name]</f>
        <v>James McAtee</v>
      </c>
      <c r="B576" t="str">
        <f>_xlfn.SWITCH(tblPlayers[element_type],1,"GK",2,"DEF",3,"MID",4,"FWD")</f>
        <v>MID</v>
      </c>
      <c r="C576">
        <f>tblPlayers[team]</f>
        <v>18</v>
      </c>
      <c r="D576" t="str">
        <f>INDEX(tblTeams[Column1.short_name],MATCH(C576,tblTeams[Column1.id],0))</f>
        <v>NFO</v>
      </c>
      <c r="E576" s="4">
        <f>INDEX(FPL_Raw_Data!$F:$F,MATCH(A576,FPL_Raw_Data!$AA:$AA,0))/10</f>
        <v>5.5</v>
      </c>
      <c r="F576" s="4" t="str">
        <f>tblPlayers[[#This Row],[status]]</f>
        <v>a</v>
      </c>
      <c r="G576" s="4" t="b">
        <f>tblPlayers[[#This Row],[can_select]]</f>
        <v>1</v>
      </c>
      <c r="H576">
        <f>IF(AND(Table8[[#This Row],[Availability Status]]="a",Table8[[#This Row],[Can Select]]=TRUE),1,0)</f>
        <v>1</v>
      </c>
      <c r="I576">
        <f>tblPlayers[minutes]</f>
        <v>253</v>
      </c>
      <c r="J576" s="2">
        <f>Table8[[#This Row],[Minutes]]/90</f>
        <v>2.8111111111111109</v>
      </c>
      <c r="K576" s="5">
        <f>IFERROR(Z576/(FIXTURE_ANALYSIS!$B$1-1),0)</f>
        <v>1</v>
      </c>
      <c r="L576">
        <f>tblPlayers[total_points]</f>
        <v>7</v>
      </c>
      <c r="M576">
        <f>tblPlayers[points_per_game]</f>
        <v>2.2999999999999998</v>
      </c>
      <c r="N576">
        <f>tblPlayers[form]</f>
        <v>2.2999999999999998</v>
      </c>
      <c r="O576">
        <f>tblPlayers[expected_goals]</f>
        <v>0.13</v>
      </c>
      <c r="P576">
        <f>tblPlayers[expected_assists]</f>
        <v>0.54</v>
      </c>
      <c r="Q576">
        <f>tblPlayers[expected_goal_involvements]</f>
        <v>0.67</v>
      </c>
      <c r="R576" s="2">
        <f t="shared" si="200"/>
        <v>2.4901185770750986</v>
      </c>
      <c r="S576" s="5">
        <f t="shared" si="201"/>
        <v>4.6245059288537553E-2</v>
      </c>
      <c r="T576" s="5">
        <f t="shared" si="202"/>
        <v>0.19209486166007905</v>
      </c>
      <c r="U576" s="5">
        <f t="shared" si="203"/>
        <v>0.23833992094861661</v>
      </c>
      <c r="V576" s="3">
        <f t="shared" si="204"/>
        <v>1.2727272727272727</v>
      </c>
      <c r="W576" s="5">
        <f t="shared" si="205"/>
        <v>0.12181818181818183</v>
      </c>
      <c r="X576" s="5">
        <f>IFERROR(IF(OR($B576="MID",$B576="FWD"),INDEX(FIXTURE_ANALYSIS!$Q:$Q,MATCH($D576,FIXTURE_ANALYSIS!$A:$A,0)),INDEX(FIXTURE_ANALYSIS!$R:$R,MATCH($D576,FIXTURE_ANALYSIS!$A:$A,0))),1)</f>
        <v>0.87800173010380622</v>
      </c>
      <c r="Y576" s="5">
        <f t="shared" si="206"/>
        <v>0.87800173010380622</v>
      </c>
      <c r="Z576" s="8">
        <f>INDEX(FPL_Raw_Data!$T:$T,MATCH(A576,FPL_Raw_Data!$AA:$AA,0))</f>
        <v>3</v>
      </c>
      <c r="AA576" s="8">
        <f>INDEX(FPL_Raw_Data!$S:$S,MATCH(A576,FPL_Raw_Data!$AA:$AA,0))</f>
        <v>23</v>
      </c>
      <c r="AB576" s="2">
        <f t="shared" si="207"/>
        <v>1</v>
      </c>
      <c r="AC576" s="2">
        <f>INDEX(FPL_Raw_Data!$Q:$Q,MATCH(A576,FPL_Raw_Data!$AA:$AA,0))</f>
        <v>0</v>
      </c>
      <c r="AD576" s="8">
        <f>INDEX(FPL_Raw_Data!$R:$R,MATCH(A576,FPL_Raw_Data!$AA:$AA,0))</f>
        <v>56</v>
      </c>
      <c r="AE576" s="8">
        <f>INDEX(FPL_Raw_Data!$N:$N,MATCH(A576,FPL_Raw_Data!$AA:$AA,0))</f>
        <v>2</v>
      </c>
      <c r="AF576" s="8">
        <f>INDEX(FPL_Raw_Data!$L:$L,MATCH(A576,FPL_Raw_Data!$AA:$AA,0))</f>
        <v>0</v>
      </c>
      <c r="AG576" s="2">
        <f>INDEX(FPL_Raw_Data!$M:$M,MATCH(A576,FPL_Raw_Data!$AA:$AA,0))</f>
        <v>0</v>
      </c>
      <c r="AH576" s="2">
        <f t="shared" si="208"/>
        <v>0.23122529644268777</v>
      </c>
      <c r="AI576" s="2">
        <f t="shared" si="209"/>
        <v>0.57628458498023716</v>
      </c>
      <c r="AJ576" s="2">
        <f t="shared" si="210"/>
        <v>2</v>
      </c>
      <c r="AK576" s="2">
        <f t="shared" si="211"/>
        <v>2</v>
      </c>
      <c r="AL576" s="2">
        <f t="shared" si="212"/>
        <v>0.66666666666666663</v>
      </c>
      <c r="AM576" s="2">
        <f t="shared" si="213"/>
        <v>0.66666666666666663</v>
      </c>
      <c r="AN576" s="2">
        <f t="shared" si="214"/>
        <v>0</v>
      </c>
      <c r="AO576" s="3">
        <f t="shared" si="215"/>
        <v>52.6</v>
      </c>
      <c r="AP576">
        <f t="shared" si="216"/>
        <v>79.400000000000006</v>
      </c>
      <c r="AQ576">
        <f t="shared" si="217"/>
        <v>74.400000000000006</v>
      </c>
      <c r="AR576">
        <f t="shared" si="218"/>
        <v>87.8</v>
      </c>
      <c r="AS576" s="2">
        <f t="shared" si="219"/>
        <v>100</v>
      </c>
      <c r="AT576" s="2">
        <f>IFERROR(INDEX(Player_Model!$BC$2:$BC$596,MATCH($A576,Player_Model!$A$2:$A$596,0)),0)</f>
        <v>4.3880418931191851</v>
      </c>
      <c r="AU576" s="2">
        <f>Table8[[#This Row],[Model Expected Points]]*Table8[[#This Row],[Fixture Adjustment]]</f>
        <v>3.8527083739266259</v>
      </c>
      <c r="AV576" s="2">
        <f>Table8[[#This Row],[Fixture Adjusted Points / 90]]/Table8[[#This Row],[Price]]</f>
        <v>0.70049243162302288</v>
      </c>
      <c r="AW576">
        <f t="shared" si="220"/>
        <v>66</v>
      </c>
      <c r="AX576">
        <f t="shared" si="221"/>
        <v>1</v>
      </c>
      <c r="AY576" s="2">
        <f t="shared" si="222"/>
        <v>100</v>
      </c>
      <c r="AZ576" s="5">
        <f t="shared" si="223"/>
        <v>0.87800173010380622</v>
      </c>
      <c r="BA576">
        <f>Table8[[#This Row],[Model Score2]]</f>
        <v>4.3880418931191851</v>
      </c>
      <c r="BB576">
        <f>IFERROR(INDEX(Player_Model!$BG$2:$BG$596,MATCH($A576,Player_Model!$A$2:$A$596,0)),"")</f>
        <v>64</v>
      </c>
      <c r="BC576" t="str">
        <f t="shared" si="224"/>
        <v>AVOID</v>
      </c>
      <c r="BD576">
        <f>IF(H576=1,Table8[[#This Row],[Model Score]],-10000)</f>
        <v>4.3880418931191851</v>
      </c>
      <c r="BE576">
        <f>IFERROR(INDEX(Player_Model!$BF$2:$BF$596,MATCH($A576,Player_Model!$A$2:$A$596,0)),"")</f>
        <v>131</v>
      </c>
      <c r="BF576">
        <f>IFERROR(INDEX(Player_Model!$BG$2:$BG$596,MATCH($A576,Player_Model!$A$2:$A$596,0)),"")</f>
        <v>64</v>
      </c>
      <c r="BG576">
        <f>IFERROR(INDEX(Player_Model!$BE$2:$BE$596,MATCH($A576,Player_Model!$A$2:$A$596,0)),0)</f>
        <v>4.3880418931191851</v>
      </c>
    </row>
    <row r="577" spans="1:59" x14ac:dyDescent="0.25">
      <c r="A577" t="str">
        <f>tblPlayers[first_name]&amp;" "&amp;tblPlayers[second_name]</f>
        <v>Nicolás Domínguez</v>
      </c>
      <c r="B577" t="str">
        <f>_xlfn.SWITCH(tblPlayers[element_type],1,"GK",2,"DEF",3,"MID",4,"FWD")</f>
        <v>MID</v>
      </c>
      <c r="C577">
        <f>tblPlayers[team]</f>
        <v>18</v>
      </c>
      <c r="D577" t="str">
        <f>INDEX(tblTeams[Column1.short_name],MATCH(C577,tblTeams[Column1.id],0))</f>
        <v>NFO</v>
      </c>
      <c r="E577" s="4">
        <f>INDEX(FPL_Raw_Data!$F:$F,MATCH(A577,FPL_Raw_Data!$AA:$AA,0))/10</f>
        <v>4.9000000000000004</v>
      </c>
      <c r="F577" s="4" t="str">
        <f>tblPlayers[[#This Row],[status]]</f>
        <v>a</v>
      </c>
      <c r="G577" s="4" t="b">
        <f>tblPlayers[[#This Row],[can_select]]</f>
        <v>1</v>
      </c>
      <c r="H577">
        <f>IF(AND(Table8[[#This Row],[Availability Status]]="a",Table8[[#This Row],[Can Select]]=TRUE),1,0)</f>
        <v>1</v>
      </c>
      <c r="I577">
        <f>tblPlayers[minutes]</f>
        <v>1</v>
      </c>
      <c r="J577" s="2">
        <f>Table8[[#This Row],[Minutes]]/90</f>
        <v>1.1111111111111112E-2</v>
      </c>
      <c r="K577" s="5">
        <f>IFERROR(Z577/(FIXTURE_ANALYSIS!$B$1-1),0)</f>
        <v>0</v>
      </c>
      <c r="L577">
        <f>tblPlayers[total_points]</f>
        <v>1</v>
      </c>
      <c r="M577">
        <f>tblPlayers[points_per_game]</f>
        <v>1</v>
      </c>
      <c r="N577">
        <f>tblPlayers[form]</f>
        <v>0.3</v>
      </c>
      <c r="O577">
        <f>tblPlayers[expected_goals]</f>
        <v>0</v>
      </c>
      <c r="P577">
        <f>tblPlayers[expected_assists]</f>
        <v>0</v>
      </c>
      <c r="Q577">
        <f>tblPlayers[expected_goal_involvements]</f>
        <v>0</v>
      </c>
      <c r="R577" s="2">
        <f t="shared" si="200"/>
        <v>90</v>
      </c>
      <c r="S577" s="5">
        <f t="shared" si="201"/>
        <v>0</v>
      </c>
      <c r="T577" s="5">
        <f t="shared" si="202"/>
        <v>0</v>
      </c>
      <c r="U577" s="5">
        <f t="shared" si="203"/>
        <v>0</v>
      </c>
      <c r="V577" s="3">
        <f t="shared" si="204"/>
        <v>0.2040816326530612</v>
      </c>
      <c r="W577" s="5">
        <f t="shared" si="205"/>
        <v>0</v>
      </c>
      <c r="X577" s="5">
        <f>IFERROR(IF(OR($B577="MID",$B577="FWD"),INDEX(FIXTURE_ANALYSIS!$Q:$Q,MATCH($D577,FIXTURE_ANALYSIS!$A:$A,0)),INDEX(FIXTURE_ANALYSIS!$R:$R,MATCH($D577,FIXTURE_ANALYSIS!$A:$A,0))),1)</f>
        <v>0.87800173010380622</v>
      </c>
      <c r="Y577" s="5">
        <f t="shared" si="206"/>
        <v>0.87800173010380622</v>
      </c>
      <c r="Z577" s="8">
        <f>INDEX(FPL_Raw_Data!$T:$T,MATCH(A577,FPL_Raw_Data!$AA:$AA,0))</f>
        <v>0</v>
      </c>
      <c r="AA577" s="8">
        <f>INDEX(FPL_Raw_Data!$S:$S,MATCH(A577,FPL_Raw_Data!$AA:$AA,0))</f>
        <v>0</v>
      </c>
      <c r="AB577" s="2">
        <f t="shared" si="207"/>
        <v>0</v>
      </c>
      <c r="AC577" s="2">
        <f>INDEX(FPL_Raw_Data!$Q:$Q,MATCH(A577,FPL_Raw_Data!$AA:$AA,0))</f>
        <v>0</v>
      </c>
      <c r="AD577" s="8">
        <f>INDEX(FPL_Raw_Data!$R:$R,MATCH(A577,FPL_Raw_Data!$AA:$AA,0))</f>
        <v>3</v>
      </c>
      <c r="AE577" s="8">
        <f>INDEX(FPL_Raw_Data!$N:$N,MATCH(A577,FPL_Raw_Data!$AA:$AA,0))</f>
        <v>0</v>
      </c>
      <c r="AF577" s="8">
        <f>INDEX(FPL_Raw_Data!$L:$L,MATCH(A577,FPL_Raw_Data!$AA:$AA,0))</f>
        <v>0</v>
      </c>
      <c r="AG577" s="2">
        <f>INDEX(FPL_Raw_Data!$M:$M,MATCH(A577,FPL_Raw_Data!$AA:$AA,0))</f>
        <v>0</v>
      </c>
      <c r="AH577" s="2">
        <f t="shared" si="208"/>
        <v>0</v>
      </c>
      <c r="AI577" s="2">
        <f t="shared" si="209"/>
        <v>0</v>
      </c>
      <c r="AJ577" s="2">
        <f t="shared" si="210"/>
        <v>0</v>
      </c>
      <c r="AK577" s="2">
        <f t="shared" si="211"/>
        <v>0</v>
      </c>
      <c r="AL577" s="2">
        <f t="shared" si="212"/>
        <v>0</v>
      </c>
      <c r="AM577" s="2">
        <f t="shared" si="213"/>
        <v>0</v>
      </c>
      <c r="AN577" s="2">
        <f t="shared" si="214"/>
        <v>0</v>
      </c>
      <c r="AO577" s="3">
        <f t="shared" si="215"/>
        <v>98.1</v>
      </c>
      <c r="AP577">
        <f t="shared" si="216"/>
        <v>0</v>
      </c>
      <c r="AQ577">
        <f t="shared" si="217"/>
        <v>46.2</v>
      </c>
      <c r="AR577">
        <f t="shared" si="218"/>
        <v>0</v>
      </c>
      <c r="AS577" s="2">
        <f t="shared" si="219"/>
        <v>0</v>
      </c>
      <c r="AT577" s="2">
        <f>IFERROR(INDEX(Player_Model!$BC$2:$BC$596,MATCH($A577,Player_Model!$A$2:$A$596,0)),0)</f>
        <v>0</v>
      </c>
      <c r="AU577" s="2">
        <f>Table8[[#This Row],[Model Expected Points]]*Table8[[#This Row],[Fixture Adjustment]]</f>
        <v>0</v>
      </c>
      <c r="AV577" s="2">
        <f>Table8[[#This Row],[Fixture Adjusted Points / 90]]/Table8[[#This Row],[Price]]</f>
        <v>0</v>
      </c>
      <c r="AW577">
        <f t="shared" si="220"/>
        <v>49.05</v>
      </c>
      <c r="AX577">
        <f t="shared" si="221"/>
        <v>0</v>
      </c>
      <c r="AY577" s="2">
        <f t="shared" si="222"/>
        <v>0</v>
      </c>
      <c r="AZ577" s="5">
        <f t="shared" si="223"/>
        <v>0.87800173010380622</v>
      </c>
      <c r="BA577">
        <f>Table8[[#This Row],[Model Score2]]</f>
        <v>0</v>
      </c>
      <c r="BB577">
        <f>IFERROR(INDEX(Player_Model!$BG$2:$BG$596,MATCH($A577,Player_Model!$A$2:$A$596,0)),"")</f>
        <v>262</v>
      </c>
      <c r="BC577" t="str">
        <f t="shared" si="224"/>
        <v>AVOID</v>
      </c>
      <c r="BD577">
        <f>IF(H577=1,Table8[[#This Row],[Model Score]],-10000)</f>
        <v>0</v>
      </c>
      <c r="BE577">
        <f>IFERROR(INDEX(Player_Model!$BF$2:$BF$596,MATCH($A577,Player_Model!$A$2:$A$596,0)),"")</f>
        <v>253</v>
      </c>
      <c r="BF577">
        <f>IFERROR(INDEX(Player_Model!$BG$2:$BG$596,MATCH($A577,Player_Model!$A$2:$A$596,0)),"")</f>
        <v>262</v>
      </c>
      <c r="BG577">
        <f>IFERROR(INDEX(Player_Model!$BE$2:$BE$596,MATCH($A577,Player_Model!$A$2:$A$596,0)),0)</f>
        <v>0</v>
      </c>
    </row>
    <row r="578" spans="1:59" x14ac:dyDescent="0.25">
      <c r="A578" t="str">
        <f>tblPlayers[first_name]&amp;" "&amp;tblPlayers[second_name]</f>
        <v>Ibrahim Sangaré</v>
      </c>
      <c r="B578" t="str">
        <f>_xlfn.SWITCH(tblPlayers[element_type],1,"GK",2,"DEF",3,"MID",4,"FWD")</f>
        <v>MID</v>
      </c>
      <c r="C578">
        <f>tblPlayers[team]</f>
        <v>18</v>
      </c>
      <c r="D578" t="str">
        <f>INDEX(tblTeams[Column1.short_name],MATCH(C578,tblTeams[Column1.id],0))</f>
        <v>NFO</v>
      </c>
      <c r="E578" s="4">
        <f>INDEX(FPL_Raw_Data!$F:$F,MATCH(A578,FPL_Raw_Data!$AA:$AA,0))/10</f>
        <v>4.9000000000000004</v>
      </c>
      <c r="F578" s="4" t="str">
        <f>tblPlayers[[#This Row],[status]]</f>
        <v>a</v>
      </c>
      <c r="G578" s="4" t="b">
        <f>tblPlayers[[#This Row],[can_select]]</f>
        <v>1</v>
      </c>
      <c r="H578">
        <f>IF(AND(Table8[[#This Row],[Availability Status]]="a",Table8[[#This Row],[Can Select]]=TRUE),1,0)</f>
        <v>1</v>
      </c>
      <c r="I578">
        <f>tblPlayers[minutes]</f>
        <v>90</v>
      </c>
      <c r="J578" s="2">
        <f>Table8[[#This Row],[Minutes]]/90</f>
        <v>1</v>
      </c>
      <c r="K578" s="5">
        <f>IFERROR(Z578/(FIXTURE_ANALYSIS!$B$1-1),0)</f>
        <v>0.33333333333333331</v>
      </c>
      <c r="L578">
        <f>tblPlayers[total_points]</f>
        <v>2</v>
      </c>
      <c r="M578">
        <f>tblPlayers[points_per_game]</f>
        <v>2</v>
      </c>
      <c r="N578">
        <f>tblPlayers[form]</f>
        <v>0.7</v>
      </c>
      <c r="O578">
        <f>tblPlayers[expected_goals]</f>
        <v>0.03</v>
      </c>
      <c r="P578">
        <f>tblPlayers[expected_assists]</f>
        <v>0.01</v>
      </c>
      <c r="Q578">
        <f>tblPlayers[expected_goal_involvements]</f>
        <v>0.04</v>
      </c>
      <c r="R578" s="2">
        <f t="shared" ref="R578:R596" si="225">IF(I578=0,0,L578/I578*90)</f>
        <v>2</v>
      </c>
      <c r="S578" s="5">
        <f t="shared" ref="S578:S596" si="226">IF(I578=0,0,O578/I578*90)</f>
        <v>0.03</v>
      </c>
      <c r="T578" s="5">
        <f t="shared" ref="T578:T596" si="227">IF(I578=0,0,P578/I578*90)</f>
        <v>0.01</v>
      </c>
      <c r="U578" s="5">
        <f t="shared" ref="U578:U596" si="228">IF(I578=0,0,Q578/I578*90)</f>
        <v>0.04</v>
      </c>
      <c r="V578" s="3">
        <f t="shared" ref="V578:V596" si="229">IF(E578=0,0,L578/E578)</f>
        <v>0.4081632653061224</v>
      </c>
      <c r="W578" s="5">
        <f t="shared" ref="W578:W596" si="230">IF(E578=0,0,Q578/E578)</f>
        <v>8.163265306122448E-3</v>
      </c>
      <c r="X578" s="5">
        <f>IFERROR(IF(OR($B578="MID",$B578="FWD"),INDEX(FIXTURE_ANALYSIS!$Q:$Q,MATCH($D578,FIXTURE_ANALYSIS!$A:$A,0)),INDEX(FIXTURE_ANALYSIS!$R:$R,MATCH($D578,FIXTURE_ANALYSIS!$A:$A,0))),1)</f>
        <v>0.87800173010380622</v>
      </c>
      <c r="Y578" s="5">
        <f t="shared" ref="Y578:Y641" si="231">X578</f>
        <v>0.87800173010380622</v>
      </c>
      <c r="Z578" s="8">
        <f>INDEX(FPL_Raw_Data!$T:$T,MATCH(A578,FPL_Raw_Data!$AA:$AA,0))</f>
        <v>1</v>
      </c>
      <c r="AA578" s="8">
        <f>INDEX(FPL_Raw_Data!$S:$S,MATCH(A578,FPL_Raw_Data!$AA:$AA,0))</f>
        <v>6</v>
      </c>
      <c r="AB578" s="2">
        <f t="shared" ref="AB578:AB596" si="232">IF(B578="DEF",MIN(AA578/10,1),IF(OR(B578="MID",B578="FWD"),MIN(AA578/12,1),0))</f>
        <v>0.5</v>
      </c>
      <c r="AC578" s="2">
        <f>INDEX(FPL_Raw_Data!$Q:$Q,MATCH(A578,FPL_Raw_Data!$AA:$AA,0))</f>
        <v>0</v>
      </c>
      <c r="AD578" s="8">
        <f>INDEX(FPL_Raw_Data!$R:$R,MATCH(A578,FPL_Raw_Data!$AA:$AA,0))</f>
        <v>10</v>
      </c>
      <c r="AE578" s="8">
        <f>INDEX(FPL_Raw_Data!$N:$N,MATCH(A578,FPL_Raw_Data!$AA:$AA,0))</f>
        <v>0</v>
      </c>
      <c r="AF578" s="8">
        <f>INDEX(FPL_Raw_Data!$L:$L,MATCH(A578,FPL_Raw_Data!$AA:$AA,0))</f>
        <v>0</v>
      </c>
      <c r="AG578" s="2">
        <f>INDEX(FPL_Raw_Data!$M:$M,MATCH(A578,FPL_Raw_Data!$AA:$AA,0))</f>
        <v>0</v>
      </c>
      <c r="AH578" s="2">
        <f t="shared" ref="AH578:AH596" si="233">IF(B578="GK",S578*10,IF(B578="DEF",S578*6,IF(B578="MID",S578*5,S578*4)))</f>
        <v>0.15</v>
      </c>
      <c r="AI578" s="2">
        <f t="shared" ref="AI578:AI596" si="234">T578*3</f>
        <v>0.03</v>
      </c>
      <c r="AJ578" s="2">
        <f t="shared" ref="AJ578:AJ596" si="235">K578*2</f>
        <v>0.66666666666666663</v>
      </c>
      <c r="AK578" s="2">
        <f t="shared" ref="AK578:AK596" si="236">AB578*2</f>
        <v>1</v>
      </c>
      <c r="AL578" s="2">
        <f t="shared" ref="AL578:AL596" si="237">IFERROR(AE578/Z578,0)</f>
        <v>0</v>
      </c>
      <c r="AM578" s="2">
        <f t="shared" ref="AM578:AM596" si="238">IF(OR(B578="GK",B578="DEF"),AL578*4,IF(B578="MID",AL578*1,0))</f>
        <v>0</v>
      </c>
      <c r="AN578" s="2">
        <f t="shared" ref="AN578:AN596" si="239">IFERROR(AC578/Z578,0)</f>
        <v>0</v>
      </c>
      <c r="AO578" s="3">
        <f t="shared" ref="AO578:AO596" si="240">IFERROR(_xlfn.PERCENTRANK.INC($R$2:$R$700,R578)*100,0)</f>
        <v>45.9</v>
      </c>
      <c r="AP578">
        <f t="shared" ref="AP578:AP596" si="241">IFERROR(_xlfn.PERCENTRANK.INC($U$2:$U$700,U578)*100,0)</f>
        <v>59.4</v>
      </c>
      <c r="AQ578">
        <f t="shared" ref="AQ578:AQ596" si="242">IFERROR(_xlfn.PERCENTRANK.INC($V$2:$V$700,V578)*100,0)</f>
        <v>54.800000000000004</v>
      </c>
      <c r="AR578">
        <f t="shared" ref="AR578:AR596" si="243">IFERROR(_xlfn.PERCENTRANK.INC($W$2:$W$700,W578)*100,0)</f>
        <v>58.699999999999996</v>
      </c>
      <c r="AS578" s="2">
        <f t="shared" ref="AS578:AS596" si="244">K578*100</f>
        <v>33.333333333333329</v>
      </c>
      <c r="AT578" s="2">
        <f>IFERROR(INDEX(Player_Model!$BC$2:$BC$596,MATCH($A578,Player_Model!$A$2:$A$596,0)),0)</f>
        <v>2.9004078963981081</v>
      </c>
      <c r="AU578" s="2">
        <f>Table8[[#This Row],[Model Expected Points]]*Table8[[#This Row],[Fixture Adjustment]]</f>
        <v>2.5465631510442801</v>
      </c>
      <c r="AV578" s="2">
        <f>Table8[[#This Row],[Fixture Adjusted Points / 90]]/Table8[[#This Row],[Price]]</f>
        <v>0.51970676551924078</v>
      </c>
      <c r="AW578">
        <f t="shared" ref="AW578:AW596" si="245">IF(OR(B578="MID",B578="FWD"),AVERAGE(AO578,AP578),IF(B578="DEF",AP578,0))</f>
        <v>52.65</v>
      </c>
      <c r="AX578">
        <f t="shared" ref="AX578:AX596" si="246">IF(B578="GK",AVERAGE(AS578,X578),IF(B578="DEF",AVERAGE(AB578,X578),IF(B578="MID",AB578,0)))</f>
        <v>0.5</v>
      </c>
      <c r="AY578" s="2">
        <f t="shared" ref="AY578:AY596" si="247">AS578</f>
        <v>33.333333333333329</v>
      </c>
      <c r="AZ578" s="5">
        <f t="shared" ref="AZ578:AZ596" si="248">X578</f>
        <v>0.87800173010380622</v>
      </c>
      <c r="BA578">
        <f>Table8[[#This Row],[Model Score2]]</f>
        <v>2.9004078963981081</v>
      </c>
      <c r="BB578">
        <f>IFERROR(INDEX(Player_Model!$BG$2:$BG$596,MATCH($A578,Player_Model!$A$2:$A$596,0)),"")</f>
        <v>106</v>
      </c>
      <c r="BC578" t="str">
        <f t="shared" ref="BC578:BC596" si="249">IF(BB578=1,"TOP PICK",IF(BB578&lt;=5,"STRONG PICK",IF(BB578&lt;=10,"CONSIDER","AVOID")))</f>
        <v>AVOID</v>
      </c>
      <c r="BD578">
        <f>IF(H578=1,Table8[[#This Row],[Model Score]],-10000)</f>
        <v>2.9004078963981081</v>
      </c>
      <c r="BE578">
        <f>IFERROR(INDEX(Player_Model!$BF$2:$BF$596,MATCH($A578,Player_Model!$A$2:$A$596,0)),"")</f>
        <v>203</v>
      </c>
      <c r="BF578">
        <f>IFERROR(INDEX(Player_Model!$BG$2:$BG$596,MATCH($A578,Player_Model!$A$2:$A$596,0)),"")</f>
        <v>106</v>
      </c>
      <c r="BG578">
        <f>IFERROR(INDEX(Player_Model!$BE$2:$BE$596,MATCH($A578,Player_Model!$A$2:$A$596,0)),0)</f>
        <v>2.9004078963981081</v>
      </c>
    </row>
    <row r="579" spans="1:59" x14ac:dyDescent="0.25">
      <c r="A579" t="str">
        <f>tblPlayers[first_name]&amp;" "&amp;tblPlayers[second_name]</f>
        <v>Ryan Yates</v>
      </c>
      <c r="B579" t="str">
        <f>_xlfn.SWITCH(tblPlayers[element_type],1,"GK",2,"DEF",3,"MID",4,"FWD")</f>
        <v>MID</v>
      </c>
      <c r="C579">
        <f>tblPlayers[team]</f>
        <v>18</v>
      </c>
      <c r="D579" t="str">
        <f>INDEX(tblTeams[Column1.short_name],MATCH(C579,tblTeams[Column1.id],0))</f>
        <v>NFO</v>
      </c>
      <c r="E579" s="4">
        <f>INDEX(FPL_Raw_Data!$F:$F,MATCH(A579,FPL_Raw_Data!$AA:$AA,0))/10</f>
        <v>4.5</v>
      </c>
      <c r="F579" s="4" t="str">
        <f>tblPlayers[[#This Row],[status]]</f>
        <v>a</v>
      </c>
      <c r="G579" s="4" t="b">
        <f>tblPlayers[[#This Row],[can_select]]</f>
        <v>1</v>
      </c>
      <c r="H579">
        <f>IF(AND(Table8[[#This Row],[Availability Status]]="a",Table8[[#This Row],[Can Select]]=TRUE),1,0)</f>
        <v>1</v>
      </c>
      <c r="I579">
        <f>tblPlayers[minutes]</f>
        <v>0</v>
      </c>
      <c r="J579" s="2">
        <f>Table8[[#This Row],[Minutes]]/90</f>
        <v>0</v>
      </c>
      <c r="K579" s="5">
        <f>IFERROR(Z579/(FIXTURE_ANALYSIS!$B$1-1),0)</f>
        <v>0</v>
      </c>
      <c r="L579">
        <f>tblPlayers[total_points]</f>
        <v>0</v>
      </c>
      <c r="M579">
        <f>tblPlayers[points_per_game]</f>
        <v>0</v>
      </c>
      <c r="N579">
        <f>tblPlayers[form]</f>
        <v>0</v>
      </c>
      <c r="O579">
        <f>tblPlayers[expected_goals]</f>
        <v>0</v>
      </c>
      <c r="P579">
        <f>tblPlayers[expected_assists]</f>
        <v>0</v>
      </c>
      <c r="Q579">
        <f>tblPlayers[expected_goal_involvements]</f>
        <v>0</v>
      </c>
      <c r="R579" s="2">
        <f t="shared" si="225"/>
        <v>0</v>
      </c>
      <c r="S579" s="5">
        <f t="shared" si="226"/>
        <v>0</v>
      </c>
      <c r="T579" s="5">
        <f t="shared" si="227"/>
        <v>0</v>
      </c>
      <c r="U579" s="5">
        <f t="shared" si="228"/>
        <v>0</v>
      </c>
      <c r="V579" s="3">
        <f t="shared" si="229"/>
        <v>0</v>
      </c>
      <c r="W579" s="5">
        <f t="shared" si="230"/>
        <v>0</v>
      </c>
      <c r="X579" s="5">
        <f>IFERROR(IF(OR($B579="MID",$B579="FWD"),INDEX(FIXTURE_ANALYSIS!$Q:$Q,MATCH($D579,FIXTURE_ANALYSIS!$A:$A,0)),INDEX(FIXTURE_ANALYSIS!$R:$R,MATCH($D579,FIXTURE_ANALYSIS!$A:$A,0))),1)</f>
        <v>0.87800173010380622</v>
      </c>
      <c r="Y579" s="5">
        <f t="shared" si="231"/>
        <v>0.87800173010380622</v>
      </c>
      <c r="Z579" s="8">
        <f>INDEX(FPL_Raw_Data!$T:$T,MATCH(A579,FPL_Raw_Data!$AA:$AA,0))</f>
        <v>0</v>
      </c>
      <c r="AA579" s="8">
        <f>INDEX(FPL_Raw_Data!$S:$S,MATCH(A579,FPL_Raw_Data!$AA:$AA,0))</f>
        <v>0</v>
      </c>
      <c r="AB579" s="2">
        <f t="shared" si="232"/>
        <v>0</v>
      </c>
      <c r="AC579" s="2">
        <f>INDEX(FPL_Raw_Data!$Q:$Q,MATCH(A579,FPL_Raw_Data!$AA:$AA,0))</f>
        <v>0</v>
      </c>
      <c r="AD579" s="8">
        <f>INDEX(FPL_Raw_Data!$R:$R,MATCH(A579,FPL_Raw_Data!$AA:$AA,0))</f>
        <v>0</v>
      </c>
      <c r="AE579" s="8">
        <f>INDEX(FPL_Raw_Data!$N:$N,MATCH(A579,FPL_Raw_Data!$AA:$AA,0))</f>
        <v>0</v>
      </c>
      <c r="AF579" s="8">
        <f>INDEX(FPL_Raw_Data!$L:$L,MATCH(A579,FPL_Raw_Data!$AA:$AA,0))</f>
        <v>0</v>
      </c>
      <c r="AG579" s="2">
        <f>INDEX(FPL_Raw_Data!$M:$M,MATCH(A579,FPL_Raw_Data!$AA:$AA,0))</f>
        <v>0</v>
      </c>
      <c r="AH579" s="2">
        <f t="shared" si="233"/>
        <v>0</v>
      </c>
      <c r="AI579" s="2">
        <f t="shared" si="234"/>
        <v>0</v>
      </c>
      <c r="AJ579" s="2">
        <f t="shared" si="235"/>
        <v>0</v>
      </c>
      <c r="AK579" s="2">
        <f t="shared" si="236"/>
        <v>0</v>
      </c>
      <c r="AL579" s="2">
        <f t="shared" si="237"/>
        <v>0</v>
      </c>
      <c r="AM579" s="2">
        <f t="shared" si="238"/>
        <v>0</v>
      </c>
      <c r="AN579" s="2">
        <f t="shared" si="239"/>
        <v>0</v>
      </c>
      <c r="AO579" s="3">
        <f t="shared" si="240"/>
        <v>0.1</v>
      </c>
      <c r="AP579">
        <f t="shared" si="241"/>
        <v>0</v>
      </c>
      <c r="AQ579">
        <f t="shared" si="242"/>
        <v>0.1</v>
      </c>
      <c r="AR579">
        <f t="shared" si="243"/>
        <v>0</v>
      </c>
      <c r="AS579" s="2">
        <f t="shared" si="244"/>
        <v>0</v>
      </c>
      <c r="AT579" s="2">
        <f>IFERROR(INDEX(Player_Model!$BC$2:$BC$596,MATCH($A579,Player_Model!$A$2:$A$596,0)),0)</f>
        <v>0</v>
      </c>
      <c r="AU579" s="2">
        <f>Table8[[#This Row],[Model Expected Points]]*Table8[[#This Row],[Fixture Adjustment]]</f>
        <v>0</v>
      </c>
      <c r="AV579" s="2">
        <f>Table8[[#This Row],[Fixture Adjusted Points / 90]]/Table8[[#This Row],[Price]]</f>
        <v>0</v>
      </c>
      <c r="AW579">
        <f t="shared" si="245"/>
        <v>0.05</v>
      </c>
      <c r="AX579">
        <f t="shared" si="246"/>
        <v>0</v>
      </c>
      <c r="AY579" s="2">
        <f t="shared" si="247"/>
        <v>0</v>
      </c>
      <c r="AZ579" s="5">
        <f t="shared" si="248"/>
        <v>0.87800173010380622</v>
      </c>
      <c r="BA579">
        <f>Table8[[#This Row],[Model Score2]]</f>
        <v>0</v>
      </c>
      <c r="BB579">
        <f>IFERROR(INDEX(Player_Model!$BG$2:$BG$596,MATCH($A579,Player_Model!$A$2:$A$596,0)),"")</f>
        <v>263</v>
      </c>
      <c r="BC579" t="str">
        <f t="shared" si="249"/>
        <v>AVOID</v>
      </c>
      <c r="BD579">
        <f>IF(H579=1,Table8[[#This Row],[Model Score]],-10000)</f>
        <v>0</v>
      </c>
      <c r="BE579">
        <f>IFERROR(INDEX(Player_Model!$BF$2:$BF$596,MATCH($A579,Player_Model!$A$2:$A$596,0)),"")</f>
        <v>253</v>
      </c>
      <c r="BF579">
        <f>IFERROR(INDEX(Player_Model!$BG$2:$BG$596,MATCH($A579,Player_Model!$A$2:$A$596,0)),"")</f>
        <v>263</v>
      </c>
      <c r="BG579">
        <f>IFERROR(INDEX(Player_Model!$BE$2:$BE$596,MATCH($A579,Player_Model!$A$2:$A$596,0)),0)</f>
        <v>0</v>
      </c>
    </row>
    <row r="580" spans="1:59" x14ac:dyDescent="0.25">
      <c r="A580" t="str">
        <f>tblPlayers[first_name]&amp;" "&amp;tblPlayers[second_name]</f>
        <v>Chris Wood</v>
      </c>
      <c r="B580" t="str">
        <f>_xlfn.SWITCH(tblPlayers[element_type],1,"GK",2,"DEF",3,"MID",4,"FWD")</f>
        <v>FWD</v>
      </c>
      <c r="C580">
        <f>tblPlayers[team]</f>
        <v>18</v>
      </c>
      <c r="D580" t="str">
        <f>INDEX(tblTeams[Column1.short_name],MATCH(C580,tblTeams[Column1.id],0))</f>
        <v>NFO</v>
      </c>
      <c r="E580" s="4">
        <f>INDEX(FPL_Raw_Data!$F:$F,MATCH(A580,FPL_Raw_Data!$AA:$AA,0))/10</f>
        <v>5.9</v>
      </c>
      <c r="F580" s="4" t="str">
        <f>tblPlayers[[#This Row],[status]]</f>
        <v>a</v>
      </c>
      <c r="G580" s="4" t="b">
        <f>tblPlayers[[#This Row],[can_select]]</f>
        <v>1</v>
      </c>
      <c r="H580">
        <f>IF(AND(Table8[[#This Row],[Availability Status]]="a",Table8[[#This Row],[Can Select]]=TRUE),1,0)</f>
        <v>1</v>
      </c>
      <c r="I580">
        <f>tblPlayers[minutes]</f>
        <v>44</v>
      </c>
      <c r="J580" s="2">
        <f>Table8[[#This Row],[Minutes]]/90</f>
        <v>0.48888888888888887</v>
      </c>
      <c r="K580" s="5">
        <f>IFERROR(Z580/(FIXTURE_ANALYSIS!$B$1-1),0)</f>
        <v>0</v>
      </c>
      <c r="L580">
        <f>tblPlayers[total_points]</f>
        <v>2</v>
      </c>
      <c r="M580">
        <f>tblPlayers[points_per_game]</f>
        <v>1</v>
      </c>
      <c r="N580">
        <f>tblPlayers[form]</f>
        <v>0.7</v>
      </c>
      <c r="O580">
        <f>tblPlayers[expected_goals]</f>
        <v>0.12</v>
      </c>
      <c r="P580">
        <f>tblPlayers[expected_assists]</f>
        <v>0.01</v>
      </c>
      <c r="Q580">
        <f>tblPlayers[expected_goal_involvements]</f>
        <v>0.13</v>
      </c>
      <c r="R580" s="2">
        <f t="shared" si="225"/>
        <v>4.0909090909090908</v>
      </c>
      <c r="S580" s="5">
        <f t="shared" si="226"/>
        <v>0.24545454545454543</v>
      </c>
      <c r="T580" s="5">
        <f t="shared" si="227"/>
        <v>2.0454545454545454E-2</v>
      </c>
      <c r="U580" s="5">
        <f t="shared" si="228"/>
        <v>0.26590909090909093</v>
      </c>
      <c r="V580" s="3">
        <f t="shared" si="229"/>
        <v>0.33898305084745761</v>
      </c>
      <c r="W580" s="5">
        <f t="shared" si="230"/>
        <v>2.2033898305084745E-2</v>
      </c>
      <c r="X580" s="5">
        <f>IFERROR(IF(OR($B580="MID",$B580="FWD"),INDEX(FIXTURE_ANALYSIS!$Q:$Q,MATCH($D580,FIXTURE_ANALYSIS!$A:$A,0)),INDEX(FIXTURE_ANALYSIS!$R:$R,MATCH($D580,FIXTURE_ANALYSIS!$A:$A,0))),1)</f>
        <v>0.87800173010380622</v>
      </c>
      <c r="Y580" s="5">
        <f t="shared" si="231"/>
        <v>0.87800173010380622</v>
      </c>
      <c r="Z580" s="8">
        <f>INDEX(FPL_Raw_Data!$T:$T,MATCH(A580,FPL_Raw_Data!$AA:$AA,0))</f>
        <v>0</v>
      </c>
      <c r="AA580" s="8">
        <f>INDEX(FPL_Raw_Data!$S:$S,MATCH(A580,FPL_Raw_Data!$AA:$AA,0))</f>
        <v>1</v>
      </c>
      <c r="AB580" s="2">
        <f t="shared" si="232"/>
        <v>8.3333333333333329E-2</v>
      </c>
      <c r="AC580" s="2">
        <f>INDEX(FPL_Raw_Data!$Q:$Q,MATCH(A580,FPL_Raw_Data!$AA:$AA,0))</f>
        <v>0</v>
      </c>
      <c r="AD580" s="8">
        <f>INDEX(FPL_Raw_Data!$R:$R,MATCH(A580,FPL_Raw_Data!$AA:$AA,0))</f>
        <v>6</v>
      </c>
      <c r="AE580" s="8">
        <f>INDEX(FPL_Raw_Data!$N:$N,MATCH(A580,FPL_Raw_Data!$AA:$AA,0))</f>
        <v>0</v>
      </c>
      <c r="AF580" s="8">
        <f>INDEX(FPL_Raw_Data!$L:$L,MATCH(A580,FPL_Raw_Data!$AA:$AA,0))</f>
        <v>0</v>
      </c>
      <c r="AG580" s="2">
        <f>INDEX(FPL_Raw_Data!$M:$M,MATCH(A580,FPL_Raw_Data!$AA:$AA,0))</f>
        <v>0</v>
      </c>
      <c r="AH580" s="2">
        <f t="shared" si="233"/>
        <v>0.9818181818181817</v>
      </c>
      <c r="AI580" s="2">
        <f t="shared" si="234"/>
        <v>6.1363636363636363E-2</v>
      </c>
      <c r="AJ580" s="2">
        <f t="shared" si="235"/>
        <v>0</v>
      </c>
      <c r="AK580" s="2">
        <f t="shared" si="236"/>
        <v>0.16666666666666666</v>
      </c>
      <c r="AL580" s="2">
        <f t="shared" si="237"/>
        <v>0</v>
      </c>
      <c r="AM580" s="2">
        <f t="shared" si="238"/>
        <v>0</v>
      </c>
      <c r="AN580" s="2">
        <f t="shared" si="239"/>
        <v>0</v>
      </c>
      <c r="AO580" s="3">
        <f t="shared" si="240"/>
        <v>70.199999999999989</v>
      </c>
      <c r="AP580">
        <f t="shared" si="241"/>
        <v>81.599999999999994</v>
      </c>
      <c r="AQ580">
        <f t="shared" si="242"/>
        <v>50.8</v>
      </c>
      <c r="AR580">
        <f t="shared" si="243"/>
        <v>67.600000000000009</v>
      </c>
      <c r="AS580" s="2">
        <f t="shared" si="244"/>
        <v>0</v>
      </c>
      <c r="AT580" s="2">
        <f>IFERROR(INDEX(Player_Model!$BC$2:$BC$596,MATCH($A580,Player_Model!$A$2:$A$596,0)),0)</f>
        <v>0</v>
      </c>
      <c r="AU580" s="2">
        <f>Table8[[#This Row],[Model Expected Points]]*Table8[[#This Row],[Fixture Adjustment]]</f>
        <v>0</v>
      </c>
      <c r="AV580" s="2">
        <f>Table8[[#This Row],[Fixture Adjusted Points / 90]]/Table8[[#This Row],[Price]]</f>
        <v>0</v>
      </c>
      <c r="AW580">
        <f t="shared" si="245"/>
        <v>75.899999999999991</v>
      </c>
      <c r="AX580">
        <f t="shared" si="246"/>
        <v>0</v>
      </c>
      <c r="AY580" s="2">
        <f t="shared" si="247"/>
        <v>0</v>
      </c>
      <c r="AZ580" s="5">
        <f t="shared" si="248"/>
        <v>0.87800173010380622</v>
      </c>
      <c r="BA580">
        <f>Table8[[#This Row],[Model Score2]]</f>
        <v>0</v>
      </c>
      <c r="BB580">
        <f>IFERROR(INDEX(Player_Model!$BG$2:$BG$596,MATCH($A580,Player_Model!$A$2:$A$596,0)),"")</f>
        <v>71</v>
      </c>
      <c r="BC580" t="str">
        <f t="shared" si="249"/>
        <v>AVOID</v>
      </c>
      <c r="BD580">
        <f>IF(H580=1,Table8[[#This Row],[Model Score]],-10000)</f>
        <v>0</v>
      </c>
      <c r="BE580">
        <f>IFERROR(INDEX(Player_Model!$BF$2:$BF$596,MATCH($A580,Player_Model!$A$2:$A$596,0)),"")</f>
        <v>253</v>
      </c>
      <c r="BF580">
        <f>IFERROR(INDEX(Player_Model!$BG$2:$BG$596,MATCH($A580,Player_Model!$A$2:$A$596,0)),"")</f>
        <v>71</v>
      </c>
      <c r="BG580">
        <f>IFERROR(INDEX(Player_Model!$BE$2:$BE$596,MATCH($A580,Player_Model!$A$2:$A$596,0)),0)</f>
        <v>0</v>
      </c>
    </row>
    <row r="581" spans="1:59" x14ac:dyDescent="0.25">
      <c r="A581" t="str">
        <f>tblPlayers[first_name]&amp;" "&amp;tblPlayers[second_name]</f>
        <v>Igor Jesus Maciel da Cruz</v>
      </c>
      <c r="B581" t="str">
        <f>_xlfn.SWITCH(tblPlayers[element_type],1,"GK",2,"DEF",3,"MID",4,"FWD")</f>
        <v>FWD</v>
      </c>
      <c r="C581">
        <f>tblPlayers[team]</f>
        <v>18</v>
      </c>
      <c r="D581" t="str">
        <f>INDEX(tblTeams[Column1.short_name],MATCH(C581,tblTeams[Column1.id],0))</f>
        <v>NFO</v>
      </c>
      <c r="E581" s="4">
        <f>INDEX(FPL_Raw_Data!$F:$F,MATCH(A581,FPL_Raw_Data!$AA:$AA,0))/10</f>
        <v>5.9</v>
      </c>
      <c r="F581" s="4" t="str">
        <f>tblPlayers[[#This Row],[status]]</f>
        <v>a</v>
      </c>
      <c r="G581" s="4" t="b">
        <f>tblPlayers[[#This Row],[can_select]]</f>
        <v>1</v>
      </c>
      <c r="H581">
        <f>IF(AND(Table8[[#This Row],[Availability Status]]="a",Table8[[#This Row],[Can Select]]=TRUE),1,0)</f>
        <v>1</v>
      </c>
      <c r="I581">
        <f>tblPlayers[minutes]</f>
        <v>211</v>
      </c>
      <c r="J581" s="2">
        <f>Table8[[#This Row],[Minutes]]/90</f>
        <v>2.3444444444444446</v>
      </c>
      <c r="K581" s="5">
        <f>IFERROR(Z581/(FIXTURE_ANALYSIS!$B$1-1),0)</f>
        <v>0.66666666666666663</v>
      </c>
      <c r="L581">
        <f>tblPlayers[total_points]</f>
        <v>4</v>
      </c>
      <c r="M581">
        <f>tblPlayers[points_per_game]</f>
        <v>1.3</v>
      </c>
      <c r="N581">
        <f>tblPlayers[form]</f>
        <v>1.3</v>
      </c>
      <c r="O581">
        <f>tblPlayers[expected_goals]</f>
        <v>0.96</v>
      </c>
      <c r="P581">
        <f>tblPlayers[expected_assists]</f>
        <v>0.06</v>
      </c>
      <c r="Q581">
        <f>tblPlayers[expected_goal_involvements]</f>
        <v>1.02</v>
      </c>
      <c r="R581" s="2">
        <f t="shared" si="225"/>
        <v>1.7061611374407584</v>
      </c>
      <c r="S581" s="5">
        <f t="shared" si="226"/>
        <v>0.40947867298578194</v>
      </c>
      <c r="T581" s="5">
        <f t="shared" si="227"/>
        <v>2.5592417061611372E-2</v>
      </c>
      <c r="U581" s="5">
        <f t="shared" si="228"/>
        <v>0.43507109004739336</v>
      </c>
      <c r="V581" s="3">
        <f t="shared" si="229"/>
        <v>0.67796610169491522</v>
      </c>
      <c r="W581" s="5">
        <f t="shared" si="230"/>
        <v>0.17288135593220338</v>
      </c>
      <c r="X581" s="5">
        <f>IFERROR(IF(OR($B581="MID",$B581="FWD"),INDEX(FIXTURE_ANALYSIS!$Q:$Q,MATCH($D581,FIXTURE_ANALYSIS!$A:$A,0)),INDEX(FIXTURE_ANALYSIS!$R:$R,MATCH($D581,FIXTURE_ANALYSIS!$A:$A,0))),1)</f>
        <v>0.87800173010380622</v>
      </c>
      <c r="Y581" s="5">
        <f t="shared" si="231"/>
        <v>0.87800173010380622</v>
      </c>
      <c r="Z581" s="8">
        <f>INDEX(FPL_Raw_Data!$T:$T,MATCH(A581,FPL_Raw_Data!$AA:$AA,0))</f>
        <v>2</v>
      </c>
      <c r="AA581" s="8">
        <f>INDEX(FPL_Raw_Data!$S:$S,MATCH(A581,FPL_Raw_Data!$AA:$AA,0))</f>
        <v>9</v>
      </c>
      <c r="AB581" s="2">
        <f t="shared" si="232"/>
        <v>0.75</v>
      </c>
      <c r="AC581" s="2">
        <f>INDEX(FPL_Raw_Data!$Q:$Q,MATCH(A581,FPL_Raw_Data!$AA:$AA,0))</f>
        <v>0</v>
      </c>
      <c r="AD581" s="8">
        <f>INDEX(FPL_Raw_Data!$R:$R,MATCH(A581,FPL_Raw_Data!$AA:$AA,0))</f>
        <v>15</v>
      </c>
      <c r="AE581" s="8">
        <f>INDEX(FPL_Raw_Data!$N:$N,MATCH(A581,FPL_Raw_Data!$AA:$AA,0))</f>
        <v>0</v>
      </c>
      <c r="AF581" s="8">
        <f>INDEX(FPL_Raw_Data!$L:$L,MATCH(A581,FPL_Raw_Data!$AA:$AA,0))</f>
        <v>0</v>
      </c>
      <c r="AG581" s="2">
        <f>INDEX(FPL_Raw_Data!$M:$M,MATCH(A581,FPL_Raw_Data!$AA:$AA,0))</f>
        <v>0</v>
      </c>
      <c r="AH581" s="2">
        <f t="shared" si="233"/>
        <v>1.6379146919431278</v>
      </c>
      <c r="AI581" s="2">
        <f t="shared" si="234"/>
        <v>7.6777251184834111E-2</v>
      </c>
      <c r="AJ581" s="2">
        <f t="shared" si="235"/>
        <v>1.3333333333333333</v>
      </c>
      <c r="AK581" s="2">
        <f t="shared" si="236"/>
        <v>1.5</v>
      </c>
      <c r="AL581" s="2">
        <f t="shared" si="237"/>
        <v>0</v>
      </c>
      <c r="AM581" s="2">
        <f t="shared" si="238"/>
        <v>0</v>
      </c>
      <c r="AN581" s="2">
        <f t="shared" si="239"/>
        <v>0</v>
      </c>
      <c r="AO581" s="3">
        <f t="shared" si="240"/>
        <v>45.2</v>
      </c>
      <c r="AP581">
        <f t="shared" si="241"/>
        <v>90.4</v>
      </c>
      <c r="AQ581">
        <f t="shared" si="242"/>
        <v>63.800000000000004</v>
      </c>
      <c r="AR581">
        <f t="shared" si="243"/>
        <v>93</v>
      </c>
      <c r="AS581" s="2">
        <f t="shared" si="244"/>
        <v>66.666666666666657</v>
      </c>
      <c r="AT581" s="2">
        <f>IFERROR(INDEX(Player_Model!$BC$2:$BC$596,MATCH($A581,Player_Model!$A$2:$A$596,0)),0)</f>
        <v>3.1395653228251468</v>
      </c>
      <c r="AU581" s="2">
        <f>Table8[[#This Row],[Model Expected Points]]*Table8[[#This Row],[Fixture Adjustment]]</f>
        <v>2.7565437852143937</v>
      </c>
      <c r="AV581" s="2">
        <f>Table8[[#This Row],[Fixture Adjusted Points / 90]]/Table8[[#This Row],[Price]]</f>
        <v>0.46721081105328705</v>
      </c>
      <c r="AW581">
        <f t="shared" si="245"/>
        <v>67.800000000000011</v>
      </c>
      <c r="AX581">
        <f t="shared" si="246"/>
        <v>0</v>
      </c>
      <c r="AY581" s="2">
        <f t="shared" si="247"/>
        <v>66.666666666666657</v>
      </c>
      <c r="AZ581" s="5">
        <f t="shared" si="248"/>
        <v>0.87800173010380622</v>
      </c>
      <c r="BA581">
        <f>Table8[[#This Row],[Model Score2]]</f>
        <v>3.1395653228251468</v>
      </c>
      <c r="BB581">
        <f>IFERROR(INDEX(Player_Model!$BG$2:$BG$596,MATCH($A581,Player_Model!$A$2:$A$596,0)),"")</f>
        <v>20</v>
      </c>
      <c r="BC581" t="str">
        <f t="shared" si="249"/>
        <v>AVOID</v>
      </c>
      <c r="BD581">
        <f>IF(H581=1,Table8[[#This Row],[Model Score]],-10000)</f>
        <v>3.1395653228251468</v>
      </c>
      <c r="BE581">
        <f>IFERROR(INDEX(Player_Model!$BF$2:$BF$596,MATCH($A581,Player_Model!$A$2:$A$596,0)),"")</f>
        <v>196</v>
      </c>
      <c r="BF581">
        <f>IFERROR(INDEX(Player_Model!$BG$2:$BG$596,MATCH($A581,Player_Model!$A$2:$A$596,0)),"")</f>
        <v>20</v>
      </c>
      <c r="BG581">
        <f>IFERROR(INDEX(Player_Model!$BE$2:$BE$596,MATCH($A581,Player_Model!$A$2:$A$596,0)),0)</f>
        <v>3.1395653228251468</v>
      </c>
    </row>
    <row r="582" spans="1:59" x14ac:dyDescent="0.25">
      <c r="A582" t="str">
        <f>tblPlayers[first_name]&amp;" "&amp;tblPlayers[second_name]</f>
        <v>Arnaud Kalimuendo</v>
      </c>
      <c r="B582" t="str">
        <f>_xlfn.SWITCH(tblPlayers[element_type],1,"GK",2,"DEF",3,"MID",4,"FWD")</f>
        <v>FWD</v>
      </c>
      <c r="C582">
        <f>tblPlayers[team]</f>
        <v>18</v>
      </c>
      <c r="D582" t="str">
        <f>INDEX(tblTeams[Column1.short_name],MATCH(C582,tblTeams[Column1.id],0))</f>
        <v>NFO</v>
      </c>
      <c r="E582" s="4">
        <f>INDEX(FPL_Raw_Data!$F:$F,MATCH(A582,FPL_Raw_Data!$AA:$AA,0))/10</f>
        <v>5.4</v>
      </c>
      <c r="F582" s="4" t="str">
        <f>tblPlayers[[#This Row],[status]]</f>
        <v>a</v>
      </c>
      <c r="G582" s="4" t="b">
        <f>tblPlayers[[#This Row],[can_select]]</f>
        <v>1</v>
      </c>
      <c r="H582">
        <f>IF(AND(Table8[[#This Row],[Availability Status]]="a",Table8[[#This Row],[Can Select]]=TRUE),1,0)</f>
        <v>1</v>
      </c>
      <c r="I582">
        <f>tblPlayers[minutes]</f>
        <v>1</v>
      </c>
      <c r="J582" s="2">
        <f>Table8[[#This Row],[Minutes]]/90</f>
        <v>1.1111111111111112E-2</v>
      </c>
      <c r="K582" s="5">
        <f>IFERROR(Z582/(FIXTURE_ANALYSIS!$B$1-1),0)</f>
        <v>0</v>
      </c>
      <c r="L582">
        <f>tblPlayers[total_points]</f>
        <v>1</v>
      </c>
      <c r="M582">
        <f>tblPlayers[points_per_game]</f>
        <v>1</v>
      </c>
      <c r="N582">
        <f>tblPlayers[form]</f>
        <v>0.3</v>
      </c>
      <c r="O582">
        <f>tblPlayers[expected_goals]</f>
        <v>0</v>
      </c>
      <c r="P582">
        <f>tblPlayers[expected_assists]</f>
        <v>0</v>
      </c>
      <c r="Q582">
        <f>tblPlayers[expected_goal_involvements]</f>
        <v>0</v>
      </c>
      <c r="R582" s="2">
        <f t="shared" si="225"/>
        <v>90</v>
      </c>
      <c r="S582" s="5">
        <f t="shared" si="226"/>
        <v>0</v>
      </c>
      <c r="T582" s="5">
        <f t="shared" si="227"/>
        <v>0</v>
      </c>
      <c r="U582" s="5">
        <f t="shared" si="228"/>
        <v>0</v>
      </c>
      <c r="V582" s="3">
        <f t="shared" si="229"/>
        <v>0.18518518518518517</v>
      </c>
      <c r="W582" s="5">
        <f t="shared" si="230"/>
        <v>0</v>
      </c>
      <c r="X582" s="5">
        <f>IFERROR(IF(OR($B582="MID",$B582="FWD"),INDEX(FIXTURE_ANALYSIS!$Q:$Q,MATCH($D582,FIXTURE_ANALYSIS!$A:$A,0)),INDEX(FIXTURE_ANALYSIS!$R:$R,MATCH($D582,FIXTURE_ANALYSIS!$A:$A,0))),1)</f>
        <v>0.87800173010380622</v>
      </c>
      <c r="Y582" s="5">
        <f t="shared" si="231"/>
        <v>0.87800173010380622</v>
      </c>
      <c r="Z582" s="8">
        <f>INDEX(FPL_Raw_Data!$T:$T,MATCH(A582,FPL_Raw_Data!$AA:$AA,0))</f>
        <v>0</v>
      </c>
      <c r="AA582" s="8">
        <f>INDEX(FPL_Raw_Data!$S:$S,MATCH(A582,FPL_Raw_Data!$AA:$AA,0))</f>
        <v>0</v>
      </c>
      <c r="AB582" s="2">
        <f t="shared" si="232"/>
        <v>0</v>
      </c>
      <c r="AC582" s="2">
        <f>INDEX(FPL_Raw_Data!$Q:$Q,MATCH(A582,FPL_Raw_Data!$AA:$AA,0))</f>
        <v>0</v>
      </c>
      <c r="AD582" s="8">
        <f>INDEX(FPL_Raw_Data!$R:$R,MATCH(A582,FPL_Raw_Data!$AA:$AA,0))</f>
        <v>3</v>
      </c>
      <c r="AE582" s="8">
        <f>INDEX(FPL_Raw_Data!$N:$N,MATCH(A582,FPL_Raw_Data!$AA:$AA,0))</f>
        <v>0</v>
      </c>
      <c r="AF582" s="8">
        <f>INDEX(FPL_Raw_Data!$L:$L,MATCH(A582,FPL_Raw_Data!$AA:$AA,0))</f>
        <v>0</v>
      </c>
      <c r="AG582" s="2">
        <f>INDEX(FPL_Raw_Data!$M:$M,MATCH(A582,FPL_Raw_Data!$AA:$AA,0))</f>
        <v>0</v>
      </c>
      <c r="AH582" s="2">
        <f t="shared" si="233"/>
        <v>0</v>
      </c>
      <c r="AI582" s="2">
        <f t="shared" si="234"/>
        <v>0</v>
      </c>
      <c r="AJ582" s="2">
        <f t="shared" si="235"/>
        <v>0</v>
      </c>
      <c r="AK582" s="2">
        <f t="shared" si="236"/>
        <v>0</v>
      </c>
      <c r="AL582" s="2">
        <f t="shared" si="237"/>
        <v>0</v>
      </c>
      <c r="AM582" s="2">
        <f t="shared" si="238"/>
        <v>0</v>
      </c>
      <c r="AN582" s="2">
        <f t="shared" si="239"/>
        <v>0</v>
      </c>
      <c r="AO582" s="3">
        <f t="shared" si="240"/>
        <v>98.1</v>
      </c>
      <c r="AP582">
        <f t="shared" si="241"/>
        <v>0</v>
      </c>
      <c r="AQ582">
        <f t="shared" si="242"/>
        <v>43.4</v>
      </c>
      <c r="AR582">
        <f t="shared" si="243"/>
        <v>0</v>
      </c>
      <c r="AS582" s="2">
        <f t="shared" si="244"/>
        <v>0</v>
      </c>
      <c r="AT582" s="2">
        <f>IFERROR(INDEX(Player_Model!$BC$2:$BC$596,MATCH($A582,Player_Model!$A$2:$A$596,0)),0)</f>
        <v>0</v>
      </c>
      <c r="AU582" s="2">
        <f>Table8[[#This Row],[Model Expected Points]]*Table8[[#This Row],[Fixture Adjustment]]</f>
        <v>0</v>
      </c>
      <c r="AV582" s="2">
        <f>Table8[[#This Row],[Fixture Adjusted Points / 90]]/Table8[[#This Row],[Price]]</f>
        <v>0</v>
      </c>
      <c r="AW582">
        <f t="shared" si="245"/>
        <v>49.05</v>
      </c>
      <c r="AX582">
        <f t="shared" si="246"/>
        <v>0</v>
      </c>
      <c r="AY582" s="2">
        <f t="shared" si="247"/>
        <v>0</v>
      </c>
      <c r="AZ582" s="5">
        <f t="shared" si="248"/>
        <v>0.87800173010380622</v>
      </c>
      <c r="BA582">
        <f>Table8[[#This Row],[Model Score2]]</f>
        <v>0</v>
      </c>
      <c r="BB582">
        <f>IFERROR(INDEX(Player_Model!$BG$2:$BG$596,MATCH($A582,Player_Model!$A$2:$A$596,0)),"")</f>
        <v>72</v>
      </c>
      <c r="BC582" t="str">
        <f t="shared" si="249"/>
        <v>AVOID</v>
      </c>
      <c r="BD582">
        <f>IF(H582=1,Table8[[#This Row],[Model Score]],-10000)</f>
        <v>0</v>
      </c>
      <c r="BE582">
        <f>IFERROR(INDEX(Player_Model!$BF$2:$BF$596,MATCH($A582,Player_Model!$A$2:$A$596,0)),"")</f>
        <v>253</v>
      </c>
      <c r="BF582">
        <f>IFERROR(INDEX(Player_Model!$BG$2:$BG$596,MATCH($A582,Player_Model!$A$2:$A$596,0)),"")</f>
        <v>72</v>
      </c>
      <c r="BG582">
        <f>IFERROR(INDEX(Player_Model!$BE$2:$BE$596,MATCH($A582,Player_Model!$A$2:$A$596,0)),0)</f>
        <v>0</v>
      </c>
    </row>
    <row r="583" spans="1:59" x14ac:dyDescent="0.25">
      <c r="A583" t="str">
        <f>tblPlayers[first_name]&amp;" "&amp;tblPlayers[second_name]</f>
        <v>Xaver Schlager</v>
      </c>
      <c r="B583" t="str">
        <f>_xlfn.SWITCH(tblPlayers[element_type],1,"GK",2,"DEF",3,"MID",4,"FWD")</f>
        <v>MID</v>
      </c>
      <c r="C583">
        <f>tblPlayers[team]</f>
        <v>18</v>
      </c>
      <c r="D583" t="str">
        <f>INDEX(tblTeams[Column1.short_name],MATCH(C583,tblTeams[Column1.id],0))</f>
        <v>NFO</v>
      </c>
      <c r="E583" s="4">
        <f>INDEX(FPL_Raw_Data!$F:$F,MATCH(A583,FPL_Raw_Data!$AA:$AA,0))/10</f>
        <v>5</v>
      </c>
      <c r="F583" s="4" t="str">
        <f>tblPlayers[[#This Row],[status]]</f>
        <v>a</v>
      </c>
      <c r="G583" s="4" t="b">
        <f>tblPlayers[[#This Row],[can_select]]</f>
        <v>1</v>
      </c>
      <c r="H583">
        <f>IF(AND(Table8[[#This Row],[Availability Status]]="a",Table8[[#This Row],[Can Select]]=TRUE),1,0)</f>
        <v>1</v>
      </c>
      <c r="I583">
        <f>tblPlayers[minutes]</f>
        <v>196</v>
      </c>
      <c r="J583" s="2">
        <f>Table8[[#This Row],[Minutes]]/90</f>
        <v>2.1777777777777776</v>
      </c>
      <c r="K583" s="5">
        <f>IFERROR(Z583/(FIXTURE_ANALYSIS!$B$1-1),0)</f>
        <v>0.66666666666666663</v>
      </c>
      <c r="L583">
        <f>tblPlayers[total_points]</f>
        <v>8</v>
      </c>
      <c r="M583">
        <f>tblPlayers[points_per_game]</f>
        <v>2.7</v>
      </c>
      <c r="N583">
        <f>tblPlayers[form]</f>
        <v>2.7</v>
      </c>
      <c r="O583">
        <f>tblPlayers[expected_goals]</f>
        <v>0.08</v>
      </c>
      <c r="P583">
        <f>tblPlayers[expected_assists]</f>
        <v>0.06</v>
      </c>
      <c r="Q583">
        <f>tblPlayers[expected_goal_involvements]</f>
        <v>0.14000000000000001</v>
      </c>
      <c r="R583" s="2">
        <f t="shared" si="225"/>
        <v>3.6734693877551017</v>
      </c>
      <c r="S583" s="5">
        <f t="shared" si="226"/>
        <v>3.6734693877551024E-2</v>
      </c>
      <c r="T583" s="5">
        <f t="shared" si="227"/>
        <v>2.7551020408163263E-2</v>
      </c>
      <c r="U583" s="5">
        <f t="shared" si="228"/>
        <v>6.4285714285714293E-2</v>
      </c>
      <c r="V583" s="3">
        <f t="shared" si="229"/>
        <v>1.6</v>
      </c>
      <c r="W583" s="5">
        <f t="shared" si="230"/>
        <v>2.8000000000000004E-2</v>
      </c>
      <c r="X583" s="5">
        <f>IFERROR(IF(OR($B583="MID",$B583="FWD"),INDEX(FIXTURE_ANALYSIS!$Q:$Q,MATCH($D583,FIXTURE_ANALYSIS!$A:$A,0)),INDEX(FIXTURE_ANALYSIS!$R:$R,MATCH($D583,FIXTURE_ANALYSIS!$A:$A,0))),1)</f>
        <v>0.87800173010380622</v>
      </c>
      <c r="Y583" s="5">
        <f t="shared" si="231"/>
        <v>0.87800173010380622</v>
      </c>
      <c r="Z583" s="8">
        <f>INDEX(FPL_Raw_Data!$T:$T,MATCH(A583,FPL_Raw_Data!$AA:$AA,0))</f>
        <v>2</v>
      </c>
      <c r="AA583" s="8">
        <f>INDEX(FPL_Raw_Data!$S:$S,MATCH(A583,FPL_Raw_Data!$AA:$AA,0))</f>
        <v>26</v>
      </c>
      <c r="AB583" s="2">
        <f t="shared" si="232"/>
        <v>1</v>
      </c>
      <c r="AC583" s="2">
        <f>INDEX(FPL_Raw_Data!$Q:$Q,MATCH(A583,FPL_Raw_Data!$AA:$AA,0))</f>
        <v>0</v>
      </c>
      <c r="AD583" s="8">
        <f>INDEX(FPL_Raw_Data!$R:$R,MATCH(A583,FPL_Raw_Data!$AA:$AA,0))</f>
        <v>36</v>
      </c>
      <c r="AE583" s="8">
        <f>INDEX(FPL_Raw_Data!$N:$N,MATCH(A583,FPL_Raw_Data!$AA:$AA,0))</f>
        <v>1</v>
      </c>
      <c r="AF583" s="8">
        <f>INDEX(FPL_Raw_Data!$L:$L,MATCH(A583,FPL_Raw_Data!$AA:$AA,0))</f>
        <v>0</v>
      </c>
      <c r="AG583" s="2">
        <f>INDEX(FPL_Raw_Data!$M:$M,MATCH(A583,FPL_Raw_Data!$AA:$AA,0))</f>
        <v>0</v>
      </c>
      <c r="AH583" s="2">
        <f t="shared" si="233"/>
        <v>0.18367346938775511</v>
      </c>
      <c r="AI583" s="2">
        <f t="shared" si="234"/>
        <v>8.2653061224489788E-2</v>
      </c>
      <c r="AJ583" s="2">
        <f t="shared" si="235"/>
        <v>1.3333333333333333</v>
      </c>
      <c r="AK583" s="2">
        <f t="shared" si="236"/>
        <v>2</v>
      </c>
      <c r="AL583" s="2">
        <f t="shared" si="237"/>
        <v>0.5</v>
      </c>
      <c r="AM583" s="2">
        <f t="shared" si="238"/>
        <v>0.5</v>
      </c>
      <c r="AN583" s="2">
        <f t="shared" si="239"/>
        <v>0</v>
      </c>
      <c r="AO583" s="3">
        <f t="shared" si="240"/>
        <v>67.300000000000011</v>
      </c>
      <c r="AP583">
        <f t="shared" si="241"/>
        <v>63.9</v>
      </c>
      <c r="AQ583">
        <f t="shared" si="242"/>
        <v>81.100000000000009</v>
      </c>
      <c r="AR583">
        <f t="shared" si="243"/>
        <v>70</v>
      </c>
      <c r="AS583" s="2">
        <f t="shared" si="244"/>
        <v>66.666666666666657</v>
      </c>
      <c r="AT583" s="2">
        <f>IFERROR(INDEX(Player_Model!$BC$2:$BC$596,MATCH($A583,Player_Model!$A$2:$A$596,0)),0)</f>
        <v>3.8349952703170107</v>
      </c>
      <c r="AU583" s="2">
        <f>Table8[[#This Row],[Model Expected Points]]*Table8[[#This Row],[Fixture Adjustment]]</f>
        <v>3.3671324822782496</v>
      </c>
      <c r="AV583" s="2">
        <f>Table8[[#This Row],[Fixture Adjusted Points / 90]]/Table8[[#This Row],[Price]]</f>
        <v>0.67342649645564989</v>
      </c>
      <c r="AW583">
        <f t="shared" si="245"/>
        <v>65.600000000000009</v>
      </c>
      <c r="AX583">
        <f t="shared" si="246"/>
        <v>1</v>
      </c>
      <c r="AY583" s="2">
        <f t="shared" si="247"/>
        <v>66.666666666666657</v>
      </c>
      <c r="AZ583" s="5">
        <f t="shared" si="248"/>
        <v>0.87800173010380622</v>
      </c>
      <c r="BA583">
        <f>Table8[[#This Row],[Model Score2]]</f>
        <v>3.8349952703170107</v>
      </c>
      <c r="BB583">
        <f>IFERROR(INDEX(Player_Model!$BG$2:$BG$596,MATCH($A583,Player_Model!$A$2:$A$596,0)),"")</f>
        <v>86</v>
      </c>
      <c r="BC583" t="str">
        <f t="shared" si="249"/>
        <v>AVOID</v>
      </c>
      <c r="BD583">
        <f>IF(H583=1,Table8[[#This Row],[Model Score]],-10000)</f>
        <v>3.8349952703170107</v>
      </c>
      <c r="BE583">
        <f>IFERROR(INDEX(Player_Model!$BF$2:$BF$596,MATCH($A583,Player_Model!$A$2:$A$596,0)),"")</f>
        <v>168</v>
      </c>
      <c r="BF583">
        <f>IFERROR(INDEX(Player_Model!$BG$2:$BG$596,MATCH($A583,Player_Model!$A$2:$A$596,0)),"")</f>
        <v>86</v>
      </c>
      <c r="BG583">
        <f>IFERROR(INDEX(Player_Model!$BE$2:$BE$596,MATCH($A583,Player_Model!$A$2:$A$596,0)),0)</f>
        <v>3.8349952703170107</v>
      </c>
    </row>
    <row r="584" spans="1:59" x14ac:dyDescent="0.25">
      <c r="A584" t="str">
        <f>tblPlayers[first_name]&amp;" "&amp;tblPlayers[second_name]</f>
        <v>Ousmane Diomande</v>
      </c>
      <c r="B584" t="str">
        <f>_xlfn.SWITCH(tblPlayers[element_type],1,"GK",2,"DEF",3,"MID",4,"FWD")</f>
        <v>DEF</v>
      </c>
      <c r="C584">
        <f>tblPlayers[team]</f>
        <v>18</v>
      </c>
      <c r="D584" t="str">
        <f>INDEX(tblTeams[Column1.short_name],MATCH(C584,tblTeams[Column1.id],0))</f>
        <v>NFO</v>
      </c>
      <c r="E584" s="4">
        <f>INDEX(FPL_Raw_Data!$F:$F,MATCH(A584,FPL_Raw_Data!$AA:$AA,0))/10</f>
        <v>5.4</v>
      </c>
      <c r="F584" s="4" t="str">
        <f>tblPlayers[[#This Row],[status]]</f>
        <v>a</v>
      </c>
      <c r="G584" s="4" t="b">
        <f>tblPlayers[[#This Row],[can_select]]</f>
        <v>1</v>
      </c>
      <c r="H584">
        <f>IF(AND(Table8[[#This Row],[Availability Status]]="a",Table8[[#This Row],[Can Select]]=TRUE),1,0)</f>
        <v>1</v>
      </c>
      <c r="I584">
        <f>tblPlayers[minutes]</f>
        <v>1</v>
      </c>
      <c r="J584" s="2">
        <f>Table8[[#This Row],[Minutes]]/90</f>
        <v>1.1111111111111112E-2</v>
      </c>
      <c r="K584" s="5">
        <f>IFERROR(Z584/(FIXTURE_ANALYSIS!$B$1-1),0)</f>
        <v>0</v>
      </c>
      <c r="L584">
        <f>tblPlayers[total_points]</f>
        <v>1</v>
      </c>
      <c r="M584">
        <f>tblPlayers[points_per_game]</f>
        <v>1</v>
      </c>
      <c r="N584">
        <f>tblPlayers[form]</f>
        <v>0.3</v>
      </c>
      <c r="O584">
        <f>tblPlayers[expected_goals]</f>
        <v>0</v>
      </c>
      <c r="P584">
        <f>tblPlayers[expected_assists]</f>
        <v>0</v>
      </c>
      <c r="Q584">
        <f>tblPlayers[expected_goal_involvements]</f>
        <v>0</v>
      </c>
      <c r="R584" s="2">
        <f t="shared" si="225"/>
        <v>90</v>
      </c>
      <c r="S584" s="5">
        <f t="shared" si="226"/>
        <v>0</v>
      </c>
      <c r="T584" s="5">
        <f t="shared" si="227"/>
        <v>0</v>
      </c>
      <c r="U584" s="5">
        <f t="shared" si="228"/>
        <v>0</v>
      </c>
      <c r="V584" s="3">
        <f t="shared" si="229"/>
        <v>0.18518518518518517</v>
      </c>
      <c r="W584" s="5">
        <f t="shared" si="230"/>
        <v>0</v>
      </c>
      <c r="X584" s="5">
        <f>IFERROR(IF(OR($B584="MID",$B584="FWD"),INDEX(FIXTURE_ANALYSIS!$Q:$Q,MATCH($D584,FIXTURE_ANALYSIS!$A:$A,0)),INDEX(FIXTURE_ANALYSIS!$R:$R,MATCH($D584,FIXTURE_ANALYSIS!$A:$A,0))),1)</f>
        <v>1.1658368376787216</v>
      </c>
      <c r="Y584" s="5">
        <f t="shared" si="231"/>
        <v>1.1658368376787216</v>
      </c>
      <c r="Z584" s="8">
        <f>INDEX(FPL_Raw_Data!$T:$T,MATCH(A584,FPL_Raw_Data!$AA:$AA,0))</f>
        <v>0</v>
      </c>
      <c r="AA584" s="8">
        <f>INDEX(FPL_Raw_Data!$S:$S,MATCH(A584,FPL_Raw_Data!$AA:$AA,0))</f>
        <v>0</v>
      </c>
      <c r="AB584" s="2">
        <f t="shared" si="232"/>
        <v>0</v>
      </c>
      <c r="AC584" s="2">
        <f>INDEX(FPL_Raw_Data!$Q:$Q,MATCH(A584,FPL_Raw_Data!$AA:$AA,0))</f>
        <v>0</v>
      </c>
      <c r="AD584" s="8">
        <f>INDEX(FPL_Raw_Data!$R:$R,MATCH(A584,FPL_Raw_Data!$AA:$AA,0))</f>
        <v>3</v>
      </c>
      <c r="AE584" s="8">
        <f>INDEX(FPL_Raw_Data!$N:$N,MATCH(A584,FPL_Raw_Data!$AA:$AA,0))</f>
        <v>0</v>
      </c>
      <c r="AF584" s="8">
        <f>INDEX(FPL_Raw_Data!$L:$L,MATCH(A584,FPL_Raw_Data!$AA:$AA,0))</f>
        <v>0</v>
      </c>
      <c r="AG584" s="2">
        <f>INDEX(FPL_Raw_Data!$M:$M,MATCH(A584,FPL_Raw_Data!$AA:$AA,0))</f>
        <v>0</v>
      </c>
      <c r="AH584" s="2">
        <f t="shared" si="233"/>
        <v>0</v>
      </c>
      <c r="AI584" s="2">
        <f t="shared" si="234"/>
        <v>0</v>
      </c>
      <c r="AJ584" s="2">
        <f t="shared" si="235"/>
        <v>0</v>
      </c>
      <c r="AK584" s="2">
        <f t="shared" si="236"/>
        <v>0</v>
      </c>
      <c r="AL584" s="2">
        <f t="shared" si="237"/>
        <v>0</v>
      </c>
      <c r="AM584" s="2">
        <f t="shared" si="238"/>
        <v>0</v>
      </c>
      <c r="AN584" s="2">
        <f t="shared" si="239"/>
        <v>0</v>
      </c>
      <c r="AO584" s="3">
        <f t="shared" si="240"/>
        <v>98.1</v>
      </c>
      <c r="AP584">
        <f t="shared" si="241"/>
        <v>0</v>
      </c>
      <c r="AQ584">
        <f t="shared" si="242"/>
        <v>43.4</v>
      </c>
      <c r="AR584">
        <f t="shared" si="243"/>
        <v>0</v>
      </c>
      <c r="AS584" s="2">
        <f t="shared" si="244"/>
        <v>0</v>
      </c>
      <c r="AT584" s="2">
        <f>IFERROR(INDEX(Player_Model!$BC$2:$BC$596,MATCH($A584,Player_Model!$A$2:$A$596,0)),0)</f>
        <v>-0.5829184188393608</v>
      </c>
      <c r="AU584" s="2">
        <f>Table8[[#This Row],[Model Expected Points]]*Table8[[#This Row],[Fixture Adjustment]]</f>
        <v>-0.67958776604436089</v>
      </c>
      <c r="AV584" s="2">
        <f>Table8[[#This Row],[Fixture Adjusted Points / 90]]/Table8[[#This Row],[Price]]</f>
        <v>-0.12584958630451126</v>
      </c>
      <c r="AW584">
        <f t="shared" si="245"/>
        <v>0</v>
      </c>
      <c r="AX584">
        <f t="shared" si="246"/>
        <v>0.5829184188393608</v>
      </c>
      <c r="AY584" s="2">
        <f t="shared" si="247"/>
        <v>0</v>
      </c>
      <c r="AZ584" s="5">
        <f t="shared" si="248"/>
        <v>1.1658368376787216</v>
      </c>
      <c r="BA584">
        <f>Table8[[#This Row],[Model Score2]]</f>
        <v>-0.5829184188393608</v>
      </c>
      <c r="BB584">
        <f>IFERROR(INDEX(Player_Model!$BG$2:$BG$596,MATCH($A584,Player_Model!$A$2:$A$596,0)),"")</f>
        <v>133</v>
      </c>
      <c r="BC584" t="str">
        <f t="shared" si="249"/>
        <v>AVOID</v>
      </c>
      <c r="BD584">
        <f>IF(H584=1,Table8[[#This Row],[Model Score]],-10000)</f>
        <v>-0.5829184188393608</v>
      </c>
      <c r="BE584">
        <f>IFERROR(INDEX(Player_Model!$BF$2:$BF$596,MATCH($A584,Player_Model!$A$2:$A$596,0)),"")</f>
        <v>530</v>
      </c>
      <c r="BF584">
        <f>IFERROR(INDEX(Player_Model!$BG$2:$BG$596,MATCH($A584,Player_Model!$A$2:$A$596,0)),"")</f>
        <v>133</v>
      </c>
      <c r="BG584">
        <f>IFERROR(INDEX(Player_Model!$BE$2:$BE$596,MATCH($A584,Player_Model!$A$2:$A$596,0)),0)</f>
        <v>-0.5829184188393608</v>
      </c>
    </row>
    <row r="585" spans="1:59" x14ac:dyDescent="0.25">
      <c r="A585" t="str">
        <f>tblPlayers[first_name]&amp;" "&amp;tblPlayers[second_name]</f>
        <v>Steven Benda</v>
      </c>
      <c r="B585" t="str">
        <f>_xlfn.SWITCH(tblPlayers[element_type],1,"GK",2,"DEF",3,"MID",4,"FWD")</f>
        <v>GK</v>
      </c>
      <c r="C585">
        <f>tblPlayers[team]</f>
        <v>18</v>
      </c>
      <c r="D585" t="str">
        <f>INDEX(tblTeams[Column1.short_name],MATCH(C585,tblTeams[Column1.id],0))</f>
        <v>NFO</v>
      </c>
      <c r="E585" s="4">
        <f>INDEX(FPL_Raw_Data!$F:$F,MATCH(A585,FPL_Raw_Data!$AA:$AA,0))/10</f>
        <v>4.5</v>
      </c>
      <c r="F585" s="4" t="str">
        <f>tblPlayers[[#This Row],[status]]</f>
        <v>a</v>
      </c>
      <c r="G585" s="4" t="b">
        <f>tblPlayers[[#This Row],[can_select]]</f>
        <v>1</v>
      </c>
      <c r="H585">
        <f>IF(AND(Table8[[#This Row],[Availability Status]]="a",Table8[[#This Row],[Can Select]]=TRUE),1,0)</f>
        <v>1</v>
      </c>
      <c r="I585">
        <f>tblPlayers[minutes]</f>
        <v>0</v>
      </c>
      <c r="J585" s="2">
        <f>Table8[[#This Row],[Minutes]]/90</f>
        <v>0</v>
      </c>
      <c r="K585" s="5">
        <f>IFERROR(Z585/(FIXTURE_ANALYSIS!$B$1-1),0)</f>
        <v>0</v>
      </c>
      <c r="L585">
        <f>tblPlayers[total_points]</f>
        <v>0</v>
      </c>
      <c r="M585">
        <f>tblPlayers[points_per_game]</f>
        <v>0</v>
      </c>
      <c r="N585">
        <f>tblPlayers[form]</f>
        <v>0</v>
      </c>
      <c r="O585">
        <f>tblPlayers[expected_goals]</f>
        <v>0</v>
      </c>
      <c r="P585">
        <f>tblPlayers[expected_assists]</f>
        <v>0</v>
      </c>
      <c r="Q585">
        <f>tblPlayers[expected_goal_involvements]</f>
        <v>0</v>
      </c>
      <c r="R585" s="2">
        <f t="shared" si="225"/>
        <v>0</v>
      </c>
      <c r="S585" s="5">
        <f t="shared" si="226"/>
        <v>0</v>
      </c>
      <c r="T585" s="5">
        <f t="shared" si="227"/>
        <v>0</v>
      </c>
      <c r="U585" s="5">
        <f t="shared" si="228"/>
        <v>0</v>
      </c>
      <c r="V585" s="3">
        <f t="shared" si="229"/>
        <v>0</v>
      </c>
      <c r="W585" s="5">
        <f t="shared" si="230"/>
        <v>0</v>
      </c>
      <c r="X585" s="5">
        <f>IFERROR(IF(OR($B585="MID",$B585="FWD"),INDEX(FIXTURE_ANALYSIS!$Q:$Q,MATCH($D585,FIXTURE_ANALYSIS!$A:$A,0)),INDEX(FIXTURE_ANALYSIS!$R:$R,MATCH($D585,FIXTURE_ANALYSIS!$A:$A,0))),1)</f>
        <v>1.1658368376787216</v>
      </c>
      <c r="Y585" s="5">
        <f t="shared" si="231"/>
        <v>1.1658368376787216</v>
      </c>
      <c r="Z585" s="8">
        <f>INDEX(FPL_Raw_Data!$T:$T,MATCH(A585,FPL_Raw_Data!$AA:$AA,0))</f>
        <v>0</v>
      </c>
      <c r="AA585" s="8">
        <f>INDEX(FPL_Raw_Data!$S:$S,MATCH(A585,FPL_Raw_Data!$AA:$AA,0))</f>
        <v>0</v>
      </c>
      <c r="AB585" s="2">
        <f t="shared" si="232"/>
        <v>0</v>
      </c>
      <c r="AC585" s="2">
        <f>INDEX(FPL_Raw_Data!$Q:$Q,MATCH(A585,FPL_Raw_Data!$AA:$AA,0))</f>
        <v>0</v>
      </c>
      <c r="AD585" s="8">
        <f>INDEX(FPL_Raw_Data!$R:$R,MATCH(A585,FPL_Raw_Data!$AA:$AA,0))</f>
        <v>0</v>
      </c>
      <c r="AE585" s="8">
        <f>INDEX(FPL_Raw_Data!$N:$N,MATCH(A585,FPL_Raw_Data!$AA:$AA,0))</f>
        <v>0</v>
      </c>
      <c r="AF585" s="8">
        <f>INDEX(FPL_Raw_Data!$L:$L,MATCH(A585,FPL_Raw_Data!$AA:$AA,0))</f>
        <v>0</v>
      </c>
      <c r="AG585" s="2">
        <f>INDEX(FPL_Raw_Data!$M:$M,MATCH(A585,FPL_Raw_Data!$AA:$AA,0))</f>
        <v>0</v>
      </c>
      <c r="AH585" s="2">
        <f t="shared" si="233"/>
        <v>0</v>
      </c>
      <c r="AI585" s="2">
        <f t="shared" si="234"/>
        <v>0</v>
      </c>
      <c r="AJ585" s="2">
        <f t="shared" si="235"/>
        <v>0</v>
      </c>
      <c r="AK585" s="2">
        <f t="shared" si="236"/>
        <v>0</v>
      </c>
      <c r="AL585" s="2">
        <f t="shared" si="237"/>
        <v>0</v>
      </c>
      <c r="AM585" s="2">
        <f t="shared" si="238"/>
        <v>0</v>
      </c>
      <c r="AN585" s="2">
        <f t="shared" si="239"/>
        <v>0</v>
      </c>
      <c r="AO585" s="3">
        <f t="shared" si="240"/>
        <v>0.1</v>
      </c>
      <c r="AP585">
        <f t="shared" si="241"/>
        <v>0</v>
      </c>
      <c r="AQ585">
        <f t="shared" si="242"/>
        <v>0.1</v>
      </c>
      <c r="AR585">
        <f t="shared" si="243"/>
        <v>0</v>
      </c>
      <c r="AS585" s="2">
        <f t="shared" si="244"/>
        <v>0</v>
      </c>
      <c r="AT585" s="2">
        <f>IFERROR(INDEX(Player_Model!$BC$2:$BC$596,MATCH($A585,Player_Model!$A$2:$A$596,0)),0)</f>
        <v>0</v>
      </c>
      <c r="AU585" s="2">
        <f>Table8[[#This Row],[Model Expected Points]]*Table8[[#This Row],[Fixture Adjustment]]</f>
        <v>0</v>
      </c>
      <c r="AV585" s="2">
        <f>Table8[[#This Row],[Fixture Adjusted Points / 90]]/Table8[[#This Row],[Price]]</f>
        <v>0</v>
      </c>
      <c r="AW585">
        <f t="shared" si="245"/>
        <v>0</v>
      </c>
      <c r="AX585">
        <f t="shared" si="246"/>
        <v>0.5829184188393608</v>
      </c>
      <c r="AY585" s="2">
        <f t="shared" si="247"/>
        <v>0</v>
      </c>
      <c r="AZ585" s="5">
        <f t="shared" si="248"/>
        <v>1.1658368376787216</v>
      </c>
      <c r="BA585">
        <f>Table8[[#This Row],[Model Score2]]</f>
        <v>0</v>
      </c>
      <c r="BB585">
        <f>IFERROR(INDEX(Player_Model!$BG$2:$BG$596,MATCH($A585,Player_Model!$A$2:$A$596,0)),"")</f>
        <v>65</v>
      </c>
      <c r="BC585" t="str">
        <f t="shared" si="249"/>
        <v>AVOID</v>
      </c>
      <c r="BD585">
        <f>IF(H585=1,Table8[[#This Row],[Model Score]],-10000)</f>
        <v>0</v>
      </c>
      <c r="BE585">
        <f>IFERROR(INDEX(Player_Model!$BF$2:$BF$596,MATCH($A585,Player_Model!$A$2:$A$596,0)),"")</f>
        <v>253</v>
      </c>
      <c r="BF585">
        <f>IFERROR(INDEX(Player_Model!$BG$2:$BG$596,MATCH($A585,Player_Model!$A$2:$A$596,0)),"")</f>
        <v>65</v>
      </c>
      <c r="BG585">
        <f>IFERROR(INDEX(Player_Model!$BE$2:$BE$596,MATCH($A585,Player_Model!$A$2:$A$596,0)),0)</f>
        <v>0</v>
      </c>
    </row>
    <row r="586" spans="1:59" x14ac:dyDescent="0.25">
      <c r="A586" t="str">
        <f>tblPlayers[first_name]&amp;" "&amp;tblPlayers[second_name]</f>
        <v>Jan Paul van Hecke</v>
      </c>
      <c r="B586" t="str">
        <f>_xlfn.SWITCH(tblPlayers[element_type],1,"GK",2,"DEF",3,"MID",4,"FWD")</f>
        <v>DEF</v>
      </c>
      <c r="C586">
        <f>tblPlayers[team]</f>
        <v>19</v>
      </c>
      <c r="D586" t="str">
        <f>INDEX(tblTeams[Column1.short_name],MATCH(C586,tblTeams[Column1.id],0))</f>
        <v>TOT</v>
      </c>
      <c r="E586" s="4">
        <f>INDEX(FPL_Raw_Data!$F:$F,MATCH(A586,FPL_Raw_Data!$AA:$AA,0))/10</f>
        <v>4.9000000000000004</v>
      </c>
      <c r="F586" s="4" t="str">
        <f>tblPlayers[[#This Row],[status]]</f>
        <v>a</v>
      </c>
      <c r="G586" s="4" t="b">
        <f>tblPlayers[[#This Row],[can_select]]</f>
        <v>1</v>
      </c>
      <c r="H586">
        <f>IF(AND(Table8[[#This Row],[Availability Status]]="a",Table8[[#This Row],[Can Select]]=TRUE),1,0)</f>
        <v>1</v>
      </c>
      <c r="I586">
        <f>tblPlayers[minutes]</f>
        <v>270</v>
      </c>
      <c r="J586" s="2">
        <f>Table8[[#This Row],[Minutes]]/90</f>
        <v>3</v>
      </c>
      <c r="K586" s="5">
        <f>IFERROR(Z586/(FIXTURE_ANALYSIS!$B$1-1),0)</f>
        <v>1</v>
      </c>
      <c r="L586">
        <f>tblPlayers[total_points]</f>
        <v>10</v>
      </c>
      <c r="M586">
        <f>tblPlayers[points_per_game]</f>
        <v>3.3</v>
      </c>
      <c r="N586">
        <f>tblPlayers[form]</f>
        <v>3.3</v>
      </c>
      <c r="O586">
        <f>tblPlayers[expected_goals]</f>
        <v>0.2</v>
      </c>
      <c r="P586">
        <f>tblPlayers[expected_assists]</f>
        <v>7.0000000000000007E-2</v>
      </c>
      <c r="Q586">
        <f>tblPlayers[expected_goal_involvements]</f>
        <v>0.27</v>
      </c>
      <c r="R586" s="2">
        <f t="shared" si="225"/>
        <v>3.333333333333333</v>
      </c>
      <c r="S586" s="5">
        <f t="shared" si="226"/>
        <v>6.666666666666668E-2</v>
      </c>
      <c r="T586" s="5">
        <f t="shared" si="227"/>
        <v>2.3333333333333334E-2</v>
      </c>
      <c r="U586" s="5">
        <f t="shared" si="228"/>
        <v>0.09</v>
      </c>
      <c r="V586" s="3">
        <f t="shared" si="229"/>
        <v>2.0408163265306123</v>
      </c>
      <c r="W586" s="5">
        <f t="shared" si="230"/>
        <v>5.5102040816326532E-2</v>
      </c>
      <c r="X586" s="5">
        <f>IFERROR(IF(OR($B586="MID",$B586="FWD"),INDEX(FIXTURE_ANALYSIS!$Q:$Q,MATCH($D586,FIXTURE_ANALYSIS!$A:$A,0)),INDEX(FIXTURE_ANALYSIS!$R:$R,MATCH($D586,FIXTURE_ANALYSIS!$A:$A,0))),1)</f>
        <v>0.97332359386413447</v>
      </c>
      <c r="Y586" s="5">
        <f t="shared" si="231"/>
        <v>0.97332359386413447</v>
      </c>
      <c r="Z586" s="8">
        <f>INDEX(FPL_Raw_Data!$T:$T,MATCH(A586,FPL_Raw_Data!$AA:$AA,0))</f>
        <v>3</v>
      </c>
      <c r="AA586" s="8">
        <f>INDEX(FPL_Raw_Data!$S:$S,MATCH(A586,FPL_Raw_Data!$AA:$AA,0))</f>
        <v>21</v>
      </c>
      <c r="AB586" s="2">
        <f t="shared" si="232"/>
        <v>1</v>
      </c>
      <c r="AC586" s="2">
        <f>INDEX(FPL_Raw_Data!$Q:$Q,MATCH(A586,FPL_Raw_Data!$AA:$AA,0))</f>
        <v>2</v>
      </c>
      <c r="AD586" s="8">
        <f>INDEX(FPL_Raw_Data!$R:$R,MATCH(A586,FPL_Raw_Data!$AA:$AA,0))</f>
        <v>41</v>
      </c>
      <c r="AE586" s="8">
        <f>INDEX(FPL_Raw_Data!$N:$N,MATCH(A586,FPL_Raw_Data!$AA:$AA,0))</f>
        <v>1</v>
      </c>
      <c r="AF586" s="8">
        <f>INDEX(FPL_Raw_Data!$L:$L,MATCH(A586,FPL_Raw_Data!$AA:$AA,0))</f>
        <v>0</v>
      </c>
      <c r="AG586" s="2">
        <f>INDEX(FPL_Raw_Data!$M:$M,MATCH(A586,FPL_Raw_Data!$AA:$AA,0))</f>
        <v>0</v>
      </c>
      <c r="AH586" s="2">
        <f t="shared" si="233"/>
        <v>0.40000000000000008</v>
      </c>
      <c r="AI586" s="2">
        <f t="shared" si="234"/>
        <v>7.0000000000000007E-2</v>
      </c>
      <c r="AJ586" s="2">
        <f t="shared" si="235"/>
        <v>2</v>
      </c>
      <c r="AK586" s="2">
        <f t="shared" si="236"/>
        <v>2</v>
      </c>
      <c r="AL586" s="2">
        <f t="shared" si="237"/>
        <v>0.33333333333333331</v>
      </c>
      <c r="AM586" s="2">
        <f t="shared" si="238"/>
        <v>1.3333333333333333</v>
      </c>
      <c r="AN586" s="2">
        <f t="shared" si="239"/>
        <v>0.66666666666666663</v>
      </c>
      <c r="AO586" s="3">
        <f t="shared" si="240"/>
        <v>62.2</v>
      </c>
      <c r="AP586">
        <f t="shared" si="241"/>
        <v>67</v>
      </c>
      <c r="AQ586">
        <f t="shared" si="242"/>
        <v>87</v>
      </c>
      <c r="AR586">
        <f t="shared" si="243"/>
        <v>77.100000000000009</v>
      </c>
      <c r="AS586" s="2">
        <f t="shared" si="244"/>
        <v>100</v>
      </c>
      <c r="AT586" s="2">
        <f>IFERROR(INDEX(Player_Model!$BC$2:$BC$596,MATCH($A586,Player_Model!$A$2:$A$596,0)),0)</f>
        <v>4.2603578910494369</v>
      </c>
      <c r="AU586" s="2">
        <f>Table8[[#This Row],[Model Expected Points]]*Table8[[#This Row],[Fixture Adjustment]]</f>
        <v>4.1467068536636624</v>
      </c>
      <c r="AV586" s="2">
        <f>Table8[[#This Row],[Fixture Adjusted Points / 90]]/Table8[[#This Row],[Price]]</f>
        <v>0.84626670482931876</v>
      </c>
      <c r="AW586">
        <f t="shared" si="245"/>
        <v>67</v>
      </c>
      <c r="AX586">
        <f t="shared" si="246"/>
        <v>0.98666179693206724</v>
      </c>
      <c r="AY586" s="2">
        <f t="shared" si="247"/>
        <v>100</v>
      </c>
      <c r="AZ586" s="5">
        <f t="shared" si="248"/>
        <v>0.97332359386413447</v>
      </c>
      <c r="BA586">
        <f>Table8[[#This Row],[Model Score2]]</f>
        <v>4.2603578910494369</v>
      </c>
      <c r="BB586">
        <f>IFERROR(INDEX(Player_Model!$BG$2:$BG$596,MATCH($A586,Player_Model!$A$2:$A$596,0)),"")</f>
        <v>47</v>
      </c>
      <c r="BC586" t="str">
        <f t="shared" si="249"/>
        <v>AVOID</v>
      </c>
      <c r="BD586">
        <f>IF(H586=1,Table8[[#This Row],[Model Score]],-10000)</f>
        <v>4.2603578910494369</v>
      </c>
      <c r="BE586">
        <f>IFERROR(INDEX(Player_Model!$BF$2:$BF$596,MATCH($A586,Player_Model!$A$2:$A$596,0)),"")</f>
        <v>139</v>
      </c>
      <c r="BF586">
        <f>IFERROR(INDEX(Player_Model!$BG$2:$BG$596,MATCH($A586,Player_Model!$A$2:$A$596,0)),"")</f>
        <v>47</v>
      </c>
      <c r="BG586">
        <f>IFERROR(INDEX(Player_Model!$BE$2:$BE$596,MATCH($A586,Player_Model!$A$2:$A$596,0)),0)</f>
        <v>4.2603578910494369</v>
      </c>
    </row>
    <row r="587" spans="1:59" x14ac:dyDescent="0.25">
      <c r="A587" t="str">
        <f>tblPlayers[first_name]&amp;" "&amp;tblPlayers[second_name]</f>
        <v>Tosin Adarabioyo</v>
      </c>
      <c r="B587" t="str">
        <f>_xlfn.SWITCH(tblPlayers[element_type],1,"GK",2,"DEF",3,"MID",4,"FWD")</f>
        <v>DEF</v>
      </c>
      <c r="C587">
        <f>tblPlayers[team]</f>
        <v>19</v>
      </c>
      <c r="D587" t="str">
        <f>INDEX(tblTeams[Column1.short_name],MATCH(C587,tblTeams[Column1.id],0))</f>
        <v>TOT</v>
      </c>
      <c r="E587" s="4">
        <f>INDEX(FPL_Raw_Data!$F:$F,MATCH(A587,FPL_Raw_Data!$AA:$AA,0))/10</f>
        <v>4.4000000000000004</v>
      </c>
      <c r="F587" s="4" t="str">
        <f>tblPlayers[[#This Row],[status]]</f>
        <v>a</v>
      </c>
      <c r="G587" s="4" t="b">
        <f>tblPlayers[[#This Row],[can_select]]</f>
        <v>1</v>
      </c>
      <c r="H587">
        <f>IF(AND(Table8[[#This Row],[Availability Status]]="a",Table8[[#This Row],[Can Select]]=TRUE),1,0)</f>
        <v>1</v>
      </c>
      <c r="I587">
        <f>tblPlayers[minutes]</f>
        <v>0</v>
      </c>
      <c r="J587" s="2">
        <f>Table8[[#This Row],[Minutes]]/90</f>
        <v>0</v>
      </c>
      <c r="K587" s="5">
        <f>IFERROR(Z587/(FIXTURE_ANALYSIS!$B$1-1),0)</f>
        <v>0</v>
      </c>
      <c r="L587">
        <f>tblPlayers[total_points]</f>
        <v>0</v>
      </c>
      <c r="M587">
        <f>tblPlayers[points_per_game]</f>
        <v>0</v>
      </c>
      <c r="N587">
        <f>tblPlayers[form]</f>
        <v>0</v>
      </c>
      <c r="O587">
        <f>tblPlayers[expected_goals]</f>
        <v>0</v>
      </c>
      <c r="P587">
        <f>tblPlayers[expected_assists]</f>
        <v>0</v>
      </c>
      <c r="Q587">
        <f>tblPlayers[expected_goal_involvements]</f>
        <v>0</v>
      </c>
      <c r="R587" s="2">
        <f t="shared" si="225"/>
        <v>0</v>
      </c>
      <c r="S587" s="5">
        <f t="shared" si="226"/>
        <v>0</v>
      </c>
      <c r="T587" s="5">
        <f t="shared" si="227"/>
        <v>0</v>
      </c>
      <c r="U587" s="5">
        <f t="shared" si="228"/>
        <v>0</v>
      </c>
      <c r="V587" s="3">
        <f t="shared" si="229"/>
        <v>0</v>
      </c>
      <c r="W587" s="5">
        <f t="shared" si="230"/>
        <v>0</v>
      </c>
      <c r="X587" s="5">
        <f>IFERROR(IF(OR($B587="MID",$B587="FWD"),INDEX(FIXTURE_ANALYSIS!$Q:$Q,MATCH($D587,FIXTURE_ANALYSIS!$A:$A,0)),INDEX(FIXTURE_ANALYSIS!$R:$R,MATCH($D587,FIXTURE_ANALYSIS!$A:$A,0))),1)</f>
        <v>0.97332359386413447</v>
      </c>
      <c r="Y587" s="5">
        <f t="shared" si="231"/>
        <v>0.97332359386413447</v>
      </c>
      <c r="Z587" s="8">
        <f>INDEX(FPL_Raw_Data!$T:$T,MATCH(A587,FPL_Raw_Data!$AA:$AA,0))</f>
        <v>0</v>
      </c>
      <c r="AA587" s="8">
        <f>INDEX(FPL_Raw_Data!$S:$S,MATCH(A587,FPL_Raw_Data!$AA:$AA,0))</f>
        <v>0</v>
      </c>
      <c r="AB587" s="2">
        <f t="shared" si="232"/>
        <v>0</v>
      </c>
      <c r="AC587" s="2">
        <f>INDEX(FPL_Raw_Data!$Q:$Q,MATCH(A587,FPL_Raw_Data!$AA:$AA,0))</f>
        <v>0</v>
      </c>
      <c r="AD587" s="8">
        <f>INDEX(FPL_Raw_Data!$R:$R,MATCH(A587,FPL_Raw_Data!$AA:$AA,0))</f>
        <v>0</v>
      </c>
      <c r="AE587" s="8">
        <f>INDEX(FPL_Raw_Data!$N:$N,MATCH(A587,FPL_Raw_Data!$AA:$AA,0))</f>
        <v>0</v>
      </c>
      <c r="AF587" s="8">
        <f>INDEX(FPL_Raw_Data!$L:$L,MATCH(A587,FPL_Raw_Data!$AA:$AA,0))</f>
        <v>0</v>
      </c>
      <c r="AG587" s="2">
        <f>INDEX(FPL_Raw_Data!$M:$M,MATCH(A587,FPL_Raw_Data!$AA:$AA,0))</f>
        <v>0</v>
      </c>
      <c r="AH587" s="2">
        <f t="shared" si="233"/>
        <v>0</v>
      </c>
      <c r="AI587" s="2">
        <f t="shared" si="234"/>
        <v>0</v>
      </c>
      <c r="AJ587" s="2">
        <f t="shared" si="235"/>
        <v>0</v>
      </c>
      <c r="AK587" s="2">
        <f t="shared" si="236"/>
        <v>0</v>
      </c>
      <c r="AL587" s="2">
        <f t="shared" si="237"/>
        <v>0</v>
      </c>
      <c r="AM587" s="2">
        <f t="shared" si="238"/>
        <v>0</v>
      </c>
      <c r="AN587" s="2">
        <f t="shared" si="239"/>
        <v>0</v>
      </c>
      <c r="AO587" s="3">
        <f t="shared" si="240"/>
        <v>0.1</v>
      </c>
      <c r="AP587">
        <f t="shared" si="241"/>
        <v>0</v>
      </c>
      <c r="AQ587">
        <f t="shared" si="242"/>
        <v>0.1</v>
      </c>
      <c r="AR587">
        <f t="shared" si="243"/>
        <v>0</v>
      </c>
      <c r="AS587" s="2">
        <f t="shared" si="244"/>
        <v>0</v>
      </c>
      <c r="AT587" s="2">
        <f>IFERROR(INDEX(Player_Model!$BC$2:$BC$596,MATCH($A587,Player_Model!$A$2:$A$596,0)),0)</f>
        <v>-0.81110299488677873</v>
      </c>
      <c r="AU587" s="2">
        <f>Table8[[#This Row],[Model Expected Points]]*Table8[[#This Row],[Fixture Adjustment]]</f>
        <v>-0.78946568197716216</v>
      </c>
      <c r="AV587" s="2">
        <f>Table8[[#This Row],[Fixture Adjusted Points / 90]]/Table8[[#This Row],[Price]]</f>
        <v>-0.17942401863117322</v>
      </c>
      <c r="AW587">
        <f t="shared" si="245"/>
        <v>0</v>
      </c>
      <c r="AX587">
        <f t="shared" si="246"/>
        <v>0.48666179693206724</v>
      </c>
      <c r="AY587" s="2">
        <f t="shared" si="247"/>
        <v>0</v>
      </c>
      <c r="AZ587" s="5">
        <f t="shared" si="248"/>
        <v>0.97332359386413447</v>
      </c>
      <c r="BA587">
        <f>Table8[[#This Row],[Model Score2]]</f>
        <v>-0.81110299488677873</v>
      </c>
      <c r="BB587">
        <f>IFERROR(INDEX(Player_Model!$BG$2:$BG$596,MATCH($A587,Player_Model!$A$2:$A$596,0)),"")</f>
        <v>150</v>
      </c>
      <c r="BC587" t="str">
        <f t="shared" si="249"/>
        <v>AVOID</v>
      </c>
      <c r="BD587">
        <f>IF(H587=1,Table8[[#This Row],[Model Score]],-10000)</f>
        <v>-0.81110299488677873</v>
      </c>
      <c r="BE587">
        <f>IFERROR(INDEX(Player_Model!$BF$2:$BF$596,MATCH($A587,Player_Model!$A$2:$A$596,0)),"")</f>
        <v>553</v>
      </c>
      <c r="BF587">
        <f>IFERROR(INDEX(Player_Model!$BG$2:$BG$596,MATCH($A587,Player_Model!$A$2:$A$596,0)),"")</f>
        <v>150</v>
      </c>
      <c r="BG587">
        <f>IFERROR(INDEX(Player_Model!$BE$2:$BE$596,MATCH($A587,Player_Model!$A$2:$A$596,0)),0)</f>
        <v>-0.81110299488677873</v>
      </c>
    </row>
    <row r="588" spans="1:59" x14ac:dyDescent="0.25">
      <c r="A588" t="str">
        <f>tblPlayers[first_name]&amp;" "&amp;tblPlayers[second_name]</f>
        <v>Omar Marmoush</v>
      </c>
      <c r="B588" t="str">
        <f>_xlfn.SWITCH(tblPlayers[element_type],1,"GK",2,"DEF",3,"MID",4,"FWD")</f>
        <v>FWD</v>
      </c>
      <c r="C588">
        <f>tblPlayers[team]</f>
        <v>19</v>
      </c>
      <c r="D588" t="str">
        <f>INDEX(tblTeams[Column1.short_name],MATCH(C588,tblTeams[Column1.id],0))</f>
        <v>TOT</v>
      </c>
      <c r="E588" s="4">
        <f>INDEX(FPL_Raw_Data!$F:$F,MATCH(A588,FPL_Raw_Data!$AA:$AA,0))/10</f>
        <v>7</v>
      </c>
      <c r="F588" s="4" t="str">
        <f>tblPlayers[[#This Row],[status]]</f>
        <v>a</v>
      </c>
      <c r="G588" s="4" t="b">
        <f>tblPlayers[[#This Row],[can_select]]</f>
        <v>1</v>
      </c>
      <c r="H588">
        <f>IF(AND(Table8[[#This Row],[Availability Status]]="a",Table8[[#This Row],[Can Select]]=TRUE),1,0)</f>
        <v>1</v>
      </c>
      <c r="I588">
        <f>tblPlayers[minutes]</f>
        <v>173</v>
      </c>
      <c r="J588" s="2">
        <f>Table8[[#This Row],[Minutes]]/90</f>
        <v>1.9222222222222223</v>
      </c>
      <c r="K588" s="5">
        <f>IFERROR(Z588/(FIXTURE_ANALYSIS!$B$1-1),0)</f>
        <v>0.66666666666666663</v>
      </c>
      <c r="L588">
        <f>tblPlayers[total_points]</f>
        <v>4</v>
      </c>
      <c r="M588">
        <f>tblPlayers[points_per_game]</f>
        <v>2</v>
      </c>
      <c r="N588">
        <f>tblPlayers[form]</f>
        <v>1.3</v>
      </c>
      <c r="O588">
        <f>tblPlayers[expected_goals]</f>
        <v>0.34</v>
      </c>
      <c r="P588">
        <f>tblPlayers[expected_assists]</f>
        <v>0.08</v>
      </c>
      <c r="Q588">
        <f>tblPlayers[expected_goal_involvements]</f>
        <v>0.42</v>
      </c>
      <c r="R588" s="2">
        <f t="shared" si="225"/>
        <v>2.0809248554913293</v>
      </c>
      <c r="S588" s="5">
        <f t="shared" si="226"/>
        <v>0.17687861271676303</v>
      </c>
      <c r="T588" s="5">
        <f t="shared" si="227"/>
        <v>4.161849710982659E-2</v>
      </c>
      <c r="U588" s="5">
        <f t="shared" si="228"/>
        <v>0.2184971098265896</v>
      </c>
      <c r="V588" s="3">
        <f t="shared" si="229"/>
        <v>0.5714285714285714</v>
      </c>
      <c r="W588" s="5">
        <f t="shared" si="230"/>
        <v>0.06</v>
      </c>
      <c r="X588" s="5">
        <f>IFERROR(IF(OR($B588="MID",$B588="FWD"),INDEX(FIXTURE_ANALYSIS!$Q:$Q,MATCH($D588,FIXTURE_ANALYSIS!$A:$A,0)),INDEX(FIXTURE_ANALYSIS!$R:$R,MATCH($D588,FIXTURE_ANALYSIS!$A:$A,0))),1)</f>
        <v>0.8</v>
      </c>
      <c r="Y588" s="5">
        <f t="shared" si="231"/>
        <v>0.8</v>
      </c>
      <c r="Z588" s="8">
        <f>INDEX(FPL_Raw_Data!$T:$T,MATCH(A588,FPL_Raw_Data!$AA:$AA,0))</f>
        <v>2</v>
      </c>
      <c r="AA588" s="8">
        <f>INDEX(FPL_Raw_Data!$S:$S,MATCH(A588,FPL_Raw_Data!$AA:$AA,0))</f>
        <v>4</v>
      </c>
      <c r="AB588" s="2">
        <f t="shared" si="232"/>
        <v>0.33333333333333331</v>
      </c>
      <c r="AC588" s="2">
        <f>INDEX(FPL_Raw_Data!$Q:$Q,MATCH(A588,FPL_Raw_Data!$AA:$AA,0))</f>
        <v>0</v>
      </c>
      <c r="AD588" s="8">
        <f>INDEX(FPL_Raw_Data!$R:$R,MATCH(A588,FPL_Raw_Data!$AA:$AA,0))</f>
        <v>20</v>
      </c>
      <c r="AE588" s="8">
        <f>INDEX(FPL_Raw_Data!$N:$N,MATCH(A588,FPL_Raw_Data!$AA:$AA,0))</f>
        <v>1</v>
      </c>
      <c r="AF588" s="8">
        <f>INDEX(FPL_Raw_Data!$L:$L,MATCH(A588,FPL_Raw_Data!$AA:$AA,0))</f>
        <v>0</v>
      </c>
      <c r="AG588" s="2">
        <f>INDEX(FPL_Raw_Data!$M:$M,MATCH(A588,FPL_Raw_Data!$AA:$AA,0))</f>
        <v>0</v>
      </c>
      <c r="AH588" s="2">
        <f t="shared" si="233"/>
        <v>0.70751445086705211</v>
      </c>
      <c r="AI588" s="2">
        <f t="shared" si="234"/>
        <v>0.12485549132947976</v>
      </c>
      <c r="AJ588" s="2">
        <f t="shared" si="235"/>
        <v>1.3333333333333333</v>
      </c>
      <c r="AK588" s="2">
        <f t="shared" si="236"/>
        <v>0.66666666666666663</v>
      </c>
      <c r="AL588" s="2">
        <f t="shared" si="237"/>
        <v>0.5</v>
      </c>
      <c r="AM588" s="2">
        <f t="shared" si="238"/>
        <v>0</v>
      </c>
      <c r="AN588" s="2">
        <f t="shared" si="239"/>
        <v>0</v>
      </c>
      <c r="AO588" s="3">
        <f t="shared" si="240"/>
        <v>48.6</v>
      </c>
      <c r="AP588">
        <f t="shared" si="241"/>
        <v>77.900000000000006</v>
      </c>
      <c r="AQ588">
        <f t="shared" si="242"/>
        <v>60.4</v>
      </c>
      <c r="AR588">
        <f t="shared" si="243"/>
        <v>77.7</v>
      </c>
      <c r="AS588" s="2">
        <f t="shared" si="244"/>
        <v>66.666666666666657</v>
      </c>
      <c r="AT588" s="2">
        <f>IFERROR(INDEX(Player_Model!$BC$2:$BC$596,MATCH($A588,Player_Model!$A$2:$A$596,0)),0)</f>
        <v>2.8923360990737002</v>
      </c>
      <c r="AU588" s="2">
        <f>Table8[[#This Row],[Model Expected Points]]*Table8[[#This Row],[Fixture Adjustment]]</f>
        <v>2.3138688792589601</v>
      </c>
      <c r="AV588" s="2">
        <f>Table8[[#This Row],[Fixture Adjusted Points / 90]]/Table8[[#This Row],[Price]]</f>
        <v>0.3305526970369943</v>
      </c>
      <c r="AW588">
        <f t="shared" si="245"/>
        <v>63.25</v>
      </c>
      <c r="AX588">
        <f t="shared" si="246"/>
        <v>0</v>
      </c>
      <c r="AY588" s="2">
        <f t="shared" si="247"/>
        <v>66.666666666666657</v>
      </c>
      <c r="AZ588" s="5">
        <f t="shared" si="248"/>
        <v>0.8</v>
      </c>
      <c r="BA588">
        <f>Table8[[#This Row],[Model Score2]]</f>
        <v>2.8923360990737002</v>
      </c>
      <c r="BB588">
        <f>IFERROR(INDEX(Player_Model!$BG$2:$BG$596,MATCH($A588,Player_Model!$A$2:$A$596,0)),"")</f>
        <v>22</v>
      </c>
      <c r="BC588" t="str">
        <f t="shared" si="249"/>
        <v>AVOID</v>
      </c>
      <c r="BD588">
        <f>IF(H588=1,Table8[[#This Row],[Model Score]],-10000)</f>
        <v>2.8923360990737002</v>
      </c>
      <c r="BE588">
        <f>IFERROR(INDEX(Player_Model!$BF$2:$BF$596,MATCH($A588,Player_Model!$A$2:$A$596,0)),"")</f>
        <v>205</v>
      </c>
      <c r="BF588">
        <f>IFERROR(INDEX(Player_Model!$BG$2:$BG$596,MATCH($A588,Player_Model!$A$2:$A$596,0)),"")</f>
        <v>22</v>
      </c>
      <c r="BG588">
        <f>IFERROR(INDEX(Player_Model!$BE$2:$BE$596,MATCH($A588,Player_Model!$A$2:$A$596,0)),0)</f>
        <v>2.8923360990737002</v>
      </c>
    </row>
    <row r="589" spans="1:59" x14ac:dyDescent="0.25">
      <c r="A589" t="str">
        <f>tblPlayers[first_name]&amp;" "&amp;tblPlayers[second_name]</f>
        <v>Sávio Moreira de Oliveira</v>
      </c>
      <c r="B589" t="str">
        <f>_xlfn.SWITCH(tblPlayers[element_type],1,"GK",2,"DEF",3,"MID",4,"FWD")</f>
        <v>MID</v>
      </c>
      <c r="C589">
        <f>tblPlayers[team]</f>
        <v>19</v>
      </c>
      <c r="D589" t="str">
        <f>INDEX(tblTeams[Column1.short_name],MATCH(C589,tblTeams[Column1.id],0))</f>
        <v>TOT</v>
      </c>
      <c r="E589" s="4">
        <f>INDEX(FPL_Raw_Data!$F:$F,MATCH(A589,FPL_Raw_Data!$AA:$AA,0))/10</f>
        <v>6.5</v>
      </c>
      <c r="F589" s="4" t="str">
        <f>tblPlayers[[#This Row],[status]]</f>
        <v>a</v>
      </c>
      <c r="G589" s="4" t="b">
        <f>tblPlayers[[#This Row],[can_select]]</f>
        <v>1</v>
      </c>
      <c r="H589">
        <f>IF(AND(Table8[[#This Row],[Availability Status]]="a",Table8[[#This Row],[Can Select]]=TRUE),1,0)</f>
        <v>1</v>
      </c>
      <c r="I589">
        <f>tblPlayers[minutes]</f>
        <v>60</v>
      </c>
      <c r="J589" s="2">
        <f>Table8[[#This Row],[Minutes]]/90</f>
        <v>0.66666666666666663</v>
      </c>
      <c r="K589" s="5">
        <f>IFERROR(Z589/(FIXTURE_ANALYSIS!$B$1-1),0)</f>
        <v>0.33333333333333331</v>
      </c>
      <c r="L589">
        <f>tblPlayers[total_points]</f>
        <v>3</v>
      </c>
      <c r="M589">
        <f>tblPlayers[points_per_game]</f>
        <v>3</v>
      </c>
      <c r="N589">
        <f>tblPlayers[form]</f>
        <v>1</v>
      </c>
      <c r="O589">
        <f>tblPlayers[expected_goals]</f>
        <v>0.02</v>
      </c>
      <c r="P589">
        <f>tblPlayers[expected_assists]</f>
        <v>0.27</v>
      </c>
      <c r="Q589">
        <f>tblPlayers[expected_goal_involvements]</f>
        <v>0.28999999999999998</v>
      </c>
      <c r="R589" s="2">
        <f t="shared" si="225"/>
        <v>4.5</v>
      </c>
      <c r="S589" s="5">
        <f t="shared" si="226"/>
        <v>0.03</v>
      </c>
      <c r="T589" s="5">
        <f t="shared" si="227"/>
        <v>0.40500000000000003</v>
      </c>
      <c r="U589" s="5">
        <f t="shared" si="228"/>
        <v>0.43499999999999994</v>
      </c>
      <c r="V589" s="3">
        <f t="shared" si="229"/>
        <v>0.46153846153846156</v>
      </c>
      <c r="W589" s="5">
        <f t="shared" si="230"/>
        <v>4.4615384615384612E-2</v>
      </c>
      <c r="X589" s="5">
        <f>IFERROR(IF(OR($B589="MID",$B589="FWD"),INDEX(FIXTURE_ANALYSIS!$Q:$Q,MATCH($D589,FIXTURE_ANALYSIS!$A:$A,0)),INDEX(FIXTURE_ANALYSIS!$R:$R,MATCH($D589,FIXTURE_ANALYSIS!$A:$A,0))),1)</f>
        <v>0.8</v>
      </c>
      <c r="Y589" s="5">
        <f t="shared" si="231"/>
        <v>0.8</v>
      </c>
      <c r="Z589" s="8">
        <f>INDEX(FPL_Raw_Data!$T:$T,MATCH(A589,FPL_Raw_Data!$AA:$AA,0))</f>
        <v>1</v>
      </c>
      <c r="AA589" s="8">
        <f>INDEX(FPL_Raw_Data!$S:$S,MATCH(A589,FPL_Raw_Data!$AA:$AA,0))</f>
        <v>0</v>
      </c>
      <c r="AB589" s="2">
        <f t="shared" si="232"/>
        <v>0</v>
      </c>
      <c r="AC589" s="2">
        <f>INDEX(FPL_Raw_Data!$Q:$Q,MATCH(A589,FPL_Raw_Data!$AA:$AA,0))</f>
        <v>0</v>
      </c>
      <c r="AD589" s="8">
        <f>INDEX(FPL_Raw_Data!$R:$R,MATCH(A589,FPL_Raw_Data!$AA:$AA,0))</f>
        <v>15</v>
      </c>
      <c r="AE589" s="8">
        <f>INDEX(FPL_Raw_Data!$N:$N,MATCH(A589,FPL_Raw_Data!$AA:$AA,0))</f>
        <v>1</v>
      </c>
      <c r="AF589" s="8">
        <f>INDEX(FPL_Raw_Data!$L:$L,MATCH(A589,FPL_Raw_Data!$AA:$AA,0))</f>
        <v>0</v>
      </c>
      <c r="AG589" s="2">
        <f>INDEX(FPL_Raw_Data!$M:$M,MATCH(A589,FPL_Raw_Data!$AA:$AA,0))</f>
        <v>0</v>
      </c>
      <c r="AH589" s="2">
        <f t="shared" si="233"/>
        <v>0.15</v>
      </c>
      <c r="AI589" s="2">
        <f t="shared" si="234"/>
        <v>1.2150000000000001</v>
      </c>
      <c r="AJ589" s="2">
        <f t="shared" si="235"/>
        <v>0.66666666666666663</v>
      </c>
      <c r="AK589" s="2">
        <f t="shared" si="236"/>
        <v>0</v>
      </c>
      <c r="AL589" s="2">
        <f t="shared" si="237"/>
        <v>1</v>
      </c>
      <c r="AM589" s="2">
        <f t="shared" si="238"/>
        <v>1</v>
      </c>
      <c r="AN589" s="2">
        <f t="shared" si="239"/>
        <v>0</v>
      </c>
      <c r="AO589" s="3">
        <f t="shared" si="240"/>
        <v>73</v>
      </c>
      <c r="AP589">
        <f t="shared" si="241"/>
        <v>90.2</v>
      </c>
      <c r="AQ589">
        <f t="shared" si="242"/>
        <v>57.999999999999993</v>
      </c>
      <c r="AR589">
        <f t="shared" si="243"/>
        <v>74.5</v>
      </c>
      <c r="AS589" s="2">
        <f t="shared" si="244"/>
        <v>33.333333333333329</v>
      </c>
      <c r="AT589" s="2">
        <f>IFERROR(INDEX(Player_Model!$BC$2:$BC$596,MATCH($A589,Player_Model!$A$2:$A$596,0)),0)</f>
        <v>3.8359667074663406</v>
      </c>
      <c r="AU589" s="2">
        <f>Table8[[#This Row],[Model Expected Points]]*Table8[[#This Row],[Fixture Adjustment]]</f>
        <v>3.0687733659730725</v>
      </c>
      <c r="AV589" s="2">
        <f>Table8[[#This Row],[Fixture Adjusted Points / 90]]/Table8[[#This Row],[Price]]</f>
        <v>0.4721189793804727</v>
      </c>
      <c r="AW589">
        <f t="shared" si="245"/>
        <v>81.599999999999994</v>
      </c>
      <c r="AX589">
        <f t="shared" si="246"/>
        <v>0</v>
      </c>
      <c r="AY589" s="2">
        <f t="shared" si="247"/>
        <v>33.333333333333329</v>
      </c>
      <c r="AZ589" s="5">
        <f t="shared" si="248"/>
        <v>0.8</v>
      </c>
      <c r="BA589">
        <f>Table8[[#This Row],[Model Score2]]</f>
        <v>3.8359667074663406</v>
      </c>
      <c r="BB589">
        <f>IFERROR(INDEX(Player_Model!$BG$2:$BG$596,MATCH($A589,Player_Model!$A$2:$A$596,0)),"")</f>
        <v>84</v>
      </c>
      <c r="BC589" t="str">
        <f t="shared" si="249"/>
        <v>AVOID</v>
      </c>
      <c r="BD589">
        <f>IF(H589=1,Table8[[#This Row],[Model Score]],-10000)</f>
        <v>3.8359667074663406</v>
      </c>
      <c r="BE589">
        <f>IFERROR(INDEX(Player_Model!$BF$2:$BF$596,MATCH($A589,Player_Model!$A$2:$A$596,0)),"")</f>
        <v>165</v>
      </c>
      <c r="BF589">
        <f>IFERROR(INDEX(Player_Model!$BG$2:$BG$596,MATCH($A589,Player_Model!$A$2:$A$596,0)),"")</f>
        <v>84</v>
      </c>
      <c r="BG589">
        <f>IFERROR(INDEX(Player_Model!$BE$2:$BE$596,MATCH($A589,Player_Model!$A$2:$A$596,0)),0)</f>
        <v>3.8359667074663406</v>
      </c>
    </row>
    <row r="590" spans="1:59" x14ac:dyDescent="0.25">
      <c r="A590" t="str">
        <f>tblPlayers[first_name]&amp;" "&amp;tblPlayers[second_name]</f>
        <v>Sandro Tonali</v>
      </c>
      <c r="B590" t="str">
        <f>_xlfn.SWITCH(tblPlayers[element_type],1,"GK",2,"DEF",3,"MID",4,"FWD")</f>
        <v>MID</v>
      </c>
      <c r="C590">
        <f>tblPlayers[team]</f>
        <v>19</v>
      </c>
      <c r="D590" t="str">
        <f>INDEX(tblTeams[Column1.short_name],MATCH(C590,tblTeams[Column1.id],0))</f>
        <v>TOT</v>
      </c>
      <c r="E590" s="4">
        <f>INDEX(FPL_Raw_Data!$F:$F,MATCH(A590,FPL_Raw_Data!$AA:$AA,0))/10</f>
        <v>5.4</v>
      </c>
      <c r="F590" s="4" t="str">
        <f>tblPlayers[[#This Row],[status]]</f>
        <v>a</v>
      </c>
      <c r="G590" s="4" t="b">
        <f>tblPlayers[[#This Row],[can_select]]</f>
        <v>1</v>
      </c>
      <c r="H590">
        <f>IF(AND(Table8[[#This Row],[Availability Status]]="a",Table8[[#This Row],[Can Select]]=TRUE),1,0)</f>
        <v>1</v>
      </c>
      <c r="I590">
        <f>tblPlayers[minutes]</f>
        <v>254</v>
      </c>
      <c r="J590" s="2">
        <f>Table8[[#This Row],[Minutes]]/90</f>
        <v>2.8222222222222224</v>
      </c>
      <c r="K590" s="5">
        <f>IFERROR(Z590/(FIXTURE_ANALYSIS!$B$1-1),0)</f>
        <v>1</v>
      </c>
      <c r="L590">
        <f>tblPlayers[total_points]</f>
        <v>9</v>
      </c>
      <c r="M590">
        <f>tblPlayers[points_per_game]</f>
        <v>3</v>
      </c>
      <c r="N590">
        <f>tblPlayers[form]</f>
        <v>3</v>
      </c>
      <c r="O590">
        <f>tblPlayers[expected_goals]</f>
        <v>0.09</v>
      </c>
      <c r="P590">
        <f>tblPlayers[expected_assists]</f>
        <v>0.09</v>
      </c>
      <c r="Q590">
        <f>tblPlayers[expected_goal_involvements]</f>
        <v>0.18</v>
      </c>
      <c r="R590" s="2">
        <f t="shared" si="225"/>
        <v>3.188976377952756</v>
      </c>
      <c r="S590" s="5">
        <f t="shared" si="226"/>
        <v>3.1889763779527555E-2</v>
      </c>
      <c r="T590" s="5">
        <f t="shared" si="227"/>
        <v>3.1889763779527555E-2</v>
      </c>
      <c r="U590" s="5">
        <f t="shared" si="228"/>
        <v>6.377952755905511E-2</v>
      </c>
      <c r="V590" s="3">
        <f t="shared" si="229"/>
        <v>1.6666666666666665</v>
      </c>
      <c r="W590" s="5">
        <f t="shared" si="230"/>
        <v>3.3333333333333333E-2</v>
      </c>
      <c r="X590" s="5">
        <f>IFERROR(IF(OR($B590="MID",$B590="FWD"),INDEX(FIXTURE_ANALYSIS!$Q:$Q,MATCH($D590,FIXTURE_ANALYSIS!$A:$A,0)),INDEX(FIXTURE_ANALYSIS!$R:$R,MATCH($D590,FIXTURE_ANALYSIS!$A:$A,0))),1)</f>
        <v>0.8</v>
      </c>
      <c r="Y590" s="5">
        <f t="shared" si="231"/>
        <v>0.8</v>
      </c>
      <c r="Z590" s="8">
        <f>INDEX(FPL_Raw_Data!$T:$T,MATCH(A590,FPL_Raw_Data!$AA:$AA,0))</f>
        <v>3</v>
      </c>
      <c r="AA590" s="8">
        <f>INDEX(FPL_Raw_Data!$S:$S,MATCH(A590,FPL_Raw_Data!$AA:$AA,0))</f>
        <v>20</v>
      </c>
      <c r="AB590" s="2">
        <f t="shared" si="232"/>
        <v>1</v>
      </c>
      <c r="AC590" s="2">
        <f>INDEX(FPL_Raw_Data!$Q:$Q,MATCH(A590,FPL_Raw_Data!$AA:$AA,0))</f>
        <v>0</v>
      </c>
      <c r="AD590" s="8">
        <f>INDEX(FPL_Raw_Data!$R:$R,MATCH(A590,FPL_Raw_Data!$AA:$AA,0))</f>
        <v>52</v>
      </c>
      <c r="AE590" s="8">
        <f>INDEX(FPL_Raw_Data!$N:$N,MATCH(A590,FPL_Raw_Data!$AA:$AA,0))</f>
        <v>1</v>
      </c>
      <c r="AF590" s="8">
        <f>INDEX(FPL_Raw_Data!$L:$L,MATCH(A590,FPL_Raw_Data!$AA:$AA,0))</f>
        <v>0</v>
      </c>
      <c r="AG590" s="2">
        <f>INDEX(FPL_Raw_Data!$M:$M,MATCH(A590,FPL_Raw_Data!$AA:$AA,0))</f>
        <v>0</v>
      </c>
      <c r="AH590" s="2">
        <f t="shared" si="233"/>
        <v>0.15944881889763779</v>
      </c>
      <c r="AI590" s="2">
        <f t="shared" si="234"/>
        <v>9.5669291338582665E-2</v>
      </c>
      <c r="AJ590" s="2">
        <f t="shared" si="235"/>
        <v>2</v>
      </c>
      <c r="AK590" s="2">
        <f t="shared" si="236"/>
        <v>2</v>
      </c>
      <c r="AL590" s="2">
        <f t="shared" si="237"/>
        <v>0.33333333333333331</v>
      </c>
      <c r="AM590" s="2">
        <f t="shared" si="238"/>
        <v>0.33333333333333331</v>
      </c>
      <c r="AN590" s="2">
        <f t="shared" si="239"/>
        <v>0</v>
      </c>
      <c r="AO590" s="3">
        <f t="shared" si="240"/>
        <v>61.6</v>
      </c>
      <c r="AP590">
        <f t="shared" si="241"/>
        <v>63.6</v>
      </c>
      <c r="AQ590">
        <f t="shared" si="242"/>
        <v>81.899999999999991</v>
      </c>
      <c r="AR590">
        <f t="shared" si="243"/>
        <v>71.2</v>
      </c>
      <c r="AS590" s="2">
        <f t="shared" si="244"/>
        <v>100</v>
      </c>
      <c r="AT590" s="2">
        <f>IFERROR(INDEX(Player_Model!$BC$2:$BC$596,MATCH($A590,Player_Model!$A$2:$A$596,0)),0)</f>
        <v>3.0835735737228482</v>
      </c>
      <c r="AU590" s="2">
        <f>Table8[[#This Row],[Model Expected Points]]*Table8[[#This Row],[Fixture Adjustment]]</f>
        <v>2.4668588589782789</v>
      </c>
      <c r="AV590" s="2">
        <f>Table8[[#This Row],[Fixture Adjusted Points / 90]]/Table8[[#This Row],[Price]]</f>
        <v>0.45682571462560717</v>
      </c>
      <c r="AW590">
        <f t="shared" si="245"/>
        <v>62.6</v>
      </c>
      <c r="AX590">
        <f t="shared" si="246"/>
        <v>1</v>
      </c>
      <c r="AY590" s="2">
        <f t="shared" si="247"/>
        <v>100</v>
      </c>
      <c r="AZ590" s="5">
        <f t="shared" si="248"/>
        <v>0.8</v>
      </c>
      <c r="BA590">
        <f>Table8[[#This Row],[Model Score2]]</f>
        <v>3.0835735737228482</v>
      </c>
      <c r="BB590">
        <f>IFERROR(INDEX(Player_Model!$BG$2:$BG$596,MATCH($A590,Player_Model!$A$2:$A$596,0)),"")</f>
        <v>104</v>
      </c>
      <c r="BC590" t="str">
        <f t="shared" si="249"/>
        <v>AVOID</v>
      </c>
      <c r="BD590">
        <f>IF(H590=1,Table8[[#This Row],[Model Score]],-10000)</f>
        <v>3.0835735737228482</v>
      </c>
      <c r="BE590">
        <f>IFERROR(INDEX(Player_Model!$BF$2:$BF$596,MATCH($A590,Player_Model!$A$2:$A$596,0)),"")</f>
        <v>199</v>
      </c>
      <c r="BF590">
        <f>IFERROR(INDEX(Player_Model!$BG$2:$BG$596,MATCH($A590,Player_Model!$A$2:$A$596,0)),"")</f>
        <v>104</v>
      </c>
      <c r="BG590">
        <f>IFERROR(INDEX(Player_Model!$BE$2:$BE$596,MATCH($A590,Player_Model!$A$2:$A$596,0)),0)</f>
        <v>3.0835735737228482</v>
      </c>
    </row>
    <row r="591" spans="1:59" x14ac:dyDescent="0.25">
      <c r="A591" t="str">
        <f>tblPlayers[first_name]&amp;" "&amp;tblPlayers[second_name]</f>
        <v>Guglielmo Vicario</v>
      </c>
      <c r="B591" t="str">
        <f>_xlfn.SWITCH(tblPlayers[element_type],1,"GK",2,"DEF",3,"MID",4,"FWD")</f>
        <v>GK</v>
      </c>
      <c r="C591">
        <f>tblPlayers[team]</f>
        <v>19</v>
      </c>
      <c r="D591" t="str">
        <f>INDEX(tblTeams[Column1.short_name],MATCH(C591,tblTeams[Column1.id],0))</f>
        <v>TOT</v>
      </c>
      <c r="E591" s="4">
        <f>INDEX(FPL_Raw_Data!$F:$F,MATCH(A591,FPL_Raw_Data!$AA:$AA,0))/10</f>
        <v>4.5</v>
      </c>
      <c r="F591" s="4" t="str">
        <f>tblPlayers[[#This Row],[status]]</f>
        <v>u</v>
      </c>
      <c r="G591" s="4" t="b">
        <f>tblPlayers[[#This Row],[can_select]]</f>
        <v>0</v>
      </c>
      <c r="H591">
        <f>IF(AND(Table8[[#This Row],[Availability Status]]="a",Table8[[#This Row],[Can Select]]=TRUE),1,0)</f>
        <v>0</v>
      </c>
      <c r="I591">
        <f>tblPlayers[minutes]</f>
        <v>0</v>
      </c>
      <c r="J591" s="2">
        <f>Table8[[#This Row],[Minutes]]/90</f>
        <v>0</v>
      </c>
      <c r="K591" s="5">
        <f>IFERROR(Z591/(FIXTURE_ANALYSIS!$B$1-1),0)</f>
        <v>0</v>
      </c>
      <c r="L591">
        <f>tblPlayers[total_points]</f>
        <v>0</v>
      </c>
      <c r="M591">
        <f>tblPlayers[points_per_game]</f>
        <v>0</v>
      </c>
      <c r="N591">
        <f>tblPlayers[form]</f>
        <v>0</v>
      </c>
      <c r="O591">
        <f>tblPlayers[expected_goals]</f>
        <v>0</v>
      </c>
      <c r="P591">
        <f>tblPlayers[expected_assists]</f>
        <v>0</v>
      </c>
      <c r="Q591">
        <f>tblPlayers[expected_goal_involvements]</f>
        <v>0</v>
      </c>
      <c r="R591" s="2">
        <f t="shared" si="225"/>
        <v>0</v>
      </c>
      <c r="S591" s="5">
        <f t="shared" si="226"/>
        <v>0</v>
      </c>
      <c r="T591" s="5">
        <f t="shared" si="227"/>
        <v>0</v>
      </c>
      <c r="U591" s="5">
        <f t="shared" si="228"/>
        <v>0</v>
      </c>
      <c r="V591" s="3">
        <f t="shared" si="229"/>
        <v>0</v>
      </c>
      <c r="W591" s="5">
        <f t="shared" si="230"/>
        <v>0</v>
      </c>
      <c r="X591" s="5">
        <f>IFERROR(IF(OR($B591="MID",$B591="FWD"),INDEX(FIXTURE_ANALYSIS!$Q:$Q,MATCH($D591,FIXTURE_ANALYSIS!$A:$A,0)),INDEX(FIXTURE_ANALYSIS!$R:$R,MATCH($D591,FIXTURE_ANALYSIS!$A:$A,0))),1)</f>
        <v>0.97332359386413447</v>
      </c>
      <c r="Y591" s="5">
        <f t="shared" si="231"/>
        <v>0.97332359386413447</v>
      </c>
      <c r="Z591" s="8">
        <f>INDEX(FPL_Raw_Data!$T:$T,MATCH(A591,FPL_Raw_Data!$AA:$AA,0))</f>
        <v>0</v>
      </c>
      <c r="AA591" s="8">
        <f>INDEX(FPL_Raw_Data!$S:$S,MATCH(A591,FPL_Raw_Data!$AA:$AA,0))</f>
        <v>0</v>
      </c>
      <c r="AB591" s="2">
        <f t="shared" si="232"/>
        <v>0</v>
      </c>
      <c r="AC591" s="2">
        <f>INDEX(FPL_Raw_Data!$Q:$Q,MATCH(A591,FPL_Raw_Data!$AA:$AA,0))</f>
        <v>0</v>
      </c>
      <c r="AD591" s="8">
        <f>INDEX(FPL_Raw_Data!$R:$R,MATCH(A591,FPL_Raw_Data!$AA:$AA,0))</f>
        <v>0</v>
      </c>
      <c r="AE591" s="8">
        <f>INDEX(FPL_Raw_Data!$N:$N,MATCH(A591,FPL_Raw_Data!$AA:$AA,0))</f>
        <v>0</v>
      </c>
      <c r="AF591" s="8">
        <f>INDEX(FPL_Raw_Data!$L:$L,MATCH(A591,FPL_Raw_Data!$AA:$AA,0))</f>
        <v>0</v>
      </c>
      <c r="AG591" s="2">
        <f>INDEX(FPL_Raw_Data!$M:$M,MATCH(A591,FPL_Raw_Data!$AA:$AA,0))</f>
        <v>0</v>
      </c>
      <c r="AH591" s="2">
        <f t="shared" si="233"/>
        <v>0</v>
      </c>
      <c r="AI591" s="2">
        <f t="shared" si="234"/>
        <v>0</v>
      </c>
      <c r="AJ591" s="2">
        <f t="shared" si="235"/>
        <v>0</v>
      </c>
      <c r="AK591" s="2">
        <f t="shared" si="236"/>
        <v>0</v>
      </c>
      <c r="AL591" s="2">
        <f t="shared" si="237"/>
        <v>0</v>
      </c>
      <c r="AM591" s="2">
        <f t="shared" si="238"/>
        <v>0</v>
      </c>
      <c r="AN591" s="2">
        <f t="shared" si="239"/>
        <v>0</v>
      </c>
      <c r="AO591" s="3">
        <f t="shared" si="240"/>
        <v>0.1</v>
      </c>
      <c r="AP591">
        <f t="shared" si="241"/>
        <v>0</v>
      </c>
      <c r="AQ591">
        <f t="shared" si="242"/>
        <v>0.1</v>
      </c>
      <c r="AR591">
        <f t="shared" si="243"/>
        <v>0</v>
      </c>
      <c r="AS591" s="2">
        <f t="shared" si="244"/>
        <v>0</v>
      </c>
      <c r="AT591" s="2">
        <f>IFERROR(INDEX(Player_Model!$BC$2:$BC$596,MATCH($A591,Player_Model!$A$2:$A$596,0)),0)</f>
        <v>0</v>
      </c>
      <c r="AU591" s="2">
        <f>Table8[[#This Row],[Model Expected Points]]*Table8[[#This Row],[Fixture Adjustment]]</f>
        <v>0</v>
      </c>
      <c r="AV591" s="2">
        <f>Table8[[#This Row],[Fixture Adjusted Points / 90]]/Table8[[#This Row],[Price]]</f>
        <v>0</v>
      </c>
      <c r="AW591">
        <f t="shared" si="245"/>
        <v>0</v>
      </c>
      <c r="AX591">
        <f t="shared" si="246"/>
        <v>0.48666179693206724</v>
      </c>
      <c r="AY591" s="2">
        <f t="shared" si="247"/>
        <v>0</v>
      </c>
      <c r="AZ591" s="5">
        <f t="shared" si="248"/>
        <v>0.97332359386413447</v>
      </c>
      <c r="BA591">
        <f>Table8[[#This Row],[Model Score2]]</f>
        <v>0</v>
      </c>
      <c r="BB591">
        <f>IFERROR(INDEX(Player_Model!$BG$2:$BG$596,MATCH($A591,Player_Model!$A$2:$A$596,0)),"")</f>
        <v>66</v>
      </c>
      <c r="BC591" t="str">
        <f t="shared" si="249"/>
        <v>AVOID</v>
      </c>
      <c r="BD591">
        <f>IF(H591=1,Table8[[#This Row],[Model Score]],-10000)</f>
        <v>-10000</v>
      </c>
      <c r="BE591">
        <f>IFERROR(INDEX(Player_Model!$BF$2:$BF$596,MATCH($A591,Player_Model!$A$2:$A$596,0)),"")</f>
        <v>253</v>
      </c>
      <c r="BF591">
        <f>IFERROR(INDEX(Player_Model!$BG$2:$BG$596,MATCH($A591,Player_Model!$A$2:$A$596,0)),"")</f>
        <v>66</v>
      </c>
      <c r="BG591">
        <f>IFERROR(INDEX(Player_Model!$BE$2:$BE$596,MATCH($A591,Player_Model!$A$2:$A$596,0)),0)</f>
        <v>0</v>
      </c>
    </row>
    <row r="592" spans="1:59" x14ac:dyDescent="0.25">
      <c r="A592" t="str">
        <f>tblPlayers[first_name]&amp;" "&amp;tblPlayers[second_name]</f>
        <v>Brandon Austin</v>
      </c>
      <c r="B592" t="str">
        <f>_xlfn.SWITCH(tblPlayers[element_type],1,"GK",2,"DEF",3,"MID",4,"FWD")</f>
        <v>GK</v>
      </c>
      <c r="C592">
        <f>tblPlayers[team]</f>
        <v>19</v>
      </c>
      <c r="D592" t="str">
        <f>INDEX(tblTeams[Column1.short_name],MATCH(C592,tblTeams[Column1.id],0))</f>
        <v>TOT</v>
      </c>
      <c r="E592" s="4">
        <f>INDEX(FPL_Raw_Data!$F:$F,MATCH(A592,FPL_Raw_Data!$AA:$AA,0))/10</f>
        <v>4</v>
      </c>
      <c r="F592" s="4" t="str">
        <f>tblPlayers[[#This Row],[status]]</f>
        <v>a</v>
      </c>
      <c r="G592" s="4" t="b">
        <f>tblPlayers[[#This Row],[can_select]]</f>
        <v>1</v>
      </c>
      <c r="H592">
        <f>IF(AND(Table8[[#This Row],[Availability Status]]="a",Table8[[#This Row],[Can Select]]=TRUE),1,0)</f>
        <v>1</v>
      </c>
      <c r="I592">
        <f>tblPlayers[minutes]</f>
        <v>0</v>
      </c>
      <c r="J592" s="2">
        <f>Table8[[#This Row],[Minutes]]/90</f>
        <v>0</v>
      </c>
      <c r="K592" s="5">
        <f>IFERROR(Z592/(FIXTURE_ANALYSIS!$B$1-1),0)</f>
        <v>0</v>
      </c>
      <c r="L592">
        <f>tblPlayers[total_points]</f>
        <v>0</v>
      </c>
      <c r="M592">
        <f>tblPlayers[points_per_game]</f>
        <v>0</v>
      </c>
      <c r="N592">
        <f>tblPlayers[form]</f>
        <v>0</v>
      </c>
      <c r="O592">
        <f>tblPlayers[expected_goals]</f>
        <v>0</v>
      </c>
      <c r="P592">
        <f>tblPlayers[expected_assists]</f>
        <v>0</v>
      </c>
      <c r="Q592">
        <f>tblPlayers[expected_goal_involvements]</f>
        <v>0</v>
      </c>
      <c r="R592" s="2">
        <f t="shared" si="225"/>
        <v>0</v>
      </c>
      <c r="S592" s="5">
        <f t="shared" si="226"/>
        <v>0</v>
      </c>
      <c r="T592" s="5">
        <f t="shared" si="227"/>
        <v>0</v>
      </c>
      <c r="U592" s="5">
        <f t="shared" si="228"/>
        <v>0</v>
      </c>
      <c r="V592" s="3">
        <f t="shared" si="229"/>
        <v>0</v>
      </c>
      <c r="W592" s="5">
        <f t="shared" si="230"/>
        <v>0</v>
      </c>
      <c r="X592" s="5">
        <f>IFERROR(IF(OR($B592="MID",$B592="FWD"),INDEX(FIXTURE_ANALYSIS!$Q:$Q,MATCH($D592,FIXTURE_ANALYSIS!$A:$A,0)),INDEX(FIXTURE_ANALYSIS!$R:$R,MATCH($D592,FIXTURE_ANALYSIS!$A:$A,0))),1)</f>
        <v>0.97332359386413447</v>
      </c>
      <c r="Y592" s="5">
        <f t="shared" si="231"/>
        <v>0.97332359386413447</v>
      </c>
      <c r="Z592" s="8">
        <f>INDEX(FPL_Raw_Data!$T:$T,MATCH(A592,FPL_Raw_Data!$AA:$AA,0))</f>
        <v>0</v>
      </c>
      <c r="AA592" s="8">
        <f>INDEX(FPL_Raw_Data!$S:$S,MATCH(A592,FPL_Raw_Data!$AA:$AA,0))</f>
        <v>0</v>
      </c>
      <c r="AB592" s="2">
        <f t="shared" si="232"/>
        <v>0</v>
      </c>
      <c r="AC592" s="2">
        <f>INDEX(FPL_Raw_Data!$Q:$Q,MATCH(A592,FPL_Raw_Data!$AA:$AA,0))</f>
        <v>0</v>
      </c>
      <c r="AD592" s="8">
        <f>INDEX(FPL_Raw_Data!$R:$R,MATCH(A592,FPL_Raw_Data!$AA:$AA,0))</f>
        <v>0</v>
      </c>
      <c r="AE592" s="8">
        <f>INDEX(FPL_Raw_Data!$N:$N,MATCH(A592,FPL_Raw_Data!$AA:$AA,0))</f>
        <v>0</v>
      </c>
      <c r="AF592" s="8">
        <f>INDEX(FPL_Raw_Data!$L:$L,MATCH(A592,FPL_Raw_Data!$AA:$AA,0))</f>
        <v>0</v>
      </c>
      <c r="AG592" s="2">
        <f>INDEX(FPL_Raw_Data!$M:$M,MATCH(A592,FPL_Raw_Data!$AA:$AA,0))</f>
        <v>0</v>
      </c>
      <c r="AH592" s="2">
        <f t="shared" si="233"/>
        <v>0</v>
      </c>
      <c r="AI592" s="2">
        <f t="shared" si="234"/>
        <v>0</v>
      </c>
      <c r="AJ592" s="2">
        <f t="shared" si="235"/>
        <v>0</v>
      </c>
      <c r="AK592" s="2">
        <f t="shared" si="236"/>
        <v>0</v>
      </c>
      <c r="AL592" s="2">
        <f t="shared" si="237"/>
        <v>0</v>
      </c>
      <c r="AM592" s="2">
        <f t="shared" si="238"/>
        <v>0</v>
      </c>
      <c r="AN592" s="2">
        <f t="shared" si="239"/>
        <v>0</v>
      </c>
      <c r="AO592" s="3">
        <f t="shared" si="240"/>
        <v>0.1</v>
      </c>
      <c r="AP592">
        <f t="shared" si="241"/>
        <v>0</v>
      </c>
      <c r="AQ592">
        <f t="shared" si="242"/>
        <v>0.1</v>
      </c>
      <c r="AR592">
        <f t="shared" si="243"/>
        <v>0</v>
      </c>
      <c r="AS592" s="2">
        <f t="shared" si="244"/>
        <v>0</v>
      </c>
      <c r="AT592" s="2">
        <f>IFERROR(INDEX(Player_Model!$BC$2:$BC$596,MATCH($A592,Player_Model!$A$2:$A$596,0)),0)</f>
        <v>0</v>
      </c>
      <c r="AU592" s="2">
        <f>Table8[[#This Row],[Model Expected Points]]*Table8[[#This Row],[Fixture Adjustment]]</f>
        <v>0</v>
      </c>
      <c r="AV592" s="2">
        <f>Table8[[#This Row],[Fixture Adjusted Points / 90]]/Table8[[#This Row],[Price]]</f>
        <v>0</v>
      </c>
      <c r="AW592">
        <f t="shared" si="245"/>
        <v>0</v>
      </c>
      <c r="AX592">
        <f t="shared" si="246"/>
        <v>0.48666179693206724</v>
      </c>
      <c r="AY592" s="2">
        <f t="shared" si="247"/>
        <v>0</v>
      </c>
      <c r="AZ592" s="5">
        <f t="shared" si="248"/>
        <v>0.97332359386413447</v>
      </c>
      <c r="BA592">
        <f>Table8[[#This Row],[Model Score2]]</f>
        <v>0</v>
      </c>
      <c r="BB592">
        <f>IFERROR(INDEX(Player_Model!$BG$2:$BG$596,MATCH($A592,Player_Model!$A$2:$A$596,0)),"")</f>
        <v>67</v>
      </c>
      <c r="BC592" t="str">
        <f t="shared" si="249"/>
        <v>AVOID</v>
      </c>
      <c r="BD592">
        <f>IF(H592=1,Table8[[#This Row],[Model Score]],-10000)</f>
        <v>0</v>
      </c>
      <c r="BE592">
        <f>IFERROR(INDEX(Player_Model!$BF$2:$BF$596,MATCH($A592,Player_Model!$A$2:$A$596,0)),"")</f>
        <v>253</v>
      </c>
      <c r="BF592">
        <f>IFERROR(INDEX(Player_Model!$BG$2:$BG$596,MATCH($A592,Player_Model!$A$2:$A$596,0)),"")</f>
        <v>67</v>
      </c>
      <c r="BG592">
        <f>IFERROR(INDEX(Player_Model!$BE$2:$BE$596,MATCH($A592,Player_Model!$A$2:$A$596,0)),0)</f>
        <v>0</v>
      </c>
    </row>
    <row r="593" spans="1:59" x14ac:dyDescent="0.25">
      <c r="A593" t="str">
        <f>tblPlayers[first_name]&amp;" "&amp;tblPlayers[second_name]</f>
        <v>Antonín Kinský</v>
      </c>
      <c r="B593" t="str">
        <f>_xlfn.SWITCH(tblPlayers[element_type],1,"GK",2,"DEF",3,"MID",4,"FWD")</f>
        <v>GK</v>
      </c>
      <c r="C593">
        <f>tblPlayers[team]</f>
        <v>19</v>
      </c>
      <c r="D593" t="str">
        <f>INDEX(tblTeams[Column1.short_name],MATCH(C593,tblTeams[Column1.id],0))</f>
        <v>TOT</v>
      </c>
      <c r="E593" s="4">
        <f>INDEX(FPL_Raw_Data!$F:$F,MATCH(A593,FPL_Raw_Data!$AA:$AA,0))/10</f>
        <v>4.5</v>
      </c>
      <c r="F593" s="4" t="str">
        <f>tblPlayers[[#This Row],[status]]</f>
        <v>a</v>
      </c>
      <c r="G593" s="4" t="b">
        <f>tblPlayers[[#This Row],[can_select]]</f>
        <v>1</v>
      </c>
      <c r="H593">
        <f>IF(AND(Table8[[#This Row],[Availability Status]]="a",Table8[[#This Row],[Can Select]]=TRUE),1,0)</f>
        <v>1</v>
      </c>
      <c r="I593">
        <f>tblPlayers[minutes]</f>
        <v>270</v>
      </c>
      <c r="J593" s="2">
        <f>Table8[[#This Row],[Minutes]]/90</f>
        <v>3</v>
      </c>
      <c r="K593" s="5">
        <f>IFERROR(Z593/(FIXTURE_ANALYSIS!$B$1-1),0)</f>
        <v>1</v>
      </c>
      <c r="L593">
        <f>tblPlayers[total_points]</f>
        <v>9</v>
      </c>
      <c r="M593">
        <f>tblPlayers[points_per_game]</f>
        <v>3</v>
      </c>
      <c r="N593">
        <f>tblPlayers[form]</f>
        <v>3</v>
      </c>
      <c r="O593">
        <f>tblPlayers[expected_goals]</f>
        <v>0</v>
      </c>
      <c r="P593">
        <f>tblPlayers[expected_assists]</f>
        <v>0</v>
      </c>
      <c r="Q593">
        <f>tblPlayers[expected_goal_involvements]</f>
        <v>0</v>
      </c>
      <c r="R593" s="2">
        <f t="shared" si="225"/>
        <v>3</v>
      </c>
      <c r="S593" s="5">
        <f t="shared" si="226"/>
        <v>0</v>
      </c>
      <c r="T593" s="5">
        <f t="shared" si="227"/>
        <v>0</v>
      </c>
      <c r="U593" s="5">
        <f t="shared" si="228"/>
        <v>0</v>
      </c>
      <c r="V593" s="3">
        <f t="shared" si="229"/>
        <v>2</v>
      </c>
      <c r="W593" s="5">
        <f t="shared" si="230"/>
        <v>0</v>
      </c>
      <c r="X593" s="5">
        <f>IFERROR(IF(OR($B593="MID",$B593="FWD"),INDEX(FIXTURE_ANALYSIS!$Q:$Q,MATCH($D593,FIXTURE_ANALYSIS!$A:$A,0)),INDEX(FIXTURE_ANALYSIS!$R:$R,MATCH($D593,FIXTURE_ANALYSIS!$A:$A,0))),1)</f>
        <v>0.97332359386413447</v>
      </c>
      <c r="Y593" s="5">
        <f t="shared" si="231"/>
        <v>0.97332359386413447</v>
      </c>
      <c r="Z593" s="8">
        <f>INDEX(FPL_Raw_Data!$T:$T,MATCH(A593,FPL_Raw_Data!$AA:$AA,0))</f>
        <v>3</v>
      </c>
      <c r="AA593" s="8">
        <f>INDEX(FPL_Raw_Data!$S:$S,MATCH(A593,FPL_Raw_Data!$AA:$AA,0))</f>
        <v>0</v>
      </c>
      <c r="AB593" s="2">
        <f t="shared" si="232"/>
        <v>0</v>
      </c>
      <c r="AC593" s="2">
        <f>INDEX(FPL_Raw_Data!$Q:$Q,MATCH(A593,FPL_Raw_Data!$AA:$AA,0))</f>
        <v>0</v>
      </c>
      <c r="AD593" s="8">
        <f>INDEX(FPL_Raw_Data!$R:$R,MATCH(A593,FPL_Raw_Data!$AA:$AA,0))</f>
        <v>43</v>
      </c>
      <c r="AE593" s="8">
        <f>INDEX(FPL_Raw_Data!$N:$N,MATCH(A593,FPL_Raw_Data!$AA:$AA,0))</f>
        <v>1</v>
      </c>
      <c r="AF593" s="8">
        <f>INDEX(FPL_Raw_Data!$L:$L,MATCH(A593,FPL_Raw_Data!$AA:$AA,0))</f>
        <v>0</v>
      </c>
      <c r="AG593" s="2">
        <f>INDEX(FPL_Raw_Data!$M:$M,MATCH(A593,FPL_Raw_Data!$AA:$AA,0))</f>
        <v>0</v>
      </c>
      <c r="AH593" s="2">
        <f t="shared" si="233"/>
        <v>0</v>
      </c>
      <c r="AI593" s="2">
        <f t="shared" si="234"/>
        <v>0</v>
      </c>
      <c r="AJ593" s="2">
        <f t="shared" si="235"/>
        <v>2</v>
      </c>
      <c r="AK593" s="2">
        <f t="shared" si="236"/>
        <v>0</v>
      </c>
      <c r="AL593" s="2">
        <f t="shared" si="237"/>
        <v>0.33333333333333331</v>
      </c>
      <c r="AM593" s="2">
        <f t="shared" si="238"/>
        <v>1.3333333333333333</v>
      </c>
      <c r="AN593" s="2">
        <f t="shared" si="239"/>
        <v>0</v>
      </c>
      <c r="AO593" s="3">
        <f t="shared" si="240"/>
        <v>58.4</v>
      </c>
      <c r="AP593">
        <f t="shared" si="241"/>
        <v>0</v>
      </c>
      <c r="AQ593">
        <f t="shared" si="242"/>
        <v>85.5</v>
      </c>
      <c r="AR593">
        <f t="shared" si="243"/>
        <v>0</v>
      </c>
      <c r="AS593" s="2">
        <f t="shared" si="244"/>
        <v>100</v>
      </c>
      <c r="AT593" s="2">
        <f>IFERROR(INDEX(Player_Model!$BC$2:$BC$596,MATCH($A593,Player_Model!$A$2:$A$596,0)),0)</f>
        <v>3.8932943754565374</v>
      </c>
      <c r="AU593" s="2">
        <f>Table8[[#This Row],[Model Expected Points]]*Table8[[#This Row],[Fixture Adjustment]]</f>
        <v>3.789435273490378</v>
      </c>
      <c r="AV593" s="2">
        <f>Table8[[#This Row],[Fixture Adjusted Points / 90]]/Table8[[#This Row],[Price]]</f>
        <v>0.84209672744230624</v>
      </c>
      <c r="AW593">
        <f t="shared" si="245"/>
        <v>0</v>
      </c>
      <c r="AX593">
        <f t="shared" si="246"/>
        <v>50.486661796932069</v>
      </c>
      <c r="AY593" s="2">
        <f t="shared" si="247"/>
        <v>100</v>
      </c>
      <c r="AZ593" s="5">
        <f t="shared" si="248"/>
        <v>0.97332359386413447</v>
      </c>
      <c r="BA593">
        <f>Table8[[#This Row],[Model Score2]]</f>
        <v>3.8932943754565374</v>
      </c>
      <c r="BB593">
        <f>IFERROR(INDEX(Player_Model!$BG$2:$BG$596,MATCH($A593,Player_Model!$A$2:$A$596,0)),"")</f>
        <v>12</v>
      </c>
      <c r="BC593" t="str">
        <f t="shared" si="249"/>
        <v>AVOID</v>
      </c>
      <c r="BD593">
        <f>IF(H593=1,Table8[[#This Row],[Model Score]],-10000)</f>
        <v>3.8932943754565374</v>
      </c>
      <c r="BE593">
        <f>IFERROR(INDEX(Player_Model!$BF$2:$BF$596,MATCH($A593,Player_Model!$A$2:$A$596,0)),"")</f>
        <v>160</v>
      </c>
      <c r="BF593">
        <f>IFERROR(INDEX(Player_Model!$BG$2:$BG$596,MATCH($A593,Player_Model!$A$2:$A$596,0)),"")</f>
        <v>12</v>
      </c>
      <c r="BG593">
        <f>IFERROR(INDEX(Player_Model!$BE$2:$BE$596,MATCH($A593,Player_Model!$A$2:$A$596,0)),0)</f>
        <v>3.8932943754565374</v>
      </c>
    </row>
    <row r="594" spans="1:59" x14ac:dyDescent="0.25">
      <c r="A594" t="str">
        <f>tblPlayers[first_name]&amp;" "&amp;tblPlayers[second_name]</f>
        <v>Martin Dubravka</v>
      </c>
      <c r="B594" t="str">
        <f>_xlfn.SWITCH(tblPlayers[element_type],1,"GK",2,"DEF",3,"MID",4,"FWD")</f>
        <v>GK</v>
      </c>
      <c r="C594">
        <f>tblPlayers[team]</f>
        <v>19</v>
      </c>
      <c r="D594" t="str">
        <f>INDEX(tblTeams[Column1.short_name],MATCH(C594,tblTeams[Column1.id],0))</f>
        <v>TOT</v>
      </c>
      <c r="E594" s="4">
        <f>INDEX(FPL_Raw_Data!$F:$F,MATCH(A594,FPL_Raw_Data!$AA:$AA,0))/10</f>
        <v>4</v>
      </c>
      <c r="F594" s="4" t="str">
        <f>tblPlayers[[#This Row],[status]]</f>
        <v>a</v>
      </c>
      <c r="G594" s="4" t="b">
        <f>tblPlayers[[#This Row],[can_select]]</f>
        <v>1</v>
      </c>
      <c r="H594">
        <f>IF(AND(Table8[[#This Row],[Availability Status]]="a",Table8[[#This Row],[Can Select]]=TRUE),1,0)</f>
        <v>1</v>
      </c>
      <c r="I594">
        <f>tblPlayers[minutes]</f>
        <v>0</v>
      </c>
      <c r="J594" s="2">
        <f>Table8[[#This Row],[Minutes]]/90</f>
        <v>0</v>
      </c>
      <c r="K594" s="5">
        <f>IFERROR(Z594/(FIXTURE_ANALYSIS!$B$1-1),0)</f>
        <v>0</v>
      </c>
      <c r="L594">
        <f>tblPlayers[total_points]</f>
        <v>0</v>
      </c>
      <c r="M594">
        <f>tblPlayers[points_per_game]</f>
        <v>0</v>
      </c>
      <c r="N594">
        <f>tblPlayers[form]</f>
        <v>0</v>
      </c>
      <c r="O594">
        <f>tblPlayers[expected_goals]</f>
        <v>0</v>
      </c>
      <c r="P594">
        <f>tblPlayers[expected_assists]</f>
        <v>0</v>
      </c>
      <c r="Q594">
        <f>tblPlayers[expected_goal_involvements]</f>
        <v>0</v>
      </c>
      <c r="R594" s="2">
        <f t="shared" si="225"/>
        <v>0</v>
      </c>
      <c r="S594" s="5">
        <f t="shared" si="226"/>
        <v>0</v>
      </c>
      <c r="T594" s="5">
        <f t="shared" si="227"/>
        <v>0</v>
      </c>
      <c r="U594" s="5">
        <f t="shared" si="228"/>
        <v>0</v>
      </c>
      <c r="V594" s="3">
        <f t="shared" si="229"/>
        <v>0</v>
      </c>
      <c r="W594" s="5">
        <f t="shared" si="230"/>
        <v>0</v>
      </c>
      <c r="X594" s="5">
        <f>IFERROR(IF(OR($B594="MID",$B594="FWD"),INDEX(FIXTURE_ANALYSIS!$Q:$Q,MATCH($D594,FIXTURE_ANALYSIS!$A:$A,0)),INDEX(FIXTURE_ANALYSIS!$R:$R,MATCH($D594,FIXTURE_ANALYSIS!$A:$A,0))),1)</f>
        <v>0.97332359386413447</v>
      </c>
      <c r="Y594" s="5">
        <f t="shared" si="231"/>
        <v>0.97332359386413447</v>
      </c>
      <c r="Z594" s="8">
        <f>INDEX(FPL_Raw_Data!$T:$T,MATCH(A594,FPL_Raw_Data!$AA:$AA,0))</f>
        <v>0</v>
      </c>
      <c r="AA594" s="8">
        <f>INDEX(FPL_Raw_Data!$S:$S,MATCH(A594,FPL_Raw_Data!$AA:$AA,0))</f>
        <v>0</v>
      </c>
      <c r="AB594" s="2">
        <f t="shared" si="232"/>
        <v>0</v>
      </c>
      <c r="AC594" s="2">
        <f>INDEX(FPL_Raw_Data!$Q:$Q,MATCH(A594,FPL_Raw_Data!$AA:$AA,0))</f>
        <v>0</v>
      </c>
      <c r="AD594" s="8">
        <f>INDEX(FPL_Raw_Data!$R:$R,MATCH(A594,FPL_Raw_Data!$AA:$AA,0))</f>
        <v>0</v>
      </c>
      <c r="AE594" s="8">
        <f>INDEX(FPL_Raw_Data!$N:$N,MATCH(A594,FPL_Raw_Data!$AA:$AA,0))</f>
        <v>0</v>
      </c>
      <c r="AF594" s="8">
        <f>INDEX(FPL_Raw_Data!$L:$L,MATCH(A594,FPL_Raw_Data!$AA:$AA,0))</f>
        <v>0</v>
      </c>
      <c r="AG594" s="2">
        <f>INDEX(FPL_Raw_Data!$M:$M,MATCH(A594,FPL_Raw_Data!$AA:$AA,0))</f>
        <v>0</v>
      </c>
      <c r="AH594" s="2">
        <f t="shared" si="233"/>
        <v>0</v>
      </c>
      <c r="AI594" s="2">
        <f t="shared" si="234"/>
        <v>0</v>
      </c>
      <c r="AJ594" s="2">
        <f t="shared" si="235"/>
        <v>0</v>
      </c>
      <c r="AK594" s="2">
        <f t="shared" si="236"/>
        <v>0</v>
      </c>
      <c r="AL594" s="2">
        <f t="shared" si="237"/>
        <v>0</v>
      </c>
      <c r="AM594" s="2">
        <f t="shared" si="238"/>
        <v>0</v>
      </c>
      <c r="AN594" s="2">
        <f t="shared" si="239"/>
        <v>0</v>
      </c>
      <c r="AO594" s="3">
        <f t="shared" si="240"/>
        <v>0.1</v>
      </c>
      <c r="AP594">
        <f t="shared" si="241"/>
        <v>0</v>
      </c>
      <c r="AQ594">
        <f t="shared" si="242"/>
        <v>0.1</v>
      </c>
      <c r="AR594">
        <f t="shared" si="243"/>
        <v>0</v>
      </c>
      <c r="AS594" s="2">
        <f t="shared" si="244"/>
        <v>0</v>
      </c>
      <c r="AT594" s="2">
        <f>IFERROR(INDEX(Player_Model!$BC$2:$BC$596,MATCH($A594,Player_Model!$A$2:$A$596,0)),0)</f>
        <v>0</v>
      </c>
      <c r="AU594" s="2">
        <f>Table8[[#This Row],[Model Expected Points]]*Table8[[#This Row],[Fixture Adjustment]]</f>
        <v>0</v>
      </c>
      <c r="AV594" s="2">
        <f>Table8[[#This Row],[Fixture Adjusted Points / 90]]/Table8[[#This Row],[Price]]</f>
        <v>0</v>
      </c>
      <c r="AW594">
        <f t="shared" si="245"/>
        <v>0</v>
      </c>
      <c r="AX594">
        <f t="shared" si="246"/>
        <v>0.48666179693206724</v>
      </c>
      <c r="AY594" s="2">
        <f t="shared" si="247"/>
        <v>0</v>
      </c>
      <c r="AZ594" s="5">
        <f t="shared" si="248"/>
        <v>0.97332359386413447</v>
      </c>
      <c r="BA594">
        <f>Table8[[#This Row],[Model Score2]]</f>
        <v>0</v>
      </c>
      <c r="BB594">
        <f>IFERROR(INDEX(Player_Model!$BG$2:$BG$596,MATCH($A594,Player_Model!$A$2:$A$596,0)),"")</f>
        <v>68</v>
      </c>
      <c r="BC594" t="str">
        <f t="shared" si="249"/>
        <v>AVOID</v>
      </c>
      <c r="BD594">
        <f>IF(H594=1,Table8[[#This Row],[Model Score]],-10000)</f>
        <v>0</v>
      </c>
      <c r="BE594">
        <f>IFERROR(INDEX(Player_Model!$BF$2:$BF$596,MATCH($A594,Player_Model!$A$2:$A$596,0)),"")</f>
        <v>253</v>
      </c>
      <c r="BF594">
        <f>IFERROR(INDEX(Player_Model!$BG$2:$BG$596,MATCH($A594,Player_Model!$A$2:$A$596,0)),"")</f>
        <v>68</v>
      </c>
      <c r="BG594">
        <f>IFERROR(INDEX(Player_Model!$BE$2:$BE$596,MATCH($A594,Player_Model!$A$2:$A$596,0)),0)</f>
        <v>0</v>
      </c>
    </row>
    <row r="595" spans="1:59" x14ac:dyDescent="0.25">
      <c r="A595" t="str">
        <f>tblPlayers[first_name]&amp;" "&amp;tblPlayers[second_name]</f>
        <v>Marcos Senesi Barón</v>
      </c>
      <c r="B595" t="str">
        <f>_xlfn.SWITCH(tblPlayers[element_type],1,"GK",2,"DEF",3,"MID",4,"FWD")</f>
        <v>DEF</v>
      </c>
      <c r="C595">
        <f>tblPlayers[team]</f>
        <v>19</v>
      </c>
      <c r="D595" t="str">
        <f>INDEX(tblTeams[Column1.short_name],MATCH(C595,tblTeams[Column1.id],0))</f>
        <v>TOT</v>
      </c>
      <c r="E595" s="4">
        <f>INDEX(FPL_Raw_Data!$F:$F,MATCH(A595,FPL_Raw_Data!$AA:$AA,0))/10</f>
        <v>5.9</v>
      </c>
      <c r="F595" s="4" t="str">
        <f>tblPlayers[[#This Row],[status]]</f>
        <v>a</v>
      </c>
      <c r="G595" s="4" t="b">
        <f>tblPlayers[[#This Row],[can_select]]</f>
        <v>1</v>
      </c>
      <c r="H595">
        <f>IF(AND(Table8[[#This Row],[Availability Status]]="a",Table8[[#This Row],[Can Select]]=TRUE),1,0)</f>
        <v>1</v>
      </c>
      <c r="I595">
        <f>tblPlayers[minutes]</f>
        <v>90</v>
      </c>
      <c r="J595" s="2">
        <f>Table8[[#This Row],[Minutes]]/90</f>
        <v>1</v>
      </c>
      <c r="K595" s="5">
        <f>IFERROR(Z595/(FIXTURE_ANALYSIS!$B$1-1),0)</f>
        <v>0.33333333333333331</v>
      </c>
      <c r="L595">
        <f>tblPlayers[total_points]</f>
        <v>3</v>
      </c>
      <c r="M595">
        <f>tblPlayers[points_per_game]</f>
        <v>3</v>
      </c>
      <c r="N595">
        <f>tblPlayers[form]</f>
        <v>1</v>
      </c>
      <c r="O595">
        <f>tblPlayers[expected_goals]</f>
        <v>0</v>
      </c>
      <c r="P595">
        <f>tblPlayers[expected_assists]</f>
        <v>0.02</v>
      </c>
      <c r="Q595">
        <f>tblPlayers[expected_goal_involvements]</f>
        <v>0.02</v>
      </c>
      <c r="R595" s="2">
        <f t="shared" si="225"/>
        <v>3</v>
      </c>
      <c r="S595" s="5">
        <f t="shared" si="226"/>
        <v>0</v>
      </c>
      <c r="T595" s="5">
        <f t="shared" si="227"/>
        <v>0.02</v>
      </c>
      <c r="U595" s="5">
        <f t="shared" si="228"/>
        <v>0.02</v>
      </c>
      <c r="V595" s="3">
        <f t="shared" si="229"/>
        <v>0.50847457627118642</v>
      </c>
      <c r="W595" s="5">
        <f t="shared" si="230"/>
        <v>3.3898305084745762E-3</v>
      </c>
      <c r="X595" s="5">
        <f>IFERROR(IF(OR($B595="MID",$B595="FWD"),INDEX(FIXTURE_ANALYSIS!$Q:$Q,MATCH($D595,FIXTURE_ANALYSIS!$A:$A,0)),INDEX(FIXTURE_ANALYSIS!$R:$R,MATCH($D595,FIXTURE_ANALYSIS!$A:$A,0))),1)</f>
        <v>0.97332359386413447</v>
      </c>
      <c r="Y595" s="5">
        <f t="shared" si="231"/>
        <v>0.97332359386413447</v>
      </c>
      <c r="Z595" s="8">
        <f>INDEX(FPL_Raw_Data!$T:$T,MATCH(A595,FPL_Raw_Data!$AA:$AA,0))</f>
        <v>1</v>
      </c>
      <c r="AA595" s="8">
        <f>INDEX(FPL_Raw_Data!$S:$S,MATCH(A595,FPL_Raw_Data!$AA:$AA,0))</f>
        <v>16</v>
      </c>
      <c r="AB595" s="2">
        <f t="shared" si="232"/>
        <v>1</v>
      </c>
      <c r="AC595" s="2">
        <f>INDEX(FPL_Raw_Data!$Q:$Q,MATCH(A595,FPL_Raw_Data!$AA:$AA,0))</f>
        <v>0</v>
      </c>
      <c r="AD595" s="8">
        <f>INDEX(FPL_Raw_Data!$R:$R,MATCH(A595,FPL_Raw_Data!$AA:$AA,0))</f>
        <v>10</v>
      </c>
      <c r="AE595" s="8">
        <f>INDEX(FPL_Raw_Data!$N:$N,MATCH(A595,FPL_Raw_Data!$AA:$AA,0))</f>
        <v>0</v>
      </c>
      <c r="AF595" s="8">
        <f>INDEX(FPL_Raw_Data!$L:$L,MATCH(A595,FPL_Raw_Data!$AA:$AA,0))</f>
        <v>0</v>
      </c>
      <c r="AG595" s="2">
        <f>INDEX(FPL_Raw_Data!$M:$M,MATCH(A595,FPL_Raw_Data!$AA:$AA,0))</f>
        <v>0</v>
      </c>
      <c r="AH595" s="2">
        <f t="shared" si="233"/>
        <v>0</v>
      </c>
      <c r="AI595" s="2">
        <f t="shared" si="234"/>
        <v>0.06</v>
      </c>
      <c r="AJ595" s="2">
        <f t="shared" si="235"/>
        <v>0.66666666666666663</v>
      </c>
      <c r="AK595" s="2">
        <f t="shared" si="236"/>
        <v>2</v>
      </c>
      <c r="AL595" s="2">
        <f t="shared" si="237"/>
        <v>0</v>
      </c>
      <c r="AM595" s="2">
        <f t="shared" si="238"/>
        <v>0</v>
      </c>
      <c r="AN595" s="2">
        <f t="shared" si="239"/>
        <v>0</v>
      </c>
      <c r="AO595" s="3">
        <f t="shared" si="240"/>
        <v>58.4</v>
      </c>
      <c r="AP595">
        <f t="shared" si="241"/>
        <v>55.2</v>
      </c>
      <c r="AQ595">
        <f t="shared" si="242"/>
        <v>58.699999999999996</v>
      </c>
      <c r="AR595">
        <f t="shared" si="243"/>
        <v>54</v>
      </c>
      <c r="AS595" s="2">
        <f t="shared" si="244"/>
        <v>33.333333333333329</v>
      </c>
      <c r="AT595" s="2">
        <f>IFERROR(INDEX(Player_Model!$BC$2:$BC$596,MATCH($A595,Player_Model!$A$2:$A$596,0)),0)</f>
        <v>4.7029776440792741</v>
      </c>
      <c r="AU595" s="2">
        <f>Table8[[#This Row],[Model Expected Points]]*Table8[[#This Row],[Fixture Adjustment]]</f>
        <v>4.5775191023979191</v>
      </c>
      <c r="AV595" s="2">
        <f>Table8[[#This Row],[Fixture Adjusted Points / 90]]/Table8[[#This Row],[Price]]</f>
        <v>0.77585069532168116</v>
      </c>
      <c r="AW595">
        <f t="shared" si="245"/>
        <v>55.2</v>
      </c>
      <c r="AX595">
        <f t="shared" si="246"/>
        <v>0.98666179693206724</v>
      </c>
      <c r="AY595" s="2">
        <f t="shared" si="247"/>
        <v>33.333333333333329</v>
      </c>
      <c r="AZ595" s="5">
        <f t="shared" si="248"/>
        <v>0.97332359386413447</v>
      </c>
      <c r="BA595">
        <f>Table8[[#This Row],[Model Score2]]</f>
        <v>4.7029776440792741</v>
      </c>
      <c r="BB595">
        <f>IFERROR(INDEX(Player_Model!$BG$2:$BG$596,MATCH($A595,Player_Model!$A$2:$A$596,0)),"")</f>
        <v>42</v>
      </c>
      <c r="BC595" t="str">
        <f t="shared" si="249"/>
        <v>AVOID</v>
      </c>
      <c r="BD595">
        <f>IF(H595=1,Table8[[#This Row],[Model Score]],-10000)</f>
        <v>4.7029776440792741</v>
      </c>
      <c r="BE595">
        <f>IFERROR(INDEX(Player_Model!$BF$2:$BF$596,MATCH($A595,Player_Model!$A$2:$A$596,0)),"")</f>
        <v>114</v>
      </c>
      <c r="BF595">
        <f>IFERROR(INDEX(Player_Model!$BG$2:$BG$596,MATCH($A595,Player_Model!$A$2:$A$596,0)),"")</f>
        <v>42</v>
      </c>
      <c r="BG595">
        <f>IFERROR(INDEX(Player_Model!$BE$2:$BE$596,MATCH($A595,Player_Model!$A$2:$A$596,0)),0)</f>
        <v>4.7029776440792741</v>
      </c>
    </row>
    <row r="596" spans="1:59" x14ac:dyDescent="0.25">
      <c r="A596" t="str">
        <f>tblPlayers[first_name]&amp;" "&amp;tblPlayers[second_name]</f>
        <v>Pedro Porro Sauceda</v>
      </c>
      <c r="B596" t="str">
        <f>_xlfn.SWITCH(tblPlayers[element_type],1,"GK",2,"DEF",3,"MID",4,"FWD")</f>
        <v>DEF</v>
      </c>
      <c r="C596">
        <f>tblPlayers[team]</f>
        <v>19</v>
      </c>
      <c r="D596" t="str">
        <f>INDEX(tblTeams[Column1.short_name],MATCH(C596,tblTeams[Column1.id],0))</f>
        <v>TOT</v>
      </c>
      <c r="E596" s="4">
        <f>INDEX(FPL_Raw_Data!$F:$F,MATCH(A596,FPL_Raw_Data!$AA:$AA,0))/10</f>
        <v>5.5</v>
      </c>
      <c r="F596" s="4" t="str">
        <f>tblPlayers[[#This Row],[status]]</f>
        <v>a</v>
      </c>
      <c r="G596" s="4" t="b">
        <f>tblPlayers[[#This Row],[can_select]]</f>
        <v>1</v>
      </c>
      <c r="H596">
        <f>IF(AND(Table8[[#This Row],[Availability Status]]="a",Table8[[#This Row],[Can Select]]=TRUE),1,0)</f>
        <v>1</v>
      </c>
      <c r="I596">
        <f>tblPlayers[minutes]</f>
        <v>180</v>
      </c>
      <c r="J596" s="2">
        <f>Table8[[#This Row],[Minutes]]/90</f>
        <v>2</v>
      </c>
      <c r="K596" s="5">
        <f>IFERROR(Z596/(FIXTURE_ANALYSIS!$B$1-1),0)</f>
        <v>0.66666666666666663</v>
      </c>
      <c r="L596">
        <f>tblPlayers[total_points]</f>
        <v>8</v>
      </c>
      <c r="M596">
        <f>tblPlayers[points_per_game]</f>
        <v>4</v>
      </c>
      <c r="N596">
        <f>tblPlayers[form]</f>
        <v>2.7</v>
      </c>
      <c r="O596">
        <f>tblPlayers[expected_goals]</f>
        <v>0.36</v>
      </c>
      <c r="P596">
        <f>tblPlayers[expected_assists]</f>
        <v>0.16</v>
      </c>
      <c r="Q596">
        <f>tblPlayers[expected_goal_involvements]</f>
        <v>0.52</v>
      </c>
      <c r="R596" s="2">
        <f t="shared" si="225"/>
        <v>4</v>
      </c>
      <c r="S596" s="5">
        <f t="shared" si="226"/>
        <v>0.18</v>
      </c>
      <c r="T596" s="5">
        <f t="shared" si="227"/>
        <v>0.08</v>
      </c>
      <c r="U596" s="5">
        <f t="shared" si="228"/>
        <v>0.26</v>
      </c>
      <c r="V596" s="3">
        <f t="shared" si="229"/>
        <v>1.4545454545454546</v>
      </c>
      <c r="W596" s="5">
        <f t="shared" si="230"/>
        <v>9.4545454545454544E-2</v>
      </c>
      <c r="X596" s="5">
        <f>IFERROR(IF(OR($B596="MID",$B596="FWD"),INDEX(FIXTURE_ANALYSIS!$Q:$Q,MATCH($D596,FIXTURE_ANALYSIS!$A:$A,0)),INDEX(FIXTURE_ANALYSIS!$R:$R,MATCH($D596,FIXTURE_ANALYSIS!$A:$A,0))),1)</f>
        <v>0.97332359386413447</v>
      </c>
      <c r="Y596" s="5">
        <f t="shared" si="231"/>
        <v>0.97332359386413447</v>
      </c>
      <c r="Z596" s="8">
        <f>INDEX(FPL_Raw_Data!$T:$T,MATCH(A596,FPL_Raw_Data!$AA:$AA,0))</f>
        <v>2</v>
      </c>
      <c r="AA596" s="8">
        <f>INDEX(FPL_Raw_Data!$S:$S,MATCH(A596,FPL_Raw_Data!$AA:$AA,0))</f>
        <v>8</v>
      </c>
      <c r="AB596" s="2">
        <f t="shared" si="232"/>
        <v>0.8</v>
      </c>
      <c r="AC596" s="2">
        <f>INDEX(FPL_Raw_Data!$Q:$Q,MATCH(A596,FPL_Raw_Data!$AA:$AA,0))</f>
        <v>1</v>
      </c>
      <c r="AD596" s="8">
        <f>INDEX(FPL_Raw_Data!$R:$R,MATCH(A596,FPL_Raw_Data!$AA:$AA,0))</f>
        <v>29</v>
      </c>
      <c r="AE596" s="8">
        <f>INDEX(FPL_Raw_Data!$N:$N,MATCH(A596,FPL_Raw_Data!$AA:$AA,0))</f>
        <v>1</v>
      </c>
      <c r="AF596" s="8">
        <f>INDEX(FPL_Raw_Data!$L:$L,MATCH(A596,FPL_Raw_Data!$AA:$AA,0))</f>
        <v>0</v>
      </c>
      <c r="AG596" s="2">
        <f>INDEX(FPL_Raw_Data!$M:$M,MATCH(A596,FPL_Raw_Data!$AA:$AA,0))</f>
        <v>0</v>
      </c>
      <c r="AH596" s="2">
        <f t="shared" si="233"/>
        <v>1.08</v>
      </c>
      <c r="AI596" s="2">
        <f t="shared" si="234"/>
        <v>0.24</v>
      </c>
      <c r="AJ596" s="2">
        <f t="shared" si="235"/>
        <v>1.3333333333333333</v>
      </c>
      <c r="AK596" s="2">
        <f t="shared" si="236"/>
        <v>1.6</v>
      </c>
      <c r="AL596" s="2">
        <f t="shared" si="237"/>
        <v>0.5</v>
      </c>
      <c r="AM596" s="2">
        <f t="shared" si="238"/>
        <v>2</v>
      </c>
      <c r="AN596" s="2">
        <f t="shared" si="239"/>
        <v>0.5</v>
      </c>
      <c r="AO596" s="3">
        <f t="shared" si="240"/>
        <v>69.3</v>
      </c>
      <c r="AP596">
        <f t="shared" si="241"/>
        <v>81.100000000000009</v>
      </c>
      <c r="AQ596">
        <f t="shared" si="242"/>
        <v>77.2</v>
      </c>
      <c r="AR596">
        <f t="shared" si="243"/>
        <v>83.3</v>
      </c>
      <c r="AS596" s="2">
        <f t="shared" si="244"/>
        <v>66.666666666666657</v>
      </c>
      <c r="AT596" s="2">
        <f>IFERROR(INDEX(Player_Model!$BC$2:$BC$596,MATCH($A596,Player_Model!$A$2:$A$596,0)),0)</f>
        <v>4.8752311687284582</v>
      </c>
      <c r="AU596" s="2">
        <f>Table8[[#This Row],[Model Expected Points]]*Table8[[#This Row],[Fixture Adjustment]]</f>
        <v>4.7451775220652275</v>
      </c>
      <c r="AV596" s="2">
        <f>Table8[[#This Row],[Fixture Adjusted Points / 90]]/Table8[[#This Row],[Price]]</f>
        <v>0.86275954946640498</v>
      </c>
      <c r="AW596">
        <f t="shared" si="245"/>
        <v>81.100000000000009</v>
      </c>
      <c r="AX596">
        <f t="shared" si="246"/>
        <v>0.88666179693206726</v>
      </c>
      <c r="AY596" s="2">
        <f t="shared" si="247"/>
        <v>66.666666666666657</v>
      </c>
      <c r="AZ596" s="5">
        <f t="shared" si="248"/>
        <v>0.97332359386413447</v>
      </c>
      <c r="BA596">
        <f>Table8[[#This Row],[Model Score2]]</f>
        <v>4.8752311687284582</v>
      </c>
      <c r="BB596">
        <f>IFERROR(INDEX(Player_Model!$BG$2:$BG$596,MATCH($A596,Player_Model!$A$2:$A$596,0)),"")</f>
        <v>39</v>
      </c>
      <c r="BC596" t="str">
        <f t="shared" si="249"/>
        <v>AVOID</v>
      </c>
      <c r="BD596">
        <f>IF(H596=1,Table8[[#This Row],[Model Score]],-10000)</f>
        <v>4.8752311687284582</v>
      </c>
      <c r="BE596">
        <f>IFERROR(INDEX(Player_Model!$BF$2:$BF$596,MATCH($A596,Player_Model!$A$2:$A$596,0)),"")</f>
        <v>103</v>
      </c>
      <c r="BF596">
        <f>IFERROR(INDEX(Player_Model!$BG$2:$BG$596,MATCH($A596,Player_Model!$A$2:$A$596,0)),"")</f>
        <v>39</v>
      </c>
      <c r="BG596">
        <f>IFERROR(INDEX(Player_Model!$BE$2:$BE$596,MATCH($A596,Player_Model!$A$2:$A$596,0)),0)</f>
        <v>4.8752311687284582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7275-4C91-4838-917E-FC792D1FA774}">
  <dimension ref="A1:BG596"/>
  <sheetViews>
    <sheetView topLeftCell="AY1" workbookViewId="0">
      <selection activeCell="BC2" sqref="BC2"/>
    </sheetView>
  </sheetViews>
  <sheetFormatPr defaultRowHeight="15" x14ac:dyDescent="0.25"/>
  <cols>
    <col min="1" max="1" width="34" customWidth="1"/>
    <col min="3" max="3" width="10.42578125" customWidth="1"/>
    <col min="4" max="4" width="9.140625" style="13"/>
    <col min="5" max="5" width="10.5703125" customWidth="1"/>
    <col min="7" max="7" width="9.28515625" style="17" customWidth="1"/>
    <col min="8" max="8" width="19.140625" customWidth="1"/>
    <col min="15" max="15" width="11.5703125" customWidth="1"/>
    <col min="17" max="17" width="9.28515625" customWidth="1"/>
    <col min="19" max="21" width="11.5703125" bestFit="1" customWidth="1"/>
    <col min="22" max="24" width="11.42578125" bestFit="1" customWidth="1"/>
    <col min="25" max="27" width="17.140625" bestFit="1" customWidth="1"/>
    <col min="28" max="28" width="17.7109375" bestFit="1" customWidth="1"/>
    <col min="29" max="29" width="17.5703125" bestFit="1" customWidth="1"/>
    <col min="30" max="30" width="30.28515625" bestFit="1" customWidth="1"/>
    <col min="31" max="31" width="19.28515625" bestFit="1" customWidth="1"/>
    <col min="32" max="32" width="14.85546875" bestFit="1" customWidth="1"/>
    <col min="33" max="33" width="18.28515625" bestFit="1" customWidth="1"/>
    <col min="34" max="34" width="18.28515625" customWidth="1"/>
    <col min="35" max="35" width="21.5703125" bestFit="1" customWidth="1"/>
    <col min="36" max="36" width="20.42578125" bestFit="1" customWidth="1"/>
    <col min="37" max="37" width="16" bestFit="1" customWidth="1"/>
    <col min="38" max="38" width="14.28515625" bestFit="1" customWidth="1"/>
    <col min="39" max="39" width="14.140625" bestFit="1" customWidth="1"/>
    <col min="40" max="40" width="17" bestFit="1" customWidth="1"/>
    <col min="41" max="41" width="18" bestFit="1" customWidth="1"/>
    <col min="42" max="42" width="22.28515625" bestFit="1" customWidth="1"/>
    <col min="43" max="43" width="23.28515625" bestFit="1" customWidth="1"/>
    <col min="44" max="44" width="29" bestFit="1" customWidth="1"/>
    <col min="45" max="45" width="29" customWidth="1"/>
    <col min="46" max="46" width="20.5703125" bestFit="1" customWidth="1"/>
    <col min="47" max="47" width="23.7109375" bestFit="1" customWidth="1"/>
    <col min="48" max="48" width="17" bestFit="1" customWidth="1"/>
    <col min="49" max="49" width="22.28515625" bestFit="1" customWidth="1"/>
    <col min="50" max="50" width="23.7109375" customWidth="1"/>
    <col min="51" max="51" width="20.7109375" bestFit="1" customWidth="1"/>
    <col min="52" max="52" width="21.5703125" bestFit="1" customWidth="1"/>
    <col min="53" max="53" width="21.7109375" bestFit="1" customWidth="1"/>
    <col min="54" max="54" width="20.7109375" bestFit="1" customWidth="1"/>
    <col min="55" max="55" width="24.42578125" bestFit="1" customWidth="1"/>
    <col min="56" max="56" width="28.140625" bestFit="1" customWidth="1"/>
    <col min="57" max="57" width="14.42578125" bestFit="1" customWidth="1"/>
    <col min="58" max="58" width="13.85546875" bestFit="1" customWidth="1"/>
    <col min="59" max="59" width="15.42578125" bestFit="1" customWidth="1"/>
  </cols>
  <sheetData>
    <row r="1" spans="1:59" x14ac:dyDescent="0.25">
      <c r="A1" t="s">
        <v>1036</v>
      </c>
      <c r="B1" t="s">
        <v>1041</v>
      </c>
      <c r="C1" t="s">
        <v>1037</v>
      </c>
      <c r="D1" s="13" t="s">
        <v>0</v>
      </c>
      <c r="E1" t="s">
        <v>1039</v>
      </c>
      <c r="F1" t="s">
        <v>1131</v>
      </c>
      <c r="G1" s="17" t="s">
        <v>1123</v>
      </c>
      <c r="H1" t="s">
        <v>1260</v>
      </c>
      <c r="I1" t="s">
        <v>1</v>
      </c>
      <c r="J1" t="s">
        <v>1141</v>
      </c>
      <c r="K1" t="s">
        <v>1261</v>
      </c>
      <c r="L1" t="s">
        <v>1045</v>
      </c>
      <c r="M1" t="s">
        <v>1048</v>
      </c>
      <c r="N1" t="s">
        <v>1262</v>
      </c>
      <c r="O1" t="s">
        <v>1047</v>
      </c>
      <c r="P1" t="s">
        <v>1050</v>
      </c>
      <c r="Q1" t="s">
        <v>1263</v>
      </c>
      <c r="R1" t="s">
        <v>1264</v>
      </c>
      <c r="S1" s="19" t="s">
        <v>2592</v>
      </c>
      <c r="T1" s="19" t="s">
        <v>2593</v>
      </c>
      <c r="U1" s="19" t="s">
        <v>2594</v>
      </c>
      <c r="V1" s="19" t="s">
        <v>2595</v>
      </c>
      <c r="W1" s="19" t="s">
        <v>2596</v>
      </c>
      <c r="X1" s="19" t="s">
        <v>2597</v>
      </c>
      <c r="Y1" t="s">
        <v>2605</v>
      </c>
      <c r="Z1" t="s">
        <v>2606</v>
      </c>
      <c r="AA1" t="s">
        <v>2607</v>
      </c>
      <c r="AB1" t="s">
        <v>2598</v>
      </c>
      <c r="AC1" t="s">
        <v>2599</v>
      </c>
      <c r="AD1" t="s">
        <v>2608</v>
      </c>
      <c r="AE1" t="s">
        <v>2600</v>
      </c>
      <c r="AF1" t="s">
        <v>2793</v>
      </c>
      <c r="AG1" t="s">
        <v>2601</v>
      </c>
      <c r="AH1" t="s">
        <v>2604</v>
      </c>
      <c r="AI1" t="s">
        <v>2602</v>
      </c>
      <c r="AJ1" t="s">
        <v>2603</v>
      </c>
      <c r="AK1" t="s">
        <v>2609</v>
      </c>
      <c r="AL1" s="11" t="s">
        <v>2789</v>
      </c>
      <c r="AM1" t="s">
        <v>2790</v>
      </c>
      <c r="AN1" t="s">
        <v>2791</v>
      </c>
      <c r="AO1" t="s">
        <v>2792</v>
      </c>
      <c r="AP1" s="11" t="s">
        <v>2794</v>
      </c>
      <c r="AQ1" t="s">
        <v>2795</v>
      </c>
      <c r="AR1" t="s">
        <v>2796</v>
      </c>
      <c r="AS1" t="s">
        <v>2797</v>
      </c>
      <c r="AT1" t="s">
        <v>2798</v>
      </c>
      <c r="AU1" t="s">
        <v>2799</v>
      </c>
      <c r="AV1" t="s">
        <v>2814</v>
      </c>
      <c r="AW1" t="s">
        <v>2815</v>
      </c>
      <c r="AX1" t="s">
        <v>2816</v>
      </c>
      <c r="AY1" t="s">
        <v>2817</v>
      </c>
      <c r="AZ1" t="s">
        <v>2800</v>
      </c>
      <c r="BA1" t="s">
        <v>2801</v>
      </c>
      <c r="BB1" t="s">
        <v>1198</v>
      </c>
      <c r="BC1" t="s">
        <v>2802</v>
      </c>
      <c r="BD1" t="s">
        <v>2803</v>
      </c>
      <c r="BE1" t="s">
        <v>2804</v>
      </c>
      <c r="BF1" t="s">
        <v>2805</v>
      </c>
      <c r="BG1" t="s">
        <v>1181</v>
      </c>
    </row>
    <row r="2" spans="1:59" x14ac:dyDescent="0.25">
      <c r="A2" t="str">
        <f>Player_Analysis!A2</f>
        <v>David Raya Martín</v>
      </c>
      <c r="B2">
        <f>Player_Analysis!C2</f>
        <v>1</v>
      </c>
      <c r="C2" t="str">
        <f>Player_Analysis!B2</f>
        <v>GK</v>
      </c>
      <c r="D2" s="13">
        <f>Player_Analysis!E2</f>
        <v>6</v>
      </c>
      <c r="E2">
        <f>Player_Analysis!I2</f>
        <v>270</v>
      </c>
      <c r="F2" s="8">
        <f>Player_Analysis!Z2</f>
        <v>3</v>
      </c>
      <c r="G2" s="17">
        <f>IF(E2=0,0,MIN(1,F2/(E2/90)))</f>
        <v>1</v>
      </c>
      <c r="H2">
        <f t="shared" ref="H2:H65" si="0">IF($E2=0,0,MIN(90,$G2*90))</f>
        <v>90</v>
      </c>
      <c r="I2" s="8">
        <f>Player_Analysis!AF2</f>
        <v>0</v>
      </c>
      <c r="J2" s="8">
        <f>Player_Analysis!AG2</f>
        <v>0</v>
      </c>
      <c r="K2">
        <f>Player_Analysis!O2</f>
        <v>0</v>
      </c>
      <c r="L2">
        <f>Player_Analysis!P2</f>
        <v>0.01</v>
      </c>
      <c r="M2">
        <f>IF(E2=0,"",K2/E2*90)</f>
        <v>0</v>
      </c>
      <c r="N2">
        <f>IF(E2=0,"",L2/E2*90)</f>
        <v>3.3333333333333331E-3</v>
      </c>
      <c r="O2" s="2">
        <f>IF(E2=0,"",Player_Analysis!L2/E2*90)</f>
        <v>5</v>
      </c>
      <c r="P2">
        <f>IF(E2=0,"",Player_Analysis!Q2/E2*90)</f>
        <v>3.3333333333333331E-3</v>
      </c>
      <c r="Q2">
        <f>IF(E2=0,"",(Player_Analysis!AD2/E2)*90)</f>
        <v>20</v>
      </c>
      <c r="R2">
        <f>IF(E2=0,"",Player_Analysis!AA2/E2*90)</f>
        <v>0</v>
      </c>
      <c r="S2" t="str">
        <f t="array" ref="S2">IFERROR(INDEX('2023_24'!$O:$O,MATCH($A2,'2023_24'!$A:$A,0)),"")</f>
        <v/>
      </c>
      <c r="T2" t="str">
        <f>IFERROR(INDEX('2024_25'!$P:$P,MATCH($A2,'2024_25'!$A:$A,0)),"")</f>
        <v/>
      </c>
      <c r="U2">
        <f>IFERROR(INDEX('2025_26'!$P:$P,MATCH($A2,'2025_26'!$A:$A,0)),"")</f>
        <v>0</v>
      </c>
      <c r="V2" t="str">
        <f>IFERROR(INDEX('2023_24'!$P:$P,MATCH($A2,'2023_24'!$A:$A,0)),"")</f>
        <v/>
      </c>
      <c r="W2" t="str">
        <f>IFERROR(INDEX('2024_25'!$Q:$Q,MATCH($A2,'2024_25'!$A:$A,0)),"")</f>
        <v/>
      </c>
      <c r="X2">
        <f>IFERROR(INDEX('2025_26'!$Q:$Q,MATCH($A2,'2025_26'!$A:$A,0)),"")</f>
        <v>1.8918918918918919E-3</v>
      </c>
      <c r="Y2" t="str">
        <f>IFERROR(INDEX('2023_24'!$M:$M,MATCH($A2,'2023_24'!$A:$A,0))/INDEX('2023_24'!$G:$G,MATCH($A2,'2023_24'!$A:$A,0))*90,"")</f>
        <v/>
      </c>
      <c r="Z2" t="str">
        <f>IFERROR(INDEX('2024_25'!$M:$M,MATCH($A2,'2024_25'!$A:$A,0))/INDEX('2024_25'!$G:$G,MATCH($A2,'2024_25'!$A:$A,0))*90,"")</f>
        <v/>
      </c>
      <c r="AA2">
        <f>IFERROR(INDEX('2025_26'!$M:$M,MATCH($A2,'2025_26'!$A:$A,0))/INDEX('2025_26'!$G:$G,MATCH($A2,'2025_26'!$A:$A,0))*90,"")</f>
        <v>4.378378378378379</v>
      </c>
      <c r="AB2">
        <f>IFERROR(SUMPRODUCT(S2:U2,{0.2,0.3,0.5})/SUMPRODUCT(--(S2:U2&lt;&gt;""),{0.2,0.3,0.5}),"")</f>
        <v>0</v>
      </c>
      <c r="AC2">
        <f>IFERROR(SUMPRODUCT(V2:X2,{0.2,0.3,0.5})/SUMPRODUCT(--(V2:X2&lt;&gt;""),{0.2,0.3,0.5}),"")</f>
        <v>1.8918918918918919E-3</v>
      </c>
      <c r="AD2">
        <f>IFERROR(SUMPRODUCT(Y2:AA2,{0.2,0.3,0.5})/SUMPRODUCT((Y2:AA2&lt;&gt;"")*{0.2,0.3,0.5}),O2)</f>
        <v>4.378378378378379</v>
      </c>
      <c r="AE2">
        <f>COUNT(S2:U2)</f>
        <v>1</v>
      </c>
      <c r="AF2">
        <f t="shared" ref="AF2:AF33" si="1">IF(F2=0,"",E2/F2)</f>
        <v>90</v>
      </c>
      <c r="AG2">
        <f t="shared" ref="AG2:AG65" si="2">IF(AND(M2="",AB2=""),0,IF(M2="",AB2,IF(AB2="",M2,M2*AJ2+AB2*(1-AJ2))))</f>
        <v>0</v>
      </c>
      <c r="AH2">
        <f t="shared" ref="AH2:AH65" si="3">IF(AND(N2="",AC2=""),0,IF(N2="",AC2,IF(AC2="",N2,N2*AJ2+AC2*(1-AJ2))))</f>
        <v>3.1891891891891893E-3</v>
      </c>
      <c r="AI2" s="2">
        <f t="shared" ref="AI2:AI65" si="4">IF(AND(O2="",AD2=""),0,IF(O2="",AD2,IF(AD2="",O2,O2*AJ2+AD2*(1-AJ2))))</f>
        <v>4.9378378378378383</v>
      </c>
      <c r="AJ2">
        <f t="shared" ref="AJ2:AJ65" si="5">IF($E2=0,0,MIN(0.9,$E2/300))</f>
        <v>0.9</v>
      </c>
      <c r="AK2" t="str">
        <f t="shared" ref="AK2:AK65" si="6">IF(AE2=0,"YES","NO")</f>
        <v>NO</v>
      </c>
      <c r="AL2" s="9">
        <f>IF($H2=0,0,$AG2*$H2/90)</f>
        <v>0</v>
      </c>
      <c r="AM2">
        <f t="shared" ref="AM2:AM65" si="7">IF($H2=0,0,$AH2*$H2/90)</f>
        <v>3.1891891891891893E-3</v>
      </c>
      <c r="AN2">
        <f t="shared" ref="AN2:AN65" si="8">AL2</f>
        <v>0</v>
      </c>
      <c r="AO2">
        <f t="shared" ref="AO2:AO65" si="9">AM2</f>
        <v>3.1891891891891893E-3</v>
      </c>
      <c r="AP2" s="11">
        <f t="array" ref="AP2">AL2*IF($C2="GKP",10,IF($C2="DEF",6,IF($C2="MID",5,4)))</f>
        <v>0</v>
      </c>
      <c r="AQ2">
        <f t="shared" ref="AQ2:AQ65" si="10">AM2*3</f>
        <v>9.5675675675675684E-3</v>
      </c>
      <c r="AR2">
        <f t="shared" ref="AR2:AR65" si="11">$G2*2</f>
        <v>2</v>
      </c>
      <c r="AS2" s="2">
        <f>IF($H2=0,0,Player_Analysis!$AM2*$H2/90)</f>
        <v>2.6666666666666665</v>
      </c>
      <c r="AT2">
        <f t="shared" ref="AT2:AT65" si="12">IF($H2=0,0,$R2*$H2/90*2/IF(OR($C2="GKP",$C2="DEF"),10,12))</f>
        <v>0</v>
      </c>
      <c r="AU2" s="2">
        <f>0</f>
        <v>0</v>
      </c>
      <c r="AV2" s="2">
        <f>IF(INDEX(FPL_Raw_Data!K:K,MATCH(A2,FPL_Raw_Data!AA:AA,0))=0,"",INDEX(FPL_Raw_Data!P:P,MATCH(A2,FPL_Raw_Data!AA:AA,0))/INDEX(FPL_Raw_Data!K:K,MATCH(A2,FPL_Raw_Data!AA:AA,0))*90)</f>
        <v>1.6666666666666665</v>
      </c>
      <c r="AW2" s="2">
        <f t="shared" ref="AW2:AW65" si="13">IF(AV2="",0,AV2/3)</f>
        <v>0.55555555555555547</v>
      </c>
      <c r="AX2" s="2">
        <f>IFERROR(INDEX(TEAM_ANALYSIS!$H$2:$H$21,MATCH($B2,TEAM_ANALYSIS!$A$2:$A$21,0)),0)</f>
        <v>0.33333333333333331</v>
      </c>
      <c r="AY2" s="2">
        <f t="shared" ref="AY2:AY65" si="14">IF(OR($C2="GKP",$C2="DEF"),-($AX2/2),0)</f>
        <v>0</v>
      </c>
      <c r="AZ2" s="2">
        <f t="shared" ref="AZ2:AZ65" si="15">SUM(AP2:AU2)+AW2+AY2</f>
        <v>5.23178978978979</v>
      </c>
      <c r="BA2">
        <f t="shared" ref="BA2:BA65" si="16">IF($D2=0,0,$AZ2/$D2)</f>
        <v>0.87196496496496501</v>
      </c>
      <c r="BB2">
        <f>IFERROR(Player_Analysis!$Y2,1)</f>
        <v>1.1808551992225462</v>
      </c>
      <c r="BC2">
        <f t="shared" ref="BC2:BC65" si="17">BB2*AZ2</f>
        <v>6.1779861745127054</v>
      </c>
      <c r="BD2">
        <f>BA2*BC2</f>
        <v>5.386987498213009</v>
      </c>
      <c r="BE2">
        <f>BC2</f>
        <v>6.1779861745127054</v>
      </c>
      <c r="BF2">
        <f t="shared" ref="BF2:BF65" si="18">IF($BE2="","",_xlfn.RANK.EQ($BE2,$BE$2:$BE$596,0))</f>
        <v>38</v>
      </c>
      <c r="BG2">
        <f>IF($BE2="","",COUNTIFS($C$2:$C$596,$C2,$BE$2:$BE$596,"&gt;"&amp;$BE2)+COUNTIFS($C$2:$C2,$C2,$BE$2:$BE2,$BE2))</f>
        <v>2</v>
      </c>
    </row>
    <row r="3" spans="1:59" x14ac:dyDescent="0.25">
      <c r="A3" t="str">
        <f>Player_Analysis!A3</f>
        <v>Kepa Arrizabalaga Revuelta</v>
      </c>
      <c r="B3">
        <f>Player_Analysis!C3</f>
        <v>1</v>
      </c>
      <c r="C3" t="str">
        <f>Player_Analysis!B3</f>
        <v>GK</v>
      </c>
      <c r="D3" s="13">
        <f>Player_Analysis!E3</f>
        <v>4.9000000000000004</v>
      </c>
      <c r="E3">
        <f>Player_Analysis!I3</f>
        <v>0</v>
      </c>
      <c r="F3" s="8">
        <f>Player_Analysis!Z3</f>
        <v>0</v>
      </c>
      <c r="G3" s="17">
        <f t="shared" ref="G3:G65" si="19">IF(E3=0,0,MIN(1,F3/(E3/90)))</f>
        <v>0</v>
      </c>
      <c r="H3">
        <f t="shared" si="0"/>
        <v>0</v>
      </c>
      <c r="I3" s="8">
        <f>Player_Analysis!AF3</f>
        <v>0</v>
      </c>
      <c r="J3" s="8">
        <f>Player_Analysis!AG3</f>
        <v>0</v>
      </c>
      <c r="K3">
        <f>Player_Analysis!O3</f>
        <v>0</v>
      </c>
      <c r="L3">
        <f>Player_Analysis!P3</f>
        <v>0</v>
      </c>
      <c r="M3" t="str">
        <f t="shared" ref="M3:M65" si="20">IF(E3=0,"",K3/E3*90)</f>
        <v/>
      </c>
      <c r="N3" t="str">
        <f t="shared" ref="N3:N65" si="21">IF(E3=0,"",L3/E3*90)</f>
        <v/>
      </c>
      <c r="O3" s="2" t="str">
        <f>IF(E3=0,"",Player_Analysis!L3/E3*90)</f>
        <v/>
      </c>
      <c r="P3" t="str">
        <f>IF(E3=0,"",Player_Analysis!Q3/E3*90)</f>
        <v/>
      </c>
      <c r="Q3" t="str">
        <f>IF(E3=0,"",(Player_Analysis!AD3/E3)*90)</f>
        <v/>
      </c>
      <c r="R3" t="str">
        <f>IF(E3=0,"",Player_Analysis!AA3/E3*90)</f>
        <v/>
      </c>
      <c r="S3" t="str">
        <f t="array" ref="S3">IFERROR(INDEX('2023_24'!$O:$O,MATCH($A3,'2023_24'!$A:$A,0)),"")</f>
        <v/>
      </c>
      <c r="T3" t="str">
        <f>IFERROR(INDEX('2024_25'!$P:$P,MATCH($A3,'2024_25'!$A:$A,0)),"")</f>
        <v/>
      </c>
      <c r="U3">
        <f>IFERROR(INDEX('2025_26'!$P:$P,MATCH($A3,'2025_26'!$A:$A,0)),"")</f>
        <v>0</v>
      </c>
      <c r="V3" t="str">
        <f>IFERROR(INDEX('2023_24'!$P:$P,MATCH($A3,'2023_24'!$A:$A,0)),"")</f>
        <v/>
      </c>
      <c r="W3" t="str">
        <f>IFERROR(INDEX('2024_25'!$Q:$Q,MATCH($A3,'2024_25'!$A:$A,0)),"")</f>
        <v/>
      </c>
      <c r="X3">
        <f>IFERROR(INDEX('2025_26'!$Q:$Q,MATCH($A3,'2025_26'!$A:$A,0)),"")</f>
        <v>0</v>
      </c>
      <c r="Y3" t="str">
        <f>IFERROR(INDEX('2023_24'!$M:$M,MATCH($A3,'2023_24'!$A:$A,0))/INDEX('2023_24'!$G:$G,MATCH($A3,'2023_24'!$A:$A,0))*90,"")</f>
        <v/>
      </c>
      <c r="Z3" t="str">
        <f>IFERROR(INDEX('2024_25'!$M:$M,MATCH($A3,'2024_25'!$A:$A,0))/INDEX('2024_25'!$G:$G,MATCH($A3,'2024_25'!$A:$A,0))*90,"")</f>
        <v/>
      </c>
      <c r="AA3">
        <f>IFERROR(INDEX('2025_26'!$M:$M,MATCH($A3,'2025_26'!$A:$A,0))/INDEX('2025_26'!$G:$G,MATCH($A3,'2025_26'!$A:$A,0))*90,"")</f>
        <v>2</v>
      </c>
      <c r="AB3">
        <f>IFERROR(SUMPRODUCT(S3:U3,{0.2,0.3,0.5})/SUMPRODUCT(--(S3:U3&lt;&gt;""),{0.2,0.3,0.5}),"")</f>
        <v>0</v>
      </c>
      <c r="AC3">
        <f>IFERROR(SUMPRODUCT(V3:X3,{0.2,0.3,0.5})/SUMPRODUCT(--(V3:X3&lt;&gt;""),{0.2,0.3,0.5}),"")</f>
        <v>0</v>
      </c>
      <c r="AD3">
        <f>IFERROR(SUMPRODUCT(Y3:AA3,{0.2,0.3,0.5})/SUMPRODUCT((Y3:AA3&lt;&gt;"")*{0.2,0.3,0.5}),O3)</f>
        <v>2</v>
      </c>
      <c r="AE3">
        <f t="shared" ref="AE3:AE65" si="22">COUNT(S3:U3)</f>
        <v>1</v>
      </c>
      <c r="AF3" t="str">
        <f t="shared" si="1"/>
        <v/>
      </c>
      <c r="AG3">
        <f t="shared" si="2"/>
        <v>0</v>
      </c>
      <c r="AH3">
        <f t="shared" si="3"/>
        <v>0</v>
      </c>
      <c r="AI3" s="2">
        <f t="shared" si="4"/>
        <v>2</v>
      </c>
      <c r="AJ3">
        <f t="shared" si="5"/>
        <v>0</v>
      </c>
      <c r="AK3" t="str">
        <f t="shared" si="6"/>
        <v>NO</v>
      </c>
      <c r="AL3">
        <f t="shared" ref="AL3:AL65" si="23">IF($H3=0,0,$AG3*$H3/90)</f>
        <v>0</v>
      </c>
      <c r="AM3">
        <f t="shared" si="7"/>
        <v>0</v>
      </c>
      <c r="AN3">
        <f t="shared" si="8"/>
        <v>0</v>
      </c>
      <c r="AO3">
        <f t="shared" si="9"/>
        <v>0</v>
      </c>
      <c r="AP3">
        <f t="array" ref="AP3">AL3*IF($C3="GKP",10,IF($C3="DEF",6,IF($C3="MID",5,4)))</f>
        <v>0</v>
      </c>
      <c r="AQ3">
        <f t="shared" si="10"/>
        <v>0</v>
      </c>
      <c r="AR3">
        <f t="shared" si="11"/>
        <v>0</v>
      </c>
      <c r="AS3" s="2">
        <f>IF($H3=0,0,Player_Analysis!$AM3*$H3/90)</f>
        <v>0</v>
      </c>
      <c r="AT3">
        <f t="shared" si="12"/>
        <v>0</v>
      </c>
      <c r="AU3" s="2">
        <f>0</f>
        <v>0</v>
      </c>
      <c r="AV3" s="2" t="str">
        <f>IF(INDEX(FPL_Raw_Data!K:K,MATCH(A3,FPL_Raw_Data!AA:AA,0))=0,"",INDEX(FPL_Raw_Data!P:P,MATCH(A3,FPL_Raw_Data!AA:AA,0))/INDEX(FPL_Raw_Data!K:K,MATCH(A3,FPL_Raw_Data!AA:AA,0))*90)</f>
        <v/>
      </c>
      <c r="AW3" s="2">
        <f t="shared" si="13"/>
        <v>0</v>
      </c>
      <c r="AX3" s="2">
        <f>IFERROR(INDEX(TEAM_ANALYSIS!$H$2:$H$21,MATCH($B3,TEAM_ANALYSIS!$A$2:$A$21,0)),0)</f>
        <v>0.33333333333333331</v>
      </c>
      <c r="AY3" s="2">
        <f t="shared" si="14"/>
        <v>0</v>
      </c>
      <c r="AZ3" s="2">
        <f>SUM(AP3:AU3)+AW3+AY3</f>
        <v>0</v>
      </c>
      <c r="BA3">
        <f t="shared" si="16"/>
        <v>0</v>
      </c>
      <c r="BB3">
        <f>IFERROR(Player_Analysis!$Y3,1)</f>
        <v>1.1808551992225462</v>
      </c>
      <c r="BC3">
        <f t="shared" si="17"/>
        <v>0</v>
      </c>
      <c r="BD3">
        <f t="shared" ref="BD2:BD65" si="24">BA3*BC3</f>
        <v>0</v>
      </c>
      <c r="BE3">
        <f t="shared" ref="BE2:BE65" si="25">BC3</f>
        <v>0</v>
      </c>
      <c r="BF3">
        <f t="shared" si="18"/>
        <v>253</v>
      </c>
      <c r="BG3">
        <f>IF($BE3="","",COUNTIFS($C$2:$C$596,$C3,$BE$2:$BE$596,"&gt;"&amp;$BE3)+COUNTIFS($C$2:$C3,$C3,$BE$2:$BE3,$BE3))</f>
        <v>22</v>
      </c>
    </row>
    <row r="4" spans="1:59" x14ac:dyDescent="0.25">
      <c r="A4" t="str">
        <f>Player_Analysis!A4</f>
        <v>Illan Meslier</v>
      </c>
      <c r="B4">
        <f>Player_Analysis!C4</f>
        <v>1</v>
      </c>
      <c r="C4" t="str">
        <f>Player_Analysis!B4</f>
        <v>GK</v>
      </c>
      <c r="D4" s="13">
        <f>Player_Analysis!E4</f>
        <v>4.9000000000000004</v>
      </c>
      <c r="E4">
        <f>Player_Analysis!I4</f>
        <v>0</v>
      </c>
      <c r="F4" s="8">
        <f>Player_Analysis!Z4</f>
        <v>0</v>
      </c>
      <c r="G4" s="17">
        <f t="shared" si="19"/>
        <v>0</v>
      </c>
      <c r="H4">
        <f t="shared" si="0"/>
        <v>0</v>
      </c>
      <c r="I4" s="8">
        <f>Player_Analysis!AF4</f>
        <v>0</v>
      </c>
      <c r="J4" s="8">
        <f>Player_Analysis!AG4</f>
        <v>0</v>
      </c>
      <c r="K4">
        <f>Player_Analysis!O4</f>
        <v>0</v>
      </c>
      <c r="L4">
        <f>Player_Analysis!P4</f>
        <v>0</v>
      </c>
      <c r="M4" t="str">
        <f t="shared" si="20"/>
        <v/>
      </c>
      <c r="N4" t="str">
        <f t="shared" si="21"/>
        <v/>
      </c>
      <c r="O4" s="2" t="str">
        <f>IF(E4=0,"",Player_Analysis!L4/E4*90)</f>
        <v/>
      </c>
      <c r="P4" t="str">
        <f>IF(E4=0,"",Player_Analysis!Q4/E4*90)</f>
        <v/>
      </c>
      <c r="Q4" t="str">
        <f>IF(E4=0,"",(Player_Analysis!AD4/E4)*90)</f>
        <v/>
      </c>
      <c r="R4" t="str">
        <f>IF(E4=0,"",Player_Analysis!AA4/E4*90)</f>
        <v/>
      </c>
      <c r="S4" t="str">
        <f t="array" ref="S4">IFERROR(INDEX('2023_24'!$O:$O,MATCH($A4,'2023_24'!$A:$A,0)),"")</f>
        <v/>
      </c>
      <c r="T4" t="str">
        <f>IFERROR(INDEX('2024_25'!$P:$P,MATCH($A4,'2024_25'!$A:$A,0)),"")</f>
        <v/>
      </c>
      <c r="U4">
        <f>IFERROR(INDEX('2025_26'!$P:$P,MATCH($A4,'2025_26'!$A:$A,0)),"")</f>
        <v>0</v>
      </c>
      <c r="V4" t="str">
        <f>IFERROR(INDEX('2023_24'!$P:$P,MATCH($A4,'2023_24'!$A:$A,0)),"")</f>
        <v/>
      </c>
      <c r="W4" t="str">
        <f>IFERROR(INDEX('2024_25'!$Q:$Q,MATCH($A4,'2024_25'!$A:$A,0)),"")</f>
        <v/>
      </c>
      <c r="X4">
        <f>IFERROR(INDEX('2025_26'!$Q:$Q,MATCH($A4,'2025_26'!$A:$A,0)),"")</f>
        <v>0</v>
      </c>
      <c r="Y4" t="str">
        <f>IFERROR(INDEX('2023_24'!$M:$M,MATCH($A4,'2023_24'!$A:$A,0))/INDEX('2023_24'!$G:$G,MATCH($A4,'2023_24'!$A:$A,0))*90,"")</f>
        <v/>
      </c>
      <c r="Z4" t="str">
        <f>IFERROR(INDEX('2024_25'!$M:$M,MATCH($A4,'2024_25'!$A:$A,0))/INDEX('2024_25'!$G:$G,MATCH($A4,'2024_25'!$A:$A,0))*90,"")</f>
        <v/>
      </c>
      <c r="AA4" t="str">
        <f>IFERROR(INDEX('2025_26'!$M:$M,MATCH($A4,'2025_26'!$A:$A,0))/INDEX('2025_26'!$G:$G,MATCH($A4,'2025_26'!$A:$A,0))*90,"")</f>
        <v/>
      </c>
      <c r="AB4">
        <f>IFERROR(SUMPRODUCT(S4:U4,{0.2,0.3,0.5})/SUMPRODUCT(--(S4:U4&lt;&gt;""),{0.2,0.3,0.5}),"")</f>
        <v>0</v>
      </c>
      <c r="AC4">
        <f>IFERROR(SUMPRODUCT(V4:X4,{0.2,0.3,0.5})/SUMPRODUCT(--(V4:X4&lt;&gt;""),{0.2,0.3,0.5}),"")</f>
        <v>0</v>
      </c>
      <c r="AD4" t="str">
        <f>IFERROR(SUMPRODUCT(Y4:AA4,{0.2,0.3,0.5})/SUMPRODUCT((Y4:AA4&lt;&gt;"")*{0.2,0.3,0.5}),O4)</f>
        <v/>
      </c>
      <c r="AE4">
        <f t="shared" si="22"/>
        <v>1</v>
      </c>
      <c r="AF4" t="str">
        <f t="shared" si="1"/>
        <v/>
      </c>
      <c r="AG4">
        <f t="shared" si="2"/>
        <v>0</v>
      </c>
      <c r="AH4">
        <f t="shared" si="3"/>
        <v>0</v>
      </c>
      <c r="AI4" s="2">
        <f t="shared" si="4"/>
        <v>0</v>
      </c>
      <c r="AJ4">
        <f t="shared" si="5"/>
        <v>0</v>
      </c>
      <c r="AK4" t="str">
        <f t="shared" si="6"/>
        <v>NO</v>
      </c>
      <c r="AL4">
        <f t="shared" si="23"/>
        <v>0</v>
      </c>
      <c r="AM4">
        <f t="shared" si="7"/>
        <v>0</v>
      </c>
      <c r="AN4">
        <f t="shared" si="8"/>
        <v>0</v>
      </c>
      <c r="AO4">
        <f t="shared" si="9"/>
        <v>0</v>
      </c>
      <c r="AP4">
        <f t="array" ref="AP4">AL4*IF($C4="GKP",10,IF($C4="DEF",6,IF($C4="MID",5,4)))</f>
        <v>0</v>
      </c>
      <c r="AQ4">
        <f t="shared" si="10"/>
        <v>0</v>
      </c>
      <c r="AR4">
        <f t="shared" si="11"/>
        <v>0</v>
      </c>
      <c r="AS4" s="2">
        <f>IF($H4=0,0,Player_Analysis!$AM4*$H4/90)</f>
        <v>0</v>
      </c>
      <c r="AT4">
        <f t="shared" si="12"/>
        <v>0</v>
      </c>
      <c r="AU4" s="2">
        <f>0</f>
        <v>0</v>
      </c>
      <c r="AV4" s="2" t="str">
        <f>IF(INDEX(FPL_Raw_Data!K:K,MATCH(A4,FPL_Raw_Data!AA:AA,0))=0,"",INDEX(FPL_Raw_Data!P:P,MATCH(A4,FPL_Raw_Data!AA:AA,0))/INDEX(FPL_Raw_Data!K:K,MATCH(A4,FPL_Raw_Data!AA:AA,0))*90)</f>
        <v/>
      </c>
      <c r="AW4" s="2">
        <f t="shared" si="13"/>
        <v>0</v>
      </c>
      <c r="AX4" s="2">
        <f>IFERROR(INDEX(TEAM_ANALYSIS!$H$2:$H$21,MATCH($B4,TEAM_ANALYSIS!$A$2:$A$21,0)),0)</f>
        <v>0.33333333333333331</v>
      </c>
      <c r="AY4" s="2">
        <f t="shared" si="14"/>
        <v>0</v>
      </c>
      <c r="AZ4" s="2">
        <f t="shared" si="15"/>
        <v>0</v>
      </c>
      <c r="BA4">
        <f t="shared" si="16"/>
        <v>0</v>
      </c>
      <c r="BB4">
        <f>IFERROR(Player_Analysis!$Y4,1)</f>
        <v>1.1808551992225462</v>
      </c>
      <c r="BC4">
        <f t="shared" si="17"/>
        <v>0</v>
      </c>
      <c r="BD4">
        <f t="shared" si="24"/>
        <v>0</v>
      </c>
      <c r="BE4">
        <f t="shared" si="25"/>
        <v>0</v>
      </c>
      <c r="BF4">
        <f t="shared" si="18"/>
        <v>253</v>
      </c>
      <c r="BG4">
        <f>IF($BE4="","",COUNTIFS($C$2:$C$596,$C4,$BE$2:$BE$596,"&gt;"&amp;$BE4)+COUNTIFS($C$2:$C4,$C4,$BE$2:$BE4,$BE4))</f>
        <v>23</v>
      </c>
    </row>
    <row r="5" spans="1:59" x14ac:dyDescent="0.25">
      <c r="A5" t="str">
        <f>Player_Analysis!A5</f>
        <v>Gabriel dos Santos Magalhães</v>
      </c>
      <c r="B5">
        <f>Player_Analysis!C5</f>
        <v>1</v>
      </c>
      <c r="C5" t="str">
        <f>Player_Analysis!B5</f>
        <v>DEF</v>
      </c>
      <c r="D5" s="13">
        <f>Player_Analysis!E5</f>
        <v>8</v>
      </c>
      <c r="E5">
        <f>Player_Analysis!I5</f>
        <v>270</v>
      </c>
      <c r="F5" s="8">
        <f>Player_Analysis!Z5</f>
        <v>3</v>
      </c>
      <c r="G5" s="17">
        <f t="shared" si="19"/>
        <v>1</v>
      </c>
      <c r="H5">
        <f t="shared" si="0"/>
        <v>90</v>
      </c>
      <c r="I5" s="8">
        <f>Player_Analysis!AF5</f>
        <v>0</v>
      </c>
      <c r="J5" s="8">
        <f>Player_Analysis!AG5</f>
        <v>0</v>
      </c>
      <c r="K5">
        <f>Player_Analysis!O5</f>
        <v>0.49</v>
      </c>
      <c r="L5">
        <f>Player_Analysis!P5</f>
        <v>0.05</v>
      </c>
      <c r="M5">
        <f t="shared" si="20"/>
        <v>0.16333333333333333</v>
      </c>
      <c r="N5">
        <f t="shared" si="21"/>
        <v>1.666666666666667E-2</v>
      </c>
      <c r="O5" s="2">
        <f>IF(E5=0,"",Player_Analysis!L5/E5*90)</f>
        <v>5</v>
      </c>
      <c r="P5">
        <f>IF(E5=0,"",Player_Analysis!Q5/E5*90)</f>
        <v>0.18</v>
      </c>
      <c r="Q5">
        <f>IF(E5=0,"",(Player_Analysis!AD5/E5)*90)</f>
        <v>18</v>
      </c>
      <c r="R5">
        <f>IF(E5=0,"",Player_Analysis!AA5/E5*90)</f>
        <v>7</v>
      </c>
      <c r="S5">
        <f t="array" ref="S5">IFERROR(INDEX('2023_24'!$O:$O,MATCH($A5,'2023_24'!$A:$A,0)),"")</f>
        <v>0.13254437869822486</v>
      </c>
      <c r="T5">
        <f>IFERROR(INDEX('2024_25'!$P:$P,MATCH($A5,'2024_25'!$A:$A,0)),"")</f>
        <v>0.10283537875581888</v>
      </c>
      <c r="U5">
        <f>IFERROR(INDEX('2025_26'!$P:$P,MATCH($A5,'2025_26'!$A:$A,0)),"")</f>
        <v>9.6218181818181814E-2</v>
      </c>
      <c r="V5">
        <f>IFERROR(INDEX('2023_24'!$P:$P,MATCH($A5,'2023_24'!$A:$A,0)),"")</f>
        <v>1.9230769230769232E-2</v>
      </c>
      <c r="W5">
        <f>IFERROR(INDEX('2024_25'!$Q:$Q,MATCH($A5,'2024_25'!$A:$A,0)),"")</f>
        <v>4.6085484553533645E-2</v>
      </c>
      <c r="X5">
        <f>IFERROR(INDEX('2025_26'!$Q:$Q,MATCH($A5,'2025_26'!$A:$A,0)),"")</f>
        <v>5.7272727272727274E-2</v>
      </c>
      <c r="Y5">
        <f>IFERROR(INDEX('2023_24'!$M:$M,MATCH($A5,'2023_24'!$A:$A,0))/INDEX('2023_24'!$G:$G,MATCH($A5,'2023_24'!$A:$A,0))*90,"")</f>
        <v>4.4082840236686396</v>
      </c>
      <c r="Z5">
        <f>IFERROR(INDEX('2024_25'!$M:$M,MATCH($A5,'2024_25'!$A:$A,0))/INDEX('2024_25'!$G:$G,MATCH($A5,'2024_25'!$A:$A,0))*90,"")</f>
        <v>4.4561997460854839</v>
      </c>
      <c r="AA5">
        <f>IFERROR(INDEX('2025_26'!$M:$M,MATCH($A5,'2025_26'!$A:$A,0))/INDEX('2025_26'!$G:$G,MATCH($A5,'2025_26'!$A:$A,0))*90,"")</f>
        <v>6.84</v>
      </c>
      <c r="AB5">
        <f>IFERROR(SUMPRODUCT(S5:U5,{0.2,0.3,0.5})/SUMPRODUCT(--(S5:U5&lt;&gt;""),{0.2,0.3,0.5}),"")</f>
        <v>0.10546858027548155</v>
      </c>
      <c r="AC5">
        <f>IFERROR(SUMPRODUCT(V5:X5,{0.2,0.3,0.5})/SUMPRODUCT(--(V5:X5&lt;&gt;""),{0.2,0.3,0.5}),"")</f>
        <v>4.6308162848577576E-2</v>
      </c>
      <c r="AD5">
        <f>IFERROR(SUMPRODUCT(Y5:AA5,{0.2,0.3,0.5})/SUMPRODUCT((Y5:AA5&lt;&gt;"")*{0.2,0.3,0.5}),O5)</f>
        <v>5.6385167285593729</v>
      </c>
      <c r="AE5">
        <f t="shared" si="22"/>
        <v>3</v>
      </c>
      <c r="AF5">
        <f t="shared" si="1"/>
        <v>90</v>
      </c>
      <c r="AG5">
        <f t="shared" si="2"/>
        <v>0.15754685802754814</v>
      </c>
      <c r="AH5">
        <f t="shared" si="3"/>
        <v>1.9630816284857758E-2</v>
      </c>
      <c r="AI5" s="2">
        <f t="shared" si="4"/>
        <v>5.0638516728559368</v>
      </c>
      <c r="AJ5">
        <f t="shared" si="5"/>
        <v>0.9</v>
      </c>
      <c r="AK5" t="str">
        <f t="shared" si="6"/>
        <v>NO</v>
      </c>
      <c r="AL5">
        <f t="shared" si="23"/>
        <v>0.15754685802754814</v>
      </c>
      <c r="AM5">
        <f t="shared" si="7"/>
        <v>1.9630816284857758E-2</v>
      </c>
      <c r="AN5">
        <f t="shared" si="8"/>
        <v>0.15754685802754814</v>
      </c>
      <c r="AO5">
        <f t="shared" si="9"/>
        <v>1.9630816284857758E-2</v>
      </c>
      <c r="AP5">
        <f t="array" ref="AP5">AL5*IF($C5="GKP",10,IF($C5="DEF",6,IF($C5="MID",5,4)))</f>
        <v>0.94528114816528885</v>
      </c>
      <c r="AQ5">
        <f t="shared" si="10"/>
        <v>5.8892448854573273E-2</v>
      </c>
      <c r="AR5">
        <f t="shared" si="11"/>
        <v>2</v>
      </c>
      <c r="AS5" s="2">
        <f>IF($H5=0,0,Player_Analysis!$AM5*$H5/90)</f>
        <v>2.6666666666666665</v>
      </c>
      <c r="AT5">
        <f t="shared" si="12"/>
        <v>1.4</v>
      </c>
      <c r="AU5" s="2">
        <f>0</f>
        <v>0</v>
      </c>
      <c r="AV5" s="2">
        <f>IF(INDEX(FPL_Raw_Data!K:K,MATCH(A5,FPL_Raw_Data!AA:AA,0))=0,"",INDEX(FPL_Raw_Data!P:P,MATCH(A5,FPL_Raw_Data!AA:AA,0))/INDEX(FPL_Raw_Data!K:K,MATCH(A5,FPL_Raw_Data!AA:AA,0))*90)</f>
        <v>0</v>
      </c>
      <c r="AW5" s="2">
        <f t="shared" si="13"/>
        <v>0</v>
      </c>
      <c r="AX5" s="2">
        <f>IFERROR(INDEX(TEAM_ANALYSIS!$H$2:$H$21,MATCH($B5,TEAM_ANALYSIS!$A$2:$A$21,0)),0)</f>
        <v>0.33333333333333331</v>
      </c>
      <c r="AY5" s="2">
        <f t="shared" si="14"/>
        <v>-0.16666666666666666</v>
      </c>
      <c r="AZ5" s="2">
        <f t="shared" si="15"/>
        <v>6.9041735970198621</v>
      </c>
      <c r="BA5">
        <f t="shared" si="16"/>
        <v>0.86302169962748276</v>
      </c>
      <c r="BB5">
        <f>IFERROR(Player_Analysis!$Y5,1)</f>
        <v>1.1808551992225462</v>
      </c>
      <c r="BC5">
        <f t="shared" si="17"/>
        <v>8.1528292883759335</v>
      </c>
      <c r="BD5">
        <f t="shared" si="24"/>
        <v>7.036068589226919</v>
      </c>
      <c r="BE5">
        <f t="shared" si="25"/>
        <v>8.1528292883759335</v>
      </c>
      <c r="BF5">
        <f t="shared" si="18"/>
        <v>7</v>
      </c>
      <c r="BG5">
        <f>IF($BE5="","",COUNTIFS($C$2:$C$596,$C5,$BE$2:$BE$596,"&gt;"&amp;$BE5)+COUNTIFS($C$2:$C5,$C5,$BE$2:$BE5,$BE5))</f>
        <v>6</v>
      </c>
    </row>
    <row r="6" spans="1:59" x14ac:dyDescent="0.25">
      <c r="A6" t="str">
        <f>Player_Analysis!A6</f>
        <v>Jurriën Timber</v>
      </c>
      <c r="B6">
        <f>Player_Analysis!C6</f>
        <v>1</v>
      </c>
      <c r="C6" t="str">
        <f>Player_Analysis!B6</f>
        <v>DEF</v>
      </c>
      <c r="D6" s="13">
        <f>Player_Analysis!E6</f>
        <v>6.5</v>
      </c>
      <c r="E6">
        <f>Player_Analysis!I6</f>
        <v>0</v>
      </c>
      <c r="F6" s="8">
        <f>Player_Analysis!Z6</f>
        <v>0</v>
      </c>
      <c r="G6" s="17">
        <f t="shared" si="19"/>
        <v>0</v>
      </c>
      <c r="H6">
        <f t="shared" si="0"/>
        <v>0</v>
      </c>
      <c r="I6" s="8">
        <f>Player_Analysis!AF6</f>
        <v>0</v>
      </c>
      <c r="J6" s="8">
        <f>Player_Analysis!AG6</f>
        <v>0</v>
      </c>
      <c r="K6">
        <f>Player_Analysis!O6</f>
        <v>0</v>
      </c>
      <c r="L6">
        <f>Player_Analysis!P6</f>
        <v>0</v>
      </c>
      <c r="M6" t="str">
        <f t="shared" si="20"/>
        <v/>
      </c>
      <c r="N6" t="str">
        <f t="shared" si="21"/>
        <v/>
      </c>
      <c r="O6" s="2" t="str">
        <f>IF(E6=0,"",Player_Analysis!L6/E6*90)</f>
        <v/>
      </c>
      <c r="P6" t="str">
        <f>IF(E6=0,"",Player_Analysis!Q6/E6*90)</f>
        <v/>
      </c>
      <c r="Q6" t="str">
        <f>IF(E6=0,"",(Player_Analysis!AD6/E6)*90)</f>
        <v/>
      </c>
      <c r="R6" t="str">
        <f>IF(E6=0,"",Player_Analysis!AA6/E6*90)</f>
        <v/>
      </c>
      <c r="S6">
        <f t="array" ref="S6">IFERROR(INDEX('2023_24'!$O:$O,MATCH($A6,'2023_24'!$A:$A,0)),"")</f>
        <v>0</v>
      </c>
      <c r="T6">
        <f>IFERROR(INDEX('2024_25'!$P:$P,MATCH($A6,'2024_25'!$A:$A,0)),"")</f>
        <v>4.5838509316770186E-2</v>
      </c>
      <c r="U6">
        <f>IFERROR(INDEX('2025_26'!$P:$P,MATCH($A6,'2025_26'!$A:$A,0)),"")</f>
        <v>0.17287928221859708</v>
      </c>
      <c r="V6">
        <f>IFERROR(INDEX('2023_24'!$P:$P,MATCH($A6,'2023_24'!$A:$A,0)),"")</f>
        <v>2.5714285714285717E-2</v>
      </c>
      <c r="W6">
        <f>IFERROR(INDEX('2024_25'!$Q:$Q,MATCH($A6,'2024_25'!$A:$A,0)),"")</f>
        <v>4.8447204968944106E-2</v>
      </c>
      <c r="X6">
        <f>IFERROR(INDEX('2025_26'!$Q:$Q,MATCH($A6,'2025_26'!$A:$A,0)),"")</f>
        <v>5.6158238172920066E-2</v>
      </c>
      <c r="Y6">
        <f>IFERROR(INDEX('2023_24'!$M:$M,MATCH($A6,'2023_24'!$A:$A,0))/INDEX('2023_24'!$G:$G,MATCH($A6,'2023_24'!$A:$A,0))*90,"")</f>
        <v>0</v>
      </c>
      <c r="Z6">
        <f>IFERROR(INDEX('2024_25'!$M:$M,MATCH($A6,'2024_25'!$A:$A,0))/INDEX('2024_25'!$G:$G,MATCH($A6,'2024_25'!$A:$A,0))*90,"")</f>
        <v>4.2484472049689446</v>
      </c>
      <c r="AA6">
        <f>IFERROR(INDEX('2025_26'!$M:$M,MATCH($A6,'2025_26'!$A:$A,0))/INDEX('2025_26'!$G:$G,MATCH($A6,'2025_26'!$A:$A,0))*90,"")</f>
        <v>5.4690048939641116</v>
      </c>
      <c r="AB6">
        <f>IFERROR(SUMPRODUCT(S6:U6,{0.2,0.3,0.5})/SUMPRODUCT(--(S6:U6&lt;&gt;""),{0.2,0.3,0.5}),"")</f>
        <v>0.1001911939043296</v>
      </c>
      <c r="AC6">
        <f>IFERROR(SUMPRODUCT(V6:X6,{0.2,0.3,0.5})/SUMPRODUCT(--(V6:X6&lt;&gt;""),{0.2,0.3,0.5}),"")</f>
        <v>4.7756137720000411E-2</v>
      </c>
      <c r="AD6">
        <f>IFERROR(SUMPRODUCT(Y6:AA6,{0.2,0.3,0.5})/SUMPRODUCT((Y6:AA6&lt;&gt;"")*{0.2,0.3,0.5}),O6)</f>
        <v>4.0090366084727389</v>
      </c>
      <c r="AE6">
        <f t="shared" si="22"/>
        <v>3</v>
      </c>
      <c r="AF6" t="str">
        <f t="shared" si="1"/>
        <v/>
      </c>
      <c r="AG6">
        <f t="shared" si="2"/>
        <v>0.1001911939043296</v>
      </c>
      <c r="AH6">
        <f t="shared" si="3"/>
        <v>4.7756137720000411E-2</v>
      </c>
      <c r="AI6" s="2">
        <f t="shared" si="4"/>
        <v>4.0090366084727389</v>
      </c>
      <c r="AJ6">
        <f t="shared" si="5"/>
        <v>0</v>
      </c>
      <c r="AK6" t="str">
        <f t="shared" si="6"/>
        <v>NO</v>
      </c>
      <c r="AL6">
        <f t="shared" si="23"/>
        <v>0</v>
      </c>
      <c r="AM6">
        <f t="shared" si="7"/>
        <v>0</v>
      </c>
      <c r="AN6">
        <f t="shared" si="8"/>
        <v>0</v>
      </c>
      <c r="AO6">
        <f t="shared" si="9"/>
        <v>0</v>
      </c>
      <c r="AP6">
        <f t="array" ref="AP6">AL6*IF($C6="GKP",10,IF($C6="DEF",6,IF($C6="MID",5,4)))</f>
        <v>0</v>
      </c>
      <c r="AQ6">
        <f t="shared" si="10"/>
        <v>0</v>
      </c>
      <c r="AR6">
        <f t="shared" si="11"/>
        <v>0</v>
      </c>
      <c r="AS6" s="2">
        <f>IF($H6=0,0,Player_Analysis!$AM6*$H6/90)</f>
        <v>0</v>
      </c>
      <c r="AT6">
        <f t="shared" si="12"/>
        <v>0</v>
      </c>
      <c r="AU6" s="2">
        <f>0</f>
        <v>0</v>
      </c>
      <c r="AV6" s="2" t="str">
        <f>IF(INDEX(FPL_Raw_Data!K:K,MATCH(A6,FPL_Raw_Data!AA:AA,0))=0,"",INDEX(FPL_Raw_Data!P:P,MATCH(A6,FPL_Raw_Data!AA:AA,0))/INDEX(FPL_Raw_Data!K:K,MATCH(A6,FPL_Raw_Data!AA:AA,0))*90)</f>
        <v/>
      </c>
      <c r="AW6" s="2">
        <f t="shared" si="13"/>
        <v>0</v>
      </c>
      <c r="AX6" s="2">
        <f>IFERROR(INDEX(TEAM_ANALYSIS!$H$2:$H$21,MATCH($B6,TEAM_ANALYSIS!$A$2:$A$21,0)),0)</f>
        <v>0.33333333333333331</v>
      </c>
      <c r="AY6" s="2">
        <f t="shared" si="14"/>
        <v>-0.16666666666666666</v>
      </c>
      <c r="AZ6" s="2">
        <f t="shared" si="15"/>
        <v>-0.16666666666666666</v>
      </c>
      <c r="BA6">
        <f t="shared" si="16"/>
        <v>-2.564102564102564E-2</v>
      </c>
      <c r="BB6">
        <f>IFERROR(Player_Analysis!$Y6,1)</f>
        <v>1.1808551992225462</v>
      </c>
      <c r="BC6">
        <f t="shared" si="17"/>
        <v>-0.19680919987042436</v>
      </c>
      <c r="BD6">
        <f t="shared" si="24"/>
        <v>5.0463897402672911E-3</v>
      </c>
      <c r="BE6">
        <f t="shared" si="25"/>
        <v>-0.19680919987042436</v>
      </c>
      <c r="BF6">
        <f t="shared" si="18"/>
        <v>508</v>
      </c>
      <c r="BG6">
        <f>IF($BE6="","",COUNTIFS($C$2:$C$596,$C6,$BE$2:$BE$596,"&gt;"&amp;$BE6)+COUNTIFS($C$2:$C6,$C6,$BE$2:$BE6,$BE6))</f>
        <v>105</v>
      </c>
    </row>
    <row r="7" spans="1:59" x14ac:dyDescent="0.25">
      <c r="A7" t="str">
        <f>Player_Analysis!A7</f>
        <v>William Saliba</v>
      </c>
      <c r="B7">
        <f>Player_Analysis!C7</f>
        <v>1</v>
      </c>
      <c r="C7" t="str">
        <f>Player_Analysis!B7</f>
        <v>DEF</v>
      </c>
      <c r="D7" s="13">
        <f>Player_Analysis!E7</f>
        <v>6</v>
      </c>
      <c r="E7">
        <f>Player_Analysis!I7</f>
        <v>0</v>
      </c>
      <c r="F7" s="8">
        <f>Player_Analysis!Z7</f>
        <v>0</v>
      </c>
      <c r="G7" s="17">
        <f t="shared" si="19"/>
        <v>0</v>
      </c>
      <c r="H7">
        <f t="shared" si="0"/>
        <v>0</v>
      </c>
      <c r="I7" s="8">
        <f>Player_Analysis!AF7</f>
        <v>0</v>
      </c>
      <c r="J7" s="8">
        <f>Player_Analysis!AG7</f>
        <v>0</v>
      </c>
      <c r="K7">
        <f>Player_Analysis!O7</f>
        <v>0</v>
      </c>
      <c r="L7">
        <f>Player_Analysis!P7</f>
        <v>0</v>
      </c>
      <c r="M7" t="str">
        <f t="shared" si="20"/>
        <v/>
      </c>
      <c r="N7" t="str">
        <f t="shared" si="21"/>
        <v/>
      </c>
      <c r="O7" s="2" t="str">
        <f>IF(E7=0,"",Player_Analysis!L7/E7*90)</f>
        <v/>
      </c>
      <c r="P7" t="str">
        <f>IF(E7=0,"",Player_Analysis!Q7/E7*90)</f>
        <v/>
      </c>
      <c r="Q7" t="str">
        <f>IF(E7=0,"",(Player_Analysis!AD7/E7)*90)</f>
        <v/>
      </c>
      <c r="R7" t="str">
        <f>IF(E7=0,"",Player_Analysis!AA7/E7*90)</f>
        <v/>
      </c>
      <c r="S7">
        <f t="array" ref="S7">IFERROR(INDEX('2023_24'!$O:$O,MATCH($A7,'2023_24'!$A:$A,0)),"")</f>
        <v>4.4736842105263158E-2</v>
      </c>
      <c r="T7">
        <f>IFERROR(INDEX('2024_25'!$P:$P,MATCH($A7,'2024_25'!$A:$A,0)),"")</f>
        <v>7.1668311944718649E-2</v>
      </c>
      <c r="U7">
        <f>IFERROR(INDEX('2025_26'!$P:$P,MATCH($A7,'2025_26'!$A:$A,0)),"")</f>
        <v>3.0298393267023715E-2</v>
      </c>
      <c r="V7">
        <f>IFERROR(INDEX('2023_24'!$P:$P,MATCH($A7,'2023_24'!$A:$A,0)),"")</f>
        <v>2.368421052631579E-2</v>
      </c>
      <c r="W7">
        <f>IFERROR(INDEX('2024_25'!$Q:$Q,MATCH($A7,'2024_25'!$A:$A,0)),"")</f>
        <v>3.7907206317867724E-2</v>
      </c>
      <c r="X7">
        <f>IFERROR(INDEX('2025_26'!$Q:$Q,MATCH($A7,'2025_26'!$A:$A,0)),"")</f>
        <v>4.1660290742157616E-2</v>
      </c>
      <c r="Y7">
        <f>IFERROR(INDEX('2023_24'!$M:$M,MATCH($A7,'2023_24'!$A:$A,0))/INDEX('2023_24'!$G:$G,MATCH($A7,'2023_24'!$A:$A,0))*90,"")</f>
        <v>4.3157894736842106</v>
      </c>
      <c r="Z7">
        <f>IFERROR(INDEX('2024_25'!$M:$M,MATCH($A7,'2024_25'!$A:$A,0))/INDEX('2024_25'!$G:$G,MATCH($A7,'2024_25'!$A:$A,0))*90,"")</f>
        <v>3.8499506416584404</v>
      </c>
      <c r="AA7">
        <f>IFERROR(INDEX('2025_26'!$M:$M,MATCH($A7,'2025_26'!$A:$A,0))/INDEX('2025_26'!$G:$G,MATCH($A7,'2025_26'!$A:$A,0))*90,"")</f>
        <v>4.7169089517980112</v>
      </c>
      <c r="AB7">
        <f>IFERROR(SUMPRODUCT(S7:U7,{0.2,0.3,0.5})/SUMPRODUCT(--(S7:U7&lt;&gt;""),{0.2,0.3,0.5}),"")</f>
        <v>4.5597058637980081E-2</v>
      </c>
      <c r="AC7">
        <f>IFERROR(SUMPRODUCT(V7:X7,{0.2,0.3,0.5})/SUMPRODUCT(--(V7:X7&lt;&gt;""),{0.2,0.3,0.5}),"")</f>
        <v>3.6939149371702285E-2</v>
      </c>
      <c r="AD7">
        <f>IFERROR(SUMPRODUCT(Y7:AA7,{0.2,0.3,0.5})/SUMPRODUCT((Y7:AA7&lt;&gt;"")*{0.2,0.3,0.5}),O7)</f>
        <v>4.3765975631333802</v>
      </c>
      <c r="AE7">
        <f t="shared" si="22"/>
        <v>3</v>
      </c>
      <c r="AF7" t="str">
        <f t="shared" si="1"/>
        <v/>
      </c>
      <c r="AG7">
        <f t="shared" si="2"/>
        <v>4.5597058637980081E-2</v>
      </c>
      <c r="AH7">
        <f t="shared" si="3"/>
        <v>3.6939149371702285E-2</v>
      </c>
      <c r="AI7" s="2">
        <f t="shared" si="4"/>
        <v>4.3765975631333802</v>
      </c>
      <c r="AJ7">
        <f t="shared" si="5"/>
        <v>0</v>
      </c>
      <c r="AK7" t="str">
        <f t="shared" si="6"/>
        <v>NO</v>
      </c>
      <c r="AL7">
        <f t="shared" si="23"/>
        <v>0</v>
      </c>
      <c r="AM7">
        <f t="shared" si="7"/>
        <v>0</v>
      </c>
      <c r="AN7">
        <f t="shared" si="8"/>
        <v>0</v>
      </c>
      <c r="AO7">
        <f t="shared" si="9"/>
        <v>0</v>
      </c>
      <c r="AP7">
        <f t="array" ref="AP7">AL7*IF($C7="GKP",10,IF($C7="DEF",6,IF($C7="MID",5,4)))</f>
        <v>0</v>
      </c>
      <c r="AQ7">
        <f t="shared" si="10"/>
        <v>0</v>
      </c>
      <c r="AR7">
        <f t="shared" si="11"/>
        <v>0</v>
      </c>
      <c r="AS7" s="2">
        <f>IF($H7=0,0,Player_Analysis!$AM7*$H7/90)</f>
        <v>0</v>
      </c>
      <c r="AT7">
        <f t="shared" si="12"/>
        <v>0</v>
      </c>
      <c r="AU7" s="2">
        <f>0</f>
        <v>0</v>
      </c>
      <c r="AV7" s="2" t="str">
        <f>IF(INDEX(FPL_Raw_Data!K:K,MATCH(A7,FPL_Raw_Data!AA:AA,0))=0,"",INDEX(FPL_Raw_Data!P:P,MATCH(A7,FPL_Raw_Data!AA:AA,0))/INDEX(FPL_Raw_Data!K:K,MATCH(A7,FPL_Raw_Data!AA:AA,0))*90)</f>
        <v/>
      </c>
      <c r="AW7" s="2">
        <f t="shared" si="13"/>
        <v>0</v>
      </c>
      <c r="AX7" s="2">
        <f>IFERROR(INDEX(TEAM_ANALYSIS!$H$2:$H$21,MATCH($B7,TEAM_ANALYSIS!$A$2:$A$21,0)),0)</f>
        <v>0.33333333333333331</v>
      </c>
      <c r="AY7" s="2">
        <f t="shared" si="14"/>
        <v>-0.16666666666666666</v>
      </c>
      <c r="AZ7" s="2">
        <f t="shared" si="15"/>
        <v>-0.16666666666666666</v>
      </c>
      <c r="BA7">
        <f t="shared" si="16"/>
        <v>-2.7777777777777776E-2</v>
      </c>
      <c r="BB7">
        <f>IFERROR(Player_Analysis!$Y7,1)</f>
        <v>1.1808551992225462</v>
      </c>
      <c r="BC7">
        <f t="shared" si="17"/>
        <v>-0.19680919987042436</v>
      </c>
      <c r="BD7">
        <f t="shared" si="24"/>
        <v>5.4669222186228984E-3</v>
      </c>
      <c r="BE7">
        <f t="shared" si="25"/>
        <v>-0.19680919987042436</v>
      </c>
      <c r="BF7">
        <f t="shared" si="18"/>
        <v>508</v>
      </c>
      <c r="BG7">
        <f>IF($BE7="","",COUNTIFS($C$2:$C$596,$C7,$BE$2:$BE$596,"&gt;"&amp;$BE7)+COUNTIFS($C$2:$C7,$C7,$BE$2:$BE7,$BE7))</f>
        <v>106</v>
      </c>
    </row>
    <row r="8" spans="1:59" x14ac:dyDescent="0.25">
      <c r="A8" t="str">
        <f>Player_Analysis!A8</f>
        <v>Myles Lewis-Skelly</v>
      </c>
      <c r="B8">
        <f>Player_Analysis!C8</f>
        <v>1</v>
      </c>
      <c r="C8" t="str">
        <f>Player_Analysis!B8</f>
        <v>MID</v>
      </c>
      <c r="D8" s="13">
        <f>Player_Analysis!E8</f>
        <v>5.5</v>
      </c>
      <c r="E8">
        <f>Player_Analysis!I8</f>
        <v>226</v>
      </c>
      <c r="F8" s="8">
        <f>Player_Analysis!Z8</f>
        <v>3</v>
      </c>
      <c r="G8" s="17">
        <f t="shared" si="19"/>
        <v>1</v>
      </c>
      <c r="H8">
        <f t="shared" si="0"/>
        <v>90</v>
      </c>
      <c r="I8" s="8">
        <f>Player_Analysis!AF8</f>
        <v>0</v>
      </c>
      <c r="J8" s="8">
        <f>Player_Analysis!AG8</f>
        <v>0</v>
      </c>
      <c r="K8">
        <f>Player_Analysis!O8</f>
        <v>0.16</v>
      </c>
      <c r="L8">
        <f>Player_Analysis!P8</f>
        <v>0.23</v>
      </c>
      <c r="M8">
        <f t="shared" si="20"/>
        <v>6.3716814159292035E-2</v>
      </c>
      <c r="N8">
        <f t="shared" si="21"/>
        <v>9.1592920353982296E-2</v>
      </c>
      <c r="O8" s="2">
        <f>IF(E8=0,"",Player_Analysis!L8/E8*90)</f>
        <v>3.1858407079646018</v>
      </c>
      <c r="P8">
        <f>IF(E8=0,"",Player_Analysis!Q8/E8*90)</f>
        <v>0.15530973451327434</v>
      </c>
      <c r="Q8">
        <f>IF(E8=0,"",(Player_Analysis!AD8/E8)*90)</f>
        <v>13.938053097345131</v>
      </c>
      <c r="R8">
        <f>IF(E8=0,"",Player_Analysis!AA8/E8*90)</f>
        <v>5.5752212389380533</v>
      </c>
      <c r="S8">
        <f t="array" ref="S8">IFERROR(INDEX('2023_24'!$O:$O,MATCH($A8,'2023_24'!$A:$A,0)),"")</f>
        <v>0</v>
      </c>
      <c r="T8">
        <f>IFERROR(INDEX('2024_25'!$P:$P,MATCH($A8,'2024_25'!$A:$A,0)),"")</f>
        <v>1.0572687224669605E-2</v>
      </c>
      <c r="U8">
        <f>IFERROR(INDEX('2025_26'!$P:$P,MATCH($A8,'2025_26'!$A:$A,0)),"")</f>
        <v>1.2912482065997131E-2</v>
      </c>
      <c r="V8">
        <f>IFERROR(INDEX('2023_24'!$P:$P,MATCH($A8,'2023_24'!$A:$A,0)),"")</f>
        <v>0</v>
      </c>
      <c r="W8">
        <f>IFERROR(INDEX('2024_25'!$Q:$Q,MATCH($A8,'2024_25'!$A:$A,0)),"")</f>
        <v>3.3700440528634364E-2</v>
      </c>
      <c r="X8">
        <f>IFERROR(INDEX('2025_26'!$Q:$Q,MATCH($A8,'2025_26'!$A:$A,0)),"")</f>
        <v>2.5824964131994262E-2</v>
      </c>
      <c r="Y8" t="str">
        <f>IFERROR(INDEX('2023_24'!$M:$M,MATCH($A8,'2023_24'!$A:$A,0))/INDEX('2023_24'!$G:$G,MATCH($A8,'2023_24'!$A:$A,0))*90,"")</f>
        <v/>
      </c>
      <c r="Z8">
        <f>IFERROR(INDEX('2024_25'!$M:$M,MATCH($A8,'2024_25'!$A:$A,0))/INDEX('2024_25'!$G:$G,MATCH($A8,'2024_25'!$A:$A,0))*90,"")</f>
        <v>2.4449339207048459</v>
      </c>
      <c r="AA8">
        <f>IFERROR(INDEX('2025_26'!$M:$M,MATCH($A8,'2025_26'!$A:$A,0))/INDEX('2025_26'!$G:$G,MATCH($A8,'2025_26'!$A:$A,0))*90,"")</f>
        <v>3.7446197991391674</v>
      </c>
      <c r="AB8">
        <f>IFERROR(SUMPRODUCT(S8:U8,{0.2,0.3,0.5})/SUMPRODUCT(--(S8:U8&lt;&gt;""),{0.2,0.3,0.5}),"")</f>
        <v>9.6280472003994477E-3</v>
      </c>
      <c r="AC8">
        <f>IFERROR(SUMPRODUCT(V8:X8,{0.2,0.3,0.5})/SUMPRODUCT(--(V8:X8&lt;&gt;""),{0.2,0.3,0.5}),"")</f>
        <v>2.3022614224587439E-2</v>
      </c>
      <c r="AD8">
        <f>IFERROR(SUMPRODUCT(Y8:AA8,{0.2,0.3,0.5})/SUMPRODUCT((Y8:AA8&lt;&gt;"")*{0.2,0.3,0.5}),O8)</f>
        <v>3.2572375947262966</v>
      </c>
      <c r="AE8">
        <f t="shared" si="22"/>
        <v>3</v>
      </c>
      <c r="AF8">
        <f t="shared" si="1"/>
        <v>75.333333333333329</v>
      </c>
      <c r="AG8">
        <f t="shared" si="2"/>
        <v>5.037491830943186E-2</v>
      </c>
      <c r="AH8">
        <f t="shared" si="3"/>
        <v>7.4678911508731557E-2</v>
      </c>
      <c r="AI8" s="2">
        <f t="shared" si="4"/>
        <v>3.2034519400324868</v>
      </c>
      <c r="AJ8">
        <f t="shared" si="5"/>
        <v>0.7533333333333333</v>
      </c>
      <c r="AK8" t="str">
        <f t="shared" si="6"/>
        <v>NO</v>
      </c>
      <c r="AL8">
        <f t="shared" si="23"/>
        <v>5.037491830943186E-2</v>
      </c>
      <c r="AM8">
        <f t="shared" si="7"/>
        <v>7.4678911508731557E-2</v>
      </c>
      <c r="AN8">
        <f t="shared" si="8"/>
        <v>5.037491830943186E-2</v>
      </c>
      <c r="AO8">
        <f t="shared" si="9"/>
        <v>7.4678911508731557E-2</v>
      </c>
      <c r="AP8">
        <f t="array" ref="AP8">AL8*IF($C8="GKP",10,IF($C8="DEF",6,IF($C8="MID",5,4)))</f>
        <v>0.2518745915471593</v>
      </c>
      <c r="AQ8">
        <f t="shared" si="10"/>
        <v>0.22403673452619466</v>
      </c>
      <c r="AR8">
        <f t="shared" si="11"/>
        <v>2</v>
      </c>
      <c r="AS8" s="2">
        <f>IF($H8=0,0,Player_Analysis!$AM8*$H8/90)</f>
        <v>0.66666666666666663</v>
      </c>
      <c r="AT8">
        <f t="shared" si="12"/>
        <v>0.92920353982300885</v>
      </c>
      <c r="AU8" s="2">
        <f>0</f>
        <v>0</v>
      </c>
      <c r="AV8" s="2">
        <f>IF(INDEX(FPL_Raw_Data!K:K,MATCH(A8,FPL_Raw_Data!AA:AA,0))=0,"",INDEX(FPL_Raw_Data!P:P,MATCH(A8,FPL_Raw_Data!AA:AA,0))/INDEX(FPL_Raw_Data!K:K,MATCH(A8,FPL_Raw_Data!AA:AA,0))*90)</f>
        <v>0</v>
      </c>
      <c r="AW8" s="2">
        <f t="shared" si="13"/>
        <v>0</v>
      </c>
      <c r="AX8" s="2">
        <f>IFERROR(INDEX(TEAM_ANALYSIS!$H$2:$H$21,MATCH($B8,TEAM_ANALYSIS!$A$2:$A$21,0)),0)</f>
        <v>0.33333333333333331</v>
      </c>
      <c r="AY8" s="2">
        <f t="shared" si="14"/>
        <v>0</v>
      </c>
      <c r="AZ8" s="2">
        <f t="shared" si="15"/>
        <v>4.0717815325630298</v>
      </c>
      <c r="BA8">
        <f t="shared" si="16"/>
        <v>0.74032391501146</v>
      </c>
      <c r="BB8">
        <f>IFERROR(Player_Analysis!$Y8,1)</f>
        <v>1.0430363321799305</v>
      </c>
      <c r="BC8">
        <f t="shared" si="17"/>
        <v>4.2470160751625192</v>
      </c>
      <c r="BD8">
        <f t="shared" si="24"/>
        <v>3.1441675678809213</v>
      </c>
      <c r="BE8">
        <f t="shared" si="25"/>
        <v>4.2470160751625192</v>
      </c>
      <c r="BF8">
        <f t="shared" si="18"/>
        <v>140</v>
      </c>
      <c r="BG8">
        <f>IF($BE8="","",COUNTIFS($C$2:$C$596,$C8,$BE$2:$BE$596,"&gt;"&amp;$BE8)+COUNTIFS($C$2:$C8,$C8,$BE$2:$BE8,$BE8))</f>
        <v>69</v>
      </c>
    </row>
    <row r="9" spans="1:59" x14ac:dyDescent="0.25">
      <c r="A9" t="str">
        <f>Player_Analysis!A9</f>
        <v>Riccardo Calafiori</v>
      </c>
      <c r="B9">
        <f>Player_Analysis!C9</f>
        <v>1</v>
      </c>
      <c r="C9" t="str">
        <f>Player_Analysis!B9</f>
        <v>DEF</v>
      </c>
      <c r="D9" s="13">
        <f>Player_Analysis!E9</f>
        <v>5.7</v>
      </c>
      <c r="E9">
        <f>Player_Analysis!I9</f>
        <v>236</v>
      </c>
      <c r="F9" s="8">
        <f>Player_Analysis!Z9</f>
        <v>3</v>
      </c>
      <c r="G9" s="17">
        <f t="shared" si="19"/>
        <v>1</v>
      </c>
      <c r="H9">
        <f t="shared" si="0"/>
        <v>90</v>
      </c>
      <c r="I9" s="8">
        <f>Player_Analysis!AF9</f>
        <v>0</v>
      </c>
      <c r="J9" s="8">
        <f>Player_Analysis!AG9</f>
        <v>2</v>
      </c>
      <c r="K9">
        <f>Player_Analysis!O9</f>
        <v>0.54</v>
      </c>
      <c r="L9">
        <f>Player_Analysis!P9</f>
        <v>0.57999999999999996</v>
      </c>
      <c r="M9">
        <f t="shared" si="20"/>
        <v>0.20593220338983054</v>
      </c>
      <c r="N9">
        <f t="shared" si="21"/>
        <v>0.22118644067796608</v>
      </c>
      <c r="O9" s="2">
        <f>IF(E9=0,"",Player_Analysis!L9/E9*90)</f>
        <v>8.3898305084745761</v>
      </c>
      <c r="P9">
        <f>IF(E9=0,"",Player_Analysis!Q9/E9*90)</f>
        <v>0.42711864406779665</v>
      </c>
      <c r="Q9">
        <f>IF(E9=0,"",(Player_Analysis!AD9/E9)*90)</f>
        <v>23.262711864406779</v>
      </c>
      <c r="R9">
        <f>IF(E9=0,"",Player_Analysis!AA9/E9*90)</f>
        <v>3.4322033898305087</v>
      </c>
      <c r="S9" t="str">
        <f t="array" ref="S9">IFERROR(INDEX('2023_24'!$O:$O,MATCH($A9,'2023_24'!$A:$A,0)),"")</f>
        <v/>
      </c>
      <c r="T9">
        <f>IFERROR(INDEX('2024_25'!$P:$P,MATCH($A9,'2024_25'!$A:$A,0)),"")</f>
        <v>7.9141104294478529E-2</v>
      </c>
      <c r="U9">
        <f>IFERROR(INDEX('2025_26'!$P:$P,MATCH($A9,'2025_26'!$A:$A,0)),"")</f>
        <v>0.1781968179139658</v>
      </c>
      <c r="V9" t="str">
        <f>IFERROR(INDEX('2023_24'!$P:$P,MATCH($A9,'2023_24'!$A:$A,0)),"")</f>
        <v/>
      </c>
      <c r="W9">
        <f>IFERROR(INDEX('2024_25'!$Q:$Q,MATCH($A9,'2024_25'!$A:$A,0)),"")</f>
        <v>6.3496932515337418E-2</v>
      </c>
      <c r="X9">
        <f>IFERROR(INDEX('2025_26'!$Q:$Q,MATCH($A9,'2025_26'!$A:$A,0)),"")</f>
        <v>4.0306423099587506E-2</v>
      </c>
      <c r="Y9" t="str">
        <f>IFERROR(INDEX('2023_24'!$M:$M,MATCH($A9,'2023_24'!$A:$A,0))/INDEX('2023_24'!$G:$G,MATCH($A9,'2023_24'!$A:$A,0))*90,"")</f>
        <v/>
      </c>
      <c r="Z9">
        <f>IFERROR(INDEX('2024_25'!$M:$M,MATCH($A9,'2024_25'!$A:$A,0))/INDEX('2024_25'!$G:$G,MATCH($A9,'2024_25'!$A:$A,0))*90,"")</f>
        <v>3.5889570552147236</v>
      </c>
      <c r="AA9">
        <f>IFERROR(INDEX('2025_26'!$M:$M,MATCH($A9,'2025_26'!$A:$A,0))/INDEX('2025_26'!$G:$G,MATCH($A9,'2025_26'!$A:$A,0))*90,"")</f>
        <v>5.7807896287566303</v>
      </c>
      <c r="AB9">
        <f>IFERROR(SUMPRODUCT(S9:U9,{0.2,0.3,0.5})/SUMPRODUCT(--(S9:U9&lt;&gt;""),{0.2,0.3,0.5}),"")</f>
        <v>0.14105092530665808</v>
      </c>
      <c r="AC9">
        <f>IFERROR(SUMPRODUCT(V9:X9,{0.2,0.3,0.5})/SUMPRODUCT(--(V9:X9&lt;&gt;""),{0.2,0.3,0.5}),"")</f>
        <v>4.9002864130493727E-2</v>
      </c>
      <c r="AD9">
        <f>IFERROR(SUMPRODUCT(Y9:AA9,{0.2,0.3,0.5})/SUMPRODUCT((Y9:AA9&lt;&gt;"")*{0.2,0.3,0.5}),O9)</f>
        <v>4.9588524136784145</v>
      </c>
      <c r="AE9">
        <f t="shared" si="22"/>
        <v>2</v>
      </c>
      <c r="AF9">
        <f t="shared" si="1"/>
        <v>78.666666666666671</v>
      </c>
      <c r="AG9">
        <f t="shared" si="2"/>
        <v>0.19209086406542039</v>
      </c>
      <c r="AH9">
        <f t="shared" si="3"/>
        <v>0.18445394434783866</v>
      </c>
      <c r="AI9" s="2">
        <f t="shared" si="4"/>
        <v>7.6578885149180618</v>
      </c>
      <c r="AJ9">
        <f t="shared" si="5"/>
        <v>0.78666666666666663</v>
      </c>
      <c r="AK9" t="str">
        <f t="shared" si="6"/>
        <v>NO</v>
      </c>
      <c r="AL9">
        <f t="shared" si="23"/>
        <v>0.19209086406542039</v>
      </c>
      <c r="AM9">
        <f t="shared" si="7"/>
        <v>0.18445394434783866</v>
      </c>
      <c r="AN9">
        <f t="shared" si="8"/>
        <v>0.19209086406542039</v>
      </c>
      <c r="AO9">
        <f t="shared" si="9"/>
        <v>0.18445394434783866</v>
      </c>
      <c r="AP9">
        <f t="array" ref="AP9">AL9*IF($C9="GKP",10,IF($C9="DEF",6,IF($C9="MID",5,4)))</f>
        <v>1.1525451843925223</v>
      </c>
      <c r="AQ9">
        <f t="shared" si="10"/>
        <v>0.55336183304351594</v>
      </c>
      <c r="AR9">
        <f t="shared" si="11"/>
        <v>2</v>
      </c>
      <c r="AS9" s="2">
        <f>IF($H9=0,0,Player_Analysis!$AM9*$H9/90)</f>
        <v>2.6666666666666665</v>
      </c>
      <c r="AT9">
        <f t="shared" si="12"/>
        <v>0.68644067796610186</v>
      </c>
      <c r="AU9" s="2">
        <f>0</f>
        <v>0</v>
      </c>
      <c r="AV9" s="2">
        <f>IF(INDEX(FPL_Raw_Data!K:K,MATCH(A9,FPL_Raw_Data!AA:AA,0))=0,"",INDEX(FPL_Raw_Data!P:P,MATCH(A9,FPL_Raw_Data!AA:AA,0))/INDEX(FPL_Raw_Data!K:K,MATCH(A9,FPL_Raw_Data!AA:AA,0))*90)</f>
        <v>0</v>
      </c>
      <c r="AW9" s="2">
        <f t="shared" si="13"/>
        <v>0</v>
      </c>
      <c r="AX9" s="2">
        <f>IFERROR(INDEX(TEAM_ANALYSIS!$H$2:$H$21,MATCH($B9,TEAM_ANALYSIS!$A$2:$A$21,0)),0)</f>
        <v>0.33333333333333331</v>
      </c>
      <c r="AY9" s="2">
        <f t="shared" si="14"/>
        <v>-0.16666666666666666</v>
      </c>
      <c r="AZ9" s="2">
        <f t="shared" si="15"/>
        <v>6.8923476954021394</v>
      </c>
      <c r="BA9">
        <f t="shared" si="16"/>
        <v>1.2091838062109017</v>
      </c>
      <c r="BB9">
        <f>IFERROR(Player_Analysis!$Y9,1)</f>
        <v>1.1808551992225462</v>
      </c>
      <c r="BC9">
        <f t="shared" si="17"/>
        <v>8.1388646109651503</v>
      </c>
      <c r="BD9">
        <f t="shared" si="24"/>
        <v>9.8413832885220511</v>
      </c>
      <c r="BE9">
        <f t="shared" si="25"/>
        <v>8.1388646109651503</v>
      </c>
      <c r="BF9">
        <f t="shared" si="18"/>
        <v>9</v>
      </c>
      <c r="BG9">
        <f>IF($BE9="","",COUNTIFS($C$2:$C$596,$C9,$BE$2:$BE$596,"&gt;"&amp;$BE9)+COUNTIFS($C$2:$C9,$C9,$BE$2:$BE9,$BE9))</f>
        <v>8</v>
      </c>
    </row>
    <row r="10" spans="1:59" x14ac:dyDescent="0.25">
      <c r="A10" t="str">
        <f>Player_Analysis!A10</f>
        <v>Piero Hincapié</v>
      </c>
      <c r="B10">
        <f>Player_Analysis!C10</f>
        <v>1</v>
      </c>
      <c r="C10" t="str">
        <f>Player_Analysis!B10</f>
        <v>DEF</v>
      </c>
      <c r="D10" s="13">
        <f>Player_Analysis!E10</f>
        <v>5.3</v>
      </c>
      <c r="E10">
        <f>Player_Analysis!I10</f>
        <v>32</v>
      </c>
      <c r="F10" s="8">
        <f>Player_Analysis!Z10</f>
        <v>0</v>
      </c>
      <c r="G10" s="17">
        <f t="shared" si="19"/>
        <v>0</v>
      </c>
      <c r="H10">
        <f t="shared" si="0"/>
        <v>0</v>
      </c>
      <c r="I10" s="8">
        <f>Player_Analysis!AF10</f>
        <v>0</v>
      </c>
      <c r="J10" s="8">
        <f>Player_Analysis!AG10</f>
        <v>0</v>
      </c>
      <c r="K10">
        <f>Player_Analysis!O10</f>
        <v>0</v>
      </c>
      <c r="L10">
        <f>Player_Analysis!P10</f>
        <v>0</v>
      </c>
      <c r="M10">
        <f t="shared" si="20"/>
        <v>0</v>
      </c>
      <c r="N10">
        <f t="shared" si="21"/>
        <v>0</v>
      </c>
      <c r="O10" s="2">
        <f>IF(E10=0,"",Player_Analysis!L10/E10*90)</f>
        <v>5.625</v>
      </c>
      <c r="P10">
        <f>IF(E10=0,"",Player_Analysis!Q10/E10*90)</f>
        <v>0</v>
      </c>
      <c r="Q10">
        <f>IF(E10=0,"",(Player_Analysis!AD10/E10)*90)</f>
        <v>16.875</v>
      </c>
      <c r="R10">
        <f>IF(E10=0,"",Player_Analysis!AA10/E10*90)</f>
        <v>8.4375</v>
      </c>
      <c r="S10" t="str">
        <f t="array" ref="S10">IFERROR(INDEX('2023_24'!$O:$O,MATCH($A10,'2023_24'!$A:$A,0)),"")</f>
        <v/>
      </c>
      <c r="T10" t="str">
        <f>IFERROR(INDEX('2024_25'!$P:$P,MATCH($A10,'2024_25'!$A:$A,0)),"")</f>
        <v/>
      </c>
      <c r="U10">
        <f>IFERROR(INDEX('2025_26'!$P:$P,MATCH($A10,'2025_26'!$A:$A,0)),"")</f>
        <v>1.8130945719082258E-2</v>
      </c>
      <c r="V10" t="str">
        <f>IFERROR(INDEX('2023_24'!$P:$P,MATCH($A10,'2023_24'!$A:$A,0)),"")</f>
        <v/>
      </c>
      <c r="W10" t="str">
        <f>IFERROR(INDEX('2024_25'!$Q:$Q,MATCH($A10,'2024_25'!$A:$A,0)),"")</f>
        <v/>
      </c>
      <c r="X10">
        <f>IFERROR(INDEX('2025_26'!$Q:$Q,MATCH($A10,'2025_26'!$A:$A,0)),"")</f>
        <v>8.4107442641298255E-2</v>
      </c>
      <c r="Y10" t="str">
        <f>IFERROR(INDEX('2023_24'!$M:$M,MATCH($A10,'2023_24'!$A:$A,0))/INDEX('2023_24'!$G:$G,MATCH($A10,'2023_24'!$A:$A,0))*90,"")</f>
        <v/>
      </c>
      <c r="Z10" t="str">
        <f>IFERROR(INDEX('2024_25'!$M:$M,MATCH($A10,'2024_25'!$A:$A,0))/INDEX('2024_25'!$G:$G,MATCH($A10,'2024_25'!$A:$A,0))*90,"")</f>
        <v/>
      </c>
      <c r="AA10">
        <f>IFERROR(INDEX('2025_26'!$M:$M,MATCH($A10,'2025_26'!$A:$A,0))/INDEX('2025_26'!$G:$G,MATCH($A10,'2025_26'!$A:$A,0))*90,"")</f>
        <v>4.3816452154448795</v>
      </c>
      <c r="AB10">
        <f>IFERROR(SUMPRODUCT(S10:U10,{0.2,0.3,0.5})/SUMPRODUCT(--(S10:U10&lt;&gt;""),{0.2,0.3,0.5}),"")</f>
        <v>1.8130945719082258E-2</v>
      </c>
      <c r="AC10">
        <f>IFERROR(SUMPRODUCT(V10:X10,{0.2,0.3,0.5})/SUMPRODUCT(--(V10:X10&lt;&gt;""),{0.2,0.3,0.5}),"")</f>
        <v>8.4107442641298255E-2</v>
      </c>
      <c r="AD10">
        <f>IFERROR(SUMPRODUCT(Y10:AA10,{0.2,0.3,0.5})/SUMPRODUCT((Y10:AA10&lt;&gt;"")*{0.2,0.3,0.5}),O10)</f>
        <v>4.3816452154448795</v>
      </c>
      <c r="AE10">
        <f t="shared" si="22"/>
        <v>1</v>
      </c>
      <c r="AF10" t="str">
        <f t="shared" si="1"/>
        <v/>
      </c>
      <c r="AG10">
        <f t="shared" si="2"/>
        <v>1.6196978175713483E-2</v>
      </c>
      <c r="AH10">
        <f t="shared" si="3"/>
        <v>7.51359820928931E-2</v>
      </c>
      <c r="AI10" s="2">
        <f t="shared" si="4"/>
        <v>4.5142697257974262</v>
      </c>
      <c r="AJ10">
        <f t="shared" si="5"/>
        <v>0.10666666666666667</v>
      </c>
      <c r="AK10" t="str">
        <f t="shared" si="6"/>
        <v>NO</v>
      </c>
      <c r="AL10">
        <f t="shared" si="23"/>
        <v>0</v>
      </c>
      <c r="AM10">
        <f t="shared" si="7"/>
        <v>0</v>
      </c>
      <c r="AN10">
        <f t="shared" si="8"/>
        <v>0</v>
      </c>
      <c r="AO10">
        <f t="shared" si="9"/>
        <v>0</v>
      </c>
      <c r="AP10">
        <f t="array" ref="AP10">AL10*IF($C10="GKP",10,IF($C10="DEF",6,IF($C10="MID",5,4)))</f>
        <v>0</v>
      </c>
      <c r="AQ10">
        <f t="shared" si="10"/>
        <v>0</v>
      </c>
      <c r="AR10">
        <f t="shared" si="11"/>
        <v>0</v>
      </c>
      <c r="AS10" s="2">
        <f>IF($H10=0,0,Player_Analysis!$AM10*$H10/90)</f>
        <v>0</v>
      </c>
      <c r="AT10">
        <f t="shared" si="12"/>
        <v>0</v>
      </c>
      <c r="AU10" s="2">
        <f>0</f>
        <v>0</v>
      </c>
      <c r="AV10" s="2">
        <f>IF(INDEX(FPL_Raw_Data!K:K,MATCH(A10,FPL_Raw_Data!AA:AA,0))=0,"",INDEX(FPL_Raw_Data!P:P,MATCH(A10,FPL_Raw_Data!AA:AA,0))/INDEX(FPL_Raw_Data!K:K,MATCH(A10,FPL_Raw_Data!AA:AA,0))*90)</f>
        <v>0</v>
      </c>
      <c r="AW10" s="2">
        <f t="shared" si="13"/>
        <v>0</v>
      </c>
      <c r="AX10" s="2">
        <f>IFERROR(INDEX(TEAM_ANALYSIS!$H$2:$H$21,MATCH($B10,TEAM_ANALYSIS!$A$2:$A$21,0)),0)</f>
        <v>0.33333333333333331</v>
      </c>
      <c r="AY10" s="2">
        <f t="shared" si="14"/>
        <v>-0.16666666666666666</v>
      </c>
      <c r="AZ10" s="2">
        <f t="shared" si="15"/>
        <v>-0.16666666666666666</v>
      </c>
      <c r="BA10">
        <f t="shared" si="16"/>
        <v>-3.1446540880503145E-2</v>
      </c>
      <c r="BB10">
        <f>IFERROR(Player_Analysis!$Y10,1)</f>
        <v>1.1808551992225462</v>
      </c>
      <c r="BC10">
        <f t="shared" si="17"/>
        <v>-0.19680919987042436</v>
      </c>
      <c r="BD10">
        <f t="shared" si="24"/>
        <v>6.1889685493844142E-3</v>
      </c>
      <c r="BE10">
        <f t="shared" si="25"/>
        <v>-0.19680919987042436</v>
      </c>
      <c r="BF10">
        <f t="shared" si="18"/>
        <v>508</v>
      </c>
      <c r="BG10">
        <f>IF($BE10="","",COUNTIFS($C$2:$C$596,$C10,$BE$2:$BE$596,"&gt;"&amp;$BE10)+COUNTIFS($C$2:$C10,$C10,$BE$2:$BE10,$BE10))</f>
        <v>107</v>
      </c>
    </row>
    <row r="11" spans="1:59" x14ac:dyDescent="0.25">
      <c r="A11" t="str">
        <f>Player_Analysis!A11</f>
        <v>Benjamin White</v>
      </c>
      <c r="B11">
        <f>Player_Analysis!C11</f>
        <v>1</v>
      </c>
      <c r="C11" t="str">
        <f>Player_Analysis!B11</f>
        <v>DEF</v>
      </c>
      <c r="D11" s="13">
        <f>Player_Analysis!E11</f>
        <v>5.5</v>
      </c>
      <c r="E11">
        <f>Player_Analysis!I11</f>
        <v>270</v>
      </c>
      <c r="F11" s="8">
        <f>Player_Analysis!Z11</f>
        <v>3</v>
      </c>
      <c r="G11" s="17">
        <f t="shared" si="19"/>
        <v>1</v>
      </c>
      <c r="H11">
        <f t="shared" si="0"/>
        <v>90</v>
      </c>
      <c r="I11" s="8">
        <f>Player_Analysis!AF11</f>
        <v>0</v>
      </c>
      <c r="J11" s="8">
        <f>Player_Analysis!AG11</f>
        <v>1</v>
      </c>
      <c r="K11">
        <f>Player_Analysis!O11</f>
        <v>0.18</v>
      </c>
      <c r="L11">
        <f>Player_Analysis!P11</f>
        <v>0.28999999999999998</v>
      </c>
      <c r="M11">
        <f t="shared" si="20"/>
        <v>0.06</v>
      </c>
      <c r="N11">
        <f t="shared" si="21"/>
        <v>9.6666666666666665E-2</v>
      </c>
      <c r="O11" s="2">
        <f>IF(E11=0,"",Player_Analysis!L11/E11*90)</f>
        <v>6.6666666666666661</v>
      </c>
      <c r="P11">
        <f>IF(E11=0,"",Player_Analysis!Q11/E11*90)</f>
        <v>0.15666666666666665</v>
      </c>
      <c r="Q11">
        <f>IF(E11=0,"",(Player_Analysis!AD11/E11)*90)</f>
        <v>24.666666666666668</v>
      </c>
      <c r="R11">
        <f>IF(E11=0,"",Player_Analysis!AA11/E11*90)</f>
        <v>5</v>
      </c>
      <c r="S11">
        <f t="array" ref="S11">IFERROR(INDEX('2023_24'!$O:$O,MATCH($A11,'2023_24'!$A:$A,0)),"")</f>
        <v>3.8265818547037159E-2</v>
      </c>
      <c r="T11">
        <f>IFERROR(INDEX('2024_25'!$P:$P,MATCH($A11,'2024_25'!$A:$A,0)),"")</f>
        <v>3.4644351464435147E-2</v>
      </c>
      <c r="U11">
        <f>IFERROR(INDEX('2025_26'!$P:$P,MATCH($A11,'2025_26'!$A:$A,0)),"")</f>
        <v>5.7939914163090134E-2</v>
      </c>
      <c r="V11">
        <f>IFERROR(INDEX('2023_24'!$P:$P,MATCH($A11,'2023_24'!$A:$A,0)),"")</f>
        <v>0.11027787077335119</v>
      </c>
      <c r="W11">
        <f>IFERROR(INDEX('2024_25'!$Q:$Q,MATCH($A11,'2024_25'!$A:$A,0)),"")</f>
        <v>9.7907949790794979E-2</v>
      </c>
      <c r="X11">
        <f>IFERROR(INDEX('2025_26'!$Q:$Q,MATCH($A11,'2025_26'!$A:$A,0)),"")</f>
        <v>8.8841201716738191E-2</v>
      </c>
      <c r="Y11">
        <f>IFERROR(INDEX('2023_24'!$M:$M,MATCH($A11,'2023_24'!$A:$A,0))/INDEX('2023_24'!$G:$G,MATCH($A11,'2023_24'!$A:$A,0))*90,"")</f>
        <v>5.4837629728824906</v>
      </c>
      <c r="Z11">
        <f>IFERROR(INDEX('2024_25'!$M:$M,MATCH($A11,'2024_25'!$A:$A,0))/INDEX('2024_25'!$G:$G,MATCH($A11,'2024_25'!$A:$A,0))*90,"")</f>
        <v>3.7656903765690375</v>
      </c>
      <c r="AA11">
        <f>IFERROR(INDEX('2025_26'!$M:$M,MATCH($A11,'2025_26'!$A:$A,0))/INDEX('2025_26'!$G:$G,MATCH($A11,'2025_26'!$A:$A,0))*90,"")</f>
        <v>5.7939914163090123</v>
      </c>
      <c r="AB11">
        <f>IFERROR(SUMPRODUCT(S11:U11,{0.2,0.3,0.5})/SUMPRODUCT(--(S11:U11&lt;&gt;""),{0.2,0.3,0.5}),"")</f>
        <v>4.7016426230283043E-2</v>
      </c>
      <c r="AC11">
        <f>IFERROR(SUMPRODUCT(V11:X11,{0.2,0.3,0.5})/SUMPRODUCT(--(V11:X11&lt;&gt;""),{0.2,0.3,0.5}),"")</f>
        <v>9.5848559950277828E-2</v>
      </c>
      <c r="AD11">
        <f>IFERROR(SUMPRODUCT(Y11:AA11,{0.2,0.3,0.5})/SUMPRODUCT((Y11:AA11&lt;&gt;"")*{0.2,0.3,0.5}),O11)</f>
        <v>5.1234554157017156</v>
      </c>
      <c r="AE11">
        <f t="shared" si="22"/>
        <v>3</v>
      </c>
      <c r="AF11">
        <f t="shared" si="1"/>
        <v>90</v>
      </c>
      <c r="AG11">
        <f t="shared" si="2"/>
        <v>5.8701642623028301E-2</v>
      </c>
      <c r="AH11">
        <f t="shared" si="3"/>
        <v>9.658485599502778E-2</v>
      </c>
      <c r="AI11" s="2">
        <f t="shared" si="4"/>
        <v>6.5123455415701716</v>
      </c>
      <c r="AJ11">
        <f t="shared" si="5"/>
        <v>0.9</v>
      </c>
      <c r="AK11" t="str">
        <f t="shared" si="6"/>
        <v>NO</v>
      </c>
      <c r="AL11">
        <f t="shared" si="23"/>
        <v>5.8701642623028301E-2</v>
      </c>
      <c r="AM11">
        <f t="shared" si="7"/>
        <v>9.6584855995027766E-2</v>
      </c>
      <c r="AN11">
        <f t="shared" si="8"/>
        <v>5.8701642623028301E-2</v>
      </c>
      <c r="AO11">
        <f t="shared" si="9"/>
        <v>9.6584855995027766E-2</v>
      </c>
      <c r="AP11">
        <f t="array" ref="AP11">AL11*IF($C11="GKP",10,IF($C11="DEF",6,IF($C11="MID",5,4)))</f>
        <v>0.35220985573816982</v>
      </c>
      <c r="AQ11">
        <f t="shared" si="10"/>
        <v>0.28975456798508331</v>
      </c>
      <c r="AR11">
        <f t="shared" si="11"/>
        <v>2</v>
      </c>
      <c r="AS11" s="2">
        <f>IF($H11=0,0,Player_Analysis!$AM11*$H11/90)</f>
        <v>2.6666666666666665</v>
      </c>
      <c r="AT11">
        <f t="shared" si="12"/>
        <v>1</v>
      </c>
      <c r="AU11" s="2">
        <f>0</f>
        <v>0</v>
      </c>
      <c r="AV11" s="2">
        <f>IF(INDEX(FPL_Raw_Data!K:K,MATCH(A11,FPL_Raw_Data!AA:AA,0))=0,"",INDEX(FPL_Raw_Data!P:P,MATCH(A11,FPL_Raw_Data!AA:AA,0))/INDEX(FPL_Raw_Data!K:K,MATCH(A11,FPL_Raw_Data!AA:AA,0))*90)</f>
        <v>0</v>
      </c>
      <c r="AW11" s="2">
        <f t="shared" si="13"/>
        <v>0</v>
      </c>
      <c r="AX11" s="2">
        <f>IFERROR(INDEX(TEAM_ANALYSIS!$H$2:$H$21,MATCH($B11,TEAM_ANALYSIS!$A$2:$A$21,0)),0)</f>
        <v>0.33333333333333331</v>
      </c>
      <c r="AY11" s="2">
        <f t="shared" si="14"/>
        <v>-0.16666666666666666</v>
      </c>
      <c r="AZ11" s="2">
        <f t="shared" si="15"/>
        <v>6.1419644237232527</v>
      </c>
      <c r="BA11">
        <f t="shared" si="16"/>
        <v>1.1167208043133188</v>
      </c>
      <c r="BB11">
        <f>IFERROR(Player_Analysis!$Y11,1)</f>
        <v>1.1808551992225462</v>
      </c>
      <c r="BC11">
        <f t="shared" si="17"/>
        <v>7.2527706231935127</v>
      </c>
      <c r="BD11">
        <f t="shared" si="24"/>
        <v>8.099319843832669</v>
      </c>
      <c r="BE11">
        <f t="shared" si="25"/>
        <v>7.2527706231935127</v>
      </c>
      <c r="BF11">
        <f t="shared" si="18"/>
        <v>17</v>
      </c>
      <c r="BG11">
        <f>IF($BE11="","",COUNTIFS($C$2:$C$596,$C11,$BE$2:$BE$596,"&gt;"&amp;$BE11)+COUNTIFS($C$2:$C11,$C11,$BE$2:$BE11,$BE11))</f>
        <v>9</v>
      </c>
    </row>
    <row r="12" spans="1:59" x14ac:dyDescent="0.25">
      <c r="A12" t="str">
        <f>Player_Analysis!A12</f>
        <v>Cristhian Mosquera</v>
      </c>
      <c r="B12">
        <f>Player_Analysis!C12</f>
        <v>1</v>
      </c>
      <c r="C12" t="str">
        <f>Player_Analysis!B12</f>
        <v>DEF</v>
      </c>
      <c r="D12" s="13">
        <f>Player_Analysis!E12</f>
        <v>5.4</v>
      </c>
      <c r="E12">
        <f>Player_Analysis!I12</f>
        <v>168</v>
      </c>
      <c r="F12" s="8">
        <f>Player_Analysis!Z12</f>
        <v>2</v>
      </c>
      <c r="G12" s="17">
        <f t="shared" si="19"/>
        <v>1</v>
      </c>
      <c r="H12">
        <f t="shared" si="0"/>
        <v>90</v>
      </c>
      <c r="I12" s="8">
        <f>Player_Analysis!AF12</f>
        <v>0</v>
      </c>
      <c r="J12" s="8">
        <f>Player_Analysis!AG12</f>
        <v>0</v>
      </c>
      <c r="K12">
        <f>Player_Analysis!O12</f>
        <v>0</v>
      </c>
      <c r="L12">
        <f>Player_Analysis!P12</f>
        <v>0.01</v>
      </c>
      <c r="M12">
        <f t="shared" si="20"/>
        <v>0</v>
      </c>
      <c r="N12">
        <f t="shared" si="21"/>
        <v>5.3571428571428572E-3</v>
      </c>
      <c r="O12" s="2">
        <f>IF(E12=0,"",Player_Analysis!L12/E12*90)</f>
        <v>6.4285714285714279</v>
      </c>
      <c r="P12">
        <f>IF(E12=0,"",Player_Analysis!Q12/E12*90)</f>
        <v>5.3571428571428572E-3</v>
      </c>
      <c r="Q12">
        <f>IF(E12=0,"",(Player_Analysis!AD12/E12)*90)</f>
        <v>27.857142857142858</v>
      </c>
      <c r="R12">
        <f>IF(E12=0,"",Player_Analysis!AA12/E12*90)</f>
        <v>5.3571428571428568</v>
      </c>
      <c r="S12" t="str">
        <f t="array" ref="S12">IFERROR(INDEX('2023_24'!$O:$O,MATCH($A12,'2023_24'!$A:$A,0)),"")</f>
        <v/>
      </c>
      <c r="T12" t="str">
        <f>IFERROR(INDEX('2024_25'!$P:$P,MATCH($A12,'2024_25'!$A:$A,0)),"")</f>
        <v/>
      </c>
      <c r="U12">
        <f>IFERROR(INDEX('2025_26'!$P:$P,MATCH($A12,'2025_26'!$A:$A,0)),"")</f>
        <v>9.1277890466531456E-3</v>
      </c>
      <c r="V12" t="str">
        <f>IFERROR(INDEX('2023_24'!$P:$P,MATCH($A12,'2023_24'!$A:$A,0)),"")</f>
        <v/>
      </c>
      <c r="W12" t="str">
        <f>IFERROR(INDEX('2024_25'!$Q:$Q,MATCH($A12,'2024_25'!$A:$A,0)),"")</f>
        <v/>
      </c>
      <c r="X12">
        <f>IFERROR(INDEX('2025_26'!$Q:$Q,MATCH($A12,'2025_26'!$A:$A,0)),"")</f>
        <v>5.750507099391481E-2</v>
      </c>
      <c r="Y12" t="str">
        <f>IFERROR(INDEX('2023_24'!$M:$M,MATCH($A12,'2023_24'!$A:$A,0))/INDEX('2023_24'!$G:$G,MATCH($A12,'2023_24'!$A:$A,0))*90,"")</f>
        <v/>
      </c>
      <c r="Z12" t="str">
        <f>IFERROR(INDEX('2024_25'!$M:$M,MATCH($A12,'2024_25'!$A:$A,0))/INDEX('2024_25'!$G:$G,MATCH($A12,'2024_25'!$A:$A,0))*90,"")</f>
        <v/>
      </c>
      <c r="AA12">
        <f>IFERROR(INDEX('2025_26'!$M:$M,MATCH($A12,'2025_26'!$A:$A,0))/INDEX('2025_26'!$G:$G,MATCH($A12,'2025_26'!$A:$A,0))*90,"")</f>
        <v>3.6511156186612577</v>
      </c>
      <c r="AB12">
        <f>IFERROR(SUMPRODUCT(S12:U12,{0.2,0.3,0.5})/SUMPRODUCT(--(S12:U12&lt;&gt;""),{0.2,0.3,0.5}),"")</f>
        <v>9.1277890466531456E-3</v>
      </c>
      <c r="AC12">
        <f>IFERROR(SUMPRODUCT(V12:X12,{0.2,0.3,0.5})/SUMPRODUCT(--(V12:X12&lt;&gt;""),{0.2,0.3,0.5}),"")</f>
        <v>5.750507099391481E-2</v>
      </c>
      <c r="AD12">
        <f>IFERROR(SUMPRODUCT(Y12:AA12,{0.2,0.3,0.5})/SUMPRODUCT((Y12:AA12&lt;&gt;"")*{0.2,0.3,0.5}),O12)</f>
        <v>3.6511156186612577</v>
      </c>
      <c r="AE12">
        <f t="shared" si="22"/>
        <v>1</v>
      </c>
      <c r="AF12">
        <f t="shared" si="1"/>
        <v>84</v>
      </c>
      <c r="AG12">
        <f t="shared" si="2"/>
        <v>4.0162271805273837E-3</v>
      </c>
      <c r="AH12">
        <f t="shared" si="3"/>
        <v>2.8302231237322513E-2</v>
      </c>
      <c r="AI12" s="2">
        <f t="shared" si="4"/>
        <v>5.2064908722109529</v>
      </c>
      <c r="AJ12">
        <f t="shared" si="5"/>
        <v>0.56000000000000005</v>
      </c>
      <c r="AK12" t="str">
        <f t="shared" si="6"/>
        <v>NO</v>
      </c>
      <c r="AL12">
        <f t="shared" si="23"/>
        <v>4.0162271805273837E-3</v>
      </c>
      <c r="AM12">
        <f t="shared" si="7"/>
        <v>2.8302231237322513E-2</v>
      </c>
      <c r="AN12">
        <f t="shared" si="8"/>
        <v>4.0162271805273837E-3</v>
      </c>
      <c r="AO12">
        <f t="shared" si="9"/>
        <v>2.8302231237322513E-2</v>
      </c>
      <c r="AP12">
        <f t="array" ref="AP12">AL12*IF($C12="GKP",10,IF($C12="DEF",6,IF($C12="MID",5,4)))</f>
        <v>2.4097363083164302E-2</v>
      </c>
      <c r="AQ12">
        <f t="shared" si="10"/>
        <v>8.4906693711967546E-2</v>
      </c>
      <c r="AR12">
        <f t="shared" si="11"/>
        <v>2</v>
      </c>
      <c r="AS12" s="2">
        <f>IF($H12=0,0,Player_Analysis!$AM12*$H12/90)</f>
        <v>4</v>
      </c>
      <c r="AT12">
        <f t="shared" si="12"/>
        <v>1.0714285714285714</v>
      </c>
      <c r="AU12" s="2">
        <f>0</f>
        <v>0</v>
      </c>
      <c r="AV12" s="2">
        <f>IF(INDEX(FPL_Raw_Data!K:K,MATCH(A12,FPL_Raw_Data!AA:AA,0))=0,"",INDEX(FPL_Raw_Data!P:P,MATCH(A12,FPL_Raw_Data!AA:AA,0))/INDEX(FPL_Raw_Data!K:K,MATCH(A12,FPL_Raw_Data!AA:AA,0))*90)</f>
        <v>0</v>
      </c>
      <c r="AW12" s="2">
        <f t="shared" si="13"/>
        <v>0</v>
      </c>
      <c r="AX12" s="2">
        <f>IFERROR(INDEX(TEAM_ANALYSIS!$H$2:$H$21,MATCH($B12,TEAM_ANALYSIS!$A$2:$A$21,0)),0)</f>
        <v>0.33333333333333331</v>
      </c>
      <c r="AY12" s="2">
        <f t="shared" si="14"/>
        <v>-0.16666666666666666</v>
      </c>
      <c r="AZ12" s="2">
        <f t="shared" si="15"/>
        <v>7.013765961557036</v>
      </c>
      <c r="BA12">
        <f t="shared" si="16"/>
        <v>1.298845548436488</v>
      </c>
      <c r="BB12">
        <f>IFERROR(Player_Analysis!$Y12,1)</f>
        <v>1.1808551992225462</v>
      </c>
      <c r="BC12">
        <f t="shared" si="17"/>
        <v>8.2822420018347476</v>
      </c>
      <c r="BD12">
        <f t="shared" si="24"/>
        <v>10.757353155156769</v>
      </c>
      <c r="BE12">
        <f t="shared" si="25"/>
        <v>8.2822420018347476</v>
      </c>
      <c r="BF12">
        <f t="shared" si="18"/>
        <v>6</v>
      </c>
      <c r="BG12">
        <f>IF($BE12="","",COUNTIFS($C$2:$C$596,$C12,$BE$2:$BE$596,"&gt;"&amp;$BE12)+COUNTIFS($C$2:$C12,$C12,$BE$2:$BE12,$BE12))</f>
        <v>5</v>
      </c>
    </row>
    <row r="13" spans="1:59" x14ac:dyDescent="0.25">
      <c r="A13" t="str">
        <f>Player_Analysis!A13</f>
        <v>Bukayo Saka</v>
      </c>
      <c r="B13">
        <f>Player_Analysis!C13</f>
        <v>1</v>
      </c>
      <c r="C13" t="str">
        <f>Player_Analysis!B13</f>
        <v>MID</v>
      </c>
      <c r="D13" s="13">
        <f>Player_Analysis!E13</f>
        <v>9.5</v>
      </c>
      <c r="E13">
        <f>Player_Analysis!I13</f>
        <v>246</v>
      </c>
      <c r="F13" s="8">
        <f>Player_Analysis!Z13</f>
        <v>3</v>
      </c>
      <c r="G13" s="17">
        <f t="shared" si="19"/>
        <v>1</v>
      </c>
      <c r="H13">
        <f t="shared" si="0"/>
        <v>90</v>
      </c>
      <c r="I13" s="8">
        <f>Player_Analysis!AF13</f>
        <v>2</v>
      </c>
      <c r="J13" s="8">
        <f>Player_Analysis!AG13</f>
        <v>0</v>
      </c>
      <c r="K13">
        <f>Player_Analysis!O13</f>
        <v>1.5</v>
      </c>
      <c r="L13">
        <f>Player_Analysis!P13</f>
        <v>0.35</v>
      </c>
      <c r="M13">
        <f t="shared" si="20"/>
        <v>0.54878048780487809</v>
      </c>
      <c r="N13">
        <f t="shared" si="21"/>
        <v>0.12804878048780488</v>
      </c>
      <c r="O13" s="2">
        <f>IF(E13=0,"",Player_Analysis!L13/E13*90)</f>
        <v>8.0487804878048781</v>
      </c>
      <c r="P13">
        <f>IF(E13=0,"",Player_Analysis!Q13/E13*90)</f>
        <v>0.67682926829268297</v>
      </c>
      <c r="Q13">
        <f>IF(E13=0,"",(Player_Analysis!AD13/E13)*90)</f>
        <v>34.756097560975611</v>
      </c>
      <c r="R13">
        <f>IF(E13=0,"",Player_Analysis!AA13/E13*90)</f>
        <v>8.0487804878048781</v>
      </c>
      <c r="S13">
        <f t="array" ref="S13">IFERROR(INDEX('2023_24'!$O:$O,MATCH($A13,'2023_24'!$A:$A,0)),"")</f>
        <v>0.47433264887063659</v>
      </c>
      <c r="T13">
        <f>IFERROR(INDEX('2024_25'!$P:$P,MATCH($A13,'2024_25'!$A:$A,0)),"")</f>
        <v>0.35864269141531324</v>
      </c>
      <c r="U13">
        <f>IFERROR(INDEX('2025_26'!$P:$P,MATCH($A13,'2025_26'!$A:$A,0)),"")</f>
        <v>0.30716862037871956</v>
      </c>
      <c r="V13">
        <f>IFERROR(INDEX('2023_24'!$P:$P,MATCH($A13,'2023_24'!$A:$A,0)),"")</f>
        <v>0.33572895277207393</v>
      </c>
      <c r="W13">
        <f>IFERROR(INDEX('2024_25'!$Q:$Q,MATCH($A13,'2024_25'!$A:$A,0)),"")</f>
        <v>0.40614849187935037</v>
      </c>
      <c r="X13">
        <f>IFERROR(INDEX('2025_26'!$Q:$Q,MATCH($A13,'2025_26'!$A:$A,0)),"")</f>
        <v>0.29053201082055907</v>
      </c>
      <c r="Y13">
        <f>IFERROR(INDEX('2023_24'!$M:$M,MATCH($A13,'2023_24'!$A:$A,0))/INDEX('2023_24'!$G:$G,MATCH($A13,'2023_24'!$A:$A,0))*90,"")</f>
        <v>6.9609856262833674</v>
      </c>
      <c r="Z13">
        <f>IFERROR(INDEX('2024_25'!$M:$M,MATCH($A13,'2024_25'!$A:$A,0))/INDEX('2024_25'!$G:$G,MATCH($A13,'2024_25'!$A:$A,0))*90,"")</f>
        <v>6.629930394431554</v>
      </c>
      <c r="AA13">
        <f>IFERROR(INDEX('2025_26'!$M:$M,MATCH($A13,'2025_26'!$A:$A,0))/INDEX('2025_26'!$G:$G,MATCH($A13,'2025_26'!$A:$A,0))*90,"")</f>
        <v>6.3706041478809734</v>
      </c>
      <c r="AB13">
        <f>IFERROR(SUMPRODUCT(S13:U13,{0.2,0.3,0.5})/SUMPRODUCT(--(S13:U13&lt;&gt;""),{0.2,0.3,0.5}),"")</f>
        <v>0.35604364738808103</v>
      </c>
      <c r="AC13">
        <f>IFERROR(SUMPRODUCT(V13:X13,{0.2,0.3,0.5})/SUMPRODUCT(--(V13:X13&lt;&gt;""),{0.2,0.3,0.5}),"")</f>
        <v>0.33425634352849942</v>
      </c>
      <c r="AD13">
        <f>IFERROR(SUMPRODUCT(Y13:AA13,{0.2,0.3,0.5})/SUMPRODUCT((Y13:AA13&lt;&gt;"")*{0.2,0.3,0.5}),O13)</f>
        <v>6.5664783175266264</v>
      </c>
      <c r="AE13">
        <f t="shared" si="22"/>
        <v>3</v>
      </c>
      <c r="AF13">
        <f t="shared" si="1"/>
        <v>82</v>
      </c>
      <c r="AG13">
        <f t="shared" si="2"/>
        <v>0.51408785652985456</v>
      </c>
      <c r="AH13">
        <f t="shared" si="3"/>
        <v>0.1651661418351299</v>
      </c>
      <c r="AI13" s="2">
        <f t="shared" si="4"/>
        <v>7.7819660971547933</v>
      </c>
      <c r="AJ13">
        <f t="shared" si="5"/>
        <v>0.82</v>
      </c>
      <c r="AK13" t="str">
        <f t="shared" si="6"/>
        <v>NO</v>
      </c>
      <c r="AL13">
        <f t="shared" si="23"/>
        <v>0.51408785652985456</v>
      </c>
      <c r="AM13">
        <f t="shared" si="7"/>
        <v>0.1651661418351299</v>
      </c>
      <c r="AN13">
        <f t="shared" si="8"/>
        <v>0.51408785652985456</v>
      </c>
      <c r="AO13">
        <f t="shared" si="9"/>
        <v>0.1651661418351299</v>
      </c>
      <c r="AP13">
        <f t="array" ref="AP13">AL13*IF($C13="GKP",10,IF($C13="DEF",6,IF($C13="MID",5,4)))</f>
        <v>2.5704392826492728</v>
      </c>
      <c r="AQ13">
        <f t="shared" si="10"/>
        <v>0.49549842550538969</v>
      </c>
      <c r="AR13">
        <f t="shared" si="11"/>
        <v>2</v>
      </c>
      <c r="AS13" s="2">
        <f>IF($H13=0,0,Player_Analysis!$AM13*$H13/90)</f>
        <v>0.66666666666666663</v>
      </c>
      <c r="AT13">
        <f t="shared" si="12"/>
        <v>1.3414634146341464</v>
      </c>
      <c r="AU13" s="2">
        <f>0</f>
        <v>0</v>
      </c>
      <c r="AV13" s="2">
        <f>IF(INDEX(FPL_Raw_Data!K:K,MATCH(A13,FPL_Raw_Data!AA:AA,0))=0,"",INDEX(FPL_Raw_Data!P:P,MATCH(A13,FPL_Raw_Data!AA:AA,0))/INDEX(FPL_Raw_Data!K:K,MATCH(A13,FPL_Raw_Data!AA:AA,0))*90)</f>
        <v>0</v>
      </c>
      <c r="AW13" s="2">
        <f t="shared" si="13"/>
        <v>0</v>
      </c>
      <c r="AX13" s="2">
        <f>IFERROR(INDEX(TEAM_ANALYSIS!$H$2:$H$21,MATCH($B13,TEAM_ANALYSIS!$A$2:$A$21,0)),0)</f>
        <v>0.33333333333333331</v>
      </c>
      <c r="AY13" s="2">
        <f t="shared" si="14"/>
        <v>0</v>
      </c>
      <c r="AZ13" s="2">
        <f t="shared" si="15"/>
        <v>7.0740677894554755</v>
      </c>
      <c r="BA13">
        <f t="shared" si="16"/>
        <v>0.74463871467952369</v>
      </c>
      <c r="BB13">
        <f>IFERROR(Player_Analysis!$Y13,1)</f>
        <v>1.0430363321799305</v>
      </c>
      <c r="BC13">
        <f t="shared" si="17"/>
        <v>7.3785097207058286</v>
      </c>
      <c r="BD13">
        <f t="shared" si="24"/>
        <v>5.4943239946767592</v>
      </c>
      <c r="BE13">
        <f t="shared" si="25"/>
        <v>7.3785097207058286</v>
      </c>
      <c r="BF13">
        <f t="shared" si="18"/>
        <v>16</v>
      </c>
      <c r="BG13">
        <f>IF($BE13="","",COUNTIFS($C$2:$C$596,$C13,$BE$2:$BE$596,"&gt;"&amp;$BE13)+COUNTIFS($C$2:$C13,$C13,$BE$2:$BE13,$BE13))</f>
        <v>6</v>
      </c>
    </row>
    <row r="14" spans="1:59" x14ac:dyDescent="0.25">
      <c r="A14" t="str">
        <f>Player_Analysis!A14</f>
        <v>Declan Rice</v>
      </c>
      <c r="B14">
        <f>Player_Analysis!C14</f>
        <v>1</v>
      </c>
      <c r="C14" t="str">
        <f>Player_Analysis!B14</f>
        <v>MID</v>
      </c>
      <c r="D14" s="13">
        <f>Player_Analysis!E14</f>
        <v>7.4</v>
      </c>
      <c r="E14">
        <f>Player_Analysis!I14</f>
        <v>241</v>
      </c>
      <c r="F14" s="8">
        <f>Player_Analysis!Z14</f>
        <v>3</v>
      </c>
      <c r="G14" s="17">
        <f t="shared" si="19"/>
        <v>1</v>
      </c>
      <c r="H14">
        <f t="shared" si="0"/>
        <v>90</v>
      </c>
      <c r="I14" s="8">
        <f>Player_Analysis!AF14</f>
        <v>0</v>
      </c>
      <c r="J14" s="8">
        <f>Player_Analysis!AG14</f>
        <v>1</v>
      </c>
      <c r="K14">
        <f>Player_Analysis!O14</f>
        <v>0.1</v>
      </c>
      <c r="L14">
        <f>Player_Analysis!P14</f>
        <v>0.26</v>
      </c>
      <c r="M14">
        <f t="shared" si="20"/>
        <v>3.7344398340248969E-2</v>
      </c>
      <c r="N14">
        <f t="shared" si="21"/>
        <v>9.7095435684647305E-2</v>
      </c>
      <c r="O14" s="2">
        <f>IF(E14=0,"",Player_Analysis!L14/E14*90)</f>
        <v>4.8547717842323657</v>
      </c>
      <c r="P14">
        <f>IF(E14=0,"",Player_Analysis!Q14/E14*90)</f>
        <v>0.13443983402489626</v>
      </c>
      <c r="Q14">
        <f>IF(E14=0,"",(Player_Analysis!AD14/E14)*90)</f>
        <v>19.045643153526971</v>
      </c>
      <c r="R14">
        <f>IF(E14=0,"",Player_Analysis!AA14/E14*90)</f>
        <v>8.9626556016597512</v>
      </c>
      <c r="S14">
        <f t="array" ref="S14">IFERROR(INDEX('2023_24'!$O:$O,MATCH($A14,'2023_24'!$A:$A,0)),"")</f>
        <v>9.8511627906976748E-2</v>
      </c>
      <c r="T14">
        <f>IFERROR(INDEX('2024_25'!$P:$P,MATCH($A14,'2024_25'!$A:$A,0)),"")</f>
        <v>0.11190223166843784</v>
      </c>
      <c r="U14">
        <f>IFERROR(INDEX('2025_26'!$P:$P,MATCH($A14,'2025_26'!$A:$A,0)),"")</f>
        <v>9.1658583899127066E-2</v>
      </c>
      <c r="V14">
        <f>IFERROR(INDEX('2023_24'!$P:$P,MATCH($A14,'2023_24'!$A:$A,0)),"")</f>
        <v>0.14204651162790696</v>
      </c>
      <c r="W14">
        <f>IFERROR(INDEX('2024_25'!$Q:$Q,MATCH($A14,'2024_25'!$A:$A,0)),"")</f>
        <v>0.17980871413390012</v>
      </c>
      <c r="X14">
        <f>IFERROR(INDEX('2025_26'!$Q:$Q,MATCH($A14,'2025_26'!$A:$A,0)),"")</f>
        <v>0.21299709020368573</v>
      </c>
      <c r="Y14">
        <f>IFERROR(INDEX('2023_24'!$M:$M,MATCH($A14,'2023_24'!$A:$A,0))/INDEX('2023_24'!$G:$G,MATCH($A14,'2023_24'!$A:$A,0))*90,"")</f>
        <v>4.6046511627906979</v>
      </c>
      <c r="Z14">
        <f>IFERROR(INDEX('2024_25'!$M:$M,MATCH($A14,'2024_25'!$A:$A,0))/INDEX('2024_25'!$G:$G,MATCH($A14,'2024_25'!$A:$A,0))*90,"")</f>
        <v>4.0488841657810841</v>
      </c>
      <c r="AA14">
        <f>IFERROR(INDEX('2025_26'!$M:$M,MATCH($A14,'2025_26'!$A:$A,0))/INDEX('2025_26'!$G:$G,MATCH($A14,'2025_26'!$A:$A,0))*90,"")</f>
        <v>5.3540252182347237</v>
      </c>
      <c r="AB14">
        <f>IFERROR(SUMPRODUCT(S14:U14,{0.2,0.3,0.5})/SUMPRODUCT(--(S14:U14&lt;&gt;""),{0.2,0.3,0.5}),"")</f>
        <v>9.9102287031490238E-2</v>
      </c>
      <c r="AC14">
        <f>IFERROR(SUMPRODUCT(V14:X14,{0.2,0.3,0.5})/SUMPRODUCT(--(V14:X14&lt;&gt;""),{0.2,0.3,0.5}),"")</f>
        <v>0.18885046166759428</v>
      </c>
      <c r="AD14">
        <f>IFERROR(SUMPRODUCT(Y14:AA14,{0.2,0.3,0.5})/SUMPRODUCT((Y14:AA14&lt;&gt;"")*{0.2,0.3,0.5}),O14)</f>
        <v>4.8126080914098264</v>
      </c>
      <c r="AE14">
        <f t="shared" si="22"/>
        <v>3</v>
      </c>
      <c r="AF14">
        <f t="shared" si="1"/>
        <v>80.333333333333329</v>
      </c>
      <c r="AG14">
        <f t="shared" si="2"/>
        <v>4.9490116449526417E-2</v>
      </c>
      <c r="AH14">
        <f t="shared" si="3"/>
        <v>0.11514059079462688</v>
      </c>
      <c r="AI14" s="2">
        <f t="shared" si="4"/>
        <v>4.8464795913105991</v>
      </c>
      <c r="AJ14">
        <f t="shared" si="5"/>
        <v>0.80333333333333334</v>
      </c>
      <c r="AK14" t="str">
        <f t="shared" si="6"/>
        <v>NO</v>
      </c>
      <c r="AL14">
        <f t="shared" si="23"/>
        <v>4.9490116449526424E-2</v>
      </c>
      <c r="AM14">
        <f t="shared" si="7"/>
        <v>0.11514059079462688</v>
      </c>
      <c r="AN14">
        <f t="shared" si="8"/>
        <v>4.9490116449526424E-2</v>
      </c>
      <c r="AO14">
        <f t="shared" si="9"/>
        <v>0.11514059079462688</v>
      </c>
      <c r="AP14">
        <f t="array" ref="AP14">AL14*IF($C14="GKP",10,IF($C14="DEF",6,IF($C14="MID",5,4)))</f>
        <v>0.24745058224763211</v>
      </c>
      <c r="AQ14">
        <f t="shared" si="10"/>
        <v>0.34542177238388061</v>
      </c>
      <c r="AR14">
        <f t="shared" si="11"/>
        <v>2</v>
      </c>
      <c r="AS14" s="2">
        <f>IF($H14=0,0,Player_Analysis!$AM14*$H14/90)</f>
        <v>0.66666666666666663</v>
      </c>
      <c r="AT14">
        <f t="shared" si="12"/>
        <v>1.4937759336099585</v>
      </c>
      <c r="AU14" s="2">
        <f>0</f>
        <v>0</v>
      </c>
      <c r="AV14" s="2">
        <f>IF(INDEX(FPL_Raw_Data!K:K,MATCH(A14,FPL_Raw_Data!AA:AA,0))=0,"",INDEX(FPL_Raw_Data!P:P,MATCH(A14,FPL_Raw_Data!AA:AA,0))/INDEX(FPL_Raw_Data!K:K,MATCH(A14,FPL_Raw_Data!AA:AA,0))*90)</f>
        <v>0</v>
      </c>
      <c r="AW14" s="2">
        <f t="shared" si="13"/>
        <v>0</v>
      </c>
      <c r="AX14" s="2">
        <f>IFERROR(INDEX(TEAM_ANALYSIS!$H$2:$H$21,MATCH($B14,TEAM_ANALYSIS!$A$2:$A$21,0)),0)</f>
        <v>0.33333333333333331</v>
      </c>
      <c r="AY14" s="2">
        <f t="shared" si="14"/>
        <v>0</v>
      </c>
      <c r="AZ14" s="2">
        <f t="shared" si="15"/>
        <v>4.7533149549081379</v>
      </c>
      <c r="BA14">
        <f t="shared" si="16"/>
        <v>0.64233985877137001</v>
      </c>
      <c r="BB14">
        <f>IFERROR(Player_Analysis!$Y14,1)</f>
        <v>1.0430363321799305</v>
      </c>
      <c r="BC14">
        <f t="shared" si="17"/>
        <v>4.957880196263396</v>
      </c>
      <c r="BD14">
        <f t="shared" si="24"/>
        <v>3.184644065073202</v>
      </c>
      <c r="BE14">
        <f t="shared" si="25"/>
        <v>4.957880196263396</v>
      </c>
      <c r="BF14">
        <f t="shared" si="18"/>
        <v>97</v>
      </c>
      <c r="BG14">
        <f>IF($BE14="","",COUNTIFS($C$2:$C$596,$C14,$BE$2:$BE$596,"&gt;"&amp;$BE14)+COUNTIFS($C$2:$C14,$C14,$BE$2:$BE14,$BE14))</f>
        <v>45</v>
      </c>
    </row>
    <row r="15" spans="1:59" x14ac:dyDescent="0.25">
      <c r="A15" t="str">
        <f>Player_Analysis!A15</f>
        <v>Eberechi Eze</v>
      </c>
      <c r="B15">
        <f>Player_Analysis!C15</f>
        <v>1</v>
      </c>
      <c r="C15" t="str">
        <f>Player_Analysis!B15</f>
        <v>MID</v>
      </c>
      <c r="D15" s="13">
        <f>Player_Analysis!E15</f>
        <v>6.4</v>
      </c>
      <c r="E15">
        <f>Player_Analysis!I15</f>
        <v>59</v>
      </c>
      <c r="F15" s="8">
        <f>Player_Analysis!Z15</f>
        <v>0</v>
      </c>
      <c r="G15" s="17">
        <f t="shared" si="19"/>
        <v>0</v>
      </c>
      <c r="H15">
        <f t="shared" si="0"/>
        <v>0</v>
      </c>
      <c r="I15" s="8">
        <f>Player_Analysis!AF15</f>
        <v>0</v>
      </c>
      <c r="J15" s="8">
        <f>Player_Analysis!AG15</f>
        <v>0</v>
      </c>
      <c r="K15">
        <f>Player_Analysis!O15</f>
        <v>0.04</v>
      </c>
      <c r="L15">
        <f>Player_Analysis!P15</f>
        <v>7.0000000000000007E-2</v>
      </c>
      <c r="M15">
        <f t="shared" si="20"/>
        <v>6.1016949152542375E-2</v>
      </c>
      <c r="N15">
        <f t="shared" si="21"/>
        <v>0.10677966101694916</v>
      </c>
      <c r="O15" s="2">
        <f>IF(E15=0,"",Player_Analysis!L15/E15*90)</f>
        <v>3.0508474576271185</v>
      </c>
      <c r="P15">
        <f>IF(E15=0,"",Player_Analysis!Q15/E15*90)</f>
        <v>0.16779661016949154</v>
      </c>
      <c r="Q15">
        <f>IF(E15=0,"",(Player_Analysis!AD15/E15)*90)</f>
        <v>15.254237288135592</v>
      </c>
      <c r="R15">
        <f>IF(E15=0,"",Player_Analysis!AA15/E15*90)</f>
        <v>7.6271186440677958</v>
      </c>
      <c r="S15">
        <f t="array" ref="S15">IFERROR(INDEX('2023_24'!$O:$O,MATCH($A15,'2023_24'!$A:$A,0)),"")</f>
        <v>0.39961051606621223</v>
      </c>
      <c r="T15">
        <f>IFERROR(INDEX('2024_25'!$P:$P,MATCH($A15,'2024_25'!$A:$A,0)),"")</f>
        <v>0.36132148377125195</v>
      </c>
      <c r="U15">
        <f>IFERROR(INDEX('2025_26'!$P:$P,MATCH($A15,'2025_26'!$A:$A,0)),"")</f>
        <v>0.24732095490716177</v>
      </c>
      <c r="V15">
        <f>IFERROR(INDEX('2023_24'!$P:$P,MATCH($A15,'2023_24'!$A:$A,0)),"")</f>
        <v>0.24800389483933788</v>
      </c>
      <c r="W15">
        <f>IFERROR(INDEX('2024_25'!$Q:$Q,MATCH($A15,'2024_25'!$A:$A,0)),"")</f>
        <v>0.16240340030911901</v>
      </c>
      <c r="X15">
        <f>IFERROR(INDEX('2025_26'!$Q:$Q,MATCH($A15,'2025_26'!$A:$A,0)),"")</f>
        <v>0.1270026525198939</v>
      </c>
      <c r="Y15">
        <f>IFERROR(INDEX('2023_24'!$M:$M,MATCH($A15,'2023_24'!$A:$A,0))/INDEX('2023_24'!$G:$G,MATCH($A15,'2023_24'!$A:$A,0))*90,"")</f>
        <v>5.9591041869522883</v>
      </c>
      <c r="Z15">
        <f>IFERROR(INDEX('2024_25'!$M:$M,MATCH($A15,'2024_25'!$A:$A,0))/INDEX('2024_25'!$G:$G,MATCH($A15,'2024_25'!$A:$A,0))*90,"")</f>
        <v>5.1468315301391039</v>
      </c>
      <c r="AA15">
        <f>IFERROR(INDEX('2025_26'!$M:$M,MATCH($A15,'2025_26'!$A:$A,0))/INDEX('2025_26'!$G:$G,MATCH($A15,'2025_26'!$A:$A,0))*90,"")</f>
        <v>5.3952254641909816</v>
      </c>
      <c r="AB15">
        <f>IFERROR(SUMPRODUCT(S15:U15,{0.2,0.3,0.5})/SUMPRODUCT(--(S15:U15&lt;&gt;""),{0.2,0.3,0.5}),"")</f>
        <v>0.31197902579819892</v>
      </c>
      <c r="AC15">
        <f>IFERROR(SUMPRODUCT(V15:X15,{0.2,0.3,0.5})/SUMPRODUCT(--(V15:X15&lt;&gt;""),{0.2,0.3,0.5}),"")</f>
        <v>0.16182312532055024</v>
      </c>
      <c r="AD15">
        <f>IFERROR(SUMPRODUCT(Y15:AA15,{0.2,0.3,0.5})/SUMPRODUCT((Y15:AA15&lt;&gt;"")*{0.2,0.3,0.5}),O15)</f>
        <v>5.4334830285276796</v>
      </c>
      <c r="AE15">
        <f t="shared" si="22"/>
        <v>3</v>
      </c>
      <c r="AF15" t="str">
        <f t="shared" si="1"/>
        <v/>
      </c>
      <c r="AG15">
        <f t="shared" si="2"/>
        <v>0.26262315072455317</v>
      </c>
      <c r="AH15">
        <f t="shared" si="3"/>
        <v>0.15099791067417534</v>
      </c>
      <c r="AI15" s="2">
        <f t="shared" si="4"/>
        <v>4.9648980329172359</v>
      </c>
      <c r="AJ15">
        <f t="shared" si="5"/>
        <v>0.19666666666666666</v>
      </c>
      <c r="AK15" t="str">
        <f t="shared" si="6"/>
        <v>NO</v>
      </c>
      <c r="AL15">
        <f t="shared" si="23"/>
        <v>0</v>
      </c>
      <c r="AM15">
        <f t="shared" si="7"/>
        <v>0</v>
      </c>
      <c r="AN15">
        <f t="shared" si="8"/>
        <v>0</v>
      </c>
      <c r="AO15">
        <f t="shared" si="9"/>
        <v>0</v>
      </c>
      <c r="AP15">
        <f t="array" ref="AP15">AL15*IF($C15="GKP",10,IF($C15="DEF",6,IF($C15="MID",5,4)))</f>
        <v>0</v>
      </c>
      <c r="AQ15">
        <f t="shared" si="10"/>
        <v>0</v>
      </c>
      <c r="AR15">
        <f t="shared" si="11"/>
        <v>0</v>
      </c>
      <c r="AS15" s="2">
        <f>IF($H15=0,0,Player_Analysis!$AM15*$H15/90)</f>
        <v>0</v>
      </c>
      <c r="AT15">
        <f t="shared" si="12"/>
        <v>0</v>
      </c>
      <c r="AU15" s="2">
        <f>0</f>
        <v>0</v>
      </c>
      <c r="AV15" s="2">
        <f>IF(INDEX(FPL_Raw_Data!K:K,MATCH(A15,FPL_Raw_Data!AA:AA,0))=0,"",INDEX(FPL_Raw_Data!P:P,MATCH(A15,FPL_Raw_Data!AA:AA,0))/INDEX(FPL_Raw_Data!K:K,MATCH(A15,FPL_Raw_Data!AA:AA,0))*90)</f>
        <v>0</v>
      </c>
      <c r="AW15" s="2">
        <f t="shared" si="13"/>
        <v>0</v>
      </c>
      <c r="AX15" s="2">
        <f>IFERROR(INDEX(TEAM_ANALYSIS!$H$2:$H$21,MATCH($B15,TEAM_ANALYSIS!$A$2:$A$21,0)),0)</f>
        <v>0.33333333333333331</v>
      </c>
      <c r="AY15" s="2">
        <f t="shared" si="14"/>
        <v>0</v>
      </c>
      <c r="AZ15" s="2">
        <f t="shared" si="15"/>
        <v>0</v>
      </c>
      <c r="BA15">
        <f t="shared" si="16"/>
        <v>0</v>
      </c>
      <c r="BB15">
        <f>IFERROR(Player_Analysis!$Y15,1)</f>
        <v>1.0430363321799305</v>
      </c>
      <c r="BC15">
        <f t="shared" si="17"/>
        <v>0</v>
      </c>
      <c r="BD15">
        <f t="shared" si="24"/>
        <v>0</v>
      </c>
      <c r="BE15">
        <f t="shared" si="25"/>
        <v>0</v>
      </c>
      <c r="BF15">
        <f t="shared" si="18"/>
        <v>253</v>
      </c>
      <c r="BG15">
        <f>IF($BE15="","",COUNTIFS($C$2:$C$596,$C15,$BE$2:$BE$596,"&gt;"&amp;$BE15)+COUNTIFS($C$2:$C15,$C15,$BE$2:$BE15,$BE15))</f>
        <v>111</v>
      </c>
    </row>
    <row r="16" spans="1:59" x14ac:dyDescent="0.25">
      <c r="A16" t="str">
        <f>Player_Analysis!A16</f>
        <v>Martin Ødegaard</v>
      </c>
      <c r="B16">
        <f>Player_Analysis!C16</f>
        <v>1</v>
      </c>
      <c r="C16" t="str">
        <f>Player_Analysis!B16</f>
        <v>MID</v>
      </c>
      <c r="D16" s="13">
        <f>Player_Analysis!E16</f>
        <v>6.6</v>
      </c>
      <c r="E16">
        <f>Player_Analysis!I16</f>
        <v>221</v>
      </c>
      <c r="F16" s="8">
        <f>Player_Analysis!Z16</f>
        <v>3</v>
      </c>
      <c r="G16" s="17">
        <f t="shared" si="19"/>
        <v>1</v>
      </c>
      <c r="H16">
        <f t="shared" si="0"/>
        <v>90</v>
      </c>
      <c r="I16" s="8">
        <f>Player_Analysis!AF16</f>
        <v>2</v>
      </c>
      <c r="J16" s="8">
        <f>Player_Analysis!AG16</f>
        <v>0</v>
      </c>
      <c r="K16">
        <f>Player_Analysis!O16</f>
        <v>1.01</v>
      </c>
      <c r="L16">
        <f>Player_Analysis!P16</f>
        <v>1.05</v>
      </c>
      <c r="M16">
        <f t="shared" si="20"/>
        <v>0.41131221719457017</v>
      </c>
      <c r="N16">
        <f t="shared" si="21"/>
        <v>0.42760180995475117</v>
      </c>
      <c r="O16" s="2">
        <f>IF(E16=0,"",Player_Analysis!L16/E16*90)</f>
        <v>9.7737556561085981</v>
      </c>
      <c r="P16">
        <f>IF(E16=0,"",Player_Analysis!Q16/E16*90)</f>
        <v>0.8389140271493214</v>
      </c>
      <c r="Q16">
        <f>IF(E16=0,"",(Player_Analysis!AD16/E16)*90)</f>
        <v>41.13122171945701</v>
      </c>
      <c r="R16">
        <f>IF(E16=0,"",Player_Analysis!AA16/E16*90)</f>
        <v>6.515837104072399</v>
      </c>
      <c r="S16">
        <f t="array" ref="S16">IFERROR(INDEX('2023_24'!$O:$O,MATCH($A16,'2023_24'!$A:$A,0)),"")</f>
        <v>0.21875403486120079</v>
      </c>
      <c r="T16">
        <f>IFERROR(INDEX('2024_25'!$P:$P,MATCH($A16,'2024_25'!$A:$A,0)),"")</f>
        <v>0.18806548901335629</v>
      </c>
      <c r="U16">
        <f>IFERROR(INDEX('2025_26'!$P:$P,MATCH($A16,'2025_26'!$A:$A,0)),"")</f>
        <v>8.2538517975055029E-2</v>
      </c>
      <c r="V16">
        <f>IFERROR(INDEX('2023_24'!$P:$P,MATCH($A16,'2023_24'!$A:$A,0)),"")</f>
        <v>0.29515816655907035</v>
      </c>
      <c r="W16">
        <f>IFERROR(INDEX('2024_25'!$Q:$Q,MATCH($A16,'2024_25'!$A:$A,0)),"")</f>
        <v>0.2590262817750969</v>
      </c>
      <c r="X16">
        <f>IFERROR(INDEX('2025_26'!$Q:$Q,MATCH($A16,'2025_26'!$A:$A,0)),"")</f>
        <v>0.24101247248716068</v>
      </c>
      <c r="Y16">
        <f>IFERROR(INDEX('2023_24'!$M:$M,MATCH($A16,'2023_24'!$A:$A,0))/INDEX('2023_24'!$G:$G,MATCH($A16,'2023_24'!$A:$A,0))*90,"")</f>
        <v>5.4034861200774698</v>
      </c>
      <c r="Z16">
        <f>IFERROR(INDEX('2024_25'!$M:$M,MATCH($A16,'2024_25'!$A:$A,0))/INDEX('2024_25'!$G:$G,MATCH($A16,'2024_25'!$A:$A,0))*90,"")</f>
        <v>4.4980611805256352</v>
      </c>
      <c r="AA16">
        <f>IFERROR(INDEX('2025_26'!$M:$M,MATCH($A16,'2025_26'!$A:$A,0))/INDEX('2025_26'!$G:$G,MATCH($A16,'2025_26'!$A:$A,0))*90,"")</f>
        <v>4.8862802641232577</v>
      </c>
      <c r="AB16">
        <f>IFERROR(SUMPRODUCT(S16:U16,{0.2,0.3,0.5})/SUMPRODUCT(--(S16:U16&lt;&gt;""),{0.2,0.3,0.5}),"")</f>
        <v>0.14143971266377456</v>
      </c>
      <c r="AC16">
        <f>IFERROR(SUMPRODUCT(V16:X16,{0.2,0.3,0.5})/SUMPRODUCT(--(V16:X16&lt;&gt;""),{0.2,0.3,0.5}),"")</f>
        <v>0.25724575408792349</v>
      </c>
      <c r="AD16">
        <f>IFERROR(SUMPRODUCT(Y16:AA16,{0.2,0.3,0.5})/SUMPRODUCT((Y16:AA16&lt;&gt;"")*{0.2,0.3,0.5}),O16)</f>
        <v>4.8732557102348135</v>
      </c>
      <c r="AE16">
        <f t="shared" si="22"/>
        <v>3</v>
      </c>
      <c r="AF16">
        <f t="shared" si="1"/>
        <v>73.666666666666671</v>
      </c>
      <c r="AG16">
        <f t="shared" si="2"/>
        <v>0.34024579100146068</v>
      </c>
      <c r="AH16">
        <f t="shared" si="3"/>
        <v>0.38274138190981988</v>
      </c>
      <c r="AI16" s="2">
        <f t="shared" si="4"/>
        <v>8.4832906703618356</v>
      </c>
      <c r="AJ16">
        <f t="shared" si="5"/>
        <v>0.73666666666666669</v>
      </c>
      <c r="AK16" t="str">
        <f t="shared" si="6"/>
        <v>NO</v>
      </c>
      <c r="AL16">
        <f t="shared" si="23"/>
        <v>0.34024579100146068</v>
      </c>
      <c r="AM16">
        <f t="shared" si="7"/>
        <v>0.38274138190981988</v>
      </c>
      <c r="AN16">
        <f t="shared" si="8"/>
        <v>0.34024579100146068</v>
      </c>
      <c r="AO16">
        <f t="shared" si="9"/>
        <v>0.38274138190981988</v>
      </c>
      <c r="AP16">
        <f t="array" ref="AP16">AL16*IF($C16="GKP",10,IF($C16="DEF",6,IF($C16="MID",5,4)))</f>
        <v>1.7012289550073034</v>
      </c>
      <c r="AQ16">
        <f t="shared" si="10"/>
        <v>1.1482241457294595</v>
      </c>
      <c r="AR16">
        <f t="shared" si="11"/>
        <v>2</v>
      </c>
      <c r="AS16" s="2">
        <f>IF($H16=0,0,Player_Analysis!$AM16*$H16/90)</f>
        <v>0.66666666666666663</v>
      </c>
      <c r="AT16">
        <f t="shared" si="12"/>
        <v>1.0859728506787332</v>
      </c>
      <c r="AU16" s="2">
        <f>0</f>
        <v>0</v>
      </c>
      <c r="AV16" s="2">
        <f>IF(INDEX(FPL_Raw_Data!K:K,MATCH(A16,FPL_Raw_Data!AA:AA,0))=0,"",INDEX(FPL_Raw_Data!P:P,MATCH(A16,FPL_Raw_Data!AA:AA,0))/INDEX(FPL_Raw_Data!K:K,MATCH(A16,FPL_Raw_Data!AA:AA,0))*90)</f>
        <v>0</v>
      </c>
      <c r="AW16" s="2">
        <f t="shared" si="13"/>
        <v>0</v>
      </c>
      <c r="AX16" s="2">
        <f>IFERROR(INDEX(TEAM_ANALYSIS!$H$2:$H$21,MATCH($B16,TEAM_ANALYSIS!$A$2:$A$21,0)),0)</f>
        <v>0.33333333333333331</v>
      </c>
      <c r="AY16" s="2">
        <f t="shared" si="14"/>
        <v>0</v>
      </c>
      <c r="AZ16" s="2">
        <f t="shared" si="15"/>
        <v>6.602092618082164</v>
      </c>
      <c r="BA16">
        <f t="shared" si="16"/>
        <v>1.0003170633457825</v>
      </c>
      <c r="BB16">
        <f>IFERROR(Player_Analysis!$Y16,1)</f>
        <v>1.0430363321799305</v>
      </c>
      <c r="BC16">
        <f t="shared" si="17"/>
        <v>6.8862224690766149</v>
      </c>
      <c r="BD16">
        <f t="shared" si="24"/>
        <v>6.8884058378124635</v>
      </c>
      <c r="BE16">
        <f t="shared" si="25"/>
        <v>6.8862224690766149</v>
      </c>
      <c r="BF16">
        <f t="shared" si="18"/>
        <v>23</v>
      </c>
      <c r="BG16">
        <f>IF($BE16="","",COUNTIFS($C$2:$C$596,$C16,$BE$2:$BE$596,"&gt;"&amp;$BE16)+COUNTIFS($C$2:$C16,$C16,$BE$2:$BE16,$BE16))</f>
        <v>10</v>
      </c>
    </row>
    <row r="17" spans="1:59" x14ac:dyDescent="0.25">
      <c r="A17" t="str">
        <f>Player_Analysis!A17</f>
        <v>Noni Madueke</v>
      </c>
      <c r="B17">
        <f>Player_Analysis!C17</f>
        <v>1</v>
      </c>
      <c r="C17" t="str">
        <f>Player_Analysis!B17</f>
        <v>MID</v>
      </c>
      <c r="D17" s="13">
        <f>Player_Analysis!E17</f>
        <v>6.3</v>
      </c>
      <c r="E17">
        <f>Player_Analysis!I17</f>
        <v>23</v>
      </c>
      <c r="F17" s="8">
        <f>Player_Analysis!Z17</f>
        <v>0</v>
      </c>
      <c r="G17" s="17">
        <f t="shared" si="19"/>
        <v>0</v>
      </c>
      <c r="H17">
        <f t="shared" si="0"/>
        <v>0</v>
      </c>
      <c r="I17" s="8">
        <f>Player_Analysis!AF17</f>
        <v>0</v>
      </c>
      <c r="J17" s="8">
        <f>Player_Analysis!AG17</f>
        <v>0</v>
      </c>
      <c r="K17">
        <f>Player_Analysis!O17</f>
        <v>0</v>
      </c>
      <c r="L17">
        <f>Player_Analysis!P17</f>
        <v>0.05</v>
      </c>
      <c r="M17">
        <f t="shared" si="20"/>
        <v>0</v>
      </c>
      <c r="N17">
        <f t="shared" si="21"/>
        <v>0.19565217391304349</v>
      </c>
      <c r="O17" s="2">
        <f>IF(E17=0,"",Player_Analysis!L17/E17*90)</f>
        <v>7.8260869565217392</v>
      </c>
      <c r="P17">
        <f>IF(E17=0,"",Player_Analysis!Q17/E17*90)</f>
        <v>0.19565217391304349</v>
      </c>
      <c r="Q17">
        <f>IF(E17=0,"",(Player_Analysis!AD17/E17)*90)</f>
        <v>43.04347826086957</v>
      </c>
      <c r="R17">
        <f>IF(E17=0,"",Player_Analysis!AA17/E17*90)</f>
        <v>11.739130434782608</v>
      </c>
      <c r="S17">
        <f t="array" ref="S17">IFERROR(INDEX('2023_24'!$O:$O,MATCH($A17,'2023_24'!$A:$A,0)),"")</f>
        <v>0.21637931034482757</v>
      </c>
      <c r="T17">
        <f>IFERROR(INDEX('2024_25'!$P:$P,MATCH($A17,'2024_25'!$A:$A,0)),"")</f>
        <v>0.42692307692307685</v>
      </c>
      <c r="U17">
        <f>IFERROR(INDEX('2025_26'!$P:$P,MATCH($A17,'2025_26'!$A:$A,0)),"")</f>
        <v>9.1867219917012452E-2</v>
      </c>
      <c r="V17">
        <f>IFERROR(INDEX('2023_24'!$P:$P,MATCH($A17,'2023_24'!$A:$A,0)),"")</f>
        <v>0.18362068965517239</v>
      </c>
      <c r="W17">
        <f>IFERROR(INDEX('2024_25'!$Q:$Q,MATCH($A17,'2024_25'!$A:$A,0)),"")</f>
        <v>0.12692307692307692</v>
      </c>
      <c r="X17">
        <f>IFERROR(INDEX('2025_26'!$Q:$Q,MATCH($A17,'2025_26'!$A:$A,0)),"")</f>
        <v>0.21360995850622405</v>
      </c>
      <c r="Y17">
        <f>IFERROR(INDEX('2023_24'!$M:$M,MATCH($A17,'2023_24'!$A:$A,0))/INDEX('2023_24'!$G:$G,MATCH($A17,'2023_24'!$A:$A,0))*90,"")</f>
        <v>6.5517241379310347</v>
      </c>
      <c r="Z17">
        <f>IFERROR(INDEX('2024_25'!$M:$M,MATCH($A17,'2024_25'!$A:$A,0))/INDEX('2024_25'!$G:$G,MATCH($A17,'2024_25'!$A:$A,0))*90,"")</f>
        <v>5.3254437869822482</v>
      </c>
      <c r="AA17">
        <f>IFERROR(INDEX('2025_26'!$M:$M,MATCH($A17,'2025_26'!$A:$A,0))/INDEX('2025_26'!$G:$G,MATCH($A17,'2025_26'!$A:$A,0))*90,"")</f>
        <v>5.3775933609958511</v>
      </c>
      <c r="AB17">
        <f>IFERROR(SUMPRODUCT(S17:U17,{0.2,0.3,0.5})/SUMPRODUCT(--(S17:U17&lt;&gt;""),{0.2,0.3,0.5}),"")</f>
        <v>0.21728639510439482</v>
      </c>
      <c r="AC17">
        <f>IFERROR(SUMPRODUCT(V17:X17,{0.2,0.3,0.5})/SUMPRODUCT(--(V17:X17&lt;&gt;""),{0.2,0.3,0.5}),"")</f>
        <v>0.18160604026106958</v>
      </c>
      <c r="AD17">
        <f>IFERROR(SUMPRODUCT(Y17:AA17,{0.2,0.3,0.5})/SUMPRODUCT((Y17:AA17&lt;&gt;"")*{0.2,0.3,0.5}),O17)</f>
        <v>5.5967746441788071</v>
      </c>
      <c r="AE17">
        <f t="shared" si="22"/>
        <v>3</v>
      </c>
      <c r="AF17" t="str">
        <f t="shared" si="1"/>
        <v/>
      </c>
      <c r="AG17">
        <f t="shared" si="2"/>
        <v>0.20062777147972455</v>
      </c>
      <c r="AH17">
        <f t="shared" si="3"/>
        <v>0.1826829105077209</v>
      </c>
      <c r="AI17" s="2">
        <f t="shared" si="4"/>
        <v>5.7676885881250985</v>
      </c>
      <c r="AJ17">
        <f t="shared" si="5"/>
        <v>7.6666666666666661E-2</v>
      </c>
      <c r="AK17" t="str">
        <f t="shared" si="6"/>
        <v>NO</v>
      </c>
      <c r="AL17">
        <f t="shared" si="23"/>
        <v>0</v>
      </c>
      <c r="AM17">
        <f t="shared" si="7"/>
        <v>0</v>
      </c>
      <c r="AN17">
        <f t="shared" si="8"/>
        <v>0</v>
      </c>
      <c r="AO17">
        <f t="shared" si="9"/>
        <v>0</v>
      </c>
      <c r="AP17">
        <f t="array" ref="AP17">AL17*IF($C17="GKP",10,IF($C17="DEF",6,IF($C17="MID",5,4)))</f>
        <v>0</v>
      </c>
      <c r="AQ17">
        <f t="shared" si="10"/>
        <v>0</v>
      </c>
      <c r="AR17">
        <f t="shared" si="11"/>
        <v>0</v>
      </c>
      <c r="AS17" s="2">
        <f>IF($H17=0,0,Player_Analysis!$AM17*$H17/90)</f>
        <v>0</v>
      </c>
      <c r="AT17">
        <f t="shared" si="12"/>
        <v>0</v>
      </c>
      <c r="AU17" s="2">
        <f>0</f>
        <v>0</v>
      </c>
      <c r="AV17" s="2">
        <f>IF(INDEX(FPL_Raw_Data!K:K,MATCH(A17,FPL_Raw_Data!AA:AA,0))=0,"",INDEX(FPL_Raw_Data!P:P,MATCH(A17,FPL_Raw_Data!AA:AA,0))/INDEX(FPL_Raw_Data!K:K,MATCH(A17,FPL_Raw_Data!AA:AA,0))*90)</f>
        <v>0</v>
      </c>
      <c r="AW17" s="2">
        <f t="shared" si="13"/>
        <v>0</v>
      </c>
      <c r="AX17" s="2">
        <f>IFERROR(INDEX(TEAM_ANALYSIS!$H$2:$H$21,MATCH($B17,TEAM_ANALYSIS!$A$2:$A$21,0)),0)</f>
        <v>0.33333333333333331</v>
      </c>
      <c r="AY17" s="2">
        <f t="shared" si="14"/>
        <v>0</v>
      </c>
      <c r="AZ17" s="2">
        <f t="shared" si="15"/>
        <v>0</v>
      </c>
      <c r="BA17">
        <f t="shared" si="16"/>
        <v>0</v>
      </c>
      <c r="BB17">
        <f>IFERROR(Player_Analysis!$Y17,1)</f>
        <v>1.0430363321799305</v>
      </c>
      <c r="BC17">
        <f t="shared" si="17"/>
        <v>0</v>
      </c>
      <c r="BD17">
        <f t="shared" si="24"/>
        <v>0</v>
      </c>
      <c r="BE17">
        <f t="shared" si="25"/>
        <v>0</v>
      </c>
      <c r="BF17">
        <f t="shared" si="18"/>
        <v>253</v>
      </c>
      <c r="BG17">
        <f>IF($BE17="","",COUNTIFS($C$2:$C$596,$C17,$BE$2:$BE$596,"&gt;"&amp;$BE17)+COUNTIFS($C$2:$C17,$C17,$BE$2:$BE17,$BE17))</f>
        <v>112</v>
      </c>
    </row>
    <row r="18" spans="1:59" x14ac:dyDescent="0.25">
      <c r="A18" t="str">
        <f>Player_Analysis!A18</f>
        <v>Mikel Merino Zazón</v>
      </c>
      <c r="B18">
        <f>Player_Analysis!C18</f>
        <v>1</v>
      </c>
      <c r="C18" t="str">
        <f>Player_Analysis!B18</f>
        <v>MID</v>
      </c>
      <c r="D18" s="13">
        <f>Player_Analysis!E18</f>
        <v>5.9</v>
      </c>
      <c r="E18">
        <f>Player_Analysis!I18</f>
        <v>46</v>
      </c>
      <c r="F18" s="8">
        <f>Player_Analysis!Z18</f>
        <v>0</v>
      </c>
      <c r="G18" s="17">
        <f t="shared" si="19"/>
        <v>0</v>
      </c>
      <c r="H18">
        <f t="shared" si="0"/>
        <v>0</v>
      </c>
      <c r="I18" s="8">
        <f>Player_Analysis!AF18</f>
        <v>0</v>
      </c>
      <c r="J18" s="8">
        <f>Player_Analysis!AG18</f>
        <v>0</v>
      </c>
      <c r="K18">
        <f>Player_Analysis!O18</f>
        <v>0.14000000000000001</v>
      </c>
      <c r="L18">
        <f>Player_Analysis!P18</f>
        <v>0.02</v>
      </c>
      <c r="M18">
        <f t="shared" si="20"/>
        <v>0.2739130434782609</v>
      </c>
      <c r="N18">
        <f t="shared" si="21"/>
        <v>3.9130434782608699E-2</v>
      </c>
      <c r="O18" s="2">
        <f>IF(E18=0,"",Player_Analysis!L18/E18*90)</f>
        <v>3.9130434782608696</v>
      </c>
      <c r="P18">
        <f>IF(E18=0,"",Player_Analysis!Q18/E18*90)</f>
        <v>0.31304347826086959</v>
      </c>
      <c r="Q18">
        <f>IF(E18=0,"",(Player_Analysis!AD18/E18)*90)</f>
        <v>23.478260869565215</v>
      </c>
      <c r="R18">
        <f>IF(E18=0,"",Player_Analysis!AA18/E18*90)</f>
        <v>11.739130434782608</v>
      </c>
      <c r="S18" t="str">
        <f t="array" ref="S18">IFERROR(INDEX('2023_24'!$O:$O,MATCH($A18,'2023_24'!$A:$A,0)),"")</f>
        <v/>
      </c>
      <c r="T18" t="str">
        <f>IFERROR(INDEX('2024_25'!$P:$P,MATCH($A18,'2024_25'!$A:$A,0)),"")</f>
        <v/>
      </c>
      <c r="U18">
        <f>IFERROR(INDEX('2025_26'!$P:$P,MATCH($A18,'2025_26'!$A:$A,0)),"")</f>
        <v>0.29531249999999998</v>
      </c>
      <c r="V18" t="str">
        <f>IFERROR(INDEX('2023_24'!$P:$P,MATCH($A18,'2023_24'!$A:$A,0)),"")</f>
        <v/>
      </c>
      <c r="W18" t="str">
        <f>IFERROR(INDEX('2024_25'!$Q:$Q,MATCH($A18,'2024_25'!$A:$A,0)),"")</f>
        <v/>
      </c>
      <c r="X18">
        <f>IFERROR(INDEX('2025_26'!$Q:$Q,MATCH($A18,'2025_26'!$A:$A,0)),"")</f>
        <v>0.12744140625</v>
      </c>
      <c r="Y18" t="str">
        <f>IFERROR(INDEX('2023_24'!$M:$M,MATCH($A18,'2023_24'!$A:$A,0))/INDEX('2023_24'!$G:$G,MATCH($A18,'2023_24'!$A:$A,0))*90,"")</f>
        <v/>
      </c>
      <c r="Z18" t="str">
        <f>IFERROR(INDEX('2024_25'!$M:$M,MATCH($A18,'2024_25'!$A:$A,0))/INDEX('2024_25'!$G:$G,MATCH($A18,'2024_25'!$A:$A,0))*90,"")</f>
        <v/>
      </c>
      <c r="AA18">
        <f>IFERROR(INDEX('2025_26'!$M:$M,MATCH($A18,'2025_26'!$A:$A,0))/INDEX('2025_26'!$G:$G,MATCH($A18,'2025_26'!$A:$A,0))*90,"")</f>
        <v>5.888671875</v>
      </c>
      <c r="AB18">
        <f>IFERROR(SUMPRODUCT(S18:U18,{0.2,0.3,0.5})/SUMPRODUCT(--(S18:U18&lt;&gt;""),{0.2,0.3,0.5}),"")</f>
        <v>0.29531249999999998</v>
      </c>
      <c r="AC18">
        <f>IFERROR(SUMPRODUCT(V18:X18,{0.2,0.3,0.5})/SUMPRODUCT(--(V18:X18&lt;&gt;""),{0.2,0.3,0.5}),"")</f>
        <v>0.12744140625</v>
      </c>
      <c r="AD18">
        <f>IFERROR(SUMPRODUCT(Y18:AA18,{0.2,0.3,0.5})/SUMPRODUCT((Y18:AA18&lt;&gt;"")*{0.2,0.3,0.5}),O18)</f>
        <v>5.888671875</v>
      </c>
      <c r="AE18">
        <f t="shared" si="22"/>
        <v>1</v>
      </c>
      <c r="AF18" t="str">
        <f t="shared" si="1"/>
        <v/>
      </c>
      <c r="AG18">
        <f t="shared" si="2"/>
        <v>0.29203124999999996</v>
      </c>
      <c r="AH18">
        <f t="shared" si="3"/>
        <v>0.113900390625</v>
      </c>
      <c r="AI18" s="2">
        <f t="shared" si="4"/>
        <v>5.5857421874999993</v>
      </c>
      <c r="AJ18">
        <f t="shared" si="5"/>
        <v>0.15333333333333332</v>
      </c>
      <c r="AK18" t="str">
        <f t="shared" si="6"/>
        <v>NO</v>
      </c>
      <c r="AL18">
        <f t="shared" si="23"/>
        <v>0</v>
      </c>
      <c r="AM18">
        <f t="shared" si="7"/>
        <v>0</v>
      </c>
      <c r="AN18">
        <f t="shared" si="8"/>
        <v>0</v>
      </c>
      <c r="AO18">
        <f t="shared" si="9"/>
        <v>0</v>
      </c>
      <c r="AP18">
        <f t="array" ref="AP18">AL18*IF($C18="GKP",10,IF($C18="DEF",6,IF($C18="MID",5,4)))</f>
        <v>0</v>
      </c>
      <c r="AQ18">
        <f t="shared" si="10"/>
        <v>0</v>
      </c>
      <c r="AR18">
        <f t="shared" si="11"/>
        <v>0</v>
      </c>
      <c r="AS18" s="2">
        <f>IF($H18=0,0,Player_Analysis!$AM18*$H18/90)</f>
        <v>0</v>
      </c>
      <c r="AT18">
        <f t="shared" si="12"/>
        <v>0</v>
      </c>
      <c r="AU18" s="2">
        <f>0</f>
        <v>0</v>
      </c>
      <c r="AV18" s="2">
        <f>IF(INDEX(FPL_Raw_Data!K:K,MATCH(A18,FPL_Raw_Data!AA:AA,0))=0,"",INDEX(FPL_Raw_Data!P:P,MATCH(A18,FPL_Raw_Data!AA:AA,0))/INDEX(FPL_Raw_Data!K:K,MATCH(A18,FPL_Raw_Data!AA:AA,0))*90)</f>
        <v>0</v>
      </c>
      <c r="AW18" s="2">
        <f t="shared" si="13"/>
        <v>0</v>
      </c>
      <c r="AX18" s="2">
        <f>IFERROR(INDEX(TEAM_ANALYSIS!$H$2:$H$21,MATCH($B18,TEAM_ANALYSIS!$A$2:$A$21,0)),0)</f>
        <v>0.33333333333333331</v>
      </c>
      <c r="AY18" s="2">
        <f t="shared" si="14"/>
        <v>0</v>
      </c>
      <c r="AZ18" s="2">
        <f t="shared" si="15"/>
        <v>0</v>
      </c>
      <c r="BA18">
        <f t="shared" si="16"/>
        <v>0</v>
      </c>
      <c r="BB18">
        <f>IFERROR(Player_Analysis!$Y18,1)</f>
        <v>1.0430363321799305</v>
      </c>
      <c r="BC18">
        <f t="shared" si="17"/>
        <v>0</v>
      </c>
      <c r="BD18">
        <f t="shared" si="24"/>
        <v>0</v>
      </c>
      <c r="BE18">
        <f t="shared" si="25"/>
        <v>0</v>
      </c>
      <c r="BF18">
        <f t="shared" si="18"/>
        <v>253</v>
      </c>
      <c r="BG18">
        <f>IF($BE18="","",COUNTIFS($C$2:$C$596,$C18,$BE$2:$BE$596,"&gt;"&amp;$BE18)+COUNTIFS($C$2:$C18,$C18,$BE$2:$BE18,$BE18))</f>
        <v>113</v>
      </c>
    </row>
    <row r="19" spans="1:59" x14ac:dyDescent="0.25">
      <c r="A19" t="str">
        <f>Player_Analysis!A19</f>
        <v>Gabriel Martinelli Silva</v>
      </c>
      <c r="B19">
        <f>Player_Analysis!C19</f>
        <v>1</v>
      </c>
      <c r="C19" t="str">
        <f>Player_Analysis!B19</f>
        <v>MID</v>
      </c>
      <c r="D19" s="13">
        <f>Player_Analysis!E19</f>
        <v>6.3</v>
      </c>
      <c r="E19">
        <f>Player_Analysis!I19</f>
        <v>0</v>
      </c>
      <c r="F19" s="8">
        <f>Player_Analysis!Z19</f>
        <v>0</v>
      </c>
      <c r="G19" s="17">
        <f t="shared" si="19"/>
        <v>0</v>
      </c>
      <c r="H19">
        <f t="shared" si="0"/>
        <v>0</v>
      </c>
      <c r="I19" s="8">
        <f>Player_Analysis!AF19</f>
        <v>0</v>
      </c>
      <c r="J19" s="8">
        <f>Player_Analysis!AG19</f>
        <v>0</v>
      </c>
      <c r="K19">
        <f>Player_Analysis!O19</f>
        <v>0</v>
      </c>
      <c r="L19">
        <f>Player_Analysis!P19</f>
        <v>0</v>
      </c>
      <c r="M19" t="str">
        <f t="shared" si="20"/>
        <v/>
      </c>
      <c r="N19" t="str">
        <f t="shared" si="21"/>
        <v/>
      </c>
      <c r="O19" s="2" t="str">
        <f>IF(E19=0,"",Player_Analysis!L19/E19*90)</f>
        <v/>
      </c>
      <c r="P19" t="str">
        <f>IF(E19=0,"",Player_Analysis!Q19/E19*90)</f>
        <v/>
      </c>
      <c r="Q19" t="str">
        <f>IF(E19=0,"",(Player_Analysis!AD19/E19)*90)</f>
        <v/>
      </c>
      <c r="R19" t="str">
        <f>IF(E19=0,"",Player_Analysis!AA19/E19*90)</f>
        <v/>
      </c>
      <c r="S19">
        <f t="array" ref="S19">IFERROR(INDEX('2023_24'!$O:$O,MATCH($A19,'2023_24'!$A:$A,0)),"")</f>
        <v>0.28477611940298508</v>
      </c>
      <c r="T19">
        <f>IFERROR(INDEX('2024_25'!$P:$P,MATCH($A19,'2024_25'!$A:$A,0)),"")</f>
        <v>0.28095446584938705</v>
      </c>
      <c r="U19">
        <f>IFERROR(INDEX('2025_26'!$P:$P,MATCH($A19,'2025_26'!$A:$A,0)),"")</f>
        <v>0.34816901408450707</v>
      </c>
      <c r="V19">
        <f>IFERROR(INDEX('2023_24'!$P:$P,MATCH($A19,'2023_24'!$A:$A,0)),"")</f>
        <v>0.23194029850746267</v>
      </c>
      <c r="W19">
        <f>IFERROR(INDEX('2024_25'!$Q:$Q,MATCH($A19,'2024_25'!$A:$A,0)),"")</f>
        <v>0.17574430823117337</v>
      </c>
      <c r="X19">
        <f>IFERROR(INDEX('2025_26'!$Q:$Q,MATCH($A19,'2025_26'!$A:$A,0)),"")</f>
        <v>0.10732394366197183</v>
      </c>
      <c r="Y19">
        <f>IFERROR(INDEX('2023_24'!$M:$M,MATCH($A19,'2023_24'!$A:$A,0))/INDEX('2023_24'!$G:$G,MATCH($A19,'2023_24'!$A:$A,0))*90,"")</f>
        <v>5.2835820895522385</v>
      </c>
      <c r="Z19">
        <f>IFERROR(INDEX('2024_25'!$M:$M,MATCH($A19,'2024_25'!$A:$A,0))/INDEX('2024_25'!$G:$G,MATCH($A19,'2024_25'!$A:$A,0))*90,"")</f>
        <v>4.9255691768826626</v>
      </c>
      <c r="AA19">
        <f>IFERROR(INDEX('2025_26'!$M:$M,MATCH($A19,'2025_26'!$A:$A,0))/INDEX('2025_26'!$G:$G,MATCH($A19,'2025_26'!$A:$A,0))*90,"")</f>
        <v>4.816901408450704</v>
      </c>
      <c r="AB19">
        <f>IFERROR(SUMPRODUCT(S19:U19,{0.2,0.3,0.5})/SUMPRODUCT(--(S19:U19&lt;&gt;""),{0.2,0.3,0.5}),"")</f>
        <v>0.31532607067766666</v>
      </c>
      <c r="AC19">
        <f>IFERROR(SUMPRODUCT(V19:X19,{0.2,0.3,0.5})/SUMPRODUCT(--(V19:X19&lt;&gt;""),{0.2,0.3,0.5}),"")</f>
        <v>0.15277332400183047</v>
      </c>
      <c r="AD19">
        <f>IFERROR(SUMPRODUCT(Y19:AA19,{0.2,0.3,0.5})/SUMPRODUCT((Y19:AA19&lt;&gt;"")*{0.2,0.3,0.5}),O19)</f>
        <v>4.942837875200599</v>
      </c>
      <c r="AE19">
        <f t="shared" si="22"/>
        <v>3</v>
      </c>
      <c r="AF19" t="str">
        <f t="shared" si="1"/>
        <v/>
      </c>
      <c r="AG19">
        <f t="shared" si="2"/>
        <v>0.31532607067766666</v>
      </c>
      <c r="AH19">
        <f t="shared" si="3"/>
        <v>0.15277332400183047</v>
      </c>
      <c r="AI19" s="2">
        <f t="shared" si="4"/>
        <v>4.942837875200599</v>
      </c>
      <c r="AJ19">
        <f t="shared" si="5"/>
        <v>0</v>
      </c>
      <c r="AK19" t="str">
        <f t="shared" si="6"/>
        <v>NO</v>
      </c>
      <c r="AL19">
        <f t="shared" si="23"/>
        <v>0</v>
      </c>
      <c r="AM19">
        <f t="shared" si="7"/>
        <v>0</v>
      </c>
      <c r="AN19">
        <f t="shared" si="8"/>
        <v>0</v>
      </c>
      <c r="AO19">
        <f t="shared" si="9"/>
        <v>0</v>
      </c>
      <c r="AP19">
        <f t="array" ref="AP19">AL19*IF($C19="GKP",10,IF($C19="DEF",6,IF($C19="MID",5,4)))</f>
        <v>0</v>
      </c>
      <c r="AQ19">
        <f t="shared" si="10"/>
        <v>0</v>
      </c>
      <c r="AR19">
        <f t="shared" si="11"/>
        <v>0</v>
      </c>
      <c r="AS19" s="2">
        <f>IF($H19=0,0,Player_Analysis!$AM19*$H19/90)</f>
        <v>0</v>
      </c>
      <c r="AT19">
        <f t="shared" si="12"/>
        <v>0</v>
      </c>
      <c r="AU19" s="2">
        <f>0</f>
        <v>0</v>
      </c>
      <c r="AV19" s="2" t="str">
        <f>IF(INDEX(FPL_Raw_Data!K:K,MATCH(A19,FPL_Raw_Data!AA:AA,0))=0,"",INDEX(FPL_Raw_Data!P:P,MATCH(A19,FPL_Raw_Data!AA:AA,0))/INDEX(FPL_Raw_Data!K:K,MATCH(A19,FPL_Raw_Data!AA:AA,0))*90)</f>
        <v/>
      </c>
      <c r="AW19" s="2">
        <f t="shared" si="13"/>
        <v>0</v>
      </c>
      <c r="AX19" s="2">
        <f>IFERROR(INDEX(TEAM_ANALYSIS!$H$2:$H$21,MATCH($B19,TEAM_ANALYSIS!$A$2:$A$21,0)),0)</f>
        <v>0.33333333333333331</v>
      </c>
      <c r="AY19" s="2">
        <f t="shared" si="14"/>
        <v>0</v>
      </c>
      <c r="AZ19" s="2">
        <f t="shared" si="15"/>
        <v>0</v>
      </c>
      <c r="BA19">
        <f t="shared" si="16"/>
        <v>0</v>
      </c>
      <c r="BB19">
        <f>IFERROR(Player_Analysis!$Y19,1)</f>
        <v>1.0430363321799305</v>
      </c>
      <c r="BC19">
        <f t="shared" si="17"/>
        <v>0</v>
      </c>
      <c r="BD19">
        <f t="shared" si="24"/>
        <v>0</v>
      </c>
      <c r="BE19">
        <f t="shared" si="25"/>
        <v>0</v>
      </c>
      <c r="BF19">
        <f t="shared" si="18"/>
        <v>253</v>
      </c>
      <c r="BG19">
        <f>IF($BE19="","",COUNTIFS($C$2:$C$596,$C19,$BE$2:$BE$596,"&gt;"&amp;$BE19)+COUNTIFS($C$2:$C19,$C19,$BE$2:$BE19,$BE19))</f>
        <v>114</v>
      </c>
    </row>
    <row r="20" spans="1:59" x14ac:dyDescent="0.25">
      <c r="A20" t="str">
        <f>Player_Analysis!A20</f>
        <v>Martín Zubimendi Ibáñez</v>
      </c>
      <c r="B20">
        <f>Player_Analysis!C20</f>
        <v>1</v>
      </c>
      <c r="C20" t="str">
        <f>Player_Analysis!B20</f>
        <v>MID</v>
      </c>
      <c r="D20" s="13">
        <f>Player_Analysis!E20</f>
        <v>5.4</v>
      </c>
      <c r="E20">
        <f>Player_Analysis!I20</f>
        <v>50</v>
      </c>
      <c r="F20" s="8">
        <f>Player_Analysis!Z20</f>
        <v>0</v>
      </c>
      <c r="G20" s="17">
        <f t="shared" si="19"/>
        <v>0</v>
      </c>
      <c r="H20">
        <f t="shared" si="0"/>
        <v>0</v>
      </c>
      <c r="I20" s="8">
        <f>Player_Analysis!AF20</f>
        <v>0</v>
      </c>
      <c r="J20" s="8">
        <f>Player_Analysis!AG20</f>
        <v>0</v>
      </c>
      <c r="K20">
        <f>Player_Analysis!O20</f>
        <v>0.08</v>
      </c>
      <c r="L20">
        <f>Player_Analysis!P20</f>
        <v>0.04</v>
      </c>
      <c r="M20">
        <f t="shared" si="20"/>
        <v>0.14400000000000002</v>
      </c>
      <c r="N20">
        <f t="shared" si="21"/>
        <v>7.2000000000000008E-2</v>
      </c>
      <c r="O20" s="2">
        <f>IF(E20=0,"",Player_Analysis!L20/E20*90)</f>
        <v>5.3999999999999995</v>
      </c>
      <c r="P20">
        <f>IF(E20=0,"",Player_Analysis!Q20/E20*90)</f>
        <v>0.21599999999999997</v>
      </c>
      <c r="Q20">
        <f>IF(E20=0,"",(Player_Analysis!AD20/E20)*90)</f>
        <v>16.2</v>
      </c>
      <c r="R20">
        <f>IF(E20=0,"",Player_Analysis!AA20/E20*90)</f>
        <v>16.2</v>
      </c>
      <c r="S20" t="str">
        <f t="array" ref="S20">IFERROR(INDEX('2023_24'!$O:$O,MATCH($A20,'2023_24'!$A:$A,0)),"")</f>
        <v/>
      </c>
      <c r="T20" t="str">
        <f>IFERROR(INDEX('2024_25'!$P:$P,MATCH($A20,'2024_25'!$A:$A,0)),"")</f>
        <v/>
      </c>
      <c r="U20">
        <f>IFERROR(INDEX('2025_26'!$P:$P,MATCH($A20,'2025_26'!$A:$A,0)),"")</f>
        <v>8.5456369107321961E-2</v>
      </c>
      <c r="V20" t="str">
        <f>IFERROR(INDEX('2023_24'!$P:$P,MATCH($A20,'2023_24'!$A:$A,0)),"")</f>
        <v/>
      </c>
      <c r="W20" t="str">
        <f>IFERROR(INDEX('2024_25'!$Q:$Q,MATCH($A20,'2024_25'!$A:$A,0)),"")</f>
        <v/>
      </c>
      <c r="X20">
        <f>IFERROR(INDEX('2025_26'!$Q:$Q,MATCH($A20,'2025_26'!$A:$A,0)),"")</f>
        <v>6.8304914744232698E-2</v>
      </c>
      <c r="Y20" t="str">
        <f>IFERROR(INDEX('2023_24'!$M:$M,MATCH($A20,'2023_24'!$A:$A,0))/INDEX('2023_24'!$G:$G,MATCH($A20,'2023_24'!$A:$A,0))*90,"")</f>
        <v/>
      </c>
      <c r="Z20" t="str">
        <f>IFERROR(INDEX('2024_25'!$M:$M,MATCH($A20,'2024_25'!$A:$A,0))/INDEX('2024_25'!$G:$G,MATCH($A20,'2024_25'!$A:$A,0))*90,"")</f>
        <v/>
      </c>
      <c r="AA20">
        <f>IFERROR(INDEX('2025_26'!$M:$M,MATCH($A20,'2025_26'!$A:$A,0))/INDEX('2025_26'!$G:$G,MATCH($A20,'2025_26'!$A:$A,0))*90,"")</f>
        <v>4.0020060180541623</v>
      </c>
      <c r="AB20">
        <f>IFERROR(SUMPRODUCT(S20:U20,{0.2,0.3,0.5})/SUMPRODUCT(--(S20:U20&lt;&gt;""),{0.2,0.3,0.5}),"")</f>
        <v>8.5456369107321961E-2</v>
      </c>
      <c r="AC20">
        <f>IFERROR(SUMPRODUCT(V20:X20,{0.2,0.3,0.5})/SUMPRODUCT(--(V20:X20&lt;&gt;""),{0.2,0.3,0.5}),"")</f>
        <v>6.8304914744232698E-2</v>
      </c>
      <c r="AD20">
        <f>IFERROR(SUMPRODUCT(Y20:AA20,{0.2,0.3,0.5})/SUMPRODUCT((Y20:AA20&lt;&gt;"")*{0.2,0.3,0.5}),O20)</f>
        <v>4.0020060180541623</v>
      </c>
      <c r="AE20">
        <f t="shared" si="22"/>
        <v>1</v>
      </c>
      <c r="AF20" t="str">
        <f t="shared" si="1"/>
        <v/>
      </c>
      <c r="AG20">
        <f t="shared" si="2"/>
        <v>9.5213640922768294E-2</v>
      </c>
      <c r="AH20">
        <f t="shared" si="3"/>
        <v>6.8920762286860587E-2</v>
      </c>
      <c r="AI20" s="2">
        <f t="shared" si="4"/>
        <v>4.2350050150451359</v>
      </c>
      <c r="AJ20">
        <f t="shared" si="5"/>
        <v>0.16666666666666666</v>
      </c>
      <c r="AK20" t="str">
        <f t="shared" si="6"/>
        <v>NO</v>
      </c>
      <c r="AL20">
        <f t="shared" si="23"/>
        <v>0</v>
      </c>
      <c r="AM20">
        <f t="shared" si="7"/>
        <v>0</v>
      </c>
      <c r="AN20">
        <f t="shared" si="8"/>
        <v>0</v>
      </c>
      <c r="AO20">
        <f t="shared" si="9"/>
        <v>0</v>
      </c>
      <c r="AP20">
        <f t="array" ref="AP20">AL20*IF($C20="GKP",10,IF($C20="DEF",6,IF($C20="MID",5,4)))</f>
        <v>0</v>
      </c>
      <c r="AQ20">
        <f t="shared" si="10"/>
        <v>0</v>
      </c>
      <c r="AR20">
        <f t="shared" si="11"/>
        <v>0</v>
      </c>
      <c r="AS20" s="2">
        <f>IF($H20=0,0,Player_Analysis!$AM20*$H20/90)</f>
        <v>0</v>
      </c>
      <c r="AT20">
        <f t="shared" si="12"/>
        <v>0</v>
      </c>
      <c r="AU20" s="2">
        <f>0</f>
        <v>0</v>
      </c>
      <c r="AV20" s="2">
        <f>IF(INDEX(FPL_Raw_Data!K:K,MATCH(A20,FPL_Raw_Data!AA:AA,0))=0,"",INDEX(FPL_Raw_Data!P:P,MATCH(A20,FPL_Raw_Data!AA:AA,0))/INDEX(FPL_Raw_Data!K:K,MATCH(A20,FPL_Raw_Data!AA:AA,0))*90)</f>
        <v>0</v>
      </c>
      <c r="AW20" s="2">
        <f t="shared" si="13"/>
        <v>0</v>
      </c>
      <c r="AX20" s="2">
        <f>IFERROR(INDEX(TEAM_ANALYSIS!$H$2:$H$21,MATCH($B20,TEAM_ANALYSIS!$A$2:$A$21,0)),0)</f>
        <v>0.33333333333333331</v>
      </c>
      <c r="AY20" s="2">
        <f t="shared" si="14"/>
        <v>0</v>
      </c>
      <c r="AZ20" s="2">
        <f t="shared" si="15"/>
        <v>0</v>
      </c>
      <c r="BA20">
        <f t="shared" si="16"/>
        <v>0</v>
      </c>
      <c r="BB20">
        <f>IFERROR(Player_Analysis!$Y20,1)</f>
        <v>1.0430363321799305</v>
      </c>
      <c r="BC20">
        <f t="shared" si="17"/>
        <v>0</v>
      </c>
      <c r="BD20">
        <f t="shared" si="24"/>
        <v>0</v>
      </c>
      <c r="BE20">
        <f t="shared" si="25"/>
        <v>0</v>
      </c>
      <c r="BF20">
        <f t="shared" si="18"/>
        <v>253</v>
      </c>
      <c r="BG20">
        <f>IF($BE20="","",COUNTIFS($C$2:$C$596,$C20,$BE$2:$BE$596,"&gt;"&amp;$BE20)+COUNTIFS($C$2:$C20,$C20,$BE$2:$BE20,$BE20))</f>
        <v>115</v>
      </c>
    </row>
    <row r="21" spans="1:59" x14ac:dyDescent="0.25">
      <c r="A21" t="str">
        <f>Player_Analysis!A21</f>
        <v>Max Dowman</v>
      </c>
      <c r="B21">
        <f>Player_Analysis!C21</f>
        <v>1</v>
      </c>
      <c r="C21" t="str">
        <f>Player_Analysis!B21</f>
        <v>MID</v>
      </c>
      <c r="D21" s="13">
        <f>Player_Analysis!E21</f>
        <v>5.3</v>
      </c>
      <c r="E21">
        <f>Player_Analysis!I21</f>
        <v>0</v>
      </c>
      <c r="F21" s="8">
        <f>Player_Analysis!Z21</f>
        <v>0</v>
      </c>
      <c r="G21" s="17">
        <f t="shared" si="19"/>
        <v>0</v>
      </c>
      <c r="H21">
        <f t="shared" si="0"/>
        <v>0</v>
      </c>
      <c r="I21" s="8">
        <f>Player_Analysis!AF21</f>
        <v>0</v>
      </c>
      <c r="J21" s="8">
        <f>Player_Analysis!AG21</f>
        <v>0</v>
      </c>
      <c r="K21">
        <f>Player_Analysis!O21</f>
        <v>0</v>
      </c>
      <c r="L21">
        <f>Player_Analysis!P21</f>
        <v>0</v>
      </c>
      <c r="M21" t="str">
        <f t="shared" si="20"/>
        <v/>
      </c>
      <c r="N21" t="str">
        <f t="shared" si="21"/>
        <v/>
      </c>
      <c r="O21" s="2" t="str">
        <f>IF(E21=0,"",Player_Analysis!L21/E21*90)</f>
        <v/>
      </c>
      <c r="P21" t="str">
        <f>IF(E21=0,"",Player_Analysis!Q21/E21*90)</f>
        <v/>
      </c>
      <c r="Q21" t="str">
        <f>IF(E21=0,"",(Player_Analysis!AD21/E21)*90)</f>
        <v/>
      </c>
      <c r="R21" t="str">
        <f>IF(E21=0,"",Player_Analysis!AA21/E21*90)</f>
        <v/>
      </c>
      <c r="S21" t="str">
        <f t="array" ref="S21">IFERROR(INDEX('2023_24'!$O:$O,MATCH($A21,'2023_24'!$A:$A,0)),"")</f>
        <v/>
      </c>
      <c r="T21" t="str">
        <f>IFERROR(INDEX('2024_25'!$P:$P,MATCH($A21,'2024_25'!$A:$A,0)),"")</f>
        <v/>
      </c>
      <c r="U21">
        <f>IFERROR(INDEX('2025_26'!$P:$P,MATCH($A21,'2025_26'!$A:$A,0)),"")</f>
        <v>0.70460526315789462</v>
      </c>
      <c r="V21" t="str">
        <f>IFERROR(INDEX('2023_24'!$P:$P,MATCH($A21,'2023_24'!$A:$A,0)),"")</f>
        <v/>
      </c>
      <c r="W21" t="str">
        <f>IFERROR(INDEX('2024_25'!$Q:$Q,MATCH($A21,'2024_25'!$A:$A,0)),"")</f>
        <v/>
      </c>
      <c r="X21">
        <f>IFERROR(INDEX('2025_26'!$Q:$Q,MATCH($A21,'2025_26'!$A:$A,0)),"")</f>
        <v>0.17763157894736842</v>
      </c>
      <c r="Y21" t="str">
        <f>IFERROR(INDEX('2023_24'!$M:$M,MATCH($A21,'2023_24'!$A:$A,0))/INDEX('2023_24'!$G:$G,MATCH($A21,'2023_24'!$A:$A,0))*90,"")</f>
        <v/>
      </c>
      <c r="Z21" t="str">
        <f>IFERROR(INDEX('2024_25'!$M:$M,MATCH($A21,'2024_25'!$A:$A,0))/INDEX('2024_25'!$G:$G,MATCH($A21,'2024_25'!$A:$A,0))*90,"")</f>
        <v/>
      </c>
      <c r="AA21">
        <f>IFERROR(INDEX('2025_26'!$M:$M,MATCH($A21,'2025_26'!$A:$A,0))/INDEX('2025_26'!$G:$G,MATCH($A21,'2025_26'!$A:$A,0))*90,"")</f>
        <v>9.473684210526315</v>
      </c>
      <c r="AB21">
        <f>IFERROR(SUMPRODUCT(S21:U21,{0.2,0.3,0.5})/SUMPRODUCT(--(S21:U21&lt;&gt;""),{0.2,0.3,0.5}),"")</f>
        <v>0.70460526315789462</v>
      </c>
      <c r="AC21">
        <f>IFERROR(SUMPRODUCT(V21:X21,{0.2,0.3,0.5})/SUMPRODUCT(--(V21:X21&lt;&gt;""),{0.2,0.3,0.5}),"")</f>
        <v>0.17763157894736842</v>
      </c>
      <c r="AD21">
        <f>IFERROR(SUMPRODUCT(Y21:AA21,{0.2,0.3,0.5})/SUMPRODUCT((Y21:AA21&lt;&gt;"")*{0.2,0.3,0.5}),O21)</f>
        <v>9.473684210526315</v>
      </c>
      <c r="AE21">
        <f t="shared" si="22"/>
        <v>1</v>
      </c>
      <c r="AF21" t="str">
        <f t="shared" si="1"/>
        <v/>
      </c>
      <c r="AG21">
        <f t="shared" si="2"/>
        <v>0.70460526315789462</v>
      </c>
      <c r="AH21">
        <f t="shared" si="3"/>
        <v>0.17763157894736842</v>
      </c>
      <c r="AI21" s="2">
        <f t="shared" si="4"/>
        <v>9.473684210526315</v>
      </c>
      <c r="AJ21">
        <f t="shared" si="5"/>
        <v>0</v>
      </c>
      <c r="AK21" t="str">
        <f t="shared" si="6"/>
        <v>NO</v>
      </c>
      <c r="AL21">
        <f t="shared" si="23"/>
        <v>0</v>
      </c>
      <c r="AM21">
        <f t="shared" si="7"/>
        <v>0</v>
      </c>
      <c r="AN21">
        <f t="shared" si="8"/>
        <v>0</v>
      </c>
      <c r="AO21">
        <f t="shared" si="9"/>
        <v>0</v>
      </c>
      <c r="AP21">
        <f t="array" ref="AP21">AL21*IF($C21="GKP",10,IF($C21="DEF",6,IF($C21="MID",5,4)))</f>
        <v>0</v>
      </c>
      <c r="AQ21">
        <f t="shared" si="10"/>
        <v>0</v>
      </c>
      <c r="AR21">
        <f t="shared" si="11"/>
        <v>0</v>
      </c>
      <c r="AS21" s="2">
        <f>IF($H21=0,0,Player_Analysis!$AM21*$H21/90)</f>
        <v>0</v>
      </c>
      <c r="AT21">
        <f t="shared" si="12"/>
        <v>0</v>
      </c>
      <c r="AU21" s="2">
        <f>0</f>
        <v>0</v>
      </c>
      <c r="AV21" s="2" t="str">
        <f>IF(INDEX(FPL_Raw_Data!K:K,MATCH(A21,FPL_Raw_Data!AA:AA,0))=0,"",INDEX(FPL_Raw_Data!P:P,MATCH(A21,FPL_Raw_Data!AA:AA,0))/INDEX(FPL_Raw_Data!K:K,MATCH(A21,FPL_Raw_Data!AA:AA,0))*90)</f>
        <v/>
      </c>
      <c r="AW21" s="2">
        <f t="shared" si="13"/>
        <v>0</v>
      </c>
      <c r="AX21" s="2">
        <f>IFERROR(INDEX(TEAM_ANALYSIS!$H$2:$H$21,MATCH($B21,TEAM_ANALYSIS!$A$2:$A$21,0)),0)</f>
        <v>0.33333333333333331</v>
      </c>
      <c r="AY21" s="2">
        <f t="shared" si="14"/>
        <v>0</v>
      </c>
      <c r="AZ21" s="2">
        <f t="shared" si="15"/>
        <v>0</v>
      </c>
      <c r="BA21">
        <f t="shared" si="16"/>
        <v>0</v>
      </c>
      <c r="BB21">
        <f>IFERROR(Player_Analysis!$Y21,1)</f>
        <v>1.0430363321799305</v>
      </c>
      <c r="BC21">
        <f t="shared" si="17"/>
        <v>0</v>
      </c>
      <c r="BD21">
        <f t="shared" si="24"/>
        <v>0</v>
      </c>
      <c r="BE21">
        <f t="shared" si="25"/>
        <v>0</v>
      </c>
      <c r="BF21">
        <f t="shared" si="18"/>
        <v>253</v>
      </c>
      <c r="BG21">
        <f>IF($BE21="","",COUNTIFS($C$2:$C$596,$C21,$BE$2:$BE$596,"&gt;"&amp;$BE21)+COUNTIFS($C$2:$C21,$C21,$BE$2:$BE21,$BE21))</f>
        <v>116</v>
      </c>
    </row>
    <row r="22" spans="1:59" x14ac:dyDescent="0.25">
      <c r="A22" t="str">
        <f>Player_Analysis!A22</f>
        <v>Ethan Nwaneri</v>
      </c>
      <c r="B22">
        <f>Player_Analysis!C22</f>
        <v>1</v>
      </c>
      <c r="C22" t="str">
        <f>Player_Analysis!B22</f>
        <v>MID</v>
      </c>
      <c r="D22" s="13">
        <f>Player_Analysis!E22</f>
        <v>5.4</v>
      </c>
      <c r="E22">
        <f>Player_Analysis!I22</f>
        <v>0</v>
      </c>
      <c r="F22" s="8">
        <f>Player_Analysis!Z22</f>
        <v>0</v>
      </c>
      <c r="G22" s="17">
        <f t="shared" si="19"/>
        <v>0</v>
      </c>
      <c r="H22">
        <f t="shared" si="0"/>
        <v>0</v>
      </c>
      <c r="I22" s="8">
        <f>Player_Analysis!AF22</f>
        <v>0</v>
      </c>
      <c r="J22" s="8">
        <f>Player_Analysis!AG22</f>
        <v>0</v>
      </c>
      <c r="K22">
        <f>Player_Analysis!O22</f>
        <v>0</v>
      </c>
      <c r="L22">
        <f>Player_Analysis!P22</f>
        <v>0</v>
      </c>
      <c r="M22" t="str">
        <f t="shared" si="20"/>
        <v/>
      </c>
      <c r="N22" t="str">
        <f t="shared" si="21"/>
        <v/>
      </c>
      <c r="O22" s="2" t="str">
        <f>IF(E22=0,"",Player_Analysis!L22/E22*90)</f>
        <v/>
      </c>
      <c r="P22" t="str">
        <f>IF(E22=0,"",Player_Analysis!Q22/E22*90)</f>
        <v/>
      </c>
      <c r="Q22" t="str">
        <f>IF(E22=0,"",(Player_Analysis!AD22/E22)*90)</f>
        <v/>
      </c>
      <c r="R22" t="str">
        <f>IF(E22=0,"",Player_Analysis!AA22/E22*90)</f>
        <v/>
      </c>
      <c r="S22">
        <f t="array" ref="S22">IFERROR(INDEX('2023_24'!$O:$O,MATCH($A22,'2023_24'!$A:$A,0)),"")</f>
        <v>0</v>
      </c>
      <c r="T22">
        <f>IFERROR(INDEX('2024_25'!$P:$P,MATCH($A22,'2024_25'!$A:$A,0)),"")</f>
        <v>0.12142857142857141</v>
      </c>
      <c r="U22">
        <f>IFERROR(INDEX('2025_26'!$P:$P,MATCH($A22,'2025_26'!$A:$A,0)),"")</f>
        <v>0.12545454545454546</v>
      </c>
      <c r="V22">
        <f>IFERROR(INDEX('2023_24'!$P:$P,MATCH($A22,'2023_24'!$A:$A,0)),"")</f>
        <v>0.34615384615384615</v>
      </c>
      <c r="W22">
        <f>IFERROR(INDEX('2024_25'!$Q:$Q,MATCH($A22,'2024_25'!$A:$A,0)),"")</f>
        <v>0.1816326530612245</v>
      </c>
      <c r="X22">
        <f>IFERROR(INDEX('2025_26'!$Q:$Q,MATCH($A22,'2025_26'!$A:$A,0)),"")</f>
        <v>4.3636363636363633E-2</v>
      </c>
      <c r="Y22">
        <f>IFERROR(INDEX('2023_24'!$M:$M,MATCH($A22,'2023_24'!$A:$A,0))/INDEX('2023_24'!$G:$G,MATCH($A22,'2023_24'!$A:$A,0))*90,"")</f>
        <v>6.9230769230769234</v>
      </c>
      <c r="Z22">
        <f>IFERROR(INDEX('2024_25'!$M:$M,MATCH($A22,'2024_25'!$A:$A,0))/INDEX('2024_25'!$G:$G,MATCH($A22,'2024_25'!$A:$A,0))*90,"")</f>
        <v>6.7346938775510203</v>
      </c>
      <c r="AA22">
        <f>IFERROR(INDEX('2025_26'!$M:$M,MATCH($A22,'2025_26'!$A:$A,0))/INDEX('2025_26'!$G:$G,MATCH($A22,'2025_26'!$A:$A,0))*90,"")</f>
        <v>4.3636363636363633</v>
      </c>
      <c r="AB22">
        <f>IFERROR(SUMPRODUCT(S22:U22,{0.2,0.3,0.5})/SUMPRODUCT(--(S22:U22&lt;&gt;""),{0.2,0.3,0.5}),"")</f>
        <v>9.915584415584415E-2</v>
      </c>
      <c r="AC22">
        <f>IFERROR(SUMPRODUCT(V22:X22,{0.2,0.3,0.5})/SUMPRODUCT(--(V22:X22&lt;&gt;""),{0.2,0.3,0.5}),"")</f>
        <v>0.14553874696731839</v>
      </c>
      <c r="AD22">
        <f>IFERROR(SUMPRODUCT(Y22:AA22,{0.2,0.3,0.5})/SUMPRODUCT((Y22:AA22&lt;&gt;"")*{0.2,0.3,0.5}),O22)</f>
        <v>5.5868417296988726</v>
      </c>
      <c r="AE22">
        <f t="shared" si="22"/>
        <v>3</v>
      </c>
      <c r="AF22" t="str">
        <f t="shared" si="1"/>
        <v/>
      </c>
      <c r="AG22">
        <f t="shared" si="2"/>
        <v>9.915584415584415E-2</v>
      </c>
      <c r="AH22">
        <f t="shared" si="3"/>
        <v>0.14553874696731839</v>
      </c>
      <c r="AI22" s="2">
        <f t="shared" si="4"/>
        <v>5.5868417296988726</v>
      </c>
      <c r="AJ22">
        <f t="shared" si="5"/>
        <v>0</v>
      </c>
      <c r="AK22" t="str">
        <f t="shared" si="6"/>
        <v>NO</v>
      </c>
      <c r="AL22">
        <f t="shared" si="23"/>
        <v>0</v>
      </c>
      <c r="AM22">
        <f t="shared" si="7"/>
        <v>0</v>
      </c>
      <c r="AN22">
        <f t="shared" si="8"/>
        <v>0</v>
      </c>
      <c r="AO22">
        <f t="shared" si="9"/>
        <v>0</v>
      </c>
      <c r="AP22">
        <f t="array" ref="AP22">AL22*IF($C22="GKP",10,IF($C22="DEF",6,IF($C22="MID",5,4)))</f>
        <v>0</v>
      </c>
      <c r="AQ22">
        <f t="shared" si="10"/>
        <v>0</v>
      </c>
      <c r="AR22">
        <f t="shared" si="11"/>
        <v>0</v>
      </c>
      <c r="AS22" s="2">
        <f>IF($H22=0,0,Player_Analysis!$AM22*$H22/90)</f>
        <v>0</v>
      </c>
      <c r="AT22">
        <f t="shared" si="12"/>
        <v>0</v>
      </c>
      <c r="AU22" s="2">
        <f>0</f>
        <v>0</v>
      </c>
      <c r="AV22" s="2" t="str">
        <f>IF(INDEX(FPL_Raw_Data!K:K,MATCH(A22,FPL_Raw_Data!AA:AA,0))=0,"",INDEX(FPL_Raw_Data!P:P,MATCH(A22,FPL_Raw_Data!AA:AA,0))/INDEX(FPL_Raw_Data!K:K,MATCH(A22,FPL_Raw_Data!AA:AA,0))*90)</f>
        <v/>
      </c>
      <c r="AW22" s="2">
        <f t="shared" si="13"/>
        <v>0</v>
      </c>
      <c r="AX22" s="2">
        <f>IFERROR(INDEX(TEAM_ANALYSIS!$H$2:$H$21,MATCH($B22,TEAM_ANALYSIS!$A$2:$A$21,0)),0)</f>
        <v>0.33333333333333331</v>
      </c>
      <c r="AY22" s="2">
        <f t="shared" si="14"/>
        <v>0</v>
      </c>
      <c r="AZ22" s="2">
        <f t="shared" si="15"/>
        <v>0</v>
      </c>
      <c r="BA22">
        <f t="shared" si="16"/>
        <v>0</v>
      </c>
      <c r="BB22">
        <f>IFERROR(Player_Analysis!$Y22,1)</f>
        <v>1.0430363321799305</v>
      </c>
      <c r="BC22">
        <f t="shared" si="17"/>
        <v>0</v>
      </c>
      <c r="BD22">
        <f t="shared" si="24"/>
        <v>0</v>
      </c>
      <c r="BE22">
        <f t="shared" si="25"/>
        <v>0</v>
      </c>
      <c r="BF22">
        <f t="shared" si="18"/>
        <v>253</v>
      </c>
      <c r="BG22">
        <f>IF($BE22="","",COUNTIFS($C$2:$C$596,$C22,$BE$2:$BE$596,"&gt;"&amp;$BE22)+COUNTIFS($C$2:$C22,$C22,$BE$2:$BE22,$BE22))</f>
        <v>117</v>
      </c>
    </row>
    <row r="23" spans="1:59" x14ac:dyDescent="0.25">
      <c r="A23" t="str">
        <f>Player_Analysis!A23</f>
        <v>Fábio Ferreira Vieira</v>
      </c>
      <c r="B23">
        <f>Player_Analysis!C23</f>
        <v>1</v>
      </c>
      <c r="C23" t="str">
        <f>Player_Analysis!B23</f>
        <v>MID</v>
      </c>
      <c r="D23" s="13">
        <f>Player_Analysis!E23</f>
        <v>5.5</v>
      </c>
      <c r="E23">
        <f>Player_Analysis!I23</f>
        <v>0</v>
      </c>
      <c r="F23" s="8">
        <f>Player_Analysis!Z23</f>
        <v>0</v>
      </c>
      <c r="G23" s="17">
        <f t="shared" si="19"/>
        <v>0</v>
      </c>
      <c r="H23">
        <f t="shared" si="0"/>
        <v>0</v>
      </c>
      <c r="I23" s="8">
        <f>Player_Analysis!AF23</f>
        <v>0</v>
      </c>
      <c r="J23" s="8">
        <f>Player_Analysis!AG23</f>
        <v>0</v>
      </c>
      <c r="K23">
        <f>Player_Analysis!O23</f>
        <v>0</v>
      </c>
      <c r="L23">
        <f>Player_Analysis!P23</f>
        <v>0</v>
      </c>
      <c r="M23" t="str">
        <f t="shared" si="20"/>
        <v/>
      </c>
      <c r="N23" t="str">
        <f t="shared" si="21"/>
        <v/>
      </c>
      <c r="O23" s="2" t="str">
        <f>IF(E23=0,"",Player_Analysis!L23/E23*90)</f>
        <v/>
      </c>
      <c r="P23" t="str">
        <f>IF(E23=0,"",Player_Analysis!Q23/E23*90)</f>
        <v/>
      </c>
      <c r="Q23" t="str">
        <f>IF(E23=0,"",(Player_Analysis!AD23/E23)*90)</f>
        <v/>
      </c>
      <c r="R23" t="str">
        <f>IF(E23=0,"",Player_Analysis!AA23/E23*90)</f>
        <v/>
      </c>
      <c r="S23">
        <f t="array" ref="S23">IFERROR(INDEX('2023_24'!$O:$O,MATCH($A23,'2023_24'!$A:$A,0)),"")</f>
        <v>0.38793103448275862</v>
      </c>
      <c r="T23">
        <f>IFERROR(INDEX('2024_25'!$P:$P,MATCH($A23,'2024_25'!$A:$A,0)),"")</f>
        <v>0</v>
      </c>
      <c r="U23">
        <f>IFERROR(INDEX('2025_26'!$P:$P,MATCH($A23,'2025_26'!$A:$A,0)),"")</f>
        <v>0</v>
      </c>
      <c r="V23">
        <f>IFERROR(INDEX('2023_24'!$P:$P,MATCH($A23,'2023_24'!$A:$A,0)),"")</f>
        <v>0.19862068965517243</v>
      </c>
      <c r="W23">
        <f>IFERROR(INDEX('2024_25'!$Q:$Q,MATCH($A23,'2024_25'!$A:$A,0)),"")</f>
        <v>0</v>
      </c>
      <c r="X23">
        <f>IFERROR(INDEX('2025_26'!$Q:$Q,MATCH($A23,'2025_26'!$A:$A,0)),"")</f>
        <v>0</v>
      </c>
      <c r="Y23">
        <f>IFERROR(INDEX('2023_24'!$M:$M,MATCH($A23,'2023_24'!$A:$A,0))/INDEX('2023_24'!$G:$G,MATCH($A23,'2023_24'!$A:$A,0))*90,"")</f>
        <v>7.4482758620689653</v>
      </c>
      <c r="Z23" t="str">
        <f>IFERROR(INDEX('2024_25'!$M:$M,MATCH($A23,'2024_25'!$A:$A,0))/INDEX('2024_25'!$G:$G,MATCH($A23,'2024_25'!$A:$A,0))*90,"")</f>
        <v/>
      </c>
      <c r="AA23" t="str">
        <f>IFERROR(INDEX('2025_26'!$M:$M,MATCH($A23,'2025_26'!$A:$A,0))/INDEX('2025_26'!$G:$G,MATCH($A23,'2025_26'!$A:$A,0))*90,"")</f>
        <v/>
      </c>
      <c r="AB23">
        <f>IFERROR(SUMPRODUCT(S23:U23,{0.2,0.3,0.5})/SUMPRODUCT(--(S23:U23&lt;&gt;""),{0.2,0.3,0.5}),"")</f>
        <v>7.7586206896551727E-2</v>
      </c>
      <c r="AC23">
        <f>IFERROR(SUMPRODUCT(V23:X23,{0.2,0.3,0.5})/SUMPRODUCT(--(V23:X23&lt;&gt;""),{0.2,0.3,0.5}),"")</f>
        <v>3.9724137931034492E-2</v>
      </c>
      <c r="AD23">
        <f>IFERROR(SUMPRODUCT(Y23:AA23,{0.2,0.3,0.5})/SUMPRODUCT((Y23:AA23&lt;&gt;"")*{0.2,0.3,0.5}),O23)</f>
        <v>7.4482758620689653</v>
      </c>
      <c r="AE23">
        <f t="shared" si="22"/>
        <v>3</v>
      </c>
      <c r="AF23" t="str">
        <f t="shared" si="1"/>
        <v/>
      </c>
      <c r="AG23">
        <f t="shared" si="2"/>
        <v>7.7586206896551727E-2</v>
      </c>
      <c r="AH23">
        <f t="shared" si="3"/>
        <v>3.9724137931034492E-2</v>
      </c>
      <c r="AI23" s="2">
        <f t="shared" si="4"/>
        <v>7.4482758620689653</v>
      </c>
      <c r="AJ23">
        <f t="shared" si="5"/>
        <v>0</v>
      </c>
      <c r="AK23" t="str">
        <f t="shared" si="6"/>
        <v>NO</v>
      </c>
      <c r="AL23">
        <f t="shared" si="23"/>
        <v>0</v>
      </c>
      <c r="AM23">
        <f t="shared" si="7"/>
        <v>0</v>
      </c>
      <c r="AN23">
        <f t="shared" si="8"/>
        <v>0</v>
      </c>
      <c r="AO23">
        <f t="shared" si="9"/>
        <v>0</v>
      </c>
      <c r="AP23">
        <f t="array" ref="AP23">AL23*IF($C23="GKP",10,IF($C23="DEF",6,IF($C23="MID",5,4)))</f>
        <v>0</v>
      </c>
      <c r="AQ23">
        <f t="shared" si="10"/>
        <v>0</v>
      </c>
      <c r="AR23">
        <f t="shared" si="11"/>
        <v>0</v>
      </c>
      <c r="AS23" s="2">
        <f>IF($H23=0,0,Player_Analysis!$AM23*$H23/90)</f>
        <v>0</v>
      </c>
      <c r="AT23">
        <f t="shared" si="12"/>
        <v>0</v>
      </c>
      <c r="AU23" s="2">
        <f>0</f>
        <v>0</v>
      </c>
      <c r="AV23" s="2" t="str">
        <f>IF(INDEX(FPL_Raw_Data!K:K,MATCH(A23,FPL_Raw_Data!AA:AA,0))=0,"",INDEX(FPL_Raw_Data!P:P,MATCH(A23,FPL_Raw_Data!AA:AA,0))/INDEX(FPL_Raw_Data!K:K,MATCH(A23,FPL_Raw_Data!AA:AA,0))*90)</f>
        <v/>
      </c>
      <c r="AW23" s="2">
        <f t="shared" si="13"/>
        <v>0</v>
      </c>
      <c r="AX23" s="2">
        <f>IFERROR(INDEX(TEAM_ANALYSIS!$H$2:$H$21,MATCH($B23,TEAM_ANALYSIS!$A$2:$A$21,0)),0)</f>
        <v>0.33333333333333331</v>
      </c>
      <c r="AY23" s="2">
        <f t="shared" si="14"/>
        <v>0</v>
      </c>
      <c r="AZ23" s="2">
        <f t="shared" si="15"/>
        <v>0</v>
      </c>
      <c r="BA23">
        <f t="shared" si="16"/>
        <v>0</v>
      </c>
      <c r="BB23">
        <f>IFERROR(Player_Analysis!$Y23,1)</f>
        <v>1.0430363321799305</v>
      </c>
      <c r="BC23">
        <f t="shared" si="17"/>
        <v>0</v>
      </c>
      <c r="BD23">
        <f t="shared" si="24"/>
        <v>0</v>
      </c>
      <c r="BE23">
        <f t="shared" si="25"/>
        <v>0</v>
      </c>
      <c r="BF23">
        <f t="shared" si="18"/>
        <v>253</v>
      </c>
      <c r="BG23">
        <f>IF($BE23="","",COUNTIFS($C$2:$C$596,$C23,$BE$2:$BE$596,"&gt;"&amp;$BE23)+COUNTIFS($C$2:$C23,$C23,$BE$2:$BE23,$BE23))</f>
        <v>118</v>
      </c>
    </row>
    <row r="24" spans="1:59" x14ac:dyDescent="0.25">
      <c r="A24" t="str">
        <f>Player_Analysis!A24</f>
        <v>Reiss Nelson</v>
      </c>
      <c r="B24">
        <f>Player_Analysis!C24</f>
        <v>1</v>
      </c>
      <c r="C24" t="str">
        <f>Player_Analysis!B24</f>
        <v>MID</v>
      </c>
      <c r="D24" s="13">
        <f>Player_Analysis!E24</f>
        <v>5.5</v>
      </c>
      <c r="E24">
        <f>Player_Analysis!I24</f>
        <v>0</v>
      </c>
      <c r="F24" s="8">
        <f>Player_Analysis!Z24</f>
        <v>0</v>
      </c>
      <c r="G24" s="17">
        <f t="shared" si="19"/>
        <v>0</v>
      </c>
      <c r="H24">
        <f t="shared" si="0"/>
        <v>0</v>
      </c>
      <c r="I24" s="8">
        <f>Player_Analysis!AF24</f>
        <v>0</v>
      </c>
      <c r="J24" s="8">
        <f>Player_Analysis!AG24</f>
        <v>0</v>
      </c>
      <c r="K24">
        <f>Player_Analysis!O24</f>
        <v>0</v>
      </c>
      <c r="L24">
        <f>Player_Analysis!P24</f>
        <v>0</v>
      </c>
      <c r="M24" t="str">
        <f t="shared" si="20"/>
        <v/>
      </c>
      <c r="N24" t="str">
        <f t="shared" si="21"/>
        <v/>
      </c>
      <c r="O24" s="2" t="str">
        <f>IF(E24=0,"",Player_Analysis!L24/E24*90)</f>
        <v/>
      </c>
      <c r="P24" t="str">
        <f>IF(E24=0,"",Player_Analysis!Q24/E24*90)</f>
        <v/>
      </c>
      <c r="Q24" t="str">
        <f>IF(E24=0,"",(Player_Analysis!AD24/E24)*90)</f>
        <v/>
      </c>
      <c r="R24" t="str">
        <f>IF(E24=0,"",Player_Analysis!AA24/E24*90)</f>
        <v/>
      </c>
      <c r="S24">
        <f t="array" ref="S24">IFERROR(INDEX('2023_24'!$O:$O,MATCH($A24,'2023_24'!$A:$A,0)),"")</f>
        <v>6.3281249999999997E-2</v>
      </c>
      <c r="T24">
        <f>IFERROR(INDEX('2024_25'!$P:$P,MATCH($A24,'2024_25'!$A:$A,0)),"")</f>
        <v>0.19937888198757764</v>
      </c>
      <c r="U24">
        <f>IFERROR(INDEX('2025_26'!$P:$P,MATCH($A24,'2025_26'!$A:$A,0)),"")</f>
        <v>0.54152542372881352</v>
      </c>
      <c r="V24">
        <f>IFERROR(INDEX('2023_24'!$P:$P,MATCH($A24,'2023_24'!$A:$A,0)),"")</f>
        <v>0.15117187500000001</v>
      </c>
      <c r="W24">
        <f>IFERROR(INDEX('2024_25'!$Q:$Q,MATCH($A24,'2024_25'!$A:$A,0)),"")</f>
        <v>0.17888198757763976</v>
      </c>
      <c r="X24">
        <f>IFERROR(INDEX('2025_26'!$Q:$Q,MATCH($A24,'2025_26'!$A:$A,0)),"")</f>
        <v>8.3898305084745772E-2</v>
      </c>
      <c r="Y24">
        <f>IFERROR(INDEX('2023_24'!$M:$M,MATCH($A24,'2023_24'!$A:$A,0))/INDEX('2023_24'!$G:$G,MATCH($A24,'2023_24'!$A:$A,0))*90,"")</f>
        <v>5.625</v>
      </c>
      <c r="Z24">
        <f>IFERROR(INDEX('2024_25'!$M:$M,MATCH($A24,'2024_25'!$A:$A,0))/INDEX('2024_25'!$G:$G,MATCH($A24,'2024_25'!$A:$A,0))*90,"")</f>
        <v>5.0310559006211184</v>
      </c>
      <c r="AA24">
        <f>IFERROR(INDEX('2025_26'!$M:$M,MATCH($A24,'2025_26'!$A:$A,0))/INDEX('2025_26'!$G:$G,MATCH($A24,'2025_26'!$A:$A,0))*90,"")</f>
        <v>9.9152542372881349</v>
      </c>
      <c r="AB24">
        <f>IFERROR(SUMPRODUCT(S24:U24,{0.2,0.3,0.5})/SUMPRODUCT(--(S24:U24&lt;&gt;""),{0.2,0.3,0.5}),"")</f>
        <v>0.34323262646068003</v>
      </c>
      <c r="AC24">
        <f>IFERROR(SUMPRODUCT(V24:X24,{0.2,0.3,0.5})/SUMPRODUCT(--(V24:X24&lt;&gt;""),{0.2,0.3,0.5}),"")</f>
        <v>0.12584812381566482</v>
      </c>
      <c r="AD24">
        <f>IFERROR(SUMPRODUCT(Y24:AA24,{0.2,0.3,0.5})/SUMPRODUCT((Y24:AA24&lt;&gt;"")*{0.2,0.3,0.5}),O24)</f>
        <v>7.5919438888304027</v>
      </c>
      <c r="AE24">
        <f t="shared" si="22"/>
        <v>3</v>
      </c>
      <c r="AF24" t="str">
        <f t="shared" si="1"/>
        <v/>
      </c>
      <c r="AG24">
        <f t="shared" si="2"/>
        <v>0.34323262646068003</v>
      </c>
      <c r="AH24">
        <f t="shared" si="3"/>
        <v>0.12584812381566482</v>
      </c>
      <c r="AI24" s="2">
        <f t="shared" si="4"/>
        <v>7.5919438888304027</v>
      </c>
      <c r="AJ24">
        <f t="shared" si="5"/>
        <v>0</v>
      </c>
      <c r="AK24" t="str">
        <f t="shared" si="6"/>
        <v>NO</v>
      </c>
      <c r="AL24">
        <f t="shared" si="23"/>
        <v>0</v>
      </c>
      <c r="AM24">
        <f t="shared" si="7"/>
        <v>0</v>
      </c>
      <c r="AN24">
        <f t="shared" si="8"/>
        <v>0</v>
      </c>
      <c r="AO24">
        <f t="shared" si="9"/>
        <v>0</v>
      </c>
      <c r="AP24">
        <f t="array" ref="AP24">AL24*IF($C24="GKP",10,IF($C24="DEF",6,IF($C24="MID",5,4)))</f>
        <v>0</v>
      </c>
      <c r="AQ24">
        <f t="shared" si="10"/>
        <v>0</v>
      </c>
      <c r="AR24">
        <f t="shared" si="11"/>
        <v>0</v>
      </c>
      <c r="AS24" s="2">
        <f>IF($H24=0,0,Player_Analysis!$AM24*$H24/90)</f>
        <v>0</v>
      </c>
      <c r="AT24">
        <f t="shared" si="12"/>
        <v>0</v>
      </c>
      <c r="AU24" s="2">
        <f>0</f>
        <v>0</v>
      </c>
      <c r="AV24" s="2" t="str">
        <f>IF(INDEX(FPL_Raw_Data!K:K,MATCH(A24,FPL_Raw_Data!AA:AA,0))=0,"",INDEX(FPL_Raw_Data!P:P,MATCH(A24,FPL_Raw_Data!AA:AA,0))/INDEX(FPL_Raw_Data!K:K,MATCH(A24,FPL_Raw_Data!AA:AA,0))*90)</f>
        <v/>
      </c>
      <c r="AW24" s="2">
        <f t="shared" si="13"/>
        <v>0</v>
      </c>
      <c r="AX24" s="2">
        <f>IFERROR(INDEX(TEAM_ANALYSIS!$H$2:$H$21,MATCH($B24,TEAM_ANALYSIS!$A$2:$A$21,0)),0)</f>
        <v>0.33333333333333331</v>
      </c>
      <c r="AY24" s="2">
        <f t="shared" si="14"/>
        <v>0</v>
      </c>
      <c r="AZ24" s="2">
        <f t="shared" si="15"/>
        <v>0</v>
      </c>
      <c r="BA24">
        <f t="shared" si="16"/>
        <v>0</v>
      </c>
      <c r="BB24">
        <f>IFERROR(Player_Analysis!$Y24,1)</f>
        <v>1.0430363321799305</v>
      </c>
      <c r="BC24">
        <f t="shared" si="17"/>
        <v>0</v>
      </c>
      <c r="BD24">
        <f t="shared" si="24"/>
        <v>0</v>
      </c>
      <c r="BE24">
        <f t="shared" si="25"/>
        <v>0</v>
      </c>
      <c r="BF24">
        <f t="shared" si="18"/>
        <v>253</v>
      </c>
      <c r="BG24">
        <f>IF($BE24="","",COUNTIFS($C$2:$C$596,$C24,$BE$2:$BE$596,"&gt;"&amp;$BE24)+COUNTIFS($C$2:$C24,$C24,$BE$2:$BE24,$BE24))</f>
        <v>119</v>
      </c>
    </row>
    <row r="25" spans="1:59" x14ac:dyDescent="0.25">
      <c r="A25" t="str">
        <f>Player_Analysis!A25</f>
        <v>Viktor Gyökeres</v>
      </c>
      <c r="B25">
        <f>Player_Analysis!C25</f>
        <v>1</v>
      </c>
      <c r="C25" t="str">
        <f>Player_Analysis!B25</f>
        <v>FWD</v>
      </c>
      <c r="D25" s="13">
        <f>Player_Analysis!E25</f>
        <v>7.3</v>
      </c>
      <c r="E25">
        <f>Player_Analysis!I25</f>
        <v>12</v>
      </c>
      <c r="F25" s="8">
        <f>Player_Analysis!Z25</f>
        <v>0</v>
      </c>
      <c r="G25" s="17">
        <f t="shared" si="19"/>
        <v>0</v>
      </c>
      <c r="H25">
        <f t="shared" si="0"/>
        <v>0</v>
      </c>
      <c r="I25" s="8">
        <f>Player_Analysis!AF25</f>
        <v>0</v>
      </c>
      <c r="J25" s="8">
        <f>Player_Analysis!AG25</f>
        <v>0</v>
      </c>
      <c r="K25">
        <f>Player_Analysis!O25</f>
        <v>0</v>
      </c>
      <c r="L25">
        <f>Player_Analysis!P25</f>
        <v>0</v>
      </c>
      <c r="M25">
        <f t="shared" si="20"/>
        <v>0</v>
      </c>
      <c r="N25">
        <f t="shared" si="21"/>
        <v>0</v>
      </c>
      <c r="O25" s="2">
        <f>IF(E25=0,"",Player_Analysis!L25/E25*90)</f>
        <v>7.5</v>
      </c>
      <c r="P25">
        <f>IF(E25=0,"",Player_Analysis!Q25/E25*90)</f>
        <v>0</v>
      </c>
      <c r="Q25">
        <f>IF(E25=0,"",(Player_Analysis!AD25/E25)*90)</f>
        <v>15</v>
      </c>
      <c r="R25">
        <f>IF(E25=0,"",Player_Analysis!AA25/E25*90)</f>
        <v>7.5</v>
      </c>
      <c r="S25" t="str">
        <f t="array" ref="S25">IFERROR(INDEX('2023_24'!$O:$O,MATCH($A25,'2023_24'!$A:$A,0)),"")</f>
        <v/>
      </c>
      <c r="T25" t="str">
        <f>IFERROR(INDEX('2024_25'!$P:$P,MATCH($A25,'2024_25'!$A:$A,0)),"")</f>
        <v/>
      </c>
      <c r="U25">
        <f>IFERROR(INDEX('2025_26'!$P:$P,MATCH($A25,'2025_26'!$A:$A,0)),"")</f>
        <v>0.49769959404600811</v>
      </c>
      <c r="V25" t="str">
        <f>IFERROR(INDEX('2023_24'!$P:$P,MATCH($A25,'2023_24'!$A:$A,0)),"")</f>
        <v/>
      </c>
      <c r="W25" t="str">
        <f>IFERROR(INDEX('2024_25'!$Q:$Q,MATCH($A25,'2024_25'!$A:$A,0)),"")</f>
        <v/>
      </c>
      <c r="X25">
        <f>IFERROR(INDEX('2025_26'!$Q:$Q,MATCH($A25,'2025_26'!$A:$A,0)),"")</f>
        <v>7.8755074424898514E-2</v>
      </c>
      <c r="Y25" t="str">
        <f>IFERROR(INDEX('2023_24'!$M:$M,MATCH($A25,'2023_24'!$A:$A,0))/INDEX('2023_24'!$G:$G,MATCH($A25,'2023_24'!$A:$A,0))*90,"")</f>
        <v/>
      </c>
      <c r="Z25" t="str">
        <f>IFERROR(INDEX('2024_25'!$M:$M,MATCH($A25,'2024_25'!$A:$A,0))/INDEX('2024_25'!$G:$G,MATCH($A25,'2024_25'!$A:$A,0))*90,"")</f>
        <v/>
      </c>
      <c r="AA25">
        <f>IFERROR(INDEX('2025_26'!$M:$M,MATCH($A25,'2025_26'!$A:$A,0))/INDEX('2025_26'!$G:$G,MATCH($A25,'2025_26'!$A:$A,0))*90,"")</f>
        <v>5.1962110960757784</v>
      </c>
      <c r="AB25">
        <f>IFERROR(SUMPRODUCT(S25:U25,{0.2,0.3,0.5})/SUMPRODUCT(--(S25:U25&lt;&gt;""),{0.2,0.3,0.5}),"")</f>
        <v>0.49769959404600811</v>
      </c>
      <c r="AC25">
        <f>IFERROR(SUMPRODUCT(V25:X25,{0.2,0.3,0.5})/SUMPRODUCT(--(V25:X25&lt;&gt;""),{0.2,0.3,0.5}),"")</f>
        <v>7.8755074424898514E-2</v>
      </c>
      <c r="AD25">
        <f>IFERROR(SUMPRODUCT(Y25:AA25,{0.2,0.3,0.5})/SUMPRODUCT((Y25:AA25&lt;&gt;"")*{0.2,0.3,0.5}),O25)</f>
        <v>5.1962110960757784</v>
      </c>
      <c r="AE25">
        <f t="shared" si="22"/>
        <v>1</v>
      </c>
      <c r="AF25" t="str">
        <f t="shared" si="1"/>
        <v/>
      </c>
      <c r="AG25">
        <f t="shared" si="2"/>
        <v>0.47779161028416778</v>
      </c>
      <c r="AH25">
        <f t="shared" si="3"/>
        <v>7.5604871447902566E-2</v>
      </c>
      <c r="AI25" s="2">
        <f t="shared" si="4"/>
        <v>5.2883626522327472</v>
      </c>
      <c r="AJ25">
        <f t="shared" si="5"/>
        <v>0.04</v>
      </c>
      <c r="AK25" t="str">
        <f t="shared" si="6"/>
        <v>NO</v>
      </c>
      <c r="AL25">
        <f t="shared" si="23"/>
        <v>0</v>
      </c>
      <c r="AM25">
        <f t="shared" si="7"/>
        <v>0</v>
      </c>
      <c r="AN25">
        <f t="shared" si="8"/>
        <v>0</v>
      </c>
      <c r="AO25">
        <f t="shared" si="9"/>
        <v>0</v>
      </c>
      <c r="AP25">
        <f t="array" ref="AP25">AL25*IF($C25="GKP",10,IF($C25="DEF",6,IF($C25="MID",5,4)))</f>
        <v>0</v>
      </c>
      <c r="AQ25">
        <f t="shared" si="10"/>
        <v>0</v>
      </c>
      <c r="AR25">
        <f t="shared" si="11"/>
        <v>0</v>
      </c>
      <c r="AS25" s="2">
        <f>IF($H25=0,0,Player_Analysis!$AM25*$H25/90)</f>
        <v>0</v>
      </c>
      <c r="AT25">
        <f t="shared" si="12"/>
        <v>0</v>
      </c>
      <c r="AU25" s="2">
        <f>0</f>
        <v>0</v>
      </c>
      <c r="AV25" s="2">
        <f>IF(INDEX(FPL_Raw_Data!K:K,MATCH(A25,FPL_Raw_Data!AA:AA,0))=0,"",INDEX(FPL_Raw_Data!P:P,MATCH(A25,FPL_Raw_Data!AA:AA,0))/INDEX(FPL_Raw_Data!K:K,MATCH(A25,FPL_Raw_Data!AA:AA,0))*90)</f>
        <v>0</v>
      </c>
      <c r="AW25" s="2">
        <f t="shared" si="13"/>
        <v>0</v>
      </c>
      <c r="AX25" s="2">
        <f>IFERROR(INDEX(TEAM_ANALYSIS!$H$2:$H$21,MATCH($B25,TEAM_ANALYSIS!$A$2:$A$21,0)),0)</f>
        <v>0.33333333333333331</v>
      </c>
      <c r="AY25" s="2">
        <f t="shared" si="14"/>
        <v>0</v>
      </c>
      <c r="AZ25" s="2">
        <f t="shared" si="15"/>
        <v>0</v>
      </c>
      <c r="BA25">
        <f t="shared" si="16"/>
        <v>0</v>
      </c>
      <c r="BB25">
        <f>IFERROR(Player_Analysis!$Y25,1)</f>
        <v>1.0430363321799305</v>
      </c>
      <c r="BC25">
        <f t="shared" si="17"/>
        <v>0</v>
      </c>
      <c r="BD25">
        <f t="shared" si="24"/>
        <v>0</v>
      </c>
      <c r="BE25">
        <f t="shared" si="25"/>
        <v>0</v>
      </c>
      <c r="BF25">
        <f t="shared" si="18"/>
        <v>253</v>
      </c>
      <c r="BG25">
        <f>IF($BE25="","",COUNTIFS($C$2:$C$596,$C25,$BE$2:$BE$596,"&gt;"&amp;$BE25)+COUNTIFS($C$2:$C25,$C25,$BE$2:$BE25,$BE25))</f>
        <v>26</v>
      </c>
    </row>
    <row r="26" spans="1:59" x14ac:dyDescent="0.25">
      <c r="A26" t="str">
        <f>Player_Analysis!A26</f>
        <v>Kai Havertz</v>
      </c>
      <c r="B26">
        <f>Player_Analysis!C26</f>
        <v>1</v>
      </c>
      <c r="C26" t="str">
        <f>Player_Analysis!B26</f>
        <v>FWD</v>
      </c>
      <c r="D26" s="13">
        <f>Player_Analysis!E26</f>
        <v>7.5</v>
      </c>
      <c r="E26">
        <f>Player_Analysis!I26</f>
        <v>257</v>
      </c>
      <c r="F26" s="8">
        <f>Player_Analysis!Z26</f>
        <v>3</v>
      </c>
      <c r="G26" s="17">
        <f t="shared" si="19"/>
        <v>1</v>
      </c>
      <c r="H26">
        <f t="shared" si="0"/>
        <v>90</v>
      </c>
      <c r="I26" s="8">
        <f>Player_Analysis!AF26</f>
        <v>2</v>
      </c>
      <c r="J26" s="8">
        <f>Player_Analysis!AG26</f>
        <v>0</v>
      </c>
      <c r="K26">
        <f>Player_Analysis!O26</f>
        <v>0.55000000000000004</v>
      </c>
      <c r="L26">
        <f>Player_Analysis!P26</f>
        <v>0.33</v>
      </c>
      <c r="M26">
        <f t="shared" si="20"/>
        <v>0.19260700389105059</v>
      </c>
      <c r="N26">
        <f t="shared" si="21"/>
        <v>0.11556420233463036</v>
      </c>
      <c r="O26" s="2">
        <f>IF(E26=0,"",Player_Analysis!L26/E26*90)</f>
        <v>5.6031128404669257</v>
      </c>
      <c r="P26">
        <f>IF(E26=0,"",Player_Analysis!Q26/E26*90)</f>
        <v>0.30817120622568089</v>
      </c>
      <c r="Q26">
        <f>IF(E26=0,"",(Player_Analysis!AD26/E26)*90)</f>
        <v>26.964980544747082</v>
      </c>
      <c r="R26">
        <f>IF(E26=0,"",Player_Analysis!AA26/E26*90)</f>
        <v>2.8015564202334629</v>
      </c>
      <c r="S26">
        <f t="array" ref="S26">IFERROR(INDEX('2023_24'!$O:$O,MATCH($A26,'2023_24'!$A:$A,0)),"")</f>
        <v>0.42344880091358961</v>
      </c>
      <c r="T26">
        <f>IFERROR(INDEX('2024_25'!$P:$P,MATCH($A26,'2024_25'!$A:$A,0)),"")</f>
        <v>0.45817307692307691</v>
      </c>
      <c r="U26">
        <f>IFERROR(INDEX('2025_26'!$P:$P,MATCH($A26,'2025_26'!$A:$A,0)),"")</f>
        <v>0.51629116117850948</v>
      </c>
      <c r="V26">
        <f>IFERROR(INDEX('2023_24'!$P:$P,MATCH($A26,'2023_24'!$A:$A,0)),"")</f>
        <v>0.13292729349067378</v>
      </c>
      <c r="W26">
        <f>IFERROR(INDEX('2024_25'!$Q:$Q,MATCH($A26,'2024_25'!$A:$A,0)),"")</f>
        <v>7.9326923076923073E-2</v>
      </c>
      <c r="X26">
        <f>IFERROR(INDEX('2025_26'!$Q:$Q,MATCH($A26,'2025_26'!$A:$A,0)),"")</f>
        <v>9.982668977469672E-2</v>
      </c>
      <c r="Y26">
        <f>IFERROR(INDEX('2023_24'!$M:$M,MATCH($A26,'2023_24'!$A:$A,0))/INDEX('2023_24'!$G:$G,MATCH($A26,'2023_24'!$A:$A,0))*90,"")</f>
        <v>6.1667301103920824</v>
      </c>
      <c r="Z26">
        <f>IFERROR(INDEX('2024_25'!$M:$M,MATCH($A26,'2024_25'!$A:$A,0))/INDEX('2024_25'!$G:$G,MATCH($A26,'2024_25'!$A:$A,0))*90,"")</f>
        <v>4.6634615384615383</v>
      </c>
      <c r="AA26">
        <f>IFERROR(INDEX('2025_26'!$M:$M,MATCH($A26,'2025_26'!$A:$A,0))/INDEX('2025_26'!$G:$G,MATCH($A26,'2025_26'!$A:$A,0))*90,"")</f>
        <v>5.6152512998266895</v>
      </c>
      <c r="AB26">
        <f>IFERROR(SUMPRODUCT(S26:U26,{0.2,0.3,0.5})/SUMPRODUCT(--(S26:U26&lt;&gt;""),{0.2,0.3,0.5}),"")</f>
        <v>0.48028726384889575</v>
      </c>
      <c r="AC26">
        <f>IFERROR(SUMPRODUCT(V26:X26,{0.2,0.3,0.5})/SUMPRODUCT(--(V26:X26&lt;&gt;""),{0.2,0.3,0.5}),"")</f>
        <v>0.10029688050856003</v>
      </c>
      <c r="AD26">
        <f>IFERROR(SUMPRODUCT(Y26:AA26,{0.2,0.3,0.5})/SUMPRODUCT((Y26:AA26&lt;&gt;"")*{0.2,0.3,0.5}),O26)</f>
        <v>5.4400101335302224</v>
      </c>
      <c r="AE26">
        <f t="shared" si="22"/>
        <v>3</v>
      </c>
      <c r="AF26">
        <f t="shared" si="1"/>
        <v>85.666666666666671</v>
      </c>
      <c r="AG26">
        <f t="shared" si="2"/>
        <v>0.23384117448500841</v>
      </c>
      <c r="AH26">
        <f t="shared" si="3"/>
        <v>0.11337588620622693</v>
      </c>
      <c r="AI26" s="2">
        <f t="shared" si="4"/>
        <v>5.5797347858059982</v>
      </c>
      <c r="AJ26">
        <f t="shared" si="5"/>
        <v>0.85666666666666669</v>
      </c>
      <c r="AK26" t="str">
        <f t="shared" si="6"/>
        <v>NO</v>
      </c>
      <c r="AL26">
        <f t="shared" si="23"/>
        <v>0.23384117448500841</v>
      </c>
      <c r="AM26">
        <f t="shared" si="7"/>
        <v>0.11337588620622693</v>
      </c>
      <c r="AN26">
        <f t="shared" si="8"/>
        <v>0.23384117448500841</v>
      </c>
      <c r="AO26">
        <f t="shared" si="9"/>
        <v>0.11337588620622693</v>
      </c>
      <c r="AP26">
        <f t="array" ref="AP26">AL26*IF($C26="GKP",10,IF($C26="DEF",6,IF($C26="MID",5,4)))</f>
        <v>0.93536469794003363</v>
      </c>
      <c r="AQ26">
        <f t="shared" si="10"/>
        <v>0.34012765861868077</v>
      </c>
      <c r="AR26">
        <f t="shared" si="11"/>
        <v>2</v>
      </c>
      <c r="AS26" s="2">
        <f>IF($H26=0,0,Player_Analysis!$AM26*$H26/90)</f>
        <v>0</v>
      </c>
      <c r="AT26">
        <f t="shared" si="12"/>
        <v>0.46692607003891046</v>
      </c>
      <c r="AU26" s="2">
        <f>0</f>
        <v>0</v>
      </c>
      <c r="AV26" s="2">
        <f>IF(INDEX(FPL_Raw_Data!K:K,MATCH(A26,FPL_Raw_Data!AA:AA,0))=0,"",INDEX(FPL_Raw_Data!P:P,MATCH(A26,FPL_Raw_Data!AA:AA,0))/INDEX(FPL_Raw_Data!K:K,MATCH(A26,FPL_Raw_Data!AA:AA,0))*90)</f>
        <v>0</v>
      </c>
      <c r="AW26" s="2">
        <f t="shared" si="13"/>
        <v>0</v>
      </c>
      <c r="AX26" s="2">
        <f>IFERROR(INDEX(TEAM_ANALYSIS!$H$2:$H$21,MATCH($B26,TEAM_ANALYSIS!$A$2:$A$21,0)),0)</f>
        <v>0.33333333333333331</v>
      </c>
      <c r="AY26" s="2">
        <f t="shared" si="14"/>
        <v>0</v>
      </c>
      <c r="AZ26" s="2">
        <f t="shared" si="15"/>
        <v>3.742418426597625</v>
      </c>
      <c r="BA26">
        <f t="shared" si="16"/>
        <v>0.49898912354635</v>
      </c>
      <c r="BB26">
        <f>IFERROR(Player_Analysis!$Y26,1)</f>
        <v>1.0430363321799305</v>
      </c>
      <c r="BC26">
        <f t="shared" si="17"/>
        <v>3.9034783891609734</v>
      </c>
      <c r="BD26">
        <f t="shared" si="24"/>
        <v>1.9477932601895522</v>
      </c>
      <c r="BE26">
        <f t="shared" si="25"/>
        <v>3.9034783891609734</v>
      </c>
      <c r="BF26">
        <f t="shared" si="18"/>
        <v>158</v>
      </c>
      <c r="BG26">
        <f>IF($BE26="","",COUNTIFS($C$2:$C$596,$C26,$BE$2:$BE$596,"&gt;"&amp;$BE26)+COUNTIFS($C$2:$C26,$C26,$BE$2:$BE26,$BE26))</f>
        <v>17</v>
      </c>
    </row>
    <row r="27" spans="1:59" x14ac:dyDescent="0.25">
      <c r="A27" t="str">
        <f>Player_Analysis!A27</f>
        <v>Gabriel Fernando de Jesus</v>
      </c>
      <c r="B27">
        <f>Player_Analysis!C27</f>
        <v>1</v>
      </c>
      <c r="C27" t="str">
        <f>Player_Analysis!B27</f>
        <v>FWD</v>
      </c>
      <c r="D27" s="13">
        <f>Player_Analysis!E27</f>
        <v>5.9</v>
      </c>
      <c r="E27">
        <f>Player_Analysis!I27</f>
        <v>0</v>
      </c>
      <c r="F27" s="8">
        <f>Player_Analysis!Z27</f>
        <v>0</v>
      </c>
      <c r="G27" s="17">
        <f t="shared" si="19"/>
        <v>0</v>
      </c>
      <c r="H27">
        <f t="shared" si="0"/>
        <v>0</v>
      </c>
      <c r="I27" s="8">
        <f>Player_Analysis!AF27</f>
        <v>0</v>
      </c>
      <c r="J27" s="8">
        <f>Player_Analysis!AG27</f>
        <v>0</v>
      </c>
      <c r="K27">
        <f>Player_Analysis!O27</f>
        <v>0</v>
      </c>
      <c r="L27">
        <f>Player_Analysis!P27</f>
        <v>0</v>
      </c>
      <c r="M27" t="str">
        <f t="shared" si="20"/>
        <v/>
      </c>
      <c r="N27" t="str">
        <f t="shared" si="21"/>
        <v/>
      </c>
      <c r="O27" s="2" t="str">
        <f>IF(E27=0,"",Player_Analysis!L27/E27*90)</f>
        <v/>
      </c>
      <c r="P27" t="str">
        <f>IF(E27=0,"",Player_Analysis!Q27/E27*90)</f>
        <v/>
      </c>
      <c r="Q27" t="str">
        <f>IF(E27=0,"",(Player_Analysis!AD27/E27)*90)</f>
        <v/>
      </c>
      <c r="R27" t="str">
        <f>IF(E27=0,"",Player_Analysis!AA27/E27*90)</f>
        <v/>
      </c>
      <c r="S27">
        <f t="array" ref="S27">IFERROR(INDEX('2023_24'!$O:$O,MATCH($A27,'2023_24'!$A:$A,0)),"")</f>
        <v>0.38387755102040816</v>
      </c>
      <c r="T27">
        <f>IFERROR(INDEX('2024_25'!$P:$P,MATCH($A27,'2024_25'!$A:$A,0)),"")</f>
        <v>0.45749999999999996</v>
      </c>
      <c r="U27">
        <f>IFERROR(INDEX('2025_26'!$P:$P,MATCH($A27,'2025_26'!$A:$A,0)),"")</f>
        <v>0.58349282296650717</v>
      </c>
      <c r="V27">
        <f>IFERROR(INDEX('2023_24'!$P:$P,MATCH($A27,'2023_24'!$A:$A,0)),"")</f>
        <v>0.19959183673469386</v>
      </c>
      <c r="W27">
        <f>IFERROR(INDEX('2024_25'!$Q:$Q,MATCH($A27,'2024_25'!$A:$A,0)),"")</f>
        <v>7.8E-2</v>
      </c>
      <c r="X27">
        <f>IFERROR(INDEX('2025_26'!$Q:$Q,MATCH($A27,'2025_26'!$A:$A,0)),"")</f>
        <v>5.5980861244019145E-2</v>
      </c>
      <c r="Y27">
        <f>IFERROR(INDEX('2023_24'!$M:$M,MATCH($A27,'2023_24'!$A:$A,0))/INDEX('2023_24'!$G:$G,MATCH($A27,'2023_24'!$A:$A,0))*90,"")</f>
        <v>5.204081632653061</v>
      </c>
      <c r="Z27">
        <f>IFERROR(INDEX('2024_25'!$M:$M,MATCH($A27,'2024_25'!$A:$A,0))/INDEX('2024_25'!$G:$G,MATCH($A27,'2024_25'!$A:$A,0))*90,"")</f>
        <v>6.3000000000000007</v>
      </c>
      <c r="AA27">
        <f>IFERROR(INDEX('2025_26'!$M:$M,MATCH($A27,'2025_26'!$A:$A,0))/INDEX('2025_26'!$G:$G,MATCH($A27,'2025_26'!$A:$A,0))*90,"")</f>
        <v>5.1674641148325362</v>
      </c>
      <c r="AB27">
        <f>IFERROR(SUMPRODUCT(S27:U27,{0.2,0.3,0.5})/SUMPRODUCT(--(S27:U27&lt;&gt;""),{0.2,0.3,0.5}),"")</f>
        <v>0.5057719216873352</v>
      </c>
      <c r="AC27">
        <f>IFERROR(SUMPRODUCT(V27:X27,{0.2,0.3,0.5})/SUMPRODUCT(--(V27:X27&lt;&gt;""),{0.2,0.3,0.5}),"")</f>
        <v>9.1308797968948335E-2</v>
      </c>
      <c r="AD27">
        <f>IFERROR(SUMPRODUCT(Y27:AA27,{0.2,0.3,0.5})/SUMPRODUCT((Y27:AA27&lt;&gt;"")*{0.2,0.3,0.5}),O27)</f>
        <v>5.514548383946881</v>
      </c>
      <c r="AE27">
        <f t="shared" si="22"/>
        <v>3</v>
      </c>
      <c r="AF27" t="str">
        <f t="shared" si="1"/>
        <v/>
      </c>
      <c r="AG27">
        <f t="shared" si="2"/>
        <v>0.5057719216873352</v>
      </c>
      <c r="AH27">
        <f t="shared" si="3"/>
        <v>9.1308797968948335E-2</v>
      </c>
      <c r="AI27" s="2">
        <f t="shared" si="4"/>
        <v>5.514548383946881</v>
      </c>
      <c r="AJ27">
        <f t="shared" si="5"/>
        <v>0</v>
      </c>
      <c r="AK27" t="str">
        <f t="shared" si="6"/>
        <v>NO</v>
      </c>
      <c r="AL27">
        <f t="shared" si="23"/>
        <v>0</v>
      </c>
      <c r="AM27">
        <f t="shared" si="7"/>
        <v>0</v>
      </c>
      <c r="AN27">
        <f t="shared" si="8"/>
        <v>0</v>
      </c>
      <c r="AO27">
        <f t="shared" si="9"/>
        <v>0</v>
      </c>
      <c r="AP27">
        <f t="array" ref="AP27">AL27*IF($C27="GKP",10,IF($C27="DEF",6,IF($C27="MID",5,4)))</f>
        <v>0</v>
      </c>
      <c r="AQ27">
        <f t="shared" si="10"/>
        <v>0</v>
      </c>
      <c r="AR27">
        <f t="shared" si="11"/>
        <v>0</v>
      </c>
      <c r="AS27" s="2">
        <f>IF($H27=0,0,Player_Analysis!$AM27*$H27/90)</f>
        <v>0</v>
      </c>
      <c r="AT27">
        <f t="shared" si="12"/>
        <v>0</v>
      </c>
      <c r="AU27" s="2">
        <f>0</f>
        <v>0</v>
      </c>
      <c r="AV27" s="2" t="str">
        <f>IF(INDEX(FPL_Raw_Data!K:K,MATCH(A27,FPL_Raw_Data!AA:AA,0))=0,"",INDEX(FPL_Raw_Data!P:P,MATCH(A27,FPL_Raw_Data!AA:AA,0))/INDEX(FPL_Raw_Data!K:K,MATCH(A27,FPL_Raw_Data!AA:AA,0))*90)</f>
        <v/>
      </c>
      <c r="AW27" s="2">
        <f t="shared" si="13"/>
        <v>0</v>
      </c>
      <c r="AX27" s="2">
        <f>IFERROR(INDEX(TEAM_ANALYSIS!$H$2:$H$21,MATCH($B27,TEAM_ANALYSIS!$A$2:$A$21,0)),0)</f>
        <v>0.33333333333333331</v>
      </c>
      <c r="AY27" s="2">
        <f t="shared" si="14"/>
        <v>0</v>
      </c>
      <c r="AZ27" s="2">
        <f t="shared" si="15"/>
        <v>0</v>
      </c>
      <c r="BA27">
        <f t="shared" si="16"/>
        <v>0</v>
      </c>
      <c r="BB27">
        <f>IFERROR(Player_Analysis!$Y27,1)</f>
        <v>1.0430363321799305</v>
      </c>
      <c r="BC27">
        <f t="shared" si="17"/>
        <v>0</v>
      </c>
      <c r="BD27">
        <f t="shared" si="24"/>
        <v>0</v>
      </c>
      <c r="BE27">
        <f t="shared" si="25"/>
        <v>0</v>
      </c>
      <c r="BF27">
        <f t="shared" si="18"/>
        <v>253</v>
      </c>
      <c r="BG27">
        <f>IF($BE27="","",COUNTIFS($C$2:$C$596,$C27,$BE$2:$BE$596,"&gt;"&amp;$BE27)+COUNTIFS($C$2:$C27,$C27,$BE$2:$BE27,$BE27))</f>
        <v>27</v>
      </c>
    </row>
    <row r="28" spans="1:59" x14ac:dyDescent="0.25">
      <c r="A28" t="str">
        <f>Player_Analysis!A28</f>
        <v>Ezri Konsa Ngoyo</v>
      </c>
      <c r="B28">
        <f>Player_Analysis!C28</f>
        <v>1</v>
      </c>
      <c r="C28" t="str">
        <f>Player_Analysis!B28</f>
        <v>DEF</v>
      </c>
      <c r="D28" s="13">
        <f>Player_Analysis!E28</f>
        <v>4.4000000000000004</v>
      </c>
      <c r="E28">
        <f>Player_Analysis!I28</f>
        <v>101</v>
      </c>
      <c r="F28" s="8">
        <f>Player_Analysis!Z28</f>
        <v>1</v>
      </c>
      <c r="G28" s="17">
        <f t="shared" si="19"/>
        <v>0.8910891089108911</v>
      </c>
      <c r="H28">
        <f t="shared" si="0"/>
        <v>80.198019801980195</v>
      </c>
      <c r="I28" s="8">
        <f>Player_Analysis!AF28</f>
        <v>0</v>
      </c>
      <c r="J28" s="8">
        <f>Player_Analysis!AG28</f>
        <v>0</v>
      </c>
      <c r="K28">
        <f>Player_Analysis!O28</f>
        <v>0</v>
      </c>
      <c r="L28">
        <f>Player_Analysis!P28</f>
        <v>0.01</v>
      </c>
      <c r="M28">
        <f t="shared" si="20"/>
        <v>0</v>
      </c>
      <c r="N28">
        <f t="shared" si="21"/>
        <v>8.9108910891089119E-3</v>
      </c>
      <c r="O28" s="2">
        <f>IF(E28=0,"",Player_Analysis!L28/E28*90)</f>
        <v>4.4554455445544559</v>
      </c>
      <c r="P28">
        <f>IF(E28=0,"",Player_Analysis!Q28/E28*90)</f>
        <v>8.9108910891089119E-3</v>
      </c>
      <c r="Q28">
        <f>IF(E28=0,"",(Player_Analysis!AD28/E28)*90)</f>
        <v>16.03960396039604</v>
      </c>
      <c r="R28">
        <f>IF(E28=0,"",Player_Analysis!AA28/E28*90)</f>
        <v>9.8019801980198018</v>
      </c>
      <c r="S28">
        <f t="array" ref="S28">IFERROR(INDEX('2023_24'!$O:$O,MATCH($A28,'2023_24'!$A:$A,0)),"")</f>
        <v>7.5073313782991202E-2</v>
      </c>
      <c r="T28">
        <f>IFERROR(INDEX('2024_25'!$P:$P,MATCH($A28,'2024_25'!$A:$A,0)),"")</f>
        <v>3.9543596730245233E-2</v>
      </c>
      <c r="U28">
        <f>IFERROR(INDEX('2025_26'!$P:$P,MATCH($A28,'2025_26'!$A:$A,0)),"")</f>
        <v>3.7660626029654039E-2</v>
      </c>
      <c r="V28">
        <f>IFERROR(INDEX('2023_24'!$P:$P,MATCH($A28,'2023_24'!$A:$A,0)),"")</f>
        <v>2.9618768328445746E-2</v>
      </c>
      <c r="W28">
        <f>IFERROR(INDEX('2024_25'!$Q:$Q,MATCH($A28,'2024_25'!$A:$A,0)),"")</f>
        <v>1.8698910081743871E-2</v>
      </c>
      <c r="X28">
        <f>IFERROR(INDEX('2025_26'!$Q:$Q,MATCH($A28,'2025_26'!$A:$A,0)),"")</f>
        <v>1.7495881383855022E-2</v>
      </c>
      <c r="Y28">
        <f>IFERROR(INDEX('2023_24'!$M:$M,MATCH($A28,'2023_24'!$A:$A,0))/INDEX('2023_24'!$G:$G,MATCH($A28,'2023_24'!$A:$A,0))*90,"")</f>
        <v>2.6686217008797652</v>
      </c>
      <c r="Z28">
        <f>IFERROR(INDEX('2024_25'!$M:$M,MATCH($A28,'2024_25'!$A:$A,0))/INDEX('2024_25'!$G:$G,MATCH($A28,'2024_25'!$A:$A,0))*90,"")</f>
        <v>3.1573569482288826</v>
      </c>
      <c r="AA28">
        <f>IFERROR(INDEX('2025_26'!$M:$M,MATCH($A28,'2025_26'!$A:$A,0))/INDEX('2025_26'!$G:$G,MATCH($A28,'2025_26'!$A:$A,0))*90,"")</f>
        <v>2.9654036243822075</v>
      </c>
      <c r="AB28">
        <f>IFERROR(SUMPRODUCT(S28:U28,{0.2,0.3,0.5})/SUMPRODUCT(--(S28:U28&lt;&gt;""),{0.2,0.3,0.5}),"")</f>
        <v>4.5708054790498831E-2</v>
      </c>
      <c r="AC28">
        <f>IFERROR(SUMPRODUCT(V28:X28,{0.2,0.3,0.5})/SUMPRODUCT(--(V28:X28&lt;&gt;""),{0.2,0.3,0.5}),"")</f>
        <v>2.0281367382139821E-2</v>
      </c>
      <c r="AD28">
        <f>IFERROR(SUMPRODUCT(Y28:AA28,{0.2,0.3,0.5})/SUMPRODUCT((Y28:AA28&lt;&gt;"")*{0.2,0.3,0.5}),O28)</f>
        <v>2.9636332368357214</v>
      </c>
      <c r="AE28">
        <f t="shared" si="22"/>
        <v>3</v>
      </c>
      <c r="AF28">
        <f t="shared" si="1"/>
        <v>101</v>
      </c>
      <c r="AG28">
        <f t="shared" si="2"/>
        <v>3.0319676344364225E-2</v>
      </c>
      <c r="AH28">
        <f t="shared" si="3"/>
        <v>1.6453307030152749E-2</v>
      </c>
      <c r="AI28" s="2">
        <f t="shared" si="4"/>
        <v>3.4658767137676953</v>
      </c>
      <c r="AJ28">
        <f t="shared" si="5"/>
        <v>0.33666666666666667</v>
      </c>
      <c r="AK28" t="str">
        <f t="shared" si="6"/>
        <v>NO</v>
      </c>
      <c r="AL28">
        <f t="shared" si="23"/>
        <v>2.7017533376166136E-2</v>
      </c>
      <c r="AM28">
        <f t="shared" si="7"/>
        <v>1.4661362700136113E-2</v>
      </c>
      <c r="AN28">
        <f t="shared" si="8"/>
        <v>2.7017533376166136E-2</v>
      </c>
      <c r="AO28">
        <f t="shared" si="9"/>
        <v>1.4661362700136113E-2</v>
      </c>
      <c r="AP28">
        <f t="array" ref="AP28">AL28*IF($C28="GKP",10,IF($C28="DEF",6,IF($C28="MID",5,4)))</f>
        <v>0.16210520025699682</v>
      </c>
      <c r="AQ28">
        <f t="shared" si="10"/>
        <v>4.3984088100408339E-2</v>
      </c>
      <c r="AR28">
        <f t="shared" si="11"/>
        <v>1.7821782178217822</v>
      </c>
      <c r="AS28" s="2">
        <f>IF($H28=0,0,Player_Analysis!$AM28*$H28/90)</f>
        <v>0</v>
      </c>
      <c r="AT28">
        <f t="shared" si="12"/>
        <v>1.7468875600431328</v>
      </c>
      <c r="AU28" s="2">
        <f>0</f>
        <v>0</v>
      </c>
      <c r="AV28" s="2">
        <f>IF(INDEX(FPL_Raw_Data!K:K,MATCH(A28,FPL_Raw_Data!AA:AA,0))=0,"",INDEX(FPL_Raw_Data!P:P,MATCH(A28,FPL_Raw_Data!AA:AA,0))/INDEX(FPL_Raw_Data!K:K,MATCH(A28,FPL_Raw_Data!AA:AA,0))*90)</f>
        <v>0</v>
      </c>
      <c r="AW28" s="2">
        <f t="shared" si="13"/>
        <v>0</v>
      </c>
      <c r="AX28" s="2">
        <f>IFERROR(INDEX(TEAM_ANALYSIS!$H$2:$H$21,MATCH($B28,TEAM_ANALYSIS!$A$2:$A$21,0)),0)</f>
        <v>0.33333333333333331</v>
      </c>
      <c r="AY28" s="2">
        <f t="shared" si="14"/>
        <v>-0.16666666666666666</v>
      </c>
      <c r="AZ28" s="2">
        <f t="shared" si="15"/>
        <v>3.5684883995556538</v>
      </c>
      <c r="BA28">
        <f t="shared" si="16"/>
        <v>0.81102009080810311</v>
      </c>
      <c r="BB28">
        <f>IFERROR(Player_Analysis!$Y28,1)</f>
        <v>1.1808551992225462</v>
      </c>
      <c r="BC28">
        <f t="shared" si="17"/>
        <v>4.2138680799806369</v>
      </c>
      <c r="BD28">
        <f t="shared" si="24"/>
        <v>3.4175316728792633</v>
      </c>
      <c r="BE28">
        <f t="shared" si="25"/>
        <v>4.2138680799806369</v>
      </c>
      <c r="BF28">
        <f t="shared" si="18"/>
        <v>142</v>
      </c>
      <c r="BG28">
        <f>IF($BE28="","",COUNTIFS($C$2:$C$596,$C28,$BE$2:$BE$596,"&gt;"&amp;$BE28)+COUNTIFS($C$2:$C28,$C28,$BE$2:$BE28,$BE28))</f>
        <v>48</v>
      </c>
    </row>
    <row r="29" spans="1:59" x14ac:dyDescent="0.25">
      <c r="A29" t="str">
        <f>Player_Analysis!A29</f>
        <v>Bruno Guimarães Rodriguez Moura</v>
      </c>
      <c r="B29">
        <f>Player_Analysis!C29</f>
        <v>1</v>
      </c>
      <c r="C29" t="str">
        <f>Player_Analysis!B29</f>
        <v>MID</v>
      </c>
      <c r="D29" s="13">
        <f>Player_Analysis!E29</f>
        <v>6.8</v>
      </c>
      <c r="E29">
        <f>Player_Analysis!I29</f>
        <v>19</v>
      </c>
      <c r="F29" s="8">
        <f>Player_Analysis!Z29</f>
        <v>0</v>
      </c>
      <c r="G29" s="17">
        <f t="shared" si="19"/>
        <v>0</v>
      </c>
      <c r="H29">
        <f t="shared" si="0"/>
        <v>0</v>
      </c>
      <c r="I29" s="8">
        <f>Player_Analysis!AF29</f>
        <v>0</v>
      </c>
      <c r="J29" s="8">
        <f>Player_Analysis!AG29</f>
        <v>0</v>
      </c>
      <c r="K29">
        <f>Player_Analysis!O29</f>
        <v>0</v>
      </c>
      <c r="L29">
        <f>Player_Analysis!P29</f>
        <v>0.01</v>
      </c>
      <c r="M29">
        <f t="shared" si="20"/>
        <v>0</v>
      </c>
      <c r="N29">
        <f t="shared" si="21"/>
        <v>4.736842105263158E-2</v>
      </c>
      <c r="O29" s="2">
        <f>IF(E29=0,"",Player_Analysis!L29/E29*90)</f>
        <v>4.7368421052631575</v>
      </c>
      <c r="P29">
        <f>IF(E29=0,"",Player_Analysis!Q29/E29*90)</f>
        <v>4.736842105263158E-2</v>
      </c>
      <c r="Q29">
        <f>IF(E29=0,"",(Player_Analysis!AD29/E29)*90)</f>
        <v>18.94736842105263</v>
      </c>
      <c r="R29">
        <f>IF(E29=0,"",Player_Analysis!AA29/E29*90)</f>
        <v>14.210526315789473</v>
      </c>
      <c r="S29">
        <f t="array" ref="S29">IFERROR(INDEX('2023_24'!$O:$O,MATCH($A29,'2023_24'!$A:$A,0)),"")</f>
        <v>0.13538602941176472</v>
      </c>
      <c r="T29">
        <f>IFERROR(INDEX('2024_25'!$P:$P,MATCH($A29,'2024_25'!$A:$A,0)),"")</f>
        <v>0.11934005499541704</v>
      </c>
      <c r="U29">
        <f>IFERROR(INDEX('2025_26'!$P:$P,MATCH($A29,'2025_26'!$A:$A,0)),"")</f>
        <v>0.20484527687296417</v>
      </c>
      <c r="V29">
        <f>IFERROR(INDEX('2023_24'!$P:$P,MATCH($A29,'2023_24'!$A:$A,0)),"")</f>
        <v>0.17095588235294118</v>
      </c>
      <c r="W29">
        <f>IFERROR(INDEX('2024_25'!$Q:$Q,MATCH($A29,'2024_25'!$A:$A,0)),"")</f>
        <v>0.14628780934922092</v>
      </c>
      <c r="X29">
        <f>IFERROR(INDEX('2025_26'!$Q:$Q,MATCH($A29,'2025_26'!$A:$A,0)),"")</f>
        <v>0.18175895765472314</v>
      </c>
      <c r="Y29">
        <f>IFERROR(INDEX('2023_24'!$M:$M,MATCH($A29,'2023_24'!$A:$A,0))/INDEX('2023_24'!$G:$G,MATCH($A29,'2023_24'!$A:$A,0))*90,"")</f>
        <v>4.21875</v>
      </c>
      <c r="Z29">
        <f>IFERROR(INDEX('2024_25'!$M:$M,MATCH($A29,'2024_25'!$A:$A,0))/INDEX('2024_25'!$G:$G,MATCH($A29,'2024_25'!$A:$A,0))*90,"")</f>
        <v>3.7121906507791018</v>
      </c>
      <c r="AA29">
        <f>IFERROR(INDEX('2025_26'!$M:$M,MATCH($A29,'2025_26'!$A:$A,0))/INDEX('2025_26'!$G:$G,MATCH($A29,'2025_26'!$A:$A,0))*90,"")</f>
        <v>5.6433224755700326</v>
      </c>
      <c r="AB29">
        <f>IFERROR(SUMPRODUCT(S29:U29,{0.2,0.3,0.5})/SUMPRODUCT(--(S29:U29&lt;&gt;""),{0.2,0.3,0.5}),"")</f>
        <v>0.16530186081746015</v>
      </c>
      <c r="AC29">
        <f>IFERROR(SUMPRODUCT(V29:X29,{0.2,0.3,0.5})/SUMPRODUCT(--(V29:X29&lt;&gt;""),{0.2,0.3,0.5}),"")</f>
        <v>0.16895699810271608</v>
      </c>
      <c r="AD29">
        <f>IFERROR(SUMPRODUCT(Y29:AA29,{0.2,0.3,0.5})/SUMPRODUCT((Y29:AA29&lt;&gt;"")*{0.2,0.3,0.5}),O29)</f>
        <v>4.7790684330187467</v>
      </c>
      <c r="AE29">
        <f t="shared" si="22"/>
        <v>3</v>
      </c>
      <c r="AF29" t="str">
        <f t="shared" si="1"/>
        <v/>
      </c>
      <c r="AG29">
        <f t="shared" si="2"/>
        <v>0.15483274296568766</v>
      </c>
      <c r="AH29">
        <f t="shared" si="3"/>
        <v>0.16125638822287738</v>
      </c>
      <c r="AI29" s="2">
        <f t="shared" si="4"/>
        <v>4.7763940989275593</v>
      </c>
      <c r="AJ29">
        <f t="shared" si="5"/>
        <v>6.3333333333333339E-2</v>
      </c>
      <c r="AK29" t="str">
        <f t="shared" si="6"/>
        <v>NO</v>
      </c>
      <c r="AL29">
        <f t="shared" si="23"/>
        <v>0</v>
      </c>
      <c r="AM29">
        <f t="shared" si="7"/>
        <v>0</v>
      </c>
      <c r="AN29">
        <f t="shared" si="8"/>
        <v>0</v>
      </c>
      <c r="AO29">
        <f t="shared" si="9"/>
        <v>0</v>
      </c>
      <c r="AP29">
        <f t="array" ref="AP29">AL29*IF($C29="GKP",10,IF($C29="DEF",6,IF($C29="MID",5,4)))</f>
        <v>0</v>
      </c>
      <c r="AQ29">
        <f t="shared" si="10"/>
        <v>0</v>
      </c>
      <c r="AR29">
        <f t="shared" si="11"/>
        <v>0</v>
      </c>
      <c r="AS29" s="2">
        <f>IF($H29=0,0,Player_Analysis!$AM29*$H29/90)</f>
        <v>0</v>
      </c>
      <c r="AT29">
        <f t="shared" si="12"/>
        <v>0</v>
      </c>
      <c r="AU29" s="2">
        <f>0</f>
        <v>0</v>
      </c>
      <c r="AV29" s="2">
        <f>IF(INDEX(FPL_Raw_Data!K:K,MATCH(A29,FPL_Raw_Data!AA:AA,0))=0,"",INDEX(FPL_Raw_Data!P:P,MATCH(A29,FPL_Raw_Data!AA:AA,0))/INDEX(FPL_Raw_Data!K:K,MATCH(A29,FPL_Raw_Data!AA:AA,0))*90)</f>
        <v>0</v>
      </c>
      <c r="AW29" s="2">
        <f t="shared" si="13"/>
        <v>0</v>
      </c>
      <c r="AX29" s="2">
        <f>IFERROR(INDEX(TEAM_ANALYSIS!$H$2:$H$21,MATCH($B29,TEAM_ANALYSIS!$A$2:$A$21,0)),0)</f>
        <v>0.33333333333333331</v>
      </c>
      <c r="AY29" s="2">
        <f t="shared" si="14"/>
        <v>0</v>
      </c>
      <c r="AZ29" s="2">
        <f t="shared" si="15"/>
        <v>0</v>
      </c>
      <c r="BA29">
        <f t="shared" si="16"/>
        <v>0</v>
      </c>
      <c r="BB29">
        <f>IFERROR(Player_Analysis!$Y29,1)</f>
        <v>1.0430363321799305</v>
      </c>
      <c r="BC29">
        <f t="shared" si="17"/>
        <v>0</v>
      </c>
      <c r="BD29">
        <f t="shared" si="24"/>
        <v>0</v>
      </c>
      <c r="BE29">
        <f t="shared" si="25"/>
        <v>0</v>
      </c>
      <c r="BF29">
        <f t="shared" si="18"/>
        <v>253</v>
      </c>
      <c r="BG29">
        <f>IF($BE29="","",COUNTIFS($C$2:$C$596,$C29,$BE$2:$BE$596,"&gt;"&amp;$BE29)+COUNTIFS($C$2:$C29,$C29,$BE$2:$BE29,$BE29))</f>
        <v>120</v>
      </c>
    </row>
    <row r="30" spans="1:59" x14ac:dyDescent="0.25">
      <c r="A30" t="str">
        <f>Player_Analysis!A30</f>
        <v>Christos Tzolis</v>
      </c>
      <c r="B30">
        <f>Player_Analysis!C30</f>
        <v>1</v>
      </c>
      <c r="C30" t="str">
        <f>Player_Analysis!B30</f>
        <v>MID</v>
      </c>
      <c r="D30" s="13">
        <f>Player_Analysis!E30</f>
        <v>6.5</v>
      </c>
      <c r="E30">
        <f>Player_Analysis!I30</f>
        <v>210</v>
      </c>
      <c r="F30" s="8">
        <f>Player_Analysis!Z30</f>
        <v>3</v>
      </c>
      <c r="G30" s="17">
        <f t="shared" si="19"/>
        <v>1</v>
      </c>
      <c r="H30">
        <f t="shared" si="0"/>
        <v>90</v>
      </c>
      <c r="I30" s="8">
        <f>Player_Analysis!AF30</f>
        <v>0</v>
      </c>
      <c r="J30" s="8">
        <f>Player_Analysis!AG30</f>
        <v>2</v>
      </c>
      <c r="K30">
        <f>Player_Analysis!O30</f>
        <v>0.19</v>
      </c>
      <c r="L30">
        <f>Player_Analysis!P30</f>
        <v>0.35</v>
      </c>
      <c r="M30">
        <f t="shared" si="20"/>
        <v>8.1428571428571433E-2</v>
      </c>
      <c r="N30">
        <f t="shared" si="21"/>
        <v>0.15</v>
      </c>
      <c r="O30" s="2">
        <f>IF(E30=0,"",Player_Analysis!L30/E30*90)</f>
        <v>4.7142857142857144</v>
      </c>
      <c r="P30">
        <f>IF(E30=0,"",Player_Analysis!Q30/E30*90)</f>
        <v>0.23142857142857146</v>
      </c>
      <c r="Q30">
        <f>IF(E30=0,"",(Player_Analysis!AD30/E30)*90)</f>
        <v>26.571428571428573</v>
      </c>
      <c r="R30">
        <f>IF(E30=0,"",Player_Analysis!AA30/E30*90)</f>
        <v>7.2857142857142865</v>
      </c>
      <c r="S30" t="str">
        <f t="array" ref="S30">IFERROR(INDEX('2023_24'!$O:$O,MATCH($A30,'2023_24'!$A:$A,0)),"")</f>
        <v/>
      </c>
      <c r="T30" t="str">
        <f>IFERROR(INDEX('2024_25'!$P:$P,MATCH($A30,'2024_25'!$A:$A,0)),"")</f>
        <v/>
      </c>
      <c r="U30" t="str">
        <f>IFERROR(INDEX('2025_26'!$P:$P,MATCH($A30,'2025_26'!$A:$A,0)),"")</f>
        <v/>
      </c>
      <c r="V30" t="str">
        <f>IFERROR(INDEX('2023_24'!$P:$P,MATCH($A30,'2023_24'!$A:$A,0)),"")</f>
        <v/>
      </c>
      <c r="W30" t="str">
        <f>IFERROR(INDEX('2024_25'!$Q:$Q,MATCH($A30,'2024_25'!$A:$A,0)),"")</f>
        <v/>
      </c>
      <c r="X30" t="str">
        <f>IFERROR(INDEX('2025_26'!$Q:$Q,MATCH($A30,'2025_26'!$A:$A,0)),"")</f>
        <v/>
      </c>
      <c r="Y30" t="str">
        <f>IFERROR(INDEX('2023_24'!$M:$M,MATCH($A30,'2023_24'!$A:$A,0))/INDEX('2023_24'!$G:$G,MATCH($A30,'2023_24'!$A:$A,0))*90,"")</f>
        <v/>
      </c>
      <c r="Z30" t="str">
        <f>IFERROR(INDEX('2024_25'!$M:$M,MATCH($A30,'2024_25'!$A:$A,0))/INDEX('2024_25'!$G:$G,MATCH($A30,'2024_25'!$A:$A,0))*90,"")</f>
        <v/>
      </c>
      <c r="AA30" t="str">
        <f>IFERROR(INDEX('2025_26'!$M:$M,MATCH($A30,'2025_26'!$A:$A,0))/INDEX('2025_26'!$G:$G,MATCH($A30,'2025_26'!$A:$A,0))*90,"")</f>
        <v/>
      </c>
      <c r="AB30" t="str">
        <f>IFERROR(SUMPRODUCT(S30:U30,{0.2,0.3,0.5})/SUMPRODUCT(--(S30:U30&lt;&gt;""),{0.2,0.3,0.5}),"")</f>
        <v/>
      </c>
      <c r="AC30" t="str">
        <f>IFERROR(SUMPRODUCT(V30:X30,{0.2,0.3,0.5})/SUMPRODUCT(--(V30:X30&lt;&gt;""),{0.2,0.3,0.5}),"")</f>
        <v/>
      </c>
      <c r="AD30">
        <f>IFERROR(SUMPRODUCT(Y30:AA30,{0.2,0.3,0.5})/SUMPRODUCT((Y30:AA30&lt;&gt;"")*{0.2,0.3,0.5}),O30)</f>
        <v>4.7142857142857144</v>
      </c>
      <c r="AE30">
        <f t="shared" si="22"/>
        <v>0</v>
      </c>
      <c r="AF30">
        <f t="shared" si="1"/>
        <v>70</v>
      </c>
      <c r="AG30">
        <f t="shared" si="2"/>
        <v>8.1428571428571433E-2</v>
      </c>
      <c r="AH30">
        <f t="shared" si="3"/>
        <v>0.15</v>
      </c>
      <c r="AI30" s="2">
        <f t="shared" si="4"/>
        <v>4.7142857142857144</v>
      </c>
      <c r="AJ30">
        <f t="shared" si="5"/>
        <v>0.7</v>
      </c>
      <c r="AK30" t="str">
        <f t="shared" si="6"/>
        <v>YES</v>
      </c>
      <c r="AL30">
        <f t="shared" si="23"/>
        <v>8.1428571428571433E-2</v>
      </c>
      <c r="AM30">
        <f t="shared" si="7"/>
        <v>0.15</v>
      </c>
      <c r="AN30">
        <f t="shared" si="8"/>
        <v>8.1428571428571433E-2</v>
      </c>
      <c r="AO30">
        <f t="shared" si="9"/>
        <v>0.15</v>
      </c>
      <c r="AP30">
        <f t="array" ref="AP30">AL30*IF($C30="GKP",10,IF($C30="DEF",6,IF($C30="MID",5,4)))</f>
        <v>0.40714285714285714</v>
      </c>
      <c r="AQ30">
        <f t="shared" si="10"/>
        <v>0.44999999999999996</v>
      </c>
      <c r="AR30">
        <f t="shared" si="11"/>
        <v>2</v>
      </c>
      <c r="AS30" s="2">
        <f>IF($H30=0,0,Player_Analysis!$AM30*$H30/90)</f>
        <v>0.33333333333333331</v>
      </c>
      <c r="AT30">
        <f t="shared" si="12"/>
        <v>1.2142857142857144</v>
      </c>
      <c r="AU30" s="2">
        <f>0</f>
        <v>0</v>
      </c>
      <c r="AV30" s="2">
        <f>IF(INDEX(FPL_Raw_Data!K:K,MATCH(A30,FPL_Raw_Data!AA:AA,0))=0,"",INDEX(FPL_Raw_Data!P:P,MATCH(A30,FPL_Raw_Data!AA:AA,0))/INDEX(FPL_Raw_Data!K:K,MATCH(A30,FPL_Raw_Data!AA:AA,0))*90)</f>
        <v>0</v>
      </c>
      <c r="AW30" s="2">
        <f t="shared" si="13"/>
        <v>0</v>
      </c>
      <c r="AX30" s="2">
        <f>IFERROR(INDEX(TEAM_ANALYSIS!$H$2:$H$21,MATCH($B30,TEAM_ANALYSIS!$A$2:$A$21,0)),0)</f>
        <v>0.33333333333333331</v>
      </c>
      <c r="AY30" s="2">
        <f t="shared" si="14"/>
        <v>0</v>
      </c>
      <c r="AZ30" s="2">
        <f t="shared" si="15"/>
        <v>4.4047619047619051</v>
      </c>
      <c r="BA30">
        <f t="shared" si="16"/>
        <v>0.67765567765567769</v>
      </c>
      <c r="BB30">
        <f>IFERROR(Player_Analysis!$Y30,1)</f>
        <v>1.0430363321799305</v>
      </c>
      <c r="BC30">
        <f t="shared" si="17"/>
        <v>4.5943267012687423</v>
      </c>
      <c r="BD30">
        <f t="shared" si="24"/>
        <v>3.113371574119844</v>
      </c>
      <c r="BE30">
        <f t="shared" si="25"/>
        <v>4.5943267012687423</v>
      </c>
      <c r="BF30">
        <f t="shared" si="18"/>
        <v>120</v>
      </c>
      <c r="BG30">
        <f>IF($BE30="","",COUNTIFS($C$2:$C$596,$C30,$BE$2:$BE$596,"&gt;"&amp;$BE30)+COUNTIFS($C$2:$C30,$C30,$BE$2:$BE30,$BE30))</f>
        <v>56</v>
      </c>
    </row>
    <row r="31" spans="1:59" x14ac:dyDescent="0.25">
      <c r="A31" t="str">
        <f>Player_Analysis!A31</f>
        <v>Marco Bizot</v>
      </c>
      <c r="B31">
        <f>Player_Analysis!C31</f>
        <v>2</v>
      </c>
      <c r="C31" t="str">
        <f>Player_Analysis!B31</f>
        <v>GK</v>
      </c>
      <c r="D31" s="13">
        <f>Player_Analysis!E31</f>
        <v>4.5</v>
      </c>
      <c r="E31">
        <f>Player_Analysis!I31</f>
        <v>90</v>
      </c>
      <c r="F31" s="8">
        <f>Player_Analysis!Z31</f>
        <v>1</v>
      </c>
      <c r="G31" s="17">
        <f t="shared" si="19"/>
        <v>1</v>
      </c>
      <c r="H31">
        <f t="shared" si="0"/>
        <v>90</v>
      </c>
      <c r="I31" s="8">
        <f>Player_Analysis!AF31</f>
        <v>0</v>
      </c>
      <c r="J31" s="8">
        <f>Player_Analysis!AG31</f>
        <v>0</v>
      </c>
      <c r="K31">
        <f>Player_Analysis!O31</f>
        <v>0</v>
      </c>
      <c r="L31">
        <f>Player_Analysis!P31</f>
        <v>0</v>
      </c>
      <c r="M31">
        <f t="shared" si="20"/>
        <v>0</v>
      </c>
      <c r="N31">
        <f t="shared" si="21"/>
        <v>0</v>
      </c>
      <c r="O31" s="2">
        <f>IF(E31=0,"",Player_Analysis!L31/E31*90)</f>
        <v>1</v>
      </c>
      <c r="P31">
        <f>IF(E31=0,"",Player_Analysis!Q31/E31*90)</f>
        <v>0</v>
      </c>
      <c r="Q31">
        <f>IF(E31=0,"",(Player_Analysis!AD31/E31)*90)</f>
        <v>1</v>
      </c>
      <c r="R31">
        <f>IF(E31=0,"",Player_Analysis!AA31/E31*90)</f>
        <v>0</v>
      </c>
      <c r="S31" t="str">
        <f t="array" ref="S31">IFERROR(INDEX('2023_24'!$O:$O,MATCH($A31,'2023_24'!$A:$A,0)),"")</f>
        <v/>
      </c>
      <c r="T31" t="str">
        <f>IFERROR(INDEX('2024_25'!$P:$P,MATCH($A31,'2024_25'!$A:$A,0)),"")</f>
        <v/>
      </c>
      <c r="U31">
        <f>IFERROR(INDEX('2025_26'!$P:$P,MATCH($A31,'2025_26'!$A:$A,0)),"")</f>
        <v>0</v>
      </c>
      <c r="V31" t="str">
        <f>IFERROR(INDEX('2023_24'!$P:$P,MATCH($A31,'2023_24'!$A:$A,0)),"")</f>
        <v/>
      </c>
      <c r="W31" t="str">
        <f>IFERROR(INDEX('2024_25'!$Q:$Q,MATCH($A31,'2024_25'!$A:$A,0)),"")</f>
        <v/>
      </c>
      <c r="X31">
        <f>IFERROR(INDEX('2025_26'!$Q:$Q,MATCH($A31,'2025_26'!$A:$A,0)),"")</f>
        <v>0</v>
      </c>
      <c r="Y31" t="str">
        <f>IFERROR(INDEX('2023_24'!$M:$M,MATCH($A31,'2023_24'!$A:$A,0))/INDEX('2023_24'!$G:$G,MATCH($A31,'2023_24'!$A:$A,0))*90,"")</f>
        <v/>
      </c>
      <c r="Z31" t="str">
        <f>IFERROR(INDEX('2024_25'!$M:$M,MATCH($A31,'2024_25'!$A:$A,0))/INDEX('2024_25'!$G:$G,MATCH($A31,'2024_25'!$A:$A,0))*90,"")</f>
        <v/>
      </c>
      <c r="AA31">
        <f>IFERROR(INDEX('2025_26'!$M:$M,MATCH($A31,'2025_26'!$A:$A,0))/INDEX('2025_26'!$G:$G,MATCH($A31,'2025_26'!$A:$A,0))*90,"")</f>
        <v>2.4615384615384617</v>
      </c>
      <c r="AB31">
        <f>IFERROR(SUMPRODUCT(S31:U31,{0.2,0.3,0.5})/SUMPRODUCT(--(S31:U31&lt;&gt;""),{0.2,0.3,0.5}),"")</f>
        <v>0</v>
      </c>
      <c r="AC31">
        <f>IFERROR(SUMPRODUCT(V31:X31,{0.2,0.3,0.5})/SUMPRODUCT(--(V31:X31&lt;&gt;""),{0.2,0.3,0.5}),"")</f>
        <v>0</v>
      </c>
      <c r="AD31">
        <f>IFERROR(SUMPRODUCT(Y31:AA31,{0.2,0.3,0.5})/SUMPRODUCT((Y31:AA31&lt;&gt;"")*{0.2,0.3,0.5}),O31)</f>
        <v>2.4615384615384617</v>
      </c>
      <c r="AE31">
        <f t="shared" si="22"/>
        <v>1</v>
      </c>
      <c r="AF31">
        <f t="shared" si="1"/>
        <v>90</v>
      </c>
      <c r="AG31">
        <f t="shared" si="2"/>
        <v>0</v>
      </c>
      <c r="AH31">
        <f t="shared" si="3"/>
        <v>0</v>
      </c>
      <c r="AI31" s="2">
        <f t="shared" si="4"/>
        <v>2.023076923076923</v>
      </c>
      <c r="AJ31">
        <f t="shared" si="5"/>
        <v>0.3</v>
      </c>
      <c r="AK31" t="str">
        <f t="shared" si="6"/>
        <v>NO</v>
      </c>
      <c r="AL31">
        <f t="shared" si="23"/>
        <v>0</v>
      </c>
      <c r="AM31">
        <f t="shared" si="7"/>
        <v>0</v>
      </c>
      <c r="AN31">
        <f t="shared" si="8"/>
        <v>0</v>
      </c>
      <c r="AO31">
        <f t="shared" si="9"/>
        <v>0</v>
      </c>
      <c r="AP31">
        <f t="array" ref="AP31">AL31*IF($C31="GKP",10,IF($C31="DEF",6,IF($C31="MID",5,4)))</f>
        <v>0</v>
      </c>
      <c r="AQ31">
        <f t="shared" si="10"/>
        <v>0</v>
      </c>
      <c r="AR31">
        <f t="shared" si="11"/>
        <v>2</v>
      </c>
      <c r="AS31" s="2">
        <f>IF($H31=0,0,Player_Analysis!$AM31*$H31/90)</f>
        <v>0</v>
      </c>
      <c r="AT31">
        <f t="shared" si="12"/>
        <v>0</v>
      </c>
      <c r="AU31" s="2">
        <f>0</f>
        <v>0</v>
      </c>
      <c r="AV31" s="2">
        <f>IF(INDEX(FPL_Raw_Data!K:K,MATCH(A31,FPL_Raw_Data!AA:AA,0))=0,"",INDEX(FPL_Raw_Data!P:P,MATCH(A31,FPL_Raw_Data!AA:AA,0))/INDEX(FPL_Raw_Data!K:K,MATCH(A31,FPL_Raw_Data!AA:AA,0))*90)</f>
        <v>3</v>
      </c>
      <c r="AW31" s="2">
        <f t="shared" si="13"/>
        <v>1</v>
      </c>
      <c r="AX31" s="2">
        <f>IFERROR(INDEX(TEAM_ANALYSIS!$H$2:$H$21,MATCH($B31,TEAM_ANALYSIS!$A$2:$A$21,0)),0)</f>
        <v>1.6666666666666667</v>
      </c>
      <c r="AY31" s="2">
        <f t="shared" si="14"/>
        <v>0</v>
      </c>
      <c r="AZ31" s="2">
        <f t="shared" si="15"/>
        <v>3</v>
      </c>
      <c r="BA31">
        <f t="shared" si="16"/>
        <v>0.66666666666666663</v>
      </c>
      <c r="BB31">
        <f>IFERROR(Player_Analysis!$Y31,1)</f>
        <v>1.0288823959094229</v>
      </c>
      <c r="BC31">
        <f t="shared" si="17"/>
        <v>3.0866471877282686</v>
      </c>
      <c r="BD31">
        <f t="shared" si="24"/>
        <v>2.0577647918188458</v>
      </c>
      <c r="BE31">
        <f t="shared" si="25"/>
        <v>3.0866471877282686</v>
      </c>
      <c r="BF31">
        <f t="shared" si="18"/>
        <v>198</v>
      </c>
      <c r="BG31">
        <f>IF($BE31="","",COUNTIFS($C$2:$C$596,$C31,$BE$2:$BE$596,"&gt;"&amp;$BE31)+COUNTIFS($C$2:$C31,$C31,$BE$2:$BE31,$BE31))</f>
        <v>14</v>
      </c>
    </row>
    <row r="32" spans="1:59" x14ac:dyDescent="0.25">
      <c r="A32" t="str">
        <f>Player_Analysis!A32</f>
        <v>Lucas Digne</v>
      </c>
      <c r="B32">
        <f>Player_Analysis!C32</f>
        <v>2</v>
      </c>
      <c r="C32" t="str">
        <f>Player_Analysis!B32</f>
        <v>DEF</v>
      </c>
      <c r="D32" s="13">
        <f>Player_Analysis!E32</f>
        <v>4.5</v>
      </c>
      <c r="E32">
        <f>Player_Analysis!I32</f>
        <v>0</v>
      </c>
      <c r="F32" s="8">
        <f>Player_Analysis!Z32</f>
        <v>0</v>
      </c>
      <c r="G32" s="17">
        <f t="shared" si="19"/>
        <v>0</v>
      </c>
      <c r="H32">
        <f t="shared" si="0"/>
        <v>0</v>
      </c>
      <c r="I32" s="8">
        <f>Player_Analysis!AF32</f>
        <v>0</v>
      </c>
      <c r="J32" s="8">
        <f>Player_Analysis!AG32</f>
        <v>0</v>
      </c>
      <c r="K32">
        <f>Player_Analysis!O32</f>
        <v>0</v>
      </c>
      <c r="L32">
        <f>Player_Analysis!P32</f>
        <v>0</v>
      </c>
      <c r="M32" t="str">
        <f t="shared" si="20"/>
        <v/>
      </c>
      <c r="N32" t="str">
        <f t="shared" si="21"/>
        <v/>
      </c>
      <c r="O32" s="2" t="str">
        <f>IF(E32=0,"",Player_Analysis!L32/E32*90)</f>
        <v/>
      </c>
      <c r="P32" t="str">
        <f>IF(E32=0,"",Player_Analysis!Q32/E32*90)</f>
        <v/>
      </c>
      <c r="Q32" t="str">
        <f>IF(E32=0,"",(Player_Analysis!AD32/E32)*90)</f>
        <v/>
      </c>
      <c r="R32" t="str">
        <f>IF(E32=0,"",Player_Analysis!AA32/E32*90)</f>
        <v/>
      </c>
      <c r="S32">
        <f t="array" ref="S32">IFERROR(INDEX('2023_24'!$O:$O,MATCH($A32,'2023_24'!$A:$A,0)),"")</f>
        <v>3.7047817047817053E-2</v>
      </c>
      <c r="T32">
        <f>IFERROR(INDEX('2024_25'!$P:$P,MATCH($A32,'2024_25'!$A:$A,0)),"")</f>
        <v>3.0664395229982967E-2</v>
      </c>
      <c r="U32">
        <f>IFERROR(INDEX('2025_26'!$P:$P,MATCH($A32,'2025_26'!$A:$A,0)),"")</f>
        <v>3.2736156351791536E-2</v>
      </c>
      <c r="V32">
        <f>IFERROR(INDEX('2023_24'!$P:$P,MATCH($A32,'2023_24'!$A:$A,0)),"")</f>
        <v>0.1306029106029106</v>
      </c>
      <c r="W32">
        <f>IFERROR(INDEX('2024_25'!$Q:$Q,MATCH($A32,'2024_25'!$A:$A,0)),"")</f>
        <v>0.15217206132879046</v>
      </c>
      <c r="X32">
        <f>IFERROR(INDEX('2025_26'!$Q:$Q,MATCH($A32,'2025_26'!$A:$A,0)),"")</f>
        <v>0.16026058631921825</v>
      </c>
      <c r="Y32">
        <f>IFERROR(INDEX('2023_24'!$M:$M,MATCH($A32,'2023_24'!$A:$A,0))/INDEX('2023_24'!$G:$G,MATCH($A32,'2023_24'!$A:$A,0))*90,"")</f>
        <v>3.1808731808731809</v>
      </c>
      <c r="Z32">
        <f>IFERROR(INDEX('2024_25'!$M:$M,MATCH($A32,'2024_25'!$A:$A,0))/INDEX('2024_25'!$G:$G,MATCH($A32,'2024_25'!$A:$A,0))*90,"")</f>
        <v>3.4114139693356051</v>
      </c>
      <c r="AA32">
        <f>IFERROR(INDEX('2025_26'!$M:$M,MATCH($A32,'2025_26'!$A:$A,0))/INDEX('2025_26'!$G:$G,MATCH($A32,'2025_26'!$A:$A,0))*90,"")</f>
        <v>4.7394136807817588</v>
      </c>
      <c r="AB32">
        <f>IFERROR(SUMPRODUCT(S32:U32,{0.2,0.3,0.5})/SUMPRODUCT(--(S32:U32&lt;&gt;""),{0.2,0.3,0.5}),"")</f>
        <v>3.2976960154454067E-2</v>
      </c>
      <c r="AC32">
        <f>IFERROR(SUMPRODUCT(V32:X32,{0.2,0.3,0.5})/SUMPRODUCT(--(V32:X32&lt;&gt;""),{0.2,0.3,0.5}),"")</f>
        <v>0.15190249367882838</v>
      </c>
      <c r="AD32">
        <f>IFERROR(SUMPRODUCT(Y32:AA32,{0.2,0.3,0.5})/SUMPRODUCT((Y32:AA32&lt;&gt;"")*{0.2,0.3,0.5}),O32)</f>
        <v>4.0293056673661969</v>
      </c>
      <c r="AE32">
        <f t="shared" si="22"/>
        <v>3</v>
      </c>
      <c r="AF32" t="str">
        <f t="shared" si="1"/>
        <v/>
      </c>
      <c r="AG32">
        <f t="shared" si="2"/>
        <v>3.2976960154454067E-2</v>
      </c>
      <c r="AH32">
        <f t="shared" si="3"/>
        <v>0.15190249367882838</v>
      </c>
      <c r="AI32" s="2">
        <f t="shared" si="4"/>
        <v>4.0293056673661969</v>
      </c>
      <c r="AJ32">
        <f t="shared" si="5"/>
        <v>0</v>
      </c>
      <c r="AK32" t="str">
        <f t="shared" si="6"/>
        <v>NO</v>
      </c>
      <c r="AL32">
        <f t="shared" si="23"/>
        <v>0</v>
      </c>
      <c r="AM32">
        <f t="shared" si="7"/>
        <v>0</v>
      </c>
      <c r="AN32">
        <f t="shared" si="8"/>
        <v>0</v>
      </c>
      <c r="AO32">
        <f t="shared" si="9"/>
        <v>0</v>
      </c>
      <c r="AP32">
        <f t="array" ref="AP32">AL32*IF($C32="GKP",10,IF($C32="DEF",6,IF($C32="MID",5,4)))</f>
        <v>0</v>
      </c>
      <c r="AQ32">
        <f t="shared" si="10"/>
        <v>0</v>
      </c>
      <c r="AR32">
        <f t="shared" si="11"/>
        <v>0</v>
      </c>
      <c r="AS32" s="2">
        <f>IF($H32=0,0,Player_Analysis!$AM32*$H32/90)</f>
        <v>0</v>
      </c>
      <c r="AT32">
        <f t="shared" si="12"/>
        <v>0</v>
      </c>
      <c r="AU32" s="2">
        <f>0</f>
        <v>0</v>
      </c>
      <c r="AV32" s="2" t="str">
        <f>IF(INDEX(FPL_Raw_Data!K:K,MATCH(A32,FPL_Raw_Data!AA:AA,0))=0,"",INDEX(FPL_Raw_Data!P:P,MATCH(A32,FPL_Raw_Data!AA:AA,0))/INDEX(FPL_Raw_Data!K:K,MATCH(A32,FPL_Raw_Data!AA:AA,0))*90)</f>
        <v/>
      </c>
      <c r="AW32" s="2">
        <f t="shared" si="13"/>
        <v>0</v>
      </c>
      <c r="AX32" s="2">
        <f>IFERROR(INDEX(TEAM_ANALYSIS!$H$2:$H$21,MATCH($B32,TEAM_ANALYSIS!$A$2:$A$21,0)),0)</f>
        <v>1.6666666666666667</v>
      </c>
      <c r="AY32" s="2">
        <f t="shared" si="14"/>
        <v>-0.83333333333333337</v>
      </c>
      <c r="AZ32" s="2">
        <f t="shared" si="15"/>
        <v>-0.83333333333333337</v>
      </c>
      <c r="BA32">
        <f t="shared" si="16"/>
        <v>-0.1851851851851852</v>
      </c>
      <c r="BB32">
        <f>IFERROR(Player_Analysis!$Y32,1)</f>
        <v>1.0288823959094229</v>
      </c>
      <c r="BC32">
        <f t="shared" si="17"/>
        <v>-0.85740199659118577</v>
      </c>
      <c r="BD32">
        <f t="shared" si="24"/>
        <v>0.15877814751688626</v>
      </c>
      <c r="BE32">
        <f t="shared" si="25"/>
        <v>-0.85740199659118577</v>
      </c>
      <c r="BF32">
        <f t="shared" si="18"/>
        <v>566</v>
      </c>
      <c r="BG32">
        <f>IF($BE32="","",COUNTIFS($C$2:$C$596,$C32,$BE$2:$BE$596,"&gt;"&amp;$BE32)+COUNTIFS($C$2:$C32,$C32,$BE$2:$BE32,$BE32))</f>
        <v>163</v>
      </c>
    </row>
    <row r="33" spans="1:59" x14ac:dyDescent="0.25">
      <c r="A33" t="str">
        <f>Player_Analysis!A33</f>
        <v>Matty Cash</v>
      </c>
      <c r="B33">
        <f>Player_Analysis!C33</f>
        <v>2</v>
      </c>
      <c r="C33" t="str">
        <f>Player_Analysis!B33</f>
        <v>DEF</v>
      </c>
      <c r="D33" s="13">
        <f>Player_Analysis!E33</f>
        <v>4.5</v>
      </c>
      <c r="E33">
        <f>Player_Analysis!I33</f>
        <v>251</v>
      </c>
      <c r="F33" s="8">
        <f>Player_Analysis!Z33</f>
        <v>3</v>
      </c>
      <c r="G33" s="17">
        <f t="shared" si="19"/>
        <v>1</v>
      </c>
      <c r="H33">
        <f t="shared" si="0"/>
        <v>90</v>
      </c>
      <c r="I33" s="8">
        <f>Player_Analysis!AF33</f>
        <v>0</v>
      </c>
      <c r="J33" s="8">
        <f>Player_Analysis!AG33</f>
        <v>0</v>
      </c>
      <c r="K33">
        <f>Player_Analysis!O33</f>
        <v>0.15</v>
      </c>
      <c r="L33">
        <f>Player_Analysis!P33</f>
        <v>0.04</v>
      </c>
      <c r="M33">
        <f t="shared" si="20"/>
        <v>5.3784860557768918E-2</v>
      </c>
      <c r="N33">
        <f t="shared" si="21"/>
        <v>1.4342629482071713E-2</v>
      </c>
      <c r="O33" s="2">
        <f>IF(E33=0,"",Player_Analysis!L33/E33*90)</f>
        <v>2.5099601593625498</v>
      </c>
      <c r="P33">
        <f>IF(E33=0,"",Player_Analysis!Q33/E33*90)</f>
        <v>6.812749003984063E-2</v>
      </c>
      <c r="Q33">
        <f>IF(E33=0,"",(Player_Analysis!AD33/E33)*90)</f>
        <v>8.2470119521912348</v>
      </c>
      <c r="R33">
        <f>IF(E33=0,"",Player_Analysis!AA33/E33*90)</f>
        <v>5.0199203187250996</v>
      </c>
      <c r="S33">
        <f t="array" ref="S33">IFERROR(INDEX('2023_24'!$O:$O,MATCH($A33,'2023_24'!$A:$A,0)),"")</f>
        <v>0.18564078578110385</v>
      </c>
      <c r="T33">
        <f>IFERROR(INDEX('2024_25'!$P:$P,MATCH($A33,'2024_25'!$A:$A,0)),"")</f>
        <v>2.0879652005799904E-2</v>
      </c>
      <c r="U33">
        <f>IFERROR(INDEX('2025_26'!$P:$P,MATCH($A33,'2025_26'!$A:$A,0)),"")</f>
        <v>3.4018567639257292E-2</v>
      </c>
      <c r="V33">
        <f>IFERROR(INDEX('2023_24'!$P:$P,MATCH($A33,'2023_24'!$A:$A,0)),"")</f>
        <v>0.10397567820392892</v>
      </c>
      <c r="W33">
        <f>IFERROR(INDEX('2024_25'!$Q:$Q,MATCH($A33,'2024_25'!$A:$A,0)),"")</f>
        <v>5.3504108264862252E-2</v>
      </c>
      <c r="X33">
        <f>IFERROR(INDEX('2025_26'!$Q:$Q,MATCH($A33,'2025_26'!$A:$A,0)),"")</f>
        <v>8.7732095490716186E-2</v>
      </c>
      <c r="Y33">
        <f>IFERROR(INDEX('2023_24'!$M:$M,MATCH($A33,'2023_24'!$A:$A,0))/INDEX('2023_24'!$G:$G,MATCH($A33,'2023_24'!$A:$A,0))*90,"")</f>
        <v>2.6941066417212349</v>
      </c>
      <c r="Z33">
        <f>IFERROR(INDEX('2024_25'!$M:$M,MATCH($A33,'2024_25'!$A:$A,0))/INDEX('2024_25'!$G:$G,MATCH($A33,'2024_25'!$A:$A,0))*90,"")</f>
        <v>3.3059449009183179</v>
      </c>
      <c r="AA33">
        <f>IFERROR(INDEX('2025_26'!$M:$M,MATCH($A33,'2025_26'!$A:$A,0))/INDEX('2025_26'!$G:$G,MATCH($A33,'2025_26'!$A:$A,0))*90,"")</f>
        <v>3.4913793103448278</v>
      </c>
      <c r="AB33">
        <f>IFERROR(SUMPRODUCT(S33:U33,{0.2,0.3,0.5})/SUMPRODUCT(--(S33:U33&lt;&gt;""),{0.2,0.3,0.5}),"")</f>
        <v>6.0401336577589393E-2</v>
      </c>
      <c r="AC33">
        <f>IFERROR(SUMPRODUCT(V33:X33,{0.2,0.3,0.5})/SUMPRODUCT(--(V33:X33&lt;&gt;""),{0.2,0.3,0.5}),"")</f>
        <v>8.0712415865602544E-2</v>
      </c>
      <c r="AD33">
        <f>IFERROR(SUMPRODUCT(Y33:AA33,{0.2,0.3,0.5})/SUMPRODUCT((Y33:AA33&lt;&gt;"")*{0.2,0.3,0.5}),O33)</f>
        <v>3.2762944537921559</v>
      </c>
      <c r="AE33">
        <f t="shared" si="22"/>
        <v>3</v>
      </c>
      <c r="AF33">
        <f t="shared" si="1"/>
        <v>83.666666666666671</v>
      </c>
      <c r="AG33">
        <f t="shared" si="2"/>
        <v>5.4865551641006267E-2</v>
      </c>
      <c r="AH33">
        <f t="shared" si="3"/>
        <v>2.5183027924715082E-2</v>
      </c>
      <c r="AI33" s="2">
        <f t="shared" si="4"/>
        <v>2.6351280941193855</v>
      </c>
      <c r="AJ33">
        <f t="shared" si="5"/>
        <v>0.83666666666666667</v>
      </c>
      <c r="AK33" t="str">
        <f t="shared" si="6"/>
        <v>NO</v>
      </c>
      <c r="AL33">
        <f t="shared" si="23"/>
        <v>5.4865551641006267E-2</v>
      </c>
      <c r="AM33">
        <f t="shared" si="7"/>
        <v>2.5183027924715082E-2</v>
      </c>
      <c r="AN33">
        <f t="shared" si="8"/>
        <v>5.4865551641006267E-2</v>
      </c>
      <c r="AO33">
        <f t="shared" si="9"/>
        <v>2.5183027924715082E-2</v>
      </c>
      <c r="AP33">
        <f t="array" ref="AP33">AL33*IF($C33="GKP",10,IF($C33="DEF",6,IF($C33="MID",5,4)))</f>
        <v>0.32919330984603762</v>
      </c>
      <c r="AQ33">
        <f t="shared" si="10"/>
        <v>7.5549083774145251E-2</v>
      </c>
      <c r="AR33">
        <f t="shared" si="11"/>
        <v>2</v>
      </c>
      <c r="AS33" s="2">
        <f>IF($H33=0,0,Player_Analysis!$AM33*$H33/90)</f>
        <v>1.3333333333333333</v>
      </c>
      <c r="AT33">
        <f t="shared" si="12"/>
        <v>1.0039840637450199</v>
      </c>
      <c r="AU33" s="2">
        <f>0</f>
        <v>0</v>
      </c>
      <c r="AV33" s="2">
        <f>IF(INDEX(FPL_Raw_Data!K:K,MATCH(A33,FPL_Raw_Data!AA:AA,0))=0,"",INDEX(FPL_Raw_Data!P:P,MATCH(A33,FPL_Raw_Data!AA:AA,0))/INDEX(FPL_Raw_Data!K:K,MATCH(A33,FPL_Raw_Data!AA:AA,0))*90)</f>
        <v>0</v>
      </c>
      <c r="AW33" s="2">
        <f t="shared" si="13"/>
        <v>0</v>
      </c>
      <c r="AX33" s="2">
        <f>IFERROR(INDEX(TEAM_ANALYSIS!$H$2:$H$21,MATCH($B33,TEAM_ANALYSIS!$A$2:$A$21,0)),0)</f>
        <v>1.6666666666666667</v>
      </c>
      <c r="AY33" s="2">
        <f t="shared" si="14"/>
        <v>-0.83333333333333337</v>
      </c>
      <c r="AZ33" s="2">
        <f t="shared" si="15"/>
        <v>3.9087264573652027</v>
      </c>
      <c r="BA33">
        <f t="shared" si="16"/>
        <v>0.86860587941448952</v>
      </c>
      <c r="BB33">
        <f>IFERROR(Player_Analysis!$Y33,1)</f>
        <v>1.0288823959094229</v>
      </c>
      <c r="BC33">
        <f t="shared" si="17"/>
        <v>4.0216198424084606</v>
      </c>
      <c r="BD33">
        <f t="shared" si="24"/>
        <v>3.4932026398859617</v>
      </c>
      <c r="BE33">
        <f t="shared" si="25"/>
        <v>4.0216198424084606</v>
      </c>
      <c r="BF33">
        <f t="shared" si="18"/>
        <v>154</v>
      </c>
      <c r="BG33">
        <f>IF($BE33="","",COUNTIFS($C$2:$C$596,$C33,$BE$2:$BE$596,"&gt;"&amp;$BE33)+COUNTIFS($C$2:$C33,$C33,$BE$2:$BE33,$BE33))</f>
        <v>51</v>
      </c>
    </row>
    <row r="34" spans="1:59" x14ac:dyDescent="0.25">
      <c r="A34" t="str">
        <f>Player_Analysis!A34</f>
        <v>Tyrone Mings</v>
      </c>
      <c r="B34">
        <f>Player_Analysis!C34</f>
        <v>2</v>
      </c>
      <c r="C34" t="str">
        <f>Player_Analysis!B34</f>
        <v>DEF</v>
      </c>
      <c r="D34" s="13">
        <f>Player_Analysis!E34</f>
        <v>4.5</v>
      </c>
      <c r="E34">
        <f>Player_Analysis!I34</f>
        <v>106</v>
      </c>
      <c r="F34" s="8">
        <f>Player_Analysis!Z34</f>
        <v>1</v>
      </c>
      <c r="G34" s="17">
        <f t="shared" si="19"/>
        <v>0.84905660377358483</v>
      </c>
      <c r="H34">
        <f t="shared" si="0"/>
        <v>76.415094339622641</v>
      </c>
      <c r="I34" s="8">
        <f>Player_Analysis!AF34</f>
        <v>0</v>
      </c>
      <c r="J34" s="8">
        <f>Player_Analysis!AG34</f>
        <v>0</v>
      </c>
      <c r="K34">
        <f>Player_Analysis!O34</f>
        <v>0.11</v>
      </c>
      <c r="L34">
        <f>Player_Analysis!P34</f>
        <v>0.02</v>
      </c>
      <c r="M34">
        <f t="shared" si="20"/>
        <v>9.3396226415094347E-2</v>
      </c>
      <c r="N34">
        <f t="shared" si="21"/>
        <v>1.6981132075471698E-2</v>
      </c>
      <c r="O34" s="2">
        <f>IF(E34=0,"",Player_Analysis!L34/E34*90)</f>
        <v>5.9433962264150946</v>
      </c>
      <c r="P34">
        <f>IF(E34=0,"",Player_Analysis!Q34/E34*90)</f>
        <v>0.11037735849056604</v>
      </c>
      <c r="Q34">
        <f>IF(E34=0,"",(Player_Analysis!AD34/E34)*90)</f>
        <v>28.018867924528301</v>
      </c>
      <c r="R34">
        <f>IF(E34=0,"",Player_Analysis!AA34/E34*90)</f>
        <v>5.0943396226415096</v>
      </c>
      <c r="S34">
        <f t="array" ref="S34">IFERROR(INDEX('2023_24'!$O:$O,MATCH($A34,'2023_24'!$A:$A,0)),"")</f>
        <v>0.03</v>
      </c>
      <c r="T34">
        <f>IFERROR(INDEX('2024_25'!$P:$P,MATCH($A34,'2024_25'!$A:$A,0)),"")</f>
        <v>7.0777479892761397E-2</v>
      </c>
      <c r="U34">
        <f>IFERROR(INDEX('2025_26'!$P:$P,MATCH($A34,'2025_26'!$A:$A,0)),"")</f>
        <v>8.8502269288956131E-2</v>
      </c>
      <c r="V34">
        <f>IFERROR(INDEX('2023_24'!$P:$P,MATCH($A34,'2023_24'!$A:$A,0)),"")</f>
        <v>0.48</v>
      </c>
      <c r="W34">
        <f>IFERROR(INDEX('2024_25'!$Q:$Q,MATCH($A34,'2024_25'!$A:$A,0)),"")</f>
        <v>1.8498659517426276E-2</v>
      </c>
      <c r="X34">
        <f>IFERROR(INDEX('2025_26'!$Q:$Q,MATCH($A34,'2025_26'!$A:$A,0)),"")</f>
        <v>2.8593040847201209E-2</v>
      </c>
      <c r="Y34">
        <f>IFERROR(INDEX('2023_24'!$M:$M,MATCH($A34,'2023_24'!$A:$A,0))/INDEX('2023_24'!$G:$G,MATCH($A34,'2023_24'!$A:$A,0))*90,"")</f>
        <v>0</v>
      </c>
      <c r="Z34">
        <f>IFERROR(INDEX('2024_25'!$M:$M,MATCH($A34,'2024_25'!$A:$A,0))/INDEX('2024_25'!$G:$G,MATCH($A34,'2024_25'!$A:$A,0))*90,"")</f>
        <v>3.780160857908847</v>
      </c>
      <c r="AA34">
        <f>IFERROR(INDEX('2025_26'!$M:$M,MATCH($A34,'2025_26'!$A:$A,0))/INDEX('2025_26'!$G:$G,MATCH($A34,'2025_26'!$A:$A,0))*90,"")</f>
        <v>3.4039334341906202</v>
      </c>
      <c r="AB34">
        <f>IFERROR(SUMPRODUCT(S34:U34,{0.2,0.3,0.5})/SUMPRODUCT(--(S34:U34&lt;&gt;""),{0.2,0.3,0.5}),"")</f>
        <v>7.1484378612306484E-2</v>
      </c>
      <c r="AC34">
        <f>IFERROR(SUMPRODUCT(V34:X34,{0.2,0.3,0.5})/SUMPRODUCT(--(V34:X34&lt;&gt;""),{0.2,0.3,0.5}),"")</f>
        <v>0.11584611827882849</v>
      </c>
      <c r="AD34">
        <f>IFERROR(SUMPRODUCT(Y34:AA34,{0.2,0.3,0.5})/SUMPRODUCT((Y34:AA34&lt;&gt;"")*{0.2,0.3,0.5}),O34)</f>
        <v>2.8360149744679641</v>
      </c>
      <c r="AE34">
        <f t="shared" si="22"/>
        <v>3</v>
      </c>
      <c r="AF34">
        <f t="shared" ref="AF34:AF65" si="26">IF(F34=0,"",E34/F34)</f>
        <v>106</v>
      </c>
      <c r="AG34">
        <f t="shared" si="2"/>
        <v>7.9226564835958191E-2</v>
      </c>
      <c r="AH34">
        <f t="shared" si="3"/>
        <v>8.0913823153642428E-2</v>
      </c>
      <c r="AI34" s="2">
        <f t="shared" si="4"/>
        <v>3.9339563501559507</v>
      </c>
      <c r="AJ34">
        <f t="shared" si="5"/>
        <v>0.35333333333333333</v>
      </c>
      <c r="AK34" t="str">
        <f t="shared" si="6"/>
        <v>NO</v>
      </c>
      <c r="AL34">
        <f t="shared" si="23"/>
        <v>6.7267838068266389E-2</v>
      </c>
      <c r="AM34">
        <f t="shared" si="7"/>
        <v>6.8700415885168092E-2</v>
      </c>
      <c r="AN34">
        <f t="shared" si="8"/>
        <v>6.7267838068266389E-2</v>
      </c>
      <c r="AO34">
        <f t="shared" si="9"/>
        <v>6.8700415885168092E-2</v>
      </c>
      <c r="AP34">
        <f t="array" ref="AP34">AL34*IF($C34="GKP",10,IF($C34="DEF",6,IF($C34="MID",5,4)))</f>
        <v>0.40360702840959833</v>
      </c>
      <c r="AQ34">
        <f t="shared" si="10"/>
        <v>0.20610124765550428</v>
      </c>
      <c r="AR34">
        <f t="shared" si="11"/>
        <v>1.6981132075471697</v>
      </c>
      <c r="AS34" s="2">
        <f>IF($H34=0,0,Player_Analysis!$AM34*$H34/90)</f>
        <v>3.3962264150943398</v>
      </c>
      <c r="AT34">
        <f t="shared" si="12"/>
        <v>0.86507653969384124</v>
      </c>
      <c r="AU34" s="2">
        <f>0</f>
        <v>0</v>
      </c>
      <c r="AV34" s="2">
        <f>IF(INDEX(FPL_Raw_Data!K:K,MATCH(A34,FPL_Raw_Data!AA:AA,0))=0,"",INDEX(FPL_Raw_Data!P:P,MATCH(A34,FPL_Raw_Data!AA:AA,0))/INDEX(FPL_Raw_Data!K:K,MATCH(A34,FPL_Raw_Data!AA:AA,0))*90)</f>
        <v>0</v>
      </c>
      <c r="AW34" s="2">
        <f t="shared" si="13"/>
        <v>0</v>
      </c>
      <c r="AX34" s="2">
        <f>IFERROR(INDEX(TEAM_ANALYSIS!$H$2:$H$21,MATCH($B34,TEAM_ANALYSIS!$A$2:$A$21,0)),0)</f>
        <v>1.6666666666666667</v>
      </c>
      <c r="AY34" s="2">
        <f t="shared" si="14"/>
        <v>-0.83333333333333337</v>
      </c>
      <c r="AZ34" s="2">
        <f t="shared" si="15"/>
        <v>5.7357911050671202</v>
      </c>
      <c r="BA34">
        <f t="shared" si="16"/>
        <v>1.2746202455704712</v>
      </c>
      <c r="BB34">
        <f>IFERROR(Player_Analysis!$Y34,1)</f>
        <v>1.0288823959094229</v>
      </c>
      <c r="BC34">
        <f t="shared" si="17"/>
        <v>5.9014544946174148</v>
      </c>
      <c r="BD34">
        <f t="shared" si="24"/>
        <v>7.52211337715221</v>
      </c>
      <c r="BE34">
        <f t="shared" si="25"/>
        <v>5.9014544946174148</v>
      </c>
      <c r="BF34">
        <f t="shared" si="18"/>
        <v>49</v>
      </c>
      <c r="BG34">
        <f>IF($BE34="","",COUNTIFS($C$2:$C$596,$C34,$BE$2:$BE$596,"&gt;"&amp;$BE34)+COUNTIFS($C$2:$C34,$C34,$BE$2:$BE34,$BE34))</f>
        <v>24</v>
      </c>
    </row>
    <row r="35" spans="1:59" x14ac:dyDescent="0.25">
      <c r="A35" t="str">
        <f>Player_Analysis!A35</f>
        <v>Pau Torres</v>
      </c>
      <c r="B35">
        <f>Player_Analysis!C35</f>
        <v>2</v>
      </c>
      <c r="C35" t="str">
        <f>Player_Analysis!B35</f>
        <v>DEF</v>
      </c>
      <c r="D35" s="13">
        <f>Player_Analysis!E35</f>
        <v>4.5</v>
      </c>
      <c r="E35">
        <f>Player_Analysis!I35</f>
        <v>163</v>
      </c>
      <c r="F35" s="8">
        <f>Player_Analysis!Z35</f>
        <v>2</v>
      </c>
      <c r="G35" s="17">
        <f t="shared" si="19"/>
        <v>1</v>
      </c>
      <c r="H35">
        <f t="shared" si="0"/>
        <v>90</v>
      </c>
      <c r="I35" s="8">
        <f>Player_Analysis!AF35</f>
        <v>0</v>
      </c>
      <c r="J35" s="8">
        <f>Player_Analysis!AG35</f>
        <v>0</v>
      </c>
      <c r="K35">
        <f>Player_Analysis!O35</f>
        <v>0</v>
      </c>
      <c r="L35">
        <f>Player_Analysis!P35</f>
        <v>0.01</v>
      </c>
      <c r="M35">
        <f t="shared" si="20"/>
        <v>0</v>
      </c>
      <c r="N35">
        <f t="shared" si="21"/>
        <v>5.521472392638037E-3</v>
      </c>
      <c r="O35" s="2">
        <f>IF(E35=0,"",Player_Analysis!L35/E35*90)</f>
        <v>1.1042944785276074</v>
      </c>
      <c r="P35">
        <f>IF(E35=0,"",Player_Analysis!Q35/E35*90)</f>
        <v>5.521472392638037E-3</v>
      </c>
      <c r="Q35">
        <f>IF(E35=0,"",(Player_Analysis!AD35/E35)*90)</f>
        <v>-4.4171779141104297</v>
      </c>
      <c r="R35">
        <f>IF(E35=0,"",Player_Analysis!AA35/E35*90)</f>
        <v>4.9693251533742329</v>
      </c>
      <c r="S35">
        <f t="array" ref="S35">IFERROR(INDEX('2023_24'!$O:$O,MATCH($A35,'2023_24'!$A:$A,0)),"")</f>
        <v>3.5093419983753045E-2</v>
      </c>
      <c r="T35">
        <f>IFERROR(INDEX('2024_25'!$P:$P,MATCH($A35,'2024_25'!$A:$A,0)),"")</f>
        <v>2.2734026745913821E-2</v>
      </c>
      <c r="U35">
        <f>IFERROR(INDEX('2025_26'!$P:$P,MATCH($A35,'2025_26'!$A:$A,0)),"")</f>
        <v>7.1548117154811713E-2</v>
      </c>
      <c r="V35">
        <f>IFERROR(INDEX('2023_24'!$P:$P,MATCH($A35,'2023_24'!$A:$A,0)),"")</f>
        <v>2.5954508529650689E-2</v>
      </c>
      <c r="W35">
        <f>IFERROR(INDEX('2024_25'!$Q:$Q,MATCH($A35,'2024_25'!$A:$A,0)),"")</f>
        <v>1.9167904903417535E-2</v>
      </c>
      <c r="X35">
        <f>IFERROR(INDEX('2025_26'!$Q:$Q,MATCH($A35,'2025_26'!$A:$A,0)),"")</f>
        <v>2.0980274955170356E-2</v>
      </c>
      <c r="Y35">
        <f>IFERROR(INDEX('2023_24'!$M:$M,MATCH($A35,'2023_24'!$A:$A,0))/INDEX('2023_24'!$G:$G,MATCH($A35,'2023_24'!$A:$A,0))*90,"")</f>
        <v>3.1072298943948011</v>
      </c>
      <c r="Z35">
        <f>IFERROR(INDEX('2024_25'!$M:$M,MATCH($A35,'2024_25'!$A:$A,0))/INDEX('2024_25'!$G:$G,MATCH($A35,'2024_25'!$A:$A,0))*90,"")</f>
        <v>2.4517087667161963</v>
      </c>
      <c r="AA35">
        <f>IFERROR(INDEX('2025_26'!$M:$M,MATCH($A35,'2025_26'!$A:$A,0))/INDEX('2025_26'!$G:$G,MATCH($A35,'2025_26'!$A:$A,0))*90,"")</f>
        <v>3.4429169157202626</v>
      </c>
      <c r="AB35">
        <f>IFERROR(SUMPRODUCT(S35:U35,{0.2,0.3,0.5})/SUMPRODUCT(--(S35:U35&lt;&gt;""),{0.2,0.3,0.5}),"")</f>
        <v>4.9612950597930611E-2</v>
      </c>
      <c r="AC35">
        <f>IFERROR(SUMPRODUCT(V35:X35,{0.2,0.3,0.5})/SUMPRODUCT(--(V35:X35&lt;&gt;""),{0.2,0.3,0.5}),"")</f>
        <v>2.1431410654540579E-2</v>
      </c>
      <c r="AD35">
        <f>IFERROR(SUMPRODUCT(Y35:AA35,{0.2,0.3,0.5})/SUMPRODUCT((Y35:AA35&lt;&gt;"")*{0.2,0.3,0.5}),O35)</f>
        <v>3.0784170667539503</v>
      </c>
      <c r="AE35">
        <f t="shared" si="22"/>
        <v>3</v>
      </c>
      <c r="AF35">
        <f t="shared" si="26"/>
        <v>81.5</v>
      </c>
      <c r="AG35">
        <f t="shared" si="2"/>
        <v>2.265658077305498E-2</v>
      </c>
      <c r="AH35">
        <f t="shared" si="3"/>
        <v>1.2787010865573531E-2</v>
      </c>
      <c r="AI35" s="2">
        <f t="shared" si="4"/>
        <v>2.0058104604843043</v>
      </c>
      <c r="AJ35">
        <f t="shared" si="5"/>
        <v>0.54333333333333333</v>
      </c>
      <c r="AK35" t="str">
        <f t="shared" si="6"/>
        <v>NO</v>
      </c>
      <c r="AL35">
        <f t="shared" si="23"/>
        <v>2.265658077305498E-2</v>
      </c>
      <c r="AM35">
        <f t="shared" si="7"/>
        <v>1.2787010865573529E-2</v>
      </c>
      <c r="AN35">
        <f t="shared" si="8"/>
        <v>2.265658077305498E-2</v>
      </c>
      <c r="AO35">
        <f t="shared" si="9"/>
        <v>1.2787010865573529E-2</v>
      </c>
      <c r="AP35">
        <f t="array" ref="AP35">AL35*IF($C35="GKP",10,IF($C35="DEF",6,IF($C35="MID",5,4)))</f>
        <v>0.13593948463832989</v>
      </c>
      <c r="AQ35">
        <f t="shared" si="10"/>
        <v>3.8361032596720586E-2</v>
      </c>
      <c r="AR35">
        <f t="shared" si="11"/>
        <v>2</v>
      </c>
      <c r="AS35" s="2">
        <f>IF($H35=0,0,Player_Analysis!$AM35*$H35/90)</f>
        <v>0</v>
      </c>
      <c r="AT35">
        <f t="shared" si="12"/>
        <v>0.99386503067484655</v>
      </c>
      <c r="AU35" s="2">
        <f>0</f>
        <v>0</v>
      </c>
      <c r="AV35" s="2">
        <f>IF(INDEX(FPL_Raw_Data!K:K,MATCH(A35,FPL_Raw_Data!AA:AA,0))=0,"",INDEX(FPL_Raw_Data!P:P,MATCH(A35,FPL_Raw_Data!AA:AA,0))/INDEX(FPL_Raw_Data!K:K,MATCH(A35,FPL_Raw_Data!AA:AA,0))*90)</f>
        <v>0</v>
      </c>
      <c r="AW35" s="2">
        <f t="shared" si="13"/>
        <v>0</v>
      </c>
      <c r="AX35" s="2">
        <f>IFERROR(INDEX(TEAM_ANALYSIS!$H$2:$H$21,MATCH($B35,TEAM_ANALYSIS!$A$2:$A$21,0)),0)</f>
        <v>1.6666666666666667</v>
      </c>
      <c r="AY35" s="2">
        <f t="shared" si="14"/>
        <v>-0.83333333333333337</v>
      </c>
      <c r="AZ35" s="2">
        <f t="shared" si="15"/>
        <v>2.3348322145765636</v>
      </c>
      <c r="BA35">
        <f t="shared" si="16"/>
        <v>0.5188516032392364</v>
      </c>
      <c r="BB35">
        <f>IFERROR(Player_Analysis!$Y35,1)</f>
        <v>1.0288823959094229</v>
      </c>
      <c r="BC35">
        <f t="shared" si="17"/>
        <v>2.4022677629800384</v>
      </c>
      <c r="BD35">
        <f t="shared" si="24"/>
        <v>1.2464204802321268</v>
      </c>
      <c r="BE35">
        <f t="shared" si="25"/>
        <v>2.4022677629800384</v>
      </c>
      <c r="BF35">
        <f t="shared" si="18"/>
        <v>232</v>
      </c>
      <c r="BG35">
        <f>IF($BE35="","",COUNTIFS($C$2:$C$596,$C35,$BE$2:$BE$596,"&gt;"&amp;$BE35)+COUNTIFS($C$2:$C35,$C35,$BE$2:$BE35,$BE35))</f>
        <v>78</v>
      </c>
    </row>
    <row r="36" spans="1:59" x14ac:dyDescent="0.25">
      <c r="A36" t="str">
        <f>Player_Analysis!A36</f>
        <v>Lamare Bogarde</v>
      </c>
      <c r="B36">
        <f>Player_Analysis!C36</f>
        <v>2</v>
      </c>
      <c r="C36" t="str">
        <f>Player_Analysis!B36</f>
        <v>MID</v>
      </c>
      <c r="D36" s="13">
        <f>Player_Analysis!E36</f>
        <v>5</v>
      </c>
      <c r="E36">
        <f>Player_Analysis!I36</f>
        <v>16</v>
      </c>
      <c r="F36" s="8">
        <f>Player_Analysis!Z36</f>
        <v>0</v>
      </c>
      <c r="G36" s="17">
        <f t="shared" si="19"/>
        <v>0</v>
      </c>
      <c r="H36">
        <f t="shared" si="0"/>
        <v>0</v>
      </c>
      <c r="I36" s="8">
        <f>Player_Analysis!AF36</f>
        <v>0</v>
      </c>
      <c r="J36" s="8">
        <f>Player_Analysis!AG36</f>
        <v>0</v>
      </c>
      <c r="K36">
        <f>Player_Analysis!O36</f>
        <v>0</v>
      </c>
      <c r="L36">
        <f>Player_Analysis!P36</f>
        <v>0</v>
      </c>
      <c r="M36">
        <f t="shared" si="20"/>
        <v>0</v>
      </c>
      <c r="N36">
        <f t="shared" si="21"/>
        <v>0</v>
      </c>
      <c r="O36" s="2">
        <f>IF(E36=0,"",Player_Analysis!L36/E36*90)</f>
        <v>5.625</v>
      </c>
      <c r="P36">
        <f>IF(E36=0,"",Player_Analysis!Q36/E36*90)</f>
        <v>0</v>
      </c>
      <c r="Q36">
        <f>IF(E36=0,"",(Player_Analysis!AD36/E36)*90)</f>
        <v>16.875</v>
      </c>
      <c r="R36">
        <f>IF(E36=0,"",Player_Analysis!AA36/E36*90)</f>
        <v>5.625</v>
      </c>
      <c r="S36" t="str">
        <f t="array" ref="S36">IFERROR(INDEX('2023_24'!$O:$O,MATCH($A36,'2023_24'!$A:$A,0)),"")</f>
        <v/>
      </c>
      <c r="T36">
        <f>IFERROR(INDEX('2024_25'!$P:$P,MATCH($A36,'2024_25'!$A:$A,0)),"")</f>
        <v>7.6109936575052863E-3</v>
      </c>
      <c r="U36">
        <f>IFERROR(INDEX('2025_26'!$P:$P,MATCH($A36,'2025_26'!$A:$A,0)),"")</f>
        <v>0</v>
      </c>
      <c r="V36" t="str">
        <f>IFERROR(INDEX('2023_24'!$P:$P,MATCH($A36,'2023_24'!$A:$A,0)),"")</f>
        <v/>
      </c>
      <c r="W36">
        <f>IFERROR(INDEX('2024_25'!$Q:$Q,MATCH($A36,'2024_25'!$A:$A,0)),"")</f>
        <v>2.4735729386892176E-2</v>
      </c>
      <c r="X36">
        <f>IFERROR(INDEX('2025_26'!$Q:$Q,MATCH($A36,'2025_26'!$A:$A,0)),"")</f>
        <v>1.7274472168905951E-2</v>
      </c>
      <c r="Y36" t="str">
        <f>IFERROR(INDEX('2023_24'!$M:$M,MATCH($A36,'2023_24'!$A:$A,0))/INDEX('2023_24'!$G:$G,MATCH($A36,'2023_24'!$A:$A,0))*90,"")</f>
        <v/>
      </c>
      <c r="Z36">
        <f>IFERROR(INDEX('2024_25'!$M:$M,MATCH($A36,'2024_25'!$A:$A,0))/INDEX('2024_25'!$G:$G,MATCH($A36,'2024_25'!$A:$A,0))*90,"")</f>
        <v>1.1416490486257929</v>
      </c>
      <c r="AA36">
        <f>IFERROR(INDEX('2025_26'!$M:$M,MATCH($A36,'2025_26'!$A:$A,0))/INDEX('2025_26'!$G:$G,MATCH($A36,'2025_26'!$A:$A,0))*90,"")</f>
        <v>3.4548944337811895</v>
      </c>
      <c r="AB36">
        <f>IFERROR(SUMPRODUCT(S36:U36,{0.2,0.3,0.5})/SUMPRODUCT(--(S36:U36&lt;&gt;""),{0.2,0.3,0.5}),"")</f>
        <v>2.8541226215644819E-3</v>
      </c>
      <c r="AC36">
        <f>IFERROR(SUMPRODUCT(V36:X36,{0.2,0.3,0.5})/SUMPRODUCT(--(V36:X36&lt;&gt;""),{0.2,0.3,0.5}),"")</f>
        <v>2.0072443625650787E-2</v>
      </c>
      <c r="AD36">
        <f>IFERROR(SUMPRODUCT(Y36:AA36,{0.2,0.3,0.5})/SUMPRODUCT((Y36:AA36&lt;&gt;"")*{0.2,0.3,0.5}),O36)</f>
        <v>2.5874274143479159</v>
      </c>
      <c r="AE36">
        <f t="shared" si="22"/>
        <v>2</v>
      </c>
      <c r="AF36" t="str">
        <f t="shared" si="26"/>
        <v/>
      </c>
      <c r="AG36">
        <f t="shared" si="2"/>
        <v>2.701902748414376E-3</v>
      </c>
      <c r="AH36">
        <f t="shared" si="3"/>
        <v>1.9001913298949413E-2</v>
      </c>
      <c r="AI36" s="2">
        <f t="shared" si="4"/>
        <v>2.7494312855826939</v>
      </c>
      <c r="AJ36">
        <f t="shared" si="5"/>
        <v>5.3333333333333337E-2</v>
      </c>
      <c r="AK36" t="str">
        <f t="shared" si="6"/>
        <v>NO</v>
      </c>
      <c r="AL36">
        <f t="shared" si="23"/>
        <v>0</v>
      </c>
      <c r="AM36">
        <f t="shared" si="7"/>
        <v>0</v>
      </c>
      <c r="AN36">
        <f t="shared" si="8"/>
        <v>0</v>
      </c>
      <c r="AO36">
        <f t="shared" si="9"/>
        <v>0</v>
      </c>
      <c r="AP36">
        <f t="array" ref="AP36">AL36*IF($C36="GKP",10,IF($C36="DEF",6,IF($C36="MID",5,4)))</f>
        <v>0</v>
      </c>
      <c r="AQ36">
        <f t="shared" si="10"/>
        <v>0</v>
      </c>
      <c r="AR36">
        <f t="shared" si="11"/>
        <v>0</v>
      </c>
      <c r="AS36" s="2">
        <f>IF($H36=0,0,Player_Analysis!$AM36*$H36/90)</f>
        <v>0</v>
      </c>
      <c r="AT36">
        <f t="shared" si="12"/>
        <v>0</v>
      </c>
      <c r="AU36" s="2">
        <f>0</f>
        <v>0</v>
      </c>
      <c r="AV36" s="2">
        <f>IF(INDEX(FPL_Raw_Data!K:K,MATCH(A36,FPL_Raw_Data!AA:AA,0))=0,"",INDEX(FPL_Raw_Data!P:P,MATCH(A36,FPL_Raw_Data!AA:AA,0))/INDEX(FPL_Raw_Data!K:K,MATCH(A36,FPL_Raw_Data!AA:AA,0))*90)</f>
        <v>0</v>
      </c>
      <c r="AW36" s="2">
        <f t="shared" si="13"/>
        <v>0</v>
      </c>
      <c r="AX36" s="2">
        <f>IFERROR(INDEX(TEAM_ANALYSIS!$H$2:$H$21,MATCH($B36,TEAM_ANALYSIS!$A$2:$A$21,0)),0)</f>
        <v>1.6666666666666667</v>
      </c>
      <c r="AY36" s="2">
        <f t="shared" si="14"/>
        <v>0</v>
      </c>
      <c r="AZ36" s="2">
        <f t="shared" si="15"/>
        <v>0</v>
      </c>
      <c r="BA36">
        <f t="shared" si="16"/>
        <v>0</v>
      </c>
      <c r="BB36">
        <f>IFERROR(Player_Analysis!$Y36,1)</f>
        <v>0.8</v>
      </c>
      <c r="BC36">
        <f t="shared" si="17"/>
        <v>0</v>
      </c>
      <c r="BD36">
        <f t="shared" si="24"/>
        <v>0</v>
      </c>
      <c r="BE36">
        <f t="shared" si="25"/>
        <v>0</v>
      </c>
      <c r="BF36">
        <f t="shared" si="18"/>
        <v>253</v>
      </c>
      <c r="BG36">
        <f>IF($BE36="","",COUNTIFS($C$2:$C$596,$C36,$BE$2:$BE$596,"&gt;"&amp;$BE36)+COUNTIFS($C$2:$C36,$C36,$BE$2:$BE36,$BE36))</f>
        <v>121</v>
      </c>
    </row>
    <row r="37" spans="1:59" x14ac:dyDescent="0.25">
      <c r="A37" t="str">
        <f>Player_Analysis!A37</f>
        <v>Ian Maatsen</v>
      </c>
      <c r="B37">
        <f>Player_Analysis!C37</f>
        <v>2</v>
      </c>
      <c r="C37" t="str">
        <f>Player_Analysis!B37</f>
        <v>DEF</v>
      </c>
      <c r="D37" s="13">
        <f>Player_Analysis!E37</f>
        <v>4.5</v>
      </c>
      <c r="E37">
        <f>Player_Analysis!I37</f>
        <v>245</v>
      </c>
      <c r="F37" s="8">
        <f>Player_Analysis!Z37</f>
        <v>3</v>
      </c>
      <c r="G37" s="17">
        <f t="shared" si="19"/>
        <v>1</v>
      </c>
      <c r="H37">
        <f t="shared" si="0"/>
        <v>90</v>
      </c>
      <c r="I37" s="8">
        <f>Player_Analysis!AF37</f>
        <v>0</v>
      </c>
      <c r="J37" s="8">
        <f>Player_Analysis!AG37</f>
        <v>0</v>
      </c>
      <c r="K37">
        <f>Player_Analysis!O37</f>
        <v>0.1</v>
      </c>
      <c r="L37">
        <f>Player_Analysis!P37</f>
        <v>0.42</v>
      </c>
      <c r="M37">
        <f t="shared" si="20"/>
        <v>3.6734693877551024E-2</v>
      </c>
      <c r="N37">
        <f t="shared" si="21"/>
        <v>0.15428571428571428</v>
      </c>
      <c r="O37" s="2">
        <f>IF(E37=0,"",Player_Analysis!L37/E37*90)</f>
        <v>2.9387755102040818</v>
      </c>
      <c r="P37">
        <f>IF(E37=0,"",Player_Analysis!Q37/E37*90)</f>
        <v>0.19102040816326532</v>
      </c>
      <c r="Q37">
        <f>IF(E37=0,"",(Player_Analysis!AD37/E37)*90)</f>
        <v>5.5102040816326525</v>
      </c>
      <c r="R37">
        <f>IF(E37=0,"",Player_Analysis!AA37/E37*90)</f>
        <v>7.3469387755102034</v>
      </c>
      <c r="S37">
        <f t="array" ref="S37">IFERROR(INDEX('2023_24'!$O:$O,MATCH($A37,'2023_24'!$A:$A,0)),"")</f>
        <v>0.33300000000000002</v>
      </c>
      <c r="T37">
        <f>IFERROR(INDEX('2024_25'!$P:$P,MATCH($A37,'2024_25'!$A:$A,0)),"")</f>
        <v>6.9599999999999995E-2</v>
      </c>
      <c r="U37">
        <f>IFERROR(INDEX('2025_26'!$P:$P,MATCH($A37,'2025_26'!$A:$A,0)),"")</f>
        <v>7.1320754716981127E-2</v>
      </c>
      <c r="V37">
        <f>IFERROR(INDEX('2023_24'!$P:$P,MATCH($A37,'2023_24'!$A:$A,0)),"")</f>
        <v>0.09</v>
      </c>
      <c r="W37">
        <f>IFERROR(INDEX('2024_25'!$Q:$Q,MATCH($A37,'2024_25'!$A:$A,0)),"")</f>
        <v>0.19439999999999999</v>
      </c>
      <c r="X37">
        <f>IFERROR(INDEX('2025_26'!$Q:$Q,MATCH($A37,'2025_26'!$A:$A,0)),"")</f>
        <v>0.13528301886792451</v>
      </c>
      <c r="Y37">
        <f>IFERROR(INDEX('2023_24'!$M:$M,MATCH($A37,'2023_24'!$A:$A,0))/INDEX('2023_24'!$G:$G,MATCH($A37,'2023_24'!$A:$A,0))*90,"")</f>
        <v>4.95</v>
      </c>
      <c r="Z37">
        <f>IFERROR(INDEX('2024_25'!$M:$M,MATCH($A37,'2024_25'!$A:$A,0))/INDEX('2024_25'!$G:$G,MATCH($A37,'2024_25'!$A:$A,0))*90,"")</f>
        <v>4.5599999999999996</v>
      </c>
      <c r="AA37">
        <f>IFERROR(INDEX('2025_26'!$M:$M,MATCH($A37,'2025_26'!$A:$A,0))/INDEX('2025_26'!$G:$G,MATCH($A37,'2025_26'!$A:$A,0))*90,"")</f>
        <v>3.0566037735849054</v>
      </c>
      <c r="AB37">
        <f>IFERROR(SUMPRODUCT(S37:U37,{0.2,0.3,0.5})/SUMPRODUCT(--(S37:U37&lt;&gt;""),{0.2,0.3,0.5}),"")</f>
        <v>0.12314037735849057</v>
      </c>
      <c r="AC37">
        <f>IFERROR(SUMPRODUCT(V37:X37,{0.2,0.3,0.5})/SUMPRODUCT(--(V37:X37&lt;&gt;""),{0.2,0.3,0.5}),"")</f>
        <v>0.14396150943396224</v>
      </c>
      <c r="AD37">
        <f>IFERROR(SUMPRODUCT(Y37:AA37,{0.2,0.3,0.5})/SUMPRODUCT((Y37:AA37&lt;&gt;"")*{0.2,0.3,0.5}),O37)</f>
        <v>3.8863018867924528</v>
      </c>
      <c r="AE37">
        <f t="shared" si="22"/>
        <v>3</v>
      </c>
      <c r="AF37">
        <f t="shared" si="26"/>
        <v>81.666666666666671</v>
      </c>
      <c r="AG37">
        <f t="shared" si="2"/>
        <v>5.2575735849056608E-2</v>
      </c>
      <c r="AH37">
        <f t="shared" si="3"/>
        <v>0.15239294339622642</v>
      </c>
      <c r="AI37" s="2">
        <f t="shared" si="4"/>
        <v>3.1124886792452831</v>
      </c>
      <c r="AJ37">
        <f t="shared" si="5"/>
        <v>0.81666666666666665</v>
      </c>
      <c r="AK37" t="str">
        <f t="shared" si="6"/>
        <v>NO</v>
      </c>
      <c r="AL37">
        <f t="shared" si="23"/>
        <v>5.2575735849056608E-2</v>
      </c>
      <c r="AM37">
        <f t="shared" si="7"/>
        <v>0.15239294339622642</v>
      </c>
      <c r="AN37">
        <f t="shared" si="8"/>
        <v>5.2575735849056608E-2</v>
      </c>
      <c r="AO37">
        <f t="shared" si="9"/>
        <v>0.15239294339622642</v>
      </c>
      <c r="AP37">
        <f t="array" ref="AP37">AL37*IF($C37="GKP",10,IF($C37="DEF",6,IF($C37="MID",5,4)))</f>
        <v>0.31545441509433964</v>
      </c>
      <c r="AQ37">
        <f t="shared" si="10"/>
        <v>0.45717883018867922</v>
      </c>
      <c r="AR37">
        <f t="shared" si="11"/>
        <v>2</v>
      </c>
      <c r="AS37" s="2">
        <f>IF($H37=0,0,Player_Analysis!$AM37*$H37/90)</f>
        <v>1.3333333333333333</v>
      </c>
      <c r="AT37">
        <f t="shared" si="12"/>
        <v>1.4693877551020407</v>
      </c>
      <c r="AU37" s="2">
        <f>0</f>
        <v>0</v>
      </c>
      <c r="AV37" s="2">
        <f>IF(INDEX(FPL_Raw_Data!K:K,MATCH(A37,FPL_Raw_Data!AA:AA,0))=0,"",INDEX(FPL_Raw_Data!P:P,MATCH(A37,FPL_Raw_Data!AA:AA,0))/INDEX(FPL_Raw_Data!K:K,MATCH(A37,FPL_Raw_Data!AA:AA,0))*90)</f>
        <v>0</v>
      </c>
      <c r="AW37" s="2">
        <f t="shared" si="13"/>
        <v>0</v>
      </c>
      <c r="AX37" s="2">
        <f>IFERROR(INDEX(TEAM_ANALYSIS!$H$2:$H$21,MATCH($B37,TEAM_ANALYSIS!$A$2:$A$21,0)),0)</f>
        <v>1.6666666666666667</v>
      </c>
      <c r="AY37" s="2">
        <f t="shared" si="14"/>
        <v>-0.83333333333333337</v>
      </c>
      <c r="AZ37" s="2">
        <f t="shared" si="15"/>
        <v>4.7420210003850594</v>
      </c>
      <c r="BA37">
        <f t="shared" si="16"/>
        <v>1.0537824445300132</v>
      </c>
      <c r="BB37">
        <f>IFERROR(Player_Analysis!$Y37,1)</f>
        <v>1.0288823959094229</v>
      </c>
      <c r="BC37">
        <f t="shared" si="17"/>
        <v>4.8789819283289786</v>
      </c>
      <c r="BD37">
        <f t="shared" si="24"/>
        <v>5.1413855032522688</v>
      </c>
      <c r="BE37">
        <f t="shared" si="25"/>
        <v>4.8789819283289786</v>
      </c>
      <c r="BF37">
        <f t="shared" si="18"/>
        <v>102</v>
      </c>
      <c r="BG37">
        <f>IF($BE37="","",COUNTIFS($C$2:$C$596,$C37,$BE$2:$BE$596,"&gt;"&amp;$BE37)+COUNTIFS($C$2:$C37,$C37,$BE$2:$BE37,$BE37))</f>
        <v>38</v>
      </c>
    </row>
    <row r="38" spans="1:59" x14ac:dyDescent="0.25">
      <c r="A38" t="str">
        <f>Player_Analysis!A38</f>
        <v>Victor Lindelöf</v>
      </c>
      <c r="B38">
        <f>Player_Analysis!C38</f>
        <v>2</v>
      </c>
      <c r="C38" t="str">
        <f>Player_Analysis!B38</f>
        <v>DEF</v>
      </c>
      <c r="D38" s="13">
        <f>Player_Analysis!E38</f>
        <v>4.5</v>
      </c>
      <c r="E38">
        <f>Player_Analysis!I38</f>
        <v>270</v>
      </c>
      <c r="F38" s="8">
        <f>Player_Analysis!Z38</f>
        <v>3</v>
      </c>
      <c r="G38" s="17">
        <f t="shared" si="19"/>
        <v>1</v>
      </c>
      <c r="H38">
        <f t="shared" si="0"/>
        <v>90</v>
      </c>
      <c r="I38" s="8">
        <f>Player_Analysis!AF38</f>
        <v>0</v>
      </c>
      <c r="J38" s="8">
        <f>Player_Analysis!AG38</f>
        <v>0</v>
      </c>
      <c r="K38">
        <f>Player_Analysis!O38</f>
        <v>0</v>
      </c>
      <c r="L38">
        <f>Player_Analysis!P38</f>
        <v>0.16</v>
      </c>
      <c r="M38">
        <f t="shared" si="20"/>
        <v>0</v>
      </c>
      <c r="N38">
        <f t="shared" si="21"/>
        <v>5.333333333333333E-2</v>
      </c>
      <c r="O38" s="2">
        <f>IF(E38=0,"",Player_Analysis!L38/E38*90)</f>
        <v>2</v>
      </c>
      <c r="P38">
        <f>IF(E38=0,"",Player_Analysis!Q38/E38*90)</f>
        <v>5.333333333333333E-2</v>
      </c>
      <c r="Q38">
        <f>IF(E38=0,"",(Player_Analysis!AD38/E38)*90)</f>
        <v>8.3333333333333321</v>
      </c>
      <c r="R38">
        <f>IF(E38=0,"",Player_Analysis!AA38/E38*90)</f>
        <v>4.666666666666667</v>
      </c>
      <c r="S38">
        <f t="array" ref="S38">IFERROR(INDEX('2023_24'!$O:$O,MATCH($A38,'2023_24'!$A:$A,0)),"")</f>
        <v>4.6762048192771077E-2</v>
      </c>
      <c r="T38">
        <f>IFERROR(INDEX('2024_25'!$P:$P,MATCH($A38,'2024_25'!$A:$A,0)),"")</f>
        <v>0</v>
      </c>
      <c r="U38">
        <f>IFERROR(INDEX('2025_26'!$P:$P,MATCH($A38,'2025_26'!$A:$A,0)),"")</f>
        <v>2.6751592356687903E-2</v>
      </c>
      <c r="V38">
        <f>IFERROR(INDEX('2023_24'!$P:$P,MATCH($A38,'2023_24'!$A:$A,0)),"")</f>
        <v>2.9141566265060238E-2</v>
      </c>
      <c r="W38">
        <f>IFERROR(INDEX('2024_25'!$Q:$Q,MATCH($A38,'2024_25'!$A:$A,0)),"")</f>
        <v>1.1654676258992806E-2</v>
      </c>
      <c r="X38">
        <f>IFERROR(INDEX('2025_26'!$Q:$Q,MATCH($A38,'2025_26'!$A:$A,0)),"")</f>
        <v>9.5541401273885346E-3</v>
      </c>
      <c r="Y38">
        <f>IFERROR(INDEX('2023_24'!$M:$M,MATCH($A38,'2023_24'!$A:$A,0))/INDEX('2023_24'!$G:$G,MATCH($A38,'2023_24'!$A:$A,0))*90,"")</f>
        <v>4.2018072289156621</v>
      </c>
      <c r="Z38">
        <f>IFERROR(INDEX('2024_25'!$M:$M,MATCH($A38,'2024_25'!$A:$A,0))/INDEX('2024_25'!$G:$G,MATCH($A38,'2024_25'!$A:$A,0))*90,"")</f>
        <v>3.4964028776978413</v>
      </c>
      <c r="AA38">
        <f>IFERROR(INDEX('2025_26'!$M:$M,MATCH($A38,'2025_26'!$A:$A,0))/INDEX('2025_26'!$G:$G,MATCH($A38,'2025_26'!$A:$A,0))*90,"")</f>
        <v>2.7707006369426752</v>
      </c>
      <c r="AB38">
        <f>IFERROR(SUMPRODUCT(S38:U38,{0.2,0.3,0.5})/SUMPRODUCT(--(S38:U38&lt;&gt;""),{0.2,0.3,0.5}),"")</f>
        <v>2.2728205816898168E-2</v>
      </c>
      <c r="AC38">
        <f>IFERROR(SUMPRODUCT(V38:X38,{0.2,0.3,0.5})/SUMPRODUCT(--(V38:X38&lt;&gt;""),{0.2,0.3,0.5}),"")</f>
        <v>1.4101786194404158E-2</v>
      </c>
      <c r="AD38">
        <f>IFERROR(SUMPRODUCT(Y38:AA38,{0.2,0.3,0.5})/SUMPRODUCT((Y38:AA38&lt;&gt;"")*{0.2,0.3,0.5}),O38)</f>
        <v>3.2746326275638222</v>
      </c>
      <c r="AE38">
        <f t="shared" si="22"/>
        <v>3</v>
      </c>
      <c r="AF38">
        <f t="shared" si="26"/>
        <v>90</v>
      </c>
      <c r="AG38">
        <f t="shared" si="2"/>
        <v>2.2728205816898162E-3</v>
      </c>
      <c r="AH38">
        <f t="shared" si="3"/>
        <v>4.9410178619440415E-2</v>
      </c>
      <c r="AI38" s="2">
        <f t="shared" si="4"/>
        <v>2.1274632627563821</v>
      </c>
      <c r="AJ38">
        <f t="shared" si="5"/>
        <v>0.9</v>
      </c>
      <c r="AK38" t="str">
        <f t="shared" si="6"/>
        <v>NO</v>
      </c>
      <c r="AL38">
        <f t="shared" si="23"/>
        <v>2.2728205816898162E-3</v>
      </c>
      <c r="AM38">
        <f t="shared" si="7"/>
        <v>4.9410178619440415E-2</v>
      </c>
      <c r="AN38">
        <f t="shared" si="8"/>
        <v>2.2728205816898162E-3</v>
      </c>
      <c r="AO38">
        <f t="shared" si="9"/>
        <v>4.9410178619440415E-2</v>
      </c>
      <c r="AP38">
        <f t="array" ref="AP38">AL38*IF($C38="GKP",10,IF($C38="DEF",6,IF($C38="MID",5,4)))</f>
        <v>1.3636923490138897E-2</v>
      </c>
      <c r="AQ38">
        <f t="shared" si="10"/>
        <v>0.14823053585832124</v>
      </c>
      <c r="AR38">
        <f t="shared" si="11"/>
        <v>2</v>
      </c>
      <c r="AS38" s="2">
        <f>IF($H38=0,0,Player_Analysis!$AM38*$H38/90)</f>
        <v>1.3333333333333333</v>
      </c>
      <c r="AT38">
        <f t="shared" si="12"/>
        <v>0.93333333333333335</v>
      </c>
      <c r="AU38" s="2">
        <f>0</f>
        <v>0</v>
      </c>
      <c r="AV38" s="2">
        <f>IF(INDEX(FPL_Raw_Data!K:K,MATCH(A38,FPL_Raw_Data!AA:AA,0))=0,"",INDEX(FPL_Raw_Data!P:P,MATCH(A38,FPL_Raw_Data!AA:AA,0))/INDEX(FPL_Raw_Data!K:K,MATCH(A38,FPL_Raw_Data!AA:AA,0))*90)</f>
        <v>0</v>
      </c>
      <c r="AW38" s="2">
        <f t="shared" si="13"/>
        <v>0</v>
      </c>
      <c r="AX38" s="2">
        <f>IFERROR(INDEX(TEAM_ANALYSIS!$H$2:$H$21,MATCH($B38,TEAM_ANALYSIS!$A$2:$A$21,0)),0)</f>
        <v>1.6666666666666667</v>
      </c>
      <c r="AY38" s="2">
        <f t="shared" si="14"/>
        <v>-0.83333333333333337</v>
      </c>
      <c r="AZ38" s="2">
        <f t="shared" si="15"/>
        <v>3.5952007926817937</v>
      </c>
      <c r="BA38">
        <f t="shared" si="16"/>
        <v>0.7989335094848431</v>
      </c>
      <c r="BB38">
        <f>IFERROR(Player_Analysis!$Y38,1)</f>
        <v>1.0288823959094229</v>
      </c>
      <c r="BC38">
        <f t="shared" si="17"/>
        <v>3.6990388053499004</v>
      </c>
      <c r="BD38">
        <f t="shared" si="24"/>
        <v>2.9552860544788171</v>
      </c>
      <c r="BE38">
        <f t="shared" si="25"/>
        <v>3.6990388053499004</v>
      </c>
      <c r="BF38">
        <f t="shared" si="18"/>
        <v>173</v>
      </c>
      <c r="BG38">
        <f>IF($BE38="","",COUNTIFS($C$2:$C$596,$C38,$BE$2:$BE$596,"&gt;"&amp;$BE38)+COUNTIFS($C$2:$C38,$C38,$BE$2:$BE38,$BE38))</f>
        <v>56</v>
      </c>
    </row>
    <row r="39" spans="1:59" x14ac:dyDescent="0.25">
      <c r="A39" t="str">
        <f>Player_Analysis!A39</f>
        <v>Andrés García</v>
      </c>
      <c r="B39">
        <f>Player_Analysis!C39</f>
        <v>2</v>
      </c>
      <c r="C39" t="str">
        <f>Player_Analysis!B39</f>
        <v>DEF</v>
      </c>
      <c r="D39" s="13">
        <f>Player_Analysis!E39</f>
        <v>4</v>
      </c>
      <c r="E39">
        <f>Player_Analysis!I39</f>
        <v>0</v>
      </c>
      <c r="F39" s="8">
        <f>Player_Analysis!Z39</f>
        <v>0</v>
      </c>
      <c r="G39" s="17">
        <f t="shared" si="19"/>
        <v>0</v>
      </c>
      <c r="H39">
        <f t="shared" si="0"/>
        <v>0</v>
      </c>
      <c r="I39" s="8">
        <f>Player_Analysis!AF39</f>
        <v>0</v>
      </c>
      <c r="J39" s="8">
        <f>Player_Analysis!AG39</f>
        <v>0</v>
      </c>
      <c r="K39">
        <f>Player_Analysis!O39</f>
        <v>0</v>
      </c>
      <c r="L39">
        <f>Player_Analysis!P39</f>
        <v>0</v>
      </c>
      <c r="M39" t="str">
        <f t="shared" si="20"/>
        <v/>
      </c>
      <c r="N39" t="str">
        <f t="shared" si="21"/>
        <v/>
      </c>
      <c r="O39" s="2" t="str">
        <f>IF(E39=0,"",Player_Analysis!L39/E39*90)</f>
        <v/>
      </c>
      <c r="P39" t="str">
        <f>IF(E39=0,"",Player_Analysis!Q39/E39*90)</f>
        <v/>
      </c>
      <c r="Q39" t="str">
        <f>IF(E39=0,"",(Player_Analysis!AD39/E39)*90)</f>
        <v/>
      </c>
      <c r="R39" t="str">
        <f>IF(E39=0,"",Player_Analysis!AA39/E39*90)</f>
        <v/>
      </c>
      <c r="S39" t="str">
        <f t="array" ref="S39">IFERROR(INDEX('2023_24'!$O:$O,MATCH($A39,'2023_24'!$A:$A,0)),"")</f>
        <v/>
      </c>
      <c r="T39">
        <f>IFERROR(INDEX('2024_25'!$P:$P,MATCH($A39,'2024_25'!$A:$A,0)),"")</f>
        <v>1.1392405063291139E-2</v>
      </c>
      <c r="U39">
        <f>IFERROR(INDEX('2025_26'!$P:$P,MATCH($A39,'2025_26'!$A:$A,0)),"")</f>
        <v>0</v>
      </c>
      <c r="V39" t="str">
        <f>IFERROR(INDEX('2023_24'!$P:$P,MATCH($A39,'2023_24'!$A:$A,0)),"")</f>
        <v/>
      </c>
      <c r="W39">
        <f>IFERROR(INDEX('2024_25'!$Q:$Q,MATCH($A39,'2024_25'!$A:$A,0)),"")</f>
        <v>0.13955696202531645</v>
      </c>
      <c r="X39">
        <f>IFERROR(INDEX('2025_26'!$Q:$Q,MATCH($A39,'2025_26'!$A:$A,0)),"")</f>
        <v>1.0843373493975903E-2</v>
      </c>
      <c r="Y39" t="str">
        <f>IFERROR(INDEX('2023_24'!$M:$M,MATCH($A39,'2023_24'!$A:$A,0))/INDEX('2023_24'!$G:$G,MATCH($A39,'2023_24'!$A:$A,0))*90,"")</f>
        <v/>
      </c>
      <c r="Z39">
        <f>IFERROR(INDEX('2024_25'!$M:$M,MATCH($A39,'2024_25'!$A:$A,0))/INDEX('2024_25'!$G:$G,MATCH($A39,'2024_25'!$A:$A,0))*90,"")</f>
        <v>2.278481012658228</v>
      </c>
      <c r="AA39">
        <f>IFERROR(INDEX('2025_26'!$M:$M,MATCH($A39,'2025_26'!$A:$A,0))/INDEX('2025_26'!$G:$G,MATCH($A39,'2025_26'!$A:$A,0))*90,"")</f>
        <v>5.4216867469879517</v>
      </c>
      <c r="AB39">
        <f>IFERROR(SUMPRODUCT(S39:U39,{0.2,0.3,0.5})/SUMPRODUCT(--(S39:U39&lt;&gt;""),{0.2,0.3,0.5}),"")</f>
        <v>4.2721518987341766E-3</v>
      </c>
      <c r="AC39">
        <f>IFERROR(SUMPRODUCT(V39:X39,{0.2,0.3,0.5})/SUMPRODUCT(--(V39:X39&lt;&gt;""),{0.2,0.3,0.5}),"")</f>
        <v>5.9110969193228606E-2</v>
      </c>
      <c r="AD39">
        <f>IFERROR(SUMPRODUCT(Y39:AA39,{0.2,0.3,0.5})/SUMPRODUCT((Y39:AA39&lt;&gt;"")*{0.2,0.3,0.5}),O39)</f>
        <v>4.2429845966143054</v>
      </c>
      <c r="AE39">
        <f t="shared" si="22"/>
        <v>2</v>
      </c>
      <c r="AF39" t="str">
        <f t="shared" si="26"/>
        <v/>
      </c>
      <c r="AG39">
        <f t="shared" si="2"/>
        <v>4.2721518987341766E-3</v>
      </c>
      <c r="AH39">
        <f t="shared" si="3"/>
        <v>5.9110969193228606E-2</v>
      </c>
      <c r="AI39" s="2">
        <f t="shared" si="4"/>
        <v>4.2429845966143054</v>
      </c>
      <c r="AJ39">
        <f t="shared" si="5"/>
        <v>0</v>
      </c>
      <c r="AK39" t="str">
        <f t="shared" si="6"/>
        <v>NO</v>
      </c>
      <c r="AL39">
        <f t="shared" si="23"/>
        <v>0</v>
      </c>
      <c r="AM39">
        <f t="shared" si="7"/>
        <v>0</v>
      </c>
      <c r="AN39">
        <f t="shared" si="8"/>
        <v>0</v>
      </c>
      <c r="AO39">
        <f t="shared" si="9"/>
        <v>0</v>
      </c>
      <c r="AP39">
        <f t="array" ref="AP39">AL39*IF($C39="GKP",10,IF($C39="DEF",6,IF($C39="MID",5,4)))</f>
        <v>0</v>
      </c>
      <c r="AQ39">
        <f t="shared" si="10"/>
        <v>0</v>
      </c>
      <c r="AR39">
        <f t="shared" si="11"/>
        <v>0</v>
      </c>
      <c r="AS39" s="2">
        <f>IF($H39=0,0,Player_Analysis!$AM39*$H39/90)</f>
        <v>0</v>
      </c>
      <c r="AT39">
        <f t="shared" si="12"/>
        <v>0</v>
      </c>
      <c r="AU39" s="2">
        <f>0</f>
        <v>0</v>
      </c>
      <c r="AV39" s="2" t="str">
        <f>IF(INDEX(FPL_Raw_Data!K:K,MATCH(A39,FPL_Raw_Data!AA:AA,0))=0,"",INDEX(FPL_Raw_Data!P:P,MATCH(A39,FPL_Raw_Data!AA:AA,0))/INDEX(FPL_Raw_Data!K:K,MATCH(A39,FPL_Raw_Data!AA:AA,0))*90)</f>
        <v/>
      </c>
      <c r="AW39" s="2">
        <f t="shared" si="13"/>
        <v>0</v>
      </c>
      <c r="AX39" s="2">
        <f>IFERROR(INDEX(TEAM_ANALYSIS!$H$2:$H$21,MATCH($B39,TEAM_ANALYSIS!$A$2:$A$21,0)),0)</f>
        <v>1.6666666666666667</v>
      </c>
      <c r="AY39" s="2">
        <f t="shared" si="14"/>
        <v>-0.83333333333333337</v>
      </c>
      <c r="AZ39" s="2">
        <f t="shared" si="15"/>
        <v>-0.83333333333333337</v>
      </c>
      <c r="BA39">
        <f t="shared" si="16"/>
        <v>-0.20833333333333334</v>
      </c>
      <c r="BB39">
        <f>IFERROR(Player_Analysis!$Y39,1)</f>
        <v>1.0288823959094229</v>
      </c>
      <c r="BC39">
        <f t="shared" si="17"/>
        <v>-0.85740199659118577</v>
      </c>
      <c r="BD39">
        <f t="shared" si="24"/>
        <v>0.17862541595649703</v>
      </c>
      <c r="BE39">
        <f t="shared" si="25"/>
        <v>-0.85740199659118577</v>
      </c>
      <c r="BF39">
        <f t="shared" si="18"/>
        <v>566</v>
      </c>
      <c r="BG39">
        <f>IF($BE39="","",COUNTIFS($C$2:$C$596,$C39,$BE$2:$BE$596,"&gt;"&amp;$BE39)+COUNTIFS($C$2:$C39,$C39,$BE$2:$BE39,$BE39))</f>
        <v>164</v>
      </c>
    </row>
    <row r="40" spans="1:59" x14ac:dyDescent="0.25">
      <c r="A40" t="str">
        <f>Player_Analysis!A40</f>
        <v>Kosta Nedeljkovic</v>
      </c>
      <c r="B40">
        <f>Player_Analysis!C40</f>
        <v>2</v>
      </c>
      <c r="C40" t="str">
        <f>Player_Analysis!B40</f>
        <v>DEF</v>
      </c>
      <c r="D40" s="13">
        <f>Player_Analysis!E40</f>
        <v>4</v>
      </c>
      <c r="E40">
        <f>Player_Analysis!I40</f>
        <v>0</v>
      </c>
      <c r="F40" s="8">
        <f>Player_Analysis!Z40</f>
        <v>0</v>
      </c>
      <c r="G40" s="17">
        <f t="shared" si="19"/>
        <v>0</v>
      </c>
      <c r="H40">
        <f t="shared" si="0"/>
        <v>0</v>
      </c>
      <c r="I40" s="8">
        <f>Player_Analysis!AF40</f>
        <v>0</v>
      </c>
      <c r="J40" s="8">
        <f>Player_Analysis!AG40</f>
        <v>0</v>
      </c>
      <c r="K40">
        <f>Player_Analysis!O40</f>
        <v>0</v>
      </c>
      <c r="L40">
        <f>Player_Analysis!P40</f>
        <v>0</v>
      </c>
      <c r="M40" t="str">
        <f t="shared" si="20"/>
        <v/>
      </c>
      <c r="N40" t="str">
        <f t="shared" si="21"/>
        <v/>
      </c>
      <c r="O40" s="2" t="str">
        <f>IF(E40=0,"",Player_Analysis!L40/E40*90)</f>
        <v/>
      </c>
      <c r="P40" t="str">
        <f>IF(E40=0,"",Player_Analysis!Q40/E40*90)</f>
        <v/>
      </c>
      <c r="Q40" t="str">
        <f>IF(E40=0,"",(Player_Analysis!AD40/E40)*90)</f>
        <v/>
      </c>
      <c r="R40" t="str">
        <f>IF(E40=0,"",Player_Analysis!AA40/E40*90)</f>
        <v/>
      </c>
      <c r="S40" t="str">
        <f t="array" ref="S40">IFERROR(INDEX('2023_24'!$O:$O,MATCH($A40,'2023_24'!$A:$A,0)),"")</f>
        <v/>
      </c>
      <c r="T40" t="str">
        <f>IFERROR(INDEX('2024_25'!$P:$P,MATCH($A40,'2024_25'!$A:$A,0)),"")</f>
        <v/>
      </c>
      <c r="U40" t="str">
        <f>IFERROR(INDEX('2025_26'!$P:$P,MATCH($A40,'2025_26'!$A:$A,0)),"")</f>
        <v/>
      </c>
      <c r="V40" t="str">
        <f>IFERROR(INDEX('2023_24'!$P:$P,MATCH($A40,'2023_24'!$A:$A,0)),"")</f>
        <v/>
      </c>
      <c r="W40" t="str">
        <f>IFERROR(INDEX('2024_25'!$Q:$Q,MATCH($A40,'2024_25'!$A:$A,0)),"")</f>
        <v/>
      </c>
      <c r="X40" t="str">
        <f>IFERROR(INDEX('2025_26'!$Q:$Q,MATCH($A40,'2025_26'!$A:$A,0)),"")</f>
        <v/>
      </c>
      <c r="Y40" t="str">
        <f>IFERROR(INDEX('2023_24'!$M:$M,MATCH($A40,'2023_24'!$A:$A,0))/INDEX('2023_24'!$G:$G,MATCH($A40,'2023_24'!$A:$A,0))*90,"")</f>
        <v/>
      </c>
      <c r="Z40" t="str">
        <f>IFERROR(INDEX('2024_25'!$M:$M,MATCH($A40,'2024_25'!$A:$A,0))/INDEX('2024_25'!$G:$G,MATCH($A40,'2024_25'!$A:$A,0))*90,"")</f>
        <v/>
      </c>
      <c r="AA40" t="str">
        <f>IFERROR(INDEX('2025_26'!$M:$M,MATCH($A40,'2025_26'!$A:$A,0))/INDEX('2025_26'!$G:$G,MATCH($A40,'2025_26'!$A:$A,0))*90,"")</f>
        <v/>
      </c>
      <c r="AB40" t="str">
        <f>IFERROR(SUMPRODUCT(S40:U40,{0.2,0.3,0.5})/SUMPRODUCT(--(S40:U40&lt;&gt;""),{0.2,0.3,0.5}),"")</f>
        <v/>
      </c>
      <c r="AC40" t="str">
        <f>IFERROR(SUMPRODUCT(V40:X40,{0.2,0.3,0.5})/SUMPRODUCT(--(V40:X40&lt;&gt;""),{0.2,0.3,0.5}),"")</f>
        <v/>
      </c>
      <c r="AD40" t="str">
        <f>IFERROR(SUMPRODUCT(Y40:AA40,{0.2,0.3,0.5})/SUMPRODUCT((Y40:AA40&lt;&gt;"")*{0.2,0.3,0.5}),O40)</f>
        <v/>
      </c>
      <c r="AE40">
        <f t="shared" si="22"/>
        <v>0</v>
      </c>
      <c r="AF40" t="str">
        <f t="shared" si="26"/>
        <v/>
      </c>
      <c r="AG40">
        <f t="shared" si="2"/>
        <v>0</v>
      </c>
      <c r="AH40">
        <f t="shared" si="3"/>
        <v>0</v>
      </c>
      <c r="AI40" s="2">
        <f t="shared" si="4"/>
        <v>0</v>
      </c>
      <c r="AJ40">
        <f t="shared" si="5"/>
        <v>0</v>
      </c>
      <c r="AK40" t="str">
        <f t="shared" si="6"/>
        <v>YES</v>
      </c>
      <c r="AL40">
        <f t="shared" si="23"/>
        <v>0</v>
      </c>
      <c r="AM40">
        <f t="shared" si="7"/>
        <v>0</v>
      </c>
      <c r="AN40">
        <f t="shared" si="8"/>
        <v>0</v>
      </c>
      <c r="AO40">
        <f t="shared" si="9"/>
        <v>0</v>
      </c>
      <c r="AP40">
        <f t="array" ref="AP40">AL40*IF($C40="GKP",10,IF($C40="DEF",6,IF($C40="MID",5,4)))</f>
        <v>0</v>
      </c>
      <c r="AQ40">
        <f t="shared" si="10"/>
        <v>0</v>
      </c>
      <c r="AR40">
        <f t="shared" si="11"/>
        <v>0</v>
      </c>
      <c r="AS40" s="2">
        <f>IF($H40=0,0,Player_Analysis!$AM40*$H40/90)</f>
        <v>0</v>
      </c>
      <c r="AT40">
        <f t="shared" si="12"/>
        <v>0</v>
      </c>
      <c r="AU40" s="2">
        <f>0</f>
        <v>0</v>
      </c>
      <c r="AV40" s="2" t="str">
        <f>IF(INDEX(FPL_Raw_Data!K:K,MATCH(A40,FPL_Raw_Data!AA:AA,0))=0,"",INDEX(FPL_Raw_Data!P:P,MATCH(A40,FPL_Raw_Data!AA:AA,0))/INDEX(FPL_Raw_Data!K:K,MATCH(A40,FPL_Raw_Data!AA:AA,0))*90)</f>
        <v/>
      </c>
      <c r="AW40" s="2">
        <f t="shared" si="13"/>
        <v>0</v>
      </c>
      <c r="AX40" s="2">
        <f>IFERROR(INDEX(TEAM_ANALYSIS!$H$2:$H$21,MATCH($B40,TEAM_ANALYSIS!$A$2:$A$21,0)),0)</f>
        <v>1.6666666666666667</v>
      </c>
      <c r="AY40" s="2">
        <f t="shared" si="14"/>
        <v>-0.83333333333333337</v>
      </c>
      <c r="AZ40" s="2">
        <f t="shared" si="15"/>
        <v>-0.83333333333333337</v>
      </c>
      <c r="BA40">
        <f t="shared" si="16"/>
        <v>-0.20833333333333334</v>
      </c>
      <c r="BB40">
        <f>IFERROR(Player_Analysis!$Y40,1)</f>
        <v>1.0288823959094229</v>
      </c>
      <c r="BC40">
        <f t="shared" si="17"/>
        <v>-0.85740199659118577</v>
      </c>
      <c r="BD40">
        <f t="shared" si="24"/>
        <v>0.17862541595649703</v>
      </c>
      <c r="BE40">
        <f t="shared" si="25"/>
        <v>-0.85740199659118577</v>
      </c>
      <c r="BF40">
        <f t="shared" si="18"/>
        <v>566</v>
      </c>
      <c r="BG40">
        <f>IF($BE40="","",COUNTIFS($C$2:$C$596,$C40,$BE$2:$BE$596,"&gt;"&amp;$BE40)+COUNTIFS($C$2:$C40,$C40,$BE$2:$BE40,$BE40))</f>
        <v>165</v>
      </c>
    </row>
    <row r="41" spans="1:59" x14ac:dyDescent="0.25">
      <c r="A41" t="str">
        <f>Player_Analysis!A41</f>
        <v>Emiliano Buendía Stati</v>
      </c>
      <c r="B41">
        <f>Player_Analysis!C41</f>
        <v>2</v>
      </c>
      <c r="C41" t="str">
        <f>Player_Analysis!B41</f>
        <v>MID</v>
      </c>
      <c r="D41" s="13">
        <f>Player_Analysis!E41</f>
        <v>6</v>
      </c>
      <c r="E41">
        <f>Player_Analysis!I41</f>
        <v>249</v>
      </c>
      <c r="F41" s="8">
        <f>Player_Analysis!Z41</f>
        <v>3</v>
      </c>
      <c r="G41" s="17">
        <f t="shared" si="19"/>
        <v>1</v>
      </c>
      <c r="H41">
        <f t="shared" si="0"/>
        <v>90</v>
      </c>
      <c r="I41" s="8">
        <f>Player_Analysis!AF41</f>
        <v>0</v>
      </c>
      <c r="J41" s="8">
        <f>Player_Analysis!AG41</f>
        <v>0</v>
      </c>
      <c r="K41">
        <f>Player_Analysis!O41</f>
        <v>0.78</v>
      </c>
      <c r="L41">
        <f>Player_Analysis!P41</f>
        <v>0.16</v>
      </c>
      <c r="M41">
        <f t="shared" si="20"/>
        <v>0.28192771084337354</v>
      </c>
      <c r="N41">
        <f t="shared" si="21"/>
        <v>5.7831325301204821E-2</v>
      </c>
      <c r="O41" s="2">
        <f>IF(E41=0,"",Player_Analysis!L41/E41*90)</f>
        <v>2.5301204819277108</v>
      </c>
      <c r="P41">
        <f>IF(E41=0,"",Player_Analysis!Q41/E41*90)</f>
        <v>0.33975903614457831</v>
      </c>
      <c r="Q41">
        <f>IF(E41=0,"",(Player_Analysis!AD41/E41)*90)</f>
        <v>5.4216867469879517</v>
      </c>
      <c r="R41">
        <f>IF(E41=0,"",Player_Analysis!AA41/E41*90)</f>
        <v>5.0602409638554215</v>
      </c>
      <c r="S41">
        <f t="array" ref="S41">IFERROR(INDEX('2023_24'!$O:$O,MATCH($A41,'2023_24'!$A:$A,0)),"")</f>
        <v>0</v>
      </c>
      <c r="T41">
        <f>IFERROR(INDEX('2024_25'!$P:$P,MATCH($A41,'2024_25'!$A:$A,0)),"")</f>
        <v>0.65730337078651691</v>
      </c>
      <c r="U41">
        <f>IFERROR(INDEX('2025_26'!$P:$P,MATCH($A41,'2025_26'!$A:$A,0)),"")</f>
        <v>0.173531089560753</v>
      </c>
      <c r="V41">
        <f>IFERROR(INDEX('2023_24'!$P:$P,MATCH($A41,'2023_24'!$A:$A,0)),"")</f>
        <v>0</v>
      </c>
      <c r="W41">
        <f>IFERROR(INDEX('2024_25'!$Q:$Q,MATCH($A41,'2024_25'!$A:$A,0)),"")</f>
        <v>3.0337078651685393E-2</v>
      </c>
      <c r="X41">
        <f>IFERROR(INDEX('2025_26'!$Q:$Q,MATCH($A41,'2025_26'!$A:$A,0)),"")</f>
        <v>0.11448944666286366</v>
      </c>
      <c r="Y41" t="str">
        <f>IFERROR(INDEX('2023_24'!$M:$M,MATCH($A41,'2023_24'!$A:$A,0))/INDEX('2023_24'!$G:$G,MATCH($A41,'2023_24'!$A:$A,0))*90,"")</f>
        <v/>
      </c>
      <c r="Z41">
        <f>IFERROR(INDEX('2024_25'!$M:$M,MATCH($A41,'2024_25'!$A:$A,0))/INDEX('2024_25'!$G:$G,MATCH($A41,'2024_25'!$A:$A,0))*90,"")</f>
        <v>11.123595505617978</v>
      </c>
      <c r="AA41">
        <f>IFERROR(INDEX('2025_26'!$M:$M,MATCH($A41,'2025_26'!$A:$A,0))/INDEX('2025_26'!$G:$G,MATCH($A41,'2025_26'!$A:$A,0))*90,"")</f>
        <v>5.2367370222475751</v>
      </c>
      <c r="AB41">
        <f>IFERROR(SUMPRODUCT(S41:U41,{0.2,0.3,0.5})/SUMPRODUCT(--(S41:U41&lt;&gt;""),{0.2,0.3,0.5}),"")</f>
        <v>0.28395655601633157</v>
      </c>
      <c r="AC41">
        <f>IFERROR(SUMPRODUCT(V41:X41,{0.2,0.3,0.5})/SUMPRODUCT(--(V41:X41&lt;&gt;""),{0.2,0.3,0.5}),"")</f>
        <v>6.6345846926937443E-2</v>
      </c>
      <c r="AD41">
        <f>IFERROR(SUMPRODUCT(Y41:AA41,{0.2,0.3,0.5})/SUMPRODUCT((Y41:AA41&lt;&gt;"")*{0.2,0.3,0.5}),O41)</f>
        <v>7.4443089535114755</v>
      </c>
      <c r="AE41">
        <f t="shared" si="22"/>
        <v>3</v>
      </c>
      <c r="AF41">
        <f t="shared" si="26"/>
        <v>83</v>
      </c>
      <c r="AG41">
        <f t="shared" si="2"/>
        <v>0.28227261452277641</v>
      </c>
      <c r="AH41">
        <f t="shared" si="3"/>
        <v>5.9278793977579368E-2</v>
      </c>
      <c r="AI41" s="2">
        <f t="shared" si="4"/>
        <v>3.3655325220969505</v>
      </c>
      <c r="AJ41">
        <f t="shared" si="5"/>
        <v>0.83</v>
      </c>
      <c r="AK41" t="str">
        <f t="shared" si="6"/>
        <v>NO</v>
      </c>
      <c r="AL41">
        <f t="shared" si="23"/>
        <v>0.28227261452277641</v>
      </c>
      <c r="AM41">
        <f t="shared" si="7"/>
        <v>5.9278793977579368E-2</v>
      </c>
      <c r="AN41">
        <f t="shared" si="8"/>
        <v>0.28227261452277641</v>
      </c>
      <c r="AO41">
        <f t="shared" si="9"/>
        <v>5.9278793977579368E-2</v>
      </c>
      <c r="AP41">
        <f t="array" ref="AP41">AL41*IF($C41="GKP",10,IF($C41="DEF",6,IF($C41="MID",5,4)))</f>
        <v>1.4113630726138822</v>
      </c>
      <c r="AQ41">
        <f t="shared" si="10"/>
        <v>0.1778363819327381</v>
      </c>
      <c r="AR41">
        <f t="shared" si="11"/>
        <v>2</v>
      </c>
      <c r="AS41" s="2">
        <f>IF($H41=0,0,Player_Analysis!$AM41*$H41/90)</f>
        <v>0.33333333333333331</v>
      </c>
      <c r="AT41">
        <f t="shared" si="12"/>
        <v>0.84337349397590355</v>
      </c>
      <c r="AU41" s="2">
        <f>0</f>
        <v>0</v>
      </c>
      <c r="AV41" s="2">
        <f>IF(INDEX(FPL_Raw_Data!K:K,MATCH(A41,FPL_Raw_Data!AA:AA,0))=0,"",INDEX(FPL_Raw_Data!P:P,MATCH(A41,FPL_Raw_Data!AA:AA,0))/INDEX(FPL_Raw_Data!K:K,MATCH(A41,FPL_Raw_Data!AA:AA,0))*90)</f>
        <v>0</v>
      </c>
      <c r="AW41" s="2">
        <f t="shared" si="13"/>
        <v>0</v>
      </c>
      <c r="AX41" s="2">
        <f>IFERROR(INDEX(TEAM_ANALYSIS!$H$2:$H$21,MATCH($B41,TEAM_ANALYSIS!$A$2:$A$21,0)),0)</f>
        <v>1.6666666666666667</v>
      </c>
      <c r="AY41" s="2">
        <f t="shared" si="14"/>
        <v>0</v>
      </c>
      <c r="AZ41" s="2">
        <f t="shared" si="15"/>
        <v>4.7659062818558571</v>
      </c>
      <c r="BA41">
        <f t="shared" si="16"/>
        <v>0.79431771364264281</v>
      </c>
      <c r="BB41">
        <f>IFERROR(Player_Analysis!$Y41,1)</f>
        <v>0.8</v>
      </c>
      <c r="BC41">
        <f t="shared" si="17"/>
        <v>3.8127250254846858</v>
      </c>
      <c r="BD41">
        <f t="shared" si="24"/>
        <v>3.0285150249910826</v>
      </c>
      <c r="BE41">
        <f t="shared" si="25"/>
        <v>3.8127250254846858</v>
      </c>
      <c r="BF41">
        <f t="shared" si="18"/>
        <v>170</v>
      </c>
      <c r="BG41">
        <f>IF($BE41="","",COUNTIFS($C$2:$C$596,$C41,$BE$2:$BE$596,"&gt;"&amp;$BE41)+COUNTIFS($C$2:$C41,$C41,$BE$2:$BE41,$BE41))</f>
        <v>87</v>
      </c>
    </row>
    <row r="42" spans="1:59" x14ac:dyDescent="0.25">
      <c r="A42" t="str">
        <f>Player_Analysis!A42</f>
        <v>Leon Bailey</v>
      </c>
      <c r="B42">
        <f>Player_Analysis!C42</f>
        <v>2</v>
      </c>
      <c r="C42" t="str">
        <f>Player_Analysis!B42</f>
        <v>MID</v>
      </c>
      <c r="D42" s="13">
        <f>Player_Analysis!E42</f>
        <v>5.4</v>
      </c>
      <c r="E42">
        <f>Player_Analysis!I42</f>
        <v>0</v>
      </c>
      <c r="F42" s="8">
        <f>Player_Analysis!Z42</f>
        <v>0</v>
      </c>
      <c r="G42" s="17">
        <f t="shared" si="19"/>
        <v>0</v>
      </c>
      <c r="H42">
        <f t="shared" si="0"/>
        <v>0</v>
      </c>
      <c r="I42" s="8">
        <f>Player_Analysis!AF42</f>
        <v>0</v>
      </c>
      <c r="J42" s="8">
        <f>Player_Analysis!AG42</f>
        <v>0</v>
      </c>
      <c r="K42">
        <f>Player_Analysis!O42</f>
        <v>0</v>
      </c>
      <c r="L42">
        <f>Player_Analysis!P42</f>
        <v>0</v>
      </c>
      <c r="M42" t="str">
        <f t="shared" si="20"/>
        <v/>
      </c>
      <c r="N42" t="str">
        <f t="shared" si="21"/>
        <v/>
      </c>
      <c r="O42" s="2" t="str">
        <f>IF(E42=0,"",Player_Analysis!L42/E42*90)</f>
        <v/>
      </c>
      <c r="P42" t="str">
        <f>IF(E42=0,"",Player_Analysis!Q42/E42*90)</f>
        <v/>
      </c>
      <c r="Q42" t="str">
        <f>IF(E42=0,"",(Player_Analysis!AD42/E42)*90)</f>
        <v/>
      </c>
      <c r="R42" t="str">
        <f>IF(E42=0,"",Player_Analysis!AA42/E42*90)</f>
        <v/>
      </c>
      <c r="S42">
        <f t="array" ref="S42">IFERROR(INDEX('2023_24'!$O:$O,MATCH($A42,'2023_24'!$A:$A,0)),"")</f>
        <v>0.27440620455647119</v>
      </c>
      <c r="T42">
        <f>IFERROR(INDEX('2024_25'!$P:$P,MATCH($A42,'2024_25'!$A:$A,0)),"")</f>
        <v>0.13754416961130742</v>
      </c>
      <c r="U42">
        <f>IFERROR(INDEX('2025_26'!$P:$P,MATCH($A42,'2025_26'!$A:$A,0)),"")</f>
        <v>0.1</v>
      </c>
      <c r="V42">
        <f>IFERROR(INDEX('2023_24'!$P:$P,MATCH($A42,'2023_24'!$A:$A,0)),"")</f>
        <v>0.31279689772176439</v>
      </c>
      <c r="W42">
        <f>IFERROR(INDEX('2024_25'!$Q:$Q,MATCH($A42,'2024_25'!$A:$A,0)),"")</f>
        <v>0.23215547703180212</v>
      </c>
      <c r="X42">
        <f>IFERROR(INDEX('2025_26'!$Q:$Q,MATCH($A42,'2025_26'!$A:$A,0)),"")</f>
        <v>0.29199999999999998</v>
      </c>
      <c r="Y42">
        <f>IFERROR(INDEX('2023_24'!$M:$M,MATCH($A42,'2023_24'!$A:$A,0))/INDEX('2023_24'!$G:$G,MATCH($A42,'2023_24'!$A:$A,0))*90,"")</f>
        <v>6.4566165777993216</v>
      </c>
      <c r="Z42">
        <f>IFERROR(INDEX('2024_25'!$M:$M,MATCH($A42,'2024_25'!$A:$A,0))/INDEX('2024_25'!$G:$G,MATCH($A42,'2024_25'!$A:$A,0))*90,"")</f>
        <v>3.7367491166077738</v>
      </c>
      <c r="AA42">
        <f>IFERROR(INDEX('2025_26'!$M:$M,MATCH($A42,'2025_26'!$A:$A,0))/INDEX('2025_26'!$G:$G,MATCH($A42,'2025_26'!$A:$A,0))*90,"")</f>
        <v>4.2</v>
      </c>
      <c r="AB42">
        <f>IFERROR(SUMPRODUCT(S42:U42,{0.2,0.3,0.5})/SUMPRODUCT(--(S42:U42&lt;&gt;""),{0.2,0.3,0.5}),"")</f>
        <v>0.14614449179468647</v>
      </c>
      <c r="AC42">
        <f>IFERROR(SUMPRODUCT(V42:X42,{0.2,0.3,0.5})/SUMPRODUCT(--(V42:X42&lt;&gt;""),{0.2,0.3,0.5}),"")</f>
        <v>0.27820602265389349</v>
      </c>
      <c r="AD42">
        <f>IFERROR(SUMPRODUCT(Y42:AA42,{0.2,0.3,0.5})/SUMPRODUCT((Y42:AA42&lt;&gt;"")*{0.2,0.3,0.5}),O42)</f>
        <v>4.5123480505421973</v>
      </c>
      <c r="AE42">
        <f t="shared" si="22"/>
        <v>3</v>
      </c>
      <c r="AF42" t="str">
        <f t="shared" si="26"/>
        <v/>
      </c>
      <c r="AG42">
        <f t="shared" si="2"/>
        <v>0.14614449179468647</v>
      </c>
      <c r="AH42">
        <f t="shared" si="3"/>
        <v>0.27820602265389349</v>
      </c>
      <c r="AI42" s="2">
        <f t="shared" si="4"/>
        <v>4.5123480505421973</v>
      </c>
      <c r="AJ42">
        <f t="shared" si="5"/>
        <v>0</v>
      </c>
      <c r="AK42" t="str">
        <f t="shared" si="6"/>
        <v>NO</v>
      </c>
      <c r="AL42">
        <f t="shared" si="23"/>
        <v>0</v>
      </c>
      <c r="AM42">
        <f t="shared" si="7"/>
        <v>0</v>
      </c>
      <c r="AN42">
        <f t="shared" si="8"/>
        <v>0</v>
      </c>
      <c r="AO42">
        <f t="shared" si="9"/>
        <v>0</v>
      </c>
      <c r="AP42">
        <f t="array" ref="AP42">AL42*IF($C42="GKP",10,IF($C42="DEF",6,IF($C42="MID",5,4)))</f>
        <v>0</v>
      </c>
      <c r="AQ42">
        <f t="shared" si="10"/>
        <v>0</v>
      </c>
      <c r="AR42">
        <f t="shared" si="11"/>
        <v>0</v>
      </c>
      <c r="AS42" s="2">
        <f>IF($H42=0,0,Player_Analysis!$AM42*$H42/90)</f>
        <v>0</v>
      </c>
      <c r="AT42">
        <f t="shared" si="12"/>
        <v>0</v>
      </c>
      <c r="AU42" s="2">
        <f>0</f>
        <v>0</v>
      </c>
      <c r="AV42" s="2" t="str">
        <f>IF(INDEX(FPL_Raw_Data!K:K,MATCH(A42,FPL_Raw_Data!AA:AA,0))=0,"",INDEX(FPL_Raw_Data!P:P,MATCH(A42,FPL_Raw_Data!AA:AA,0))/INDEX(FPL_Raw_Data!K:K,MATCH(A42,FPL_Raw_Data!AA:AA,0))*90)</f>
        <v/>
      </c>
      <c r="AW42" s="2">
        <f t="shared" si="13"/>
        <v>0</v>
      </c>
      <c r="AX42" s="2">
        <f>IFERROR(INDEX(TEAM_ANALYSIS!$H$2:$H$21,MATCH($B42,TEAM_ANALYSIS!$A$2:$A$21,0)),0)</f>
        <v>1.6666666666666667</v>
      </c>
      <c r="AY42" s="2">
        <f t="shared" si="14"/>
        <v>0</v>
      </c>
      <c r="AZ42" s="2">
        <f t="shared" si="15"/>
        <v>0</v>
      </c>
      <c r="BA42">
        <f t="shared" si="16"/>
        <v>0</v>
      </c>
      <c r="BB42">
        <f>IFERROR(Player_Analysis!$Y42,1)</f>
        <v>0.8</v>
      </c>
      <c r="BC42">
        <f t="shared" si="17"/>
        <v>0</v>
      </c>
      <c r="BD42">
        <f t="shared" si="24"/>
        <v>0</v>
      </c>
      <c r="BE42">
        <f t="shared" si="25"/>
        <v>0</v>
      </c>
      <c r="BF42">
        <f t="shared" si="18"/>
        <v>253</v>
      </c>
      <c r="BG42">
        <f>IF($BE42="","",COUNTIFS($C$2:$C$596,$C42,$BE$2:$BE$596,"&gt;"&amp;$BE42)+COUNTIFS($C$2:$C42,$C42,$BE$2:$BE42,$BE42))</f>
        <v>122</v>
      </c>
    </row>
    <row r="43" spans="1:59" x14ac:dyDescent="0.25">
      <c r="A43" t="str">
        <f>Player_Analysis!A43</f>
        <v>John McGinn</v>
      </c>
      <c r="B43">
        <f>Player_Analysis!C43</f>
        <v>2</v>
      </c>
      <c r="C43" t="str">
        <f>Player_Analysis!B43</f>
        <v>MID</v>
      </c>
      <c r="D43" s="13">
        <f>Player_Analysis!E43</f>
        <v>5.4</v>
      </c>
      <c r="E43">
        <f>Player_Analysis!I43</f>
        <v>261</v>
      </c>
      <c r="F43" s="8">
        <f>Player_Analysis!Z43</f>
        <v>3</v>
      </c>
      <c r="G43" s="17">
        <f t="shared" si="19"/>
        <v>1</v>
      </c>
      <c r="H43">
        <f t="shared" si="0"/>
        <v>90</v>
      </c>
      <c r="I43" s="8">
        <f>Player_Analysis!AF43</f>
        <v>0</v>
      </c>
      <c r="J43" s="8">
        <f>Player_Analysis!AG43</f>
        <v>0</v>
      </c>
      <c r="K43">
        <f>Player_Analysis!O43</f>
        <v>0.77</v>
      </c>
      <c r="L43">
        <f>Player_Analysis!P43</f>
        <v>0.09</v>
      </c>
      <c r="M43">
        <f t="shared" si="20"/>
        <v>0.26551724137931032</v>
      </c>
      <c r="N43">
        <f t="shared" si="21"/>
        <v>3.1034482758620686E-2</v>
      </c>
      <c r="O43" s="2">
        <f>IF(E43=0,"",Player_Analysis!L43/E43*90)</f>
        <v>1.7241379310344827</v>
      </c>
      <c r="P43">
        <f>IF(E43=0,"",Player_Analysis!Q43/E43*90)</f>
        <v>0.29655172413793102</v>
      </c>
      <c r="Q43">
        <f>IF(E43=0,"",(Player_Analysis!AD43/E43)*90)</f>
        <v>5.5172413793103443</v>
      </c>
      <c r="R43">
        <f>IF(E43=0,"",Player_Analysis!AA43/E43*90)</f>
        <v>5.1724137931034484</v>
      </c>
      <c r="S43">
        <f t="array" ref="S43">IFERROR(INDEX('2023_24'!$O:$O,MATCH($A43,'2023_24'!$A:$A,0)),"")</f>
        <v>0.15029999999999999</v>
      </c>
      <c r="T43">
        <f>IFERROR(INDEX('2024_25'!$P:$P,MATCH($A43,'2024_25'!$A:$A,0)),"")</f>
        <v>0.12584573748308525</v>
      </c>
      <c r="U43">
        <f>IFERROR(INDEX('2025_26'!$P:$P,MATCH($A43,'2025_26'!$A:$A,0)),"")</f>
        <v>0.12640449438202248</v>
      </c>
      <c r="V43">
        <f>IFERROR(INDEX('2023_24'!$P:$P,MATCH($A43,'2023_24'!$A:$A,0)),"")</f>
        <v>0.14970000000000003</v>
      </c>
      <c r="W43">
        <f>IFERROR(INDEX('2024_25'!$Q:$Q,MATCH($A43,'2024_25'!$A:$A,0)),"")</f>
        <v>0.10960757780784845</v>
      </c>
      <c r="X43">
        <f>IFERROR(INDEX('2025_26'!$Q:$Q,MATCH($A43,'2025_26'!$A:$A,0)),"")</f>
        <v>0.1731741573033708</v>
      </c>
      <c r="Y43">
        <f>IFERROR(INDEX('2023_24'!$M:$M,MATCH($A43,'2023_24'!$A:$A,0))/INDEX('2023_24'!$G:$G,MATCH($A43,'2023_24'!$A:$A,0))*90,"")</f>
        <v>3.5700000000000003</v>
      </c>
      <c r="Z43">
        <f>IFERROR(INDEX('2024_25'!$M:$M,MATCH($A43,'2024_25'!$A:$A,0))/INDEX('2024_25'!$G:$G,MATCH($A43,'2024_25'!$A:$A,0))*90,"")</f>
        <v>3.1664411366711773</v>
      </c>
      <c r="AA43">
        <f>IFERROR(INDEX('2025_26'!$M:$M,MATCH($A43,'2025_26'!$A:$A,0))/INDEX('2025_26'!$G:$G,MATCH($A43,'2025_26'!$A:$A,0))*90,"")</f>
        <v>4.3398876404494384</v>
      </c>
      <c r="AB43">
        <f>IFERROR(SUMPRODUCT(S43:U43,{0.2,0.3,0.5})/SUMPRODUCT(--(S43:U43&lt;&gt;""),{0.2,0.3,0.5}),"")</f>
        <v>0.13101596843593682</v>
      </c>
      <c r="AC43">
        <f>IFERROR(SUMPRODUCT(V43:X43,{0.2,0.3,0.5})/SUMPRODUCT(--(V43:X43&lt;&gt;""),{0.2,0.3,0.5}),"")</f>
        <v>0.14940935199403993</v>
      </c>
      <c r="AD43">
        <f>IFERROR(SUMPRODUCT(Y43:AA43,{0.2,0.3,0.5})/SUMPRODUCT((Y43:AA43&lt;&gt;"")*{0.2,0.3,0.5}),O43)</f>
        <v>3.8338761612260726</v>
      </c>
      <c r="AE43">
        <f t="shared" si="22"/>
        <v>3</v>
      </c>
      <c r="AF43">
        <f t="shared" si="26"/>
        <v>87</v>
      </c>
      <c r="AG43">
        <f t="shared" si="2"/>
        <v>0.24803207589667176</v>
      </c>
      <c r="AH43">
        <f t="shared" si="3"/>
        <v>4.6423215759225187E-2</v>
      </c>
      <c r="AI43" s="2">
        <f t="shared" si="4"/>
        <v>1.9984039009593895</v>
      </c>
      <c r="AJ43">
        <f t="shared" si="5"/>
        <v>0.87</v>
      </c>
      <c r="AK43" t="str">
        <f t="shared" si="6"/>
        <v>NO</v>
      </c>
      <c r="AL43">
        <f t="shared" si="23"/>
        <v>0.24803207589667176</v>
      </c>
      <c r="AM43">
        <f t="shared" si="7"/>
        <v>4.642321575922518E-2</v>
      </c>
      <c r="AN43">
        <f t="shared" si="8"/>
        <v>0.24803207589667176</v>
      </c>
      <c r="AO43">
        <f t="shared" si="9"/>
        <v>4.642321575922518E-2</v>
      </c>
      <c r="AP43">
        <f t="array" ref="AP43">AL43*IF($C43="GKP",10,IF($C43="DEF",6,IF($C43="MID",5,4)))</f>
        <v>1.2401603794833589</v>
      </c>
      <c r="AQ43">
        <f t="shared" si="10"/>
        <v>0.13926964727767555</v>
      </c>
      <c r="AR43">
        <f t="shared" si="11"/>
        <v>2</v>
      </c>
      <c r="AS43" s="2">
        <f>IF($H43=0,0,Player_Analysis!$AM43*$H43/90)</f>
        <v>0.33333333333333331</v>
      </c>
      <c r="AT43">
        <f t="shared" si="12"/>
        <v>0.86206896551724144</v>
      </c>
      <c r="AU43" s="2">
        <f>0</f>
        <v>0</v>
      </c>
      <c r="AV43" s="2">
        <f>IF(INDEX(FPL_Raw_Data!K:K,MATCH(A43,FPL_Raw_Data!AA:AA,0))=0,"",INDEX(FPL_Raw_Data!P:P,MATCH(A43,FPL_Raw_Data!AA:AA,0))/INDEX(FPL_Raw_Data!K:K,MATCH(A43,FPL_Raw_Data!AA:AA,0))*90)</f>
        <v>0</v>
      </c>
      <c r="AW43" s="2">
        <f t="shared" si="13"/>
        <v>0</v>
      </c>
      <c r="AX43" s="2">
        <f>IFERROR(INDEX(TEAM_ANALYSIS!$H$2:$H$21,MATCH($B43,TEAM_ANALYSIS!$A$2:$A$21,0)),0)</f>
        <v>1.6666666666666667</v>
      </c>
      <c r="AY43" s="2">
        <f t="shared" si="14"/>
        <v>0</v>
      </c>
      <c r="AZ43" s="2">
        <f t="shared" si="15"/>
        <v>4.5748323256116095</v>
      </c>
      <c r="BA43">
        <f t="shared" si="16"/>
        <v>0.84719117140955724</v>
      </c>
      <c r="BB43">
        <f>IFERROR(Player_Analysis!$Y43,1)</f>
        <v>0.8</v>
      </c>
      <c r="BC43">
        <f t="shared" si="17"/>
        <v>3.6598658604892877</v>
      </c>
      <c r="BD43">
        <f t="shared" si="24"/>
        <v>3.100606045549767</v>
      </c>
      <c r="BE43">
        <f t="shared" si="25"/>
        <v>3.6598658604892877</v>
      </c>
      <c r="BF43">
        <f t="shared" si="18"/>
        <v>174</v>
      </c>
      <c r="BG43">
        <f>IF($BE43="","",COUNTIFS($C$2:$C$596,$C43,$BE$2:$BE$596,"&gt;"&amp;$BE43)+COUNTIFS($C$2:$C43,$C43,$BE$2:$BE43,$BE43))</f>
        <v>89</v>
      </c>
    </row>
    <row r="44" spans="1:59" x14ac:dyDescent="0.25">
      <c r="A44" t="str">
        <f>Player_Analysis!A44</f>
        <v>Ross Barkley</v>
      </c>
      <c r="B44">
        <f>Player_Analysis!C44</f>
        <v>2</v>
      </c>
      <c r="C44" t="str">
        <f>Player_Analysis!B44</f>
        <v>MID</v>
      </c>
      <c r="D44" s="13">
        <f>Player_Analysis!E44</f>
        <v>5</v>
      </c>
      <c r="E44">
        <f>Player_Analysis!I44</f>
        <v>240</v>
      </c>
      <c r="F44" s="8">
        <f>Player_Analysis!Z44</f>
        <v>3</v>
      </c>
      <c r="G44" s="17">
        <f t="shared" si="19"/>
        <v>1</v>
      </c>
      <c r="H44">
        <f t="shared" si="0"/>
        <v>90</v>
      </c>
      <c r="I44" s="8">
        <f>Player_Analysis!AF44</f>
        <v>0</v>
      </c>
      <c r="J44" s="8">
        <f>Player_Analysis!AG44</f>
        <v>0</v>
      </c>
      <c r="K44">
        <f>Player_Analysis!O44</f>
        <v>0.35</v>
      </c>
      <c r="L44">
        <f>Player_Analysis!P44</f>
        <v>0.13</v>
      </c>
      <c r="M44">
        <f t="shared" si="20"/>
        <v>0.13124999999999998</v>
      </c>
      <c r="N44">
        <f t="shared" si="21"/>
        <v>4.8749999999999995E-2</v>
      </c>
      <c r="O44" s="2">
        <f>IF(E44=0,"",Player_Analysis!L44/E44*90)</f>
        <v>2.625</v>
      </c>
      <c r="P44">
        <f>IF(E44=0,"",Player_Analysis!Q44/E44*90)</f>
        <v>0.18</v>
      </c>
      <c r="Q44">
        <f>IF(E44=0,"",(Player_Analysis!AD44/E44)*90)</f>
        <v>18.375</v>
      </c>
      <c r="R44">
        <f>IF(E44=0,"",Player_Analysis!AA44/E44*90)</f>
        <v>6.375</v>
      </c>
      <c r="S44">
        <f t="array" ref="S44">IFERROR(INDEX('2023_24'!$O:$O,MATCH($A44,'2023_24'!$A:$A,0)),"")</f>
        <v>0.13451834862385323</v>
      </c>
      <c r="T44">
        <f>IFERROR(INDEX('2024_25'!$P:$P,MATCH($A44,'2024_25'!$A:$A,0)),"")</f>
        <v>0.28412698412698412</v>
      </c>
      <c r="U44">
        <f>IFERROR(INDEX('2025_26'!$P:$P,MATCH($A44,'2025_26'!$A:$A,0)),"")</f>
        <v>0.1684834123222749</v>
      </c>
      <c r="V44">
        <f>IFERROR(INDEX('2023_24'!$P:$P,MATCH($A44,'2023_24'!$A:$A,0)),"")</f>
        <v>9.3922018348623862E-2</v>
      </c>
      <c r="W44">
        <f>IFERROR(INDEX('2024_25'!$Q:$Q,MATCH($A44,'2024_25'!$A:$A,0)),"")</f>
        <v>6.8253968253968247E-2</v>
      </c>
      <c r="X44">
        <f>IFERROR(INDEX('2025_26'!$Q:$Q,MATCH($A44,'2025_26'!$A:$A,0)),"")</f>
        <v>0.13436018957345972</v>
      </c>
      <c r="Y44">
        <f>IFERROR(INDEX('2023_24'!$M:$M,MATCH($A44,'2023_24'!$A:$A,0))/INDEX('2023_24'!$G:$G,MATCH($A44,'2023_24'!$A:$A,0))*90,"")</f>
        <v>3.4747706422018347</v>
      </c>
      <c r="Z44">
        <f>IFERROR(INDEX('2024_25'!$M:$M,MATCH($A44,'2024_25'!$A:$A,0))/INDEX('2024_25'!$G:$G,MATCH($A44,'2024_25'!$A:$A,0))*90,"")</f>
        <v>6.9841269841269842</v>
      </c>
      <c r="AA44">
        <f>IFERROR(INDEX('2025_26'!$M:$M,MATCH($A44,'2025_26'!$A:$A,0))/INDEX('2025_26'!$G:$G,MATCH($A44,'2025_26'!$A:$A,0))*90,"")</f>
        <v>5.9715639810426548</v>
      </c>
      <c r="AB44">
        <f>IFERROR(SUMPRODUCT(S44:U44,{0.2,0.3,0.5})/SUMPRODUCT(--(S44:U44&lt;&gt;""),{0.2,0.3,0.5}),"")</f>
        <v>0.19638347112400334</v>
      </c>
      <c r="AC44">
        <f>IFERROR(SUMPRODUCT(V44:X44,{0.2,0.3,0.5})/SUMPRODUCT(--(V44:X44&lt;&gt;""),{0.2,0.3,0.5}),"")</f>
        <v>0.10644068893264511</v>
      </c>
      <c r="AD44">
        <f>IFERROR(SUMPRODUCT(Y44:AA44,{0.2,0.3,0.5})/SUMPRODUCT((Y44:AA44&lt;&gt;"")*{0.2,0.3,0.5}),O44)</f>
        <v>5.7759742141997901</v>
      </c>
      <c r="AE44">
        <f t="shared" si="22"/>
        <v>3</v>
      </c>
      <c r="AF44">
        <f t="shared" si="26"/>
        <v>80</v>
      </c>
      <c r="AG44">
        <f t="shared" si="2"/>
        <v>0.14427669422480063</v>
      </c>
      <c r="AH44">
        <f t="shared" si="3"/>
        <v>6.0288137786529014E-2</v>
      </c>
      <c r="AI44" s="2">
        <f t="shared" si="4"/>
        <v>3.2551948428399577</v>
      </c>
      <c r="AJ44">
        <f t="shared" si="5"/>
        <v>0.8</v>
      </c>
      <c r="AK44" t="str">
        <f t="shared" si="6"/>
        <v>NO</v>
      </c>
      <c r="AL44">
        <f t="shared" si="23"/>
        <v>0.14427669422480063</v>
      </c>
      <c r="AM44">
        <f t="shared" si="7"/>
        <v>6.0288137786529014E-2</v>
      </c>
      <c r="AN44">
        <f t="shared" si="8"/>
        <v>0.14427669422480063</v>
      </c>
      <c r="AO44">
        <f t="shared" si="9"/>
        <v>6.0288137786529014E-2</v>
      </c>
      <c r="AP44">
        <f t="array" ref="AP44">AL44*IF($C44="GKP",10,IF($C44="DEF",6,IF($C44="MID",5,4)))</f>
        <v>0.72138347112400314</v>
      </c>
      <c r="AQ44">
        <f t="shared" si="10"/>
        <v>0.18086441335958703</v>
      </c>
      <c r="AR44">
        <f t="shared" si="11"/>
        <v>2</v>
      </c>
      <c r="AS44" s="2">
        <f>IF($H44=0,0,Player_Analysis!$AM44*$H44/90)</f>
        <v>0.33333333333333331</v>
      </c>
      <c r="AT44">
        <f t="shared" si="12"/>
        <v>1.0625</v>
      </c>
      <c r="AU44" s="2">
        <f>0</f>
        <v>0</v>
      </c>
      <c r="AV44" s="2">
        <f>IF(INDEX(FPL_Raw_Data!K:K,MATCH(A44,FPL_Raw_Data!AA:AA,0))=0,"",INDEX(FPL_Raw_Data!P:P,MATCH(A44,FPL_Raw_Data!AA:AA,0))/INDEX(FPL_Raw_Data!K:K,MATCH(A44,FPL_Raw_Data!AA:AA,0))*90)</f>
        <v>0</v>
      </c>
      <c r="AW44" s="2">
        <f t="shared" si="13"/>
        <v>0</v>
      </c>
      <c r="AX44" s="2">
        <f>IFERROR(INDEX(TEAM_ANALYSIS!$H$2:$H$21,MATCH($B44,TEAM_ANALYSIS!$A$2:$A$21,0)),0)</f>
        <v>1.6666666666666667</v>
      </c>
      <c r="AY44" s="2">
        <f t="shared" si="14"/>
        <v>0</v>
      </c>
      <c r="AZ44" s="2">
        <f t="shared" si="15"/>
        <v>4.2980812178169234</v>
      </c>
      <c r="BA44">
        <f t="shared" si="16"/>
        <v>0.85961624356338473</v>
      </c>
      <c r="BB44">
        <f>IFERROR(Player_Analysis!$Y44,1)</f>
        <v>0.8</v>
      </c>
      <c r="BC44">
        <f t="shared" si="17"/>
        <v>3.4384649742535389</v>
      </c>
      <c r="BD44">
        <f t="shared" si="24"/>
        <v>2.9557603447920977</v>
      </c>
      <c r="BE44">
        <f t="shared" si="25"/>
        <v>3.4384649742535389</v>
      </c>
      <c r="BF44">
        <f t="shared" si="18"/>
        <v>181</v>
      </c>
      <c r="BG44">
        <f>IF($BE44="","",COUNTIFS($C$2:$C$596,$C44,$BE$2:$BE$596,"&gt;"&amp;$BE44)+COUNTIFS($C$2:$C44,$C44,$BE$2:$BE44,$BE44))</f>
        <v>93</v>
      </c>
    </row>
    <row r="45" spans="1:59" x14ac:dyDescent="0.25">
      <c r="A45" t="str">
        <f>Player_Analysis!A45</f>
        <v>Boubacar Kamara</v>
      </c>
      <c r="B45">
        <f>Player_Analysis!C45</f>
        <v>2</v>
      </c>
      <c r="C45" t="str">
        <f>Player_Analysis!B45</f>
        <v>MID</v>
      </c>
      <c r="D45" s="13">
        <f>Player_Analysis!E45</f>
        <v>5</v>
      </c>
      <c r="E45">
        <f>Player_Analysis!I45</f>
        <v>270</v>
      </c>
      <c r="F45" s="8">
        <f>Player_Analysis!Z45</f>
        <v>3</v>
      </c>
      <c r="G45" s="17">
        <f t="shared" si="19"/>
        <v>1</v>
      </c>
      <c r="H45">
        <f t="shared" si="0"/>
        <v>90</v>
      </c>
      <c r="I45" s="8">
        <f>Player_Analysis!AF45</f>
        <v>0</v>
      </c>
      <c r="J45" s="8">
        <f>Player_Analysis!AG45</f>
        <v>0</v>
      </c>
      <c r="K45">
        <f>Player_Analysis!O45</f>
        <v>0</v>
      </c>
      <c r="L45">
        <f>Player_Analysis!P45</f>
        <v>0.1</v>
      </c>
      <c r="M45">
        <f t="shared" si="20"/>
        <v>0</v>
      </c>
      <c r="N45">
        <f t="shared" si="21"/>
        <v>3.333333333333334E-2</v>
      </c>
      <c r="O45" s="2">
        <f>IF(E45=0,"",Player_Analysis!L45/E45*90)</f>
        <v>2.3333333333333335</v>
      </c>
      <c r="P45">
        <f>IF(E45=0,"",Player_Analysis!Q45/E45*90)</f>
        <v>3.333333333333334E-2</v>
      </c>
      <c r="Q45">
        <f>IF(E45=0,"",(Player_Analysis!AD45/E45)*90)</f>
        <v>14</v>
      </c>
      <c r="R45">
        <f>IF(E45=0,"",Player_Analysis!AA45/E45*90)</f>
        <v>8.3333333333333321</v>
      </c>
      <c r="S45">
        <f t="array" ref="S45">IFERROR(INDEX('2023_24'!$O:$O,MATCH($A45,'2023_24'!$A:$A,0)),"")</f>
        <v>7.0780399274047194E-3</v>
      </c>
      <c r="T45">
        <f>IFERROR(INDEX('2024_25'!$P:$P,MATCH($A45,'2024_25'!$A:$A,0)),"")</f>
        <v>4.2906976744186046E-2</v>
      </c>
      <c r="U45">
        <f>IFERROR(INDEX('2025_26'!$P:$P,MATCH($A45,'2025_26'!$A:$A,0)),"")</f>
        <v>3.3829787234042556E-2</v>
      </c>
      <c r="V45">
        <f>IFERROR(INDEX('2023_24'!$P:$P,MATCH($A45,'2023_24'!$A:$A,0)),"")</f>
        <v>7.5680580762250441E-2</v>
      </c>
      <c r="W45">
        <f>IFERROR(INDEX('2024_25'!$Q:$Q,MATCH($A45,'2024_25'!$A:$A,0)),"")</f>
        <v>4.3430232558139534E-2</v>
      </c>
      <c r="X45">
        <f>IFERROR(INDEX('2025_26'!$Q:$Q,MATCH($A45,'2025_26'!$A:$A,0)),"")</f>
        <v>5.3617021276595747E-2</v>
      </c>
      <c r="Y45">
        <f>IFERROR(INDEX('2023_24'!$M:$M,MATCH($A45,'2023_24'!$A:$A,0))/INDEX('2023_24'!$G:$G,MATCH($A45,'2023_24'!$A:$A,0))*90,"")</f>
        <v>2.1778584392014517</v>
      </c>
      <c r="Z45">
        <f>IFERROR(INDEX('2024_25'!$M:$M,MATCH($A45,'2024_25'!$A:$A,0))/INDEX('2024_25'!$G:$G,MATCH($A45,'2024_25'!$A:$A,0))*90,"")</f>
        <v>2.9825581395348837</v>
      </c>
      <c r="AA45">
        <f>IFERROR(INDEX('2025_26'!$M:$M,MATCH($A45,'2025_26'!$A:$A,0))/INDEX('2025_26'!$G:$G,MATCH($A45,'2025_26'!$A:$A,0))*90,"")</f>
        <v>3.8936170212765959</v>
      </c>
      <c r="AB45">
        <f>IFERROR(SUMPRODUCT(S45:U45,{0.2,0.3,0.5})/SUMPRODUCT(--(S45:U45&lt;&gt;""),{0.2,0.3,0.5}),"")</f>
        <v>3.1202594625758036E-2</v>
      </c>
      <c r="AC45">
        <f>IFERROR(SUMPRODUCT(V45:X45,{0.2,0.3,0.5})/SUMPRODUCT(--(V45:X45&lt;&gt;""),{0.2,0.3,0.5}),"")</f>
        <v>5.4973696558189823E-2</v>
      </c>
      <c r="AD45">
        <f>IFERROR(SUMPRODUCT(Y45:AA45,{0.2,0.3,0.5})/SUMPRODUCT((Y45:AA45&lt;&gt;"")*{0.2,0.3,0.5}),O45)</f>
        <v>3.2771476403390531</v>
      </c>
      <c r="AE45">
        <f t="shared" si="22"/>
        <v>3</v>
      </c>
      <c r="AF45">
        <f t="shared" si="26"/>
        <v>90</v>
      </c>
      <c r="AG45">
        <f t="shared" si="2"/>
        <v>3.120259462575803E-3</v>
      </c>
      <c r="AH45">
        <f t="shared" si="3"/>
        <v>3.5497369655818983E-2</v>
      </c>
      <c r="AI45" s="2">
        <f t="shared" si="4"/>
        <v>2.4277147640339054</v>
      </c>
      <c r="AJ45">
        <f t="shared" si="5"/>
        <v>0.9</v>
      </c>
      <c r="AK45" t="str">
        <f t="shared" si="6"/>
        <v>NO</v>
      </c>
      <c r="AL45">
        <f t="shared" si="23"/>
        <v>3.120259462575803E-3</v>
      </c>
      <c r="AM45">
        <f t="shared" si="7"/>
        <v>3.5497369655818983E-2</v>
      </c>
      <c r="AN45">
        <f t="shared" si="8"/>
        <v>3.120259462575803E-3</v>
      </c>
      <c r="AO45">
        <f t="shared" si="9"/>
        <v>3.5497369655818983E-2</v>
      </c>
      <c r="AP45">
        <f t="array" ref="AP45">AL45*IF($C45="GKP",10,IF($C45="DEF",6,IF($C45="MID",5,4)))</f>
        <v>1.5601297312879014E-2</v>
      </c>
      <c r="AQ45">
        <f t="shared" si="10"/>
        <v>0.10649210896745695</v>
      </c>
      <c r="AR45">
        <f t="shared" si="11"/>
        <v>2</v>
      </c>
      <c r="AS45" s="2">
        <f>IF($H45=0,0,Player_Analysis!$AM45*$H45/90)</f>
        <v>0.33333333333333331</v>
      </c>
      <c r="AT45">
        <f t="shared" si="12"/>
        <v>1.3888888888888886</v>
      </c>
      <c r="AU45" s="2">
        <f>0</f>
        <v>0</v>
      </c>
      <c r="AV45" s="2">
        <f>IF(INDEX(FPL_Raw_Data!K:K,MATCH(A45,FPL_Raw_Data!AA:AA,0))=0,"",INDEX(FPL_Raw_Data!P:P,MATCH(A45,FPL_Raw_Data!AA:AA,0))/INDEX(FPL_Raw_Data!K:K,MATCH(A45,FPL_Raw_Data!AA:AA,0))*90)</f>
        <v>0</v>
      </c>
      <c r="AW45" s="2">
        <f t="shared" si="13"/>
        <v>0</v>
      </c>
      <c r="AX45" s="2">
        <f>IFERROR(INDEX(TEAM_ANALYSIS!$H$2:$H$21,MATCH($B45,TEAM_ANALYSIS!$A$2:$A$21,0)),0)</f>
        <v>1.6666666666666667</v>
      </c>
      <c r="AY45" s="2">
        <f t="shared" si="14"/>
        <v>0</v>
      </c>
      <c r="AZ45" s="2">
        <f t="shared" si="15"/>
        <v>3.8443156285025584</v>
      </c>
      <c r="BA45">
        <f t="shared" si="16"/>
        <v>0.76886312570051163</v>
      </c>
      <c r="BB45">
        <f>IFERROR(Player_Analysis!$Y45,1)</f>
        <v>0.8</v>
      </c>
      <c r="BC45">
        <f t="shared" si="17"/>
        <v>3.075452502802047</v>
      </c>
      <c r="BD45">
        <f t="shared" si="24"/>
        <v>2.3646020242478434</v>
      </c>
      <c r="BE45">
        <f t="shared" si="25"/>
        <v>3.075452502802047</v>
      </c>
      <c r="BF45">
        <f t="shared" si="18"/>
        <v>200</v>
      </c>
      <c r="BG45">
        <f>IF($BE45="","",COUNTIFS($C$2:$C$596,$C45,$BE$2:$BE$596,"&gt;"&amp;$BE45)+COUNTIFS($C$2:$C45,$C45,$BE$2:$BE45,$BE45))</f>
        <v>105</v>
      </c>
    </row>
    <row r="46" spans="1:59" x14ac:dyDescent="0.25">
      <c r="A46" t="str">
        <f>Player_Analysis!A46</f>
        <v>Amadou Onana</v>
      </c>
      <c r="B46">
        <f>Player_Analysis!C46</f>
        <v>2</v>
      </c>
      <c r="C46" t="str">
        <f>Player_Analysis!B46</f>
        <v>MID</v>
      </c>
      <c r="D46" s="13">
        <f>Player_Analysis!E46</f>
        <v>5</v>
      </c>
      <c r="E46">
        <f>Player_Analysis!I46</f>
        <v>0</v>
      </c>
      <c r="F46" s="8">
        <f>Player_Analysis!Z46</f>
        <v>0</v>
      </c>
      <c r="G46" s="17">
        <f t="shared" si="19"/>
        <v>0</v>
      </c>
      <c r="H46">
        <f t="shared" si="0"/>
        <v>0</v>
      </c>
      <c r="I46" s="8">
        <f>Player_Analysis!AF46</f>
        <v>0</v>
      </c>
      <c r="J46" s="8">
        <f>Player_Analysis!AG46</f>
        <v>0</v>
      </c>
      <c r="K46">
        <f>Player_Analysis!O46</f>
        <v>0</v>
      </c>
      <c r="L46">
        <f>Player_Analysis!P46</f>
        <v>0</v>
      </c>
      <c r="M46" t="str">
        <f t="shared" si="20"/>
        <v/>
      </c>
      <c r="N46" t="str">
        <f t="shared" si="21"/>
        <v/>
      </c>
      <c r="O46" s="2" t="str">
        <f>IF(E46=0,"",Player_Analysis!L46/E46*90)</f>
        <v/>
      </c>
      <c r="P46" t="str">
        <f>IF(E46=0,"",Player_Analysis!Q46/E46*90)</f>
        <v/>
      </c>
      <c r="Q46" t="str">
        <f>IF(E46=0,"",(Player_Analysis!AD46/E46)*90)</f>
        <v/>
      </c>
      <c r="R46" t="str">
        <f>IF(E46=0,"",Player_Analysis!AA46/E46*90)</f>
        <v/>
      </c>
      <c r="S46">
        <f t="array" ref="S46">IFERROR(INDEX('2023_24'!$O:$O,MATCH($A46,'2023_24'!$A:$A,0)),"")</f>
        <v>9.5827338129496412E-2</v>
      </c>
      <c r="T46">
        <f>IFERROR(INDEX('2024_25'!$P:$P,MATCH($A46,'2024_25'!$A:$A,0)),"")</f>
        <v>0.11828890266584006</v>
      </c>
      <c r="U46">
        <f>IFERROR(INDEX('2025_26'!$P:$P,MATCH($A46,'2025_26'!$A:$A,0)),"")</f>
        <v>8.615384615384615E-2</v>
      </c>
      <c r="V46">
        <f>IFERROR(INDEX('2023_24'!$P:$P,MATCH($A46,'2023_24'!$A:$A,0)),"")</f>
        <v>0.06</v>
      </c>
      <c r="W46">
        <f>IFERROR(INDEX('2024_25'!$Q:$Q,MATCH($A46,'2024_25'!$A:$A,0)),"")</f>
        <v>4.686918784872908E-2</v>
      </c>
      <c r="X46">
        <f>IFERROR(INDEX('2025_26'!$Q:$Q,MATCH($A46,'2025_26'!$A:$A,0)),"")</f>
        <v>3.5384615384615382E-2</v>
      </c>
      <c r="Y46">
        <f>IFERROR(INDEX('2023_24'!$M:$M,MATCH($A46,'2023_24'!$A:$A,0))/INDEX('2023_24'!$G:$G,MATCH($A46,'2023_24'!$A:$A,0))*90,"")</f>
        <v>2.8489208633093526</v>
      </c>
      <c r="Z46">
        <f>IFERROR(INDEX('2024_25'!$M:$M,MATCH($A46,'2024_25'!$A:$A,0))/INDEX('2024_25'!$G:$G,MATCH($A46,'2024_25'!$A:$A,0))*90,"")</f>
        <v>3.6267823930564163</v>
      </c>
      <c r="AA46">
        <f>IFERROR(INDEX('2025_26'!$M:$M,MATCH($A46,'2025_26'!$A:$A,0))/INDEX('2025_26'!$G:$G,MATCH($A46,'2025_26'!$A:$A,0))*90,"")</f>
        <v>3.8974358974358974</v>
      </c>
      <c r="AB46">
        <f>IFERROR(SUMPRODUCT(S46:U46,{0.2,0.3,0.5})/SUMPRODUCT(--(S46:U46&lt;&gt;""),{0.2,0.3,0.5}),"")</f>
        <v>9.7729061502574377E-2</v>
      </c>
      <c r="AC46">
        <f>IFERROR(SUMPRODUCT(V46:X46,{0.2,0.3,0.5})/SUMPRODUCT(--(V46:X46&lt;&gt;""),{0.2,0.3,0.5}),"")</f>
        <v>4.3753064046926415E-2</v>
      </c>
      <c r="AD46">
        <f>IFERROR(SUMPRODUCT(Y46:AA46,{0.2,0.3,0.5})/SUMPRODUCT((Y46:AA46&lt;&gt;"")*{0.2,0.3,0.5}),O46)</f>
        <v>3.6065368392967443</v>
      </c>
      <c r="AE46">
        <f t="shared" si="22"/>
        <v>3</v>
      </c>
      <c r="AF46" t="str">
        <f t="shared" si="26"/>
        <v/>
      </c>
      <c r="AG46">
        <f t="shared" si="2"/>
        <v>9.7729061502574377E-2</v>
      </c>
      <c r="AH46">
        <f t="shared" si="3"/>
        <v>4.3753064046926415E-2</v>
      </c>
      <c r="AI46" s="2">
        <f t="shared" si="4"/>
        <v>3.6065368392967443</v>
      </c>
      <c r="AJ46">
        <f t="shared" si="5"/>
        <v>0</v>
      </c>
      <c r="AK46" t="str">
        <f t="shared" si="6"/>
        <v>NO</v>
      </c>
      <c r="AL46">
        <f t="shared" si="23"/>
        <v>0</v>
      </c>
      <c r="AM46">
        <f t="shared" si="7"/>
        <v>0</v>
      </c>
      <c r="AN46">
        <f t="shared" si="8"/>
        <v>0</v>
      </c>
      <c r="AO46">
        <f t="shared" si="9"/>
        <v>0</v>
      </c>
      <c r="AP46">
        <f t="array" ref="AP46">AL46*IF($C46="GKP",10,IF($C46="DEF",6,IF($C46="MID",5,4)))</f>
        <v>0</v>
      </c>
      <c r="AQ46">
        <f t="shared" si="10"/>
        <v>0</v>
      </c>
      <c r="AR46">
        <f t="shared" si="11"/>
        <v>0</v>
      </c>
      <c r="AS46" s="2">
        <f>IF($H46=0,0,Player_Analysis!$AM46*$H46/90)</f>
        <v>0</v>
      </c>
      <c r="AT46">
        <f t="shared" si="12"/>
        <v>0</v>
      </c>
      <c r="AU46" s="2">
        <f>0</f>
        <v>0</v>
      </c>
      <c r="AV46" s="2" t="str">
        <f>IF(INDEX(FPL_Raw_Data!K:K,MATCH(A46,FPL_Raw_Data!AA:AA,0))=0,"",INDEX(FPL_Raw_Data!P:P,MATCH(A46,FPL_Raw_Data!AA:AA,0))/INDEX(FPL_Raw_Data!K:K,MATCH(A46,FPL_Raw_Data!AA:AA,0))*90)</f>
        <v/>
      </c>
      <c r="AW46" s="2">
        <f t="shared" si="13"/>
        <v>0</v>
      </c>
      <c r="AX46" s="2">
        <f>IFERROR(INDEX(TEAM_ANALYSIS!$H$2:$H$21,MATCH($B46,TEAM_ANALYSIS!$A$2:$A$21,0)),0)</f>
        <v>1.6666666666666667</v>
      </c>
      <c r="AY46" s="2">
        <f t="shared" si="14"/>
        <v>0</v>
      </c>
      <c r="AZ46" s="2">
        <f t="shared" si="15"/>
        <v>0</v>
      </c>
      <c r="BA46">
        <f t="shared" si="16"/>
        <v>0</v>
      </c>
      <c r="BB46">
        <f>IFERROR(Player_Analysis!$Y46,1)</f>
        <v>0.8</v>
      </c>
      <c r="BC46">
        <f t="shared" si="17"/>
        <v>0</v>
      </c>
      <c r="BD46">
        <f t="shared" si="24"/>
        <v>0</v>
      </c>
      <c r="BE46">
        <f t="shared" si="25"/>
        <v>0</v>
      </c>
      <c r="BF46">
        <f t="shared" si="18"/>
        <v>253</v>
      </c>
      <c r="BG46">
        <f>IF($BE46="","",COUNTIFS($C$2:$C$596,$C46,$BE$2:$BE$596,"&gt;"&amp;$BE46)+COUNTIFS($C$2:$C46,$C46,$BE$2:$BE46,$BE46))</f>
        <v>123</v>
      </c>
    </row>
    <row r="47" spans="1:59" x14ac:dyDescent="0.25">
      <c r="A47" t="str">
        <f>Player_Analysis!A47</f>
        <v>Samuel Iling-Junior</v>
      </c>
      <c r="B47">
        <f>Player_Analysis!C47</f>
        <v>2</v>
      </c>
      <c r="C47" t="str">
        <f>Player_Analysis!B47</f>
        <v>MID</v>
      </c>
      <c r="D47" s="13">
        <f>Player_Analysis!E47</f>
        <v>5</v>
      </c>
      <c r="E47">
        <f>Player_Analysis!I47</f>
        <v>0</v>
      </c>
      <c r="F47" s="8">
        <f>Player_Analysis!Z47</f>
        <v>0</v>
      </c>
      <c r="G47" s="17">
        <f t="shared" si="19"/>
        <v>0</v>
      </c>
      <c r="H47">
        <f t="shared" si="0"/>
        <v>0</v>
      </c>
      <c r="I47" s="8">
        <f>Player_Analysis!AF47</f>
        <v>0</v>
      </c>
      <c r="J47" s="8">
        <f>Player_Analysis!AG47</f>
        <v>0</v>
      </c>
      <c r="K47">
        <f>Player_Analysis!O47</f>
        <v>0</v>
      </c>
      <c r="L47">
        <f>Player_Analysis!P47</f>
        <v>0</v>
      </c>
      <c r="M47" t="str">
        <f t="shared" si="20"/>
        <v/>
      </c>
      <c r="N47" t="str">
        <f t="shared" si="21"/>
        <v/>
      </c>
      <c r="O47" s="2" t="str">
        <f>IF(E47=0,"",Player_Analysis!L47/E47*90)</f>
        <v/>
      </c>
      <c r="P47" t="str">
        <f>IF(E47=0,"",Player_Analysis!Q47/E47*90)</f>
        <v/>
      </c>
      <c r="Q47" t="str">
        <f>IF(E47=0,"",(Player_Analysis!AD47/E47)*90)</f>
        <v/>
      </c>
      <c r="R47" t="str">
        <f>IF(E47=0,"",Player_Analysis!AA47/E47*90)</f>
        <v/>
      </c>
      <c r="S47" t="str">
        <f t="array" ref="S47">IFERROR(INDEX('2023_24'!$O:$O,MATCH($A47,'2023_24'!$A:$A,0)),"")</f>
        <v/>
      </c>
      <c r="T47">
        <f>IFERROR(INDEX('2024_25'!$P:$P,MATCH($A47,'2024_25'!$A:$A,0)),"")</f>
        <v>0</v>
      </c>
      <c r="U47">
        <f>IFERROR(INDEX('2025_26'!$P:$P,MATCH($A47,'2025_26'!$A:$A,0)),"")</f>
        <v>0</v>
      </c>
      <c r="V47" t="str">
        <f>IFERROR(INDEX('2023_24'!$P:$P,MATCH($A47,'2023_24'!$A:$A,0)),"")</f>
        <v/>
      </c>
      <c r="W47">
        <f>IFERROR(INDEX('2024_25'!$Q:$Q,MATCH($A47,'2024_25'!$A:$A,0)),"")</f>
        <v>0</v>
      </c>
      <c r="X47">
        <f>IFERROR(INDEX('2025_26'!$Q:$Q,MATCH($A47,'2025_26'!$A:$A,0)),"")</f>
        <v>0</v>
      </c>
      <c r="Y47" t="str">
        <f>IFERROR(INDEX('2023_24'!$M:$M,MATCH($A47,'2023_24'!$A:$A,0))/INDEX('2023_24'!$G:$G,MATCH($A47,'2023_24'!$A:$A,0))*90,"")</f>
        <v/>
      </c>
      <c r="Z47" t="str">
        <f>IFERROR(INDEX('2024_25'!$M:$M,MATCH($A47,'2024_25'!$A:$A,0))/INDEX('2024_25'!$G:$G,MATCH($A47,'2024_25'!$A:$A,0))*90,"")</f>
        <v/>
      </c>
      <c r="AA47" t="str">
        <f>IFERROR(INDEX('2025_26'!$M:$M,MATCH($A47,'2025_26'!$A:$A,0))/INDEX('2025_26'!$G:$G,MATCH($A47,'2025_26'!$A:$A,0))*90,"")</f>
        <v/>
      </c>
      <c r="AB47">
        <f>IFERROR(SUMPRODUCT(S47:U47,{0.2,0.3,0.5})/SUMPRODUCT(--(S47:U47&lt;&gt;""),{0.2,0.3,0.5}),"")</f>
        <v>0</v>
      </c>
      <c r="AC47">
        <f>IFERROR(SUMPRODUCT(V47:X47,{0.2,0.3,0.5})/SUMPRODUCT(--(V47:X47&lt;&gt;""),{0.2,0.3,0.5}),"")</f>
        <v>0</v>
      </c>
      <c r="AD47" t="str">
        <f>IFERROR(SUMPRODUCT(Y47:AA47,{0.2,0.3,0.5})/SUMPRODUCT((Y47:AA47&lt;&gt;"")*{0.2,0.3,0.5}),O47)</f>
        <v/>
      </c>
      <c r="AE47">
        <f t="shared" si="22"/>
        <v>2</v>
      </c>
      <c r="AF47" t="str">
        <f t="shared" si="26"/>
        <v/>
      </c>
      <c r="AG47">
        <f t="shared" si="2"/>
        <v>0</v>
      </c>
      <c r="AH47">
        <f t="shared" si="3"/>
        <v>0</v>
      </c>
      <c r="AI47" s="2">
        <f t="shared" si="4"/>
        <v>0</v>
      </c>
      <c r="AJ47">
        <f t="shared" si="5"/>
        <v>0</v>
      </c>
      <c r="AK47" t="str">
        <f t="shared" si="6"/>
        <v>NO</v>
      </c>
      <c r="AL47">
        <f t="shared" si="23"/>
        <v>0</v>
      </c>
      <c r="AM47">
        <f t="shared" si="7"/>
        <v>0</v>
      </c>
      <c r="AN47">
        <f t="shared" si="8"/>
        <v>0</v>
      </c>
      <c r="AO47">
        <f t="shared" si="9"/>
        <v>0</v>
      </c>
      <c r="AP47">
        <f t="array" ref="AP47">AL47*IF($C47="GKP",10,IF($C47="DEF",6,IF($C47="MID",5,4)))</f>
        <v>0</v>
      </c>
      <c r="AQ47">
        <f t="shared" si="10"/>
        <v>0</v>
      </c>
      <c r="AR47">
        <f t="shared" si="11"/>
        <v>0</v>
      </c>
      <c r="AS47" s="2">
        <f>IF($H47=0,0,Player_Analysis!$AM47*$H47/90)</f>
        <v>0</v>
      </c>
      <c r="AT47">
        <f t="shared" si="12"/>
        <v>0</v>
      </c>
      <c r="AU47" s="2">
        <f>0</f>
        <v>0</v>
      </c>
      <c r="AV47" s="2" t="str">
        <f>IF(INDEX(FPL_Raw_Data!K:K,MATCH(A47,FPL_Raw_Data!AA:AA,0))=0,"",INDEX(FPL_Raw_Data!P:P,MATCH(A47,FPL_Raw_Data!AA:AA,0))/INDEX(FPL_Raw_Data!K:K,MATCH(A47,FPL_Raw_Data!AA:AA,0))*90)</f>
        <v/>
      </c>
      <c r="AW47" s="2">
        <f t="shared" si="13"/>
        <v>0</v>
      </c>
      <c r="AX47" s="2">
        <f>IFERROR(INDEX(TEAM_ANALYSIS!$H$2:$H$21,MATCH($B47,TEAM_ANALYSIS!$A$2:$A$21,0)),0)</f>
        <v>1.6666666666666667</v>
      </c>
      <c r="AY47" s="2">
        <f t="shared" si="14"/>
        <v>0</v>
      </c>
      <c r="AZ47" s="2">
        <f t="shared" si="15"/>
        <v>0</v>
      </c>
      <c r="BA47">
        <f t="shared" si="16"/>
        <v>0</v>
      </c>
      <c r="BB47">
        <f>IFERROR(Player_Analysis!$Y47,1)</f>
        <v>0.8</v>
      </c>
      <c r="BC47">
        <f t="shared" si="17"/>
        <v>0</v>
      </c>
      <c r="BD47">
        <f t="shared" si="24"/>
        <v>0</v>
      </c>
      <c r="BE47">
        <f t="shared" si="25"/>
        <v>0</v>
      </c>
      <c r="BF47">
        <f t="shared" si="18"/>
        <v>253</v>
      </c>
      <c r="BG47">
        <f>IF($BE47="","",COUNTIFS($C$2:$C$596,$C47,$BE$2:$BE$596,"&gt;"&amp;$BE47)+COUNTIFS($C$2:$C47,$C47,$BE$2:$BE47,$BE47))</f>
        <v>124</v>
      </c>
    </row>
    <row r="48" spans="1:59" x14ac:dyDescent="0.25">
      <c r="A48" t="str">
        <f>Player_Analysis!A48</f>
        <v>Bradley Burrowes</v>
      </c>
      <c r="B48">
        <f>Player_Analysis!C48</f>
        <v>2</v>
      </c>
      <c r="C48" t="str">
        <f>Player_Analysis!B48</f>
        <v>MID</v>
      </c>
      <c r="D48" s="13">
        <f>Player_Analysis!E48</f>
        <v>4.5</v>
      </c>
      <c r="E48">
        <f>Player_Analysis!I48</f>
        <v>0</v>
      </c>
      <c r="F48" s="8">
        <f>Player_Analysis!Z48</f>
        <v>0</v>
      </c>
      <c r="G48" s="17">
        <f t="shared" si="19"/>
        <v>0</v>
      </c>
      <c r="H48">
        <f t="shared" si="0"/>
        <v>0</v>
      </c>
      <c r="I48" s="8">
        <f>Player_Analysis!AF48</f>
        <v>0</v>
      </c>
      <c r="J48" s="8">
        <f>Player_Analysis!AG48</f>
        <v>0</v>
      </c>
      <c r="K48">
        <f>Player_Analysis!O48</f>
        <v>0</v>
      </c>
      <c r="L48">
        <f>Player_Analysis!P48</f>
        <v>0</v>
      </c>
      <c r="M48" t="str">
        <f t="shared" si="20"/>
        <v/>
      </c>
      <c r="N48" t="str">
        <f t="shared" si="21"/>
        <v/>
      </c>
      <c r="O48" s="2" t="str">
        <f>IF(E48=0,"",Player_Analysis!L48/E48*90)</f>
        <v/>
      </c>
      <c r="P48" t="str">
        <f>IF(E48=0,"",Player_Analysis!Q48/E48*90)</f>
        <v/>
      </c>
      <c r="Q48" t="str">
        <f>IF(E48=0,"",(Player_Analysis!AD48/E48)*90)</f>
        <v/>
      </c>
      <c r="R48" t="str">
        <f>IF(E48=0,"",Player_Analysis!AA48/E48*90)</f>
        <v/>
      </c>
      <c r="S48" t="str">
        <f t="array" ref="S48">IFERROR(INDEX('2023_24'!$O:$O,MATCH($A48,'2023_24'!$A:$A,0)),"")</f>
        <v/>
      </c>
      <c r="T48" t="str">
        <f>IFERROR(INDEX('2024_25'!$P:$P,MATCH($A48,'2024_25'!$A:$A,0)),"")</f>
        <v/>
      </c>
      <c r="U48">
        <f>IFERROR(INDEX('2025_26'!$P:$P,MATCH($A48,'2025_26'!$A:$A,0)),"")</f>
        <v>0</v>
      </c>
      <c r="V48" t="str">
        <f>IFERROR(INDEX('2023_24'!$P:$P,MATCH($A48,'2023_24'!$A:$A,0)),"")</f>
        <v/>
      </c>
      <c r="W48" t="str">
        <f>IFERROR(INDEX('2024_25'!$Q:$Q,MATCH($A48,'2024_25'!$A:$A,0)),"")</f>
        <v/>
      </c>
      <c r="X48">
        <f>IFERROR(INDEX('2025_26'!$Q:$Q,MATCH($A48,'2025_26'!$A:$A,0)),"")</f>
        <v>0</v>
      </c>
      <c r="Y48" t="str">
        <f>IFERROR(INDEX('2023_24'!$M:$M,MATCH($A48,'2023_24'!$A:$A,0))/INDEX('2023_24'!$G:$G,MATCH($A48,'2023_24'!$A:$A,0))*90,"")</f>
        <v/>
      </c>
      <c r="Z48" t="str">
        <f>IFERROR(INDEX('2024_25'!$M:$M,MATCH($A48,'2024_25'!$A:$A,0))/INDEX('2024_25'!$G:$G,MATCH($A48,'2024_25'!$A:$A,0))*90,"")</f>
        <v/>
      </c>
      <c r="AA48">
        <f>IFERROR(INDEX('2025_26'!$M:$M,MATCH($A48,'2025_26'!$A:$A,0))/INDEX('2025_26'!$G:$G,MATCH($A48,'2025_26'!$A:$A,0))*90,"")</f>
        <v>5.625</v>
      </c>
      <c r="AB48">
        <f>IFERROR(SUMPRODUCT(S48:U48,{0.2,0.3,0.5})/SUMPRODUCT(--(S48:U48&lt;&gt;""),{0.2,0.3,0.5}),"")</f>
        <v>0</v>
      </c>
      <c r="AC48">
        <f>IFERROR(SUMPRODUCT(V48:X48,{0.2,0.3,0.5})/SUMPRODUCT(--(V48:X48&lt;&gt;""),{0.2,0.3,0.5}),"")</f>
        <v>0</v>
      </c>
      <c r="AD48">
        <f>IFERROR(SUMPRODUCT(Y48:AA48,{0.2,0.3,0.5})/SUMPRODUCT((Y48:AA48&lt;&gt;"")*{0.2,0.3,0.5}),O48)</f>
        <v>5.625</v>
      </c>
      <c r="AE48">
        <f t="shared" si="22"/>
        <v>1</v>
      </c>
      <c r="AF48" t="str">
        <f t="shared" si="26"/>
        <v/>
      </c>
      <c r="AG48">
        <f t="shared" si="2"/>
        <v>0</v>
      </c>
      <c r="AH48">
        <f t="shared" si="3"/>
        <v>0</v>
      </c>
      <c r="AI48" s="2">
        <f t="shared" si="4"/>
        <v>5.625</v>
      </c>
      <c r="AJ48">
        <f t="shared" si="5"/>
        <v>0</v>
      </c>
      <c r="AK48" t="str">
        <f t="shared" si="6"/>
        <v>NO</v>
      </c>
      <c r="AL48">
        <f t="shared" si="23"/>
        <v>0</v>
      </c>
      <c r="AM48">
        <f t="shared" si="7"/>
        <v>0</v>
      </c>
      <c r="AN48">
        <f t="shared" si="8"/>
        <v>0</v>
      </c>
      <c r="AO48">
        <f t="shared" si="9"/>
        <v>0</v>
      </c>
      <c r="AP48">
        <f t="array" ref="AP48">AL48*IF($C48="GKP",10,IF($C48="DEF",6,IF($C48="MID",5,4)))</f>
        <v>0</v>
      </c>
      <c r="AQ48">
        <f t="shared" si="10"/>
        <v>0</v>
      </c>
      <c r="AR48">
        <f t="shared" si="11"/>
        <v>0</v>
      </c>
      <c r="AS48" s="2">
        <f>IF($H48=0,0,Player_Analysis!$AM48*$H48/90)</f>
        <v>0</v>
      </c>
      <c r="AT48">
        <f t="shared" si="12"/>
        <v>0</v>
      </c>
      <c r="AU48" s="2">
        <f>0</f>
        <v>0</v>
      </c>
      <c r="AV48" s="2" t="str">
        <f>IF(INDEX(FPL_Raw_Data!K:K,MATCH(A48,FPL_Raw_Data!AA:AA,0))=0,"",INDEX(FPL_Raw_Data!P:P,MATCH(A48,FPL_Raw_Data!AA:AA,0))/INDEX(FPL_Raw_Data!K:K,MATCH(A48,FPL_Raw_Data!AA:AA,0))*90)</f>
        <v/>
      </c>
      <c r="AW48" s="2">
        <f t="shared" si="13"/>
        <v>0</v>
      </c>
      <c r="AX48" s="2">
        <f>IFERROR(INDEX(TEAM_ANALYSIS!$H$2:$H$21,MATCH($B48,TEAM_ANALYSIS!$A$2:$A$21,0)),0)</f>
        <v>1.6666666666666667</v>
      </c>
      <c r="AY48" s="2">
        <f t="shared" si="14"/>
        <v>0</v>
      </c>
      <c r="AZ48" s="2">
        <f t="shared" si="15"/>
        <v>0</v>
      </c>
      <c r="BA48">
        <f t="shared" si="16"/>
        <v>0</v>
      </c>
      <c r="BB48">
        <f>IFERROR(Player_Analysis!$Y48,1)</f>
        <v>0.8</v>
      </c>
      <c r="BC48">
        <f t="shared" si="17"/>
        <v>0</v>
      </c>
      <c r="BD48">
        <f t="shared" si="24"/>
        <v>0</v>
      </c>
      <c r="BE48">
        <f t="shared" si="25"/>
        <v>0</v>
      </c>
      <c r="BF48">
        <f t="shared" si="18"/>
        <v>253</v>
      </c>
      <c r="BG48">
        <f>IF($BE48="","",COUNTIFS($C$2:$C$596,$C48,$BE$2:$BE$596,"&gt;"&amp;$BE48)+COUNTIFS($C$2:$C48,$C48,$BE$2:$BE48,$BE48))</f>
        <v>125</v>
      </c>
    </row>
    <row r="49" spans="1:59" x14ac:dyDescent="0.25">
      <c r="A49" t="str">
        <f>Player_Analysis!A49</f>
        <v>George Hemmings</v>
      </c>
      <c r="B49">
        <f>Player_Analysis!C49</f>
        <v>2</v>
      </c>
      <c r="C49" t="str">
        <f>Player_Analysis!B49</f>
        <v>MID</v>
      </c>
      <c r="D49" s="13">
        <f>Player_Analysis!E49</f>
        <v>4.5</v>
      </c>
      <c r="E49">
        <f>Player_Analysis!I49</f>
        <v>234</v>
      </c>
      <c r="F49" s="8">
        <f>Player_Analysis!Z49</f>
        <v>3</v>
      </c>
      <c r="G49" s="17">
        <f t="shared" si="19"/>
        <v>1</v>
      </c>
      <c r="H49">
        <f t="shared" si="0"/>
        <v>90</v>
      </c>
      <c r="I49" s="8">
        <f>Player_Analysis!AF49</f>
        <v>0</v>
      </c>
      <c r="J49" s="8">
        <f>Player_Analysis!AG49</f>
        <v>0</v>
      </c>
      <c r="K49">
        <f>Player_Analysis!O49</f>
        <v>7.0000000000000007E-2</v>
      </c>
      <c r="L49">
        <f>Player_Analysis!P49</f>
        <v>0.15</v>
      </c>
      <c r="M49">
        <f t="shared" si="20"/>
        <v>2.6923076923076928E-2</v>
      </c>
      <c r="N49">
        <f t="shared" si="21"/>
        <v>5.7692307692307696E-2</v>
      </c>
      <c r="O49" s="2">
        <f>IF(E49=0,"",Player_Analysis!L49/E49*90)</f>
        <v>2.6923076923076925</v>
      </c>
      <c r="P49">
        <f>IF(E49=0,"",Player_Analysis!Q49/E49*90)</f>
        <v>8.461538461538462E-2</v>
      </c>
      <c r="Q49">
        <f>IF(E49=0,"",(Player_Analysis!AD49/E49)*90)</f>
        <v>11.153846153846153</v>
      </c>
      <c r="R49">
        <f>IF(E49=0,"",Player_Analysis!AA49/E49*90)</f>
        <v>6.9230769230769234</v>
      </c>
      <c r="S49" t="str">
        <f t="array" ref="S49">IFERROR(INDEX('2023_24'!$O:$O,MATCH($A49,'2023_24'!$A:$A,0)),"")</f>
        <v/>
      </c>
      <c r="T49" t="str">
        <f>IFERROR(INDEX('2024_25'!$P:$P,MATCH($A49,'2024_25'!$A:$A,0)),"")</f>
        <v/>
      </c>
      <c r="U49">
        <f>IFERROR(INDEX('2025_26'!$P:$P,MATCH($A49,'2025_26'!$A:$A,0)),"")</f>
        <v>0.14400000000000002</v>
      </c>
      <c r="V49" t="str">
        <f>IFERROR(INDEX('2023_24'!$P:$P,MATCH($A49,'2023_24'!$A:$A,0)),"")</f>
        <v/>
      </c>
      <c r="W49" t="str">
        <f>IFERROR(INDEX('2024_25'!$Q:$Q,MATCH($A49,'2024_25'!$A:$A,0)),"")</f>
        <v/>
      </c>
      <c r="X49">
        <f>IFERROR(INDEX('2025_26'!$Q:$Q,MATCH($A49,'2025_26'!$A:$A,0)),"")</f>
        <v>3.6000000000000004E-2</v>
      </c>
      <c r="Y49" t="str">
        <f>IFERROR(INDEX('2023_24'!$M:$M,MATCH($A49,'2023_24'!$A:$A,0))/INDEX('2023_24'!$G:$G,MATCH($A49,'2023_24'!$A:$A,0))*90,"")</f>
        <v/>
      </c>
      <c r="Z49" t="str">
        <f>IFERROR(INDEX('2024_25'!$M:$M,MATCH($A49,'2024_25'!$A:$A,0))/INDEX('2024_25'!$G:$G,MATCH($A49,'2024_25'!$A:$A,0))*90,"")</f>
        <v/>
      </c>
      <c r="AA49">
        <f>IFERROR(INDEX('2025_26'!$M:$M,MATCH($A49,'2025_26'!$A:$A,0))/INDEX('2025_26'!$G:$G,MATCH($A49,'2025_26'!$A:$A,0))*90,"")</f>
        <v>7.2</v>
      </c>
      <c r="AB49">
        <f>IFERROR(SUMPRODUCT(S49:U49,{0.2,0.3,0.5})/SUMPRODUCT(--(S49:U49&lt;&gt;""),{0.2,0.3,0.5}),"")</f>
        <v>0.14400000000000002</v>
      </c>
      <c r="AC49">
        <f>IFERROR(SUMPRODUCT(V49:X49,{0.2,0.3,0.5})/SUMPRODUCT(--(V49:X49&lt;&gt;""),{0.2,0.3,0.5}),"")</f>
        <v>3.6000000000000004E-2</v>
      </c>
      <c r="AD49">
        <f>IFERROR(SUMPRODUCT(Y49:AA49,{0.2,0.3,0.5})/SUMPRODUCT((Y49:AA49&lt;&gt;"")*{0.2,0.3,0.5}),O49)</f>
        <v>7.2</v>
      </c>
      <c r="AE49">
        <f t="shared" si="22"/>
        <v>1</v>
      </c>
      <c r="AF49">
        <f t="shared" si="26"/>
        <v>78</v>
      </c>
      <c r="AG49">
        <f t="shared" si="2"/>
        <v>5.2680000000000005E-2</v>
      </c>
      <c r="AH49">
        <f t="shared" si="3"/>
        <v>5.2920000000000009E-2</v>
      </c>
      <c r="AI49" s="2">
        <f t="shared" si="4"/>
        <v>3.6840000000000002</v>
      </c>
      <c r="AJ49">
        <f t="shared" si="5"/>
        <v>0.78</v>
      </c>
      <c r="AK49" t="str">
        <f t="shared" si="6"/>
        <v>NO</v>
      </c>
      <c r="AL49">
        <f t="shared" si="23"/>
        <v>5.2679999999999998E-2</v>
      </c>
      <c r="AM49">
        <f t="shared" si="7"/>
        <v>5.2920000000000002E-2</v>
      </c>
      <c r="AN49">
        <f t="shared" si="8"/>
        <v>5.2679999999999998E-2</v>
      </c>
      <c r="AO49">
        <f t="shared" si="9"/>
        <v>5.2920000000000002E-2</v>
      </c>
      <c r="AP49">
        <f t="array" ref="AP49">AL49*IF($C49="GKP",10,IF($C49="DEF",6,IF($C49="MID",5,4)))</f>
        <v>0.26339999999999997</v>
      </c>
      <c r="AQ49">
        <f t="shared" si="10"/>
        <v>0.15876000000000001</v>
      </c>
      <c r="AR49">
        <f t="shared" si="11"/>
        <v>2</v>
      </c>
      <c r="AS49" s="2">
        <f>IF($H49=0,0,Player_Analysis!$AM49*$H49/90)</f>
        <v>0.33333333333333331</v>
      </c>
      <c r="AT49">
        <f t="shared" si="12"/>
        <v>1.153846153846154</v>
      </c>
      <c r="AU49" s="2">
        <f>0</f>
        <v>0</v>
      </c>
      <c r="AV49" s="2">
        <f>IF(INDEX(FPL_Raw_Data!K:K,MATCH(A49,FPL_Raw_Data!AA:AA,0))=0,"",INDEX(FPL_Raw_Data!P:P,MATCH(A49,FPL_Raw_Data!AA:AA,0))/INDEX(FPL_Raw_Data!K:K,MATCH(A49,FPL_Raw_Data!AA:AA,0))*90)</f>
        <v>0</v>
      </c>
      <c r="AW49" s="2">
        <f t="shared" si="13"/>
        <v>0</v>
      </c>
      <c r="AX49" s="2">
        <f>IFERROR(INDEX(TEAM_ANALYSIS!$H$2:$H$21,MATCH($B49,TEAM_ANALYSIS!$A$2:$A$21,0)),0)</f>
        <v>1.6666666666666667</v>
      </c>
      <c r="AY49" s="2">
        <f t="shared" si="14"/>
        <v>0</v>
      </c>
      <c r="AZ49" s="2">
        <f t="shared" si="15"/>
        <v>3.9093394871794871</v>
      </c>
      <c r="BA49">
        <f t="shared" si="16"/>
        <v>0.86874210826210829</v>
      </c>
      <c r="BB49">
        <f>IFERROR(Player_Analysis!$Y49,1)</f>
        <v>0.8</v>
      </c>
      <c r="BC49">
        <f t="shared" si="17"/>
        <v>3.1274715897435899</v>
      </c>
      <c r="BD49">
        <f t="shared" si="24"/>
        <v>2.7169662624036937</v>
      </c>
      <c r="BE49">
        <f t="shared" si="25"/>
        <v>3.1274715897435899</v>
      </c>
      <c r="BF49">
        <f t="shared" si="18"/>
        <v>197</v>
      </c>
      <c r="BG49">
        <f>IF($BE49="","",COUNTIFS($C$2:$C$596,$C49,$BE$2:$BE$596,"&gt;"&amp;$BE49)+COUNTIFS($C$2:$C49,$C49,$BE$2:$BE49,$BE49))</f>
        <v>103</v>
      </c>
    </row>
    <row r="50" spans="1:59" x14ac:dyDescent="0.25">
      <c r="A50" t="str">
        <f>Player_Analysis!A50</f>
        <v>Alysson Edward Franco da Rocha dos Santos</v>
      </c>
      <c r="B50">
        <f>Player_Analysis!C50</f>
        <v>2</v>
      </c>
      <c r="C50" t="str">
        <f>Player_Analysis!B50</f>
        <v>MID</v>
      </c>
      <c r="D50" s="13">
        <f>Player_Analysis!E50</f>
        <v>5</v>
      </c>
      <c r="E50">
        <f>Player_Analysis!I50</f>
        <v>42</v>
      </c>
      <c r="F50" s="8">
        <f>Player_Analysis!Z50</f>
        <v>0</v>
      </c>
      <c r="G50" s="17">
        <f t="shared" si="19"/>
        <v>0</v>
      </c>
      <c r="H50">
        <f t="shared" si="0"/>
        <v>0</v>
      </c>
      <c r="I50" s="8">
        <f>Player_Analysis!AF50</f>
        <v>0</v>
      </c>
      <c r="J50" s="8">
        <f>Player_Analysis!AG50</f>
        <v>0</v>
      </c>
      <c r="K50">
        <f>Player_Analysis!O50</f>
        <v>0</v>
      </c>
      <c r="L50">
        <f>Player_Analysis!P50</f>
        <v>0</v>
      </c>
      <c r="M50">
        <f t="shared" si="20"/>
        <v>0</v>
      </c>
      <c r="N50">
        <f t="shared" si="21"/>
        <v>0</v>
      </c>
      <c r="O50" s="2">
        <f>IF(E50=0,"",Player_Analysis!L50/E50*90)</f>
        <v>4.2857142857142856</v>
      </c>
      <c r="P50">
        <f>IF(E50=0,"",Player_Analysis!Q50/E50*90)</f>
        <v>0</v>
      </c>
      <c r="Q50">
        <f>IF(E50=0,"",(Player_Analysis!AD50/E50)*90)</f>
        <v>21.428571428571427</v>
      </c>
      <c r="R50">
        <f>IF(E50=0,"",Player_Analysis!AA50/E50*90)</f>
        <v>12.857142857142856</v>
      </c>
      <c r="S50" t="str">
        <f t="array" ref="S50">IFERROR(INDEX('2023_24'!$O:$O,MATCH($A50,'2023_24'!$A:$A,0)),"")</f>
        <v/>
      </c>
      <c r="T50" t="str">
        <f>IFERROR(INDEX('2024_25'!$P:$P,MATCH($A50,'2024_25'!$A:$A,0)),"")</f>
        <v/>
      </c>
      <c r="U50">
        <f>IFERROR(INDEX('2025_26'!$P:$P,MATCH($A50,'2025_26'!$A:$A,0)),"")</f>
        <v>9.5744680851063829E-2</v>
      </c>
      <c r="V50" t="str">
        <f>IFERROR(INDEX('2023_24'!$P:$P,MATCH($A50,'2023_24'!$A:$A,0)),"")</f>
        <v/>
      </c>
      <c r="W50" t="str">
        <f>IFERROR(INDEX('2024_25'!$Q:$Q,MATCH($A50,'2024_25'!$A:$A,0)),"")</f>
        <v/>
      </c>
      <c r="X50">
        <f>IFERROR(INDEX('2025_26'!$Q:$Q,MATCH($A50,'2025_26'!$A:$A,0)),"")</f>
        <v>9.5744680851063829E-2</v>
      </c>
      <c r="Y50" t="str">
        <f>IFERROR(INDEX('2023_24'!$M:$M,MATCH($A50,'2023_24'!$A:$A,0))/INDEX('2023_24'!$G:$G,MATCH($A50,'2023_24'!$A:$A,0))*90,"")</f>
        <v/>
      </c>
      <c r="Z50" t="str">
        <f>IFERROR(INDEX('2024_25'!$M:$M,MATCH($A50,'2024_25'!$A:$A,0))/INDEX('2024_25'!$G:$G,MATCH($A50,'2024_25'!$A:$A,0))*90,"")</f>
        <v/>
      </c>
      <c r="AA50">
        <f>IFERROR(INDEX('2025_26'!$M:$M,MATCH($A50,'2025_26'!$A:$A,0))/INDEX('2025_26'!$G:$G,MATCH($A50,'2025_26'!$A:$A,0))*90,"")</f>
        <v>5.744680851063829</v>
      </c>
      <c r="AB50">
        <f>IFERROR(SUMPRODUCT(S50:U50,{0.2,0.3,0.5})/SUMPRODUCT(--(S50:U50&lt;&gt;""),{0.2,0.3,0.5}),"")</f>
        <v>9.5744680851063829E-2</v>
      </c>
      <c r="AC50">
        <f>IFERROR(SUMPRODUCT(V50:X50,{0.2,0.3,0.5})/SUMPRODUCT(--(V50:X50&lt;&gt;""),{0.2,0.3,0.5}),"")</f>
        <v>9.5744680851063829E-2</v>
      </c>
      <c r="AD50">
        <f>IFERROR(SUMPRODUCT(Y50:AA50,{0.2,0.3,0.5})/SUMPRODUCT((Y50:AA50&lt;&gt;"")*{0.2,0.3,0.5}),O50)</f>
        <v>5.744680851063829</v>
      </c>
      <c r="AE50">
        <f t="shared" si="22"/>
        <v>1</v>
      </c>
      <c r="AF50" t="str">
        <f t="shared" si="26"/>
        <v/>
      </c>
      <c r="AG50">
        <f t="shared" si="2"/>
        <v>8.2340425531914896E-2</v>
      </c>
      <c r="AH50">
        <f t="shared" si="3"/>
        <v>8.2340425531914896E-2</v>
      </c>
      <c r="AI50" s="2">
        <f t="shared" si="4"/>
        <v>5.5404255319148934</v>
      </c>
      <c r="AJ50">
        <f t="shared" si="5"/>
        <v>0.14000000000000001</v>
      </c>
      <c r="AK50" t="str">
        <f t="shared" si="6"/>
        <v>NO</v>
      </c>
      <c r="AL50">
        <f t="shared" si="23"/>
        <v>0</v>
      </c>
      <c r="AM50">
        <f t="shared" si="7"/>
        <v>0</v>
      </c>
      <c r="AN50">
        <f t="shared" si="8"/>
        <v>0</v>
      </c>
      <c r="AO50">
        <f t="shared" si="9"/>
        <v>0</v>
      </c>
      <c r="AP50">
        <f t="array" ref="AP50">AL50*IF($C50="GKP",10,IF($C50="DEF",6,IF($C50="MID",5,4)))</f>
        <v>0</v>
      </c>
      <c r="AQ50">
        <f t="shared" si="10"/>
        <v>0</v>
      </c>
      <c r="AR50">
        <f t="shared" si="11"/>
        <v>0</v>
      </c>
      <c r="AS50" s="2">
        <f>IF($H50=0,0,Player_Analysis!$AM50*$H50/90)</f>
        <v>0</v>
      </c>
      <c r="AT50">
        <f t="shared" si="12"/>
        <v>0</v>
      </c>
      <c r="AU50" s="2">
        <f>0</f>
        <v>0</v>
      </c>
      <c r="AV50" s="2">
        <f>IF(INDEX(FPL_Raw_Data!K:K,MATCH(A50,FPL_Raw_Data!AA:AA,0))=0,"",INDEX(FPL_Raw_Data!P:P,MATCH(A50,FPL_Raw_Data!AA:AA,0))/INDEX(FPL_Raw_Data!K:K,MATCH(A50,FPL_Raw_Data!AA:AA,0))*90)</f>
        <v>0</v>
      </c>
      <c r="AW50" s="2">
        <f t="shared" si="13"/>
        <v>0</v>
      </c>
      <c r="AX50" s="2">
        <f>IFERROR(INDEX(TEAM_ANALYSIS!$H$2:$H$21,MATCH($B50,TEAM_ANALYSIS!$A$2:$A$21,0)),0)</f>
        <v>1.6666666666666667</v>
      </c>
      <c r="AY50" s="2">
        <f t="shared" si="14"/>
        <v>0</v>
      </c>
      <c r="AZ50" s="2">
        <f t="shared" si="15"/>
        <v>0</v>
      </c>
      <c r="BA50">
        <f t="shared" si="16"/>
        <v>0</v>
      </c>
      <c r="BB50">
        <f>IFERROR(Player_Analysis!$Y50,1)</f>
        <v>0.8</v>
      </c>
      <c r="BC50">
        <f t="shared" si="17"/>
        <v>0</v>
      </c>
      <c r="BD50">
        <f t="shared" si="24"/>
        <v>0</v>
      </c>
      <c r="BE50">
        <f t="shared" si="25"/>
        <v>0</v>
      </c>
      <c r="BF50">
        <f t="shared" si="18"/>
        <v>253</v>
      </c>
      <c r="BG50">
        <f>IF($BE50="","",COUNTIFS($C$2:$C$596,$C50,$BE$2:$BE$596,"&gt;"&amp;$BE50)+COUNTIFS($C$2:$C50,$C50,$BE$2:$BE50,$BE50))</f>
        <v>126</v>
      </c>
    </row>
    <row r="51" spans="1:59" x14ac:dyDescent="0.25">
      <c r="A51" t="str">
        <f>Player_Analysis!A51</f>
        <v>Johan Manzambi</v>
      </c>
      <c r="B51">
        <f>Player_Analysis!C51</f>
        <v>2</v>
      </c>
      <c r="C51" t="str">
        <f>Player_Analysis!B51</f>
        <v>MID</v>
      </c>
      <c r="D51" s="13">
        <f>Player_Analysis!E51</f>
        <v>5.9</v>
      </c>
      <c r="E51">
        <f>Player_Analysis!I51</f>
        <v>0</v>
      </c>
      <c r="F51" s="8">
        <f>Player_Analysis!Z51</f>
        <v>0</v>
      </c>
      <c r="G51" s="17">
        <f t="shared" si="19"/>
        <v>0</v>
      </c>
      <c r="H51">
        <f t="shared" si="0"/>
        <v>0</v>
      </c>
      <c r="I51" s="8">
        <f>Player_Analysis!AF51</f>
        <v>0</v>
      </c>
      <c r="J51" s="8">
        <f>Player_Analysis!AG51</f>
        <v>0</v>
      </c>
      <c r="K51">
        <f>Player_Analysis!O51</f>
        <v>0</v>
      </c>
      <c r="L51">
        <f>Player_Analysis!P51</f>
        <v>0</v>
      </c>
      <c r="M51" t="str">
        <f t="shared" si="20"/>
        <v/>
      </c>
      <c r="N51" t="str">
        <f t="shared" si="21"/>
        <v/>
      </c>
      <c r="O51" s="2" t="str">
        <f>IF(E51=0,"",Player_Analysis!L51/E51*90)</f>
        <v/>
      </c>
      <c r="P51" t="str">
        <f>IF(E51=0,"",Player_Analysis!Q51/E51*90)</f>
        <v/>
      </c>
      <c r="Q51" t="str">
        <f>IF(E51=0,"",(Player_Analysis!AD51/E51)*90)</f>
        <v/>
      </c>
      <c r="R51" t="str">
        <f>IF(E51=0,"",Player_Analysis!AA51/E51*90)</f>
        <v/>
      </c>
      <c r="S51" t="str">
        <f t="array" ref="S51">IFERROR(INDEX('2023_24'!$O:$O,MATCH($A51,'2023_24'!$A:$A,0)),"")</f>
        <v/>
      </c>
      <c r="T51" t="str">
        <f>IFERROR(INDEX('2024_25'!$P:$P,MATCH($A51,'2024_25'!$A:$A,0)),"")</f>
        <v/>
      </c>
      <c r="U51" t="str">
        <f>IFERROR(INDEX('2025_26'!$P:$P,MATCH($A51,'2025_26'!$A:$A,0)),"")</f>
        <v/>
      </c>
      <c r="V51" t="str">
        <f>IFERROR(INDEX('2023_24'!$P:$P,MATCH($A51,'2023_24'!$A:$A,0)),"")</f>
        <v/>
      </c>
      <c r="W51" t="str">
        <f>IFERROR(INDEX('2024_25'!$Q:$Q,MATCH($A51,'2024_25'!$A:$A,0)),"")</f>
        <v/>
      </c>
      <c r="X51" t="str">
        <f>IFERROR(INDEX('2025_26'!$Q:$Q,MATCH($A51,'2025_26'!$A:$A,0)),"")</f>
        <v/>
      </c>
      <c r="Y51" t="str">
        <f>IFERROR(INDEX('2023_24'!$M:$M,MATCH($A51,'2023_24'!$A:$A,0))/INDEX('2023_24'!$G:$G,MATCH($A51,'2023_24'!$A:$A,0))*90,"")</f>
        <v/>
      </c>
      <c r="Z51" t="str">
        <f>IFERROR(INDEX('2024_25'!$M:$M,MATCH($A51,'2024_25'!$A:$A,0))/INDEX('2024_25'!$G:$G,MATCH($A51,'2024_25'!$A:$A,0))*90,"")</f>
        <v/>
      </c>
      <c r="AA51" t="str">
        <f>IFERROR(INDEX('2025_26'!$M:$M,MATCH($A51,'2025_26'!$A:$A,0))/INDEX('2025_26'!$G:$G,MATCH($A51,'2025_26'!$A:$A,0))*90,"")</f>
        <v/>
      </c>
      <c r="AB51" t="str">
        <f>IFERROR(SUMPRODUCT(S51:U51,{0.2,0.3,0.5})/SUMPRODUCT(--(S51:U51&lt;&gt;""),{0.2,0.3,0.5}),"")</f>
        <v/>
      </c>
      <c r="AC51" t="str">
        <f>IFERROR(SUMPRODUCT(V51:X51,{0.2,0.3,0.5})/SUMPRODUCT(--(V51:X51&lt;&gt;""),{0.2,0.3,0.5}),"")</f>
        <v/>
      </c>
      <c r="AD51" t="str">
        <f>IFERROR(SUMPRODUCT(Y51:AA51,{0.2,0.3,0.5})/SUMPRODUCT((Y51:AA51&lt;&gt;"")*{0.2,0.3,0.5}),O51)</f>
        <v/>
      </c>
      <c r="AE51">
        <f t="shared" si="22"/>
        <v>0</v>
      </c>
      <c r="AF51" t="str">
        <f t="shared" si="26"/>
        <v/>
      </c>
      <c r="AG51">
        <f t="shared" si="2"/>
        <v>0</v>
      </c>
      <c r="AH51">
        <f t="shared" si="3"/>
        <v>0</v>
      </c>
      <c r="AI51" s="2">
        <f t="shared" si="4"/>
        <v>0</v>
      </c>
      <c r="AJ51">
        <f t="shared" si="5"/>
        <v>0</v>
      </c>
      <c r="AK51" t="str">
        <f t="shared" si="6"/>
        <v>YES</v>
      </c>
      <c r="AL51">
        <f t="shared" si="23"/>
        <v>0</v>
      </c>
      <c r="AM51">
        <f t="shared" si="7"/>
        <v>0</v>
      </c>
      <c r="AN51">
        <f t="shared" si="8"/>
        <v>0</v>
      </c>
      <c r="AO51">
        <f t="shared" si="9"/>
        <v>0</v>
      </c>
      <c r="AP51">
        <f t="array" ref="AP51">AL51*IF($C51="GKP",10,IF($C51="DEF",6,IF($C51="MID",5,4)))</f>
        <v>0</v>
      </c>
      <c r="AQ51">
        <f t="shared" si="10"/>
        <v>0</v>
      </c>
      <c r="AR51">
        <f t="shared" si="11"/>
        <v>0</v>
      </c>
      <c r="AS51" s="2">
        <f>IF($H51=0,0,Player_Analysis!$AM51*$H51/90)</f>
        <v>0</v>
      </c>
      <c r="AT51">
        <f t="shared" si="12"/>
        <v>0</v>
      </c>
      <c r="AU51" s="2">
        <f>0</f>
        <v>0</v>
      </c>
      <c r="AV51" s="2" t="str">
        <f>IF(INDEX(FPL_Raw_Data!K:K,MATCH(A51,FPL_Raw_Data!AA:AA,0))=0,"",INDEX(FPL_Raw_Data!P:P,MATCH(A51,FPL_Raw_Data!AA:AA,0))/INDEX(FPL_Raw_Data!K:K,MATCH(A51,FPL_Raw_Data!AA:AA,0))*90)</f>
        <v/>
      </c>
      <c r="AW51" s="2">
        <f t="shared" si="13"/>
        <v>0</v>
      </c>
      <c r="AX51" s="2">
        <f>IFERROR(INDEX(TEAM_ANALYSIS!$H$2:$H$21,MATCH($B51,TEAM_ANALYSIS!$A$2:$A$21,0)),0)</f>
        <v>1.6666666666666667</v>
      </c>
      <c r="AY51" s="2">
        <f t="shared" si="14"/>
        <v>0</v>
      </c>
      <c r="AZ51" s="2">
        <f t="shared" si="15"/>
        <v>0</v>
      </c>
      <c r="BA51">
        <f t="shared" si="16"/>
        <v>0</v>
      </c>
      <c r="BB51">
        <f>IFERROR(Player_Analysis!$Y51,1)</f>
        <v>0.8</v>
      </c>
      <c r="BC51">
        <f t="shared" si="17"/>
        <v>0</v>
      </c>
      <c r="BD51">
        <f t="shared" si="24"/>
        <v>0</v>
      </c>
      <c r="BE51">
        <f t="shared" si="25"/>
        <v>0</v>
      </c>
      <c r="BF51">
        <f t="shared" si="18"/>
        <v>253</v>
      </c>
      <c r="BG51">
        <f>IF($BE51="","",COUNTIFS($C$2:$C$596,$C51,$BE$2:$BE$596,"&gt;"&amp;$BE51)+COUNTIFS($C$2:$C51,$C51,$BE$2:$BE51,$BE51))</f>
        <v>127</v>
      </c>
    </row>
    <row r="52" spans="1:59" x14ac:dyDescent="0.25">
      <c r="A52" t="str">
        <f>Player_Analysis!A52</f>
        <v>Joao Gomes</v>
      </c>
      <c r="B52">
        <f>Player_Analysis!C52</f>
        <v>2</v>
      </c>
      <c r="C52" t="str">
        <f>Player_Analysis!B52</f>
        <v>MID</v>
      </c>
      <c r="D52" s="13">
        <f>Player_Analysis!E52</f>
        <v>5.5</v>
      </c>
      <c r="E52">
        <f>Player_Analysis!I52</f>
        <v>39</v>
      </c>
      <c r="F52" s="8">
        <f>Player_Analysis!Z52</f>
        <v>1</v>
      </c>
      <c r="G52" s="17">
        <f t="shared" si="19"/>
        <v>1</v>
      </c>
      <c r="H52">
        <f t="shared" si="0"/>
        <v>90</v>
      </c>
      <c r="I52" s="8">
        <f>Player_Analysis!AF52</f>
        <v>0</v>
      </c>
      <c r="J52" s="8">
        <f>Player_Analysis!AG52</f>
        <v>0</v>
      </c>
      <c r="K52">
        <f>Player_Analysis!O52</f>
        <v>0</v>
      </c>
      <c r="L52">
        <f>Player_Analysis!P52</f>
        <v>0.01</v>
      </c>
      <c r="M52">
        <f t="shared" si="20"/>
        <v>0</v>
      </c>
      <c r="N52">
        <f t="shared" si="21"/>
        <v>2.3076923076923078E-2</v>
      </c>
      <c r="O52" s="2">
        <f>IF(E52=0,"",Player_Analysis!L52/E52*90)</f>
        <v>-4.615384615384615</v>
      </c>
      <c r="P52">
        <f>IF(E52=0,"",Player_Analysis!Q52/E52*90)</f>
        <v>2.3076923076923078E-2</v>
      </c>
      <c r="Q52">
        <f>IF(E52=0,"",(Player_Analysis!AD52/E52)*90)</f>
        <v>-4.615384615384615</v>
      </c>
      <c r="R52">
        <f>IF(E52=0,"",Player_Analysis!AA52/E52*90)</f>
        <v>16.153846153846153</v>
      </c>
      <c r="S52" t="str">
        <f t="array" ref="S52">IFERROR(INDEX('2023_24'!$O:$O,MATCH($A52,'2023_24'!$A:$A,0)),"")</f>
        <v/>
      </c>
      <c r="T52" t="str">
        <f>IFERROR(INDEX('2024_25'!$P:$P,MATCH($A52,'2024_25'!$A:$A,0)),"")</f>
        <v/>
      </c>
      <c r="U52" t="str">
        <f>IFERROR(INDEX('2025_26'!$P:$P,MATCH($A52,'2025_26'!$A:$A,0)),"")</f>
        <v/>
      </c>
      <c r="V52" t="str">
        <f>IFERROR(INDEX('2023_24'!$P:$P,MATCH($A52,'2023_24'!$A:$A,0)),"")</f>
        <v/>
      </c>
      <c r="W52" t="str">
        <f>IFERROR(INDEX('2024_25'!$Q:$Q,MATCH($A52,'2024_25'!$A:$A,0)),"")</f>
        <v/>
      </c>
      <c r="X52" t="str">
        <f>IFERROR(INDEX('2025_26'!$Q:$Q,MATCH($A52,'2025_26'!$A:$A,0)),"")</f>
        <v/>
      </c>
      <c r="Y52" t="str">
        <f>IFERROR(INDEX('2023_24'!$M:$M,MATCH($A52,'2023_24'!$A:$A,0))/INDEX('2023_24'!$G:$G,MATCH($A52,'2023_24'!$A:$A,0))*90,"")</f>
        <v/>
      </c>
      <c r="Z52" t="str">
        <f>IFERROR(INDEX('2024_25'!$M:$M,MATCH($A52,'2024_25'!$A:$A,0))/INDEX('2024_25'!$G:$G,MATCH($A52,'2024_25'!$A:$A,0))*90,"")</f>
        <v/>
      </c>
      <c r="AA52" t="str">
        <f>IFERROR(INDEX('2025_26'!$M:$M,MATCH($A52,'2025_26'!$A:$A,0))/INDEX('2025_26'!$G:$G,MATCH($A52,'2025_26'!$A:$A,0))*90,"")</f>
        <v/>
      </c>
      <c r="AB52" t="str">
        <f>IFERROR(SUMPRODUCT(S52:U52,{0.2,0.3,0.5})/SUMPRODUCT(--(S52:U52&lt;&gt;""),{0.2,0.3,0.5}),"")</f>
        <v/>
      </c>
      <c r="AC52" t="str">
        <f>IFERROR(SUMPRODUCT(V52:X52,{0.2,0.3,0.5})/SUMPRODUCT(--(V52:X52&lt;&gt;""),{0.2,0.3,0.5}),"")</f>
        <v/>
      </c>
      <c r="AD52">
        <f>IFERROR(SUMPRODUCT(Y52:AA52,{0.2,0.3,0.5})/SUMPRODUCT((Y52:AA52&lt;&gt;"")*{0.2,0.3,0.5}),O52)</f>
        <v>-4.615384615384615</v>
      </c>
      <c r="AE52">
        <f t="shared" si="22"/>
        <v>0</v>
      </c>
      <c r="AF52">
        <f t="shared" si="26"/>
        <v>39</v>
      </c>
      <c r="AG52">
        <f t="shared" si="2"/>
        <v>0</v>
      </c>
      <c r="AH52">
        <f t="shared" si="3"/>
        <v>2.3076923076923078E-2</v>
      </c>
      <c r="AI52" s="2">
        <f t="shared" si="4"/>
        <v>-4.615384615384615</v>
      </c>
      <c r="AJ52">
        <f t="shared" si="5"/>
        <v>0.13</v>
      </c>
      <c r="AK52" t="str">
        <f t="shared" si="6"/>
        <v>YES</v>
      </c>
      <c r="AL52">
        <f t="shared" si="23"/>
        <v>0</v>
      </c>
      <c r="AM52">
        <f t="shared" si="7"/>
        <v>2.3076923076923078E-2</v>
      </c>
      <c r="AN52">
        <f t="shared" si="8"/>
        <v>0</v>
      </c>
      <c r="AO52">
        <f t="shared" si="9"/>
        <v>2.3076923076923078E-2</v>
      </c>
      <c r="AP52">
        <f t="array" ref="AP52">AL52*IF($C52="GKP",10,IF($C52="DEF",6,IF($C52="MID",5,4)))</f>
        <v>0</v>
      </c>
      <c r="AQ52">
        <f t="shared" si="10"/>
        <v>6.9230769230769235E-2</v>
      </c>
      <c r="AR52">
        <f t="shared" si="11"/>
        <v>2</v>
      </c>
      <c r="AS52" s="2">
        <f>IF($H52=0,0,Player_Analysis!$AM52*$H52/90)</f>
        <v>0</v>
      </c>
      <c r="AT52">
        <f t="shared" si="12"/>
        <v>2.6923076923076921</v>
      </c>
      <c r="AU52" s="2">
        <f>0</f>
        <v>0</v>
      </c>
      <c r="AV52" s="2">
        <f>IF(INDEX(FPL_Raw_Data!K:K,MATCH(A52,FPL_Raw_Data!AA:AA,0))=0,"",INDEX(FPL_Raw_Data!P:P,MATCH(A52,FPL_Raw_Data!AA:AA,0))/INDEX(FPL_Raw_Data!K:K,MATCH(A52,FPL_Raw_Data!AA:AA,0))*90)</f>
        <v>0</v>
      </c>
      <c r="AW52" s="2">
        <f t="shared" si="13"/>
        <v>0</v>
      </c>
      <c r="AX52" s="2">
        <f>IFERROR(INDEX(TEAM_ANALYSIS!$H$2:$H$21,MATCH($B52,TEAM_ANALYSIS!$A$2:$A$21,0)),0)</f>
        <v>1.6666666666666667</v>
      </c>
      <c r="AY52" s="2">
        <f t="shared" si="14"/>
        <v>0</v>
      </c>
      <c r="AZ52" s="2">
        <f t="shared" si="15"/>
        <v>4.7615384615384615</v>
      </c>
      <c r="BA52">
        <f t="shared" si="16"/>
        <v>0.86573426573426571</v>
      </c>
      <c r="BB52">
        <f>IFERROR(Player_Analysis!$Y52,1)</f>
        <v>0.8</v>
      </c>
      <c r="BC52">
        <f t="shared" si="17"/>
        <v>3.8092307692307692</v>
      </c>
      <c r="BD52">
        <f t="shared" si="24"/>
        <v>3.2977816030123721</v>
      </c>
      <c r="BE52">
        <f t="shared" si="25"/>
        <v>3.8092307692307692</v>
      </c>
      <c r="BF52">
        <f t="shared" si="18"/>
        <v>171</v>
      </c>
      <c r="BG52">
        <f>IF($BE52="","",COUNTIFS($C$2:$C$596,$C52,$BE$2:$BE$596,"&gt;"&amp;$BE52)+COUNTIFS($C$2:$C52,$C52,$BE$2:$BE52,$BE52))</f>
        <v>88</v>
      </c>
    </row>
    <row r="53" spans="1:59" x14ac:dyDescent="0.25">
      <c r="A53" t="str">
        <f>Player_Analysis!A53</f>
        <v>Ollie Watkins</v>
      </c>
      <c r="B53">
        <f>Player_Analysis!C53</f>
        <v>2</v>
      </c>
      <c r="C53" t="str">
        <f>Player_Analysis!B53</f>
        <v>FWD</v>
      </c>
      <c r="D53" s="13">
        <f>Player_Analysis!E53</f>
        <v>7.8</v>
      </c>
      <c r="E53">
        <f>Player_Analysis!I53</f>
        <v>0</v>
      </c>
      <c r="F53" s="8">
        <f>Player_Analysis!Z53</f>
        <v>0</v>
      </c>
      <c r="G53" s="17">
        <f t="shared" si="19"/>
        <v>0</v>
      </c>
      <c r="H53">
        <f t="shared" si="0"/>
        <v>0</v>
      </c>
      <c r="I53" s="8">
        <f>Player_Analysis!AF53</f>
        <v>0</v>
      </c>
      <c r="J53" s="8">
        <f>Player_Analysis!AG53</f>
        <v>0</v>
      </c>
      <c r="K53">
        <f>Player_Analysis!O53</f>
        <v>0</v>
      </c>
      <c r="L53">
        <f>Player_Analysis!P53</f>
        <v>0</v>
      </c>
      <c r="M53" t="str">
        <f t="shared" si="20"/>
        <v/>
      </c>
      <c r="N53" t="str">
        <f t="shared" si="21"/>
        <v/>
      </c>
      <c r="O53" s="2" t="str">
        <f>IF(E53=0,"",Player_Analysis!L53/E53*90)</f>
        <v/>
      </c>
      <c r="P53" t="str">
        <f>IF(E53=0,"",Player_Analysis!Q53/E53*90)</f>
        <v/>
      </c>
      <c r="Q53" t="str">
        <f>IF(E53=0,"",(Player_Analysis!AD53/E53)*90)</f>
        <v/>
      </c>
      <c r="R53" t="str">
        <f>IF(E53=0,"",Player_Analysis!AA53/E53*90)</f>
        <v/>
      </c>
      <c r="S53">
        <f t="array" ref="S53">IFERROR(INDEX('2023_24'!$O:$O,MATCH($A53,'2023_24'!$A:$A,0)),"")</f>
        <v>0.46759776536312847</v>
      </c>
      <c r="T53">
        <f>IFERROR(INDEX('2024_25'!$P:$P,MATCH($A53,'2024_25'!$A:$A,0)),"")</f>
        <v>0.52479753181642885</v>
      </c>
      <c r="U53">
        <f>IFERROR(INDEX('2025_26'!$P:$P,MATCH($A53,'2025_26'!$A:$A,0)),"")</f>
        <v>0.48923402753265094</v>
      </c>
      <c r="V53">
        <f>IFERROR(INDEX('2023_24'!$P:$P,MATCH($A53,'2023_24'!$A:$A,0)),"")</f>
        <v>0.11229050279329608</v>
      </c>
      <c r="W53">
        <f>IFERROR(INDEX('2024_25'!$Q:$Q,MATCH($A53,'2024_25'!$A:$A,0)),"")</f>
        <v>7.1847281141534908E-2</v>
      </c>
      <c r="X53">
        <f>IFERROR(INDEX('2025_26'!$Q:$Q,MATCH($A53,'2025_26'!$A:$A,0)),"")</f>
        <v>3.7486763148605717E-2</v>
      </c>
      <c r="Y53">
        <f>IFERROR(INDEX('2023_24'!$M:$M,MATCH($A53,'2023_24'!$A:$A,0))/INDEX('2023_24'!$G:$G,MATCH($A53,'2023_24'!$A:$A,0))*90,"")</f>
        <v>6.3687150837988824</v>
      </c>
      <c r="Z53">
        <f>IFERROR(INDEX('2024_25'!$M:$M,MATCH($A53,'2024_25'!$A:$A,0))/INDEX('2024_25'!$G:$G,MATCH($A53,'2024_25'!$A:$A,0))*90,"")</f>
        <v>6.4558426532973385</v>
      </c>
      <c r="AA53">
        <f>IFERROR(INDEX('2025_26'!$M:$M,MATCH($A53,'2025_26'!$A:$A,0))/INDEX('2025_26'!$G:$G,MATCH($A53,'2025_26'!$A:$A,0))*90,"")</f>
        <v>5.3053300388280977</v>
      </c>
      <c r="AB53">
        <f>IFERROR(SUMPRODUCT(S53:U53,{0.2,0.3,0.5})/SUMPRODUCT(--(S53:U53&lt;&gt;""),{0.2,0.3,0.5}),"")</f>
        <v>0.49557582638387987</v>
      </c>
      <c r="AC53">
        <f>IFERROR(SUMPRODUCT(V53:X53,{0.2,0.3,0.5})/SUMPRODUCT(--(V53:X53&lt;&gt;""),{0.2,0.3,0.5}),"")</f>
        <v>6.275566647542255E-2</v>
      </c>
      <c r="AD53">
        <f>IFERROR(SUMPRODUCT(Y53:AA53,{0.2,0.3,0.5})/SUMPRODUCT((Y53:AA53&lt;&gt;"")*{0.2,0.3,0.5}),O53)</f>
        <v>5.8631608321630271</v>
      </c>
      <c r="AE53">
        <f t="shared" si="22"/>
        <v>3</v>
      </c>
      <c r="AF53" t="str">
        <f t="shared" si="26"/>
        <v/>
      </c>
      <c r="AG53">
        <f t="shared" si="2"/>
        <v>0.49557582638387987</v>
      </c>
      <c r="AH53">
        <f t="shared" si="3"/>
        <v>6.275566647542255E-2</v>
      </c>
      <c r="AI53" s="2">
        <f t="shared" si="4"/>
        <v>5.8631608321630271</v>
      </c>
      <c r="AJ53">
        <f t="shared" si="5"/>
        <v>0</v>
      </c>
      <c r="AK53" t="str">
        <f t="shared" si="6"/>
        <v>NO</v>
      </c>
      <c r="AL53">
        <f t="shared" si="23"/>
        <v>0</v>
      </c>
      <c r="AM53">
        <f t="shared" si="7"/>
        <v>0</v>
      </c>
      <c r="AN53">
        <f t="shared" si="8"/>
        <v>0</v>
      </c>
      <c r="AO53">
        <f t="shared" si="9"/>
        <v>0</v>
      </c>
      <c r="AP53">
        <f t="array" ref="AP53">AL53*IF($C53="GKP",10,IF($C53="DEF",6,IF($C53="MID",5,4)))</f>
        <v>0</v>
      </c>
      <c r="AQ53">
        <f t="shared" si="10"/>
        <v>0</v>
      </c>
      <c r="AR53">
        <f t="shared" si="11"/>
        <v>0</v>
      </c>
      <c r="AS53" s="2">
        <f>IF($H53=0,0,Player_Analysis!$AM53*$H53/90)</f>
        <v>0</v>
      </c>
      <c r="AT53">
        <f t="shared" si="12"/>
        <v>0</v>
      </c>
      <c r="AU53" s="2">
        <f>0</f>
        <v>0</v>
      </c>
      <c r="AV53" s="2" t="str">
        <f>IF(INDEX(FPL_Raw_Data!K:K,MATCH(A53,FPL_Raw_Data!AA:AA,0))=0,"",INDEX(FPL_Raw_Data!P:P,MATCH(A53,FPL_Raw_Data!AA:AA,0))/INDEX(FPL_Raw_Data!K:K,MATCH(A53,FPL_Raw_Data!AA:AA,0))*90)</f>
        <v/>
      </c>
      <c r="AW53" s="2">
        <f t="shared" si="13"/>
        <v>0</v>
      </c>
      <c r="AX53" s="2">
        <f>IFERROR(INDEX(TEAM_ANALYSIS!$H$2:$H$21,MATCH($B53,TEAM_ANALYSIS!$A$2:$A$21,0)),0)</f>
        <v>1.6666666666666667</v>
      </c>
      <c r="AY53" s="2">
        <f t="shared" si="14"/>
        <v>0</v>
      </c>
      <c r="AZ53" s="2">
        <f t="shared" si="15"/>
        <v>0</v>
      </c>
      <c r="BA53">
        <f t="shared" si="16"/>
        <v>0</v>
      </c>
      <c r="BB53">
        <f>IFERROR(Player_Analysis!$Y53,1)</f>
        <v>0.8</v>
      </c>
      <c r="BC53">
        <f t="shared" si="17"/>
        <v>0</v>
      </c>
      <c r="BD53">
        <f t="shared" si="24"/>
        <v>0</v>
      </c>
      <c r="BE53">
        <f t="shared" si="25"/>
        <v>0</v>
      </c>
      <c r="BF53">
        <f t="shared" si="18"/>
        <v>253</v>
      </c>
      <c r="BG53">
        <f>IF($BE53="","",COUNTIFS($C$2:$C$596,$C53,$BE$2:$BE$596,"&gt;"&amp;$BE53)+COUNTIFS($C$2:$C53,$C53,$BE$2:$BE53,$BE53))</f>
        <v>28</v>
      </c>
    </row>
    <row r="54" spans="1:59" x14ac:dyDescent="0.25">
      <c r="A54" t="str">
        <f>Player_Analysis!A54</f>
        <v>Tammy Abraham</v>
      </c>
      <c r="B54">
        <f>Player_Analysis!C54</f>
        <v>2</v>
      </c>
      <c r="C54" t="str">
        <f>Player_Analysis!B54</f>
        <v>FWD</v>
      </c>
      <c r="D54" s="13">
        <f>Player_Analysis!E54</f>
        <v>5.5</v>
      </c>
      <c r="E54">
        <f>Player_Analysis!I54</f>
        <v>24</v>
      </c>
      <c r="F54" s="8">
        <f>Player_Analysis!Z54</f>
        <v>0</v>
      </c>
      <c r="G54" s="17">
        <f t="shared" si="19"/>
        <v>0</v>
      </c>
      <c r="H54">
        <f t="shared" si="0"/>
        <v>0</v>
      </c>
      <c r="I54" s="8">
        <f>Player_Analysis!AF54</f>
        <v>0</v>
      </c>
      <c r="J54" s="8">
        <f>Player_Analysis!AG54</f>
        <v>0</v>
      </c>
      <c r="K54">
        <f>Player_Analysis!O54</f>
        <v>0</v>
      </c>
      <c r="L54">
        <f>Player_Analysis!P54</f>
        <v>0</v>
      </c>
      <c r="M54">
        <f t="shared" si="20"/>
        <v>0</v>
      </c>
      <c r="N54">
        <f t="shared" si="21"/>
        <v>0</v>
      </c>
      <c r="O54" s="2">
        <f>IF(E54=0,"",Player_Analysis!L54/E54*90)</f>
        <v>7.5</v>
      </c>
      <c r="P54">
        <f>IF(E54=0,"",Player_Analysis!Q54/E54*90)</f>
        <v>0</v>
      </c>
      <c r="Q54">
        <f>IF(E54=0,"",(Player_Analysis!AD54/E54)*90)</f>
        <v>22.5</v>
      </c>
      <c r="R54">
        <f>IF(E54=0,"",Player_Analysis!AA54/E54*90)</f>
        <v>3.75</v>
      </c>
      <c r="S54" t="str">
        <f t="array" ref="S54">IFERROR(INDEX('2023_24'!$O:$O,MATCH($A54,'2023_24'!$A:$A,0)),"")</f>
        <v/>
      </c>
      <c r="T54" t="str">
        <f>IFERROR(INDEX('2024_25'!$P:$P,MATCH($A54,'2024_25'!$A:$A,0)),"")</f>
        <v/>
      </c>
      <c r="U54">
        <f>IFERROR(INDEX('2025_26'!$P:$P,MATCH($A54,'2025_26'!$A:$A,0)),"")</f>
        <v>0.66366906474820142</v>
      </c>
      <c r="V54" t="str">
        <f>IFERROR(INDEX('2023_24'!$P:$P,MATCH($A54,'2023_24'!$A:$A,0)),"")</f>
        <v/>
      </c>
      <c r="W54" t="str">
        <f>IFERROR(INDEX('2024_25'!$Q:$Q,MATCH($A54,'2024_25'!$A:$A,0)),"")</f>
        <v/>
      </c>
      <c r="X54">
        <f>IFERROR(INDEX('2025_26'!$Q:$Q,MATCH($A54,'2025_26'!$A:$A,0)),"")</f>
        <v>0.11654676258992806</v>
      </c>
      <c r="Y54" t="str">
        <f>IFERROR(INDEX('2023_24'!$M:$M,MATCH($A54,'2023_24'!$A:$A,0))/INDEX('2023_24'!$G:$G,MATCH($A54,'2023_24'!$A:$A,0))*90,"")</f>
        <v/>
      </c>
      <c r="Z54" t="str">
        <f>IFERROR(INDEX('2024_25'!$M:$M,MATCH($A54,'2024_25'!$A:$A,0))/INDEX('2024_25'!$G:$G,MATCH($A54,'2024_25'!$A:$A,0))*90,"")</f>
        <v/>
      </c>
      <c r="AA54">
        <f>IFERROR(INDEX('2025_26'!$M:$M,MATCH($A54,'2025_26'!$A:$A,0))/INDEX('2025_26'!$G:$G,MATCH($A54,'2025_26'!$A:$A,0))*90,"")</f>
        <v>7.4460431654676258</v>
      </c>
      <c r="AB54">
        <f>IFERROR(SUMPRODUCT(S54:U54,{0.2,0.3,0.5})/SUMPRODUCT(--(S54:U54&lt;&gt;""),{0.2,0.3,0.5}),"")</f>
        <v>0.66366906474820142</v>
      </c>
      <c r="AC54">
        <f>IFERROR(SUMPRODUCT(V54:X54,{0.2,0.3,0.5})/SUMPRODUCT(--(V54:X54&lt;&gt;""),{0.2,0.3,0.5}),"")</f>
        <v>0.11654676258992806</v>
      </c>
      <c r="AD54">
        <f>IFERROR(SUMPRODUCT(Y54:AA54,{0.2,0.3,0.5})/SUMPRODUCT((Y54:AA54&lt;&gt;"")*{0.2,0.3,0.5}),O54)</f>
        <v>7.4460431654676258</v>
      </c>
      <c r="AE54">
        <f t="shared" si="22"/>
        <v>1</v>
      </c>
      <c r="AF54" t="str">
        <f t="shared" si="26"/>
        <v/>
      </c>
      <c r="AG54">
        <f t="shared" si="2"/>
        <v>0.61057553956834532</v>
      </c>
      <c r="AH54">
        <f t="shared" si="3"/>
        <v>0.10722302158273382</v>
      </c>
      <c r="AI54" s="2">
        <f t="shared" si="4"/>
        <v>7.4503597122302159</v>
      </c>
      <c r="AJ54">
        <f t="shared" si="5"/>
        <v>0.08</v>
      </c>
      <c r="AK54" t="str">
        <f t="shared" si="6"/>
        <v>NO</v>
      </c>
      <c r="AL54">
        <f t="shared" si="23"/>
        <v>0</v>
      </c>
      <c r="AM54">
        <f t="shared" si="7"/>
        <v>0</v>
      </c>
      <c r="AN54">
        <f t="shared" si="8"/>
        <v>0</v>
      </c>
      <c r="AO54">
        <f t="shared" si="9"/>
        <v>0</v>
      </c>
      <c r="AP54">
        <f t="array" ref="AP54">AL54*IF($C54="GKP",10,IF($C54="DEF",6,IF($C54="MID",5,4)))</f>
        <v>0</v>
      </c>
      <c r="AQ54">
        <f t="shared" si="10"/>
        <v>0</v>
      </c>
      <c r="AR54">
        <f t="shared" si="11"/>
        <v>0</v>
      </c>
      <c r="AS54" s="2">
        <f>IF($H54=0,0,Player_Analysis!$AM54*$H54/90)</f>
        <v>0</v>
      </c>
      <c r="AT54">
        <f t="shared" si="12"/>
        <v>0</v>
      </c>
      <c r="AU54" s="2">
        <f>0</f>
        <v>0</v>
      </c>
      <c r="AV54" s="2">
        <f>IF(INDEX(FPL_Raw_Data!K:K,MATCH(A54,FPL_Raw_Data!AA:AA,0))=0,"",INDEX(FPL_Raw_Data!P:P,MATCH(A54,FPL_Raw_Data!AA:AA,0))/INDEX(FPL_Raw_Data!K:K,MATCH(A54,FPL_Raw_Data!AA:AA,0))*90)</f>
        <v>0</v>
      </c>
      <c r="AW54" s="2">
        <f t="shared" si="13"/>
        <v>0</v>
      </c>
      <c r="AX54" s="2">
        <f>IFERROR(INDEX(TEAM_ANALYSIS!$H$2:$H$21,MATCH($B54,TEAM_ANALYSIS!$A$2:$A$21,0)),0)</f>
        <v>1.6666666666666667</v>
      </c>
      <c r="AY54" s="2">
        <f t="shared" si="14"/>
        <v>0</v>
      </c>
      <c r="AZ54" s="2">
        <f t="shared" si="15"/>
        <v>0</v>
      </c>
      <c r="BA54">
        <f t="shared" si="16"/>
        <v>0</v>
      </c>
      <c r="BB54">
        <f>IFERROR(Player_Analysis!$Y54,1)</f>
        <v>0.8</v>
      </c>
      <c r="BC54">
        <f t="shared" si="17"/>
        <v>0</v>
      </c>
      <c r="BD54">
        <f t="shared" si="24"/>
        <v>0</v>
      </c>
      <c r="BE54">
        <f t="shared" si="25"/>
        <v>0</v>
      </c>
      <c r="BF54">
        <f t="shared" si="18"/>
        <v>253</v>
      </c>
      <c r="BG54">
        <f>IF($BE54="","",COUNTIFS($C$2:$C$596,$C54,$BE$2:$BE$596,"&gt;"&amp;$BE54)+COUNTIFS($C$2:$C54,$C54,$BE$2:$BE54,$BE54))</f>
        <v>29</v>
      </c>
    </row>
    <row r="55" spans="1:59" x14ac:dyDescent="0.25">
      <c r="A55" t="str">
        <f>Player_Analysis!A55</f>
        <v>Alejandro Garnacho Ferreyra</v>
      </c>
      <c r="B55">
        <f>Player_Analysis!C55</f>
        <v>2</v>
      </c>
      <c r="C55" t="str">
        <f>Player_Analysis!B55</f>
        <v>MID</v>
      </c>
      <c r="D55" s="13">
        <f>Player_Analysis!E55</f>
        <v>5.9</v>
      </c>
      <c r="E55">
        <f>Player_Analysis!I55</f>
        <v>31</v>
      </c>
      <c r="F55" s="8">
        <f>Player_Analysis!Z55</f>
        <v>0</v>
      </c>
      <c r="G55" s="17">
        <f t="shared" si="19"/>
        <v>0</v>
      </c>
      <c r="H55">
        <f t="shared" si="0"/>
        <v>0</v>
      </c>
      <c r="I55" s="8">
        <f>Player_Analysis!AF55</f>
        <v>0</v>
      </c>
      <c r="J55" s="8">
        <f>Player_Analysis!AG55</f>
        <v>0</v>
      </c>
      <c r="K55">
        <f>Player_Analysis!O55</f>
        <v>0</v>
      </c>
      <c r="L55">
        <f>Player_Analysis!P55</f>
        <v>0</v>
      </c>
      <c r="M55">
        <f t="shared" si="20"/>
        <v>0</v>
      </c>
      <c r="N55">
        <f t="shared" si="21"/>
        <v>0</v>
      </c>
      <c r="O55" s="2">
        <f>IF(E55=0,"",Player_Analysis!L55/E55*90)</f>
        <v>8.7096774193548381</v>
      </c>
      <c r="P55">
        <f>IF(E55=0,"",Player_Analysis!Q55/E55*90)</f>
        <v>0</v>
      </c>
      <c r="Q55">
        <f>IF(E55=0,"",(Player_Analysis!AD55/E55)*90)</f>
        <v>26.12903225806452</v>
      </c>
      <c r="R55">
        <f>IF(E55=0,"",Player_Analysis!AA55/E55*90)</f>
        <v>5.806451612903226</v>
      </c>
      <c r="S55" t="str">
        <f t="array" ref="S55">IFERROR(INDEX('2023_24'!$O:$O,MATCH($A55,'2023_24'!$A:$A,0)),"")</f>
        <v/>
      </c>
      <c r="T55" t="str">
        <f>IFERROR(INDEX('2024_25'!$P:$P,MATCH($A55,'2024_25'!$A:$A,0)),"")</f>
        <v/>
      </c>
      <c r="U55">
        <f>IFERROR(INDEX('2025_26'!$P:$P,MATCH($A55,'2025_26'!$A:$A,0)),"")</f>
        <v>0.24551942902458368</v>
      </c>
      <c r="V55" t="str">
        <f>IFERROR(INDEX('2023_24'!$P:$P,MATCH($A55,'2023_24'!$A:$A,0)),"")</f>
        <v/>
      </c>
      <c r="W55" t="str">
        <f>IFERROR(INDEX('2024_25'!$Q:$Q,MATCH($A55,'2024_25'!$A:$A,0)),"")</f>
        <v/>
      </c>
      <c r="X55">
        <f>IFERROR(INDEX('2025_26'!$Q:$Q,MATCH($A55,'2025_26'!$A:$A,0)),"")</f>
        <v>0.26264869151467091</v>
      </c>
      <c r="Y55" t="str">
        <f>IFERROR(INDEX('2023_24'!$M:$M,MATCH($A55,'2023_24'!$A:$A,0))/INDEX('2023_24'!$G:$G,MATCH($A55,'2023_24'!$A:$A,0))*90,"")</f>
        <v/>
      </c>
      <c r="Z55" t="str">
        <f>IFERROR(INDEX('2024_25'!$M:$M,MATCH($A55,'2024_25'!$A:$A,0))/INDEX('2024_25'!$G:$G,MATCH($A55,'2024_25'!$A:$A,0))*90,"")</f>
        <v/>
      </c>
      <c r="AA55">
        <f>IFERROR(INDEX('2025_26'!$M:$M,MATCH($A55,'2025_26'!$A:$A,0))/INDEX('2025_26'!$G:$G,MATCH($A55,'2025_26'!$A:$A,0))*90,"")</f>
        <v>3.9968279143536876</v>
      </c>
      <c r="AB55">
        <f>IFERROR(SUMPRODUCT(S55:U55,{0.2,0.3,0.5})/SUMPRODUCT(--(S55:U55&lt;&gt;""),{0.2,0.3,0.5}),"")</f>
        <v>0.24551942902458368</v>
      </c>
      <c r="AC55">
        <f>IFERROR(SUMPRODUCT(V55:X55,{0.2,0.3,0.5})/SUMPRODUCT(--(V55:X55&lt;&gt;""),{0.2,0.3,0.5}),"")</f>
        <v>0.26264869151467091</v>
      </c>
      <c r="AD55">
        <f>IFERROR(SUMPRODUCT(Y55:AA55,{0.2,0.3,0.5})/SUMPRODUCT((Y55:AA55&lt;&gt;"")*{0.2,0.3,0.5}),O55)</f>
        <v>3.9968279143536876</v>
      </c>
      <c r="AE55">
        <f t="shared" si="22"/>
        <v>1</v>
      </c>
      <c r="AF55" t="str">
        <f t="shared" si="26"/>
        <v/>
      </c>
      <c r="AG55">
        <f t="shared" si="2"/>
        <v>0.22014908802537672</v>
      </c>
      <c r="AH55">
        <f t="shared" si="3"/>
        <v>0.23550832672482158</v>
      </c>
      <c r="AI55" s="2">
        <f t="shared" si="4"/>
        <v>4.4838223632038066</v>
      </c>
      <c r="AJ55">
        <f t="shared" si="5"/>
        <v>0.10333333333333333</v>
      </c>
      <c r="AK55" t="str">
        <f t="shared" si="6"/>
        <v>NO</v>
      </c>
      <c r="AL55">
        <f t="shared" si="23"/>
        <v>0</v>
      </c>
      <c r="AM55">
        <f t="shared" si="7"/>
        <v>0</v>
      </c>
      <c r="AN55">
        <f t="shared" si="8"/>
        <v>0</v>
      </c>
      <c r="AO55">
        <f t="shared" si="9"/>
        <v>0</v>
      </c>
      <c r="AP55">
        <f t="array" ref="AP55">AL55*IF($C55="GKP",10,IF($C55="DEF",6,IF($C55="MID",5,4)))</f>
        <v>0</v>
      </c>
      <c r="AQ55">
        <f t="shared" si="10"/>
        <v>0</v>
      </c>
      <c r="AR55">
        <f t="shared" si="11"/>
        <v>0</v>
      </c>
      <c r="AS55" s="2">
        <f>IF($H55=0,0,Player_Analysis!$AM55*$H55/90)</f>
        <v>0</v>
      </c>
      <c r="AT55">
        <f t="shared" si="12"/>
        <v>0</v>
      </c>
      <c r="AU55" s="2">
        <f>0</f>
        <v>0</v>
      </c>
      <c r="AV55" s="2">
        <f>IF(INDEX(FPL_Raw_Data!K:K,MATCH(A55,FPL_Raw_Data!AA:AA,0))=0,"",INDEX(FPL_Raw_Data!P:P,MATCH(A55,FPL_Raw_Data!AA:AA,0))/INDEX(FPL_Raw_Data!K:K,MATCH(A55,FPL_Raw_Data!AA:AA,0))*90)</f>
        <v>0</v>
      </c>
      <c r="AW55" s="2">
        <f t="shared" si="13"/>
        <v>0</v>
      </c>
      <c r="AX55" s="2">
        <f>IFERROR(INDEX(TEAM_ANALYSIS!$H$2:$H$21,MATCH($B55,TEAM_ANALYSIS!$A$2:$A$21,0)),0)</f>
        <v>1.6666666666666667</v>
      </c>
      <c r="AY55" s="2">
        <f t="shared" si="14"/>
        <v>0</v>
      </c>
      <c r="AZ55" s="2">
        <f t="shared" si="15"/>
        <v>0</v>
      </c>
      <c r="BA55">
        <f t="shared" si="16"/>
        <v>0</v>
      </c>
      <c r="BB55">
        <f>IFERROR(Player_Analysis!$Y55,1)</f>
        <v>0.8</v>
      </c>
      <c r="BC55">
        <f t="shared" si="17"/>
        <v>0</v>
      </c>
      <c r="BD55">
        <f t="shared" si="24"/>
        <v>0</v>
      </c>
      <c r="BE55">
        <f t="shared" si="25"/>
        <v>0</v>
      </c>
      <c r="BF55">
        <f t="shared" si="18"/>
        <v>253</v>
      </c>
      <c r="BG55">
        <f>IF($BE55="","",COUNTIFS($C$2:$C$596,$C55,$BE$2:$BE$596,"&gt;"&amp;$BE55)+COUNTIFS($C$2:$C55,$C55,$BE$2:$BE55,$BE55))</f>
        <v>128</v>
      </c>
    </row>
    <row r="56" spans="1:59" x14ac:dyDescent="0.25">
      <c r="A56" t="str">
        <f>Player_Analysis!A56</f>
        <v>Nicolas Jackson</v>
      </c>
      <c r="B56">
        <f>Player_Analysis!C56</f>
        <v>2</v>
      </c>
      <c r="C56" t="str">
        <f>Player_Analysis!B56</f>
        <v>FWD</v>
      </c>
      <c r="D56" s="13">
        <f>Player_Analysis!E56</f>
        <v>6.5</v>
      </c>
      <c r="E56">
        <f>Player_Analysis!I56</f>
        <v>154</v>
      </c>
      <c r="F56" s="8">
        <f>Player_Analysis!Z56</f>
        <v>2</v>
      </c>
      <c r="G56" s="17">
        <f t="shared" si="19"/>
        <v>1</v>
      </c>
      <c r="H56">
        <f t="shared" si="0"/>
        <v>90</v>
      </c>
      <c r="I56" s="8">
        <f>Player_Analysis!AF56</f>
        <v>0</v>
      </c>
      <c r="J56" s="8">
        <f>Player_Analysis!AG56</f>
        <v>0</v>
      </c>
      <c r="K56">
        <f>Player_Analysis!O56</f>
        <v>0.24</v>
      </c>
      <c r="L56">
        <f>Player_Analysis!P56</f>
        <v>0.54</v>
      </c>
      <c r="M56">
        <f t="shared" si="20"/>
        <v>0.14025974025974025</v>
      </c>
      <c r="N56">
        <f t="shared" si="21"/>
        <v>0.31558441558441558</v>
      </c>
      <c r="O56" s="2">
        <f>IF(E56=0,"",Player_Analysis!L56/E56*90)</f>
        <v>2.337662337662338</v>
      </c>
      <c r="P56">
        <f>IF(E56=0,"",Player_Analysis!Q56/E56*90)</f>
        <v>0.45584415584415583</v>
      </c>
      <c r="Q56">
        <f>IF(E56=0,"",(Player_Analysis!AD56/E56)*90)</f>
        <v>12.272727272727272</v>
      </c>
      <c r="R56">
        <f>IF(E56=0,"",Player_Analysis!AA56/E56*90)</f>
        <v>2.9220779220779218</v>
      </c>
      <c r="S56">
        <f t="array" ref="S56">IFERROR(INDEX('2023_24'!$O:$O,MATCH($A56,'2023_24'!$A:$A,0)),"")</f>
        <v>0.58286326312031422</v>
      </c>
      <c r="T56">
        <f>IFERROR(INDEX('2024_25'!$P:$P,MATCH($A56,'2024_25'!$A:$A,0)),"")</f>
        <v>0.47351351351351351</v>
      </c>
      <c r="U56">
        <f>IFERROR(INDEX('2025_26'!$P:$P,MATCH($A56,'2025_26'!$A:$A,0)),"")</f>
        <v>0</v>
      </c>
      <c r="V56">
        <f>IFERROR(INDEX('2023_24'!$P:$P,MATCH($A56,'2023_24'!$A:$A,0)),"")</f>
        <v>9.6394144948232785E-2</v>
      </c>
      <c r="W56">
        <f>IFERROR(INDEX('2024_25'!$Q:$Q,MATCH($A56,'2024_25'!$A:$A,0)),"")</f>
        <v>7.7027027027027017E-2</v>
      </c>
      <c r="X56">
        <f>IFERROR(INDEX('2025_26'!$Q:$Q,MATCH($A56,'2025_26'!$A:$A,0)),"")</f>
        <v>0</v>
      </c>
      <c r="Y56">
        <f>IFERROR(INDEX('2023_24'!$M:$M,MATCH($A56,'2023_24'!$A:$A,0))/INDEX('2023_24'!$G:$G,MATCH($A56,'2023_24'!$A:$A,0))*90,"")</f>
        <v>4.562656194216351</v>
      </c>
      <c r="Z56">
        <f>IFERROR(INDEX('2024_25'!$M:$M,MATCH($A56,'2024_25'!$A:$A,0))/INDEX('2024_25'!$G:$G,MATCH($A56,'2024_25'!$A:$A,0))*90,"")</f>
        <v>4.9054054054054053</v>
      </c>
      <c r="AA56" t="str">
        <f>IFERROR(INDEX('2025_26'!$M:$M,MATCH($A56,'2025_26'!$A:$A,0))/INDEX('2025_26'!$G:$G,MATCH($A56,'2025_26'!$A:$A,0))*90,"")</f>
        <v/>
      </c>
      <c r="AB56">
        <f>IFERROR(SUMPRODUCT(S56:U56,{0.2,0.3,0.5})/SUMPRODUCT(--(S56:U56&lt;&gt;""),{0.2,0.3,0.5}),"")</f>
        <v>0.25862670667811694</v>
      </c>
      <c r="AC56">
        <f>IFERROR(SUMPRODUCT(V56:X56,{0.2,0.3,0.5})/SUMPRODUCT(--(V56:X56&lt;&gt;""),{0.2,0.3,0.5}),"")</f>
        <v>4.2386937097754665E-2</v>
      </c>
      <c r="AD56">
        <f>IFERROR(SUMPRODUCT(Y56:AA56,{0.2,0.3,0.5})/SUMPRODUCT((Y56:AA56&lt;&gt;"")*{0.2,0.3,0.5}),O56)</f>
        <v>4.7683057209297832</v>
      </c>
      <c r="AE56">
        <f t="shared" si="22"/>
        <v>3</v>
      </c>
      <c r="AF56">
        <f t="shared" si="26"/>
        <v>77</v>
      </c>
      <c r="AG56">
        <f t="shared" si="2"/>
        <v>0.19786499725001688</v>
      </c>
      <c r="AH56">
        <f t="shared" si="3"/>
        <v>0.18262830938757391</v>
      </c>
      <c r="AI56" s="2">
        <f t="shared" si="4"/>
        <v>3.5205754508524949</v>
      </c>
      <c r="AJ56">
        <f t="shared" si="5"/>
        <v>0.51333333333333331</v>
      </c>
      <c r="AK56" t="str">
        <f t="shared" si="6"/>
        <v>NO</v>
      </c>
      <c r="AL56">
        <f t="shared" si="23"/>
        <v>0.19786499725001686</v>
      </c>
      <c r="AM56">
        <f t="shared" si="7"/>
        <v>0.18262830938757391</v>
      </c>
      <c r="AN56">
        <f t="shared" si="8"/>
        <v>0.19786499725001686</v>
      </c>
      <c r="AO56">
        <f t="shared" si="9"/>
        <v>0.18262830938757391</v>
      </c>
      <c r="AP56">
        <f t="array" ref="AP56">AL56*IF($C56="GKP",10,IF($C56="DEF",6,IF($C56="MID",5,4)))</f>
        <v>0.79145998900006742</v>
      </c>
      <c r="AQ56">
        <f t="shared" si="10"/>
        <v>0.54788492816272172</v>
      </c>
      <c r="AR56">
        <f t="shared" si="11"/>
        <v>2</v>
      </c>
      <c r="AS56" s="2">
        <f>IF($H56=0,0,Player_Analysis!$AM56*$H56/90)</f>
        <v>0</v>
      </c>
      <c r="AT56">
        <f t="shared" si="12"/>
        <v>0.48701298701298695</v>
      </c>
      <c r="AU56" s="2">
        <f>0</f>
        <v>0</v>
      </c>
      <c r="AV56" s="2">
        <f>IF(INDEX(FPL_Raw_Data!K:K,MATCH(A56,FPL_Raw_Data!AA:AA,0))=0,"",INDEX(FPL_Raw_Data!P:P,MATCH(A56,FPL_Raw_Data!AA:AA,0))/INDEX(FPL_Raw_Data!K:K,MATCH(A56,FPL_Raw_Data!AA:AA,0))*90)</f>
        <v>0</v>
      </c>
      <c r="AW56" s="2">
        <f t="shared" si="13"/>
        <v>0</v>
      </c>
      <c r="AX56" s="2">
        <f>IFERROR(INDEX(TEAM_ANALYSIS!$H$2:$H$21,MATCH($B56,TEAM_ANALYSIS!$A$2:$A$21,0)),0)</f>
        <v>1.6666666666666667</v>
      </c>
      <c r="AY56" s="2">
        <f t="shared" si="14"/>
        <v>0</v>
      </c>
      <c r="AZ56" s="2">
        <f t="shared" si="15"/>
        <v>3.8263579041757758</v>
      </c>
      <c r="BA56">
        <f t="shared" si="16"/>
        <v>0.58867044679627323</v>
      </c>
      <c r="BB56">
        <f>IFERROR(Player_Analysis!$Y56,1)</f>
        <v>0.8</v>
      </c>
      <c r="BC56">
        <f t="shared" si="17"/>
        <v>3.0610863233406209</v>
      </c>
      <c r="BD56">
        <f t="shared" si="24"/>
        <v>1.8019710536428846</v>
      </c>
      <c r="BE56">
        <f t="shared" si="25"/>
        <v>3.0610863233406209</v>
      </c>
      <c r="BF56">
        <f t="shared" si="18"/>
        <v>201</v>
      </c>
      <c r="BG56">
        <f>IF($BE56="","",COUNTIFS($C$2:$C$596,$C56,$BE$2:$BE$596,"&gt;"&amp;$BE56)+COUNTIFS($C$2:$C56,$C56,$BE$2:$BE56,$BE56))</f>
        <v>21</v>
      </c>
    </row>
    <row r="57" spans="1:59" x14ac:dyDescent="0.25">
      <c r="A57" t="str">
        <f>Player_Analysis!A57</f>
        <v>Brian Madjo</v>
      </c>
      <c r="B57">
        <f>Player_Analysis!C57</f>
        <v>2</v>
      </c>
      <c r="C57" t="str">
        <f>Player_Analysis!B57</f>
        <v>FWD</v>
      </c>
      <c r="D57" s="13">
        <f>Player_Analysis!E57</f>
        <v>5.5</v>
      </c>
      <c r="E57">
        <f>Player_Analysis!I57</f>
        <v>0</v>
      </c>
      <c r="F57" s="8">
        <f>Player_Analysis!Z57</f>
        <v>0</v>
      </c>
      <c r="G57" s="17">
        <f t="shared" si="19"/>
        <v>0</v>
      </c>
      <c r="H57">
        <f t="shared" si="0"/>
        <v>0</v>
      </c>
      <c r="I57" s="8">
        <f>Player_Analysis!AF57</f>
        <v>0</v>
      </c>
      <c r="J57" s="8">
        <f>Player_Analysis!AG57</f>
        <v>0</v>
      </c>
      <c r="K57">
        <f>Player_Analysis!O57</f>
        <v>0</v>
      </c>
      <c r="L57">
        <f>Player_Analysis!P57</f>
        <v>0</v>
      </c>
      <c r="M57" t="str">
        <f t="shared" si="20"/>
        <v/>
      </c>
      <c r="N57" t="str">
        <f t="shared" si="21"/>
        <v/>
      </c>
      <c r="O57" s="2" t="str">
        <f>IF(E57=0,"",Player_Analysis!L57/E57*90)</f>
        <v/>
      </c>
      <c r="P57" t="str">
        <f>IF(E57=0,"",Player_Analysis!Q57/E57*90)</f>
        <v/>
      </c>
      <c r="Q57" t="str">
        <f>IF(E57=0,"",(Player_Analysis!AD57/E57)*90)</f>
        <v/>
      </c>
      <c r="R57" t="str">
        <f>IF(E57=0,"",Player_Analysis!AA57/E57*90)</f>
        <v/>
      </c>
      <c r="S57" t="str">
        <f t="array" ref="S57">IFERROR(INDEX('2023_24'!$O:$O,MATCH($A57,'2023_24'!$A:$A,0)),"")</f>
        <v/>
      </c>
      <c r="T57" t="str">
        <f>IFERROR(INDEX('2024_25'!$P:$P,MATCH($A57,'2024_25'!$A:$A,0)),"")</f>
        <v/>
      </c>
      <c r="U57" t="str">
        <f>IFERROR(INDEX('2025_26'!$P:$P,MATCH($A57,'2025_26'!$A:$A,0)),"")</f>
        <v/>
      </c>
      <c r="V57" t="str">
        <f>IFERROR(INDEX('2023_24'!$P:$P,MATCH($A57,'2023_24'!$A:$A,0)),"")</f>
        <v/>
      </c>
      <c r="W57" t="str">
        <f>IFERROR(INDEX('2024_25'!$Q:$Q,MATCH($A57,'2024_25'!$A:$A,0)),"")</f>
        <v/>
      </c>
      <c r="X57" t="str">
        <f>IFERROR(INDEX('2025_26'!$Q:$Q,MATCH($A57,'2025_26'!$A:$A,0)),"")</f>
        <v/>
      </c>
      <c r="Y57" t="str">
        <f>IFERROR(INDEX('2023_24'!$M:$M,MATCH($A57,'2023_24'!$A:$A,0))/INDEX('2023_24'!$G:$G,MATCH($A57,'2023_24'!$A:$A,0))*90,"")</f>
        <v/>
      </c>
      <c r="Z57" t="str">
        <f>IFERROR(INDEX('2024_25'!$M:$M,MATCH($A57,'2024_25'!$A:$A,0))/INDEX('2024_25'!$G:$G,MATCH($A57,'2024_25'!$A:$A,0))*90,"")</f>
        <v/>
      </c>
      <c r="AA57" t="str">
        <f>IFERROR(INDEX('2025_26'!$M:$M,MATCH($A57,'2025_26'!$A:$A,0))/INDEX('2025_26'!$G:$G,MATCH($A57,'2025_26'!$A:$A,0))*90,"")</f>
        <v/>
      </c>
      <c r="AB57" t="str">
        <f>IFERROR(SUMPRODUCT(S57:U57,{0.2,0.3,0.5})/SUMPRODUCT(--(S57:U57&lt;&gt;""),{0.2,0.3,0.5}),"")</f>
        <v/>
      </c>
      <c r="AC57" t="str">
        <f>IFERROR(SUMPRODUCT(V57:X57,{0.2,0.3,0.5})/SUMPRODUCT(--(V57:X57&lt;&gt;""),{0.2,0.3,0.5}),"")</f>
        <v/>
      </c>
      <c r="AD57" t="str">
        <f>IFERROR(SUMPRODUCT(Y57:AA57,{0.2,0.3,0.5})/SUMPRODUCT((Y57:AA57&lt;&gt;"")*{0.2,0.3,0.5}),O57)</f>
        <v/>
      </c>
      <c r="AE57">
        <f t="shared" si="22"/>
        <v>0</v>
      </c>
      <c r="AF57" t="str">
        <f t="shared" si="26"/>
        <v/>
      </c>
      <c r="AG57">
        <f t="shared" si="2"/>
        <v>0</v>
      </c>
      <c r="AH57">
        <f t="shared" si="3"/>
        <v>0</v>
      </c>
      <c r="AI57" s="2">
        <f t="shared" si="4"/>
        <v>0</v>
      </c>
      <c r="AJ57">
        <f t="shared" si="5"/>
        <v>0</v>
      </c>
      <c r="AK57" t="str">
        <f t="shared" si="6"/>
        <v>YES</v>
      </c>
      <c r="AL57">
        <f t="shared" si="23"/>
        <v>0</v>
      </c>
      <c r="AM57">
        <f t="shared" si="7"/>
        <v>0</v>
      </c>
      <c r="AN57">
        <f t="shared" si="8"/>
        <v>0</v>
      </c>
      <c r="AO57">
        <f t="shared" si="9"/>
        <v>0</v>
      </c>
      <c r="AP57">
        <f t="array" ref="AP57">AL57*IF($C57="GKP",10,IF($C57="DEF",6,IF($C57="MID",5,4)))</f>
        <v>0</v>
      </c>
      <c r="AQ57">
        <f t="shared" si="10"/>
        <v>0</v>
      </c>
      <c r="AR57">
        <f t="shared" si="11"/>
        <v>0</v>
      </c>
      <c r="AS57" s="2">
        <f>IF($H57=0,0,Player_Analysis!$AM57*$H57/90)</f>
        <v>0</v>
      </c>
      <c r="AT57">
        <f t="shared" si="12"/>
        <v>0</v>
      </c>
      <c r="AU57" s="2">
        <f>0</f>
        <v>0</v>
      </c>
      <c r="AV57" s="2" t="str">
        <f>IF(INDEX(FPL_Raw_Data!K:K,MATCH(A57,FPL_Raw_Data!AA:AA,0))=0,"",INDEX(FPL_Raw_Data!P:P,MATCH(A57,FPL_Raw_Data!AA:AA,0))/INDEX(FPL_Raw_Data!K:K,MATCH(A57,FPL_Raw_Data!AA:AA,0))*90)</f>
        <v/>
      </c>
      <c r="AW57" s="2">
        <f t="shared" si="13"/>
        <v>0</v>
      </c>
      <c r="AX57" s="2">
        <f>IFERROR(INDEX(TEAM_ANALYSIS!$H$2:$H$21,MATCH($B57,TEAM_ANALYSIS!$A$2:$A$21,0)),0)</f>
        <v>1.6666666666666667</v>
      </c>
      <c r="AY57" s="2">
        <f t="shared" si="14"/>
        <v>0</v>
      </c>
      <c r="AZ57" s="2">
        <f t="shared" si="15"/>
        <v>0</v>
      </c>
      <c r="BA57">
        <f t="shared" si="16"/>
        <v>0</v>
      </c>
      <c r="BB57">
        <f>IFERROR(Player_Analysis!$Y57,1)</f>
        <v>0.8</v>
      </c>
      <c r="BC57">
        <f t="shared" si="17"/>
        <v>0</v>
      </c>
      <c r="BD57">
        <f t="shared" si="24"/>
        <v>0</v>
      </c>
      <c r="BE57">
        <f t="shared" si="25"/>
        <v>0</v>
      </c>
      <c r="BF57">
        <f t="shared" si="18"/>
        <v>253</v>
      </c>
      <c r="BG57">
        <f>IF($BE57="","",COUNTIFS($C$2:$C$596,$C57,$BE$2:$BE$596,"&gt;"&amp;$BE57)+COUNTIFS($C$2:$C57,$C57,$BE$2:$BE57,$BE57))</f>
        <v>30</v>
      </c>
    </row>
    <row r="58" spans="1:59" x14ac:dyDescent="0.25">
      <c r="A58" t="str">
        <f>Player_Analysis!A58</f>
        <v>Matteo Ruggeri</v>
      </c>
      <c r="B58">
        <f>Player_Analysis!C58</f>
        <v>2</v>
      </c>
      <c r="C58" t="str">
        <f>Player_Analysis!B58</f>
        <v>DEF</v>
      </c>
      <c r="D58" s="13">
        <f>Player_Analysis!E58</f>
        <v>4.5</v>
      </c>
      <c r="E58">
        <f>Player_Analysis!I58</f>
        <v>23</v>
      </c>
      <c r="F58" s="8">
        <f>Player_Analysis!Z58</f>
        <v>0</v>
      </c>
      <c r="G58" s="17">
        <f t="shared" si="19"/>
        <v>0</v>
      </c>
      <c r="H58">
        <f t="shared" si="0"/>
        <v>0</v>
      </c>
      <c r="I58" s="8">
        <f>Player_Analysis!AF58</f>
        <v>0</v>
      </c>
      <c r="J58" s="8">
        <f>Player_Analysis!AG58</f>
        <v>0</v>
      </c>
      <c r="K58">
        <f>Player_Analysis!O58</f>
        <v>0</v>
      </c>
      <c r="L58">
        <f>Player_Analysis!P58</f>
        <v>0.01</v>
      </c>
      <c r="M58">
        <f t="shared" si="20"/>
        <v>0</v>
      </c>
      <c r="N58">
        <f t="shared" si="21"/>
        <v>3.9130434782608699E-2</v>
      </c>
      <c r="O58" s="2">
        <f>IF(E58=0,"",Player_Analysis!L58/E58*90)</f>
        <v>7.8260869565217392</v>
      </c>
      <c r="P58">
        <f>IF(E58=0,"",Player_Analysis!Q58/E58*90)</f>
        <v>3.9130434782608699E-2</v>
      </c>
      <c r="Q58">
        <f>IF(E58=0,"",(Player_Analysis!AD58/E58)*90)</f>
        <v>23.478260869565215</v>
      </c>
      <c r="R58">
        <f>IF(E58=0,"",Player_Analysis!AA58/E58*90)</f>
        <v>11.739130434782608</v>
      </c>
      <c r="S58" t="str">
        <f t="array" ref="S58">IFERROR(INDEX('2023_24'!$O:$O,MATCH($A58,'2023_24'!$A:$A,0)),"")</f>
        <v/>
      </c>
      <c r="T58" t="str">
        <f>IFERROR(INDEX('2024_25'!$P:$P,MATCH($A58,'2024_25'!$A:$A,0)),"")</f>
        <v/>
      </c>
      <c r="U58" t="str">
        <f>IFERROR(INDEX('2025_26'!$P:$P,MATCH($A58,'2025_26'!$A:$A,0)),"")</f>
        <v/>
      </c>
      <c r="V58" t="str">
        <f>IFERROR(INDEX('2023_24'!$P:$P,MATCH($A58,'2023_24'!$A:$A,0)),"")</f>
        <v/>
      </c>
      <c r="W58" t="str">
        <f>IFERROR(INDEX('2024_25'!$Q:$Q,MATCH($A58,'2024_25'!$A:$A,0)),"")</f>
        <v/>
      </c>
      <c r="X58" t="str">
        <f>IFERROR(INDEX('2025_26'!$Q:$Q,MATCH($A58,'2025_26'!$A:$A,0)),"")</f>
        <v/>
      </c>
      <c r="Y58" t="str">
        <f>IFERROR(INDEX('2023_24'!$M:$M,MATCH($A58,'2023_24'!$A:$A,0))/INDEX('2023_24'!$G:$G,MATCH($A58,'2023_24'!$A:$A,0))*90,"")</f>
        <v/>
      </c>
      <c r="Z58" t="str">
        <f>IFERROR(INDEX('2024_25'!$M:$M,MATCH($A58,'2024_25'!$A:$A,0))/INDEX('2024_25'!$G:$G,MATCH($A58,'2024_25'!$A:$A,0))*90,"")</f>
        <v/>
      </c>
      <c r="AA58" t="str">
        <f>IFERROR(INDEX('2025_26'!$M:$M,MATCH($A58,'2025_26'!$A:$A,0))/INDEX('2025_26'!$G:$G,MATCH($A58,'2025_26'!$A:$A,0))*90,"")</f>
        <v/>
      </c>
      <c r="AB58" t="str">
        <f>IFERROR(SUMPRODUCT(S58:U58,{0.2,0.3,0.5})/SUMPRODUCT(--(S58:U58&lt;&gt;""),{0.2,0.3,0.5}),"")</f>
        <v/>
      </c>
      <c r="AC58" t="str">
        <f>IFERROR(SUMPRODUCT(V58:X58,{0.2,0.3,0.5})/SUMPRODUCT(--(V58:X58&lt;&gt;""),{0.2,0.3,0.5}),"")</f>
        <v/>
      </c>
      <c r="AD58">
        <f>IFERROR(SUMPRODUCT(Y58:AA58,{0.2,0.3,0.5})/SUMPRODUCT((Y58:AA58&lt;&gt;"")*{0.2,0.3,0.5}),O58)</f>
        <v>7.8260869565217392</v>
      </c>
      <c r="AE58">
        <f t="shared" si="22"/>
        <v>0</v>
      </c>
      <c r="AF58" t="str">
        <f t="shared" si="26"/>
        <v/>
      </c>
      <c r="AG58">
        <f t="shared" si="2"/>
        <v>0</v>
      </c>
      <c r="AH58">
        <f t="shared" si="3"/>
        <v>3.9130434782608699E-2</v>
      </c>
      <c r="AI58" s="2">
        <f t="shared" si="4"/>
        <v>7.8260869565217392</v>
      </c>
      <c r="AJ58">
        <f t="shared" si="5"/>
        <v>7.6666666666666661E-2</v>
      </c>
      <c r="AK58" t="str">
        <f t="shared" si="6"/>
        <v>YES</v>
      </c>
      <c r="AL58">
        <f t="shared" si="23"/>
        <v>0</v>
      </c>
      <c r="AM58">
        <f t="shared" si="7"/>
        <v>0</v>
      </c>
      <c r="AN58">
        <f t="shared" si="8"/>
        <v>0</v>
      </c>
      <c r="AO58">
        <f t="shared" si="9"/>
        <v>0</v>
      </c>
      <c r="AP58">
        <f t="array" ref="AP58">AL58*IF($C58="GKP",10,IF($C58="DEF",6,IF($C58="MID",5,4)))</f>
        <v>0</v>
      </c>
      <c r="AQ58">
        <f t="shared" si="10"/>
        <v>0</v>
      </c>
      <c r="AR58">
        <f t="shared" si="11"/>
        <v>0</v>
      </c>
      <c r="AS58" s="2">
        <f>IF($H58=0,0,Player_Analysis!$AM58*$H58/90)</f>
        <v>0</v>
      </c>
      <c r="AT58">
        <f t="shared" si="12"/>
        <v>0</v>
      </c>
      <c r="AU58" s="2">
        <f>0</f>
        <v>0</v>
      </c>
      <c r="AV58" s="2">
        <f>IF(INDEX(FPL_Raw_Data!K:K,MATCH(A58,FPL_Raw_Data!AA:AA,0))=0,"",INDEX(FPL_Raw_Data!P:P,MATCH(A58,FPL_Raw_Data!AA:AA,0))/INDEX(FPL_Raw_Data!K:K,MATCH(A58,FPL_Raw_Data!AA:AA,0))*90)</f>
        <v>0</v>
      </c>
      <c r="AW58" s="2">
        <f t="shared" si="13"/>
        <v>0</v>
      </c>
      <c r="AX58" s="2">
        <f>IFERROR(INDEX(TEAM_ANALYSIS!$H$2:$H$21,MATCH($B58,TEAM_ANALYSIS!$A$2:$A$21,0)),0)</f>
        <v>1.6666666666666667</v>
      </c>
      <c r="AY58" s="2">
        <f t="shared" si="14"/>
        <v>-0.83333333333333337</v>
      </c>
      <c r="AZ58" s="2">
        <f t="shared" si="15"/>
        <v>-0.83333333333333337</v>
      </c>
      <c r="BA58">
        <f t="shared" si="16"/>
        <v>-0.1851851851851852</v>
      </c>
      <c r="BB58">
        <f>IFERROR(Player_Analysis!$Y58,1)</f>
        <v>1.0288823959094229</v>
      </c>
      <c r="BC58">
        <f t="shared" si="17"/>
        <v>-0.85740199659118577</v>
      </c>
      <c r="BD58">
        <f t="shared" si="24"/>
        <v>0.15877814751688626</v>
      </c>
      <c r="BE58">
        <f t="shared" si="25"/>
        <v>-0.85740199659118577</v>
      </c>
      <c r="BF58">
        <f t="shared" si="18"/>
        <v>566</v>
      </c>
      <c r="BG58">
        <f>IF($BE58="","",COUNTIFS($C$2:$C$596,$C58,$BE$2:$BE$596,"&gt;"&amp;$BE58)+COUNTIFS($C$2:$C58,$C58,$BE$2:$BE58,$BE58))</f>
        <v>166</v>
      </c>
    </row>
    <row r="59" spans="1:59" x14ac:dyDescent="0.25">
      <c r="A59" t="str">
        <f>Player_Analysis!A59</f>
        <v>Zion Suzuki</v>
      </c>
      <c r="B59">
        <f>Player_Analysis!C59</f>
        <v>2</v>
      </c>
      <c r="C59" t="str">
        <f>Player_Analysis!B59</f>
        <v>GK</v>
      </c>
      <c r="D59" s="13">
        <f>Player_Analysis!E59</f>
        <v>5</v>
      </c>
      <c r="E59">
        <f>Player_Analysis!I59</f>
        <v>180</v>
      </c>
      <c r="F59" s="8">
        <f>Player_Analysis!Z59</f>
        <v>2</v>
      </c>
      <c r="G59" s="17">
        <f t="shared" si="19"/>
        <v>1</v>
      </c>
      <c r="H59">
        <f t="shared" si="0"/>
        <v>90</v>
      </c>
      <c r="I59" s="8">
        <f>Player_Analysis!AF59</f>
        <v>0</v>
      </c>
      <c r="J59" s="8">
        <f>Player_Analysis!AG59</f>
        <v>0</v>
      </c>
      <c r="K59">
        <f>Player_Analysis!O59</f>
        <v>0</v>
      </c>
      <c r="L59">
        <f>Player_Analysis!P59</f>
        <v>0</v>
      </c>
      <c r="M59">
        <f t="shared" si="20"/>
        <v>0</v>
      </c>
      <c r="N59">
        <f t="shared" si="21"/>
        <v>0</v>
      </c>
      <c r="O59" s="2">
        <f>IF(E59=0,"",Player_Analysis!L59/E59*90)</f>
        <v>6</v>
      </c>
      <c r="P59">
        <f>IF(E59=0,"",Player_Analysis!Q59/E59*90)</f>
        <v>0</v>
      </c>
      <c r="Q59">
        <f>IF(E59=0,"",(Player_Analysis!AD59/E59)*90)</f>
        <v>23</v>
      </c>
      <c r="R59">
        <f>IF(E59=0,"",Player_Analysis!AA59/E59*90)</f>
        <v>0</v>
      </c>
      <c r="S59" t="str">
        <f t="array" ref="S59">IFERROR(INDEX('2023_24'!$O:$O,MATCH($A59,'2023_24'!$A:$A,0)),"")</f>
        <v/>
      </c>
      <c r="T59" t="str">
        <f>IFERROR(INDEX('2024_25'!$P:$P,MATCH($A59,'2024_25'!$A:$A,0)),"")</f>
        <v/>
      </c>
      <c r="U59" t="str">
        <f>IFERROR(INDEX('2025_26'!$P:$P,MATCH($A59,'2025_26'!$A:$A,0)),"")</f>
        <v/>
      </c>
      <c r="V59" t="str">
        <f>IFERROR(INDEX('2023_24'!$P:$P,MATCH($A59,'2023_24'!$A:$A,0)),"")</f>
        <v/>
      </c>
      <c r="W59" t="str">
        <f>IFERROR(INDEX('2024_25'!$Q:$Q,MATCH($A59,'2024_25'!$A:$A,0)),"")</f>
        <v/>
      </c>
      <c r="X59" t="str">
        <f>IFERROR(INDEX('2025_26'!$Q:$Q,MATCH($A59,'2025_26'!$A:$A,0)),"")</f>
        <v/>
      </c>
      <c r="Y59" t="str">
        <f>IFERROR(INDEX('2023_24'!$M:$M,MATCH($A59,'2023_24'!$A:$A,0))/INDEX('2023_24'!$G:$G,MATCH($A59,'2023_24'!$A:$A,0))*90,"")</f>
        <v/>
      </c>
      <c r="Z59" t="str">
        <f>IFERROR(INDEX('2024_25'!$M:$M,MATCH($A59,'2024_25'!$A:$A,0))/INDEX('2024_25'!$G:$G,MATCH($A59,'2024_25'!$A:$A,0))*90,"")</f>
        <v/>
      </c>
      <c r="AA59" t="str">
        <f>IFERROR(INDEX('2025_26'!$M:$M,MATCH($A59,'2025_26'!$A:$A,0))/INDEX('2025_26'!$G:$G,MATCH($A59,'2025_26'!$A:$A,0))*90,"")</f>
        <v/>
      </c>
      <c r="AB59" t="str">
        <f>IFERROR(SUMPRODUCT(S59:U59,{0.2,0.3,0.5})/SUMPRODUCT(--(S59:U59&lt;&gt;""),{0.2,0.3,0.5}),"")</f>
        <v/>
      </c>
      <c r="AC59" t="str">
        <f>IFERROR(SUMPRODUCT(V59:X59,{0.2,0.3,0.5})/SUMPRODUCT(--(V59:X59&lt;&gt;""),{0.2,0.3,0.5}),"")</f>
        <v/>
      </c>
      <c r="AD59">
        <f>IFERROR(SUMPRODUCT(Y59:AA59,{0.2,0.3,0.5})/SUMPRODUCT((Y59:AA59&lt;&gt;"")*{0.2,0.3,0.5}),O59)</f>
        <v>6</v>
      </c>
      <c r="AE59">
        <f t="shared" si="22"/>
        <v>0</v>
      </c>
      <c r="AF59">
        <f t="shared" si="26"/>
        <v>90</v>
      </c>
      <c r="AG59">
        <f t="shared" si="2"/>
        <v>0</v>
      </c>
      <c r="AH59">
        <f t="shared" si="3"/>
        <v>0</v>
      </c>
      <c r="AI59" s="2">
        <f t="shared" si="4"/>
        <v>6</v>
      </c>
      <c r="AJ59">
        <f t="shared" si="5"/>
        <v>0.6</v>
      </c>
      <c r="AK59" t="str">
        <f t="shared" si="6"/>
        <v>YES</v>
      </c>
      <c r="AL59">
        <f t="shared" si="23"/>
        <v>0</v>
      </c>
      <c r="AM59">
        <f t="shared" si="7"/>
        <v>0</v>
      </c>
      <c r="AN59">
        <f t="shared" si="8"/>
        <v>0</v>
      </c>
      <c r="AO59">
        <f t="shared" si="9"/>
        <v>0</v>
      </c>
      <c r="AP59">
        <f t="array" ref="AP59">AL59*IF($C59="GKP",10,IF($C59="DEF",6,IF($C59="MID",5,4)))</f>
        <v>0</v>
      </c>
      <c r="AQ59">
        <f t="shared" si="10"/>
        <v>0</v>
      </c>
      <c r="AR59">
        <f t="shared" si="11"/>
        <v>2</v>
      </c>
      <c r="AS59" s="2">
        <f>IF($H59=0,0,Player_Analysis!$AM59*$H59/90)</f>
        <v>2</v>
      </c>
      <c r="AT59">
        <f t="shared" si="12"/>
        <v>0</v>
      </c>
      <c r="AU59" s="2">
        <f>0</f>
        <v>0</v>
      </c>
      <c r="AV59" s="2">
        <f>IF(INDEX(FPL_Raw_Data!K:K,MATCH(A59,FPL_Raw_Data!AA:AA,0))=0,"",INDEX(FPL_Raw_Data!P:P,MATCH(A59,FPL_Raw_Data!AA:AA,0))/INDEX(FPL_Raw_Data!K:K,MATCH(A59,FPL_Raw_Data!AA:AA,0))*90)</f>
        <v>2.5</v>
      </c>
      <c r="AW59" s="2">
        <f t="shared" si="13"/>
        <v>0.83333333333333337</v>
      </c>
      <c r="AX59" s="2">
        <f>IFERROR(INDEX(TEAM_ANALYSIS!$H$2:$H$21,MATCH($B59,TEAM_ANALYSIS!$A$2:$A$21,0)),0)</f>
        <v>1.6666666666666667</v>
      </c>
      <c r="AY59" s="2">
        <f t="shared" si="14"/>
        <v>0</v>
      </c>
      <c r="AZ59" s="2">
        <f t="shared" si="15"/>
        <v>4.833333333333333</v>
      </c>
      <c r="BA59">
        <f t="shared" si="16"/>
        <v>0.96666666666666656</v>
      </c>
      <c r="BB59">
        <f>IFERROR(Player_Analysis!$Y59,1)</f>
        <v>1.0288823959094229</v>
      </c>
      <c r="BC59">
        <f t="shared" si="17"/>
        <v>4.9729315802288765</v>
      </c>
      <c r="BD59">
        <f t="shared" si="24"/>
        <v>4.8071671942212468</v>
      </c>
      <c r="BE59">
        <f t="shared" si="25"/>
        <v>4.9729315802288765</v>
      </c>
      <c r="BF59">
        <f t="shared" si="18"/>
        <v>96</v>
      </c>
      <c r="BG59">
        <f>IF($BE59="","",COUNTIFS($C$2:$C$596,$C59,$BE$2:$BE$596,"&gt;"&amp;$BE59)+COUNTIFS($C$2:$C59,$C59,$BE$2:$BE59,$BE59))</f>
        <v>5</v>
      </c>
    </row>
    <row r="60" spans="1:59" x14ac:dyDescent="0.25">
      <c r="A60" t="str">
        <f>Player_Analysis!A60</f>
        <v>Triston Rowe</v>
      </c>
      <c r="B60">
        <f>Player_Analysis!C60</f>
        <v>2</v>
      </c>
      <c r="C60" t="str">
        <f>Player_Analysis!B60</f>
        <v>DEF</v>
      </c>
      <c r="D60" s="13">
        <f>Player_Analysis!E60</f>
        <v>4</v>
      </c>
      <c r="E60">
        <f>Player_Analysis!I60</f>
        <v>0</v>
      </c>
      <c r="F60" s="8">
        <f>Player_Analysis!Z60</f>
        <v>0</v>
      </c>
      <c r="G60" s="17">
        <f t="shared" si="19"/>
        <v>0</v>
      </c>
      <c r="H60">
        <f t="shared" si="0"/>
        <v>0</v>
      </c>
      <c r="I60" s="8">
        <f>Player_Analysis!AF60</f>
        <v>0</v>
      </c>
      <c r="J60" s="8">
        <f>Player_Analysis!AG60</f>
        <v>0</v>
      </c>
      <c r="K60">
        <f>Player_Analysis!O60</f>
        <v>0</v>
      </c>
      <c r="L60">
        <f>Player_Analysis!P60</f>
        <v>0</v>
      </c>
      <c r="M60" t="str">
        <f t="shared" si="20"/>
        <v/>
      </c>
      <c r="N60" t="str">
        <f t="shared" si="21"/>
        <v/>
      </c>
      <c r="O60" s="2" t="str">
        <f>IF(E60=0,"",Player_Analysis!L60/E60*90)</f>
        <v/>
      </c>
      <c r="P60" t="str">
        <f>IF(E60=0,"",Player_Analysis!Q60/E60*90)</f>
        <v/>
      </c>
      <c r="Q60" t="str">
        <f>IF(E60=0,"",(Player_Analysis!AD60/E60)*90)</f>
        <v/>
      </c>
      <c r="R60" t="str">
        <f>IF(E60=0,"",Player_Analysis!AA60/E60*90)</f>
        <v/>
      </c>
      <c r="S60" t="str">
        <f t="array" ref="S60">IFERROR(INDEX('2023_24'!$O:$O,MATCH($A60,'2023_24'!$A:$A,0)),"")</f>
        <v/>
      </c>
      <c r="T60" t="str">
        <f>IFERROR(INDEX('2024_25'!$P:$P,MATCH($A60,'2024_25'!$A:$A,0)),"")</f>
        <v/>
      </c>
      <c r="U60">
        <f>IFERROR(INDEX('2025_26'!$P:$P,MATCH($A60,'2025_26'!$A:$A,0)),"")</f>
        <v>0</v>
      </c>
      <c r="V60" t="str">
        <f>IFERROR(INDEX('2023_24'!$P:$P,MATCH($A60,'2023_24'!$A:$A,0)),"")</f>
        <v/>
      </c>
      <c r="W60" t="str">
        <f>IFERROR(INDEX('2024_25'!$Q:$Q,MATCH($A60,'2024_25'!$A:$A,0)),"")</f>
        <v/>
      </c>
      <c r="X60">
        <f>IFERROR(INDEX('2025_26'!$Q:$Q,MATCH($A60,'2025_26'!$A:$A,0)),"")</f>
        <v>0</v>
      </c>
      <c r="Y60" t="str">
        <f>IFERROR(INDEX('2023_24'!$M:$M,MATCH($A60,'2023_24'!$A:$A,0))/INDEX('2023_24'!$G:$G,MATCH($A60,'2023_24'!$A:$A,0))*90,"")</f>
        <v/>
      </c>
      <c r="Z60" t="str">
        <f>IFERROR(INDEX('2024_25'!$M:$M,MATCH($A60,'2024_25'!$A:$A,0))/INDEX('2024_25'!$G:$G,MATCH($A60,'2024_25'!$A:$A,0))*90,"")</f>
        <v/>
      </c>
      <c r="AA60" t="str">
        <f>IFERROR(INDEX('2025_26'!$M:$M,MATCH($A60,'2025_26'!$A:$A,0))/INDEX('2025_26'!$G:$G,MATCH($A60,'2025_26'!$A:$A,0))*90,"")</f>
        <v/>
      </c>
      <c r="AB60">
        <f>IFERROR(SUMPRODUCT(S60:U60,{0.2,0.3,0.5})/SUMPRODUCT(--(S60:U60&lt;&gt;""),{0.2,0.3,0.5}),"")</f>
        <v>0</v>
      </c>
      <c r="AC60">
        <f>IFERROR(SUMPRODUCT(V60:X60,{0.2,0.3,0.5})/SUMPRODUCT(--(V60:X60&lt;&gt;""),{0.2,0.3,0.5}),"")</f>
        <v>0</v>
      </c>
      <c r="AD60" t="str">
        <f>IFERROR(SUMPRODUCT(Y60:AA60,{0.2,0.3,0.5})/SUMPRODUCT((Y60:AA60&lt;&gt;"")*{0.2,0.3,0.5}),O60)</f>
        <v/>
      </c>
      <c r="AE60">
        <f t="shared" si="22"/>
        <v>1</v>
      </c>
      <c r="AF60" t="str">
        <f t="shared" si="26"/>
        <v/>
      </c>
      <c r="AG60">
        <f t="shared" si="2"/>
        <v>0</v>
      </c>
      <c r="AH60">
        <f t="shared" si="3"/>
        <v>0</v>
      </c>
      <c r="AI60" s="2">
        <f t="shared" si="4"/>
        <v>0</v>
      </c>
      <c r="AJ60">
        <f t="shared" si="5"/>
        <v>0</v>
      </c>
      <c r="AK60" t="str">
        <f t="shared" si="6"/>
        <v>NO</v>
      </c>
      <c r="AL60">
        <f t="shared" si="23"/>
        <v>0</v>
      </c>
      <c r="AM60">
        <f t="shared" si="7"/>
        <v>0</v>
      </c>
      <c r="AN60">
        <f t="shared" si="8"/>
        <v>0</v>
      </c>
      <c r="AO60">
        <f t="shared" si="9"/>
        <v>0</v>
      </c>
      <c r="AP60">
        <f t="array" ref="AP60">AL60*IF($C60="GKP",10,IF($C60="DEF",6,IF($C60="MID",5,4)))</f>
        <v>0</v>
      </c>
      <c r="AQ60">
        <f t="shared" si="10"/>
        <v>0</v>
      </c>
      <c r="AR60">
        <f t="shared" si="11"/>
        <v>0</v>
      </c>
      <c r="AS60" s="2">
        <f>IF($H60=0,0,Player_Analysis!$AM60*$H60/90)</f>
        <v>0</v>
      </c>
      <c r="AT60">
        <f t="shared" si="12"/>
        <v>0</v>
      </c>
      <c r="AU60" s="2">
        <f>0</f>
        <v>0</v>
      </c>
      <c r="AV60" s="2" t="str">
        <f>IF(INDEX(FPL_Raw_Data!K:K,MATCH(A60,FPL_Raw_Data!AA:AA,0))=0,"",INDEX(FPL_Raw_Data!P:P,MATCH(A60,FPL_Raw_Data!AA:AA,0))/INDEX(FPL_Raw_Data!K:K,MATCH(A60,FPL_Raw_Data!AA:AA,0))*90)</f>
        <v/>
      </c>
      <c r="AW60" s="2">
        <f t="shared" si="13"/>
        <v>0</v>
      </c>
      <c r="AX60" s="2">
        <f>IFERROR(INDEX(TEAM_ANALYSIS!$H$2:$H$21,MATCH($B60,TEAM_ANALYSIS!$A$2:$A$21,0)),0)</f>
        <v>1.6666666666666667</v>
      </c>
      <c r="AY60" s="2">
        <f t="shared" si="14"/>
        <v>-0.83333333333333337</v>
      </c>
      <c r="AZ60" s="2">
        <f t="shared" si="15"/>
        <v>-0.83333333333333337</v>
      </c>
      <c r="BA60">
        <f t="shared" si="16"/>
        <v>-0.20833333333333334</v>
      </c>
      <c r="BB60">
        <f>IFERROR(Player_Analysis!$Y60,1)</f>
        <v>1.0288823959094229</v>
      </c>
      <c r="BC60">
        <f t="shared" si="17"/>
        <v>-0.85740199659118577</v>
      </c>
      <c r="BD60">
        <f t="shared" si="24"/>
        <v>0.17862541595649703</v>
      </c>
      <c r="BE60">
        <f t="shared" si="25"/>
        <v>-0.85740199659118577</v>
      </c>
      <c r="BF60">
        <f t="shared" si="18"/>
        <v>566</v>
      </c>
      <c r="BG60">
        <f>IF($BE60="","",COUNTIFS($C$2:$C$596,$C60,$BE$2:$BE$596,"&gt;"&amp;$BE60)+COUNTIFS($C$2:$C60,$C60,$BE$2:$BE60,$BE60))</f>
        <v>167</v>
      </c>
    </row>
    <row r="61" spans="1:59" x14ac:dyDescent="0.25">
      <c r="A61" t="str">
        <f>Player_Analysis!A61</f>
        <v>Luka Lynch</v>
      </c>
      <c r="B61">
        <f>Player_Analysis!C61</f>
        <v>2</v>
      </c>
      <c r="C61" t="str">
        <f>Player_Analysis!B61</f>
        <v>MID</v>
      </c>
      <c r="D61" s="13">
        <f>Player_Analysis!E61</f>
        <v>4.5</v>
      </c>
      <c r="E61">
        <f>Player_Analysis!I61</f>
        <v>0</v>
      </c>
      <c r="F61" s="8">
        <f>Player_Analysis!Z61</f>
        <v>0</v>
      </c>
      <c r="G61" s="17">
        <f t="shared" si="19"/>
        <v>0</v>
      </c>
      <c r="H61">
        <f t="shared" si="0"/>
        <v>0</v>
      </c>
      <c r="I61" s="8">
        <f>Player_Analysis!AF61</f>
        <v>0</v>
      </c>
      <c r="J61" s="8">
        <f>Player_Analysis!AG61</f>
        <v>0</v>
      </c>
      <c r="K61">
        <f>Player_Analysis!O61</f>
        <v>0</v>
      </c>
      <c r="L61">
        <f>Player_Analysis!P61</f>
        <v>0</v>
      </c>
      <c r="M61" t="str">
        <f t="shared" si="20"/>
        <v/>
      </c>
      <c r="N61" t="str">
        <f t="shared" si="21"/>
        <v/>
      </c>
      <c r="O61" s="2" t="str">
        <f>IF(E61=0,"",Player_Analysis!L61/E61*90)</f>
        <v/>
      </c>
      <c r="P61" t="str">
        <f>IF(E61=0,"",Player_Analysis!Q61/E61*90)</f>
        <v/>
      </c>
      <c r="Q61" t="str">
        <f>IF(E61=0,"",(Player_Analysis!AD61/E61)*90)</f>
        <v/>
      </c>
      <c r="R61" t="str">
        <f>IF(E61=0,"",Player_Analysis!AA61/E61*90)</f>
        <v/>
      </c>
      <c r="S61" t="str">
        <f t="array" ref="S61">IFERROR(INDEX('2023_24'!$O:$O,MATCH($A61,'2023_24'!$A:$A,0)),"")</f>
        <v/>
      </c>
      <c r="T61" t="str">
        <f>IFERROR(INDEX('2024_25'!$P:$P,MATCH($A61,'2024_25'!$A:$A,0)),"")</f>
        <v/>
      </c>
      <c r="U61" t="str">
        <f>IFERROR(INDEX('2025_26'!$P:$P,MATCH($A61,'2025_26'!$A:$A,0)),"")</f>
        <v/>
      </c>
      <c r="V61" t="str">
        <f>IFERROR(INDEX('2023_24'!$P:$P,MATCH($A61,'2023_24'!$A:$A,0)),"")</f>
        <v/>
      </c>
      <c r="W61" t="str">
        <f>IFERROR(INDEX('2024_25'!$Q:$Q,MATCH($A61,'2024_25'!$A:$A,0)),"")</f>
        <v/>
      </c>
      <c r="X61" t="str">
        <f>IFERROR(INDEX('2025_26'!$Q:$Q,MATCH($A61,'2025_26'!$A:$A,0)),"")</f>
        <v/>
      </c>
      <c r="Y61" t="str">
        <f>IFERROR(INDEX('2023_24'!$M:$M,MATCH($A61,'2023_24'!$A:$A,0))/INDEX('2023_24'!$G:$G,MATCH($A61,'2023_24'!$A:$A,0))*90,"")</f>
        <v/>
      </c>
      <c r="Z61" t="str">
        <f>IFERROR(INDEX('2024_25'!$M:$M,MATCH($A61,'2024_25'!$A:$A,0))/INDEX('2024_25'!$G:$G,MATCH($A61,'2024_25'!$A:$A,0))*90,"")</f>
        <v/>
      </c>
      <c r="AA61" t="str">
        <f>IFERROR(INDEX('2025_26'!$M:$M,MATCH($A61,'2025_26'!$A:$A,0))/INDEX('2025_26'!$G:$G,MATCH($A61,'2025_26'!$A:$A,0))*90,"")</f>
        <v/>
      </c>
      <c r="AB61" t="str">
        <f>IFERROR(SUMPRODUCT(S61:U61,{0.2,0.3,0.5})/SUMPRODUCT(--(S61:U61&lt;&gt;""),{0.2,0.3,0.5}),"")</f>
        <v/>
      </c>
      <c r="AC61" t="str">
        <f>IFERROR(SUMPRODUCT(V61:X61,{0.2,0.3,0.5})/SUMPRODUCT(--(V61:X61&lt;&gt;""),{0.2,0.3,0.5}),"")</f>
        <v/>
      </c>
      <c r="AD61" t="str">
        <f>IFERROR(SUMPRODUCT(Y61:AA61,{0.2,0.3,0.5})/SUMPRODUCT((Y61:AA61&lt;&gt;"")*{0.2,0.3,0.5}),O61)</f>
        <v/>
      </c>
      <c r="AE61">
        <f t="shared" si="22"/>
        <v>0</v>
      </c>
      <c r="AF61" t="str">
        <f t="shared" si="26"/>
        <v/>
      </c>
      <c r="AG61">
        <f t="shared" si="2"/>
        <v>0</v>
      </c>
      <c r="AH61">
        <f t="shared" si="3"/>
        <v>0</v>
      </c>
      <c r="AI61" s="2">
        <f t="shared" si="4"/>
        <v>0</v>
      </c>
      <c r="AJ61">
        <f t="shared" si="5"/>
        <v>0</v>
      </c>
      <c r="AK61" t="str">
        <f t="shared" si="6"/>
        <v>YES</v>
      </c>
      <c r="AL61">
        <f t="shared" si="23"/>
        <v>0</v>
      </c>
      <c r="AM61">
        <f t="shared" si="7"/>
        <v>0</v>
      </c>
      <c r="AN61">
        <f t="shared" si="8"/>
        <v>0</v>
      </c>
      <c r="AO61">
        <f t="shared" si="9"/>
        <v>0</v>
      </c>
      <c r="AP61">
        <f t="array" ref="AP61">AL61*IF($C61="GKP",10,IF($C61="DEF",6,IF($C61="MID",5,4)))</f>
        <v>0</v>
      </c>
      <c r="AQ61">
        <f t="shared" si="10"/>
        <v>0</v>
      </c>
      <c r="AR61">
        <f t="shared" si="11"/>
        <v>0</v>
      </c>
      <c r="AS61" s="2">
        <f>IF($H61=0,0,Player_Analysis!$AM61*$H61/90)</f>
        <v>0</v>
      </c>
      <c r="AT61">
        <f t="shared" si="12"/>
        <v>0</v>
      </c>
      <c r="AU61" s="2">
        <f>0</f>
        <v>0</v>
      </c>
      <c r="AV61" s="2" t="str">
        <f>IF(INDEX(FPL_Raw_Data!K:K,MATCH(A61,FPL_Raw_Data!AA:AA,0))=0,"",INDEX(FPL_Raw_Data!P:P,MATCH(A61,FPL_Raw_Data!AA:AA,0))/INDEX(FPL_Raw_Data!K:K,MATCH(A61,FPL_Raw_Data!AA:AA,0))*90)</f>
        <v/>
      </c>
      <c r="AW61" s="2">
        <f t="shared" si="13"/>
        <v>0</v>
      </c>
      <c r="AX61" s="2">
        <f>IFERROR(INDEX(TEAM_ANALYSIS!$H$2:$H$21,MATCH($B61,TEAM_ANALYSIS!$A$2:$A$21,0)),0)</f>
        <v>1.6666666666666667</v>
      </c>
      <c r="AY61" s="2">
        <f t="shared" si="14"/>
        <v>0</v>
      </c>
      <c r="AZ61" s="2">
        <f t="shared" si="15"/>
        <v>0</v>
      </c>
      <c r="BA61">
        <f t="shared" si="16"/>
        <v>0</v>
      </c>
      <c r="BB61">
        <f>IFERROR(Player_Analysis!$Y61,1)</f>
        <v>0.8</v>
      </c>
      <c r="BC61">
        <f t="shared" si="17"/>
        <v>0</v>
      </c>
      <c r="BD61">
        <f t="shared" si="24"/>
        <v>0</v>
      </c>
      <c r="BE61">
        <f t="shared" si="25"/>
        <v>0</v>
      </c>
      <c r="BF61">
        <f t="shared" si="18"/>
        <v>253</v>
      </c>
      <c r="BG61">
        <f>IF($BE61="","",COUNTIFS($C$2:$C$596,$C61,$BE$2:$BE$596,"&gt;"&amp;$BE61)+COUNTIFS($C$2:$C61,$C61,$BE$2:$BE61,$BE61))</f>
        <v>129</v>
      </c>
    </row>
    <row r="62" spans="1:59" x14ac:dyDescent="0.25">
      <c r="A62" t="str">
        <f>Player_Analysis!A62</f>
        <v>Aaron Wan-Bissaka</v>
      </c>
      <c r="B62">
        <f>Player_Analysis!C62</f>
        <v>2</v>
      </c>
      <c r="C62" t="str">
        <f>Player_Analysis!B62</f>
        <v>DEF</v>
      </c>
      <c r="D62" s="13">
        <f>Player_Analysis!E62</f>
        <v>4.5</v>
      </c>
      <c r="E62">
        <f>Player_Analysis!I62</f>
        <v>17</v>
      </c>
      <c r="F62" s="8">
        <f>Player_Analysis!Z62</f>
        <v>0</v>
      </c>
      <c r="G62" s="17">
        <f t="shared" si="19"/>
        <v>0</v>
      </c>
      <c r="H62">
        <f t="shared" si="0"/>
        <v>0</v>
      </c>
      <c r="I62" s="8">
        <f>Player_Analysis!AF62</f>
        <v>0</v>
      </c>
      <c r="J62" s="8">
        <f>Player_Analysis!AG62</f>
        <v>0</v>
      </c>
      <c r="K62">
        <f>Player_Analysis!O62</f>
        <v>0</v>
      </c>
      <c r="L62">
        <f>Player_Analysis!P62</f>
        <v>0</v>
      </c>
      <c r="M62">
        <f t="shared" si="20"/>
        <v>0</v>
      </c>
      <c r="N62">
        <f t="shared" si="21"/>
        <v>0</v>
      </c>
      <c r="O62" s="2">
        <f>IF(E62=0,"",Player_Analysis!L62/E62*90)</f>
        <v>10.588235294117647</v>
      </c>
      <c r="P62">
        <f>IF(E62=0,"",Player_Analysis!Q62/E62*90)</f>
        <v>0</v>
      </c>
      <c r="Q62">
        <f>IF(E62=0,"",(Player_Analysis!AD62/E62)*90)</f>
        <v>37.058823529411761</v>
      </c>
      <c r="R62">
        <f>IF(E62=0,"",Player_Analysis!AA62/E62*90)</f>
        <v>15.882352941176471</v>
      </c>
      <c r="S62">
        <f t="array" ref="S62">IFERROR(INDEX('2023_24'!$O:$O,MATCH($A62,'2023_24'!$A:$A,0)),"")</f>
        <v>5.5680539932508443E-3</v>
      </c>
      <c r="T62">
        <f>IFERROR(INDEX('2024_25'!$P:$P,MATCH($A62,'2024_25'!$A:$A,0)),"")</f>
        <v>3.3671528218135696E-2</v>
      </c>
      <c r="U62">
        <f>IFERROR(INDEX('2025_26'!$P:$P,MATCH($A62,'2025_26'!$A:$A,0)),"")</f>
        <v>0</v>
      </c>
      <c r="V62">
        <f>IFERROR(INDEX('2023_24'!$P:$P,MATCH($A62,'2023_24'!$A:$A,0)),"")</f>
        <v>7.4409448818897633E-2</v>
      </c>
      <c r="W62">
        <f>IFERROR(INDEX('2024_25'!$Q:$Q,MATCH($A62,'2024_25'!$A:$A,0)),"")</f>
        <v>7.8471781864299303E-2</v>
      </c>
      <c r="X62">
        <f>IFERROR(INDEX('2025_26'!$Q:$Q,MATCH($A62,'2025_26'!$A:$A,0)),"")</f>
        <v>4.3269230769230768E-2</v>
      </c>
      <c r="Y62">
        <f>IFERROR(INDEX('2023_24'!$M:$M,MATCH($A62,'2023_24'!$A:$A,0))/INDEX('2023_24'!$G:$G,MATCH($A62,'2023_24'!$A:$A,0))*90,"")</f>
        <v>2.3790776152980877</v>
      </c>
      <c r="Z62">
        <f>IFERROR(INDEX('2024_25'!$M:$M,MATCH($A62,'2024_25'!$A:$A,0))/INDEX('2024_25'!$G:$G,MATCH($A62,'2024_25'!$A:$A,0))*90,"")</f>
        <v>3.36715282181357</v>
      </c>
      <c r="AA62">
        <f>IFERROR(INDEX('2025_26'!$M:$M,MATCH($A62,'2025_26'!$A:$A,0))/INDEX('2025_26'!$G:$G,MATCH($A62,'2025_26'!$A:$A,0))*90,"")</f>
        <v>2.8990384615384612</v>
      </c>
      <c r="AB62">
        <f>IFERROR(SUMPRODUCT(S62:U62,{0.2,0.3,0.5})/SUMPRODUCT(--(S62:U62&lt;&gt;""),{0.2,0.3,0.5}),"")</f>
        <v>1.1215069264090879E-2</v>
      </c>
      <c r="AC62">
        <f>IFERROR(SUMPRODUCT(V62:X62,{0.2,0.3,0.5})/SUMPRODUCT(--(V62:X62&lt;&gt;""),{0.2,0.3,0.5}),"")</f>
        <v>6.0058039707684703E-2</v>
      </c>
      <c r="AD62">
        <f>IFERROR(SUMPRODUCT(Y62:AA62,{0.2,0.3,0.5})/SUMPRODUCT((Y62:AA62&lt;&gt;"")*{0.2,0.3,0.5}),O62)</f>
        <v>2.935480600372919</v>
      </c>
      <c r="AE62">
        <f t="shared" si="22"/>
        <v>3</v>
      </c>
      <c r="AF62" t="str">
        <f t="shared" si="26"/>
        <v/>
      </c>
      <c r="AG62">
        <f t="shared" si="2"/>
        <v>1.0579548672459062E-2</v>
      </c>
      <c r="AH62">
        <f t="shared" si="3"/>
        <v>5.6654750790915906E-2</v>
      </c>
      <c r="AI62" s="2">
        <f t="shared" si="4"/>
        <v>3.3691366996851206</v>
      </c>
      <c r="AJ62">
        <f t="shared" si="5"/>
        <v>5.6666666666666664E-2</v>
      </c>
      <c r="AK62" t="str">
        <f t="shared" si="6"/>
        <v>NO</v>
      </c>
      <c r="AL62">
        <f t="shared" si="23"/>
        <v>0</v>
      </c>
      <c r="AM62">
        <f t="shared" si="7"/>
        <v>0</v>
      </c>
      <c r="AN62">
        <f t="shared" si="8"/>
        <v>0</v>
      </c>
      <c r="AO62">
        <f t="shared" si="9"/>
        <v>0</v>
      </c>
      <c r="AP62">
        <f t="array" ref="AP62">AL62*IF($C62="GKP",10,IF($C62="DEF",6,IF($C62="MID",5,4)))</f>
        <v>0</v>
      </c>
      <c r="AQ62">
        <f t="shared" si="10"/>
        <v>0</v>
      </c>
      <c r="AR62">
        <f t="shared" si="11"/>
        <v>0</v>
      </c>
      <c r="AS62" s="2">
        <f>IF($H62=0,0,Player_Analysis!$AM62*$H62/90)</f>
        <v>0</v>
      </c>
      <c r="AT62">
        <f t="shared" si="12"/>
        <v>0</v>
      </c>
      <c r="AU62" s="2">
        <f>0</f>
        <v>0</v>
      </c>
      <c r="AV62" s="2">
        <f>IF(INDEX(FPL_Raw_Data!K:K,MATCH(A62,FPL_Raw_Data!AA:AA,0))=0,"",INDEX(FPL_Raw_Data!P:P,MATCH(A62,FPL_Raw_Data!AA:AA,0))/INDEX(FPL_Raw_Data!K:K,MATCH(A62,FPL_Raw_Data!AA:AA,0))*90)</f>
        <v>0</v>
      </c>
      <c r="AW62" s="2">
        <f t="shared" si="13"/>
        <v>0</v>
      </c>
      <c r="AX62" s="2">
        <f>IFERROR(INDEX(TEAM_ANALYSIS!$H$2:$H$21,MATCH($B62,TEAM_ANALYSIS!$A$2:$A$21,0)),0)</f>
        <v>1.6666666666666667</v>
      </c>
      <c r="AY62" s="2">
        <f t="shared" si="14"/>
        <v>-0.83333333333333337</v>
      </c>
      <c r="AZ62" s="2">
        <f t="shared" si="15"/>
        <v>-0.83333333333333337</v>
      </c>
      <c r="BA62">
        <f t="shared" si="16"/>
        <v>-0.1851851851851852</v>
      </c>
      <c r="BB62">
        <f>IFERROR(Player_Analysis!$Y62,1)</f>
        <v>1.0288823959094229</v>
      </c>
      <c r="BC62">
        <f t="shared" si="17"/>
        <v>-0.85740199659118577</v>
      </c>
      <c r="BD62">
        <f t="shared" si="24"/>
        <v>0.15877814751688626</v>
      </c>
      <c r="BE62">
        <f t="shared" si="25"/>
        <v>-0.85740199659118577</v>
      </c>
      <c r="BF62">
        <f t="shared" si="18"/>
        <v>566</v>
      </c>
      <c r="BG62">
        <f>IF($BE62="","",COUNTIFS($C$2:$C$596,$C62,$BE$2:$BE$596,"&gt;"&amp;$BE62)+COUNTIFS($C$2:$C62,$C62,$BE$2:$BE62,$BE62))</f>
        <v>168</v>
      </c>
    </row>
    <row r="63" spans="1:59" x14ac:dyDescent="0.25">
      <c r="A63" t="str">
        <f>Player_Analysis!A63</f>
        <v>Leon Goretzka</v>
      </c>
      <c r="B63">
        <f>Player_Analysis!C63</f>
        <v>2</v>
      </c>
      <c r="C63" t="str">
        <f>Player_Analysis!B63</f>
        <v>MID</v>
      </c>
      <c r="D63" s="13">
        <f>Player_Analysis!E63</f>
        <v>6</v>
      </c>
      <c r="E63">
        <f>Player_Analysis!I63</f>
        <v>0</v>
      </c>
      <c r="F63" s="8">
        <f>Player_Analysis!Z63</f>
        <v>0</v>
      </c>
      <c r="G63" s="17">
        <f t="shared" si="19"/>
        <v>0</v>
      </c>
      <c r="H63">
        <f t="shared" si="0"/>
        <v>0</v>
      </c>
      <c r="I63" s="8">
        <f>Player_Analysis!AF63</f>
        <v>0</v>
      </c>
      <c r="J63" s="8">
        <f>Player_Analysis!AG63</f>
        <v>0</v>
      </c>
      <c r="K63">
        <f>Player_Analysis!O63</f>
        <v>0</v>
      </c>
      <c r="L63">
        <f>Player_Analysis!P63</f>
        <v>0</v>
      </c>
      <c r="M63" t="str">
        <f t="shared" si="20"/>
        <v/>
      </c>
      <c r="N63" t="str">
        <f t="shared" si="21"/>
        <v/>
      </c>
      <c r="O63" s="2" t="str">
        <f>IF(E63=0,"",Player_Analysis!L63/E63*90)</f>
        <v/>
      </c>
      <c r="P63" t="str">
        <f>IF(E63=0,"",Player_Analysis!Q63/E63*90)</f>
        <v/>
      </c>
      <c r="Q63" t="str">
        <f>IF(E63=0,"",(Player_Analysis!AD63/E63)*90)</f>
        <v/>
      </c>
      <c r="R63" t="str">
        <f>IF(E63=0,"",Player_Analysis!AA63/E63*90)</f>
        <v/>
      </c>
      <c r="S63" t="str">
        <f t="array" ref="S63">IFERROR(INDEX('2023_24'!$O:$O,MATCH($A63,'2023_24'!$A:$A,0)),"")</f>
        <v/>
      </c>
      <c r="T63" t="str">
        <f>IFERROR(INDEX('2024_25'!$P:$P,MATCH($A63,'2024_25'!$A:$A,0)),"")</f>
        <v/>
      </c>
      <c r="U63" t="str">
        <f>IFERROR(INDEX('2025_26'!$P:$P,MATCH($A63,'2025_26'!$A:$A,0)),"")</f>
        <v/>
      </c>
      <c r="V63" t="str">
        <f>IFERROR(INDEX('2023_24'!$P:$P,MATCH($A63,'2023_24'!$A:$A,0)),"")</f>
        <v/>
      </c>
      <c r="W63" t="str">
        <f>IFERROR(INDEX('2024_25'!$Q:$Q,MATCH($A63,'2024_25'!$A:$A,0)),"")</f>
        <v/>
      </c>
      <c r="X63" t="str">
        <f>IFERROR(INDEX('2025_26'!$Q:$Q,MATCH($A63,'2025_26'!$A:$A,0)),"")</f>
        <v/>
      </c>
      <c r="Y63" t="str">
        <f>IFERROR(INDEX('2023_24'!$M:$M,MATCH($A63,'2023_24'!$A:$A,0))/INDEX('2023_24'!$G:$G,MATCH($A63,'2023_24'!$A:$A,0))*90,"")</f>
        <v/>
      </c>
      <c r="Z63" t="str">
        <f>IFERROR(INDEX('2024_25'!$M:$M,MATCH($A63,'2024_25'!$A:$A,0))/INDEX('2024_25'!$G:$G,MATCH($A63,'2024_25'!$A:$A,0))*90,"")</f>
        <v/>
      </c>
      <c r="AA63" t="str">
        <f>IFERROR(INDEX('2025_26'!$M:$M,MATCH($A63,'2025_26'!$A:$A,0))/INDEX('2025_26'!$G:$G,MATCH($A63,'2025_26'!$A:$A,0))*90,"")</f>
        <v/>
      </c>
      <c r="AB63" t="str">
        <f>IFERROR(SUMPRODUCT(S63:U63,{0.2,0.3,0.5})/SUMPRODUCT(--(S63:U63&lt;&gt;""),{0.2,0.3,0.5}),"")</f>
        <v/>
      </c>
      <c r="AC63" t="str">
        <f>IFERROR(SUMPRODUCT(V63:X63,{0.2,0.3,0.5})/SUMPRODUCT(--(V63:X63&lt;&gt;""),{0.2,0.3,0.5}),"")</f>
        <v/>
      </c>
      <c r="AD63" t="str">
        <f>IFERROR(SUMPRODUCT(Y63:AA63,{0.2,0.3,0.5})/SUMPRODUCT((Y63:AA63&lt;&gt;"")*{0.2,0.3,0.5}),O63)</f>
        <v/>
      </c>
      <c r="AE63">
        <f t="shared" si="22"/>
        <v>0</v>
      </c>
      <c r="AF63" t="str">
        <f t="shared" si="26"/>
        <v/>
      </c>
      <c r="AG63">
        <f t="shared" si="2"/>
        <v>0</v>
      </c>
      <c r="AH63">
        <f t="shared" si="3"/>
        <v>0</v>
      </c>
      <c r="AI63" s="2">
        <f t="shared" si="4"/>
        <v>0</v>
      </c>
      <c r="AJ63">
        <f t="shared" si="5"/>
        <v>0</v>
      </c>
      <c r="AK63" t="str">
        <f t="shared" si="6"/>
        <v>YES</v>
      </c>
      <c r="AL63">
        <f t="shared" si="23"/>
        <v>0</v>
      </c>
      <c r="AM63">
        <f t="shared" si="7"/>
        <v>0</v>
      </c>
      <c r="AN63">
        <f t="shared" si="8"/>
        <v>0</v>
      </c>
      <c r="AO63">
        <f t="shared" si="9"/>
        <v>0</v>
      </c>
      <c r="AP63">
        <f t="array" ref="AP63">AL63*IF($C63="GKP",10,IF($C63="DEF",6,IF($C63="MID",5,4)))</f>
        <v>0</v>
      </c>
      <c r="AQ63">
        <f t="shared" si="10"/>
        <v>0</v>
      </c>
      <c r="AR63">
        <f t="shared" si="11"/>
        <v>0</v>
      </c>
      <c r="AS63" s="2">
        <f>IF($H63=0,0,Player_Analysis!$AM63*$H63/90)</f>
        <v>0</v>
      </c>
      <c r="AT63">
        <f t="shared" si="12"/>
        <v>0</v>
      </c>
      <c r="AU63" s="2">
        <f>0</f>
        <v>0</v>
      </c>
      <c r="AV63" s="2" t="str">
        <f>IF(INDEX(FPL_Raw_Data!K:K,MATCH(A63,FPL_Raw_Data!AA:AA,0))=0,"",INDEX(FPL_Raw_Data!P:P,MATCH(A63,FPL_Raw_Data!AA:AA,0))/INDEX(FPL_Raw_Data!K:K,MATCH(A63,FPL_Raw_Data!AA:AA,0))*90)</f>
        <v/>
      </c>
      <c r="AW63" s="2">
        <f t="shared" si="13"/>
        <v>0</v>
      </c>
      <c r="AX63" s="2">
        <f>IFERROR(INDEX(TEAM_ANALYSIS!$H$2:$H$21,MATCH($B63,TEAM_ANALYSIS!$A$2:$A$21,0)),0)</f>
        <v>1.6666666666666667</v>
      </c>
      <c r="AY63" s="2">
        <f t="shared" si="14"/>
        <v>0</v>
      </c>
      <c r="AZ63" s="2">
        <f t="shared" si="15"/>
        <v>0</v>
      </c>
      <c r="BA63">
        <f t="shared" si="16"/>
        <v>0</v>
      </c>
      <c r="BB63">
        <f>IFERROR(Player_Analysis!$Y63,1)</f>
        <v>0.8</v>
      </c>
      <c r="BC63">
        <f t="shared" si="17"/>
        <v>0</v>
      </c>
      <c r="BD63">
        <f t="shared" si="24"/>
        <v>0</v>
      </c>
      <c r="BE63">
        <f t="shared" si="25"/>
        <v>0</v>
      </c>
      <c r="BF63">
        <f t="shared" si="18"/>
        <v>253</v>
      </c>
      <c r="BG63">
        <f>IF($BE63="","",COUNTIFS($C$2:$C$596,$C63,$BE$2:$BE$596,"&gt;"&amp;$BE63)+COUNTIFS($C$2:$C63,$C63,$BE$2:$BE63,$BE63))</f>
        <v>130</v>
      </c>
    </row>
    <row r="64" spans="1:59" x14ac:dyDescent="0.25">
      <c r="A64" t="str">
        <f>Player_Analysis!A64</f>
        <v>Taylor Harwood-Bellis</v>
      </c>
      <c r="B64">
        <f>Player_Analysis!C64</f>
        <v>2</v>
      </c>
      <c r="C64" t="str">
        <f>Player_Analysis!B64</f>
        <v>DEF</v>
      </c>
      <c r="D64" s="13">
        <f>Player_Analysis!E64</f>
        <v>4.5</v>
      </c>
      <c r="E64">
        <f>Player_Analysis!I64</f>
        <v>0</v>
      </c>
      <c r="F64" s="8">
        <f>Player_Analysis!Z64</f>
        <v>0</v>
      </c>
      <c r="G64" s="17">
        <f t="shared" si="19"/>
        <v>0</v>
      </c>
      <c r="H64">
        <f t="shared" si="0"/>
        <v>0</v>
      </c>
      <c r="I64" s="8">
        <f>Player_Analysis!AF64</f>
        <v>0</v>
      </c>
      <c r="J64" s="8">
        <f>Player_Analysis!AG64</f>
        <v>0</v>
      </c>
      <c r="K64">
        <f>Player_Analysis!O64</f>
        <v>0</v>
      </c>
      <c r="L64">
        <f>Player_Analysis!P64</f>
        <v>0</v>
      </c>
      <c r="M64" t="str">
        <f t="shared" si="20"/>
        <v/>
      </c>
      <c r="N64" t="str">
        <f t="shared" si="21"/>
        <v/>
      </c>
      <c r="O64" s="2" t="str">
        <f>IF(E64=0,"",Player_Analysis!L64/E64*90)</f>
        <v/>
      </c>
      <c r="P64" t="str">
        <f>IF(E64=0,"",Player_Analysis!Q64/E64*90)</f>
        <v/>
      </c>
      <c r="Q64" t="str">
        <f>IF(E64=0,"",(Player_Analysis!AD64/E64)*90)</f>
        <v/>
      </c>
      <c r="R64" t="str">
        <f>IF(E64=0,"",Player_Analysis!AA64/E64*90)</f>
        <v/>
      </c>
      <c r="S64" t="str">
        <f t="array" ref="S64">IFERROR(INDEX('2023_24'!$O:$O,MATCH($A64,'2023_24'!$A:$A,0)),"")</f>
        <v/>
      </c>
      <c r="T64">
        <f>IFERROR(INDEX('2024_25'!$P:$P,MATCH($A64,'2024_25'!$A:$A,0)),"")</f>
        <v>5.672804532577904E-2</v>
      </c>
      <c r="U64" t="str">
        <f>IFERROR(INDEX('2025_26'!$P:$P,MATCH($A64,'2025_26'!$A:$A,0)),"")</f>
        <v/>
      </c>
      <c r="V64" t="str">
        <f>IFERROR(INDEX('2023_24'!$P:$P,MATCH($A64,'2023_24'!$A:$A,0)),"")</f>
        <v/>
      </c>
      <c r="W64">
        <f>IFERROR(INDEX('2024_25'!$Q:$Q,MATCH($A64,'2024_25'!$A:$A,0)),"")</f>
        <v>2.1671388101983005E-2</v>
      </c>
      <c r="X64" t="str">
        <f>IFERROR(INDEX('2025_26'!$Q:$Q,MATCH($A64,'2025_26'!$A:$A,0)),"")</f>
        <v/>
      </c>
      <c r="Y64" t="str">
        <f>IFERROR(INDEX('2023_24'!$M:$M,MATCH($A64,'2023_24'!$A:$A,0))/INDEX('2023_24'!$G:$G,MATCH($A64,'2023_24'!$A:$A,0))*90,"")</f>
        <v/>
      </c>
      <c r="Z64">
        <f>IFERROR(INDEX('2024_25'!$M:$M,MATCH($A64,'2024_25'!$A:$A,0))/INDEX('2024_25'!$G:$G,MATCH($A64,'2024_25'!$A:$A,0))*90,"")</f>
        <v>1.7528328611898016</v>
      </c>
      <c r="AA64" t="str">
        <f>IFERROR(INDEX('2025_26'!$M:$M,MATCH($A64,'2025_26'!$A:$A,0))/INDEX('2025_26'!$G:$G,MATCH($A64,'2025_26'!$A:$A,0))*90,"")</f>
        <v/>
      </c>
      <c r="AB64">
        <f>IFERROR(SUMPRODUCT(S64:U64,{0.2,0.3,0.5})/SUMPRODUCT(--(S64:U64&lt;&gt;""),{0.2,0.3,0.5}),"")</f>
        <v>5.6728045325779047E-2</v>
      </c>
      <c r="AC64">
        <f>IFERROR(SUMPRODUCT(V64:X64,{0.2,0.3,0.5})/SUMPRODUCT(--(V64:X64&lt;&gt;""),{0.2,0.3,0.5}),"")</f>
        <v>2.1671388101983005E-2</v>
      </c>
      <c r="AD64">
        <f>IFERROR(SUMPRODUCT(Y64:AA64,{0.2,0.3,0.5})/SUMPRODUCT((Y64:AA64&lt;&gt;"")*{0.2,0.3,0.5}),O64)</f>
        <v>1.7528328611898014</v>
      </c>
      <c r="AE64">
        <f t="shared" si="22"/>
        <v>1</v>
      </c>
      <c r="AF64" t="str">
        <f t="shared" si="26"/>
        <v/>
      </c>
      <c r="AG64">
        <f t="shared" si="2"/>
        <v>5.6728045325779047E-2</v>
      </c>
      <c r="AH64">
        <f t="shared" si="3"/>
        <v>2.1671388101983005E-2</v>
      </c>
      <c r="AI64" s="2">
        <f t="shared" si="4"/>
        <v>1.7528328611898014</v>
      </c>
      <c r="AJ64">
        <f t="shared" si="5"/>
        <v>0</v>
      </c>
      <c r="AK64" t="str">
        <f t="shared" si="6"/>
        <v>NO</v>
      </c>
      <c r="AL64">
        <f t="shared" si="23"/>
        <v>0</v>
      </c>
      <c r="AM64">
        <f t="shared" si="7"/>
        <v>0</v>
      </c>
      <c r="AN64">
        <f t="shared" si="8"/>
        <v>0</v>
      </c>
      <c r="AO64">
        <f t="shared" si="9"/>
        <v>0</v>
      </c>
      <c r="AP64">
        <f t="array" ref="AP64">AL64*IF($C64="GKP",10,IF($C64="DEF",6,IF($C64="MID",5,4)))</f>
        <v>0</v>
      </c>
      <c r="AQ64">
        <f t="shared" si="10"/>
        <v>0</v>
      </c>
      <c r="AR64">
        <f t="shared" si="11"/>
        <v>0</v>
      </c>
      <c r="AS64" s="2">
        <f>IF($H64=0,0,Player_Analysis!$AM64*$H64/90)</f>
        <v>0</v>
      </c>
      <c r="AT64">
        <f t="shared" si="12"/>
        <v>0</v>
      </c>
      <c r="AU64" s="2">
        <f>0</f>
        <v>0</v>
      </c>
      <c r="AV64" s="2" t="str">
        <f>IF(INDEX(FPL_Raw_Data!K:K,MATCH(A64,FPL_Raw_Data!AA:AA,0))=0,"",INDEX(FPL_Raw_Data!P:P,MATCH(A64,FPL_Raw_Data!AA:AA,0))/INDEX(FPL_Raw_Data!K:K,MATCH(A64,FPL_Raw_Data!AA:AA,0))*90)</f>
        <v/>
      </c>
      <c r="AW64" s="2">
        <f t="shared" si="13"/>
        <v>0</v>
      </c>
      <c r="AX64" s="2">
        <f>IFERROR(INDEX(TEAM_ANALYSIS!$H$2:$H$21,MATCH($B64,TEAM_ANALYSIS!$A$2:$A$21,0)),0)</f>
        <v>1.6666666666666667</v>
      </c>
      <c r="AY64" s="2">
        <f t="shared" si="14"/>
        <v>-0.83333333333333337</v>
      </c>
      <c r="AZ64" s="2">
        <f t="shared" si="15"/>
        <v>-0.83333333333333337</v>
      </c>
      <c r="BA64">
        <f t="shared" si="16"/>
        <v>-0.1851851851851852</v>
      </c>
      <c r="BB64">
        <f>IFERROR(Player_Analysis!$Y64,1)</f>
        <v>1.0288823959094229</v>
      </c>
      <c r="BC64">
        <f t="shared" si="17"/>
        <v>-0.85740199659118577</v>
      </c>
      <c r="BD64">
        <f t="shared" si="24"/>
        <v>0.15877814751688626</v>
      </c>
      <c r="BE64">
        <f t="shared" si="25"/>
        <v>-0.85740199659118577</v>
      </c>
      <c r="BF64">
        <f t="shared" si="18"/>
        <v>566</v>
      </c>
      <c r="BG64">
        <f>IF($BE64="","",COUNTIFS($C$2:$C$596,$C64,$BE$2:$BE$596,"&gt;"&amp;$BE64)+COUNTIFS($C$2:$C64,$C64,$BE$2:$BE64,$BE64))</f>
        <v>169</v>
      </c>
    </row>
    <row r="65" spans="1:59" x14ac:dyDescent="0.25">
      <c r="A65" t="str">
        <f>Player_Analysis!A65</f>
        <v>Ibrahim Mbaye</v>
      </c>
      <c r="B65">
        <f>Player_Analysis!C65</f>
        <v>2</v>
      </c>
      <c r="C65" t="str">
        <f>Player_Analysis!B65</f>
        <v>MID</v>
      </c>
      <c r="D65" s="13">
        <f>Player_Analysis!E65</f>
        <v>6</v>
      </c>
      <c r="E65">
        <f>Player_Analysis!I65</f>
        <v>0</v>
      </c>
      <c r="F65" s="8">
        <f>Player_Analysis!Z65</f>
        <v>0</v>
      </c>
      <c r="G65" s="17">
        <f t="shared" si="19"/>
        <v>0</v>
      </c>
      <c r="H65">
        <f t="shared" si="0"/>
        <v>0</v>
      </c>
      <c r="I65" s="8">
        <f>Player_Analysis!AF65</f>
        <v>0</v>
      </c>
      <c r="J65" s="8">
        <f>Player_Analysis!AG65</f>
        <v>0</v>
      </c>
      <c r="K65">
        <f>Player_Analysis!O65</f>
        <v>0</v>
      </c>
      <c r="L65">
        <f>Player_Analysis!P65</f>
        <v>0</v>
      </c>
      <c r="M65" t="str">
        <f t="shared" si="20"/>
        <v/>
      </c>
      <c r="N65" t="str">
        <f t="shared" si="21"/>
        <v/>
      </c>
      <c r="O65" s="2" t="str">
        <f>IF(E65=0,"",Player_Analysis!L65/E65*90)</f>
        <v/>
      </c>
      <c r="P65" t="str">
        <f>IF(E65=0,"",Player_Analysis!Q65/E65*90)</f>
        <v/>
      </c>
      <c r="Q65" t="str">
        <f>IF(E65=0,"",(Player_Analysis!AD65/E65)*90)</f>
        <v/>
      </c>
      <c r="R65" t="str">
        <f>IF(E65=0,"",Player_Analysis!AA65/E65*90)</f>
        <v/>
      </c>
      <c r="S65" t="str">
        <f t="array" ref="S65">IFERROR(INDEX('2023_24'!$O:$O,MATCH($A65,'2023_24'!$A:$A,0)),"")</f>
        <v/>
      </c>
      <c r="T65" t="str">
        <f>IFERROR(INDEX('2024_25'!$P:$P,MATCH($A65,'2024_25'!$A:$A,0)),"")</f>
        <v/>
      </c>
      <c r="U65" t="str">
        <f>IFERROR(INDEX('2025_26'!$P:$P,MATCH($A65,'2025_26'!$A:$A,0)),"")</f>
        <v/>
      </c>
      <c r="V65" t="str">
        <f>IFERROR(INDEX('2023_24'!$P:$P,MATCH($A65,'2023_24'!$A:$A,0)),"")</f>
        <v/>
      </c>
      <c r="W65" t="str">
        <f>IFERROR(INDEX('2024_25'!$Q:$Q,MATCH($A65,'2024_25'!$A:$A,0)),"")</f>
        <v/>
      </c>
      <c r="X65" t="str">
        <f>IFERROR(INDEX('2025_26'!$Q:$Q,MATCH($A65,'2025_26'!$A:$A,0)),"")</f>
        <v/>
      </c>
      <c r="Y65" t="str">
        <f>IFERROR(INDEX('2023_24'!$M:$M,MATCH($A65,'2023_24'!$A:$A,0))/INDEX('2023_24'!$G:$G,MATCH($A65,'2023_24'!$A:$A,0))*90,"")</f>
        <v/>
      </c>
      <c r="Z65" t="str">
        <f>IFERROR(INDEX('2024_25'!$M:$M,MATCH($A65,'2024_25'!$A:$A,0))/INDEX('2024_25'!$G:$G,MATCH($A65,'2024_25'!$A:$A,0))*90,"")</f>
        <v/>
      </c>
      <c r="AA65" t="str">
        <f>IFERROR(INDEX('2025_26'!$M:$M,MATCH($A65,'2025_26'!$A:$A,0))/INDEX('2025_26'!$G:$G,MATCH($A65,'2025_26'!$A:$A,0))*90,"")</f>
        <v/>
      </c>
      <c r="AB65" t="str">
        <f>IFERROR(SUMPRODUCT(S65:U65,{0.2,0.3,0.5})/SUMPRODUCT(--(S65:U65&lt;&gt;""),{0.2,0.3,0.5}),"")</f>
        <v/>
      </c>
      <c r="AC65" t="str">
        <f>IFERROR(SUMPRODUCT(V65:X65,{0.2,0.3,0.5})/SUMPRODUCT(--(V65:X65&lt;&gt;""),{0.2,0.3,0.5}),"")</f>
        <v/>
      </c>
      <c r="AD65" t="str">
        <f>IFERROR(SUMPRODUCT(Y65:AA65,{0.2,0.3,0.5})/SUMPRODUCT((Y65:AA65&lt;&gt;"")*{0.2,0.3,0.5}),O65)</f>
        <v/>
      </c>
      <c r="AE65">
        <f t="shared" si="22"/>
        <v>0</v>
      </c>
      <c r="AF65" t="str">
        <f t="shared" si="26"/>
        <v/>
      </c>
      <c r="AG65">
        <f t="shared" si="2"/>
        <v>0</v>
      </c>
      <c r="AH65">
        <f t="shared" si="3"/>
        <v>0</v>
      </c>
      <c r="AI65" s="2">
        <f t="shared" si="4"/>
        <v>0</v>
      </c>
      <c r="AJ65">
        <f t="shared" si="5"/>
        <v>0</v>
      </c>
      <c r="AK65" t="str">
        <f t="shared" si="6"/>
        <v>YES</v>
      </c>
      <c r="AL65">
        <f t="shared" si="23"/>
        <v>0</v>
      </c>
      <c r="AM65">
        <f t="shared" si="7"/>
        <v>0</v>
      </c>
      <c r="AN65">
        <f t="shared" si="8"/>
        <v>0</v>
      </c>
      <c r="AO65">
        <f t="shared" si="9"/>
        <v>0</v>
      </c>
      <c r="AP65">
        <f t="array" ref="AP65">AL65*IF($C65="GKP",10,IF($C65="DEF",6,IF($C65="MID",5,4)))</f>
        <v>0</v>
      </c>
      <c r="AQ65">
        <f t="shared" si="10"/>
        <v>0</v>
      </c>
      <c r="AR65">
        <f t="shared" si="11"/>
        <v>0</v>
      </c>
      <c r="AS65" s="2">
        <f>IF($H65=0,0,Player_Analysis!$AM65*$H65/90)</f>
        <v>0</v>
      </c>
      <c r="AT65">
        <f t="shared" si="12"/>
        <v>0</v>
      </c>
      <c r="AU65" s="2">
        <f>0</f>
        <v>0</v>
      </c>
      <c r="AV65" s="2" t="str">
        <f>IF(INDEX(FPL_Raw_Data!K:K,MATCH(A65,FPL_Raw_Data!AA:AA,0))=0,"",INDEX(FPL_Raw_Data!P:P,MATCH(A65,FPL_Raw_Data!AA:AA,0))/INDEX(FPL_Raw_Data!K:K,MATCH(A65,FPL_Raw_Data!AA:AA,0))*90)</f>
        <v/>
      </c>
      <c r="AW65" s="2">
        <f t="shared" si="13"/>
        <v>0</v>
      </c>
      <c r="AX65" s="2">
        <f>IFERROR(INDEX(TEAM_ANALYSIS!$H$2:$H$21,MATCH($B65,TEAM_ANALYSIS!$A$2:$A$21,0)),0)</f>
        <v>1.6666666666666667</v>
      </c>
      <c r="AY65" s="2">
        <f t="shared" si="14"/>
        <v>0</v>
      </c>
      <c r="AZ65" s="2">
        <f t="shared" si="15"/>
        <v>0</v>
      </c>
      <c r="BA65">
        <f t="shared" si="16"/>
        <v>0</v>
      </c>
      <c r="BB65">
        <f>IFERROR(Player_Analysis!$Y65,1)</f>
        <v>0.8</v>
      </c>
      <c r="BC65">
        <f t="shared" si="17"/>
        <v>0</v>
      </c>
      <c r="BD65">
        <f t="shared" si="24"/>
        <v>0</v>
      </c>
      <c r="BE65">
        <f t="shared" si="25"/>
        <v>0</v>
      </c>
      <c r="BF65">
        <f t="shared" si="18"/>
        <v>253</v>
      </c>
      <c r="BG65">
        <f>IF($BE65="","",COUNTIFS($C$2:$C$596,$C65,$BE$2:$BE$596,"&gt;"&amp;$BE65)+COUNTIFS($C$2:$C65,$C65,$BE$2:$BE65,$BE65))</f>
        <v>131</v>
      </c>
    </row>
    <row r="66" spans="1:59" x14ac:dyDescent="0.25">
      <c r="A66" t="str">
        <f>Player_Analysis!A66</f>
        <v>Đorđe Petrović</v>
      </c>
      <c r="B66">
        <f>Player_Analysis!C66</f>
        <v>3</v>
      </c>
      <c r="C66" t="str">
        <f>Player_Analysis!B66</f>
        <v>GK</v>
      </c>
      <c r="D66" s="13">
        <f>Player_Analysis!E66</f>
        <v>4.5</v>
      </c>
      <c r="E66">
        <f>Player_Analysis!I66</f>
        <v>270</v>
      </c>
      <c r="F66" s="8">
        <f>Player_Analysis!Z66</f>
        <v>3</v>
      </c>
      <c r="G66" s="17">
        <f t="shared" ref="G66:G129" si="27">IF(E66=0,0,MIN(1,F66/(E66/90)))</f>
        <v>1</v>
      </c>
      <c r="H66">
        <f t="shared" ref="H66:H129" si="28">IF($E66=0,0,MIN(90,$G66*90))</f>
        <v>90</v>
      </c>
      <c r="I66" s="8">
        <f>Player_Analysis!AF66</f>
        <v>0</v>
      </c>
      <c r="J66" s="8">
        <f>Player_Analysis!AG66</f>
        <v>0</v>
      </c>
      <c r="K66">
        <f>Player_Analysis!O66</f>
        <v>0</v>
      </c>
      <c r="L66">
        <f>Player_Analysis!P66</f>
        <v>0</v>
      </c>
      <c r="M66">
        <f t="shared" ref="M66:M129" si="29">IF(E66=0,"",K66/E66*90)</f>
        <v>0</v>
      </c>
      <c r="N66">
        <f t="shared" ref="N66:N129" si="30">IF(E66=0,"",L66/E66*90)</f>
        <v>0</v>
      </c>
      <c r="O66" s="2">
        <f>IF(E66=0,"",Player_Analysis!L66/E66*90)</f>
        <v>2</v>
      </c>
      <c r="P66">
        <f>IF(E66=0,"",Player_Analysis!Q66/E66*90)</f>
        <v>0</v>
      </c>
      <c r="Q66">
        <f>IF(E66=0,"",(Player_Analysis!AD66/E66)*90)</f>
        <v>11</v>
      </c>
      <c r="R66">
        <f>IF(E66=0,"",Player_Analysis!AA66/E66*90)</f>
        <v>0</v>
      </c>
      <c r="S66">
        <f t="array" ref="S66">IFERROR(INDEX('2023_24'!$O:$O,MATCH($A66,'2023_24'!$A:$A,0)),"")</f>
        <v>0</v>
      </c>
      <c r="T66">
        <f>IFERROR(INDEX('2024_25'!$P:$P,MATCH($A66,'2024_25'!$A:$A,0)),"")</f>
        <v>0</v>
      </c>
      <c r="U66">
        <f>IFERROR(INDEX('2025_26'!$P:$P,MATCH($A66,'2025_26'!$A:$A,0)),"")</f>
        <v>0</v>
      </c>
      <c r="V66">
        <f>IFERROR(INDEX('2023_24'!$P:$P,MATCH($A66,'2023_24'!$A:$A,0)),"")</f>
        <v>0</v>
      </c>
      <c r="W66">
        <f>IFERROR(INDEX('2024_25'!$Q:$Q,MATCH($A66,'2024_25'!$A:$A,0)),"")</f>
        <v>0</v>
      </c>
      <c r="X66">
        <f>IFERROR(INDEX('2025_26'!$Q:$Q,MATCH($A66,'2025_26'!$A:$A,0)),"")</f>
        <v>0</v>
      </c>
      <c r="Y66">
        <f>IFERROR(INDEX('2023_24'!$M:$M,MATCH($A66,'2023_24'!$A:$A,0))/INDEX('2023_24'!$G:$G,MATCH($A66,'2023_24'!$A:$A,0))*90,"")</f>
        <v>3.2175226586102723</v>
      </c>
      <c r="Z66" t="str">
        <f>IFERROR(INDEX('2024_25'!$M:$M,MATCH($A66,'2024_25'!$A:$A,0))/INDEX('2024_25'!$G:$G,MATCH($A66,'2024_25'!$A:$A,0))*90,"")</f>
        <v/>
      </c>
      <c r="AA66">
        <f>IFERROR(INDEX('2025_26'!$M:$M,MATCH($A66,'2025_26'!$A:$A,0))/INDEX('2025_26'!$G:$G,MATCH($A66,'2025_26'!$A:$A,0))*90,"")</f>
        <v>3.263157894736842</v>
      </c>
      <c r="AB66">
        <f>IFERROR(SUMPRODUCT(S66:U66,{0.2,0.3,0.5})/SUMPRODUCT(--(S66:U66&lt;&gt;""),{0.2,0.3,0.5}),"")</f>
        <v>0</v>
      </c>
      <c r="AC66">
        <f>IFERROR(SUMPRODUCT(V66:X66,{0.2,0.3,0.5})/SUMPRODUCT(--(V66:X66&lt;&gt;""),{0.2,0.3,0.5}),"")</f>
        <v>0</v>
      </c>
      <c r="AD66">
        <f>IFERROR(SUMPRODUCT(Y66:AA66,{0.2,0.3,0.5})/SUMPRODUCT((Y66:AA66&lt;&gt;"")*{0.2,0.3,0.5}),O66)</f>
        <v>3.2501192558435363</v>
      </c>
      <c r="AE66">
        <f t="shared" ref="AE66:AE129" si="31">COUNT(S66:U66)</f>
        <v>3</v>
      </c>
      <c r="AF66">
        <f t="shared" ref="AF66:AF129" si="32">IF(F66=0,"",E66/F66)</f>
        <v>90</v>
      </c>
      <c r="AG66">
        <f t="shared" ref="AG66:AG129" si="33">IF(AND(M66="",AB66=""),0,IF(M66="",AB66,IF(AB66="",M66,M66*AJ66+AB66*(1-AJ66))))</f>
        <v>0</v>
      </c>
      <c r="AH66">
        <f t="shared" ref="AH66:AH129" si="34">IF(AND(N66="",AC66=""),0,IF(N66="",AC66,IF(AC66="",N66,N66*AJ66+AC66*(1-AJ66))))</f>
        <v>0</v>
      </c>
      <c r="AI66" s="2">
        <f t="shared" ref="AI66:AI129" si="35">IF(AND(O66="",AD66=""),0,IF(O66="",AD66,IF(AD66="",O66,O66*AJ66+AD66*(1-AJ66))))</f>
        <v>2.1250119255843538</v>
      </c>
      <c r="AJ66">
        <f t="shared" ref="AJ66:AJ129" si="36">IF($E66=0,0,MIN(0.9,$E66/300))</f>
        <v>0.9</v>
      </c>
      <c r="AK66" t="str">
        <f t="shared" ref="AK66:AK129" si="37">IF(AE66=0,"YES","NO")</f>
        <v>NO</v>
      </c>
      <c r="AL66">
        <f t="shared" ref="AL66:AL129" si="38">IF($H66=0,0,$AG66*$H66/90)</f>
        <v>0</v>
      </c>
      <c r="AM66">
        <f t="shared" ref="AM66:AM129" si="39">IF($H66=0,0,$AH66*$H66/90)</f>
        <v>0</v>
      </c>
      <c r="AN66">
        <f t="shared" ref="AN66:AN129" si="40">AL66</f>
        <v>0</v>
      </c>
      <c r="AO66">
        <f t="shared" ref="AO66:AO129" si="41">AM66</f>
        <v>0</v>
      </c>
      <c r="AP66">
        <f t="array" ref="AP66">AL66*IF($C66="GKP",10,IF($C66="DEF",6,IF($C66="MID",5,4)))</f>
        <v>0</v>
      </c>
      <c r="AQ66">
        <f t="shared" ref="AQ66:AQ129" si="42">AM66*3</f>
        <v>0</v>
      </c>
      <c r="AR66">
        <f t="shared" ref="AR66:AR129" si="43">$G66*2</f>
        <v>2</v>
      </c>
      <c r="AS66" s="2">
        <f>IF($H66=0,0,Player_Analysis!$AM66*$H66/90)</f>
        <v>0</v>
      </c>
      <c r="AT66">
        <f t="shared" ref="AT66:AT129" si="44">IF($H66=0,0,$R66*$H66/90*2/IF(OR($C66="GKP",$C66="DEF"),10,12))</f>
        <v>0</v>
      </c>
      <c r="AU66" s="2">
        <f>0</f>
        <v>0</v>
      </c>
      <c r="AV66" s="2">
        <f>IF(INDEX(FPL_Raw_Data!K:K,MATCH(A66,FPL_Raw_Data!AA:AA,0))=0,"",INDEX(FPL_Raw_Data!P:P,MATCH(A66,FPL_Raw_Data!AA:AA,0))/INDEX(FPL_Raw_Data!K:K,MATCH(A66,FPL_Raw_Data!AA:AA,0))*90)</f>
        <v>3</v>
      </c>
      <c r="AW66" s="2">
        <f t="shared" ref="AW66:AW129" si="45">IF(AV66="",0,AV66/3)</f>
        <v>1</v>
      </c>
      <c r="AX66" s="2">
        <f>IFERROR(INDEX(TEAM_ANALYSIS!$H$2:$H$21,MATCH($B66,TEAM_ANALYSIS!$A$2:$A$21,0)),0)</f>
        <v>1.6666666666666667</v>
      </c>
      <c r="AY66" s="2">
        <f t="shared" ref="AY66:AY129" si="46">IF(OR($C66="GKP",$C66="DEF"),-($AX66/2),0)</f>
        <v>0</v>
      </c>
      <c r="AZ66" s="2">
        <f t="shared" ref="AZ66:AZ129" si="47">SUM(AP66:AU66)+AW66+AY66</f>
        <v>3</v>
      </c>
      <c r="BA66">
        <f t="shared" ref="BA66:BA129" si="48">IF($D66=0,0,$AZ66/$D66)</f>
        <v>0.66666666666666663</v>
      </c>
      <c r="BB66">
        <f>IFERROR(Player_Analysis!$Y66,1)</f>
        <v>0.85492657615677192</v>
      </c>
      <c r="BC66">
        <f t="shared" ref="BC66:BC129" si="49">BB66*AZ66</f>
        <v>2.5647797284703158</v>
      </c>
      <c r="BD66">
        <f t="shared" ref="BD66:BD129" si="50">BA66*BC66</f>
        <v>1.7098531523135438</v>
      </c>
      <c r="BE66">
        <f t="shared" ref="BE66:BE129" si="51">BC66</f>
        <v>2.5647797284703158</v>
      </c>
      <c r="BF66">
        <f t="shared" ref="BF66:BF129" si="52">IF($BE66="","",_xlfn.RANK.EQ($BE66,$BE$2:$BE$596,0))</f>
        <v>224</v>
      </c>
      <c r="BG66">
        <f>IF($BE66="","",COUNTIFS($C$2:$C$596,$C66,$BE$2:$BE$596,"&gt;"&amp;$BE66)+COUNTIFS($C$2:$C66,$C66,$BE$2:$BE66,$BE66))</f>
        <v>19</v>
      </c>
    </row>
    <row r="67" spans="1:59" x14ac:dyDescent="0.25">
      <c r="A67" t="str">
        <f>Player_Analysis!A67</f>
        <v>Fraser Forster</v>
      </c>
      <c r="B67">
        <f>Player_Analysis!C67</f>
        <v>3</v>
      </c>
      <c r="C67" t="str">
        <f>Player_Analysis!B67</f>
        <v>GK</v>
      </c>
      <c r="D67" s="13">
        <f>Player_Analysis!E67</f>
        <v>4</v>
      </c>
      <c r="E67">
        <f>Player_Analysis!I67</f>
        <v>0</v>
      </c>
      <c r="F67" s="8">
        <f>Player_Analysis!Z67</f>
        <v>0</v>
      </c>
      <c r="G67" s="17">
        <f t="shared" si="27"/>
        <v>0</v>
      </c>
      <c r="H67">
        <f t="shared" si="28"/>
        <v>0</v>
      </c>
      <c r="I67" s="8">
        <f>Player_Analysis!AF67</f>
        <v>0</v>
      </c>
      <c r="J67" s="8">
        <f>Player_Analysis!AG67</f>
        <v>0</v>
      </c>
      <c r="K67">
        <f>Player_Analysis!O67</f>
        <v>0</v>
      </c>
      <c r="L67">
        <f>Player_Analysis!P67</f>
        <v>0</v>
      </c>
      <c r="M67" t="str">
        <f t="shared" si="29"/>
        <v/>
      </c>
      <c r="N67" t="str">
        <f t="shared" si="30"/>
        <v/>
      </c>
      <c r="O67" s="2" t="str">
        <f>IF(E67=0,"",Player_Analysis!L67/E67*90)</f>
        <v/>
      </c>
      <c r="P67" t="str">
        <f>IF(E67=0,"",Player_Analysis!Q67/E67*90)</f>
        <v/>
      </c>
      <c r="Q67" t="str">
        <f>IF(E67=0,"",(Player_Analysis!AD67/E67)*90)</f>
        <v/>
      </c>
      <c r="R67" t="str">
        <f>IF(E67=0,"",Player_Analysis!AA67/E67*90)</f>
        <v/>
      </c>
      <c r="S67">
        <f t="array" ref="S67">IFERROR(INDEX('2023_24'!$O:$O,MATCH($A67,'2023_24'!$A:$A,0)),"")</f>
        <v>0</v>
      </c>
      <c r="T67">
        <f>IFERROR(INDEX('2024_25'!$P:$P,MATCH($A67,'2024_25'!$A:$A,0)),"")</f>
        <v>0</v>
      </c>
      <c r="U67">
        <f>IFERROR(INDEX('2025_26'!$P:$P,MATCH($A67,'2025_26'!$A:$A,0)),"")</f>
        <v>0</v>
      </c>
      <c r="V67">
        <f>IFERROR(INDEX('2023_24'!$P:$P,MATCH($A67,'2023_24'!$A:$A,0)),"")</f>
        <v>0</v>
      </c>
      <c r="W67">
        <f>IFERROR(INDEX('2024_25'!$Q:$Q,MATCH($A67,'2024_25'!$A:$A,0)),"")</f>
        <v>0</v>
      </c>
      <c r="X67">
        <f>IFERROR(INDEX('2025_26'!$Q:$Q,MATCH($A67,'2025_26'!$A:$A,0)),"")</f>
        <v>0</v>
      </c>
      <c r="Y67" t="str">
        <f>IFERROR(INDEX('2023_24'!$M:$M,MATCH($A67,'2023_24'!$A:$A,0))/INDEX('2023_24'!$G:$G,MATCH($A67,'2023_24'!$A:$A,0))*90,"")</f>
        <v/>
      </c>
      <c r="Z67">
        <f>IFERROR(INDEX('2024_25'!$M:$M,MATCH($A67,'2024_25'!$A:$A,0))/INDEX('2024_25'!$G:$G,MATCH($A67,'2024_25'!$A:$A,0))*90,"")</f>
        <v>2.7142857142857144</v>
      </c>
      <c r="AA67" t="str">
        <f>IFERROR(INDEX('2025_26'!$M:$M,MATCH($A67,'2025_26'!$A:$A,0))/INDEX('2025_26'!$G:$G,MATCH($A67,'2025_26'!$A:$A,0))*90,"")</f>
        <v/>
      </c>
      <c r="AB67">
        <f>IFERROR(SUMPRODUCT(S67:U67,{0.2,0.3,0.5})/SUMPRODUCT(--(S67:U67&lt;&gt;""),{0.2,0.3,0.5}),"")</f>
        <v>0</v>
      </c>
      <c r="AC67">
        <f>IFERROR(SUMPRODUCT(V67:X67,{0.2,0.3,0.5})/SUMPRODUCT(--(V67:X67&lt;&gt;""),{0.2,0.3,0.5}),"")</f>
        <v>0</v>
      </c>
      <c r="AD67">
        <f>IFERROR(SUMPRODUCT(Y67:AA67,{0.2,0.3,0.5})/SUMPRODUCT((Y67:AA67&lt;&gt;"")*{0.2,0.3,0.5}),O67)</f>
        <v>2.7142857142857144</v>
      </c>
      <c r="AE67">
        <f t="shared" si="31"/>
        <v>3</v>
      </c>
      <c r="AF67" t="str">
        <f t="shared" si="32"/>
        <v/>
      </c>
      <c r="AG67">
        <f t="shared" si="33"/>
        <v>0</v>
      </c>
      <c r="AH67">
        <f t="shared" si="34"/>
        <v>0</v>
      </c>
      <c r="AI67" s="2">
        <f t="shared" si="35"/>
        <v>2.7142857142857144</v>
      </c>
      <c r="AJ67">
        <f t="shared" si="36"/>
        <v>0</v>
      </c>
      <c r="AK67" t="str">
        <f t="shared" si="37"/>
        <v>NO</v>
      </c>
      <c r="AL67">
        <f t="shared" si="38"/>
        <v>0</v>
      </c>
      <c r="AM67">
        <f t="shared" si="39"/>
        <v>0</v>
      </c>
      <c r="AN67">
        <f t="shared" si="40"/>
        <v>0</v>
      </c>
      <c r="AO67">
        <f t="shared" si="41"/>
        <v>0</v>
      </c>
      <c r="AP67">
        <f t="array" ref="AP67">AL67*IF($C67="GKP",10,IF($C67="DEF",6,IF($C67="MID",5,4)))</f>
        <v>0</v>
      </c>
      <c r="AQ67">
        <f t="shared" si="42"/>
        <v>0</v>
      </c>
      <c r="AR67">
        <f t="shared" si="43"/>
        <v>0</v>
      </c>
      <c r="AS67" s="2">
        <f>IF($H67=0,0,Player_Analysis!$AM67*$H67/90)</f>
        <v>0</v>
      </c>
      <c r="AT67">
        <f t="shared" si="44"/>
        <v>0</v>
      </c>
      <c r="AU67" s="2">
        <f>0</f>
        <v>0</v>
      </c>
      <c r="AV67" s="2" t="str">
        <f>IF(INDEX(FPL_Raw_Data!K:K,MATCH(A67,FPL_Raw_Data!AA:AA,0))=0,"",INDEX(FPL_Raw_Data!P:P,MATCH(A67,FPL_Raw_Data!AA:AA,0))/INDEX(FPL_Raw_Data!K:K,MATCH(A67,FPL_Raw_Data!AA:AA,0))*90)</f>
        <v/>
      </c>
      <c r="AW67" s="2">
        <f t="shared" si="45"/>
        <v>0</v>
      </c>
      <c r="AX67" s="2">
        <f>IFERROR(INDEX(TEAM_ANALYSIS!$H$2:$H$21,MATCH($B67,TEAM_ANALYSIS!$A$2:$A$21,0)),0)</f>
        <v>1.6666666666666667</v>
      </c>
      <c r="AY67" s="2">
        <f t="shared" si="46"/>
        <v>0</v>
      </c>
      <c r="AZ67" s="2">
        <f t="shared" si="47"/>
        <v>0</v>
      </c>
      <c r="BA67">
        <f t="shared" si="48"/>
        <v>0</v>
      </c>
      <c r="BB67">
        <f>IFERROR(Player_Analysis!$Y67,1)</f>
        <v>0.85492657615677192</v>
      </c>
      <c r="BC67">
        <f t="shared" si="49"/>
        <v>0</v>
      </c>
      <c r="BD67">
        <f t="shared" si="50"/>
        <v>0</v>
      </c>
      <c r="BE67">
        <f t="shared" si="51"/>
        <v>0</v>
      </c>
      <c r="BF67">
        <f t="shared" si="52"/>
        <v>253</v>
      </c>
      <c r="BG67">
        <f>IF($BE67="","",COUNTIFS($C$2:$C$596,$C67,$BE$2:$BE$596,"&gt;"&amp;$BE67)+COUNTIFS($C$2:$C67,$C67,$BE$2:$BE67,$BE67))</f>
        <v>24</v>
      </c>
    </row>
    <row r="68" spans="1:59" x14ac:dyDescent="0.25">
      <c r="A68" t="str">
        <f>Player_Analysis!A68</f>
        <v>Will Dennis</v>
      </c>
      <c r="B68">
        <f>Player_Analysis!C68</f>
        <v>3</v>
      </c>
      <c r="C68" t="str">
        <f>Player_Analysis!B68</f>
        <v>GK</v>
      </c>
      <c r="D68" s="13">
        <f>Player_Analysis!E68</f>
        <v>4</v>
      </c>
      <c r="E68">
        <f>Player_Analysis!I68</f>
        <v>0</v>
      </c>
      <c r="F68" s="8">
        <f>Player_Analysis!Z68</f>
        <v>0</v>
      </c>
      <c r="G68" s="17">
        <f t="shared" si="27"/>
        <v>0</v>
      </c>
      <c r="H68">
        <f t="shared" si="28"/>
        <v>0</v>
      </c>
      <c r="I68" s="8">
        <f>Player_Analysis!AF68</f>
        <v>0</v>
      </c>
      <c r="J68" s="8">
        <f>Player_Analysis!AG68</f>
        <v>0</v>
      </c>
      <c r="K68">
        <f>Player_Analysis!O68</f>
        <v>0</v>
      </c>
      <c r="L68">
        <f>Player_Analysis!P68</f>
        <v>0</v>
      </c>
      <c r="M68" t="str">
        <f t="shared" si="29"/>
        <v/>
      </c>
      <c r="N68" t="str">
        <f t="shared" si="30"/>
        <v/>
      </c>
      <c r="O68" s="2" t="str">
        <f>IF(E68=0,"",Player_Analysis!L68/E68*90)</f>
        <v/>
      </c>
      <c r="P68" t="str">
        <f>IF(E68=0,"",Player_Analysis!Q68/E68*90)</f>
        <v/>
      </c>
      <c r="Q68" t="str">
        <f>IF(E68=0,"",(Player_Analysis!AD68/E68)*90)</f>
        <v/>
      </c>
      <c r="R68" t="str">
        <f>IF(E68=0,"",Player_Analysis!AA68/E68*90)</f>
        <v/>
      </c>
      <c r="S68" t="str">
        <f t="array" ref="S68">IFERROR(INDEX('2023_24'!$O:$O,MATCH($A68,'2023_24'!$A:$A,0)),"")</f>
        <v/>
      </c>
      <c r="T68">
        <f>IFERROR(INDEX('2024_25'!$P:$P,MATCH($A68,'2024_25'!$A:$A,0)),"")</f>
        <v>0</v>
      </c>
      <c r="U68">
        <f>IFERROR(INDEX('2025_26'!$P:$P,MATCH($A68,'2025_26'!$A:$A,0)),"")</f>
        <v>0</v>
      </c>
      <c r="V68" t="str">
        <f>IFERROR(INDEX('2023_24'!$P:$P,MATCH($A68,'2023_24'!$A:$A,0)),"")</f>
        <v/>
      </c>
      <c r="W68">
        <f>IFERROR(INDEX('2024_25'!$Q:$Q,MATCH($A68,'2024_25'!$A:$A,0)),"")</f>
        <v>0</v>
      </c>
      <c r="X68">
        <f>IFERROR(INDEX('2025_26'!$Q:$Q,MATCH($A68,'2025_26'!$A:$A,0)),"")</f>
        <v>0</v>
      </c>
      <c r="Y68" t="str">
        <f>IFERROR(INDEX('2023_24'!$M:$M,MATCH($A68,'2023_24'!$A:$A,0))/INDEX('2023_24'!$G:$G,MATCH($A68,'2023_24'!$A:$A,0))*90,"")</f>
        <v/>
      </c>
      <c r="Z68" t="str">
        <f>IFERROR(INDEX('2024_25'!$M:$M,MATCH($A68,'2024_25'!$A:$A,0))/INDEX('2024_25'!$G:$G,MATCH($A68,'2024_25'!$A:$A,0))*90,"")</f>
        <v/>
      </c>
      <c r="AA68" t="str">
        <f>IFERROR(INDEX('2025_26'!$M:$M,MATCH($A68,'2025_26'!$A:$A,0))/INDEX('2025_26'!$G:$G,MATCH($A68,'2025_26'!$A:$A,0))*90,"")</f>
        <v/>
      </c>
      <c r="AB68">
        <f>IFERROR(SUMPRODUCT(S68:U68,{0.2,0.3,0.5})/SUMPRODUCT(--(S68:U68&lt;&gt;""),{0.2,0.3,0.5}),"")</f>
        <v>0</v>
      </c>
      <c r="AC68">
        <f>IFERROR(SUMPRODUCT(V68:X68,{0.2,0.3,0.5})/SUMPRODUCT(--(V68:X68&lt;&gt;""),{0.2,0.3,0.5}),"")</f>
        <v>0</v>
      </c>
      <c r="AD68" t="str">
        <f>IFERROR(SUMPRODUCT(Y68:AA68,{0.2,0.3,0.5})/SUMPRODUCT((Y68:AA68&lt;&gt;"")*{0.2,0.3,0.5}),O68)</f>
        <v/>
      </c>
      <c r="AE68">
        <f t="shared" si="31"/>
        <v>2</v>
      </c>
      <c r="AF68" t="str">
        <f t="shared" si="32"/>
        <v/>
      </c>
      <c r="AG68">
        <f t="shared" si="33"/>
        <v>0</v>
      </c>
      <c r="AH68">
        <f t="shared" si="34"/>
        <v>0</v>
      </c>
      <c r="AI68" s="2">
        <f t="shared" si="35"/>
        <v>0</v>
      </c>
      <c r="AJ68">
        <f t="shared" si="36"/>
        <v>0</v>
      </c>
      <c r="AK68" t="str">
        <f t="shared" si="37"/>
        <v>NO</v>
      </c>
      <c r="AL68">
        <f t="shared" si="38"/>
        <v>0</v>
      </c>
      <c r="AM68">
        <f t="shared" si="39"/>
        <v>0</v>
      </c>
      <c r="AN68">
        <f t="shared" si="40"/>
        <v>0</v>
      </c>
      <c r="AO68">
        <f t="shared" si="41"/>
        <v>0</v>
      </c>
      <c r="AP68">
        <f t="array" ref="AP68">AL68*IF($C68="GKP",10,IF($C68="DEF",6,IF($C68="MID",5,4)))</f>
        <v>0</v>
      </c>
      <c r="AQ68">
        <f t="shared" si="42"/>
        <v>0</v>
      </c>
      <c r="AR68">
        <f t="shared" si="43"/>
        <v>0</v>
      </c>
      <c r="AS68" s="2">
        <f>IF($H68=0,0,Player_Analysis!$AM68*$H68/90)</f>
        <v>0</v>
      </c>
      <c r="AT68">
        <f t="shared" si="44"/>
        <v>0</v>
      </c>
      <c r="AU68" s="2">
        <f>0</f>
        <v>0</v>
      </c>
      <c r="AV68" s="2" t="str">
        <f>IF(INDEX(FPL_Raw_Data!K:K,MATCH(A68,FPL_Raw_Data!AA:AA,0))=0,"",INDEX(FPL_Raw_Data!P:P,MATCH(A68,FPL_Raw_Data!AA:AA,0))/INDEX(FPL_Raw_Data!K:K,MATCH(A68,FPL_Raw_Data!AA:AA,0))*90)</f>
        <v/>
      </c>
      <c r="AW68" s="2">
        <f t="shared" si="45"/>
        <v>0</v>
      </c>
      <c r="AX68" s="2">
        <f>IFERROR(INDEX(TEAM_ANALYSIS!$H$2:$H$21,MATCH($B68,TEAM_ANALYSIS!$A$2:$A$21,0)),0)</f>
        <v>1.6666666666666667</v>
      </c>
      <c r="AY68" s="2">
        <f t="shared" si="46"/>
        <v>0</v>
      </c>
      <c r="AZ68" s="2">
        <f t="shared" si="47"/>
        <v>0</v>
      </c>
      <c r="BA68">
        <f t="shared" si="48"/>
        <v>0</v>
      </c>
      <c r="BB68">
        <f>IFERROR(Player_Analysis!$Y68,1)</f>
        <v>0.85492657615677192</v>
      </c>
      <c r="BC68">
        <f t="shared" si="49"/>
        <v>0</v>
      </c>
      <c r="BD68">
        <f t="shared" si="50"/>
        <v>0</v>
      </c>
      <c r="BE68">
        <f t="shared" si="51"/>
        <v>0</v>
      </c>
      <c r="BF68">
        <f t="shared" si="52"/>
        <v>253</v>
      </c>
      <c r="BG68">
        <f>IF($BE68="","",COUNTIFS($C$2:$C$596,$C68,$BE$2:$BE$596,"&gt;"&amp;$BE68)+COUNTIFS($C$2:$C68,$C68,$BE$2:$BE68,$BE68))</f>
        <v>25</v>
      </c>
    </row>
    <row r="69" spans="1:59" x14ac:dyDescent="0.25">
      <c r="A69" t="str">
        <f>Player_Analysis!A69</f>
        <v>James Hill</v>
      </c>
      <c r="B69">
        <f>Player_Analysis!C69</f>
        <v>3</v>
      </c>
      <c r="C69" t="str">
        <f>Player_Analysis!B69</f>
        <v>DEF</v>
      </c>
      <c r="D69" s="13">
        <f>Player_Analysis!E69</f>
        <v>5.5</v>
      </c>
      <c r="E69">
        <f>Player_Analysis!I69</f>
        <v>270</v>
      </c>
      <c r="F69" s="8">
        <f>Player_Analysis!Z69</f>
        <v>3</v>
      </c>
      <c r="G69" s="17">
        <f t="shared" si="27"/>
        <v>1</v>
      </c>
      <c r="H69">
        <f t="shared" si="28"/>
        <v>90</v>
      </c>
      <c r="I69" s="8">
        <f>Player_Analysis!AF69</f>
        <v>0</v>
      </c>
      <c r="J69" s="8">
        <f>Player_Analysis!AG69</f>
        <v>0</v>
      </c>
      <c r="K69">
        <f>Player_Analysis!O69</f>
        <v>0</v>
      </c>
      <c r="L69">
        <f>Player_Analysis!P69</f>
        <v>0.76</v>
      </c>
      <c r="M69">
        <f t="shared" si="29"/>
        <v>0</v>
      </c>
      <c r="N69">
        <f t="shared" si="30"/>
        <v>0.2533333333333333</v>
      </c>
      <c r="O69" s="2">
        <f>IF(E69=0,"",Player_Analysis!L69/E69*90)</f>
        <v>2</v>
      </c>
      <c r="P69">
        <f>IF(E69=0,"",Player_Analysis!Q69/E69*90)</f>
        <v>0.2533333333333333</v>
      </c>
      <c r="Q69">
        <f>IF(E69=0,"",(Player_Analysis!AD69/E69)*90)</f>
        <v>7.6666666666666661</v>
      </c>
      <c r="R69">
        <f>IF(E69=0,"",Player_Analysis!AA69/E69*90)</f>
        <v>8</v>
      </c>
      <c r="S69">
        <f t="array" ref="S69">IFERROR(INDEX('2023_24'!$O:$O,MATCH($A69,'2023_24'!$A:$A,0)),"")</f>
        <v>0</v>
      </c>
      <c r="T69">
        <f>IFERROR(INDEX('2024_25'!$P:$P,MATCH($A69,'2024_25'!$A:$A,0)),"")</f>
        <v>5.8916478555304734E-2</v>
      </c>
      <c r="U69">
        <f>IFERROR(INDEX('2025_26'!$P:$P,MATCH($A69,'2025_26'!$A:$A,0)),"")</f>
        <v>3.8106565176022837E-2</v>
      </c>
      <c r="V69">
        <f>IFERROR(INDEX('2023_24'!$P:$P,MATCH($A69,'2023_24'!$A:$A,0)),"")</f>
        <v>1.2162162162162163E-2</v>
      </c>
      <c r="W69">
        <f>IFERROR(INDEX('2024_25'!$Q:$Q,MATCH($A69,'2024_25'!$A:$A,0)),"")</f>
        <v>5.0790067720090287E-2</v>
      </c>
      <c r="X69">
        <f>IFERROR(INDEX('2025_26'!$Q:$Q,MATCH($A69,'2025_26'!$A:$A,0)),"")</f>
        <v>4.9666983824928637E-2</v>
      </c>
      <c r="Y69">
        <f>IFERROR(INDEX('2023_24'!$M:$M,MATCH($A69,'2023_24'!$A:$A,0))/INDEX('2023_24'!$G:$G,MATCH($A69,'2023_24'!$A:$A,0))*90,"")</f>
        <v>6.0810810810810816</v>
      </c>
      <c r="Z69">
        <f>IFERROR(INDEX('2024_25'!$M:$M,MATCH($A69,'2024_25'!$A:$A,0))/INDEX('2024_25'!$G:$G,MATCH($A69,'2024_25'!$A:$A,0))*90,"")</f>
        <v>3.4537246049661396</v>
      </c>
      <c r="AA69">
        <f>IFERROR(INDEX('2025_26'!$M:$M,MATCH($A69,'2025_26'!$A:$A,0))/INDEX('2025_26'!$G:$G,MATCH($A69,'2025_26'!$A:$A,0))*90,"")</f>
        <v>4.7098001902949571</v>
      </c>
      <c r="AB69">
        <f>IFERROR(SUMPRODUCT(S69:U69,{0.2,0.3,0.5})/SUMPRODUCT(--(S69:U69&lt;&gt;""),{0.2,0.3,0.5}),"")</f>
        <v>3.6728226154602833E-2</v>
      </c>
      <c r="AC69">
        <f>IFERROR(SUMPRODUCT(V69:X69,{0.2,0.3,0.5})/SUMPRODUCT(--(V69:X69&lt;&gt;""),{0.2,0.3,0.5}),"")</f>
        <v>4.2502944660923837E-2</v>
      </c>
      <c r="AD69">
        <f>IFERROR(SUMPRODUCT(Y69:AA69,{0.2,0.3,0.5})/SUMPRODUCT((Y69:AA69&lt;&gt;"")*{0.2,0.3,0.5}),O69)</f>
        <v>4.6072336928535371</v>
      </c>
      <c r="AE69">
        <f t="shared" si="31"/>
        <v>3</v>
      </c>
      <c r="AF69">
        <f t="shared" si="32"/>
        <v>90</v>
      </c>
      <c r="AG69">
        <f t="shared" si="33"/>
        <v>3.6728226154602826E-3</v>
      </c>
      <c r="AH69">
        <f t="shared" si="34"/>
        <v>0.23225029446609236</v>
      </c>
      <c r="AI69" s="2">
        <f t="shared" si="35"/>
        <v>2.2607233692853539</v>
      </c>
      <c r="AJ69">
        <f t="shared" si="36"/>
        <v>0.9</v>
      </c>
      <c r="AK69" t="str">
        <f t="shared" si="37"/>
        <v>NO</v>
      </c>
      <c r="AL69">
        <f t="shared" si="38"/>
        <v>3.6728226154602822E-3</v>
      </c>
      <c r="AM69">
        <f t="shared" si="39"/>
        <v>0.23225029446609236</v>
      </c>
      <c r="AN69">
        <f t="shared" si="40"/>
        <v>3.6728226154602822E-3</v>
      </c>
      <c r="AO69">
        <f t="shared" si="41"/>
        <v>0.23225029446609236</v>
      </c>
      <c r="AP69">
        <f t="array" ref="AP69">AL69*IF($C69="GKP",10,IF($C69="DEF",6,IF($C69="MID",5,4)))</f>
        <v>2.2036935692761692E-2</v>
      </c>
      <c r="AQ69">
        <f t="shared" si="42"/>
        <v>0.69675088339827707</v>
      </c>
      <c r="AR69">
        <f t="shared" si="43"/>
        <v>2</v>
      </c>
      <c r="AS69" s="2">
        <f>IF($H69=0,0,Player_Analysis!$AM69*$H69/90)</f>
        <v>0</v>
      </c>
      <c r="AT69">
        <f t="shared" si="44"/>
        <v>1.6</v>
      </c>
      <c r="AU69" s="2">
        <f>0</f>
        <v>0</v>
      </c>
      <c r="AV69" s="2">
        <f>IF(INDEX(FPL_Raw_Data!K:K,MATCH(A69,FPL_Raw_Data!AA:AA,0))=0,"",INDEX(FPL_Raw_Data!P:P,MATCH(A69,FPL_Raw_Data!AA:AA,0))/INDEX(FPL_Raw_Data!K:K,MATCH(A69,FPL_Raw_Data!AA:AA,0))*90)</f>
        <v>0</v>
      </c>
      <c r="AW69" s="2">
        <f t="shared" si="45"/>
        <v>0</v>
      </c>
      <c r="AX69" s="2">
        <f>IFERROR(INDEX(TEAM_ANALYSIS!$H$2:$H$21,MATCH($B69,TEAM_ANALYSIS!$A$2:$A$21,0)),0)</f>
        <v>1.6666666666666667</v>
      </c>
      <c r="AY69" s="2">
        <f t="shared" si="46"/>
        <v>-0.83333333333333337</v>
      </c>
      <c r="AZ69" s="2">
        <f t="shared" si="47"/>
        <v>3.4854544857577054</v>
      </c>
      <c r="BA69">
        <f t="shared" si="48"/>
        <v>0.63371899741049187</v>
      </c>
      <c r="BB69">
        <f>IFERROR(Player_Analysis!$Y69,1)</f>
        <v>0.85492657615677192</v>
      </c>
      <c r="BC69">
        <f t="shared" si="49"/>
        <v>2.9798076698590972</v>
      </c>
      <c r="BD69">
        <f t="shared" si="50"/>
        <v>1.888360729019201</v>
      </c>
      <c r="BE69">
        <f t="shared" si="51"/>
        <v>2.9798076698590972</v>
      </c>
      <c r="BF69">
        <f t="shared" si="52"/>
        <v>202</v>
      </c>
      <c r="BG69">
        <f>IF($BE69="","",COUNTIFS($C$2:$C$596,$C69,$BE$2:$BE$596,"&gt;"&amp;$BE69)+COUNTIFS($C$2:$C69,$C69,$BE$2:$BE69,$BE69))</f>
        <v>62</v>
      </c>
    </row>
    <row r="70" spans="1:59" x14ac:dyDescent="0.25">
      <c r="A70" t="str">
        <f>Player_Analysis!A70</f>
        <v>Adrien Truffert</v>
      </c>
      <c r="B70">
        <f>Player_Analysis!C70</f>
        <v>3</v>
      </c>
      <c r="C70" t="str">
        <f>Player_Analysis!B70</f>
        <v>DEF</v>
      </c>
      <c r="D70" s="13">
        <f>Player_Analysis!E70</f>
        <v>5.5</v>
      </c>
      <c r="E70">
        <f>Player_Analysis!I70</f>
        <v>270</v>
      </c>
      <c r="F70" s="8">
        <f>Player_Analysis!Z70</f>
        <v>3</v>
      </c>
      <c r="G70" s="17">
        <f t="shared" si="27"/>
        <v>1</v>
      </c>
      <c r="H70">
        <f t="shared" si="28"/>
        <v>90</v>
      </c>
      <c r="I70" s="8">
        <f>Player_Analysis!AF70</f>
        <v>0</v>
      </c>
      <c r="J70" s="8">
        <f>Player_Analysis!AG70</f>
        <v>0</v>
      </c>
      <c r="K70">
        <f>Player_Analysis!O70</f>
        <v>0.01</v>
      </c>
      <c r="L70">
        <f>Player_Analysis!P70</f>
        <v>0.13</v>
      </c>
      <c r="M70">
        <f t="shared" si="29"/>
        <v>3.3333333333333331E-3</v>
      </c>
      <c r="N70">
        <f t="shared" si="30"/>
        <v>4.3333333333333335E-2</v>
      </c>
      <c r="O70" s="2">
        <f>IF(E70=0,"",Player_Analysis!L70/E70*90)</f>
        <v>1.6666666666666665</v>
      </c>
      <c r="P70">
        <f>IF(E70=0,"",Player_Analysis!Q70/E70*90)</f>
        <v>4.6666666666666669E-2</v>
      </c>
      <c r="Q70">
        <f>IF(E70=0,"",(Player_Analysis!AD70/E70)*90)</f>
        <v>8</v>
      </c>
      <c r="R70">
        <f>IF(E70=0,"",Player_Analysis!AA70/E70*90)</f>
        <v>7.3333333333333339</v>
      </c>
      <c r="S70" t="str">
        <f t="array" ref="S70">IFERROR(INDEX('2023_24'!$O:$O,MATCH($A70,'2023_24'!$A:$A,0)),"")</f>
        <v/>
      </c>
      <c r="T70" t="str">
        <f>IFERROR(INDEX('2024_25'!$P:$P,MATCH($A70,'2024_25'!$A:$A,0)),"")</f>
        <v/>
      </c>
      <c r="U70">
        <f>IFERROR(INDEX('2025_26'!$P:$P,MATCH($A70,'2025_26'!$A:$A,0)),"")</f>
        <v>3.5968028419182951E-2</v>
      </c>
      <c r="V70" t="str">
        <f>IFERROR(INDEX('2023_24'!$P:$P,MATCH($A70,'2023_24'!$A:$A,0)),"")</f>
        <v/>
      </c>
      <c r="W70" t="str">
        <f>IFERROR(INDEX('2024_25'!$Q:$Q,MATCH($A70,'2024_25'!$A:$A,0)),"")</f>
        <v/>
      </c>
      <c r="X70">
        <f>IFERROR(INDEX('2025_26'!$Q:$Q,MATCH($A70,'2025_26'!$A:$A,0)),"")</f>
        <v>8.1793960923623441E-2</v>
      </c>
      <c r="Y70" t="str">
        <f>IFERROR(INDEX('2023_24'!$M:$M,MATCH($A70,'2023_24'!$A:$A,0))/INDEX('2023_24'!$G:$G,MATCH($A70,'2023_24'!$A:$A,0))*90,"")</f>
        <v/>
      </c>
      <c r="Z70" t="str">
        <f>IFERROR(INDEX('2024_25'!$M:$M,MATCH($A70,'2024_25'!$A:$A,0))/INDEX('2024_25'!$G:$G,MATCH($A70,'2024_25'!$A:$A,0))*90,"")</f>
        <v/>
      </c>
      <c r="AA70">
        <f>IFERROR(INDEX('2025_26'!$M:$M,MATCH($A70,'2025_26'!$A:$A,0))/INDEX('2025_26'!$G:$G,MATCH($A70,'2025_26'!$A:$A,0))*90,"")</f>
        <v>4.3960923623445831</v>
      </c>
      <c r="AB70">
        <f>IFERROR(SUMPRODUCT(S70:U70,{0.2,0.3,0.5})/SUMPRODUCT(--(S70:U70&lt;&gt;""),{0.2,0.3,0.5}),"")</f>
        <v>3.5968028419182951E-2</v>
      </c>
      <c r="AC70">
        <f>IFERROR(SUMPRODUCT(V70:X70,{0.2,0.3,0.5})/SUMPRODUCT(--(V70:X70&lt;&gt;""),{0.2,0.3,0.5}),"")</f>
        <v>8.1793960923623441E-2</v>
      </c>
      <c r="AD70">
        <f>IFERROR(SUMPRODUCT(Y70:AA70,{0.2,0.3,0.5})/SUMPRODUCT((Y70:AA70&lt;&gt;"")*{0.2,0.3,0.5}),O70)</f>
        <v>4.3960923623445831</v>
      </c>
      <c r="AE70">
        <f t="shared" si="31"/>
        <v>1</v>
      </c>
      <c r="AF70">
        <f t="shared" si="32"/>
        <v>90</v>
      </c>
      <c r="AG70">
        <f t="shared" si="33"/>
        <v>6.5968028419182943E-3</v>
      </c>
      <c r="AH70">
        <f t="shared" si="34"/>
        <v>4.7179396092362338E-2</v>
      </c>
      <c r="AI70" s="2">
        <f t="shared" si="35"/>
        <v>1.9396092362344581</v>
      </c>
      <c r="AJ70">
        <f t="shared" si="36"/>
        <v>0.9</v>
      </c>
      <c r="AK70" t="str">
        <f t="shared" si="37"/>
        <v>NO</v>
      </c>
      <c r="AL70">
        <f t="shared" si="38"/>
        <v>6.5968028419182943E-3</v>
      </c>
      <c r="AM70">
        <f t="shared" si="39"/>
        <v>4.7179396092362332E-2</v>
      </c>
      <c r="AN70">
        <f t="shared" si="40"/>
        <v>6.5968028419182943E-3</v>
      </c>
      <c r="AO70">
        <f t="shared" si="41"/>
        <v>4.7179396092362332E-2</v>
      </c>
      <c r="AP70">
        <f t="array" ref="AP70">AL70*IF($C70="GKP",10,IF($C70="DEF",6,IF($C70="MID",5,4)))</f>
        <v>3.9580817051509766E-2</v>
      </c>
      <c r="AQ70">
        <f t="shared" si="42"/>
        <v>0.141538188277087</v>
      </c>
      <c r="AR70">
        <f t="shared" si="43"/>
        <v>2</v>
      </c>
      <c r="AS70" s="2">
        <f>IF($H70=0,0,Player_Analysis!$AM70*$H70/90)</f>
        <v>0</v>
      </c>
      <c r="AT70">
        <f t="shared" si="44"/>
        <v>1.4666666666666666</v>
      </c>
      <c r="AU70" s="2">
        <f>0</f>
        <v>0</v>
      </c>
      <c r="AV70" s="2">
        <f>IF(INDEX(FPL_Raw_Data!K:K,MATCH(A70,FPL_Raw_Data!AA:AA,0))=0,"",INDEX(FPL_Raw_Data!P:P,MATCH(A70,FPL_Raw_Data!AA:AA,0))/INDEX(FPL_Raw_Data!K:K,MATCH(A70,FPL_Raw_Data!AA:AA,0))*90)</f>
        <v>0</v>
      </c>
      <c r="AW70" s="2">
        <f t="shared" si="45"/>
        <v>0</v>
      </c>
      <c r="AX70" s="2">
        <f>IFERROR(INDEX(TEAM_ANALYSIS!$H$2:$H$21,MATCH($B70,TEAM_ANALYSIS!$A$2:$A$21,0)),0)</f>
        <v>1.6666666666666667</v>
      </c>
      <c r="AY70" s="2">
        <f t="shared" si="46"/>
        <v>-0.83333333333333337</v>
      </c>
      <c r="AZ70" s="2">
        <f t="shared" si="47"/>
        <v>2.8144523386619302</v>
      </c>
      <c r="BA70">
        <f t="shared" si="48"/>
        <v>0.51171860702944183</v>
      </c>
      <c r="BB70">
        <f>IFERROR(Player_Analysis!$Y70,1)</f>
        <v>0.85492657615677192</v>
      </c>
      <c r="BC70">
        <f t="shared" si="49"/>
        <v>2.4061501016486635</v>
      </c>
      <c r="BD70">
        <f t="shared" si="50"/>
        <v>1.231271778319404</v>
      </c>
      <c r="BE70">
        <f t="shared" si="51"/>
        <v>2.4061501016486635</v>
      </c>
      <c r="BF70">
        <f t="shared" si="52"/>
        <v>231</v>
      </c>
      <c r="BG70">
        <f>IF($BE70="","",COUNTIFS($C$2:$C$596,$C70,$BE$2:$BE$596,"&gt;"&amp;$BE70)+COUNTIFS($C$2:$C70,$C70,$BE$2:$BE70,$BE70))</f>
        <v>77</v>
      </c>
    </row>
    <row r="71" spans="1:59" x14ac:dyDescent="0.25">
      <c r="A71" t="str">
        <f>Player_Analysis!A71</f>
        <v>Bafodé Diakité</v>
      </c>
      <c r="B71">
        <f>Player_Analysis!C71</f>
        <v>3</v>
      </c>
      <c r="C71" t="str">
        <f>Player_Analysis!B71</f>
        <v>DEF</v>
      </c>
      <c r="D71" s="13">
        <f>Player_Analysis!E71</f>
        <v>5</v>
      </c>
      <c r="E71">
        <f>Player_Analysis!I71</f>
        <v>0</v>
      </c>
      <c r="F71" s="8">
        <f>Player_Analysis!Z71</f>
        <v>0</v>
      </c>
      <c r="G71" s="17">
        <f t="shared" si="27"/>
        <v>0</v>
      </c>
      <c r="H71">
        <f t="shared" si="28"/>
        <v>0</v>
      </c>
      <c r="I71" s="8">
        <f>Player_Analysis!AF71</f>
        <v>0</v>
      </c>
      <c r="J71" s="8">
        <f>Player_Analysis!AG71</f>
        <v>0</v>
      </c>
      <c r="K71">
        <f>Player_Analysis!O71</f>
        <v>0</v>
      </c>
      <c r="L71">
        <f>Player_Analysis!P71</f>
        <v>0</v>
      </c>
      <c r="M71" t="str">
        <f t="shared" si="29"/>
        <v/>
      </c>
      <c r="N71" t="str">
        <f t="shared" si="30"/>
        <v/>
      </c>
      <c r="O71" s="2" t="str">
        <f>IF(E71=0,"",Player_Analysis!L71/E71*90)</f>
        <v/>
      </c>
      <c r="P71" t="str">
        <f>IF(E71=0,"",Player_Analysis!Q71/E71*90)</f>
        <v/>
      </c>
      <c r="Q71" t="str">
        <f>IF(E71=0,"",(Player_Analysis!AD71/E71)*90)</f>
        <v/>
      </c>
      <c r="R71" t="str">
        <f>IF(E71=0,"",Player_Analysis!AA71/E71*90)</f>
        <v/>
      </c>
      <c r="S71" t="str">
        <f t="array" ref="S71">IFERROR(INDEX('2023_24'!$O:$O,MATCH($A71,'2023_24'!$A:$A,0)),"")</f>
        <v/>
      </c>
      <c r="T71" t="str">
        <f>IFERROR(INDEX('2024_25'!$P:$P,MATCH($A71,'2024_25'!$A:$A,0)),"")</f>
        <v/>
      </c>
      <c r="U71">
        <f>IFERROR(INDEX('2025_26'!$P:$P,MATCH($A71,'2025_26'!$A:$A,0)),"")</f>
        <v>1.4117647058823528E-3</v>
      </c>
      <c r="V71" t="str">
        <f>IFERROR(INDEX('2023_24'!$P:$P,MATCH($A71,'2023_24'!$A:$A,0)),"")</f>
        <v/>
      </c>
      <c r="W71" t="str">
        <f>IFERROR(INDEX('2024_25'!$Q:$Q,MATCH($A71,'2024_25'!$A:$A,0)),"")</f>
        <v/>
      </c>
      <c r="X71">
        <f>IFERROR(INDEX('2025_26'!$Q:$Q,MATCH($A71,'2025_26'!$A:$A,0)),"")</f>
        <v>1.3411764705882352E-2</v>
      </c>
      <c r="Y71" t="str">
        <f>IFERROR(INDEX('2023_24'!$M:$M,MATCH($A71,'2023_24'!$A:$A,0))/INDEX('2023_24'!$G:$G,MATCH($A71,'2023_24'!$A:$A,0))*90,"")</f>
        <v/>
      </c>
      <c r="Z71" t="str">
        <f>IFERROR(INDEX('2024_25'!$M:$M,MATCH($A71,'2024_25'!$A:$A,0))/INDEX('2024_25'!$G:$G,MATCH($A71,'2024_25'!$A:$A,0))*90,"")</f>
        <v/>
      </c>
      <c r="AA71">
        <f>IFERROR(INDEX('2025_26'!$M:$M,MATCH($A71,'2025_26'!$A:$A,0))/INDEX('2025_26'!$G:$G,MATCH($A71,'2025_26'!$A:$A,0))*90,"")</f>
        <v>3.2470588235294118</v>
      </c>
      <c r="AB71">
        <f>IFERROR(SUMPRODUCT(S71:U71,{0.2,0.3,0.5})/SUMPRODUCT(--(S71:U71&lt;&gt;""),{0.2,0.3,0.5}),"")</f>
        <v>1.4117647058823528E-3</v>
      </c>
      <c r="AC71">
        <f>IFERROR(SUMPRODUCT(V71:X71,{0.2,0.3,0.5})/SUMPRODUCT(--(V71:X71&lt;&gt;""),{0.2,0.3,0.5}),"")</f>
        <v>1.3411764705882352E-2</v>
      </c>
      <c r="AD71">
        <f>IFERROR(SUMPRODUCT(Y71:AA71,{0.2,0.3,0.5})/SUMPRODUCT((Y71:AA71&lt;&gt;"")*{0.2,0.3,0.5}),O71)</f>
        <v>3.2470588235294118</v>
      </c>
      <c r="AE71">
        <f t="shared" si="31"/>
        <v>1</v>
      </c>
      <c r="AF71" t="str">
        <f t="shared" si="32"/>
        <v/>
      </c>
      <c r="AG71">
        <f t="shared" si="33"/>
        <v>1.4117647058823528E-3</v>
      </c>
      <c r="AH71">
        <f t="shared" si="34"/>
        <v>1.3411764705882352E-2</v>
      </c>
      <c r="AI71" s="2">
        <f t="shared" si="35"/>
        <v>3.2470588235294118</v>
      </c>
      <c r="AJ71">
        <f t="shared" si="36"/>
        <v>0</v>
      </c>
      <c r="AK71" t="str">
        <f t="shared" si="37"/>
        <v>NO</v>
      </c>
      <c r="AL71">
        <f t="shared" si="38"/>
        <v>0</v>
      </c>
      <c r="AM71">
        <f t="shared" si="39"/>
        <v>0</v>
      </c>
      <c r="AN71">
        <f t="shared" si="40"/>
        <v>0</v>
      </c>
      <c r="AO71">
        <f t="shared" si="41"/>
        <v>0</v>
      </c>
      <c r="AP71">
        <f t="array" ref="AP71">AL71*IF($C71="GKP",10,IF($C71="DEF",6,IF($C71="MID",5,4)))</f>
        <v>0</v>
      </c>
      <c r="AQ71">
        <f t="shared" si="42"/>
        <v>0</v>
      </c>
      <c r="AR71">
        <f t="shared" si="43"/>
        <v>0</v>
      </c>
      <c r="AS71" s="2">
        <f>IF($H71=0,0,Player_Analysis!$AM71*$H71/90)</f>
        <v>0</v>
      </c>
      <c r="AT71">
        <f t="shared" si="44"/>
        <v>0</v>
      </c>
      <c r="AU71" s="2">
        <f>0</f>
        <v>0</v>
      </c>
      <c r="AV71" s="2" t="str">
        <f>IF(INDEX(FPL_Raw_Data!K:K,MATCH(A71,FPL_Raw_Data!AA:AA,0))=0,"",INDEX(FPL_Raw_Data!P:P,MATCH(A71,FPL_Raw_Data!AA:AA,0))/INDEX(FPL_Raw_Data!K:K,MATCH(A71,FPL_Raw_Data!AA:AA,0))*90)</f>
        <v/>
      </c>
      <c r="AW71" s="2">
        <f t="shared" si="45"/>
        <v>0</v>
      </c>
      <c r="AX71" s="2">
        <f>IFERROR(INDEX(TEAM_ANALYSIS!$H$2:$H$21,MATCH($B71,TEAM_ANALYSIS!$A$2:$A$21,0)),0)</f>
        <v>1.6666666666666667</v>
      </c>
      <c r="AY71" s="2">
        <f t="shared" si="46"/>
        <v>-0.83333333333333337</v>
      </c>
      <c r="AZ71" s="2">
        <f t="shared" si="47"/>
        <v>-0.83333333333333337</v>
      </c>
      <c r="BA71">
        <f t="shared" si="48"/>
        <v>-0.16666666666666669</v>
      </c>
      <c r="BB71">
        <f>IFERROR(Player_Analysis!$Y71,1)</f>
        <v>0.85492657615677192</v>
      </c>
      <c r="BC71">
        <f t="shared" si="49"/>
        <v>-0.71243881346397664</v>
      </c>
      <c r="BD71">
        <f t="shared" si="50"/>
        <v>0.11873980224399612</v>
      </c>
      <c r="BE71">
        <f t="shared" si="51"/>
        <v>-0.71243881346397664</v>
      </c>
      <c r="BF71">
        <f t="shared" si="52"/>
        <v>543</v>
      </c>
      <c r="BG71">
        <f>IF($BE71="","",COUNTIFS($C$2:$C$596,$C71,$BE$2:$BE$596,"&gt;"&amp;$BE71)+COUNTIFS($C$2:$C71,$C71,$BE$2:$BE71,$BE71))</f>
        <v>140</v>
      </c>
    </row>
    <row r="72" spans="1:59" x14ac:dyDescent="0.25">
      <c r="A72" t="str">
        <f>Player_Analysis!A72</f>
        <v>Veljko Milosavljevic</v>
      </c>
      <c r="B72">
        <f>Player_Analysis!C72</f>
        <v>3</v>
      </c>
      <c r="C72" t="str">
        <f>Player_Analysis!B72</f>
        <v>DEF</v>
      </c>
      <c r="D72" s="13">
        <f>Player_Analysis!E72</f>
        <v>5</v>
      </c>
      <c r="E72">
        <f>Player_Analysis!I72</f>
        <v>0</v>
      </c>
      <c r="F72" s="8">
        <f>Player_Analysis!Z72</f>
        <v>0</v>
      </c>
      <c r="G72" s="17">
        <f t="shared" si="27"/>
        <v>0</v>
      </c>
      <c r="H72">
        <f t="shared" si="28"/>
        <v>0</v>
      </c>
      <c r="I72" s="8">
        <f>Player_Analysis!AF72</f>
        <v>0</v>
      </c>
      <c r="J72" s="8">
        <f>Player_Analysis!AG72</f>
        <v>0</v>
      </c>
      <c r="K72">
        <f>Player_Analysis!O72</f>
        <v>0</v>
      </c>
      <c r="L72">
        <f>Player_Analysis!P72</f>
        <v>0</v>
      </c>
      <c r="M72" t="str">
        <f t="shared" si="29"/>
        <v/>
      </c>
      <c r="N72" t="str">
        <f t="shared" si="30"/>
        <v/>
      </c>
      <c r="O72" s="2" t="str">
        <f>IF(E72=0,"",Player_Analysis!L72/E72*90)</f>
        <v/>
      </c>
      <c r="P72" t="str">
        <f>IF(E72=0,"",Player_Analysis!Q72/E72*90)</f>
        <v/>
      </c>
      <c r="Q72" t="str">
        <f>IF(E72=0,"",(Player_Analysis!AD72/E72)*90)</f>
        <v/>
      </c>
      <c r="R72" t="str">
        <f>IF(E72=0,"",Player_Analysis!AA72/E72*90)</f>
        <v/>
      </c>
      <c r="S72" t="str">
        <f t="array" ref="S72">IFERROR(INDEX('2023_24'!$O:$O,MATCH($A72,'2023_24'!$A:$A,0)),"")</f>
        <v/>
      </c>
      <c r="T72" t="str">
        <f>IFERROR(INDEX('2024_25'!$P:$P,MATCH($A72,'2024_25'!$A:$A,0)),"")</f>
        <v/>
      </c>
      <c r="U72">
        <f>IFERROR(INDEX('2025_26'!$P:$P,MATCH($A72,'2025_26'!$A:$A,0)),"")</f>
        <v>3.6784741144414164E-2</v>
      </c>
      <c r="V72" t="str">
        <f>IFERROR(INDEX('2023_24'!$P:$P,MATCH($A72,'2023_24'!$A:$A,0)),"")</f>
        <v/>
      </c>
      <c r="W72" t="str">
        <f>IFERROR(INDEX('2024_25'!$Q:$Q,MATCH($A72,'2024_25'!$A:$A,0)),"")</f>
        <v/>
      </c>
      <c r="X72">
        <f>IFERROR(INDEX('2025_26'!$Q:$Q,MATCH($A72,'2025_26'!$A:$A,0)),"")</f>
        <v>4.6594005449591289E-2</v>
      </c>
      <c r="Y72" t="str">
        <f>IFERROR(INDEX('2023_24'!$M:$M,MATCH($A72,'2023_24'!$A:$A,0))/INDEX('2023_24'!$G:$G,MATCH($A72,'2023_24'!$A:$A,0))*90,"")</f>
        <v/>
      </c>
      <c r="Z72" t="str">
        <f>IFERROR(INDEX('2024_25'!$M:$M,MATCH($A72,'2024_25'!$A:$A,0))/INDEX('2024_25'!$G:$G,MATCH($A72,'2024_25'!$A:$A,0))*90,"")</f>
        <v/>
      </c>
      <c r="AA72">
        <f>IFERROR(INDEX('2025_26'!$M:$M,MATCH($A72,'2025_26'!$A:$A,0))/INDEX('2025_26'!$G:$G,MATCH($A72,'2025_26'!$A:$A,0))*90,"")</f>
        <v>4.6594005449591283</v>
      </c>
      <c r="AB72">
        <f>IFERROR(SUMPRODUCT(S72:U72,{0.2,0.3,0.5})/SUMPRODUCT(--(S72:U72&lt;&gt;""),{0.2,0.3,0.5}),"")</f>
        <v>3.6784741144414164E-2</v>
      </c>
      <c r="AC72">
        <f>IFERROR(SUMPRODUCT(V72:X72,{0.2,0.3,0.5})/SUMPRODUCT(--(V72:X72&lt;&gt;""),{0.2,0.3,0.5}),"")</f>
        <v>4.6594005449591289E-2</v>
      </c>
      <c r="AD72">
        <f>IFERROR(SUMPRODUCT(Y72:AA72,{0.2,0.3,0.5})/SUMPRODUCT((Y72:AA72&lt;&gt;"")*{0.2,0.3,0.5}),O72)</f>
        <v>4.6594005449591283</v>
      </c>
      <c r="AE72">
        <f t="shared" si="31"/>
        <v>1</v>
      </c>
      <c r="AF72" t="str">
        <f t="shared" si="32"/>
        <v/>
      </c>
      <c r="AG72">
        <f t="shared" si="33"/>
        <v>3.6784741144414164E-2</v>
      </c>
      <c r="AH72">
        <f t="shared" si="34"/>
        <v>4.6594005449591289E-2</v>
      </c>
      <c r="AI72" s="2">
        <f t="shared" si="35"/>
        <v>4.6594005449591283</v>
      </c>
      <c r="AJ72">
        <f t="shared" si="36"/>
        <v>0</v>
      </c>
      <c r="AK72" t="str">
        <f t="shared" si="37"/>
        <v>NO</v>
      </c>
      <c r="AL72">
        <f t="shared" si="38"/>
        <v>0</v>
      </c>
      <c r="AM72">
        <f t="shared" si="39"/>
        <v>0</v>
      </c>
      <c r="AN72">
        <f t="shared" si="40"/>
        <v>0</v>
      </c>
      <c r="AO72">
        <f t="shared" si="41"/>
        <v>0</v>
      </c>
      <c r="AP72">
        <f t="array" ref="AP72">AL72*IF($C72="GKP",10,IF($C72="DEF",6,IF($C72="MID",5,4)))</f>
        <v>0</v>
      </c>
      <c r="AQ72">
        <f t="shared" si="42"/>
        <v>0</v>
      </c>
      <c r="AR72">
        <f t="shared" si="43"/>
        <v>0</v>
      </c>
      <c r="AS72" s="2">
        <f>IF($H72=0,0,Player_Analysis!$AM72*$H72/90)</f>
        <v>0</v>
      </c>
      <c r="AT72">
        <f t="shared" si="44"/>
        <v>0</v>
      </c>
      <c r="AU72" s="2">
        <f>0</f>
        <v>0</v>
      </c>
      <c r="AV72" s="2" t="str">
        <f>IF(INDEX(FPL_Raw_Data!K:K,MATCH(A72,FPL_Raw_Data!AA:AA,0))=0,"",INDEX(FPL_Raw_Data!P:P,MATCH(A72,FPL_Raw_Data!AA:AA,0))/INDEX(FPL_Raw_Data!K:K,MATCH(A72,FPL_Raw_Data!AA:AA,0))*90)</f>
        <v/>
      </c>
      <c r="AW72" s="2">
        <f t="shared" si="45"/>
        <v>0</v>
      </c>
      <c r="AX72" s="2">
        <f>IFERROR(INDEX(TEAM_ANALYSIS!$H$2:$H$21,MATCH($B72,TEAM_ANALYSIS!$A$2:$A$21,0)),0)</f>
        <v>1.6666666666666667</v>
      </c>
      <c r="AY72" s="2">
        <f t="shared" si="46"/>
        <v>-0.83333333333333337</v>
      </c>
      <c r="AZ72" s="2">
        <f t="shared" si="47"/>
        <v>-0.83333333333333337</v>
      </c>
      <c r="BA72">
        <f t="shared" si="48"/>
        <v>-0.16666666666666669</v>
      </c>
      <c r="BB72">
        <f>IFERROR(Player_Analysis!$Y72,1)</f>
        <v>0.85492657615677192</v>
      </c>
      <c r="BC72">
        <f t="shared" si="49"/>
        <v>-0.71243881346397664</v>
      </c>
      <c r="BD72">
        <f t="shared" si="50"/>
        <v>0.11873980224399612</v>
      </c>
      <c r="BE72">
        <f t="shared" si="51"/>
        <v>-0.71243881346397664</v>
      </c>
      <c r="BF72">
        <f t="shared" si="52"/>
        <v>543</v>
      </c>
      <c r="BG72">
        <f>IF($BE72="","",COUNTIFS($C$2:$C$596,$C72,$BE$2:$BE$596,"&gt;"&amp;$BE72)+COUNTIFS($C$2:$C72,$C72,$BE$2:$BE72,$BE72))</f>
        <v>141</v>
      </c>
    </row>
    <row r="73" spans="1:59" x14ac:dyDescent="0.25">
      <c r="A73" t="str">
        <f>Player_Analysis!A73</f>
        <v>Adam Smith</v>
      </c>
      <c r="B73">
        <f>Player_Analysis!C73</f>
        <v>3</v>
      </c>
      <c r="C73" t="str">
        <f>Player_Analysis!B73</f>
        <v>DEF</v>
      </c>
      <c r="D73" s="13">
        <f>Player_Analysis!E73</f>
        <v>4.5</v>
      </c>
      <c r="E73">
        <f>Player_Analysis!I73</f>
        <v>270</v>
      </c>
      <c r="F73" s="8">
        <f>Player_Analysis!Z73</f>
        <v>3</v>
      </c>
      <c r="G73" s="17">
        <f t="shared" si="27"/>
        <v>1</v>
      </c>
      <c r="H73">
        <f t="shared" si="28"/>
        <v>90</v>
      </c>
      <c r="I73" s="8">
        <f>Player_Analysis!AF73</f>
        <v>0</v>
      </c>
      <c r="J73" s="8">
        <f>Player_Analysis!AG73</f>
        <v>0</v>
      </c>
      <c r="K73">
        <f>Player_Analysis!O73</f>
        <v>0.01</v>
      </c>
      <c r="L73">
        <f>Player_Analysis!P73</f>
        <v>0.06</v>
      </c>
      <c r="M73">
        <f t="shared" si="29"/>
        <v>3.3333333333333331E-3</v>
      </c>
      <c r="N73">
        <f t="shared" si="30"/>
        <v>1.9999999999999997E-2</v>
      </c>
      <c r="O73" s="2">
        <f>IF(E73=0,"",Player_Analysis!L73/E73*90)</f>
        <v>0.66666666666666674</v>
      </c>
      <c r="P73">
        <f>IF(E73=0,"",Player_Analysis!Q73/E73*90)</f>
        <v>2.3333333333333334E-2</v>
      </c>
      <c r="Q73">
        <f>IF(E73=0,"",(Player_Analysis!AD73/E73)*90)</f>
        <v>4</v>
      </c>
      <c r="R73">
        <f>IF(E73=0,"",Player_Analysis!AA73/E73*90)</f>
        <v>5</v>
      </c>
      <c r="S73">
        <f t="array" ref="S73">IFERROR(INDEX('2023_24'!$O:$O,MATCH($A73,'2023_24'!$A:$A,0)),"")</f>
        <v>2.0949720670391065E-3</v>
      </c>
      <c r="T73">
        <f>IFERROR(INDEX('2024_25'!$P:$P,MATCH($A73,'2024_25'!$A:$A,0)),"")</f>
        <v>3.6885245901639344E-2</v>
      </c>
      <c r="U73">
        <f>IFERROR(INDEX('2025_26'!$P:$P,MATCH($A73,'2025_26'!$A:$A,0)),"")</f>
        <v>0</v>
      </c>
      <c r="V73">
        <f>IFERROR(INDEX('2023_24'!$P:$P,MATCH($A73,'2023_24'!$A:$A,0)),"")</f>
        <v>6.2849162011173187E-2</v>
      </c>
      <c r="W73">
        <f>IFERROR(INDEX('2024_25'!$Q:$Q,MATCH($A73,'2024_25'!$A:$A,0)),"")</f>
        <v>3.8587641866330395E-2</v>
      </c>
      <c r="X73">
        <f>IFERROR(INDEX('2025_26'!$Q:$Q,MATCH($A73,'2025_26'!$A:$A,0)),"")</f>
        <v>1.9291705498602051E-2</v>
      </c>
      <c r="Y73">
        <f>IFERROR(INDEX('2023_24'!$M:$M,MATCH($A73,'2023_24'!$A:$A,0))/INDEX('2023_24'!$G:$G,MATCH($A73,'2023_24'!$A:$A,0))*90,"")</f>
        <v>3.3519553072625698</v>
      </c>
      <c r="Z73">
        <f>IFERROR(INDEX('2024_25'!$M:$M,MATCH($A73,'2024_25'!$A:$A,0))/INDEX('2024_25'!$G:$G,MATCH($A73,'2024_25'!$A:$A,0))*90,"")</f>
        <v>3.2345523329129886</v>
      </c>
      <c r="AA73">
        <f>IFERROR(INDEX('2025_26'!$M:$M,MATCH($A73,'2025_26'!$A:$A,0))/INDEX('2025_26'!$G:$G,MATCH($A73,'2025_26'!$A:$A,0))*90,"")</f>
        <v>4.8648648648648649</v>
      </c>
      <c r="AB73">
        <f>IFERROR(SUMPRODUCT(S73:U73,{0.2,0.3,0.5})/SUMPRODUCT(--(S73:U73&lt;&gt;""),{0.2,0.3,0.5}),"")</f>
        <v>1.1484568183899624E-2</v>
      </c>
      <c r="AC73">
        <f>IFERROR(SUMPRODUCT(V73:X73,{0.2,0.3,0.5})/SUMPRODUCT(--(V73:X73&lt;&gt;""),{0.2,0.3,0.5}),"")</f>
        <v>3.379197771143478E-2</v>
      </c>
      <c r="AD73">
        <f>IFERROR(SUMPRODUCT(Y73:AA73,{0.2,0.3,0.5})/SUMPRODUCT((Y73:AA73&lt;&gt;"")*{0.2,0.3,0.5}),O73)</f>
        <v>4.0731891937588429</v>
      </c>
      <c r="AE73">
        <f t="shared" si="31"/>
        <v>3</v>
      </c>
      <c r="AF73">
        <f t="shared" si="32"/>
        <v>90</v>
      </c>
      <c r="AG73">
        <f t="shared" si="33"/>
        <v>4.1484568183899617E-3</v>
      </c>
      <c r="AH73">
        <f t="shared" si="34"/>
        <v>2.1379197771143475E-2</v>
      </c>
      <c r="AI73" s="2">
        <f t="shared" si="35"/>
        <v>1.0073189193758842</v>
      </c>
      <c r="AJ73">
        <f t="shared" si="36"/>
        <v>0.9</v>
      </c>
      <c r="AK73" t="str">
        <f t="shared" si="37"/>
        <v>NO</v>
      </c>
      <c r="AL73">
        <f t="shared" si="38"/>
        <v>4.1484568183899617E-3</v>
      </c>
      <c r="AM73">
        <f t="shared" si="39"/>
        <v>2.1379197771143475E-2</v>
      </c>
      <c r="AN73">
        <f t="shared" si="40"/>
        <v>4.1484568183899617E-3</v>
      </c>
      <c r="AO73">
        <f t="shared" si="41"/>
        <v>2.1379197771143475E-2</v>
      </c>
      <c r="AP73">
        <f t="array" ref="AP73">AL73*IF($C73="GKP",10,IF($C73="DEF",6,IF($C73="MID",5,4)))</f>
        <v>2.489074091033977E-2</v>
      </c>
      <c r="AQ73">
        <f t="shared" si="42"/>
        <v>6.4137593313430427E-2</v>
      </c>
      <c r="AR73">
        <f t="shared" si="43"/>
        <v>2</v>
      </c>
      <c r="AS73" s="2">
        <f>IF($H73=0,0,Player_Analysis!$AM73*$H73/90)</f>
        <v>0</v>
      </c>
      <c r="AT73">
        <f t="shared" si="44"/>
        <v>1</v>
      </c>
      <c r="AU73" s="2">
        <f>0</f>
        <v>0</v>
      </c>
      <c r="AV73" s="2">
        <f>IF(INDEX(FPL_Raw_Data!K:K,MATCH(A73,FPL_Raw_Data!AA:AA,0))=0,"",INDEX(FPL_Raw_Data!P:P,MATCH(A73,FPL_Raw_Data!AA:AA,0))/INDEX(FPL_Raw_Data!K:K,MATCH(A73,FPL_Raw_Data!AA:AA,0))*90)</f>
        <v>0</v>
      </c>
      <c r="AW73" s="2">
        <f t="shared" si="45"/>
        <v>0</v>
      </c>
      <c r="AX73" s="2">
        <f>IFERROR(INDEX(TEAM_ANALYSIS!$H$2:$H$21,MATCH($B73,TEAM_ANALYSIS!$A$2:$A$21,0)),0)</f>
        <v>1.6666666666666667</v>
      </c>
      <c r="AY73" s="2">
        <f t="shared" si="46"/>
        <v>-0.83333333333333337</v>
      </c>
      <c r="AZ73" s="2">
        <f t="shared" si="47"/>
        <v>2.2556950008904368</v>
      </c>
      <c r="BA73">
        <f t="shared" si="48"/>
        <v>0.50126555575343046</v>
      </c>
      <c r="BB73">
        <f>IFERROR(Player_Analysis!$Y73,1)</f>
        <v>0.85492657615677192</v>
      </c>
      <c r="BC73">
        <f t="shared" si="49"/>
        <v>1.9284536039652078</v>
      </c>
      <c r="BD73">
        <f t="shared" si="50"/>
        <v>0.96666736753632576</v>
      </c>
      <c r="BE73">
        <f t="shared" si="51"/>
        <v>1.9284536039652078</v>
      </c>
      <c r="BF73">
        <f t="shared" si="52"/>
        <v>247</v>
      </c>
      <c r="BG73">
        <f>IF($BE73="","",COUNTIFS($C$2:$C$596,$C73,$BE$2:$BE$596,"&gt;"&amp;$BE73)+COUNTIFS($C$2:$C73,$C73,$BE$2:$BE73,$BE73))</f>
        <v>91</v>
      </c>
    </row>
    <row r="74" spans="1:59" x14ac:dyDescent="0.25">
      <c r="A74" t="str">
        <f>Player_Analysis!A74</f>
        <v>Julián Araujo Zúñiga</v>
      </c>
      <c r="B74">
        <f>Player_Analysis!C74</f>
        <v>3</v>
      </c>
      <c r="C74" t="str">
        <f>Player_Analysis!B74</f>
        <v>DEF</v>
      </c>
      <c r="D74" s="13">
        <f>Player_Analysis!E74</f>
        <v>4.4000000000000004</v>
      </c>
      <c r="E74">
        <f>Player_Analysis!I74</f>
        <v>0</v>
      </c>
      <c r="F74" s="8">
        <f>Player_Analysis!Z74</f>
        <v>0</v>
      </c>
      <c r="G74" s="17">
        <f t="shared" si="27"/>
        <v>0</v>
      </c>
      <c r="H74">
        <f t="shared" si="28"/>
        <v>0</v>
      </c>
      <c r="I74" s="8">
        <f>Player_Analysis!AF74</f>
        <v>0</v>
      </c>
      <c r="J74" s="8">
        <f>Player_Analysis!AG74</f>
        <v>0</v>
      </c>
      <c r="K74">
        <f>Player_Analysis!O74</f>
        <v>0</v>
      </c>
      <c r="L74">
        <f>Player_Analysis!P74</f>
        <v>0</v>
      </c>
      <c r="M74" t="str">
        <f t="shared" si="29"/>
        <v/>
      </c>
      <c r="N74" t="str">
        <f t="shared" si="30"/>
        <v/>
      </c>
      <c r="O74" s="2" t="str">
        <f>IF(E74=0,"",Player_Analysis!L74/E74*90)</f>
        <v/>
      </c>
      <c r="P74" t="str">
        <f>IF(E74=0,"",Player_Analysis!Q74/E74*90)</f>
        <v/>
      </c>
      <c r="Q74" t="str">
        <f>IF(E74=0,"",(Player_Analysis!AD74/E74)*90)</f>
        <v/>
      </c>
      <c r="R74" t="str">
        <f>IF(E74=0,"",Player_Analysis!AA74/E74*90)</f>
        <v/>
      </c>
      <c r="S74" t="str">
        <f t="array" ref="S74">IFERROR(INDEX('2023_24'!$O:$O,MATCH($A74,'2023_24'!$A:$A,0)),"")</f>
        <v/>
      </c>
      <c r="T74">
        <f>IFERROR(INDEX('2024_25'!$P:$P,MATCH($A74,'2024_25'!$A:$A,0)),"")</f>
        <v>0</v>
      </c>
      <c r="U74">
        <f>IFERROR(INDEX('2025_26'!$P:$P,MATCH($A74,'2025_26'!$A:$A,0)),"")</f>
        <v>0</v>
      </c>
      <c r="V74" t="str">
        <f>IFERROR(INDEX('2023_24'!$P:$P,MATCH($A74,'2023_24'!$A:$A,0)),"")</f>
        <v/>
      </c>
      <c r="W74">
        <f>IFERROR(INDEX('2024_25'!$Q:$Q,MATCH($A74,'2024_25'!$A:$A,0)),"")</f>
        <v>1.8292682926829267E-2</v>
      </c>
      <c r="X74">
        <f>IFERROR(INDEX('2025_26'!$Q:$Q,MATCH($A74,'2025_26'!$A:$A,0)),"")</f>
        <v>0</v>
      </c>
      <c r="Y74" t="str">
        <f>IFERROR(INDEX('2023_24'!$M:$M,MATCH($A74,'2023_24'!$A:$A,0))/INDEX('2023_24'!$G:$G,MATCH($A74,'2023_24'!$A:$A,0))*90,"")</f>
        <v/>
      </c>
      <c r="Z74">
        <f>IFERROR(INDEX('2024_25'!$M:$M,MATCH($A74,'2024_25'!$A:$A,0))/INDEX('2024_25'!$G:$G,MATCH($A74,'2024_25'!$A:$A,0))*90,"")</f>
        <v>2.1951219512195124</v>
      </c>
      <c r="AA74" t="str">
        <f>IFERROR(INDEX('2025_26'!$M:$M,MATCH($A74,'2025_26'!$A:$A,0))/INDEX('2025_26'!$G:$G,MATCH($A74,'2025_26'!$A:$A,0))*90,"")</f>
        <v/>
      </c>
      <c r="AB74">
        <f>IFERROR(SUMPRODUCT(S74:U74,{0.2,0.3,0.5})/SUMPRODUCT(--(S74:U74&lt;&gt;""),{0.2,0.3,0.5}),"")</f>
        <v>0</v>
      </c>
      <c r="AC74">
        <f>IFERROR(SUMPRODUCT(V74:X74,{0.2,0.3,0.5})/SUMPRODUCT(--(V74:X74&lt;&gt;""),{0.2,0.3,0.5}),"")</f>
        <v>6.8597560975609748E-3</v>
      </c>
      <c r="AD74">
        <f>IFERROR(SUMPRODUCT(Y74:AA74,{0.2,0.3,0.5})/SUMPRODUCT((Y74:AA74&lt;&gt;"")*{0.2,0.3,0.5}),O74)</f>
        <v>2.1951219512195124</v>
      </c>
      <c r="AE74">
        <f t="shared" si="31"/>
        <v>2</v>
      </c>
      <c r="AF74" t="str">
        <f t="shared" si="32"/>
        <v/>
      </c>
      <c r="AG74">
        <f t="shared" si="33"/>
        <v>0</v>
      </c>
      <c r="AH74">
        <f t="shared" si="34"/>
        <v>6.8597560975609748E-3</v>
      </c>
      <c r="AI74" s="2">
        <f t="shared" si="35"/>
        <v>2.1951219512195124</v>
      </c>
      <c r="AJ74">
        <f t="shared" si="36"/>
        <v>0</v>
      </c>
      <c r="AK74" t="str">
        <f t="shared" si="37"/>
        <v>NO</v>
      </c>
      <c r="AL74">
        <f t="shared" si="38"/>
        <v>0</v>
      </c>
      <c r="AM74">
        <f t="shared" si="39"/>
        <v>0</v>
      </c>
      <c r="AN74">
        <f t="shared" si="40"/>
        <v>0</v>
      </c>
      <c r="AO74">
        <f t="shared" si="41"/>
        <v>0</v>
      </c>
      <c r="AP74">
        <f t="array" ref="AP74">AL74*IF($C74="GKP",10,IF($C74="DEF",6,IF($C74="MID",5,4)))</f>
        <v>0</v>
      </c>
      <c r="AQ74">
        <f t="shared" si="42"/>
        <v>0</v>
      </c>
      <c r="AR74">
        <f t="shared" si="43"/>
        <v>0</v>
      </c>
      <c r="AS74" s="2">
        <f>IF($H74=0,0,Player_Analysis!$AM74*$H74/90)</f>
        <v>0</v>
      </c>
      <c r="AT74">
        <f t="shared" si="44"/>
        <v>0</v>
      </c>
      <c r="AU74" s="2">
        <f>0</f>
        <v>0</v>
      </c>
      <c r="AV74" s="2" t="str">
        <f>IF(INDEX(FPL_Raw_Data!K:K,MATCH(A74,FPL_Raw_Data!AA:AA,0))=0,"",INDEX(FPL_Raw_Data!P:P,MATCH(A74,FPL_Raw_Data!AA:AA,0))/INDEX(FPL_Raw_Data!K:K,MATCH(A74,FPL_Raw_Data!AA:AA,0))*90)</f>
        <v/>
      </c>
      <c r="AW74" s="2">
        <f t="shared" si="45"/>
        <v>0</v>
      </c>
      <c r="AX74" s="2">
        <f>IFERROR(INDEX(TEAM_ANALYSIS!$H$2:$H$21,MATCH($B74,TEAM_ANALYSIS!$A$2:$A$21,0)),0)</f>
        <v>1.6666666666666667</v>
      </c>
      <c r="AY74" s="2">
        <f t="shared" si="46"/>
        <v>-0.83333333333333337</v>
      </c>
      <c r="AZ74" s="2">
        <f t="shared" si="47"/>
        <v>-0.83333333333333337</v>
      </c>
      <c r="BA74">
        <f t="shared" si="48"/>
        <v>-0.18939393939393939</v>
      </c>
      <c r="BB74">
        <f>IFERROR(Player_Analysis!$Y74,1)</f>
        <v>0.85492657615677192</v>
      </c>
      <c r="BC74">
        <f t="shared" si="49"/>
        <v>-0.71243881346397664</v>
      </c>
      <c r="BD74">
        <f t="shared" si="50"/>
        <v>0.13493159345908648</v>
      </c>
      <c r="BE74">
        <f t="shared" si="51"/>
        <v>-0.71243881346397664</v>
      </c>
      <c r="BF74">
        <f t="shared" si="52"/>
        <v>543</v>
      </c>
      <c r="BG74">
        <f>IF($BE74="","",COUNTIFS($C$2:$C$596,$C74,$BE$2:$BE$596,"&gt;"&amp;$BE74)+COUNTIFS($C$2:$C74,$C74,$BE$2:$BE74,$BE74))</f>
        <v>142</v>
      </c>
    </row>
    <row r="75" spans="1:59" x14ac:dyDescent="0.25">
      <c r="A75" t="str">
        <f>Player_Analysis!A75</f>
        <v>Julio Soler Barreto</v>
      </c>
      <c r="B75">
        <f>Player_Analysis!C75</f>
        <v>3</v>
      </c>
      <c r="C75" t="str">
        <f>Player_Analysis!B75</f>
        <v>DEF</v>
      </c>
      <c r="D75" s="13">
        <f>Player_Analysis!E75</f>
        <v>4</v>
      </c>
      <c r="E75">
        <f>Player_Analysis!I75</f>
        <v>0</v>
      </c>
      <c r="F75" s="8">
        <f>Player_Analysis!Z75</f>
        <v>0</v>
      </c>
      <c r="G75" s="17">
        <f t="shared" si="27"/>
        <v>0</v>
      </c>
      <c r="H75">
        <f t="shared" si="28"/>
        <v>0</v>
      </c>
      <c r="I75" s="8">
        <f>Player_Analysis!AF75</f>
        <v>0</v>
      </c>
      <c r="J75" s="8">
        <f>Player_Analysis!AG75</f>
        <v>0</v>
      </c>
      <c r="K75">
        <f>Player_Analysis!O75</f>
        <v>0</v>
      </c>
      <c r="L75">
        <f>Player_Analysis!P75</f>
        <v>0</v>
      </c>
      <c r="M75" t="str">
        <f t="shared" si="29"/>
        <v/>
      </c>
      <c r="N75" t="str">
        <f t="shared" si="30"/>
        <v/>
      </c>
      <c r="O75" s="2" t="str">
        <f>IF(E75=0,"",Player_Analysis!L75/E75*90)</f>
        <v/>
      </c>
      <c r="P75" t="str">
        <f>IF(E75=0,"",Player_Analysis!Q75/E75*90)</f>
        <v/>
      </c>
      <c r="Q75" t="str">
        <f>IF(E75=0,"",(Player_Analysis!AD75/E75)*90)</f>
        <v/>
      </c>
      <c r="R75" t="str">
        <f>IF(E75=0,"",Player_Analysis!AA75/E75*90)</f>
        <v/>
      </c>
      <c r="S75" t="str">
        <f t="array" ref="S75">IFERROR(INDEX('2023_24'!$O:$O,MATCH($A75,'2023_24'!$A:$A,0)),"")</f>
        <v/>
      </c>
      <c r="T75" t="str">
        <f>IFERROR(INDEX('2024_25'!$P:$P,MATCH($A75,'2024_25'!$A:$A,0)),"")</f>
        <v/>
      </c>
      <c r="U75">
        <f>IFERROR(INDEX('2025_26'!$P:$P,MATCH($A75,'2025_26'!$A:$A,0)),"")</f>
        <v>0</v>
      </c>
      <c r="V75" t="str">
        <f>IFERROR(INDEX('2023_24'!$P:$P,MATCH($A75,'2023_24'!$A:$A,0)),"")</f>
        <v/>
      </c>
      <c r="W75" t="str">
        <f>IFERROR(INDEX('2024_25'!$Q:$Q,MATCH($A75,'2024_25'!$A:$A,0)),"")</f>
        <v/>
      </c>
      <c r="X75">
        <f>IFERROR(INDEX('2025_26'!$Q:$Q,MATCH($A75,'2025_26'!$A:$A,0)),"")</f>
        <v>0</v>
      </c>
      <c r="Y75" t="str">
        <f>IFERROR(INDEX('2023_24'!$M:$M,MATCH($A75,'2023_24'!$A:$A,0))/INDEX('2023_24'!$G:$G,MATCH($A75,'2023_24'!$A:$A,0))*90,"")</f>
        <v/>
      </c>
      <c r="Z75" t="str">
        <f>IFERROR(INDEX('2024_25'!$M:$M,MATCH($A75,'2024_25'!$A:$A,0))/INDEX('2024_25'!$G:$G,MATCH($A75,'2024_25'!$A:$A,0))*90,"")</f>
        <v/>
      </c>
      <c r="AA75">
        <f>IFERROR(INDEX('2025_26'!$M:$M,MATCH($A75,'2025_26'!$A:$A,0))/INDEX('2025_26'!$G:$G,MATCH($A75,'2025_26'!$A:$A,0))*90,"")</f>
        <v>7.9411764705882355</v>
      </c>
      <c r="AB75">
        <f>IFERROR(SUMPRODUCT(S75:U75,{0.2,0.3,0.5})/SUMPRODUCT(--(S75:U75&lt;&gt;""),{0.2,0.3,0.5}),"")</f>
        <v>0</v>
      </c>
      <c r="AC75">
        <f>IFERROR(SUMPRODUCT(V75:X75,{0.2,0.3,0.5})/SUMPRODUCT(--(V75:X75&lt;&gt;""),{0.2,0.3,0.5}),"")</f>
        <v>0</v>
      </c>
      <c r="AD75">
        <f>IFERROR(SUMPRODUCT(Y75:AA75,{0.2,0.3,0.5})/SUMPRODUCT((Y75:AA75&lt;&gt;"")*{0.2,0.3,0.5}),O75)</f>
        <v>7.9411764705882355</v>
      </c>
      <c r="AE75">
        <f t="shared" si="31"/>
        <v>1</v>
      </c>
      <c r="AF75" t="str">
        <f t="shared" si="32"/>
        <v/>
      </c>
      <c r="AG75">
        <f t="shared" si="33"/>
        <v>0</v>
      </c>
      <c r="AH75">
        <f t="shared" si="34"/>
        <v>0</v>
      </c>
      <c r="AI75" s="2">
        <f t="shared" si="35"/>
        <v>7.9411764705882355</v>
      </c>
      <c r="AJ75">
        <f t="shared" si="36"/>
        <v>0</v>
      </c>
      <c r="AK75" t="str">
        <f t="shared" si="37"/>
        <v>NO</v>
      </c>
      <c r="AL75">
        <f t="shared" si="38"/>
        <v>0</v>
      </c>
      <c r="AM75">
        <f t="shared" si="39"/>
        <v>0</v>
      </c>
      <c r="AN75">
        <f t="shared" si="40"/>
        <v>0</v>
      </c>
      <c r="AO75">
        <f t="shared" si="41"/>
        <v>0</v>
      </c>
      <c r="AP75">
        <f t="array" ref="AP75">AL75*IF($C75="GKP",10,IF($C75="DEF",6,IF($C75="MID",5,4)))</f>
        <v>0</v>
      </c>
      <c r="AQ75">
        <f t="shared" si="42"/>
        <v>0</v>
      </c>
      <c r="AR75">
        <f t="shared" si="43"/>
        <v>0</v>
      </c>
      <c r="AS75" s="2">
        <f>IF($H75=0,0,Player_Analysis!$AM75*$H75/90)</f>
        <v>0</v>
      </c>
      <c r="AT75">
        <f t="shared" si="44"/>
        <v>0</v>
      </c>
      <c r="AU75" s="2">
        <f>0</f>
        <v>0</v>
      </c>
      <c r="AV75" s="2" t="str">
        <f>IF(INDEX(FPL_Raw_Data!K:K,MATCH(A75,FPL_Raw_Data!AA:AA,0))=0,"",INDEX(FPL_Raw_Data!P:P,MATCH(A75,FPL_Raw_Data!AA:AA,0))/INDEX(FPL_Raw_Data!K:K,MATCH(A75,FPL_Raw_Data!AA:AA,0))*90)</f>
        <v/>
      </c>
      <c r="AW75" s="2">
        <f t="shared" si="45"/>
        <v>0</v>
      </c>
      <c r="AX75" s="2">
        <f>IFERROR(INDEX(TEAM_ANALYSIS!$H$2:$H$21,MATCH($B75,TEAM_ANALYSIS!$A$2:$A$21,0)),0)</f>
        <v>1.6666666666666667</v>
      </c>
      <c r="AY75" s="2">
        <f t="shared" si="46"/>
        <v>-0.83333333333333337</v>
      </c>
      <c r="AZ75" s="2">
        <f t="shared" si="47"/>
        <v>-0.83333333333333337</v>
      </c>
      <c r="BA75">
        <f t="shared" si="48"/>
        <v>-0.20833333333333334</v>
      </c>
      <c r="BB75">
        <f>IFERROR(Player_Analysis!$Y75,1)</f>
        <v>0.85492657615677192</v>
      </c>
      <c r="BC75">
        <f t="shared" si="49"/>
        <v>-0.71243881346397664</v>
      </c>
      <c r="BD75">
        <f t="shared" si="50"/>
        <v>0.14842475280499515</v>
      </c>
      <c r="BE75">
        <f t="shared" si="51"/>
        <v>-0.71243881346397664</v>
      </c>
      <c r="BF75">
        <f t="shared" si="52"/>
        <v>543</v>
      </c>
      <c r="BG75">
        <f>IF($BE75="","",COUNTIFS($C$2:$C$596,$C75,$BE$2:$BE$596,"&gt;"&amp;$BE75)+COUNTIFS($C$2:$C75,$C75,$BE$2:$BE75,$BE75))</f>
        <v>143</v>
      </c>
    </row>
    <row r="76" spans="1:59" x14ac:dyDescent="0.25">
      <c r="A76" t="str">
        <f>Player_Analysis!A76</f>
        <v>Rayan Vitor Simplício Rocha</v>
      </c>
      <c r="B76">
        <f>Player_Analysis!C76</f>
        <v>3</v>
      </c>
      <c r="C76" t="str">
        <f>Player_Analysis!B76</f>
        <v>MID</v>
      </c>
      <c r="D76" s="13">
        <f>Player_Analysis!E76</f>
        <v>6.4</v>
      </c>
      <c r="E76">
        <f>Player_Analysis!I76</f>
        <v>266</v>
      </c>
      <c r="F76" s="8">
        <f>Player_Analysis!Z76</f>
        <v>3</v>
      </c>
      <c r="G76" s="17">
        <f t="shared" si="27"/>
        <v>1</v>
      </c>
      <c r="H76">
        <f t="shared" si="28"/>
        <v>90</v>
      </c>
      <c r="I76" s="8">
        <f>Player_Analysis!AF76</f>
        <v>0</v>
      </c>
      <c r="J76" s="8">
        <f>Player_Analysis!AG76</f>
        <v>0</v>
      </c>
      <c r="K76">
        <f>Player_Analysis!O76</f>
        <v>0.48</v>
      </c>
      <c r="L76">
        <f>Player_Analysis!P76</f>
        <v>0.06</v>
      </c>
      <c r="M76">
        <f t="shared" si="29"/>
        <v>0.162406015037594</v>
      </c>
      <c r="N76">
        <f t="shared" si="30"/>
        <v>2.030075187969925E-2</v>
      </c>
      <c r="O76" s="2">
        <f>IF(E76=0,"",Player_Analysis!L76/E76*90)</f>
        <v>2.0300751879699246</v>
      </c>
      <c r="P76">
        <f>IF(E76=0,"",Player_Analysis!Q76/E76*90)</f>
        <v>0.18270676691729323</v>
      </c>
      <c r="Q76">
        <f>IF(E76=0,"",(Player_Analysis!AD76/E76)*90)</f>
        <v>7.1052631578947363</v>
      </c>
      <c r="R76">
        <f>IF(E76=0,"",Player_Analysis!AA76/E76*90)</f>
        <v>2.7067669172932329</v>
      </c>
      <c r="S76" t="str">
        <f t="array" ref="S76">IFERROR(INDEX('2023_24'!$O:$O,MATCH($A76,'2023_24'!$A:$A,0)),"")</f>
        <v/>
      </c>
      <c r="T76" t="str">
        <f>IFERROR(INDEX('2024_25'!$P:$P,MATCH($A76,'2024_25'!$A:$A,0)),"")</f>
        <v/>
      </c>
      <c r="U76">
        <f>IFERROR(INDEX('2025_26'!$P:$P,MATCH($A76,'2025_26'!$A:$A,0)),"")</f>
        <v>0.21648648648648647</v>
      </c>
      <c r="V76" t="str">
        <f>IFERROR(INDEX('2023_24'!$P:$P,MATCH($A76,'2023_24'!$A:$A,0)),"")</f>
        <v/>
      </c>
      <c r="W76" t="str">
        <f>IFERROR(INDEX('2024_25'!$Q:$Q,MATCH($A76,'2024_25'!$A:$A,0)),"")</f>
        <v/>
      </c>
      <c r="X76">
        <f>IFERROR(INDEX('2025_26'!$Q:$Q,MATCH($A76,'2025_26'!$A:$A,0)),"")</f>
        <v>0.14918918918918919</v>
      </c>
      <c r="Y76" t="str">
        <f>IFERROR(INDEX('2023_24'!$M:$M,MATCH($A76,'2023_24'!$A:$A,0))/INDEX('2023_24'!$G:$G,MATCH($A76,'2023_24'!$A:$A,0))*90,"")</f>
        <v/>
      </c>
      <c r="Z76" t="str">
        <f>IFERROR(INDEX('2024_25'!$M:$M,MATCH($A76,'2024_25'!$A:$A,0))/INDEX('2024_25'!$G:$G,MATCH($A76,'2024_25'!$A:$A,0))*90,"")</f>
        <v/>
      </c>
      <c r="AA76">
        <f>IFERROR(INDEX('2025_26'!$M:$M,MATCH($A76,'2025_26'!$A:$A,0))/INDEX('2025_26'!$G:$G,MATCH($A76,'2025_26'!$A:$A,0))*90,"")</f>
        <v>5.4324324324324325</v>
      </c>
      <c r="AB76">
        <f>IFERROR(SUMPRODUCT(S76:U76,{0.2,0.3,0.5})/SUMPRODUCT(--(S76:U76&lt;&gt;""),{0.2,0.3,0.5}),"")</f>
        <v>0.21648648648648647</v>
      </c>
      <c r="AC76">
        <f>IFERROR(SUMPRODUCT(V76:X76,{0.2,0.3,0.5})/SUMPRODUCT(--(V76:X76&lt;&gt;""),{0.2,0.3,0.5}),"")</f>
        <v>0.14918918918918919</v>
      </c>
      <c r="AD76">
        <f>IFERROR(SUMPRODUCT(Y76:AA76,{0.2,0.3,0.5})/SUMPRODUCT((Y76:AA76&lt;&gt;"")*{0.2,0.3,0.5}),O76)</f>
        <v>5.4324324324324325</v>
      </c>
      <c r="AE76">
        <f t="shared" si="31"/>
        <v>1</v>
      </c>
      <c r="AF76">
        <f t="shared" si="32"/>
        <v>88.666666666666671</v>
      </c>
      <c r="AG76">
        <f t="shared" si="33"/>
        <v>0.16853513513513513</v>
      </c>
      <c r="AH76">
        <f t="shared" si="34"/>
        <v>3.4908108108108099E-2</v>
      </c>
      <c r="AI76" s="2">
        <f t="shared" si="35"/>
        <v>2.4156756756756752</v>
      </c>
      <c r="AJ76">
        <f t="shared" si="36"/>
        <v>0.88666666666666671</v>
      </c>
      <c r="AK76" t="str">
        <f t="shared" si="37"/>
        <v>NO</v>
      </c>
      <c r="AL76">
        <f t="shared" si="38"/>
        <v>0.16853513513513513</v>
      </c>
      <c r="AM76">
        <f t="shared" si="39"/>
        <v>3.4908108108108099E-2</v>
      </c>
      <c r="AN76">
        <f t="shared" si="40"/>
        <v>0.16853513513513513</v>
      </c>
      <c r="AO76">
        <f t="shared" si="41"/>
        <v>3.4908108108108099E-2</v>
      </c>
      <c r="AP76">
        <f t="array" ref="AP76">AL76*IF($C76="GKP",10,IF($C76="DEF",6,IF($C76="MID",5,4)))</f>
        <v>0.84267567567567569</v>
      </c>
      <c r="AQ76">
        <f t="shared" si="42"/>
        <v>0.1047243243243243</v>
      </c>
      <c r="AR76">
        <f t="shared" si="43"/>
        <v>2</v>
      </c>
      <c r="AS76" s="2">
        <f>IF($H76=0,0,Player_Analysis!$AM76*$H76/90)</f>
        <v>0</v>
      </c>
      <c r="AT76">
        <f t="shared" si="44"/>
        <v>0.45112781954887216</v>
      </c>
      <c r="AU76" s="2">
        <f>0</f>
        <v>0</v>
      </c>
      <c r="AV76" s="2">
        <f>IF(INDEX(FPL_Raw_Data!K:K,MATCH(A76,FPL_Raw_Data!AA:AA,0))=0,"",INDEX(FPL_Raw_Data!P:P,MATCH(A76,FPL_Raw_Data!AA:AA,0))/INDEX(FPL_Raw_Data!K:K,MATCH(A76,FPL_Raw_Data!AA:AA,0))*90)</f>
        <v>0</v>
      </c>
      <c r="AW76" s="2">
        <f t="shared" si="45"/>
        <v>0</v>
      </c>
      <c r="AX76" s="2">
        <f>IFERROR(INDEX(TEAM_ANALYSIS!$H$2:$H$21,MATCH($B76,TEAM_ANALYSIS!$A$2:$A$21,0)),0)</f>
        <v>1.6666666666666667</v>
      </c>
      <c r="AY76" s="2">
        <f t="shared" si="46"/>
        <v>0</v>
      </c>
      <c r="AZ76" s="2">
        <f t="shared" si="47"/>
        <v>3.398527819548872</v>
      </c>
      <c r="BA76">
        <f t="shared" si="48"/>
        <v>0.53101997180451121</v>
      </c>
      <c r="BB76">
        <f>IFERROR(Player_Analysis!$Y76,1)</f>
        <v>0.95673010380622836</v>
      </c>
      <c r="BC76">
        <f t="shared" si="49"/>
        <v>3.251473873585347</v>
      </c>
      <c r="BD76">
        <f t="shared" si="50"/>
        <v>1.7265975646743958</v>
      </c>
      <c r="BE76">
        <f t="shared" si="51"/>
        <v>3.251473873585347</v>
      </c>
      <c r="BF76">
        <f t="shared" si="52"/>
        <v>191</v>
      </c>
      <c r="BG76">
        <f>IF($BE76="","",COUNTIFS($C$2:$C$596,$C76,$BE$2:$BE$596,"&gt;"&amp;$BE76)+COUNTIFS($C$2:$C76,$C76,$BE$2:$BE76,$BE76))</f>
        <v>99</v>
      </c>
    </row>
    <row r="77" spans="1:59" x14ac:dyDescent="0.25">
      <c r="A77" t="str">
        <f>Player_Analysis!A77</f>
        <v>Marcus Tavernier</v>
      </c>
      <c r="B77">
        <f>Player_Analysis!C77</f>
        <v>3</v>
      </c>
      <c r="C77" t="str">
        <f>Player_Analysis!B77</f>
        <v>MID</v>
      </c>
      <c r="D77" s="13">
        <f>Player_Analysis!E77</f>
        <v>6</v>
      </c>
      <c r="E77">
        <f>Player_Analysis!I77</f>
        <v>268</v>
      </c>
      <c r="F77" s="8">
        <f>Player_Analysis!Z77</f>
        <v>3</v>
      </c>
      <c r="G77" s="17">
        <f t="shared" si="27"/>
        <v>1</v>
      </c>
      <c r="H77">
        <f t="shared" si="28"/>
        <v>90</v>
      </c>
      <c r="I77" s="8">
        <f>Player_Analysis!AF77</f>
        <v>2</v>
      </c>
      <c r="J77" s="8">
        <f>Player_Analysis!AG77</f>
        <v>0</v>
      </c>
      <c r="K77">
        <f>Player_Analysis!O77</f>
        <v>1.5</v>
      </c>
      <c r="L77">
        <f>Player_Analysis!P77</f>
        <v>0.34</v>
      </c>
      <c r="M77">
        <f t="shared" si="29"/>
        <v>0.50373134328358204</v>
      </c>
      <c r="N77">
        <f t="shared" si="30"/>
        <v>0.11417910447761195</v>
      </c>
      <c r="O77" s="2">
        <f>IF(E77=0,"",Player_Analysis!L77/E77*90)</f>
        <v>7.0522388059701493</v>
      </c>
      <c r="P77">
        <f>IF(E77=0,"",Player_Analysis!Q77/E77*90)</f>
        <v>0.61791044776119408</v>
      </c>
      <c r="Q77">
        <f>IF(E77=0,"",(Player_Analysis!AD77/E77)*90)</f>
        <v>31.902985074626869</v>
      </c>
      <c r="R77">
        <f>IF(E77=0,"",Player_Analysis!AA77/E77*90)</f>
        <v>9.4029850746268657</v>
      </c>
      <c r="S77">
        <f t="array" ref="S77">IFERROR(INDEX('2023_24'!$O:$O,MATCH($A77,'2023_24'!$A:$A,0)),"")</f>
        <v>0.16487252124645893</v>
      </c>
      <c r="T77">
        <f>IFERROR(INDEX('2024_25'!$P:$P,MATCH($A77,'2024_25'!$A:$A,0)),"")</f>
        <v>0.25667701863354037</v>
      </c>
      <c r="U77">
        <f>IFERROR(INDEX('2025_26'!$P:$P,MATCH($A77,'2025_26'!$A:$A,0)),"")</f>
        <v>0.2984626647144949</v>
      </c>
      <c r="V77">
        <f>IFERROR(INDEX('2023_24'!$P:$P,MATCH($A77,'2023_24'!$A:$A,0)),"")</f>
        <v>0.1801699716713881</v>
      </c>
      <c r="W77">
        <f>IFERROR(INDEX('2024_25'!$Q:$Q,MATCH($A77,'2024_25'!$A:$A,0)),"")</f>
        <v>0.17003105590062112</v>
      </c>
      <c r="X77">
        <f>IFERROR(INDEX('2025_26'!$Q:$Q,MATCH($A77,'2025_26'!$A:$A,0)),"")</f>
        <v>0.15153733528550511</v>
      </c>
      <c r="Y77">
        <f>IFERROR(INDEX('2023_24'!$M:$M,MATCH($A77,'2023_24'!$A:$A,0))/INDEX('2023_24'!$G:$G,MATCH($A77,'2023_24'!$A:$A,0))*90,"")</f>
        <v>3.7818696883852687</v>
      </c>
      <c r="Z77">
        <f>IFERROR(INDEX('2024_25'!$M:$M,MATCH($A77,'2024_25'!$A:$A,0))/INDEX('2024_25'!$G:$G,MATCH($A77,'2024_25'!$A:$A,0))*90,"")</f>
        <v>4.0527950310559007</v>
      </c>
      <c r="AA77">
        <f>IFERROR(INDEX('2025_26'!$M:$M,MATCH($A77,'2025_26'!$A:$A,0))/INDEX('2025_26'!$G:$G,MATCH($A77,'2025_26'!$A:$A,0))*90,"")</f>
        <v>4.5131771595900441</v>
      </c>
      <c r="AB77">
        <f>IFERROR(SUMPRODUCT(S77:U77,{0.2,0.3,0.5})/SUMPRODUCT(--(S77:U77&lt;&gt;""),{0.2,0.3,0.5}),"")</f>
        <v>0.25920894219660134</v>
      </c>
      <c r="AC77">
        <f>IFERROR(SUMPRODUCT(V77:X77,{0.2,0.3,0.5})/SUMPRODUCT(--(V77:X77&lt;&gt;""),{0.2,0.3,0.5}),"")</f>
        <v>0.16281197874721651</v>
      </c>
      <c r="AD77">
        <f>IFERROR(SUMPRODUCT(Y77:AA77,{0.2,0.3,0.5})/SUMPRODUCT((Y77:AA77&lt;&gt;"")*{0.2,0.3,0.5}),O77)</f>
        <v>4.2288010267888456</v>
      </c>
      <c r="AE77">
        <f t="shared" si="31"/>
        <v>3</v>
      </c>
      <c r="AF77">
        <f t="shared" si="32"/>
        <v>89.333333333333329</v>
      </c>
      <c r="AG77">
        <f t="shared" si="33"/>
        <v>0.47764895383430411</v>
      </c>
      <c r="AH77">
        <f t="shared" si="34"/>
        <v>0.11936661106636977</v>
      </c>
      <c r="AI77" s="2">
        <f t="shared" si="35"/>
        <v>6.7510721095241433</v>
      </c>
      <c r="AJ77">
        <f t="shared" si="36"/>
        <v>0.89333333333333331</v>
      </c>
      <c r="AK77" t="str">
        <f t="shared" si="37"/>
        <v>NO</v>
      </c>
      <c r="AL77">
        <f t="shared" si="38"/>
        <v>0.47764895383430411</v>
      </c>
      <c r="AM77">
        <f t="shared" si="39"/>
        <v>0.11936661106636975</v>
      </c>
      <c r="AN77">
        <f t="shared" si="40"/>
        <v>0.47764895383430411</v>
      </c>
      <c r="AO77">
        <f t="shared" si="41"/>
        <v>0.11936661106636975</v>
      </c>
      <c r="AP77">
        <f t="array" ref="AP77">AL77*IF($C77="GKP",10,IF($C77="DEF",6,IF($C77="MID",5,4)))</f>
        <v>2.3882447691715205</v>
      </c>
      <c r="AQ77">
        <f t="shared" si="42"/>
        <v>0.35809983319910926</v>
      </c>
      <c r="AR77">
        <f t="shared" si="43"/>
        <v>2</v>
      </c>
      <c r="AS77" s="2">
        <f>IF($H77=0,0,Player_Analysis!$AM77*$H77/90)</f>
        <v>0</v>
      </c>
      <c r="AT77">
        <f t="shared" si="44"/>
        <v>1.5671641791044777</v>
      </c>
      <c r="AU77" s="2">
        <f>0</f>
        <v>0</v>
      </c>
      <c r="AV77" s="2">
        <f>IF(INDEX(FPL_Raw_Data!K:K,MATCH(A77,FPL_Raw_Data!AA:AA,0))=0,"",INDEX(FPL_Raw_Data!P:P,MATCH(A77,FPL_Raw_Data!AA:AA,0))/INDEX(FPL_Raw_Data!K:K,MATCH(A77,FPL_Raw_Data!AA:AA,0))*90)</f>
        <v>0</v>
      </c>
      <c r="AW77" s="2">
        <f t="shared" si="45"/>
        <v>0</v>
      </c>
      <c r="AX77" s="2">
        <f>IFERROR(INDEX(TEAM_ANALYSIS!$H$2:$H$21,MATCH($B77,TEAM_ANALYSIS!$A$2:$A$21,0)),0)</f>
        <v>1.6666666666666667</v>
      </c>
      <c r="AY77" s="2">
        <f t="shared" si="46"/>
        <v>0</v>
      </c>
      <c r="AZ77" s="2">
        <f t="shared" si="47"/>
        <v>6.3135087814751083</v>
      </c>
      <c r="BA77">
        <f t="shared" si="48"/>
        <v>1.0522514635791846</v>
      </c>
      <c r="BB77">
        <f>IFERROR(Player_Analysis!$Y77,1)</f>
        <v>0.95673010380622836</v>
      </c>
      <c r="BC77">
        <f t="shared" si="49"/>
        <v>6.040323911882215</v>
      </c>
      <c r="BD77">
        <f t="shared" si="50"/>
        <v>6.3559396767704071</v>
      </c>
      <c r="BE77">
        <f t="shared" si="51"/>
        <v>6.040323911882215</v>
      </c>
      <c r="BF77">
        <f t="shared" si="52"/>
        <v>45</v>
      </c>
      <c r="BG77">
        <f>IF($BE77="","",COUNTIFS($C$2:$C$596,$C77,$BE$2:$BE$596,"&gt;"&amp;$BE77)+COUNTIFS($C$2:$C77,$C77,$BE$2:$BE77,$BE77))</f>
        <v>18</v>
      </c>
    </row>
    <row r="78" spans="1:59" x14ac:dyDescent="0.25">
      <c r="A78" t="str">
        <f>Player_Analysis!A78</f>
        <v>Alex Scott</v>
      </c>
      <c r="B78">
        <f>Player_Analysis!C78</f>
        <v>3</v>
      </c>
      <c r="C78" t="str">
        <f>Player_Analysis!B78</f>
        <v>MID</v>
      </c>
      <c r="D78" s="13">
        <f>Player_Analysis!E78</f>
        <v>6</v>
      </c>
      <c r="E78">
        <f>Player_Analysis!I78</f>
        <v>266</v>
      </c>
      <c r="F78" s="8">
        <f>Player_Analysis!Z78</f>
        <v>3</v>
      </c>
      <c r="G78" s="17">
        <f t="shared" si="27"/>
        <v>1</v>
      </c>
      <c r="H78">
        <f t="shared" si="28"/>
        <v>90</v>
      </c>
      <c r="I78" s="8">
        <f>Player_Analysis!AF78</f>
        <v>1</v>
      </c>
      <c r="J78" s="8">
        <f>Player_Analysis!AG78</f>
        <v>2</v>
      </c>
      <c r="K78">
        <f>Player_Analysis!O78</f>
        <v>0.33</v>
      </c>
      <c r="L78">
        <f>Player_Analysis!P78</f>
        <v>0.3</v>
      </c>
      <c r="M78">
        <f t="shared" si="29"/>
        <v>0.11165413533834587</v>
      </c>
      <c r="N78">
        <f t="shared" si="30"/>
        <v>0.10150375939849622</v>
      </c>
      <c r="O78" s="2">
        <f>IF(E78=0,"",Player_Analysis!L78/E78*90)</f>
        <v>8.1203007518796984</v>
      </c>
      <c r="P78">
        <f>IF(E78=0,"",Player_Analysis!Q78/E78*90)</f>
        <v>0.21315789473684213</v>
      </c>
      <c r="Q78">
        <f>IF(E78=0,"",(Player_Analysis!AD78/E78)*90)</f>
        <v>31.466165413533837</v>
      </c>
      <c r="R78">
        <f>IF(E78=0,"",Player_Analysis!AA78/E78*90)</f>
        <v>12.518796992481203</v>
      </c>
      <c r="S78">
        <f t="array" ref="S78">IFERROR(INDEX('2023_24'!$O:$O,MATCH($A78,'2023_24'!$A:$A,0)),"")</f>
        <v>7.3579262213359919E-2</v>
      </c>
      <c r="T78">
        <f>IFERROR(INDEX('2024_25'!$P:$P,MATCH($A78,'2024_25'!$A:$A,0)),"")</f>
        <v>8.8187919463087253E-2</v>
      </c>
      <c r="U78">
        <f>IFERROR(INDEX('2025_26'!$P:$P,MATCH($A78,'2025_26'!$A:$A,0)),"")</f>
        <v>0.12008426966292134</v>
      </c>
      <c r="V78">
        <f>IFERROR(INDEX('2023_24'!$P:$P,MATCH($A78,'2023_24'!$A:$A,0)),"")</f>
        <v>9.5114656031904291E-2</v>
      </c>
      <c r="W78">
        <f>IFERROR(INDEX('2024_25'!$Q:$Q,MATCH($A78,'2024_25'!$A:$A,0)),"")</f>
        <v>0.12080536912751677</v>
      </c>
      <c r="X78">
        <f>IFERROR(INDEX('2025_26'!$Q:$Q,MATCH($A78,'2025_26'!$A:$A,0)),"")</f>
        <v>9.2907303370786509E-2</v>
      </c>
      <c r="Y78">
        <f>IFERROR(INDEX('2023_24'!$M:$M,MATCH($A78,'2023_24'!$A:$A,0))/INDEX('2023_24'!$G:$G,MATCH($A78,'2023_24'!$A:$A,0))*90,"")</f>
        <v>3.6789631106679956</v>
      </c>
      <c r="Z78">
        <f>IFERROR(INDEX('2024_25'!$M:$M,MATCH($A78,'2024_25'!$A:$A,0))/INDEX('2024_25'!$G:$G,MATCH($A78,'2024_25'!$A:$A,0))*90,"")</f>
        <v>3.1409395973154361</v>
      </c>
      <c r="AA78">
        <f>IFERROR(INDEX('2025_26'!$M:$M,MATCH($A78,'2025_26'!$A:$A,0))/INDEX('2025_26'!$G:$G,MATCH($A78,'2025_26'!$A:$A,0))*90,"")</f>
        <v>4.297752808988764</v>
      </c>
      <c r="AB78">
        <f>IFERROR(SUMPRODUCT(S78:U78,{0.2,0.3,0.5})/SUMPRODUCT(--(S78:U78&lt;&gt;""),{0.2,0.3,0.5}),"")</f>
        <v>0.10121436311305883</v>
      </c>
      <c r="AC78">
        <f>IFERROR(SUMPRODUCT(V78:X78,{0.2,0.3,0.5})/SUMPRODUCT(--(V78:X78&lt;&gt;""),{0.2,0.3,0.5}),"")</f>
        <v>0.10171819363002914</v>
      </c>
      <c r="AD78">
        <f>IFERROR(SUMPRODUCT(Y78:AA78,{0.2,0.3,0.5})/SUMPRODUCT((Y78:AA78&lt;&gt;"")*{0.2,0.3,0.5}),O78)</f>
        <v>3.8269509058226121</v>
      </c>
      <c r="AE78">
        <f t="shared" si="31"/>
        <v>3</v>
      </c>
      <c r="AF78">
        <f t="shared" si="32"/>
        <v>88.666666666666671</v>
      </c>
      <c r="AG78">
        <f t="shared" si="33"/>
        <v>0.11047096115281334</v>
      </c>
      <c r="AH78">
        <f t="shared" si="34"/>
        <v>0.10152806194473661</v>
      </c>
      <c r="AI78" s="2">
        <f t="shared" si="35"/>
        <v>7.6337211026598952</v>
      </c>
      <c r="AJ78">
        <f t="shared" si="36"/>
        <v>0.88666666666666671</v>
      </c>
      <c r="AK78" t="str">
        <f t="shared" si="37"/>
        <v>NO</v>
      </c>
      <c r="AL78">
        <f t="shared" si="38"/>
        <v>0.11047096115281334</v>
      </c>
      <c r="AM78">
        <f t="shared" si="39"/>
        <v>0.10152806194473661</v>
      </c>
      <c r="AN78">
        <f t="shared" si="40"/>
        <v>0.11047096115281334</v>
      </c>
      <c r="AO78">
        <f t="shared" si="41"/>
        <v>0.10152806194473661</v>
      </c>
      <c r="AP78">
        <f t="array" ref="AP78">AL78*IF($C78="GKP",10,IF($C78="DEF",6,IF($C78="MID",5,4)))</f>
        <v>0.5523548057640667</v>
      </c>
      <c r="AQ78">
        <f t="shared" si="42"/>
        <v>0.30458418583420982</v>
      </c>
      <c r="AR78">
        <f t="shared" si="43"/>
        <v>2</v>
      </c>
      <c r="AS78" s="2">
        <f>IF($H78=0,0,Player_Analysis!$AM78*$H78/90)</f>
        <v>0.33333333333333331</v>
      </c>
      <c r="AT78">
        <f t="shared" si="44"/>
        <v>2.0864661654135337</v>
      </c>
      <c r="AU78" s="2">
        <f>0</f>
        <v>0</v>
      </c>
      <c r="AV78" s="2">
        <f>IF(INDEX(FPL_Raw_Data!K:K,MATCH(A78,FPL_Raw_Data!AA:AA,0))=0,"",INDEX(FPL_Raw_Data!P:P,MATCH(A78,FPL_Raw_Data!AA:AA,0))/INDEX(FPL_Raw_Data!K:K,MATCH(A78,FPL_Raw_Data!AA:AA,0))*90)</f>
        <v>0</v>
      </c>
      <c r="AW78" s="2">
        <f t="shared" si="45"/>
        <v>0</v>
      </c>
      <c r="AX78" s="2">
        <f>IFERROR(INDEX(TEAM_ANALYSIS!$H$2:$H$21,MATCH($B78,TEAM_ANALYSIS!$A$2:$A$21,0)),0)</f>
        <v>1.6666666666666667</v>
      </c>
      <c r="AY78" s="2">
        <f t="shared" si="46"/>
        <v>0</v>
      </c>
      <c r="AZ78" s="2">
        <f t="shared" si="47"/>
        <v>5.276738490345144</v>
      </c>
      <c r="BA78">
        <f t="shared" si="48"/>
        <v>0.87945641505752403</v>
      </c>
      <c r="BB78">
        <f>IFERROR(Player_Analysis!$Y78,1)</f>
        <v>0.95673010380622836</v>
      </c>
      <c r="BC78">
        <f t="shared" si="49"/>
        <v>5.0484145636262303</v>
      </c>
      <c r="BD78">
        <f t="shared" si="50"/>
        <v>4.4398605738509191</v>
      </c>
      <c r="BE78">
        <f t="shared" si="51"/>
        <v>5.0484145636262303</v>
      </c>
      <c r="BF78">
        <f t="shared" si="52"/>
        <v>89</v>
      </c>
      <c r="BG78">
        <f>IF($BE78="","",COUNTIFS($C$2:$C$596,$C78,$BE$2:$BE$596,"&gt;"&amp;$BE78)+COUNTIFS($C$2:$C78,$C78,$BE$2:$BE78,$BE78))</f>
        <v>42</v>
      </c>
    </row>
    <row r="79" spans="1:59" x14ac:dyDescent="0.25">
      <c r="A79" t="str">
        <f>Player_Analysis!A79</f>
        <v>Justin Kluivert</v>
      </c>
      <c r="B79">
        <f>Player_Analysis!C79</f>
        <v>3</v>
      </c>
      <c r="C79" t="str">
        <f>Player_Analysis!B79</f>
        <v>MID</v>
      </c>
      <c r="D79" s="13">
        <f>Player_Analysis!E79</f>
        <v>6</v>
      </c>
      <c r="E79">
        <f>Player_Analysis!I79</f>
        <v>229</v>
      </c>
      <c r="F79" s="8">
        <f>Player_Analysis!Z79</f>
        <v>3</v>
      </c>
      <c r="G79" s="17">
        <f t="shared" si="27"/>
        <v>1</v>
      </c>
      <c r="H79">
        <f t="shared" si="28"/>
        <v>90</v>
      </c>
      <c r="I79" s="8">
        <f>Player_Analysis!AF79</f>
        <v>0</v>
      </c>
      <c r="J79" s="8">
        <f>Player_Analysis!AG79</f>
        <v>0</v>
      </c>
      <c r="K79">
        <f>Player_Analysis!O79</f>
        <v>0.78</v>
      </c>
      <c r="L79">
        <f>Player_Analysis!P79</f>
        <v>0.06</v>
      </c>
      <c r="M79">
        <f t="shared" si="29"/>
        <v>0.30655021834061136</v>
      </c>
      <c r="N79">
        <f t="shared" si="30"/>
        <v>2.3580786026200874E-2</v>
      </c>
      <c r="O79" s="2">
        <f>IF(E79=0,"",Player_Analysis!L79/E79*90)</f>
        <v>2.7510917030567685</v>
      </c>
      <c r="P79">
        <f>IF(E79=0,"",Player_Analysis!Q79/E79*90)</f>
        <v>0.3301310043668122</v>
      </c>
      <c r="Q79">
        <f>IF(E79=0,"",(Player_Analysis!AD79/E79)*90)</f>
        <v>12.969432314410481</v>
      </c>
      <c r="R79">
        <f>IF(E79=0,"",Player_Analysis!AA79/E79*90)</f>
        <v>7.0742358078602621</v>
      </c>
      <c r="S79">
        <f t="array" ref="S79">IFERROR(INDEX('2023_24'!$O:$O,MATCH($A79,'2023_24'!$A:$A,0)),"")</f>
        <v>0.27141361256544499</v>
      </c>
      <c r="T79">
        <f>IFERROR(INDEX('2024_25'!$P:$P,MATCH($A79,'2024_25'!$A:$A,0)),"")</f>
        <v>0.38670371953826427</v>
      </c>
      <c r="U79">
        <f>IFERROR(INDEX('2025_26'!$P:$P,MATCH($A79,'2025_26'!$A:$A,0)),"")</f>
        <v>0.22</v>
      </c>
      <c r="V79">
        <f>IFERROR(INDEX('2023_24'!$P:$P,MATCH($A79,'2023_24'!$A:$A,0)),"")</f>
        <v>7.9162303664921468E-2</v>
      </c>
      <c r="W79">
        <f>IFERROR(INDEX('2024_25'!$Q:$Q,MATCH($A79,'2024_25'!$A:$A,0)),"")</f>
        <v>0.14082941427960669</v>
      </c>
      <c r="X79">
        <f>IFERROR(INDEX('2025_26'!$Q:$Q,MATCH($A79,'2025_26'!$A:$A,0)),"")</f>
        <v>0.14761904761904762</v>
      </c>
      <c r="Y79">
        <f>IFERROR(INDEX('2023_24'!$M:$M,MATCH($A79,'2023_24'!$A:$A,0))/INDEX('2023_24'!$G:$G,MATCH($A79,'2023_24'!$A:$A,0))*90,"")</f>
        <v>4.7120418848167542</v>
      </c>
      <c r="Z79">
        <f>IFERROR(INDEX('2024_25'!$M:$M,MATCH($A79,'2024_25'!$A:$A,0))/INDEX('2024_25'!$G:$G,MATCH($A79,'2024_25'!$A:$A,0))*90,"")</f>
        <v>6.0795211628901242</v>
      </c>
      <c r="AA79">
        <f>IFERROR(INDEX('2025_26'!$M:$M,MATCH($A79,'2025_26'!$A:$A,0))/INDEX('2025_26'!$G:$G,MATCH($A79,'2025_26'!$A:$A,0))*90,"")</f>
        <v>3.9047619047619051</v>
      </c>
      <c r="AB79">
        <f>IFERROR(SUMPRODUCT(S79:U79,{0.2,0.3,0.5})/SUMPRODUCT(--(S79:U79&lt;&gt;""),{0.2,0.3,0.5}),"")</f>
        <v>0.28029383837456828</v>
      </c>
      <c r="AC79">
        <f>IFERROR(SUMPRODUCT(V79:X79,{0.2,0.3,0.5})/SUMPRODUCT(--(V79:X79&lt;&gt;""),{0.2,0.3,0.5}),"")</f>
        <v>0.13189080882639009</v>
      </c>
      <c r="AD79">
        <f>IFERROR(SUMPRODUCT(Y79:AA79,{0.2,0.3,0.5})/SUMPRODUCT((Y79:AA79&lt;&gt;"")*{0.2,0.3,0.5}),O79)</f>
        <v>4.7186456782113408</v>
      </c>
      <c r="AE79">
        <f t="shared" si="31"/>
        <v>3</v>
      </c>
      <c r="AF79">
        <f t="shared" si="32"/>
        <v>76.333333333333329</v>
      </c>
      <c r="AG79">
        <f t="shared" si="33"/>
        <v>0.3003362084153145</v>
      </c>
      <c r="AH79">
        <f t="shared" si="34"/>
        <v>4.9214158088912323E-2</v>
      </c>
      <c r="AI79" s="2">
        <f t="shared" si="35"/>
        <v>3.2167461438433511</v>
      </c>
      <c r="AJ79">
        <f t="shared" si="36"/>
        <v>0.76333333333333331</v>
      </c>
      <c r="AK79" t="str">
        <f t="shared" si="37"/>
        <v>NO</v>
      </c>
      <c r="AL79">
        <f t="shared" si="38"/>
        <v>0.3003362084153145</v>
      </c>
      <c r="AM79">
        <f t="shared" si="39"/>
        <v>4.9214158088912323E-2</v>
      </c>
      <c r="AN79">
        <f t="shared" si="40"/>
        <v>0.3003362084153145</v>
      </c>
      <c r="AO79">
        <f t="shared" si="41"/>
        <v>4.9214158088912323E-2</v>
      </c>
      <c r="AP79">
        <f t="array" ref="AP79">AL79*IF($C79="GKP",10,IF($C79="DEF",6,IF($C79="MID",5,4)))</f>
        <v>1.5016810420765725</v>
      </c>
      <c r="AQ79">
        <f t="shared" si="42"/>
        <v>0.14764247426673696</v>
      </c>
      <c r="AR79">
        <f t="shared" si="43"/>
        <v>2</v>
      </c>
      <c r="AS79" s="2">
        <f>IF($H79=0,0,Player_Analysis!$AM79*$H79/90)</f>
        <v>0.66666666666666663</v>
      </c>
      <c r="AT79">
        <f t="shared" si="44"/>
        <v>1.1790393013100438</v>
      </c>
      <c r="AU79" s="2">
        <f>0</f>
        <v>0</v>
      </c>
      <c r="AV79" s="2">
        <f>IF(INDEX(FPL_Raw_Data!K:K,MATCH(A79,FPL_Raw_Data!AA:AA,0))=0,"",INDEX(FPL_Raw_Data!P:P,MATCH(A79,FPL_Raw_Data!AA:AA,0))/INDEX(FPL_Raw_Data!K:K,MATCH(A79,FPL_Raw_Data!AA:AA,0))*90)</f>
        <v>0</v>
      </c>
      <c r="AW79" s="2">
        <f t="shared" si="45"/>
        <v>0</v>
      </c>
      <c r="AX79" s="2">
        <f>IFERROR(INDEX(TEAM_ANALYSIS!$H$2:$H$21,MATCH($B79,TEAM_ANALYSIS!$A$2:$A$21,0)),0)</f>
        <v>1.6666666666666667</v>
      </c>
      <c r="AY79" s="2">
        <f t="shared" si="46"/>
        <v>0</v>
      </c>
      <c r="AZ79" s="2">
        <f t="shared" si="47"/>
        <v>5.4950294843200203</v>
      </c>
      <c r="BA79">
        <f t="shared" si="48"/>
        <v>0.91583824738667008</v>
      </c>
      <c r="BB79">
        <f>IFERROR(Player_Analysis!$Y79,1)</f>
        <v>0.95673010380622836</v>
      </c>
      <c r="BC79">
        <f t="shared" si="49"/>
        <v>5.2572601289517786</v>
      </c>
      <c r="BD79">
        <f t="shared" si="50"/>
        <v>4.8147999025550163</v>
      </c>
      <c r="BE79">
        <f t="shared" si="51"/>
        <v>5.2572601289517786</v>
      </c>
      <c r="BF79">
        <f t="shared" si="52"/>
        <v>79</v>
      </c>
      <c r="BG79">
        <f>IF($BE79="","",COUNTIFS($C$2:$C$596,$C79,$BE$2:$BE$596,"&gt;"&amp;$BE79)+COUNTIFS($C$2:$C79,$C79,$BE$2:$BE79,$BE79))</f>
        <v>37</v>
      </c>
    </row>
    <row r="80" spans="1:59" x14ac:dyDescent="0.25">
      <c r="A80" t="str">
        <f>Player_Analysis!A80</f>
        <v>Lewis Cook</v>
      </c>
      <c r="B80">
        <f>Player_Analysis!C80</f>
        <v>3</v>
      </c>
      <c r="C80" t="str">
        <f>Player_Analysis!B80</f>
        <v>MID</v>
      </c>
      <c r="D80" s="13">
        <f>Player_Analysis!E80</f>
        <v>5</v>
      </c>
      <c r="E80">
        <f>Player_Analysis!I80</f>
        <v>157</v>
      </c>
      <c r="F80" s="8">
        <f>Player_Analysis!Z80</f>
        <v>2</v>
      </c>
      <c r="G80" s="17">
        <f t="shared" si="27"/>
        <v>1</v>
      </c>
      <c r="H80">
        <f t="shared" si="28"/>
        <v>90</v>
      </c>
      <c r="I80" s="8">
        <f>Player_Analysis!AF80</f>
        <v>0</v>
      </c>
      <c r="J80" s="8">
        <f>Player_Analysis!AG80</f>
        <v>0</v>
      </c>
      <c r="K80">
        <f>Player_Analysis!O80</f>
        <v>0</v>
      </c>
      <c r="L80">
        <f>Player_Analysis!P80</f>
        <v>0.01</v>
      </c>
      <c r="M80">
        <f t="shared" si="29"/>
        <v>0</v>
      </c>
      <c r="N80">
        <f t="shared" si="30"/>
        <v>5.7324840764331215E-3</v>
      </c>
      <c r="O80" s="2">
        <f>IF(E80=0,"",Player_Analysis!L80/E80*90)</f>
        <v>4.0127388535031843</v>
      </c>
      <c r="P80">
        <f>IF(E80=0,"",Player_Analysis!Q80/E80*90)</f>
        <v>5.7324840764331215E-3</v>
      </c>
      <c r="Q80">
        <f>IF(E80=0,"",(Player_Analysis!AD80/E80)*90)</f>
        <v>13.184713375796179</v>
      </c>
      <c r="R80">
        <f>IF(E80=0,"",Player_Analysis!AA80/E80*90)</f>
        <v>5.7324840764331206</v>
      </c>
      <c r="S80">
        <f t="array" ref="S80">IFERROR(INDEX('2023_24'!$O:$O,MATCH($A80,'2023_24'!$A:$A,0)),"")</f>
        <v>1.3562970936490849E-2</v>
      </c>
      <c r="T80">
        <f>IFERROR(INDEX('2024_25'!$P:$P,MATCH($A80,'2024_25'!$A:$A,0)),"")</f>
        <v>2.8427419354838709E-2</v>
      </c>
      <c r="U80">
        <f>IFERROR(INDEX('2025_26'!$P:$P,MATCH($A80,'2025_26'!$A:$A,0)),"")</f>
        <v>7.2247706422018361E-3</v>
      </c>
      <c r="V80">
        <f>IFERROR(INDEX('2023_24'!$P:$P,MATCH($A80,'2023_24'!$A:$A,0)),"")</f>
        <v>9.4294940796555426E-2</v>
      </c>
      <c r="W80">
        <f>IFERROR(INDEX('2024_25'!$Q:$Q,MATCH($A80,'2024_25'!$A:$A,0)),"")</f>
        <v>0.11370967741935484</v>
      </c>
      <c r="X80">
        <f>IFERROR(INDEX('2025_26'!$Q:$Q,MATCH($A80,'2025_26'!$A:$A,0)),"")</f>
        <v>5.3669724770642205E-2</v>
      </c>
      <c r="Y80">
        <f>IFERROR(INDEX('2023_24'!$M:$M,MATCH($A80,'2023_24'!$A:$A,0))/INDEX('2023_24'!$G:$G,MATCH($A80,'2023_24'!$A:$A,0))*90,"")</f>
        <v>2.4865446716899893</v>
      </c>
      <c r="Z80">
        <f>IFERROR(INDEX('2024_25'!$M:$M,MATCH($A80,'2024_25'!$A:$A,0))/INDEX('2024_25'!$G:$G,MATCH($A80,'2024_25'!$A:$A,0))*90,"")</f>
        <v>2.4798387096774195</v>
      </c>
      <c r="AA80">
        <f>IFERROR(INDEX('2025_26'!$M:$M,MATCH($A80,'2025_26'!$A:$A,0))/INDEX('2025_26'!$G:$G,MATCH($A80,'2025_26'!$A:$A,0))*90,"")</f>
        <v>4.1284403669724776</v>
      </c>
      <c r="AB80">
        <f>IFERROR(SUMPRODUCT(S80:U80,{0.2,0.3,0.5})/SUMPRODUCT(--(S80:U80&lt;&gt;""),{0.2,0.3,0.5}),"")</f>
        <v>1.4853205314850701E-2</v>
      </c>
      <c r="AC80">
        <f>IFERROR(SUMPRODUCT(V80:X80,{0.2,0.3,0.5})/SUMPRODUCT(--(V80:X80&lt;&gt;""),{0.2,0.3,0.5}),"")</f>
        <v>7.9806753770438638E-2</v>
      </c>
      <c r="AD80">
        <f>IFERROR(SUMPRODUCT(Y80:AA80,{0.2,0.3,0.5})/SUMPRODUCT((Y80:AA80&lt;&gt;"")*{0.2,0.3,0.5}),O80)</f>
        <v>3.3054807307274627</v>
      </c>
      <c r="AE80">
        <f t="shared" si="31"/>
        <v>3</v>
      </c>
      <c r="AF80">
        <f t="shared" si="32"/>
        <v>78.5</v>
      </c>
      <c r="AG80">
        <f t="shared" si="33"/>
        <v>7.0800278667455009E-3</v>
      </c>
      <c r="AH80">
        <f t="shared" si="34"/>
        <v>4.1041219297242422E-2</v>
      </c>
      <c r="AI80" s="2">
        <f t="shared" si="35"/>
        <v>3.6756124816467572</v>
      </c>
      <c r="AJ80">
        <f t="shared" si="36"/>
        <v>0.52333333333333332</v>
      </c>
      <c r="AK80" t="str">
        <f t="shared" si="37"/>
        <v>NO</v>
      </c>
      <c r="AL80">
        <f t="shared" si="38"/>
        <v>7.0800278667455009E-3</v>
      </c>
      <c r="AM80">
        <f t="shared" si="39"/>
        <v>4.1041219297242422E-2</v>
      </c>
      <c r="AN80">
        <f t="shared" si="40"/>
        <v>7.0800278667455009E-3</v>
      </c>
      <c r="AO80">
        <f t="shared" si="41"/>
        <v>4.1041219297242422E-2</v>
      </c>
      <c r="AP80">
        <f t="array" ref="AP80">AL80*IF($C80="GKP",10,IF($C80="DEF",6,IF($C80="MID",5,4)))</f>
        <v>3.5400139333727501E-2</v>
      </c>
      <c r="AQ80">
        <f t="shared" si="42"/>
        <v>0.12312365789172727</v>
      </c>
      <c r="AR80">
        <f t="shared" si="43"/>
        <v>2</v>
      </c>
      <c r="AS80" s="2">
        <f>IF($H80=0,0,Player_Analysis!$AM80*$H80/90)</f>
        <v>1</v>
      </c>
      <c r="AT80">
        <f t="shared" si="44"/>
        <v>0.9554140127388534</v>
      </c>
      <c r="AU80" s="2">
        <f>0</f>
        <v>0</v>
      </c>
      <c r="AV80" s="2">
        <f>IF(INDEX(FPL_Raw_Data!K:K,MATCH(A80,FPL_Raw_Data!AA:AA,0))=0,"",INDEX(FPL_Raw_Data!P:P,MATCH(A80,FPL_Raw_Data!AA:AA,0))/INDEX(FPL_Raw_Data!K:K,MATCH(A80,FPL_Raw_Data!AA:AA,0))*90)</f>
        <v>0</v>
      </c>
      <c r="AW80" s="2">
        <f t="shared" si="45"/>
        <v>0</v>
      </c>
      <c r="AX80" s="2">
        <f>IFERROR(INDEX(TEAM_ANALYSIS!$H$2:$H$21,MATCH($B80,TEAM_ANALYSIS!$A$2:$A$21,0)),0)</f>
        <v>1.6666666666666667</v>
      </c>
      <c r="AY80" s="2">
        <f t="shared" si="46"/>
        <v>0</v>
      </c>
      <c r="AZ80" s="2">
        <f t="shared" si="47"/>
        <v>4.113937809964308</v>
      </c>
      <c r="BA80">
        <f t="shared" si="48"/>
        <v>0.82278756199286163</v>
      </c>
      <c r="BB80">
        <f>IFERROR(Player_Analysis!$Y80,1)</f>
        <v>0.95673010380622836</v>
      </c>
      <c r="BC80">
        <f t="shared" si="49"/>
        <v>3.9359281479795203</v>
      </c>
      <c r="BD80">
        <f t="shared" si="50"/>
        <v>3.2384327250551488</v>
      </c>
      <c r="BE80">
        <f t="shared" si="51"/>
        <v>3.9359281479795203</v>
      </c>
      <c r="BF80">
        <f t="shared" si="52"/>
        <v>157</v>
      </c>
      <c r="BG80">
        <f>IF($BE80="","",COUNTIFS($C$2:$C$596,$C80,$BE$2:$BE$596,"&gt;"&amp;$BE80)+COUNTIFS($C$2:$C80,$C80,$BE$2:$BE80,$BE80))</f>
        <v>79</v>
      </c>
    </row>
    <row r="81" spans="1:59" x14ac:dyDescent="0.25">
      <c r="A81" t="str">
        <f>Player_Analysis!A81</f>
        <v>Ben Gannon-Doak</v>
      </c>
      <c r="B81">
        <f>Player_Analysis!C81</f>
        <v>3</v>
      </c>
      <c r="C81" t="str">
        <f>Player_Analysis!B81</f>
        <v>MID</v>
      </c>
      <c r="D81" s="13">
        <f>Player_Analysis!E81</f>
        <v>4.9000000000000004</v>
      </c>
      <c r="E81">
        <f>Player_Analysis!I81</f>
        <v>2</v>
      </c>
      <c r="F81" s="8">
        <f>Player_Analysis!Z81</f>
        <v>0</v>
      </c>
      <c r="G81" s="17">
        <f t="shared" si="27"/>
        <v>0</v>
      </c>
      <c r="H81">
        <f t="shared" si="28"/>
        <v>0</v>
      </c>
      <c r="I81" s="8">
        <f>Player_Analysis!AF81</f>
        <v>0</v>
      </c>
      <c r="J81" s="8">
        <f>Player_Analysis!AG81</f>
        <v>0</v>
      </c>
      <c r="K81">
        <f>Player_Analysis!O81</f>
        <v>0.02</v>
      </c>
      <c r="L81">
        <f>Player_Analysis!P81</f>
        <v>0</v>
      </c>
      <c r="M81">
        <f t="shared" si="29"/>
        <v>0.9</v>
      </c>
      <c r="N81">
        <f t="shared" si="30"/>
        <v>0</v>
      </c>
      <c r="O81" s="2">
        <f>IF(E81=0,"",Player_Analysis!L81/E81*90)</f>
        <v>90</v>
      </c>
      <c r="P81">
        <f>IF(E81=0,"",Player_Analysis!Q81/E81*90)</f>
        <v>0.9</v>
      </c>
      <c r="Q81">
        <f>IF(E81=0,"",(Player_Analysis!AD81/E81)*90)</f>
        <v>270</v>
      </c>
      <c r="R81">
        <f>IF(E81=0,"",Player_Analysis!AA81/E81*90)</f>
        <v>135</v>
      </c>
      <c r="S81" t="str">
        <f t="array" ref="S81">IFERROR(INDEX('2023_24'!$O:$O,MATCH($A81,'2023_24'!$A:$A,0)),"")</f>
        <v/>
      </c>
      <c r="T81" t="str">
        <f>IFERROR(INDEX('2024_25'!$P:$P,MATCH($A81,'2024_25'!$A:$A,0)),"")</f>
        <v/>
      </c>
      <c r="U81">
        <f>IFERROR(INDEX('2025_26'!$P:$P,MATCH($A81,'2025_26'!$A:$A,0)),"")</f>
        <v>0.22285714285714289</v>
      </c>
      <c r="V81" t="str">
        <f>IFERROR(INDEX('2023_24'!$P:$P,MATCH($A81,'2023_24'!$A:$A,0)),"")</f>
        <v/>
      </c>
      <c r="W81" t="str">
        <f>IFERROR(INDEX('2024_25'!$Q:$Q,MATCH($A81,'2024_25'!$A:$A,0)),"")</f>
        <v/>
      </c>
      <c r="X81">
        <f>IFERROR(INDEX('2025_26'!$Q:$Q,MATCH($A81,'2025_26'!$A:$A,0)),"")</f>
        <v>0.11142857142857145</v>
      </c>
      <c r="Y81" t="str">
        <f>IFERROR(INDEX('2023_24'!$M:$M,MATCH($A81,'2023_24'!$A:$A,0))/INDEX('2023_24'!$G:$G,MATCH($A81,'2023_24'!$A:$A,0))*90,"")</f>
        <v/>
      </c>
      <c r="Z81" t="str">
        <f>IFERROR(INDEX('2024_25'!$M:$M,MATCH($A81,'2024_25'!$A:$A,0))/INDEX('2024_25'!$G:$G,MATCH($A81,'2024_25'!$A:$A,0))*90,"")</f>
        <v/>
      </c>
      <c r="AA81">
        <f>IFERROR(INDEX('2025_26'!$M:$M,MATCH($A81,'2025_26'!$A:$A,0))/INDEX('2025_26'!$G:$G,MATCH($A81,'2025_26'!$A:$A,0))*90,"")</f>
        <v>9.4285714285714288</v>
      </c>
      <c r="AB81">
        <f>IFERROR(SUMPRODUCT(S81:U81,{0.2,0.3,0.5})/SUMPRODUCT(--(S81:U81&lt;&gt;""),{0.2,0.3,0.5}),"")</f>
        <v>0.22285714285714289</v>
      </c>
      <c r="AC81">
        <f>IFERROR(SUMPRODUCT(V81:X81,{0.2,0.3,0.5})/SUMPRODUCT(--(V81:X81&lt;&gt;""),{0.2,0.3,0.5}),"")</f>
        <v>0.11142857142857145</v>
      </c>
      <c r="AD81">
        <f>IFERROR(SUMPRODUCT(Y81:AA81,{0.2,0.3,0.5})/SUMPRODUCT((Y81:AA81&lt;&gt;"")*{0.2,0.3,0.5}),O81)</f>
        <v>9.4285714285714288</v>
      </c>
      <c r="AE81">
        <f t="shared" si="31"/>
        <v>1</v>
      </c>
      <c r="AF81" t="str">
        <f t="shared" si="32"/>
        <v/>
      </c>
      <c r="AG81">
        <f t="shared" si="33"/>
        <v>0.22737142857142861</v>
      </c>
      <c r="AH81">
        <f t="shared" si="34"/>
        <v>0.1106857142857143</v>
      </c>
      <c r="AI81" s="2">
        <f t="shared" si="35"/>
        <v>9.9657142857142844</v>
      </c>
      <c r="AJ81">
        <f t="shared" si="36"/>
        <v>6.6666666666666671E-3</v>
      </c>
      <c r="AK81" t="str">
        <f t="shared" si="37"/>
        <v>NO</v>
      </c>
      <c r="AL81">
        <f t="shared" si="38"/>
        <v>0</v>
      </c>
      <c r="AM81">
        <f t="shared" si="39"/>
        <v>0</v>
      </c>
      <c r="AN81">
        <f t="shared" si="40"/>
        <v>0</v>
      </c>
      <c r="AO81">
        <f t="shared" si="41"/>
        <v>0</v>
      </c>
      <c r="AP81">
        <f t="array" ref="AP81">AL81*IF($C81="GKP",10,IF($C81="DEF",6,IF($C81="MID",5,4)))</f>
        <v>0</v>
      </c>
      <c r="AQ81">
        <f t="shared" si="42"/>
        <v>0</v>
      </c>
      <c r="AR81">
        <f t="shared" si="43"/>
        <v>0</v>
      </c>
      <c r="AS81" s="2">
        <f>IF($H81=0,0,Player_Analysis!$AM81*$H81/90)</f>
        <v>0</v>
      </c>
      <c r="AT81">
        <f t="shared" si="44"/>
        <v>0</v>
      </c>
      <c r="AU81" s="2">
        <f>0</f>
        <v>0</v>
      </c>
      <c r="AV81" s="2">
        <f>IF(INDEX(FPL_Raw_Data!K:K,MATCH(A81,FPL_Raw_Data!AA:AA,0))=0,"",INDEX(FPL_Raw_Data!P:P,MATCH(A81,FPL_Raw_Data!AA:AA,0))/INDEX(FPL_Raw_Data!K:K,MATCH(A81,FPL_Raw_Data!AA:AA,0))*90)</f>
        <v>0</v>
      </c>
      <c r="AW81" s="2">
        <f t="shared" si="45"/>
        <v>0</v>
      </c>
      <c r="AX81" s="2">
        <f>IFERROR(INDEX(TEAM_ANALYSIS!$H$2:$H$21,MATCH($B81,TEAM_ANALYSIS!$A$2:$A$21,0)),0)</f>
        <v>1.6666666666666667</v>
      </c>
      <c r="AY81" s="2">
        <f t="shared" si="46"/>
        <v>0</v>
      </c>
      <c r="AZ81" s="2">
        <f t="shared" si="47"/>
        <v>0</v>
      </c>
      <c r="BA81">
        <f t="shared" si="48"/>
        <v>0</v>
      </c>
      <c r="BB81">
        <f>IFERROR(Player_Analysis!$Y81,1)</f>
        <v>0.95673010380622836</v>
      </c>
      <c r="BC81">
        <f t="shared" si="49"/>
        <v>0</v>
      </c>
      <c r="BD81">
        <f t="shared" si="50"/>
        <v>0</v>
      </c>
      <c r="BE81">
        <f t="shared" si="51"/>
        <v>0</v>
      </c>
      <c r="BF81">
        <f t="shared" si="52"/>
        <v>253</v>
      </c>
      <c r="BG81">
        <f>IF($BE81="","",COUNTIFS($C$2:$C$596,$C81,$BE$2:$BE$596,"&gt;"&amp;$BE81)+COUNTIFS($C$2:$C81,$C81,$BE$2:$BE81,$BE81))</f>
        <v>132</v>
      </c>
    </row>
    <row r="82" spans="1:59" x14ac:dyDescent="0.25">
      <c r="A82" t="str">
        <f>Player_Analysis!A82</f>
        <v>Tyler Adams</v>
      </c>
      <c r="B82">
        <f>Player_Analysis!C82</f>
        <v>3</v>
      </c>
      <c r="C82" t="str">
        <f>Player_Analysis!B82</f>
        <v>MID</v>
      </c>
      <c r="D82" s="13">
        <f>Player_Analysis!E82</f>
        <v>5</v>
      </c>
      <c r="E82">
        <f>Player_Analysis!I82</f>
        <v>111</v>
      </c>
      <c r="F82" s="8">
        <f>Player_Analysis!Z82</f>
        <v>1</v>
      </c>
      <c r="G82" s="17">
        <f t="shared" si="27"/>
        <v>0.81081081081081074</v>
      </c>
      <c r="H82">
        <f t="shared" si="28"/>
        <v>72.972972972972968</v>
      </c>
      <c r="I82" s="8">
        <f>Player_Analysis!AF82</f>
        <v>0</v>
      </c>
      <c r="J82" s="8">
        <f>Player_Analysis!AG82</f>
        <v>0</v>
      </c>
      <c r="K82">
        <f>Player_Analysis!O82</f>
        <v>0</v>
      </c>
      <c r="L82">
        <f>Player_Analysis!P82</f>
        <v>0.01</v>
      </c>
      <c r="M82">
        <f t="shared" si="29"/>
        <v>0</v>
      </c>
      <c r="N82">
        <f t="shared" si="30"/>
        <v>8.1081081081081086E-3</v>
      </c>
      <c r="O82" s="2">
        <f>IF(E82=0,"",Player_Analysis!L82/E82*90)</f>
        <v>4.8648648648648649</v>
      </c>
      <c r="P82">
        <f>IF(E82=0,"",Player_Analysis!Q82/E82*90)</f>
        <v>8.1081081081081086E-3</v>
      </c>
      <c r="Q82">
        <f>IF(E82=0,"",(Player_Analysis!AD82/E82)*90)</f>
        <v>18.648648648648649</v>
      </c>
      <c r="R82">
        <f>IF(E82=0,"",Player_Analysis!AA82/E82*90)</f>
        <v>14.594594594594595</v>
      </c>
      <c r="S82">
        <f t="array" ref="S82">IFERROR(INDEX('2023_24'!$O:$O,MATCH($A82,'2023_24'!$A:$A,0)),"")</f>
        <v>0</v>
      </c>
      <c r="T82">
        <f>IFERROR(INDEX('2024_25'!$P:$P,MATCH($A82,'2024_25'!$A:$A,0)),"")</f>
        <v>6.1102603369065853E-2</v>
      </c>
      <c r="U82">
        <f>IFERROR(INDEX('2025_26'!$P:$P,MATCH($A82,'2025_26'!$A:$A,0)),"")</f>
        <v>3.20520067834935E-2</v>
      </c>
      <c r="V82">
        <f>IFERROR(INDEX('2023_24'!$P:$P,MATCH($A82,'2023_24'!$A:$A,0)),"")</f>
        <v>2.288135593220339E-2</v>
      </c>
      <c r="W82">
        <f>IFERROR(INDEX('2024_25'!$Q:$Q,MATCH($A82,'2024_25'!$A:$A,0)),"")</f>
        <v>3.4915773353751914E-2</v>
      </c>
      <c r="X82">
        <f>IFERROR(INDEX('2025_26'!$Q:$Q,MATCH($A82,'2025_26'!$A:$A,0)),"")</f>
        <v>3.20520067834935E-2</v>
      </c>
      <c r="Y82">
        <f>IFERROR(INDEX('2023_24'!$M:$M,MATCH($A82,'2023_24'!$A:$A,0))/INDEX('2023_24'!$G:$G,MATCH($A82,'2023_24'!$A:$A,0))*90,"")</f>
        <v>3.8135593220338979</v>
      </c>
      <c r="Z82">
        <f>IFERROR(INDEX('2024_25'!$M:$M,MATCH($A82,'2024_25'!$A:$A,0))/INDEX('2024_25'!$G:$G,MATCH($A82,'2024_25'!$A:$A,0))*90,"")</f>
        <v>2.664624808575804</v>
      </c>
      <c r="AA82">
        <f>IFERROR(INDEX('2025_26'!$M:$M,MATCH($A82,'2025_26'!$A:$A,0))/INDEX('2025_26'!$G:$G,MATCH($A82,'2025_26'!$A:$A,0))*90,"")</f>
        <v>3.9174674957603162</v>
      </c>
      <c r="AB82">
        <f>IFERROR(SUMPRODUCT(S82:U82,{0.2,0.3,0.5})/SUMPRODUCT(--(S82:U82&lt;&gt;""),{0.2,0.3,0.5}),"")</f>
        <v>3.4356784402466506E-2</v>
      </c>
      <c r="AC82">
        <f>IFERROR(SUMPRODUCT(V82:X82,{0.2,0.3,0.5})/SUMPRODUCT(--(V82:X82&lt;&gt;""),{0.2,0.3,0.5}),"")</f>
        <v>3.1077006584313002E-2</v>
      </c>
      <c r="AD82">
        <f>IFERROR(SUMPRODUCT(Y82:AA82,{0.2,0.3,0.5})/SUMPRODUCT((Y82:AA82&lt;&gt;"")*{0.2,0.3,0.5}),O82)</f>
        <v>3.5208330548596791</v>
      </c>
      <c r="AE82">
        <f t="shared" si="31"/>
        <v>3</v>
      </c>
      <c r="AF82">
        <f t="shared" si="32"/>
        <v>111</v>
      </c>
      <c r="AG82">
        <f t="shared" si="33"/>
        <v>2.1644774173553899E-2</v>
      </c>
      <c r="AH82">
        <f t="shared" si="34"/>
        <v>2.257851414811719E-2</v>
      </c>
      <c r="AI82" s="2">
        <f t="shared" si="35"/>
        <v>4.0181248245615979</v>
      </c>
      <c r="AJ82">
        <f t="shared" si="36"/>
        <v>0.37</v>
      </c>
      <c r="AK82" t="str">
        <f t="shared" si="37"/>
        <v>NO</v>
      </c>
      <c r="AL82">
        <f t="shared" si="38"/>
        <v>1.7549816897476131E-2</v>
      </c>
      <c r="AM82">
        <f t="shared" si="39"/>
        <v>1.8306903363338258E-2</v>
      </c>
      <c r="AN82">
        <f t="shared" si="40"/>
        <v>1.7549816897476131E-2</v>
      </c>
      <c r="AO82">
        <f t="shared" si="41"/>
        <v>1.8306903363338258E-2</v>
      </c>
      <c r="AP82">
        <f t="array" ref="AP82">AL82*IF($C82="GKP",10,IF($C82="DEF",6,IF($C82="MID",5,4)))</f>
        <v>8.7749084487380655E-2</v>
      </c>
      <c r="AQ82">
        <f t="shared" si="42"/>
        <v>5.4920710090014771E-2</v>
      </c>
      <c r="AR82">
        <f t="shared" si="43"/>
        <v>1.6216216216216215</v>
      </c>
      <c r="AS82" s="2">
        <f>IF($H82=0,0,Player_Analysis!$AM82*$H82/90)</f>
        <v>0</v>
      </c>
      <c r="AT82">
        <f t="shared" si="44"/>
        <v>1.972242512783053</v>
      </c>
      <c r="AU82" s="2">
        <f>0</f>
        <v>0</v>
      </c>
      <c r="AV82" s="2">
        <f>IF(INDEX(FPL_Raw_Data!K:K,MATCH(A82,FPL_Raw_Data!AA:AA,0))=0,"",INDEX(FPL_Raw_Data!P:P,MATCH(A82,FPL_Raw_Data!AA:AA,0))/INDEX(FPL_Raw_Data!K:K,MATCH(A82,FPL_Raw_Data!AA:AA,0))*90)</f>
        <v>0</v>
      </c>
      <c r="AW82" s="2">
        <f t="shared" si="45"/>
        <v>0</v>
      </c>
      <c r="AX82" s="2">
        <f>IFERROR(INDEX(TEAM_ANALYSIS!$H$2:$H$21,MATCH($B82,TEAM_ANALYSIS!$A$2:$A$21,0)),0)</f>
        <v>1.6666666666666667</v>
      </c>
      <c r="AY82" s="2">
        <f t="shared" si="46"/>
        <v>0</v>
      </c>
      <c r="AZ82" s="2">
        <f t="shared" si="47"/>
        <v>3.7365339289820696</v>
      </c>
      <c r="BA82">
        <f t="shared" si="48"/>
        <v>0.74730678579641396</v>
      </c>
      <c r="BB82">
        <f>IFERROR(Player_Analysis!$Y82,1)</f>
        <v>0.95673010380622836</v>
      </c>
      <c r="BC82">
        <f t="shared" si="49"/>
        <v>3.5748544937505096</v>
      </c>
      <c r="BD82">
        <f t="shared" si="50"/>
        <v>2.6715130214145599</v>
      </c>
      <c r="BE82">
        <f t="shared" si="51"/>
        <v>3.5748544937505096</v>
      </c>
      <c r="BF82">
        <f t="shared" si="52"/>
        <v>175</v>
      </c>
      <c r="BG82">
        <f>IF($BE82="","",COUNTIFS($C$2:$C$596,$C82,$BE$2:$BE$596,"&gt;"&amp;$BE82)+COUNTIFS($C$2:$C82,$C82,$BE$2:$BE82,$BE82))</f>
        <v>90</v>
      </c>
    </row>
    <row r="83" spans="1:59" x14ac:dyDescent="0.25">
      <c r="A83" t="str">
        <f>Player_Analysis!A83</f>
        <v>David Brooks</v>
      </c>
      <c r="B83">
        <f>Player_Analysis!C83</f>
        <v>3</v>
      </c>
      <c r="C83" t="str">
        <f>Player_Analysis!B83</f>
        <v>MID</v>
      </c>
      <c r="D83" s="13">
        <f>Player_Analysis!E83</f>
        <v>5</v>
      </c>
      <c r="E83">
        <f>Player_Analysis!I83</f>
        <v>23</v>
      </c>
      <c r="F83" s="8">
        <f>Player_Analysis!Z83</f>
        <v>0</v>
      </c>
      <c r="G83" s="17">
        <f t="shared" si="27"/>
        <v>0</v>
      </c>
      <c r="H83">
        <f t="shared" si="28"/>
        <v>0</v>
      </c>
      <c r="I83" s="8">
        <f>Player_Analysis!AF83</f>
        <v>0</v>
      </c>
      <c r="J83" s="8">
        <f>Player_Analysis!AG83</f>
        <v>0</v>
      </c>
      <c r="K83">
        <f>Player_Analysis!O83</f>
        <v>0</v>
      </c>
      <c r="L83">
        <f>Player_Analysis!P83</f>
        <v>0.01</v>
      </c>
      <c r="M83">
        <f t="shared" si="29"/>
        <v>0</v>
      </c>
      <c r="N83">
        <f t="shared" si="30"/>
        <v>3.9130434782608699E-2</v>
      </c>
      <c r="O83" s="2">
        <f>IF(E83=0,"",Player_Analysis!L83/E83*90)</f>
        <v>7.8260869565217392</v>
      </c>
      <c r="P83">
        <f>IF(E83=0,"",Player_Analysis!Q83/E83*90)</f>
        <v>3.9130434782608699E-2</v>
      </c>
      <c r="Q83">
        <f>IF(E83=0,"",(Player_Analysis!AD83/E83)*90)</f>
        <v>19.565217391304348</v>
      </c>
      <c r="R83">
        <f>IF(E83=0,"",Player_Analysis!AA83/E83*90)</f>
        <v>0</v>
      </c>
      <c r="S83">
        <f t="array" ref="S83">IFERROR(INDEX('2023_24'!$O:$O,MATCH($A83,'2023_24'!$A:$A,0)),"")</f>
        <v>0.8136531365313654</v>
      </c>
      <c r="T83">
        <f>IFERROR(INDEX('2024_25'!$P:$P,MATCH($A83,'2024_25'!$A:$A,0)),"")</f>
        <v>0.24675876726886292</v>
      </c>
      <c r="U83">
        <f>IFERROR(INDEX('2025_26'!$P:$P,MATCH($A83,'2025_26'!$A:$A,0)),"")</f>
        <v>0.44015151515151513</v>
      </c>
      <c r="V83">
        <f>IFERROR(INDEX('2023_24'!$P:$P,MATCH($A83,'2023_24'!$A:$A,0)),"")</f>
        <v>0.15608856088560885</v>
      </c>
      <c r="W83">
        <f>IFERROR(INDEX('2024_25'!$Q:$Q,MATCH($A83,'2024_25'!$A:$A,0)),"")</f>
        <v>0.19319872476089267</v>
      </c>
      <c r="X83">
        <f>IFERROR(INDEX('2025_26'!$Q:$Q,MATCH($A83,'2025_26'!$A:$A,0)),"")</f>
        <v>0.25757575757575757</v>
      </c>
      <c r="Y83">
        <f>IFERROR(INDEX('2023_24'!$M:$M,MATCH($A83,'2023_24'!$A:$A,0))/INDEX('2023_24'!$G:$G,MATCH($A83,'2023_24'!$A:$A,0))*90,"")</f>
        <v>7.6383763837638377</v>
      </c>
      <c r="Z83">
        <f>IFERROR(INDEX('2024_25'!$M:$M,MATCH($A83,'2024_25'!$A:$A,0))/INDEX('2024_25'!$G:$G,MATCH($A83,'2024_25'!$A:$A,0))*90,"")</f>
        <v>4.973432518597237</v>
      </c>
      <c r="AA83">
        <f>IFERROR(INDEX('2025_26'!$M:$M,MATCH($A83,'2025_26'!$A:$A,0))/INDEX('2025_26'!$G:$G,MATCH($A83,'2025_26'!$A:$A,0))*90,"")</f>
        <v>4.4696969696969697</v>
      </c>
      <c r="AB83">
        <f>IFERROR(SUMPRODUCT(S83:U83,{0.2,0.3,0.5})/SUMPRODUCT(--(S83:U83&lt;&gt;""),{0.2,0.3,0.5}),"")</f>
        <v>0.4568340150626895</v>
      </c>
      <c r="AC83">
        <f>IFERROR(SUMPRODUCT(V83:X83,{0.2,0.3,0.5})/SUMPRODUCT(--(V83:X83&lt;&gt;""),{0.2,0.3,0.5}),"")</f>
        <v>0.21796520839326836</v>
      </c>
      <c r="AD83">
        <f>IFERROR(SUMPRODUCT(Y83:AA83,{0.2,0.3,0.5})/SUMPRODUCT((Y83:AA83&lt;&gt;"")*{0.2,0.3,0.5}),O83)</f>
        <v>5.2545535171804243</v>
      </c>
      <c r="AE83">
        <f t="shared" si="31"/>
        <v>3</v>
      </c>
      <c r="AF83" t="str">
        <f t="shared" si="32"/>
        <v/>
      </c>
      <c r="AG83">
        <f t="shared" si="33"/>
        <v>0.42181007390788333</v>
      </c>
      <c r="AH83">
        <f t="shared" si="34"/>
        <v>0.20425454241645111</v>
      </c>
      <c r="AI83" s="2">
        <f t="shared" si="35"/>
        <v>5.4517044141965911</v>
      </c>
      <c r="AJ83">
        <f t="shared" si="36"/>
        <v>7.6666666666666661E-2</v>
      </c>
      <c r="AK83" t="str">
        <f t="shared" si="37"/>
        <v>NO</v>
      </c>
      <c r="AL83">
        <f t="shared" si="38"/>
        <v>0</v>
      </c>
      <c r="AM83">
        <f t="shared" si="39"/>
        <v>0</v>
      </c>
      <c r="AN83">
        <f t="shared" si="40"/>
        <v>0</v>
      </c>
      <c r="AO83">
        <f t="shared" si="41"/>
        <v>0</v>
      </c>
      <c r="AP83">
        <f t="array" ref="AP83">AL83*IF($C83="GKP",10,IF($C83="DEF",6,IF($C83="MID",5,4)))</f>
        <v>0</v>
      </c>
      <c r="AQ83">
        <f t="shared" si="42"/>
        <v>0</v>
      </c>
      <c r="AR83">
        <f t="shared" si="43"/>
        <v>0</v>
      </c>
      <c r="AS83" s="2">
        <f>IF($H83=0,0,Player_Analysis!$AM83*$H83/90)</f>
        <v>0</v>
      </c>
      <c r="AT83">
        <f t="shared" si="44"/>
        <v>0</v>
      </c>
      <c r="AU83" s="2">
        <f>0</f>
        <v>0</v>
      </c>
      <c r="AV83" s="2">
        <f>IF(INDEX(FPL_Raw_Data!K:K,MATCH(A83,FPL_Raw_Data!AA:AA,0))=0,"",INDEX(FPL_Raw_Data!P:P,MATCH(A83,FPL_Raw_Data!AA:AA,0))/INDEX(FPL_Raw_Data!K:K,MATCH(A83,FPL_Raw_Data!AA:AA,0))*90)</f>
        <v>0</v>
      </c>
      <c r="AW83" s="2">
        <f t="shared" si="45"/>
        <v>0</v>
      </c>
      <c r="AX83" s="2">
        <f>IFERROR(INDEX(TEAM_ANALYSIS!$H$2:$H$21,MATCH($B83,TEAM_ANALYSIS!$A$2:$A$21,0)),0)</f>
        <v>1.6666666666666667</v>
      </c>
      <c r="AY83" s="2">
        <f t="shared" si="46"/>
        <v>0</v>
      </c>
      <c r="AZ83" s="2">
        <f t="shared" si="47"/>
        <v>0</v>
      </c>
      <c r="BA83">
        <f t="shared" si="48"/>
        <v>0</v>
      </c>
      <c r="BB83">
        <f>IFERROR(Player_Analysis!$Y83,1)</f>
        <v>0.95673010380622836</v>
      </c>
      <c r="BC83">
        <f t="shared" si="49"/>
        <v>0</v>
      </c>
      <c r="BD83">
        <f t="shared" si="50"/>
        <v>0</v>
      </c>
      <c r="BE83">
        <f t="shared" si="51"/>
        <v>0</v>
      </c>
      <c r="BF83">
        <f t="shared" si="52"/>
        <v>253</v>
      </c>
      <c r="BG83">
        <f>IF($BE83="","",COUNTIFS($C$2:$C$596,$C83,$BE$2:$BE$596,"&gt;"&amp;$BE83)+COUNTIFS($C$2:$C83,$C83,$BE$2:$BE83,$BE83))</f>
        <v>133</v>
      </c>
    </row>
    <row r="84" spans="1:59" x14ac:dyDescent="0.25">
      <c r="A84" t="str">
        <f>Player_Analysis!A84</f>
        <v>Ryan Christie</v>
      </c>
      <c r="B84">
        <f>Player_Analysis!C84</f>
        <v>3</v>
      </c>
      <c r="C84" t="str">
        <f>Player_Analysis!B84</f>
        <v>MID</v>
      </c>
      <c r="D84" s="13">
        <f>Player_Analysis!E84</f>
        <v>5</v>
      </c>
      <c r="E84">
        <f>Player_Analysis!I84</f>
        <v>4</v>
      </c>
      <c r="F84" s="8">
        <f>Player_Analysis!Z84</f>
        <v>0</v>
      </c>
      <c r="G84" s="17">
        <f t="shared" si="27"/>
        <v>0</v>
      </c>
      <c r="H84">
        <f t="shared" si="28"/>
        <v>0</v>
      </c>
      <c r="I84" s="8">
        <f>Player_Analysis!AF84</f>
        <v>0</v>
      </c>
      <c r="J84" s="8">
        <f>Player_Analysis!AG84</f>
        <v>0</v>
      </c>
      <c r="K84">
        <f>Player_Analysis!O84</f>
        <v>0</v>
      </c>
      <c r="L84">
        <f>Player_Analysis!P84</f>
        <v>0</v>
      </c>
      <c r="M84">
        <f t="shared" si="29"/>
        <v>0</v>
      </c>
      <c r="N84">
        <f t="shared" si="30"/>
        <v>0</v>
      </c>
      <c r="O84" s="2">
        <f>IF(E84=0,"",Player_Analysis!L84/E84*90)</f>
        <v>45</v>
      </c>
      <c r="P84">
        <f>IF(E84=0,"",Player_Analysis!Q84/E84*90)</f>
        <v>0</v>
      </c>
      <c r="Q84">
        <f>IF(E84=0,"",(Player_Analysis!AD84/E84)*90)</f>
        <v>180</v>
      </c>
      <c r="R84">
        <f>IF(E84=0,"",Player_Analysis!AA84/E84*90)</f>
        <v>45</v>
      </c>
      <c r="S84">
        <f t="array" ref="S84">IFERROR(INDEX('2023_24'!$O:$O,MATCH($A84,'2023_24'!$A:$A,0)),"")</f>
        <v>7.7063273727647874E-2</v>
      </c>
      <c r="T84">
        <f>IFERROR(INDEX('2024_25'!$P:$P,MATCH($A84,'2024_25'!$A:$A,0)),"")</f>
        <v>9.1106906338694421E-2</v>
      </c>
      <c r="U84">
        <f>IFERROR(INDEX('2025_26'!$P:$P,MATCH($A84,'2025_26'!$A:$A,0)),"")</f>
        <v>0.16656441717791409</v>
      </c>
      <c r="V84">
        <f>IFERROR(INDEX('2023_24'!$P:$P,MATCH($A84,'2023_24'!$A:$A,0)),"")</f>
        <v>0.16619669876203577</v>
      </c>
      <c r="W84">
        <f>IFERROR(INDEX('2024_25'!$Q:$Q,MATCH($A84,'2024_25'!$A:$A,0)),"")</f>
        <v>0.12346263008514664</v>
      </c>
      <c r="X84">
        <f>IFERROR(INDEX('2025_26'!$Q:$Q,MATCH($A84,'2025_26'!$A:$A,0)),"")</f>
        <v>7.2699386503067495E-2</v>
      </c>
      <c r="Y84">
        <f>IFERROR(INDEX('2023_24'!$M:$M,MATCH($A84,'2023_24'!$A:$A,0))/INDEX('2023_24'!$G:$G,MATCH($A84,'2023_24'!$A:$A,0))*90,"")</f>
        <v>2.7854195323246218</v>
      </c>
      <c r="Z84">
        <f>IFERROR(INDEX('2024_25'!$M:$M,MATCH($A84,'2024_25'!$A:$A,0))/INDEX('2024_25'!$G:$G,MATCH($A84,'2024_25'!$A:$A,0))*90,"")</f>
        <v>3.2355723746452223</v>
      </c>
      <c r="AA84">
        <f>IFERROR(INDEX('2025_26'!$M:$M,MATCH($A84,'2025_26'!$A:$A,0))/INDEX('2025_26'!$G:$G,MATCH($A84,'2025_26'!$A:$A,0))*90,"")</f>
        <v>4.3251533742331283</v>
      </c>
      <c r="AB84">
        <f>IFERROR(SUMPRODUCT(S84:U84,{0.2,0.3,0.5})/SUMPRODUCT(--(S84:U84&lt;&gt;""),{0.2,0.3,0.5}),"")</f>
        <v>0.12602693523609496</v>
      </c>
      <c r="AC84">
        <f>IFERROR(SUMPRODUCT(V84:X84,{0.2,0.3,0.5})/SUMPRODUCT(--(V84:X84&lt;&gt;""),{0.2,0.3,0.5}),"")</f>
        <v>0.1066278220294849</v>
      </c>
      <c r="AD84">
        <f>IFERROR(SUMPRODUCT(Y84:AA84,{0.2,0.3,0.5})/SUMPRODUCT((Y84:AA84&lt;&gt;"")*{0.2,0.3,0.5}),O84)</f>
        <v>3.6903323059750552</v>
      </c>
      <c r="AE84">
        <f t="shared" si="31"/>
        <v>3</v>
      </c>
      <c r="AF84" t="str">
        <f t="shared" si="32"/>
        <v/>
      </c>
      <c r="AG84">
        <f t="shared" si="33"/>
        <v>0.12434657609961369</v>
      </c>
      <c r="AH84">
        <f t="shared" si="34"/>
        <v>0.10520611773575844</v>
      </c>
      <c r="AI84" s="2">
        <f t="shared" si="35"/>
        <v>4.2411278752287211</v>
      </c>
      <c r="AJ84">
        <f t="shared" si="36"/>
        <v>1.3333333333333334E-2</v>
      </c>
      <c r="AK84" t="str">
        <f t="shared" si="37"/>
        <v>NO</v>
      </c>
      <c r="AL84">
        <f t="shared" si="38"/>
        <v>0</v>
      </c>
      <c r="AM84">
        <f t="shared" si="39"/>
        <v>0</v>
      </c>
      <c r="AN84">
        <f t="shared" si="40"/>
        <v>0</v>
      </c>
      <c r="AO84">
        <f t="shared" si="41"/>
        <v>0</v>
      </c>
      <c r="AP84">
        <f t="array" ref="AP84">AL84*IF($C84="GKP",10,IF($C84="DEF",6,IF($C84="MID",5,4)))</f>
        <v>0</v>
      </c>
      <c r="AQ84">
        <f t="shared" si="42"/>
        <v>0</v>
      </c>
      <c r="AR84">
        <f t="shared" si="43"/>
        <v>0</v>
      </c>
      <c r="AS84" s="2">
        <f>IF($H84=0,0,Player_Analysis!$AM84*$H84/90)</f>
        <v>0</v>
      </c>
      <c r="AT84">
        <f t="shared" si="44"/>
        <v>0</v>
      </c>
      <c r="AU84" s="2">
        <f>0</f>
        <v>0</v>
      </c>
      <c r="AV84" s="2">
        <f>IF(INDEX(FPL_Raw_Data!K:K,MATCH(A84,FPL_Raw_Data!AA:AA,0))=0,"",INDEX(FPL_Raw_Data!P:P,MATCH(A84,FPL_Raw_Data!AA:AA,0))/INDEX(FPL_Raw_Data!K:K,MATCH(A84,FPL_Raw_Data!AA:AA,0))*90)</f>
        <v>0</v>
      </c>
      <c r="AW84" s="2">
        <f t="shared" si="45"/>
        <v>0</v>
      </c>
      <c r="AX84" s="2">
        <f>IFERROR(INDEX(TEAM_ANALYSIS!$H$2:$H$21,MATCH($B84,TEAM_ANALYSIS!$A$2:$A$21,0)),0)</f>
        <v>1.6666666666666667</v>
      </c>
      <c r="AY84" s="2">
        <f t="shared" si="46"/>
        <v>0</v>
      </c>
      <c r="AZ84" s="2">
        <f t="shared" si="47"/>
        <v>0</v>
      </c>
      <c r="BA84">
        <f t="shared" si="48"/>
        <v>0</v>
      </c>
      <c r="BB84">
        <f>IFERROR(Player_Analysis!$Y84,1)</f>
        <v>0.95673010380622836</v>
      </c>
      <c r="BC84">
        <f t="shared" si="49"/>
        <v>0</v>
      </c>
      <c r="BD84">
        <f t="shared" si="50"/>
        <v>0</v>
      </c>
      <c r="BE84">
        <f t="shared" si="51"/>
        <v>0</v>
      </c>
      <c r="BF84">
        <f t="shared" si="52"/>
        <v>253</v>
      </c>
      <c r="BG84">
        <f>IF($BE84="","",COUNTIFS($C$2:$C$596,$C84,$BE$2:$BE$596,"&gt;"&amp;$BE84)+COUNTIFS($C$2:$C84,$C84,$BE$2:$BE84,$BE84))</f>
        <v>134</v>
      </c>
    </row>
    <row r="85" spans="1:59" x14ac:dyDescent="0.25">
      <c r="A85" t="str">
        <f>Player_Analysis!A85</f>
        <v>Alex Tóth</v>
      </c>
      <c r="B85">
        <f>Player_Analysis!C85</f>
        <v>3</v>
      </c>
      <c r="C85" t="str">
        <f>Player_Analysis!B85</f>
        <v>MID</v>
      </c>
      <c r="D85" s="13">
        <f>Player_Analysis!E85</f>
        <v>5</v>
      </c>
      <c r="E85">
        <f>Player_Analysis!I85</f>
        <v>15</v>
      </c>
      <c r="F85" s="8">
        <f>Player_Analysis!Z85</f>
        <v>0</v>
      </c>
      <c r="G85" s="17">
        <f t="shared" si="27"/>
        <v>0</v>
      </c>
      <c r="H85">
        <f t="shared" si="28"/>
        <v>0</v>
      </c>
      <c r="I85" s="8">
        <f>Player_Analysis!AF85</f>
        <v>0</v>
      </c>
      <c r="J85" s="8">
        <f>Player_Analysis!AG85</f>
        <v>0</v>
      </c>
      <c r="K85">
        <f>Player_Analysis!O85</f>
        <v>0</v>
      </c>
      <c r="L85">
        <f>Player_Analysis!P85</f>
        <v>0</v>
      </c>
      <c r="M85">
        <f t="shared" si="29"/>
        <v>0</v>
      </c>
      <c r="N85">
        <f t="shared" si="30"/>
        <v>0</v>
      </c>
      <c r="O85" s="2">
        <f>IF(E85=0,"",Player_Analysis!L85/E85*90)</f>
        <v>6</v>
      </c>
      <c r="P85">
        <f>IF(E85=0,"",Player_Analysis!Q85/E85*90)</f>
        <v>0</v>
      </c>
      <c r="Q85">
        <f>IF(E85=0,"",(Player_Analysis!AD85/E85)*90)</f>
        <v>30</v>
      </c>
      <c r="R85">
        <f>IF(E85=0,"",Player_Analysis!AA85/E85*90)</f>
        <v>12</v>
      </c>
      <c r="S85" t="str">
        <f t="array" ref="S85">IFERROR(INDEX('2023_24'!$O:$O,MATCH($A85,'2023_24'!$A:$A,0)),"")</f>
        <v/>
      </c>
      <c r="T85" t="str">
        <f>IFERROR(INDEX('2024_25'!$P:$P,MATCH($A85,'2024_25'!$A:$A,0)),"")</f>
        <v/>
      </c>
      <c r="U85">
        <f>IFERROR(INDEX('2025_26'!$P:$P,MATCH($A85,'2025_26'!$A:$A,0)),"")</f>
        <v>7.3333333333333334E-2</v>
      </c>
      <c r="V85" t="str">
        <f>IFERROR(INDEX('2023_24'!$P:$P,MATCH($A85,'2023_24'!$A:$A,0)),"")</f>
        <v/>
      </c>
      <c r="W85" t="str">
        <f>IFERROR(INDEX('2024_25'!$Q:$Q,MATCH($A85,'2024_25'!$A:$A,0)),"")</f>
        <v/>
      </c>
      <c r="X85">
        <f>IFERROR(INDEX('2025_26'!$Q:$Q,MATCH($A85,'2025_26'!$A:$A,0)),"")</f>
        <v>0.22</v>
      </c>
      <c r="Y85" t="str">
        <f>IFERROR(INDEX('2023_24'!$M:$M,MATCH($A85,'2023_24'!$A:$A,0))/INDEX('2023_24'!$G:$G,MATCH($A85,'2023_24'!$A:$A,0))*90,"")</f>
        <v/>
      </c>
      <c r="Z85" t="str">
        <f>IFERROR(INDEX('2024_25'!$M:$M,MATCH($A85,'2024_25'!$A:$A,0))/INDEX('2024_25'!$G:$G,MATCH($A85,'2024_25'!$A:$A,0))*90,"")</f>
        <v/>
      </c>
      <c r="AA85">
        <f>IFERROR(INDEX('2025_26'!$M:$M,MATCH($A85,'2025_26'!$A:$A,0))/INDEX('2025_26'!$G:$G,MATCH($A85,'2025_26'!$A:$A,0))*90,"")</f>
        <v>5.3333333333333339</v>
      </c>
      <c r="AB85">
        <f>IFERROR(SUMPRODUCT(S85:U85,{0.2,0.3,0.5})/SUMPRODUCT(--(S85:U85&lt;&gt;""),{0.2,0.3,0.5}),"")</f>
        <v>7.3333333333333334E-2</v>
      </c>
      <c r="AC85">
        <f>IFERROR(SUMPRODUCT(V85:X85,{0.2,0.3,0.5})/SUMPRODUCT(--(V85:X85&lt;&gt;""),{0.2,0.3,0.5}),"")</f>
        <v>0.22</v>
      </c>
      <c r="AD85">
        <f>IFERROR(SUMPRODUCT(Y85:AA85,{0.2,0.3,0.5})/SUMPRODUCT((Y85:AA85&lt;&gt;"")*{0.2,0.3,0.5}),O85)</f>
        <v>5.3333333333333339</v>
      </c>
      <c r="AE85">
        <f t="shared" si="31"/>
        <v>1</v>
      </c>
      <c r="AF85" t="str">
        <f t="shared" si="32"/>
        <v/>
      </c>
      <c r="AG85">
        <f t="shared" si="33"/>
        <v>6.9666666666666668E-2</v>
      </c>
      <c r="AH85">
        <f t="shared" si="34"/>
        <v>0.20899999999999999</v>
      </c>
      <c r="AI85" s="2">
        <f t="shared" si="35"/>
        <v>5.3666666666666671</v>
      </c>
      <c r="AJ85">
        <f t="shared" si="36"/>
        <v>0.05</v>
      </c>
      <c r="AK85" t="str">
        <f t="shared" si="37"/>
        <v>NO</v>
      </c>
      <c r="AL85">
        <f t="shared" si="38"/>
        <v>0</v>
      </c>
      <c r="AM85">
        <f t="shared" si="39"/>
        <v>0</v>
      </c>
      <c r="AN85">
        <f t="shared" si="40"/>
        <v>0</v>
      </c>
      <c r="AO85">
        <f t="shared" si="41"/>
        <v>0</v>
      </c>
      <c r="AP85">
        <f t="array" ref="AP85">AL85*IF($C85="GKP",10,IF($C85="DEF",6,IF($C85="MID",5,4)))</f>
        <v>0</v>
      </c>
      <c r="AQ85">
        <f t="shared" si="42"/>
        <v>0</v>
      </c>
      <c r="AR85">
        <f t="shared" si="43"/>
        <v>0</v>
      </c>
      <c r="AS85" s="2">
        <f>IF($H85=0,0,Player_Analysis!$AM85*$H85/90)</f>
        <v>0</v>
      </c>
      <c r="AT85">
        <f t="shared" si="44"/>
        <v>0</v>
      </c>
      <c r="AU85" s="2">
        <f>0</f>
        <v>0</v>
      </c>
      <c r="AV85" s="2">
        <f>IF(INDEX(FPL_Raw_Data!K:K,MATCH(A85,FPL_Raw_Data!AA:AA,0))=0,"",INDEX(FPL_Raw_Data!P:P,MATCH(A85,FPL_Raw_Data!AA:AA,0))/INDEX(FPL_Raw_Data!K:K,MATCH(A85,FPL_Raw_Data!AA:AA,0))*90)</f>
        <v>0</v>
      </c>
      <c r="AW85" s="2">
        <f t="shared" si="45"/>
        <v>0</v>
      </c>
      <c r="AX85" s="2">
        <f>IFERROR(INDEX(TEAM_ANALYSIS!$H$2:$H$21,MATCH($B85,TEAM_ANALYSIS!$A$2:$A$21,0)),0)</f>
        <v>1.6666666666666667</v>
      </c>
      <c r="AY85" s="2">
        <f t="shared" si="46"/>
        <v>0</v>
      </c>
      <c r="AZ85" s="2">
        <f t="shared" si="47"/>
        <v>0</v>
      </c>
      <c r="BA85">
        <f t="shared" si="48"/>
        <v>0</v>
      </c>
      <c r="BB85">
        <f>IFERROR(Player_Analysis!$Y85,1)</f>
        <v>0.95673010380622836</v>
      </c>
      <c r="BC85">
        <f t="shared" si="49"/>
        <v>0</v>
      </c>
      <c r="BD85">
        <f t="shared" si="50"/>
        <v>0</v>
      </c>
      <c r="BE85">
        <f t="shared" si="51"/>
        <v>0</v>
      </c>
      <c r="BF85">
        <f t="shared" si="52"/>
        <v>253</v>
      </c>
      <c r="BG85">
        <f>IF($BE85="","",COUNTIFS($C$2:$C$596,$C85,$BE$2:$BE$596,"&gt;"&amp;$BE85)+COUNTIFS($C$2:$C85,$C85,$BE$2:$BE85,$BE85))</f>
        <v>135</v>
      </c>
    </row>
    <row r="86" spans="1:59" x14ac:dyDescent="0.25">
      <c r="A86" t="str">
        <f>Player_Analysis!A86</f>
        <v>Amine Adli</v>
      </c>
      <c r="B86">
        <f>Player_Analysis!C86</f>
        <v>3</v>
      </c>
      <c r="C86" t="str">
        <f>Player_Analysis!B86</f>
        <v>MID</v>
      </c>
      <c r="D86" s="13">
        <f>Player_Analysis!E86</f>
        <v>4.9000000000000004</v>
      </c>
      <c r="E86">
        <f>Player_Analysis!I86</f>
        <v>0</v>
      </c>
      <c r="F86" s="8">
        <f>Player_Analysis!Z86</f>
        <v>0</v>
      </c>
      <c r="G86" s="17">
        <f t="shared" si="27"/>
        <v>0</v>
      </c>
      <c r="H86">
        <f t="shared" si="28"/>
        <v>0</v>
      </c>
      <c r="I86" s="8">
        <f>Player_Analysis!AF86</f>
        <v>0</v>
      </c>
      <c r="J86" s="8">
        <f>Player_Analysis!AG86</f>
        <v>0</v>
      </c>
      <c r="K86">
        <f>Player_Analysis!O86</f>
        <v>0</v>
      </c>
      <c r="L86">
        <f>Player_Analysis!P86</f>
        <v>0</v>
      </c>
      <c r="M86" t="str">
        <f t="shared" si="29"/>
        <v/>
      </c>
      <c r="N86" t="str">
        <f t="shared" si="30"/>
        <v/>
      </c>
      <c r="O86" s="2" t="str">
        <f>IF(E86=0,"",Player_Analysis!L86/E86*90)</f>
        <v/>
      </c>
      <c r="P86" t="str">
        <f>IF(E86=0,"",Player_Analysis!Q86/E86*90)</f>
        <v/>
      </c>
      <c r="Q86" t="str">
        <f>IF(E86=0,"",(Player_Analysis!AD86/E86)*90)</f>
        <v/>
      </c>
      <c r="R86" t="str">
        <f>IF(E86=0,"",Player_Analysis!AA86/E86*90)</f>
        <v/>
      </c>
      <c r="S86" t="str">
        <f t="array" ref="S86">IFERROR(INDEX('2023_24'!$O:$O,MATCH($A86,'2023_24'!$A:$A,0)),"")</f>
        <v/>
      </c>
      <c r="T86" t="str">
        <f>IFERROR(INDEX('2024_25'!$P:$P,MATCH($A86,'2024_25'!$A:$A,0)),"")</f>
        <v/>
      </c>
      <c r="U86">
        <f>IFERROR(INDEX('2025_26'!$P:$P,MATCH($A86,'2025_26'!$A:$A,0)),"")</f>
        <v>0.21787709497206703</v>
      </c>
      <c r="V86" t="str">
        <f>IFERROR(INDEX('2023_24'!$P:$P,MATCH($A86,'2023_24'!$A:$A,0)),"")</f>
        <v/>
      </c>
      <c r="W86" t="str">
        <f>IFERROR(INDEX('2024_25'!$Q:$Q,MATCH($A86,'2024_25'!$A:$A,0)),"")</f>
        <v/>
      </c>
      <c r="X86">
        <f>IFERROR(INDEX('2025_26'!$Q:$Q,MATCH($A86,'2025_26'!$A:$A,0)),"")</f>
        <v>0.13575418994413407</v>
      </c>
      <c r="Y86" t="str">
        <f>IFERROR(INDEX('2023_24'!$M:$M,MATCH($A86,'2023_24'!$A:$A,0))/INDEX('2023_24'!$G:$G,MATCH($A86,'2023_24'!$A:$A,0))*90,"")</f>
        <v/>
      </c>
      <c r="Z86" t="str">
        <f>IFERROR(INDEX('2024_25'!$M:$M,MATCH($A86,'2024_25'!$A:$A,0))/INDEX('2024_25'!$G:$G,MATCH($A86,'2024_25'!$A:$A,0))*90,"")</f>
        <v/>
      </c>
      <c r="AA86">
        <f>IFERROR(INDEX('2025_26'!$M:$M,MATCH($A86,'2025_26'!$A:$A,0))/INDEX('2025_26'!$G:$G,MATCH($A86,'2025_26'!$A:$A,0))*90,"")</f>
        <v>5.6145251396648046</v>
      </c>
      <c r="AB86">
        <f>IFERROR(SUMPRODUCT(S86:U86,{0.2,0.3,0.5})/SUMPRODUCT(--(S86:U86&lt;&gt;""),{0.2,0.3,0.5}),"")</f>
        <v>0.21787709497206703</v>
      </c>
      <c r="AC86">
        <f>IFERROR(SUMPRODUCT(V86:X86,{0.2,0.3,0.5})/SUMPRODUCT(--(V86:X86&lt;&gt;""),{0.2,0.3,0.5}),"")</f>
        <v>0.13575418994413407</v>
      </c>
      <c r="AD86">
        <f>IFERROR(SUMPRODUCT(Y86:AA86,{0.2,0.3,0.5})/SUMPRODUCT((Y86:AA86&lt;&gt;"")*{0.2,0.3,0.5}),O86)</f>
        <v>5.6145251396648046</v>
      </c>
      <c r="AE86">
        <f t="shared" si="31"/>
        <v>1</v>
      </c>
      <c r="AF86" t="str">
        <f t="shared" si="32"/>
        <v/>
      </c>
      <c r="AG86">
        <f t="shared" si="33"/>
        <v>0.21787709497206703</v>
      </c>
      <c r="AH86">
        <f t="shared" si="34"/>
        <v>0.13575418994413407</v>
      </c>
      <c r="AI86" s="2">
        <f t="shared" si="35"/>
        <v>5.6145251396648046</v>
      </c>
      <c r="AJ86">
        <f t="shared" si="36"/>
        <v>0</v>
      </c>
      <c r="AK86" t="str">
        <f t="shared" si="37"/>
        <v>NO</v>
      </c>
      <c r="AL86">
        <f t="shared" si="38"/>
        <v>0</v>
      </c>
      <c r="AM86">
        <f t="shared" si="39"/>
        <v>0</v>
      </c>
      <c r="AN86">
        <f t="shared" si="40"/>
        <v>0</v>
      </c>
      <c r="AO86">
        <f t="shared" si="41"/>
        <v>0</v>
      </c>
      <c r="AP86">
        <f t="array" ref="AP86">AL86*IF($C86="GKP",10,IF($C86="DEF",6,IF($C86="MID",5,4)))</f>
        <v>0</v>
      </c>
      <c r="AQ86">
        <f t="shared" si="42"/>
        <v>0</v>
      </c>
      <c r="AR86">
        <f t="shared" si="43"/>
        <v>0</v>
      </c>
      <c r="AS86" s="2">
        <f>IF($H86=0,0,Player_Analysis!$AM86*$H86/90)</f>
        <v>0</v>
      </c>
      <c r="AT86">
        <f t="shared" si="44"/>
        <v>0</v>
      </c>
      <c r="AU86" s="2">
        <f>0</f>
        <v>0</v>
      </c>
      <c r="AV86" s="2" t="str">
        <f>IF(INDEX(FPL_Raw_Data!K:K,MATCH(A86,FPL_Raw_Data!AA:AA,0))=0,"",INDEX(FPL_Raw_Data!P:P,MATCH(A86,FPL_Raw_Data!AA:AA,0))/INDEX(FPL_Raw_Data!K:K,MATCH(A86,FPL_Raw_Data!AA:AA,0))*90)</f>
        <v/>
      </c>
      <c r="AW86" s="2">
        <f t="shared" si="45"/>
        <v>0</v>
      </c>
      <c r="AX86" s="2">
        <f>IFERROR(INDEX(TEAM_ANALYSIS!$H$2:$H$21,MATCH($B86,TEAM_ANALYSIS!$A$2:$A$21,0)),0)</f>
        <v>1.6666666666666667</v>
      </c>
      <c r="AY86" s="2">
        <f t="shared" si="46"/>
        <v>0</v>
      </c>
      <c r="AZ86" s="2">
        <f t="shared" si="47"/>
        <v>0</v>
      </c>
      <c r="BA86">
        <f t="shared" si="48"/>
        <v>0</v>
      </c>
      <c r="BB86">
        <f>IFERROR(Player_Analysis!$Y86,1)</f>
        <v>0.95673010380622836</v>
      </c>
      <c r="BC86">
        <f t="shared" si="49"/>
        <v>0</v>
      </c>
      <c r="BD86">
        <f t="shared" si="50"/>
        <v>0</v>
      </c>
      <c r="BE86">
        <f t="shared" si="51"/>
        <v>0</v>
      </c>
      <c r="BF86">
        <f t="shared" si="52"/>
        <v>253</v>
      </c>
      <c r="BG86">
        <f>IF($BE86="","",COUNTIFS($C$2:$C$596,$C86,$BE$2:$BE$596,"&gt;"&amp;$BE86)+COUNTIFS($C$2:$C86,$C86,$BE$2:$BE86,$BE86))</f>
        <v>136</v>
      </c>
    </row>
    <row r="87" spans="1:59" x14ac:dyDescent="0.25">
      <c r="A87" t="str">
        <f>Player_Analysis!A87</f>
        <v>Junior Kroupi</v>
      </c>
      <c r="B87">
        <f>Player_Analysis!C87</f>
        <v>3</v>
      </c>
      <c r="C87" t="str">
        <f>Player_Analysis!B87</f>
        <v>MID</v>
      </c>
      <c r="D87" s="13">
        <f>Player_Analysis!E87</f>
        <v>7.4</v>
      </c>
      <c r="E87">
        <f>Player_Analysis!I87</f>
        <v>0</v>
      </c>
      <c r="F87" s="8">
        <f>Player_Analysis!Z87</f>
        <v>0</v>
      </c>
      <c r="G87" s="17">
        <f t="shared" si="27"/>
        <v>0</v>
      </c>
      <c r="H87">
        <f t="shared" si="28"/>
        <v>0</v>
      </c>
      <c r="I87" s="8">
        <f>Player_Analysis!AF87</f>
        <v>0</v>
      </c>
      <c r="J87" s="8">
        <f>Player_Analysis!AG87</f>
        <v>0</v>
      </c>
      <c r="K87">
        <f>Player_Analysis!O87</f>
        <v>0</v>
      </c>
      <c r="L87">
        <f>Player_Analysis!P87</f>
        <v>0</v>
      </c>
      <c r="M87" t="str">
        <f t="shared" si="29"/>
        <v/>
      </c>
      <c r="N87" t="str">
        <f t="shared" si="30"/>
        <v/>
      </c>
      <c r="O87" s="2" t="str">
        <f>IF(E87=0,"",Player_Analysis!L87/E87*90)</f>
        <v/>
      </c>
      <c r="P87" t="str">
        <f>IF(E87=0,"",Player_Analysis!Q87/E87*90)</f>
        <v/>
      </c>
      <c r="Q87" t="str">
        <f>IF(E87=0,"",(Player_Analysis!AD87/E87)*90)</f>
        <v/>
      </c>
      <c r="R87" t="str">
        <f>IF(E87=0,"",Player_Analysis!AA87/E87*90)</f>
        <v/>
      </c>
      <c r="S87" t="str">
        <f t="array" ref="S87">IFERROR(INDEX('2023_24'!$O:$O,MATCH($A87,'2023_24'!$A:$A,0)),"")</f>
        <v/>
      </c>
      <c r="T87" t="str">
        <f>IFERROR(INDEX('2024_25'!$P:$P,MATCH($A87,'2024_25'!$A:$A,0)),"")</f>
        <v/>
      </c>
      <c r="U87">
        <f>IFERROR(INDEX('2025_26'!$P:$P,MATCH($A87,'2025_26'!$A:$A,0)),"")</f>
        <v>0.44972940469031875</v>
      </c>
      <c r="V87" t="str">
        <f>IFERROR(INDEX('2023_24'!$P:$P,MATCH($A87,'2023_24'!$A:$A,0)),"")</f>
        <v/>
      </c>
      <c r="W87" t="str">
        <f>IFERROR(INDEX('2024_25'!$Q:$Q,MATCH($A87,'2024_25'!$A:$A,0)),"")</f>
        <v/>
      </c>
      <c r="X87">
        <f>IFERROR(INDEX('2025_26'!$Q:$Q,MATCH($A87,'2025_26'!$A:$A,0)),"")</f>
        <v>8.1719783523752254E-2</v>
      </c>
      <c r="Y87" t="str">
        <f>IFERROR(INDEX('2023_24'!$M:$M,MATCH($A87,'2023_24'!$A:$A,0))/INDEX('2023_24'!$G:$G,MATCH($A87,'2023_24'!$A:$A,0))*90,"")</f>
        <v/>
      </c>
      <c r="Z87" t="str">
        <f>IFERROR(INDEX('2024_25'!$M:$M,MATCH($A87,'2024_25'!$A:$A,0))/INDEX('2024_25'!$G:$G,MATCH($A87,'2024_25'!$A:$A,0))*90,"")</f>
        <v/>
      </c>
      <c r="AA87">
        <f>IFERROR(INDEX('2025_26'!$M:$M,MATCH($A87,'2025_26'!$A:$A,0))/INDEX('2025_26'!$G:$G,MATCH($A87,'2025_26'!$A:$A,0))*90,"")</f>
        <v>6.1154539987973537</v>
      </c>
      <c r="AB87">
        <f>IFERROR(SUMPRODUCT(S87:U87,{0.2,0.3,0.5})/SUMPRODUCT(--(S87:U87&lt;&gt;""),{0.2,0.3,0.5}),"")</f>
        <v>0.44972940469031875</v>
      </c>
      <c r="AC87">
        <f>IFERROR(SUMPRODUCT(V87:X87,{0.2,0.3,0.5})/SUMPRODUCT(--(V87:X87&lt;&gt;""),{0.2,0.3,0.5}),"")</f>
        <v>8.1719783523752254E-2</v>
      </c>
      <c r="AD87">
        <f>IFERROR(SUMPRODUCT(Y87:AA87,{0.2,0.3,0.5})/SUMPRODUCT((Y87:AA87&lt;&gt;"")*{0.2,0.3,0.5}),O87)</f>
        <v>6.1154539987973537</v>
      </c>
      <c r="AE87">
        <f t="shared" si="31"/>
        <v>1</v>
      </c>
      <c r="AF87" t="str">
        <f t="shared" si="32"/>
        <v/>
      </c>
      <c r="AG87">
        <f t="shared" si="33"/>
        <v>0.44972940469031875</v>
      </c>
      <c r="AH87">
        <f t="shared" si="34"/>
        <v>8.1719783523752254E-2</v>
      </c>
      <c r="AI87" s="2">
        <f t="shared" si="35"/>
        <v>6.1154539987973537</v>
      </c>
      <c r="AJ87">
        <f t="shared" si="36"/>
        <v>0</v>
      </c>
      <c r="AK87" t="str">
        <f t="shared" si="37"/>
        <v>NO</v>
      </c>
      <c r="AL87">
        <f t="shared" si="38"/>
        <v>0</v>
      </c>
      <c r="AM87">
        <f t="shared" si="39"/>
        <v>0</v>
      </c>
      <c r="AN87">
        <f t="shared" si="40"/>
        <v>0</v>
      </c>
      <c r="AO87">
        <f t="shared" si="41"/>
        <v>0</v>
      </c>
      <c r="AP87">
        <f t="array" ref="AP87">AL87*IF($C87="GKP",10,IF($C87="DEF",6,IF($C87="MID",5,4)))</f>
        <v>0</v>
      </c>
      <c r="AQ87">
        <f t="shared" si="42"/>
        <v>0</v>
      </c>
      <c r="AR87">
        <f t="shared" si="43"/>
        <v>0</v>
      </c>
      <c r="AS87" s="2">
        <f>IF($H87=0,0,Player_Analysis!$AM87*$H87/90)</f>
        <v>0</v>
      </c>
      <c r="AT87">
        <f t="shared" si="44"/>
        <v>0</v>
      </c>
      <c r="AU87" s="2">
        <f>0</f>
        <v>0</v>
      </c>
      <c r="AV87" s="2" t="str">
        <f>IF(INDEX(FPL_Raw_Data!K:K,MATCH(A87,FPL_Raw_Data!AA:AA,0))=0,"",INDEX(FPL_Raw_Data!P:P,MATCH(A87,FPL_Raw_Data!AA:AA,0))/INDEX(FPL_Raw_Data!K:K,MATCH(A87,FPL_Raw_Data!AA:AA,0))*90)</f>
        <v/>
      </c>
      <c r="AW87" s="2">
        <f t="shared" si="45"/>
        <v>0</v>
      </c>
      <c r="AX87" s="2">
        <f>IFERROR(INDEX(TEAM_ANALYSIS!$H$2:$H$21,MATCH($B87,TEAM_ANALYSIS!$A$2:$A$21,0)),0)</f>
        <v>1.6666666666666667</v>
      </c>
      <c r="AY87" s="2">
        <f t="shared" si="46"/>
        <v>0</v>
      </c>
      <c r="AZ87" s="2">
        <f t="shared" si="47"/>
        <v>0</v>
      </c>
      <c r="BA87">
        <f t="shared" si="48"/>
        <v>0</v>
      </c>
      <c r="BB87">
        <f>IFERROR(Player_Analysis!$Y87,1)</f>
        <v>0.95673010380622836</v>
      </c>
      <c r="BC87">
        <f t="shared" si="49"/>
        <v>0</v>
      </c>
      <c r="BD87">
        <f t="shared" si="50"/>
        <v>0</v>
      </c>
      <c r="BE87">
        <f t="shared" si="51"/>
        <v>0</v>
      </c>
      <c r="BF87">
        <f t="shared" si="52"/>
        <v>253</v>
      </c>
      <c r="BG87">
        <f>IF($BE87="","",COUNTIFS($C$2:$C$596,$C87,$BE$2:$BE$596,"&gt;"&amp;$BE87)+COUNTIFS($C$2:$C87,$C87,$BE$2:$BE87,$BE87))</f>
        <v>137</v>
      </c>
    </row>
    <row r="88" spans="1:59" x14ac:dyDescent="0.25">
      <c r="A88" t="str">
        <f>Player_Analysis!A88</f>
        <v>Francisco Evanilson de Lima Barbosa</v>
      </c>
      <c r="B88">
        <f>Player_Analysis!C88</f>
        <v>3</v>
      </c>
      <c r="C88" t="str">
        <f>Player_Analysis!B88</f>
        <v>FWD</v>
      </c>
      <c r="D88" s="13">
        <f>Player_Analysis!E88</f>
        <v>6</v>
      </c>
      <c r="E88">
        <f>Player_Analysis!I88</f>
        <v>244</v>
      </c>
      <c r="F88" s="8">
        <f>Player_Analysis!Z88</f>
        <v>3</v>
      </c>
      <c r="G88" s="17">
        <f t="shared" si="27"/>
        <v>1</v>
      </c>
      <c r="H88">
        <f t="shared" si="28"/>
        <v>90</v>
      </c>
      <c r="I88" s="8">
        <f>Player_Analysis!AF88</f>
        <v>0</v>
      </c>
      <c r="J88" s="8">
        <f>Player_Analysis!AG88</f>
        <v>2</v>
      </c>
      <c r="K88">
        <f>Player_Analysis!O88</f>
        <v>0.71</v>
      </c>
      <c r="L88">
        <f>Player_Analysis!P88</f>
        <v>0.26</v>
      </c>
      <c r="M88">
        <f t="shared" si="29"/>
        <v>0.26188524590163931</v>
      </c>
      <c r="N88">
        <f t="shared" si="30"/>
        <v>9.590163934426231E-2</v>
      </c>
      <c r="O88" s="2">
        <f>IF(E88=0,"",Player_Analysis!L88/E88*90)</f>
        <v>4.057377049180328</v>
      </c>
      <c r="P88">
        <f>IF(E88=0,"",Player_Analysis!Q88/E88*90)</f>
        <v>0.35778688524590163</v>
      </c>
      <c r="Q88">
        <f>IF(E88=0,"",(Player_Analysis!AD88/E88)*90)</f>
        <v>11.803278688524591</v>
      </c>
      <c r="R88">
        <f>IF(E88=0,"",Player_Analysis!AA88/E88*90)</f>
        <v>6.639344262295082</v>
      </c>
      <c r="S88" t="str">
        <f t="array" ref="S88">IFERROR(INDEX('2023_24'!$O:$O,MATCH($A88,'2023_24'!$A:$A,0)),"")</f>
        <v/>
      </c>
      <c r="T88">
        <f>IFERROR(INDEX('2024_25'!$P:$P,MATCH($A88,'2024_25'!$A:$A,0)),"")</f>
        <v>0.48437634872680196</v>
      </c>
      <c r="U88">
        <f>IFERROR(INDEX('2025_26'!$P:$P,MATCH($A88,'2025_26'!$A:$A,0)),"")</f>
        <v>0.34936154688070048</v>
      </c>
      <c r="V88" t="str">
        <f>IFERROR(INDEX('2023_24'!$P:$P,MATCH($A88,'2023_24'!$A:$A,0)),"")</f>
        <v/>
      </c>
      <c r="W88">
        <f>IFERROR(INDEX('2024_25'!$Q:$Q,MATCH($A88,'2024_25'!$A:$A,0)),"")</f>
        <v>6.7587397496763055E-2</v>
      </c>
      <c r="X88">
        <f>IFERROR(INDEX('2025_26'!$Q:$Q,MATCH($A88,'2025_26'!$A:$A,0)),"")</f>
        <v>4.8595403137541043E-2</v>
      </c>
      <c r="Y88" t="str">
        <f>IFERROR(INDEX('2023_24'!$M:$M,MATCH($A88,'2023_24'!$A:$A,0))/INDEX('2023_24'!$G:$G,MATCH($A88,'2023_24'!$A:$A,0))*90,"")</f>
        <v/>
      </c>
      <c r="Z88">
        <f>IFERROR(INDEX('2024_25'!$M:$M,MATCH($A88,'2024_25'!$A:$A,0))/INDEX('2024_25'!$G:$G,MATCH($A88,'2024_25'!$A:$A,0))*90,"")</f>
        <v>4.9719464825205009</v>
      </c>
      <c r="AA88">
        <f>IFERROR(INDEX('2025_26'!$M:$M,MATCH($A88,'2025_26'!$A:$A,0))/INDEX('2025_26'!$G:$G,MATCH($A88,'2025_26'!$A:$A,0))*90,"")</f>
        <v>3.7759941627143379</v>
      </c>
      <c r="AB88">
        <f>IFERROR(SUMPRODUCT(S88:U88,{0.2,0.3,0.5})/SUMPRODUCT(--(S88:U88&lt;&gt;""),{0.2,0.3,0.5}),"")</f>
        <v>0.39999209757298854</v>
      </c>
      <c r="AC88">
        <f>IFERROR(SUMPRODUCT(V88:X88,{0.2,0.3,0.5})/SUMPRODUCT(--(V88:X88&lt;&gt;""),{0.2,0.3,0.5}),"")</f>
        <v>5.5717401022249299E-2</v>
      </c>
      <c r="AD88">
        <f>IFERROR(SUMPRODUCT(Y88:AA88,{0.2,0.3,0.5})/SUMPRODUCT((Y88:AA88&lt;&gt;"")*{0.2,0.3,0.5}),O88)</f>
        <v>4.2244762826416489</v>
      </c>
      <c r="AE88">
        <f t="shared" si="31"/>
        <v>2</v>
      </c>
      <c r="AF88">
        <f t="shared" si="32"/>
        <v>81.333333333333329</v>
      </c>
      <c r="AG88">
        <f t="shared" si="33"/>
        <v>0.2876651915469578</v>
      </c>
      <c r="AH88">
        <f t="shared" si="34"/>
        <v>8.8400581524153213E-2</v>
      </c>
      <c r="AI88" s="2">
        <f t="shared" si="35"/>
        <v>4.0885689060931076</v>
      </c>
      <c r="AJ88">
        <f t="shared" si="36"/>
        <v>0.81333333333333335</v>
      </c>
      <c r="AK88" t="str">
        <f t="shared" si="37"/>
        <v>NO</v>
      </c>
      <c r="AL88">
        <f t="shared" si="38"/>
        <v>0.2876651915469578</v>
      </c>
      <c r="AM88">
        <f t="shared" si="39"/>
        <v>8.8400581524153213E-2</v>
      </c>
      <c r="AN88">
        <f t="shared" si="40"/>
        <v>0.2876651915469578</v>
      </c>
      <c r="AO88">
        <f t="shared" si="41"/>
        <v>8.8400581524153213E-2</v>
      </c>
      <c r="AP88">
        <f t="array" ref="AP88">AL88*IF($C88="GKP",10,IF($C88="DEF",6,IF($C88="MID",5,4)))</f>
        <v>1.1506607661878312</v>
      </c>
      <c r="AQ88">
        <f t="shared" si="42"/>
        <v>0.26520174457245965</v>
      </c>
      <c r="AR88">
        <f t="shared" si="43"/>
        <v>2</v>
      </c>
      <c r="AS88" s="2">
        <f>IF($H88=0,0,Player_Analysis!$AM88*$H88/90)</f>
        <v>0</v>
      </c>
      <c r="AT88">
        <f t="shared" si="44"/>
        <v>1.1065573770491803</v>
      </c>
      <c r="AU88" s="2">
        <f>0</f>
        <v>0</v>
      </c>
      <c r="AV88" s="2">
        <f>IF(INDEX(FPL_Raw_Data!K:K,MATCH(A88,FPL_Raw_Data!AA:AA,0))=0,"",INDEX(FPL_Raw_Data!P:P,MATCH(A88,FPL_Raw_Data!AA:AA,0))/INDEX(FPL_Raw_Data!K:K,MATCH(A88,FPL_Raw_Data!AA:AA,0))*90)</f>
        <v>0</v>
      </c>
      <c r="AW88" s="2">
        <f t="shared" si="45"/>
        <v>0</v>
      </c>
      <c r="AX88" s="2">
        <f>IFERROR(INDEX(TEAM_ANALYSIS!$H$2:$H$21,MATCH($B88,TEAM_ANALYSIS!$A$2:$A$21,0)),0)</f>
        <v>1.6666666666666667</v>
      </c>
      <c r="AY88" s="2">
        <f t="shared" si="46"/>
        <v>0</v>
      </c>
      <c r="AZ88" s="2">
        <f t="shared" si="47"/>
        <v>4.5224198878094715</v>
      </c>
      <c r="BA88">
        <f t="shared" si="48"/>
        <v>0.75373664796824524</v>
      </c>
      <c r="BB88">
        <f>IFERROR(Player_Analysis!$Y88,1)</f>
        <v>0.95673010380622836</v>
      </c>
      <c r="BC88">
        <f t="shared" si="49"/>
        <v>4.3267352487193076</v>
      </c>
      <c r="BD88">
        <f t="shared" si="50"/>
        <v>3.2612189230157429</v>
      </c>
      <c r="BE88">
        <f t="shared" si="51"/>
        <v>4.3267352487193076</v>
      </c>
      <c r="BF88">
        <f t="shared" si="52"/>
        <v>136</v>
      </c>
      <c r="BG88">
        <f>IF($BE88="","",COUNTIFS($C$2:$C$596,$C88,$BE$2:$BE$596,"&gt;"&amp;$BE88)+COUNTIFS($C$2:$C88,$C88,$BE$2:$BE88,$BE88))</f>
        <v>15</v>
      </c>
    </row>
    <row r="89" spans="1:59" x14ac:dyDescent="0.25">
      <c r="A89" t="str">
        <f>Player_Analysis!A89</f>
        <v>Enes Ünal</v>
      </c>
      <c r="B89">
        <f>Player_Analysis!C89</f>
        <v>3</v>
      </c>
      <c r="C89" t="str">
        <f>Player_Analysis!B89</f>
        <v>FWD</v>
      </c>
      <c r="D89" s="13">
        <f>Player_Analysis!E89</f>
        <v>5.5</v>
      </c>
      <c r="E89">
        <f>Player_Analysis!I89</f>
        <v>0</v>
      </c>
      <c r="F89" s="8">
        <f>Player_Analysis!Z89</f>
        <v>0</v>
      </c>
      <c r="G89" s="17">
        <f t="shared" si="27"/>
        <v>0</v>
      </c>
      <c r="H89">
        <f t="shared" si="28"/>
        <v>0</v>
      </c>
      <c r="I89" s="8">
        <f>Player_Analysis!AF89</f>
        <v>0</v>
      </c>
      <c r="J89" s="8">
        <f>Player_Analysis!AG89</f>
        <v>0</v>
      </c>
      <c r="K89">
        <f>Player_Analysis!O89</f>
        <v>0</v>
      </c>
      <c r="L89">
        <f>Player_Analysis!P89</f>
        <v>0</v>
      </c>
      <c r="M89" t="str">
        <f t="shared" si="29"/>
        <v/>
      </c>
      <c r="N89" t="str">
        <f t="shared" si="30"/>
        <v/>
      </c>
      <c r="O89" s="2" t="str">
        <f>IF(E89=0,"",Player_Analysis!L89/E89*90)</f>
        <v/>
      </c>
      <c r="P89" t="str">
        <f>IF(E89=0,"",Player_Analysis!Q89/E89*90)</f>
        <v/>
      </c>
      <c r="Q89" t="str">
        <f>IF(E89=0,"",(Player_Analysis!AD89/E89)*90)</f>
        <v/>
      </c>
      <c r="R89" t="str">
        <f>IF(E89=0,"",Player_Analysis!AA89/E89*90)</f>
        <v/>
      </c>
      <c r="S89">
        <f t="array" ref="S89">IFERROR(INDEX('2023_24'!$O:$O,MATCH($A89,'2023_24'!$A:$A,0)),"")</f>
        <v>0.80630914826498423</v>
      </c>
      <c r="T89">
        <f>IFERROR(INDEX('2024_25'!$P:$P,MATCH($A89,'2024_25'!$A:$A,0)),"")</f>
        <v>0.74454545454545451</v>
      </c>
      <c r="U89">
        <f>IFERROR(INDEX('2025_26'!$P:$P,MATCH($A89,'2025_26'!$A:$A,0)),"")</f>
        <v>0.84112149532710279</v>
      </c>
      <c r="V89">
        <f>IFERROR(INDEX('2023_24'!$P:$P,MATCH($A89,'2023_24'!$A:$A,0)),"")</f>
        <v>3.6908517350157731E-2</v>
      </c>
      <c r="W89">
        <f>IFERROR(INDEX('2024_25'!$Q:$Q,MATCH($A89,'2024_25'!$A:$A,0)),"")</f>
        <v>7.0909090909090908E-2</v>
      </c>
      <c r="X89">
        <f>IFERROR(INDEX('2025_26'!$Q:$Q,MATCH($A89,'2025_26'!$A:$A,0)),"")</f>
        <v>2.9439252336448601E-2</v>
      </c>
      <c r="Y89">
        <f>IFERROR(INDEX('2023_24'!$M:$M,MATCH($A89,'2023_24'!$A:$A,0))/INDEX('2023_24'!$G:$G,MATCH($A89,'2023_24'!$A:$A,0))*90,"")</f>
        <v>11.356466876971608</v>
      </c>
      <c r="Z89">
        <f>IFERROR(INDEX('2024_25'!$M:$M,MATCH($A89,'2024_25'!$A:$A,0))/INDEX('2024_25'!$G:$G,MATCH($A89,'2024_25'!$A:$A,0))*90,"")</f>
        <v>8.7272727272727266</v>
      </c>
      <c r="AA89">
        <f>IFERROR(INDEX('2025_26'!$M:$M,MATCH($A89,'2025_26'!$A:$A,0))/INDEX('2025_26'!$G:$G,MATCH($A89,'2025_26'!$A:$A,0))*90,"")</f>
        <v>11.355140186915886</v>
      </c>
      <c r="AB89">
        <f>IFERROR(SUMPRODUCT(S89:U89,{0.2,0.3,0.5})/SUMPRODUCT(--(S89:U89&lt;&gt;""),{0.2,0.3,0.5}),"")</f>
        <v>0.80518621368018461</v>
      </c>
      <c r="AC89">
        <f>IFERROR(SUMPRODUCT(V89:X89,{0.2,0.3,0.5})/SUMPRODUCT(--(V89:X89&lt;&gt;""),{0.2,0.3,0.5}),"")</f>
        <v>4.3374056910983123E-2</v>
      </c>
      <c r="AD89">
        <f>IFERROR(SUMPRODUCT(Y89:AA89,{0.2,0.3,0.5})/SUMPRODUCT((Y89:AA89&lt;&gt;"")*{0.2,0.3,0.5}),O89)</f>
        <v>10.567045287034082</v>
      </c>
      <c r="AE89">
        <f t="shared" si="31"/>
        <v>3</v>
      </c>
      <c r="AF89" t="str">
        <f t="shared" si="32"/>
        <v/>
      </c>
      <c r="AG89">
        <f t="shared" si="33"/>
        <v>0.80518621368018461</v>
      </c>
      <c r="AH89">
        <f t="shared" si="34"/>
        <v>4.3374056910983123E-2</v>
      </c>
      <c r="AI89" s="2">
        <f t="shared" si="35"/>
        <v>10.567045287034082</v>
      </c>
      <c r="AJ89">
        <f t="shared" si="36"/>
        <v>0</v>
      </c>
      <c r="AK89" t="str">
        <f t="shared" si="37"/>
        <v>NO</v>
      </c>
      <c r="AL89">
        <f t="shared" si="38"/>
        <v>0</v>
      </c>
      <c r="AM89">
        <f t="shared" si="39"/>
        <v>0</v>
      </c>
      <c r="AN89">
        <f t="shared" si="40"/>
        <v>0</v>
      </c>
      <c r="AO89">
        <f t="shared" si="41"/>
        <v>0</v>
      </c>
      <c r="AP89">
        <f t="array" ref="AP89">AL89*IF($C89="GKP",10,IF($C89="DEF",6,IF($C89="MID",5,4)))</f>
        <v>0</v>
      </c>
      <c r="AQ89">
        <f t="shared" si="42"/>
        <v>0</v>
      </c>
      <c r="AR89">
        <f t="shared" si="43"/>
        <v>0</v>
      </c>
      <c r="AS89" s="2">
        <f>IF($H89=0,0,Player_Analysis!$AM89*$H89/90)</f>
        <v>0</v>
      </c>
      <c r="AT89">
        <f t="shared" si="44"/>
        <v>0</v>
      </c>
      <c r="AU89" s="2">
        <f>0</f>
        <v>0</v>
      </c>
      <c r="AV89" s="2" t="str">
        <f>IF(INDEX(FPL_Raw_Data!K:K,MATCH(A89,FPL_Raw_Data!AA:AA,0))=0,"",INDEX(FPL_Raw_Data!P:P,MATCH(A89,FPL_Raw_Data!AA:AA,0))/INDEX(FPL_Raw_Data!K:K,MATCH(A89,FPL_Raw_Data!AA:AA,0))*90)</f>
        <v/>
      </c>
      <c r="AW89" s="2">
        <f t="shared" si="45"/>
        <v>0</v>
      </c>
      <c r="AX89" s="2">
        <f>IFERROR(INDEX(TEAM_ANALYSIS!$H$2:$H$21,MATCH($B89,TEAM_ANALYSIS!$A$2:$A$21,0)),0)</f>
        <v>1.6666666666666667</v>
      </c>
      <c r="AY89" s="2">
        <f t="shared" si="46"/>
        <v>0</v>
      </c>
      <c r="AZ89" s="2">
        <f t="shared" si="47"/>
        <v>0</v>
      </c>
      <c r="BA89">
        <f t="shared" si="48"/>
        <v>0</v>
      </c>
      <c r="BB89">
        <f>IFERROR(Player_Analysis!$Y89,1)</f>
        <v>0.95673010380622836</v>
      </c>
      <c r="BC89">
        <f t="shared" si="49"/>
        <v>0</v>
      </c>
      <c r="BD89">
        <f t="shared" si="50"/>
        <v>0</v>
      </c>
      <c r="BE89">
        <f t="shared" si="51"/>
        <v>0</v>
      </c>
      <c r="BF89">
        <f t="shared" si="52"/>
        <v>253</v>
      </c>
      <c r="BG89">
        <f>IF($BE89="","",COUNTIFS($C$2:$C$596,$C89,$BE$2:$BE$596,"&gt;"&amp;$BE89)+COUNTIFS($C$2:$C89,$C89,$BE$2:$BE89,$BE89))</f>
        <v>31</v>
      </c>
    </row>
    <row r="90" spans="1:59" x14ac:dyDescent="0.25">
      <c r="A90" t="str">
        <f>Player_Analysis!A90</f>
        <v>Álvaro Rodríguez</v>
      </c>
      <c r="B90">
        <f>Player_Analysis!C90</f>
        <v>3</v>
      </c>
      <c r="C90" t="str">
        <f>Player_Analysis!B90</f>
        <v>FWD</v>
      </c>
      <c r="D90" s="13">
        <f>Player_Analysis!E90</f>
        <v>6</v>
      </c>
      <c r="E90">
        <f>Player_Analysis!I90</f>
        <v>9</v>
      </c>
      <c r="F90" s="8">
        <f>Player_Analysis!Z90</f>
        <v>0</v>
      </c>
      <c r="G90" s="17">
        <f t="shared" si="27"/>
        <v>0</v>
      </c>
      <c r="H90">
        <f t="shared" si="28"/>
        <v>0</v>
      </c>
      <c r="I90" s="8">
        <f>Player_Analysis!AF90</f>
        <v>0</v>
      </c>
      <c r="J90" s="8">
        <f>Player_Analysis!AG90</f>
        <v>0</v>
      </c>
      <c r="K90">
        <f>Player_Analysis!O90</f>
        <v>0</v>
      </c>
      <c r="L90">
        <f>Player_Analysis!P90</f>
        <v>0</v>
      </c>
      <c r="M90">
        <f t="shared" si="29"/>
        <v>0</v>
      </c>
      <c r="N90">
        <f t="shared" si="30"/>
        <v>0</v>
      </c>
      <c r="O90" s="2">
        <f>IF(E90=0,"",Player_Analysis!L90/E90*90)</f>
        <v>10</v>
      </c>
      <c r="P90">
        <f>IF(E90=0,"",Player_Analysis!Q90/E90*90)</f>
        <v>0</v>
      </c>
      <c r="Q90">
        <f>IF(E90=0,"",(Player_Analysis!AD90/E90)*90)</f>
        <v>40</v>
      </c>
      <c r="R90">
        <f>IF(E90=0,"",Player_Analysis!AA90/E90*90)</f>
        <v>10</v>
      </c>
      <c r="S90" t="str">
        <f t="array" ref="S90">IFERROR(INDEX('2023_24'!$O:$O,MATCH($A90,'2023_24'!$A:$A,0)),"")</f>
        <v/>
      </c>
      <c r="T90" t="str">
        <f>IFERROR(INDEX('2024_25'!$P:$P,MATCH($A90,'2024_25'!$A:$A,0)),"")</f>
        <v/>
      </c>
      <c r="U90" t="str">
        <f>IFERROR(INDEX('2025_26'!$P:$P,MATCH($A90,'2025_26'!$A:$A,0)),"")</f>
        <v/>
      </c>
      <c r="V90" t="str">
        <f>IFERROR(INDEX('2023_24'!$P:$P,MATCH($A90,'2023_24'!$A:$A,0)),"")</f>
        <v/>
      </c>
      <c r="W90" t="str">
        <f>IFERROR(INDEX('2024_25'!$Q:$Q,MATCH($A90,'2024_25'!$A:$A,0)),"")</f>
        <v/>
      </c>
      <c r="X90" t="str">
        <f>IFERROR(INDEX('2025_26'!$Q:$Q,MATCH($A90,'2025_26'!$A:$A,0)),"")</f>
        <v/>
      </c>
      <c r="Y90" t="str">
        <f>IFERROR(INDEX('2023_24'!$M:$M,MATCH($A90,'2023_24'!$A:$A,0))/INDEX('2023_24'!$G:$G,MATCH($A90,'2023_24'!$A:$A,0))*90,"")</f>
        <v/>
      </c>
      <c r="Z90" t="str">
        <f>IFERROR(INDEX('2024_25'!$M:$M,MATCH($A90,'2024_25'!$A:$A,0))/INDEX('2024_25'!$G:$G,MATCH($A90,'2024_25'!$A:$A,0))*90,"")</f>
        <v/>
      </c>
      <c r="AA90" t="str">
        <f>IFERROR(INDEX('2025_26'!$M:$M,MATCH($A90,'2025_26'!$A:$A,0))/INDEX('2025_26'!$G:$G,MATCH($A90,'2025_26'!$A:$A,0))*90,"")</f>
        <v/>
      </c>
      <c r="AB90" t="str">
        <f>IFERROR(SUMPRODUCT(S90:U90,{0.2,0.3,0.5})/SUMPRODUCT(--(S90:U90&lt;&gt;""),{0.2,0.3,0.5}),"")</f>
        <v/>
      </c>
      <c r="AC90" t="str">
        <f>IFERROR(SUMPRODUCT(V90:X90,{0.2,0.3,0.5})/SUMPRODUCT(--(V90:X90&lt;&gt;""),{0.2,0.3,0.5}),"")</f>
        <v/>
      </c>
      <c r="AD90">
        <f>IFERROR(SUMPRODUCT(Y90:AA90,{0.2,0.3,0.5})/SUMPRODUCT((Y90:AA90&lt;&gt;"")*{0.2,0.3,0.5}),O90)</f>
        <v>10</v>
      </c>
      <c r="AE90">
        <f t="shared" si="31"/>
        <v>0</v>
      </c>
      <c r="AF90" t="str">
        <f t="shared" si="32"/>
        <v/>
      </c>
      <c r="AG90">
        <f t="shared" si="33"/>
        <v>0</v>
      </c>
      <c r="AH90">
        <f t="shared" si="34"/>
        <v>0</v>
      </c>
      <c r="AI90" s="2">
        <f t="shared" si="35"/>
        <v>10</v>
      </c>
      <c r="AJ90">
        <f t="shared" si="36"/>
        <v>0.03</v>
      </c>
      <c r="AK90" t="str">
        <f t="shared" si="37"/>
        <v>YES</v>
      </c>
      <c r="AL90">
        <f t="shared" si="38"/>
        <v>0</v>
      </c>
      <c r="AM90">
        <f t="shared" si="39"/>
        <v>0</v>
      </c>
      <c r="AN90">
        <f t="shared" si="40"/>
        <v>0</v>
      </c>
      <c r="AO90">
        <f t="shared" si="41"/>
        <v>0</v>
      </c>
      <c r="AP90">
        <f t="array" ref="AP90">AL90*IF($C90="GKP",10,IF($C90="DEF",6,IF($C90="MID",5,4)))</f>
        <v>0</v>
      </c>
      <c r="AQ90">
        <f t="shared" si="42"/>
        <v>0</v>
      </c>
      <c r="AR90">
        <f t="shared" si="43"/>
        <v>0</v>
      </c>
      <c r="AS90" s="2">
        <f>IF($H90=0,0,Player_Analysis!$AM90*$H90/90)</f>
        <v>0</v>
      </c>
      <c r="AT90">
        <f t="shared" si="44"/>
        <v>0</v>
      </c>
      <c r="AU90" s="2">
        <f>0</f>
        <v>0</v>
      </c>
      <c r="AV90" s="2">
        <f>IF(INDEX(FPL_Raw_Data!K:K,MATCH(A90,FPL_Raw_Data!AA:AA,0))=0,"",INDEX(FPL_Raw_Data!P:P,MATCH(A90,FPL_Raw_Data!AA:AA,0))/INDEX(FPL_Raw_Data!K:K,MATCH(A90,FPL_Raw_Data!AA:AA,0))*90)</f>
        <v>0</v>
      </c>
      <c r="AW90" s="2">
        <f t="shared" si="45"/>
        <v>0</v>
      </c>
      <c r="AX90" s="2">
        <f>IFERROR(INDEX(TEAM_ANALYSIS!$H$2:$H$21,MATCH($B90,TEAM_ANALYSIS!$A$2:$A$21,0)),0)</f>
        <v>1.6666666666666667</v>
      </c>
      <c r="AY90" s="2">
        <f t="shared" si="46"/>
        <v>0</v>
      </c>
      <c r="AZ90" s="2">
        <f t="shared" si="47"/>
        <v>0</v>
      </c>
      <c r="BA90">
        <f t="shared" si="48"/>
        <v>0</v>
      </c>
      <c r="BB90">
        <f>IFERROR(Player_Analysis!$Y90,1)</f>
        <v>0.95673010380622836</v>
      </c>
      <c r="BC90">
        <f t="shared" si="49"/>
        <v>0</v>
      </c>
      <c r="BD90">
        <f t="shared" si="50"/>
        <v>0</v>
      </c>
      <c r="BE90">
        <f t="shared" si="51"/>
        <v>0</v>
      </c>
      <c r="BF90">
        <f t="shared" si="52"/>
        <v>253</v>
      </c>
      <c r="BG90">
        <f>IF($BE90="","",COUNTIFS($C$2:$C$596,$C90,$BE$2:$BE$596,"&gt;"&amp;$BE90)+COUNTIFS($C$2:$C90,$C90,$BE$2:$BE90,$BE90))</f>
        <v>32</v>
      </c>
    </row>
    <row r="91" spans="1:59" x14ac:dyDescent="0.25">
      <c r="A91" t="str">
        <f>Player_Analysis!A91</f>
        <v>António João Pereira de Albuquerque Tavares da Silva</v>
      </c>
      <c r="B91">
        <f>Player_Analysis!C91</f>
        <v>3</v>
      </c>
      <c r="C91" t="str">
        <f>Player_Analysis!B91</f>
        <v>DEF</v>
      </c>
      <c r="D91" s="13">
        <f>Player_Analysis!E91</f>
        <v>5</v>
      </c>
      <c r="E91">
        <f>Player_Analysis!I91</f>
        <v>270</v>
      </c>
      <c r="F91" s="8">
        <f>Player_Analysis!Z91</f>
        <v>3</v>
      </c>
      <c r="G91" s="17">
        <f t="shared" si="27"/>
        <v>1</v>
      </c>
      <c r="H91">
        <f t="shared" si="28"/>
        <v>90</v>
      </c>
      <c r="I91" s="8">
        <f>Player_Analysis!AF91</f>
        <v>0</v>
      </c>
      <c r="J91" s="8">
        <f>Player_Analysis!AG91</f>
        <v>0</v>
      </c>
      <c r="K91">
        <f>Player_Analysis!O91</f>
        <v>0.27</v>
      </c>
      <c r="L91">
        <f>Player_Analysis!P91</f>
        <v>0.04</v>
      </c>
      <c r="M91">
        <f t="shared" si="29"/>
        <v>0.09</v>
      </c>
      <c r="N91">
        <f t="shared" si="30"/>
        <v>1.3333333333333332E-2</v>
      </c>
      <c r="O91" s="2">
        <f>IF(E91=0,"",Player_Analysis!L91/E91*90)</f>
        <v>2.3333333333333335</v>
      </c>
      <c r="P91">
        <f>IF(E91=0,"",Player_Analysis!Q91/E91*90)</f>
        <v>0.10333333333333333</v>
      </c>
      <c r="Q91">
        <f>IF(E91=0,"",(Player_Analysis!AD91/E91)*90)</f>
        <v>8</v>
      </c>
      <c r="R91">
        <f>IF(E91=0,"",Player_Analysis!AA91/E91*90)</f>
        <v>10.333333333333334</v>
      </c>
      <c r="S91" t="str">
        <f t="array" ref="S91">IFERROR(INDEX('2023_24'!$O:$O,MATCH($A91,'2023_24'!$A:$A,0)),"")</f>
        <v/>
      </c>
      <c r="T91" t="str">
        <f>IFERROR(INDEX('2024_25'!$P:$P,MATCH($A91,'2024_25'!$A:$A,0)),"")</f>
        <v/>
      </c>
      <c r="U91" t="str">
        <f>IFERROR(INDEX('2025_26'!$P:$P,MATCH($A91,'2025_26'!$A:$A,0)),"")</f>
        <v/>
      </c>
      <c r="V91" t="str">
        <f>IFERROR(INDEX('2023_24'!$P:$P,MATCH($A91,'2023_24'!$A:$A,0)),"")</f>
        <v/>
      </c>
      <c r="W91" t="str">
        <f>IFERROR(INDEX('2024_25'!$Q:$Q,MATCH($A91,'2024_25'!$A:$A,0)),"")</f>
        <v/>
      </c>
      <c r="X91" t="str">
        <f>IFERROR(INDEX('2025_26'!$Q:$Q,MATCH($A91,'2025_26'!$A:$A,0)),"")</f>
        <v/>
      </c>
      <c r="Y91" t="str">
        <f>IFERROR(INDEX('2023_24'!$M:$M,MATCH($A91,'2023_24'!$A:$A,0))/INDEX('2023_24'!$G:$G,MATCH($A91,'2023_24'!$A:$A,0))*90,"")</f>
        <v/>
      </c>
      <c r="Z91" t="str">
        <f>IFERROR(INDEX('2024_25'!$M:$M,MATCH($A91,'2024_25'!$A:$A,0))/INDEX('2024_25'!$G:$G,MATCH($A91,'2024_25'!$A:$A,0))*90,"")</f>
        <v/>
      </c>
      <c r="AA91" t="str">
        <f>IFERROR(INDEX('2025_26'!$M:$M,MATCH($A91,'2025_26'!$A:$A,0))/INDEX('2025_26'!$G:$G,MATCH($A91,'2025_26'!$A:$A,0))*90,"")</f>
        <v/>
      </c>
      <c r="AB91" t="str">
        <f>IFERROR(SUMPRODUCT(S91:U91,{0.2,0.3,0.5})/SUMPRODUCT(--(S91:U91&lt;&gt;""),{0.2,0.3,0.5}),"")</f>
        <v/>
      </c>
      <c r="AC91" t="str">
        <f>IFERROR(SUMPRODUCT(V91:X91,{0.2,0.3,0.5})/SUMPRODUCT(--(V91:X91&lt;&gt;""),{0.2,0.3,0.5}),"")</f>
        <v/>
      </c>
      <c r="AD91">
        <f>IFERROR(SUMPRODUCT(Y91:AA91,{0.2,0.3,0.5})/SUMPRODUCT((Y91:AA91&lt;&gt;"")*{0.2,0.3,0.5}),O91)</f>
        <v>2.3333333333333335</v>
      </c>
      <c r="AE91">
        <f t="shared" si="31"/>
        <v>0</v>
      </c>
      <c r="AF91">
        <f t="shared" si="32"/>
        <v>90</v>
      </c>
      <c r="AG91">
        <f t="shared" si="33"/>
        <v>0.09</v>
      </c>
      <c r="AH91">
        <f t="shared" si="34"/>
        <v>1.3333333333333332E-2</v>
      </c>
      <c r="AI91" s="2">
        <f t="shared" si="35"/>
        <v>2.3333333333333335</v>
      </c>
      <c r="AJ91">
        <f t="shared" si="36"/>
        <v>0.9</v>
      </c>
      <c r="AK91" t="str">
        <f t="shared" si="37"/>
        <v>YES</v>
      </c>
      <c r="AL91">
        <f t="shared" si="38"/>
        <v>0.09</v>
      </c>
      <c r="AM91">
        <f t="shared" si="39"/>
        <v>1.3333333333333332E-2</v>
      </c>
      <c r="AN91">
        <f t="shared" si="40"/>
        <v>0.09</v>
      </c>
      <c r="AO91">
        <f t="shared" si="41"/>
        <v>1.3333333333333332E-2</v>
      </c>
      <c r="AP91">
        <f t="array" ref="AP91">AL91*IF($C91="GKP",10,IF($C91="DEF",6,IF($C91="MID",5,4)))</f>
        <v>0.54</v>
      </c>
      <c r="AQ91">
        <f t="shared" si="42"/>
        <v>3.9999999999999994E-2</v>
      </c>
      <c r="AR91">
        <f t="shared" si="43"/>
        <v>2</v>
      </c>
      <c r="AS91" s="2">
        <f>IF($H91=0,0,Player_Analysis!$AM91*$H91/90)</f>
        <v>0</v>
      </c>
      <c r="AT91">
        <f t="shared" si="44"/>
        <v>2.0666666666666669</v>
      </c>
      <c r="AU91" s="2">
        <f>0</f>
        <v>0</v>
      </c>
      <c r="AV91" s="2">
        <f>IF(INDEX(FPL_Raw_Data!K:K,MATCH(A91,FPL_Raw_Data!AA:AA,0))=0,"",INDEX(FPL_Raw_Data!P:P,MATCH(A91,FPL_Raw_Data!AA:AA,0))/INDEX(FPL_Raw_Data!K:K,MATCH(A91,FPL_Raw_Data!AA:AA,0))*90)</f>
        <v>0</v>
      </c>
      <c r="AW91" s="2">
        <f t="shared" si="45"/>
        <v>0</v>
      </c>
      <c r="AX91" s="2">
        <f>IFERROR(INDEX(TEAM_ANALYSIS!$H$2:$H$21,MATCH($B91,TEAM_ANALYSIS!$A$2:$A$21,0)),0)</f>
        <v>1.6666666666666667</v>
      </c>
      <c r="AY91" s="2">
        <f t="shared" si="46"/>
        <v>-0.83333333333333337</v>
      </c>
      <c r="AZ91" s="2">
        <f t="shared" si="47"/>
        <v>3.813333333333333</v>
      </c>
      <c r="BA91">
        <f t="shared" si="48"/>
        <v>0.7626666666666666</v>
      </c>
      <c r="BB91">
        <f>IFERROR(Player_Analysis!$Y91,1)</f>
        <v>0.85492657615677192</v>
      </c>
      <c r="BC91">
        <f t="shared" si="49"/>
        <v>3.2601200104111565</v>
      </c>
      <c r="BD91">
        <f t="shared" si="50"/>
        <v>2.4863848612735753</v>
      </c>
      <c r="BE91">
        <f t="shared" si="51"/>
        <v>3.2601200104111565</v>
      </c>
      <c r="BF91">
        <f t="shared" si="52"/>
        <v>190</v>
      </c>
      <c r="BG91">
        <f>IF($BE91="","",COUNTIFS($C$2:$C$596,$C91,$BE$2:$BE$596,"&gt;"&amp;$BE91)+COUNTIFS($C$2:$C91,$C91,$BE$2:$BE91,$BE91))</f>
        <v>60</v>
      </c>
    </row>
    <row r="92" spans="1:59" x14ac:dyDescent="0.25">
      <c r="A92" t="str">
        <f>Player_Analysis!A92</f>
        <v>Juanlu Sánchez</v>
      </c>
      <c r="B92">
        <f>Player_Analysis!C92</f>
        <v>3</v>
      </c>
      <c r="C92" t="str">
        <f>Player_Analysis!B92</f>
        <v>DEF</v>
      </c>
      <c r="D92" s="13">
        <f>Player_Analysis!E92</f>
        <v>4.5</v>
      </c>
      <c r="E92">
        <f>Player_Analysis!I92</f>
        <v>0</v>
      </c>
      <c r="F92" s="8">
        <f>Player_Analysis!Z92</f>
        <v>0</v>
      </c>
      <c r="G92" s="17">
        <f t="shared" si="27"/>
        <v>0</v>
      </c>
      <c r="H92">
        <f t="shared" si="28"/>
        <v>0</v>
      </c>
      <c r="I92" s="8">
        <f>Player_Analysis!AF92</f>
        <v>0</v>
      </c>
      <c r="J92" s="8">
        <f>Player_Analysis!AG92</f>
        <v>0</v>
      </c>
      <c r="K92">
        <f>Player_Analysis!O92</f>
        <v>0</v>
      </c>
      <c r="L92">
        <f>Player_Analysis!P92</f>
        <v>0</v>
      </c>
      <c r="M92" t="str">
        <f t="shared" si="29"/>
        <v/>
      </c>
      <c r="N92" t="str">
        <f t="shared" si="30"/>
        <v/>
      </c>
      <c r="O92" s="2" t="str">
        <f>IF(E92=0,"",Player_Analysis!L92/E92*90)</f>
        <v/>
      </c>
      <c r="P92" t="str">
        <f>IF(E92=0,"",Player_Analysis!Q92/E92*90)</f>
        <v/>
      </c>
      <c r="Q92" t="str">
        <f>IF(E92=0,"",(Player_Analysis!AD92/E92)*90)</f>
        <v/>
      </c>
      <c r="R92" t="str">
        <f>IF(E92=0,"",Player_Analysis!AA92/E92*90)</f>
        <v/>
      </c>
      <c r="S92" t="str">
        <f t="array" ref="S92">IFERROR(INDEX('2023_24'!$O:$O,MATCH($A92,'2023_24'!$A:$A,0)),"")</f>
        <v/>
      </c>
      <c r="T92" t="str">
        <f>IFERROR(INDEX('2024_25'!$P:$P,MATCH($A92,'2024_25'!$A:$A,0)),"")</f>
        <v/>
      </c>
      <c r="U92" t="str">
        <f>IFERROR(INDEX('2025_26'!$P:$P,MATCH($A92,'2025_26'!$A:$A,0)),"")</f>
        <v/>
      </c>
      <c r="V92" t="str">
        <f>IFERROR(INDEX('2023_24'!$P:$P,MATCH($A92,'2023_24'!$A:$A,0)),"")</f>
        <v/>
      </c>
      <c r="W92" t="str">
        <f>IFERROR(INDEX('2024_25'!$Q:$Q,MATCH($A92,'2024_25'!$A:$A,0)),"")</f>
        <v/>
      </c>
      <c r="X92" t="str">
        <f>IFERROR(INDEX('2025_26'!$Q:$Q,MATCH($A92,'2025_26'!$A:$A,0)),"")</f>
        <v/>
      </c>
      <c r="Y92" t="str">
        <f>IFERROR(INDEX('2023_24'!$M:$M,MATCH($A92,'2023_24'!$A:$A,0))/INDEX('2023_24'!$G:$G,MATCH($A92,'2023_24'!$A:$A,0))*90,"")</f>
        <v/>
      </c>
      <c r="Z92" t="str">
        <f>IFERROR(INDEX('2024_25'!$M:$M,MATCH($A92,'2024_25'!$A:$A,0))/INDEX('2024_25'!$G:$G,MATCH($A92,'2024_25'!$A:$A,0))*90,"")</f>
        <v/>
      </c>
      <c r="AA92" t="str">
        <f>IFERROR(INDEX('2025_26'!$M:$M,MATCH($A92,'2025_26'!$A:$A,0))/INDEX('2025_26'!$G:$G,MATCH($A92,'2025_26'!$A:$A,0))*90,"")</f>
        <v/>
      </c>
      <c r="AB92" t="str">
        <f>IFERROR(SUMPRODUCT(S92:U92,{0.2,0.3,0.5})/SUMPRODUCT(--(S92:U92&lt;&gt;""),{0.2,0.3,0.5}),"")</f>
        <v/>
      </c>
      <c r="AC92" t="str">
        <f>IFERROR(SUMPRODUCT(V92:X92,{0.2,0.3,0.5})/SUMPRODUCT(--(V92:X92&lt;&gt;""),{0.2,0.3,0.5}),"")</f>
        <v/>
      </c>
      <c r="AD92" t="str">
        <f>IFERROR(SUMPRODUCT(Y92:AA92,{0.2,0.3,0.5})/SUMPRODUCT((Y92:AA92&lt;&gt;"")*{0.2,0.3,0.5}),O92)</f>
        <v/>
      </c>
      <c r="AE92">
        <f t="shared" si="31"/>
        <v>0</v>
      </c>
      <c r="AF92" t="str">
        <f t="shared" si="32"/>
        <v/>
      </c>
      <c r="AG92">
        <f t="shared" si="33"/>
        <v>0</v>
      </c>
      <c r="AH92">
        <f t="shared" si="34"/>
        <v>0</v>
      </c>
      <c r="AI92" s="2">
        <f t="shared" si="35"/>
        <v>0</v>
      </c>
      <c r="AJ92">
        <f t="shared" si="36"/>
        <v>0</v>
      </c>
      <c r="AK92" t="str">
        <f t="shared" si="37"/>
        <v>YES</v>
      </c>
      <c r="AL92">
        <f t="shared" si="38"/>
        <v>0</v>
      </c>
      <c r="AM92">
        <f t="shared" si="39"/>
        <v>0</v>
      </c>
      <c r="AN92">
        <f t="shared" si="40"/>
        <v>0</v>
      </c>
      <c r="AO92">
        <f t="shared" si="41"/>
        <v>0</v>
      </c>
      <c r="AP92">
        <f t="array" ref="AP92">AL92*IF($C92="GKP",10,IF($C92="DEF",6,IF($C92="MID",5,4)))</f>
        <v>0</v>
      </c>
      <c r="AQ92">
        <f t="shared" si="42"/>
        <v>0</v>
      </c>
      <c r="AR92">
        <f t="shared" si="43"/>
        <v>0</v>
      </c>
      <c r="AS92" s="2">
        <f>IF($H92=0,0,Player_Analysis!$AM92*$H92/90)</f>
        <v>0</v>
      </c>
      <c r="AT92">
        <f t="shared" si="44"/>
        <v>0</v>
      </c>
      <c r="AU92" s="2">
        <f>0</f>
        <v>0</v>
      </c>
      <c r="AV92" s="2" t="str">
        <f>IF(INDEX(FPL_Raw_Data!K:K,MATCH(A92,FPL_Raw_Data!AA:AA,0))=0,"",INDEX(FPL_Raw_Data!P:P,MATCH(A92,FPL_Raw_Data!AA:AA,0))/INDEX(FPL_Raw_Data!K:K,MATCH(A92,FPL_Raw_Data!AA:AA,0))*90)</f>
        <v/>
      </c>
      <c r="AW92" s="2">
        <f t="shared" si="45"/>
        <v>0</v>
      </c>
      <c r="AX92" s="2">
        <f>IFERROR(INDEX(TEAM_ANALYSIS!$H$2:$H$21,MATCH($B92,TEAM_ANALYSIS!$A$2:$A$21,0)),0)</f>
        <v>1.6666666666666667</v>
      </c>
      <c r="AY92" s="2">
        <f t="shared" si="46"/>
        <v>-0.83333333333333337</v>
      </c>
      <c r="AZ92" s="2">
        <f t="shared" si="47"/>
        <v>-0.83333333333333337</v>
      </c>
      <c r="BA92">
        <f t="shared" si="48"/>
        <v>-0.1851851851851852</v>
      </c>
      <c r="BB92">
        <f>IFERROR(Player_Analysis!$Y92,1)</f>
        <v>0.85492657615677192</v>
      </c>
      <c r="BC92">
        <f t="shared" si="49"/>
        <v>-0.71243881346397664</v>
      </c>
      <c r="BD92">
        <f t="shared" si="50"/>
        <v>0.13193311360444013</v>
      </c>
      <c r="BE92">
        <f t="shared" si="51"/>
        <v>-0.71243881346397664</v>
      </c>
      <c r="BF92">
        <f t="shared" si="52"/>
        <v>543</v>
      </c>
      <c r="BG92">
        <f>IF($BE92="","",COUNTIFS($C$2:$C$596,$C92,$BE$2:$BE$596,"&gt;"&amp;$BE92)+COUNTIFS($C$2:$C92,$C92,$BE$2:$BE92,$BE92))</f>
        <v>144</v>
      </c>
    </row>
    <row r="93" spans="1:59" x14ac:dyDescent="0.25">
      <c r="A93" t="str">
        <f>Player_Analysis!A93</f>
        <v>Daniel Jebbison</v>
      </c>
      <c r="B93">
        <f>Player_Analysis!C93</f>
        <v>3</v>
      </c>
      <c r="C93" t="str">
        <f>Player_Analysis!B93</f>
        <v>FWD</v>
      </c>
      <c r="D93" s="13">
        <f>Player_Analysis!E93</f>
        <v>5</v>
      </c>
      <c r="E93">
        <f>Player_Analysis!I93</f>
        <v>16</v>
      </c>
      <c r="F93" s="8">
        <f>Player_Analysis!Z93</f>
        <v>0</v>
      </c>
      <c r="G93" s="17">
        <f t="shared" si="27"/>
        <v>0</v>
      </c>
      <c r="H93">
        <f t="shared" si="28"/>
        <v>0</v>
      </c>
      <c r="I93" s="8">
        <f>Player_Analysis!AF93</f>
        <v>0</v>
      </c>
      <c r="J93" s="8">
        <f>Player_Analysis!AG93</f>
        <v>0</v>
      </c>
      <c r="K93">
        <f>Player_Analysis!O93</f>
        <v>0.1</v>
      </c>
      <c r="L93">
        <f>Player_Analysis!P93</f>
        <v>0</v>
      </c>
      <c r="M93">
        <f t="shared" si="29"/>
        <v>0.5625</v>
      </c>
      <c r="N93">
        <f t="shared" si="30"/>
        <v>0</v>
      </c>
      <c r="O93" s="2">
        <f>IF(E93=0,"",Player_Analysis!L93/E93*90)</f>
        <v>11.25</v>
      </c>
      <c r="P93">
        <f>IF(E93=0,"",Player_Analysis!Q93/E93*90)</f>
        <v>0.5625</v>
      </c>
      <c r="Q93">
        <f>IF(E93=0,"",(Player_Analysis!AD93/E93)*90)</f>
        <v>56.25</v>
      </c>
      <c r="R93">
        <f>IF(E93=0,"",Player_Analysis!AA93/E93*90)</f>
        <v>5.625</v>
      </c>
      <c r="S93">
        <f t="array" ref="S93">IFERROR(INDEX('2023_24'!$O:$O,MATCH($A93,'2023_24'!$A:$A,0)),"")</f>
        <v>0</v>
      </c>
      <c r="T93">
        <f>IFERROR(INDEX('2024_25'!$P:$P,MATCH($A93,'2024_25'!$A:$A,0)),"")</f>
        <v>0.9</v>
      </c>
      <c r="U93" t="str">
        <f>IFERROR(INDEX('2025_26'!$P:$P,MATCH($A93,'2025_26'!$A:$A,0)),"")</f>
        <v/>
      </c>
      <c r="V93">
        <f>IFERROR(INDEX('2023_24'!$P:$P,MATCH($A93,'2023_24'!$A:$A,0)),"")</f>
        <v>0</v>
      </c>
      <c r="W93">
        <f>IFERROR(INDEX('2024_25'!$Q:$Q,MATCH($A93,'2024_25'!$A:$A,0)),"")</f>
        <v>0.10285714285714284</v>
      </c>
      <c r="X93" t="str">
        <f>IFERROR(INDEX('2025_26'!$Q:$Q,MATCH($A93,'2025_26'!$A:$A,0)),"")</f>
        <v/>
      </c>
      <c r="Y93">
        <f>IFERROR(INDEX('2023_24'!$M:$M,MATCH($A93,'2023_24'!$A:$A,0))/INDEX('2023_24'!$G:$G,MATCH($A93,'2023_24'!$A:$A,0))*90,"")</f>
        <v>4.5</v>
      </c>
      <c r="Z93">
        <f>IFERROR(INDEX('2024_25'!$M:$M,MATCH($A93,'2024_25'!$A:$A,0))/INDEX('2024_25'!$G:$G,MATCH($A93,'2024_25'!$A:$A,0))*90,"")</f>
        <v>17.142857142857142</v>
      </c>
      <c r="AA93" t="str">
        <f>IFERROR(INDEX('2025_26'!$M:$M,MATCH($A93,'2025_26'!$A:$A,0))/INDEX('2025_26'!$G:$G,MATCH($A93,'2025_26'!$A:$A,0))*90,"")</f>
        <v/>
      </c>
      <c r="AB93">
        <f>IFERROR(SUMPRODUCT(S93:U93,{0.2,0.3,0.5})/SUMPRODUCT(--(S93:U93&lt;&gt;""),{0.2,0.3,0.5}),"")</f>
        <v>0.54</v>
      </c>
      <c r="AC93">
        <f>IFERROR(SUMPRODUCT(V93:X93,{0.2,0.3,0.5})/SUMPRODUCT(--(V93:X93&lt;&gt;""),{0.2,0.3,0.5}),"")</f>
        <v>6.1714285714285701E-2</v>
      </c>
      <c r="AD93">
        <f>IFERROR(SUMPRODUCT(Y93:AA93,{0.2,0.3,0.5})/SUMPRODUCT((Y93:AA93&lt;&gt;"")*{0.2,0.3,0.5}),O93)</f>
        <v>12.085714285714285</v>
      </c>
      <c r="AE93">
        <f t="shared" si="31"/>
        <v>2</v>
      </c>
      <c r="AF93" t="str">
        <f t="shared" si="32"/>
        <v/>
      </c>
      <c r="AG93">
        <f t="shared" si="33"/>
        <v>0.54120000000000001</v>
      </c>
      <c r="AH93">
        <f t="shared" si="34"/>
        <v>5.8422857142857131E-2</v>
      </c>
      <c r="AI93" s="2">
        <f t="shared" si="35"/>
        <v>12.041142857142857</v>
      </c>
      <c r="AJ93">
        <f t="shared" si="36"/>
        <v>5.3333333333333337E-2</v>
      </c>
      <c r="AK93" t="str">
        <f t="shared" si="37"/>
        <v>NO</v>
      </c>
      <c r="AL93">
        <f t="shared" si="38"/>
        <v>0</v>
      </c>
      <c r="AM93">
        <f t="shared" si="39"/>
        <v>0</v>
      </c>
      <c r="AN93">
        <f t="shared" si="40"/>
        <v>0</v>
      </c>
      <c r="AO93">
        <f t="shared" si="41"/>
        <v>0</v>
      </c>
      <c r="AP93">
        <f t="array" ref="AP93">AL93*IF($C93="GKP",10,IF($C93="DEF",6,IF($C93="MID",5,4)))</f>
        <v>0</v>
      </c>
      <c r="AQ93">
        <f t="shared" si="42"/>
        <v>0</v>
      </c>
      <c r="AR93">
        <f t="shared" si="43"/>
        <v>0</v>
      </c>
      <c r="AS93" s="2">
        <f>IF($H93=0,0,Player_Analysis!$AM93*$H93/90)</f>
        <v>0</v>
      </c>
      <c r="AT93">
        <f t="shared" si="44"/>
        <v>0</v>
      </c>
      <c r="AU93" s="2">
        <f>0</f>
        <v>0</v>
      </c>
      <c r="AV93" s="2">
        <f>IF(INDEX(FPL_Raw_Data!K:K,MATCH(A93,FPL_Raw_Data!AA:AA,0))=0,"",INDEX(FPL_Raw_Data!P:P,MATCH(A93,FPL_Raw_Data!AA:AA,0))/INDEX(FPL_Raw_Data!K:K,MATCH(A93,FPL_Raw_Data!AA:AA,0))*90)</f>
        <v>0</v>
      </c>
      <c r="AW93" s="2">
        <f t="shared" si="45"/>
        <v>0</v>
      </c>
      <c r="AX93" s="2">
        <f>IFERROR(INDEX(TEAM_ANALYSIS!$H$2:$H$21,MATCH($B93,TEAM_ANALYSIS!$A$2:$A$21,0)),0)</f>
        <v>1.6666666666666667</v>
      </c>
      <c r="AY93" s="2">
        <f t="shared" si="46"/>
        <v>0</v>
      </c>
      <c r="AZ93" s="2">
        <f t="shared" si="47"/>
        <v>0</v>
      </c>
      <c r="BA93">
        <f t="shared" si="48"/>
        <v>0</v>
      </c>
      <c r="BB93">
        <f>IFERROR(Player_Analysis!$Y93,1)</f>
        <v>0.95673010380622836</v>
      </c>
      <c r="BC93">
        <f t="shared" si="49"/>
        <v>0</v>
      </c>
      <c r="BD93">
        <f t="shared" si="50"/>
        <v>0</v>
      </c>
      <c r="BE93">
        <f t="shared" si="51"/>
        <v>0</v>
      </c>
      <c r="BF93">
        <f t="shared" si="52"/>
        <v>253</v>
      </c>
      <c r="BG93">
        <f>IF($BE93="","",COUNTIFS($C$2:$C$596,$C93,$BE$2:$BE$596,"&gt;"&amp;$BE93)+COUNTIFS($C$2:$C93,$C93,$BE$2:$BE93,$BE93))</f>
        <v>33</v>
      </c>
    </row>
    <row r="94" spans="1:59" x14ac:dyDescent="0.25">
      <c r="A94" t="str">
        <f>Player_Analysis!A94</f>
        <v>Michele Di Gregorio</v>
      </c>
      <c r="B94">
        <f>Player_Analysis!C94</f>
        <v>3</v>
      </c>
      <c r="C94" t="str">
        <f>Player_Analysis!B94</f>
        <v>GK</v>
      </c>
      <c r="D94" s="13">
        <f>Player_Analysis!E94</f>
        <v>4.5</v>
      </c>
      <c r="E94">
        <f>Player_Analysis!I94</f>
        <v>0</v>
      </c>
      <c r="F94" s="8">
        <f>Player_Analysis!Z94</f>
        <v>0</v>
      </c>
      <c r="G94" s="17">
        <f t="shared" si="27"/>
        <v>0</v>
      </c>
      <c r="H94">
        <f t="shared" si="28"/>
        <v>0</v>
      </c>
      <c r="I94" s="8">
        <f>Player_Analysis!AF94</f>
        <v>0</v>
      </c>
      <c r="J94" s="8">
        <f>Player_Analysis!AG94</f>
        <v>0</v>
      </c>
      <c r="K94">
        <f>Player_Analysis!O94</f>
        <v>0</v>
      </c>
      <c r="L94">
        <f>Player_Analysis!P94</f>
        <v>0</v>
      </c>
      <c r="M94" t="str">
        <f t="shared" si="29"/>
        <v/>
      </c>
      <c r="N94" t="str">
        <f t="shared" si="30"/>
        <v/>
      </c>
      <c r="O94" s="2" t="str">
        <f>IF(E94=0,"",Player_Analysis!L94/E94*90)</f>
        <v/>
      </c>
      <c r="P94" t="str">
        <f>IF(E94=0,"",Player_Analysis!Q94/E94*90)</f>
        <v/>
      </c>
      <c r="Q94" t="str">
        <f>IF(E94=0,"",(Player_Analysis!AD94/E94)*90)</f>
        <v/>
      </c>
      <c r="R94" t="str">
        <f>IF(E94=0,"",Player_Analysis!AA94/E94*90)</f>
        <v/>
      </c>
      <c r="S94" t="str">
        <f t="array" ref="S94">IFERROR(INDEX('2023_24'!$O:$O,MATCH($A94,'2023_24'!$A:$A,0)),"")</f>
        <v/>
      </c>
      <c r="T94" t="str">
        <f>IFERROR(INDEX('2024_25'!$P:$P,MATCH($A94,'2024_25'!$A:$A,0)),"")</f>
        <v/>
      </c>
      <c r="U94" t="str">
        <f>IFERROR(INDEX('2025_26'!$P:$P,MATCH($A94,'2025_26'!$A:$A,0)),"")</f>
        <v/>
      </c>
      <c r="V94" t="str">
        <f>IFERROR(INDEX('2023_24'!$P:$P,MATCH($A94,'2023_24'!$A:$A,0)),"")</f>
        <v/>
      </c>
      <c r="W94" t="str">
        <f>IFERROR(INDEX('2024_25'!$Q:$Q,MATCH($A94,'2024_25'!$A:$A,0)),"")</f>
        <v/>
      </c>
      <c r="X94" t="str">
        <f>IFERROR(INDEX('2025_26'!$Q:$Q,MATCH($A94,'2025_26'!$A:$A,0)),"")</f>
        <v/>
      </c>
      <c r="Y94" t="str">
        <f>IFERROR(INDEX('2023_24'!$M:$M,MATCH($A94,'2023_24'!$A:$A,0))/INDEX('2023_24'!$G:$G,MATCH($A94,'2023_24'!$A:$A,0))*90,"")</f>
        <v/>
      </c>
      <c r="Z94" t="str">
        <f>IFERROR(INDEX('2024_25'!$M:$M,MATCH($A94,'2024_25'!$A:$A,0))/INDEX('2024_25'!$G:$G,MATCH($A94,'2024_25'!$A:$A,0))*90,"")</f>
        <v/>
      </c>
      <c r="AA94" t="str">
        <f>IFERROR(INDEX('2025_26'!$M:$M,MATCH($A94,'2025_26'!$A:$A,0))/INDEX('2025_26'!$G:$G,MATCH($A94,'2025_26'!$A:$A,0))*90,"")</f>
        <v/>
      </c>
      <c r="AB94" t="str">
        <f>IFERROR(SUMPRODUCT(S94:U94,{0.2,0.3,0.5})/SUMPRODUCT(--(S94:U94&lt;&gt;""),{0.2,0.3,0.5}),"")</f>
        <v/>
      </c>
      <c r="AC94" t="str">
        <f>IFERROR(SUMPRODUCT(V94:X94,{0.2,0.3,0.5})/SUMPRODUCT(--(V94:X94&lt;&gt;""),{0.2,0.3,0.5}),"")</f>
        <v/>
      </c>
      <c r="AD94" t="str">
        <f>IFERROR(SUMPRODUCT(Y94:AA94,{0.2,0.3,0.5})/SUMPRODUCT((Y94:AA94&lt;&gt;"")*{0.2,0.3,0.5}),O94)</f>
        <v/>
      </c>
      <c r="AE94">
        <f t="shared" si="31"/>
        <v>0</v>
      </c>
      <c r="AF94" t="str">
        <f t="shared" si="32"/>
        <v/>
      </c>
      <c r="AG94">
        <f t="shared" si="33"/>
        <v>0</v>
      </c>
      <c r="AH94">
        <f t="shared" si="34"/>
        <v>0</v>
      </c>
      <c r="AI94" s="2">
        <f t="shared" si="35"/>
        <v>0</v>
      </c>
      <c r="AJ94">
        <f t="shared" si="36"/>
        <v>0</v>
      </c>
      <c r="AK94" t="str">
        <f t="shared" si="37"/>
        <v>YES</v>
      </c>
      <c r="AL94">
        <f t="shared" si="38"/>
        <v>0</v>
      </c>
      <c r="AM94">
        <f t="shared" si="39"/>
        <v>0</v>
      </c>
      <c r="AN94">
        <f t="shared" si="40"/>
        <v>0</v>
      </c>
      <c r="AO94">
        <f t="shared" si="41"/>
        <v>0</v>
      </c>
      <c r="AP94">
        <f t="array" ref="AP94">AL94*IF($C94="GKP",10,IF($C94="DEF",6,IF($C94="MID",5,4)))</f>
        <v>0</v>
      </c>
      <c r="AQ94">
        <f t="shared" si="42"/>
        <v>0</v>
      </c>
      <c r="AR94">
        <f t="shared" si="43"/>
        <v>0</v>
      </c>
      <c r="AS94" s="2">
        <f>IF($H94=0,0,Player_Analysis!$AM94*$H94/90)</f>
        <v>0</v>
      </c>
      <c r="AT94">
        <f t="shared" si="44"/>
        <v>0</v>
      </c>
      <c r="AU94" s="2">
        <f>0</f>
        <v>0</v>
      </c>
      <c r="AV94" s="2" t="str">
        <f>IF(INDEX(FPL_Raw_Data!K:K,MATCH(A94,FPL_Raw_Data!AA:AA,0))=0,"",INDEX(FPL_Raw_Data!P:P,MATCH(A94,FPL_Raw_Data!AA:AA,0))/INDEX(FPL_Raw_Data!K:K,MATCH(A94,FPL_Raw_Data!AA:AA,0))*90)</f>
        <v/>
      </c>
      <c r="AW94" s="2">
        <f t="shared" si="45"/>
        <v>0</v>
      </c>
      <c r="AX94" s="2">
        <f>IFERROR(INDEX(TEAM_ANALYSIS!$H$2:$H$21,MATCH($B94,TEAM_ANALYSIS!$A$2:$A$21,0)),0)</f>
        <v>1.6666666666666667</v>
      </c>
      <c r="AY94" s="2">
        <f t="shared" si="46"/>
        <v>0</v>
      </c>
      <c r="AZ94" s="2">
        <f t="shared" si="47"/>
        <v>0</v>
      </c>
      <c r="BA94">
        <f t="shared" si="48"/>
        <v>0</v>
      </c>
      <c r="BB94">
        <f>IFERROR(Player_Analysis!$Y94,1)</f>
        <v>0.85492657615677192</v>
      </c>
      <c r="BC94">
        <f t="shared" si="49"/>
        <v>0</v>
      </c>
      <c r="BD94">
        <f t="shared" si="50"/>
        <v>0</v>
      </c>
      <c r="BE94">
        <f t="shared" si="51"/>
        <v>0</v>
      </c>
      <c r="BF94">
        <f t="shared" si="52"/>
        <v>253</v>
      </c>
      <c r="BG94">
        <f>IF($BE94="","",COUNTIFS($C$2:$C$596,$C94,$BE$2:$BE$596,"&gt;"&amp;$BE94)+COUNTIFS($C$2:$C94,$C94,$BE$2:$BE94,$BE94))</f>
        <v>26</v>
      </c>
    </row>
    <row r="95" spans="1:59" x14ac:dyDescent="0.25">
      <c r="A95" t="str">
        <f>Player_Analysis!A95</f>
        <v>Caoimhín Kelleher</v>
      </c>
      <c r="B95">
        <f>Player_Analysis!C95</f>
        <v>4</v>
      </c>
      <c r="C95" t="str">
        <f>Player_Analysis!B95</f>
        <v>GK</v>
      </c>
      <c r="D95" s="13">
        <f>Player_Analysis!E95</f>
        <v>5</v>
      </c>
      <c r="E95">
        <f>Player_Analysis!I95</f>
        <v>270</v>
      </c>
      <c r="F95" s="8">
        <f>Player_Analysis!Z95</f>
        <v>3</v>
      </c>
      <c r="G95" s="17">
        <f t="shared" si="27"/>
        <v>1</v>
      </c>
      <c r="H95">
        <f t="shared" si="28"/>
        <v>90</v>
      </c>
      <c r="I95" s="8">
        <f>Player_Analysis!AF95</f>
        <v>0</v>
      </c>
      <c r="J95" s="8">
        <f>Player_Analysis!AG95</f>
        <v>0</v>
      </c>
      <c r="K95">
        <f>Player_Analysis!O95</f>
        <v>0</v>
      </c>
      <c r="L95">
        <f>Player_Analysis!P95</f>
        <v>0.01</v>
      </c>
      <c r="M95">
        <f t="shared" si="29"/>
        <v>0</v>
      </c>
      <c r="N95">
        <f t="shared" si="30"/>
        <v>3.3333333333333331E-3</v>
      </c>
      <c r="O95" s="2">
        <f>IF(E95=0,"",Player_Analysis!L95/E95*90)</f>
        <v>3.666666666666667</v>
      </c>
      <c r="P95">
        <f>IF(E95=0,"",Player_Analysis!Q95/E95*90)</f>
        <v>3.3333333333333331E-3</v>
      </c>
      <c r="Q95">
        <f>IF(E95=0,"",(Player_Analysis!AD95/E95)*90)</f>
        <v>17</v>
      </c>
      <c r="R95">
        <f>IF(E95=0,"",Player_Analysis!AA95/E95*90)</f>
        <v>0</v>
      </c>
      <c r="S95" t="str">
        <f t="array" ref="S95">IFERROR(INDEX('2023_24'!$O:$O,MATCH($A95,'2023_24'!$A:$A,0)),"")</f>
        <v/>
      </c>
      <c r="T95" t="str">
        <f>IFERROR(INDEX('2024_25'!$P:$P,MATCH($A95,'2024_25'!$A:$A,0)),"")</f>
        <v/>
      </c>
      <c r="U95">
        <f>IFERROR(INDEX('2025_26'!$P:$P,MATCH($A95,'2025_26'!$A:$A,0)),"")</f>
        <v>0</v>
      </c>
      <c r="V95" t="str">
        <f>IFERROR(INDEX('2023_24'!$P:$P,MATCH($A95,'2023_24'!$A:$A,0)),"")</f>
        <v/>
      </c>
      <c r="W95" t="str">
        <f>IFERROR(INDEX('2024_25'!$Q:$Q,MATCH($A95,'2024_25'!$A:$A,0)),"")</f>
        <v/>
      </c>
      <c r="X95">
        <f>IFERROR(INDEX('2025_26'!$Q:$Q,MATCH($A95,'2025_26'!$A:$A,0)),"")</f>
        <v>5.9459459459459459E-3</v>
      </c>
      <c r="Y95" t="str">
        <f>IFERROR(INDEX('2023_24'!$M:$M,MATCH($A95,'2023_24'!$A:$A,0))/INDEX('2023_24'!$G:$G,MATCH($A95,'2023_24'!$A:$A,0))*90,"")</f>
        <v/>
      </c>
      <c r="Z95" t="str">
        <f>IFERROR(INDEX('2024_25'!$M:$M,MATCH($A95,'2024_25'!$A:$A,0))/INDEX('2024_25'!$G:$G,MATCH($A95,'2024_25'!$A:$A,0))*90,"")</f>
        <v/>
      </c>
      <c r="AA95">
        <f>IFERROR(INDEX('2025_26'!$M:$M,MATCH($A95,'2025_26'!$A:$A,0))/INDEX('2025_26'!$G:$G,MATCH($A95,'2025_26'!$A:$A,0))*90,"")</f>
        <v>3.8648648648648649</v>
      </c>
      <c r="AB95">
        <f>IFERROR(SUMPRODUCT(S95:U95,{0.2,0.3,0.5})/SUMPRODUCT(--(S95:U95&lt;&gt;""),{0.2,0.3,0.5}),"")</f>
        <v>0</v>
      </c>
      <c r="AC95">
        <f>IFERROR(SUMPRODUCT(V95:X95,{0.2,0.3,0.5})/SUMPRODUCT(--(V95:X95&lt;&gt;""),{0.2,0.3,0.5}),"")</f>
        <v>5.9459459459459459E-3</v>
      </c>
      <c r="AD95">
        <f>IFERROR(SUMPRODUCT(Y95:AA95,{0.2,0.3,0.5})/SUMPRODUCT((Y95:AA95&lt;&gt;"")*{0.2,0.3,0.5}),O95)</f>
        <v>3.8648648648648649</v>
      </c>
      <c r="AE95">
        <f t="shared" si="31"/>
        <v>1</v>
      </c>
      <c r="AF95">
        <f t="shared" si="32"/>
        <v>90</v>
      </c>
      <c r="AG95">
        <f t="shared" si="33"/>
        <v>0</v>
      </c>
      <c r="AH95">
        <f t="shared" si="34"/>
        <v>3.5945945945945945E-3</v>
      </c>
      <c r="AI95" s="2">
        <f t="shared" si="35"/>
        <v>3.6864864864864866</v>
      </c>
      <c r="AJ95">
        <f t="shared" si="36"/>
        <v>0.9</v>
      </c>
      <c r="AK95" t="str">
        <f t="shared" si="37"/>
        <v>NO</v>
      </c>
      <c r="AL95">
        <f t="shared" si="38"/>
        <v>0</v>
      </c>
      <c r="AM95">
        <f t="shared" si="39"/>
        <v>3.5945945945945945E-3</v>
      </c>
      <c r="AN95">
        <f t="shared" si="40"/>
        <v>0</v>
      </c>
      <c r="AO95">
        <f t="shared" si="41"/>
        <v>3.5945945945945945E-3</v>
      </c>
      <c r="AP95">
        <f t="array" ref="AP95">AL95*IF($C95="GKP",10,IF($C95="DEF",6,IF($C95="MID",5,4)))</f>
        <v>0</v>
      </c>
      <c r="AQ95">
        <f t="shared" si="42"/>
        <v>1.0783783783783783E-2</v>
      </c>
      <c r="AR95">
        <f t="shared" si="43"/>
        <v>2</v>
      </c>
      <c r="AS95" s="2">
        <f>IF($H95=0,0,Player_Analysis!$AM95*$H95/90)</f>
        <v>1.3333333333333333</v>
      </c>
      <c r="AT95">
        <f t="shared" si="44"/>
        <v>0</v>
      </c>
      <c r="AU95" s="2">
        <f>0</f>
        <v>0</v>
      </c>
      <c r="AV95" s="2">
        <f>IF(INDEX(FPL_Raw_Data!K:K,MATCH(A95,FPL_Raw_Data!AA:AA,0))=0,"",INDEX(FPL_Raw_Data!P:P,MATCH(A95,FPL_Raw_Data!AA:AA,0))/INDEX(FPL_Raw_Data!K:K,MATCH(A95,FPL_Raw_Data!AA:AA,0))*90)</f>
        <v>2.3333333333333335</v>
      </c>
      <c r="AW95" s="2">
        <f t="shared" si="45"/>
        <v>0.77777777777777779</v>
      </c>
      <c r="AX95" s="2">
        <f>IFERROR(INDEX(TEAM_ANALYSIS!$H$2:$H$21,MATCH($B95,TEAM_ANALYSIS!$A$2:$A$21,0)),0)</f>
        <v>0.66666666666666663</v>
      </c>
      <c r="AY95" s="2">
        <f t="shared" si="46"/>
        <v>0</v>
      </c>
      <c r="AZ95" s="2">
        <f t="shared" si="47"/>
        <v>4.1218948948948944</v>
      </c>
      <c r="BA95">
        <f t="shared" si="48"/>
        <v>0.82437897897897883</v>
      </c>
      <c r="BB95">
        <f>IFERROR(Player_Analysis!$Y95,1)</f>
        <v>1.1250890990542559</v>
      </c>
      <c r="BC95">
        <f t="shared" si="49"/>
        <v>4.6374990136936338</v>
      </c>
      <c r="BD95">
        <f t="shared" si="50"/>
        <v>3.823056701924779</v>
      </c>
      <c r="BE95">
        <f t="shared" si="51"/>
        <v>4.6374990136936338</v>
      </c>
      <c r="BF95">
        <f t="shared" si="52"/>
        <v>119</v>
      </c>
      <c r="BG95">
        <f>IF($BE95="","",COUNTIFS($C$2:$C$596,$C95,$BE$2:$BE$596,"&gt;"&amp;$BE95)+COUNTIFS($C$2:$C95,$C95,$BE$2:$BE95,$BE95))</f>
        <v>8</v>
      </c>
    </row>
    <row r="96" spans="1:59" x14ac:dyDescent="0.25">
      <c r="A96" t="str">
        <f>Player_Analysis!A96</f>
        <v>Hákon Rafn Valdimarsson</v>
      </c>
      <c r="B96">
        <f>Player_Analysis!C96</f>
        <v>4</v>
      </c>
      <c r="C96" t="str">
        <f>Player_Analysis!B96</f>
        <v>GK</v>
      </c>
      <c r="D96" s="13">
        <f>Player_Analysis!E96</f>
        <v>4.5</v>
      </c>
      <c r="E96">
        <f>Player_Analysis!I96</f>
        <v>0</v>
      </c>
      <c r="F96" s="8">
        <f>Player_Analysis!Z96</f>
        <v>0</v>
      </c>
      <c r="G96" s="17">
        <f t="shared" si="27"/>
        <v>0</v>
      </c>
      <c r="H96">
        <f t="shared" si="28"/>
        <v>0</v>
      </c>
      <c r="I96" s="8">
        <f>Player_Analysis!AF96</f>
        <v>0</v>
      </c>
      <c r="J96" s="8">
        <f>Player_Analysis!AG96</f>
        <v>0</v>
      </c>
      <c r="K96">
        <f>Player_Analysis!O96</f>
        <v>0</v>
      </c>
      <c r="L96">
        <f>Player_Analysis!P96</f>
        <v>0</v>
      </c>
      <c r="M96" t="str">
        <f t="shared" si="29"/>
        <v/>
      </c>
      <c r="N96" t="str">
        <f t="shared" si="30"/>
        <v/>
      </c>
      <c r="O96" s="2" t="str">
        <f>IF(E96=0,"",Player_Analysis!L96/E96*90)</f>
        <v/>
      </c>
      <c r="P96" t="str">
        <f>IF(E96=0,"",Player_Analysis!Q96/E96*90)</f>
        <v/>
      </c>
      <c r="Q96" t="str">
        <f>IF(E96=0,"",(Player_Analysis!AD96/E96)*90)</f>
        <v/>
      </c>
      <c r="R96" t="str">
        <f>IF(E96=0,"",Player_Analysis!AA96/E96*90)</f>
        <v/>
      </c>
      <c r="S96" t="str">
        <f t="array" ref="S96">IFERROR(INDEX('2023_24'!$O:$O,MATCH($A96,'2023_24'!$A:$A,0)),"")</f>
        <v/>
      </c>
      <c r="T96" t="str">
        <f>IFERROR(INDEX('2024_25'!$P:$P,MATCH($A96,'2024_25'!$A:$A,0)),"")</f>
        <v/>
      </c>
      <c r="U96">
        <f>IFERROR(INDEX('2025_26'!$P:$P,MATCH($A96,'2025_26'!$A:$A,0)),"")</f>
        <v>0</v>
      </c>
      <c r="V96" t="str">
        <f>IFERROR(INDEX('2023_24'!$P:$P,MATCH($A96,'2023_24'!$A:$A,0)),"")</f>
        <v/>
      </c>
      <c r="W96" t="str">
        <f>IFERROR(INDEX('2024_25'!$Q:$Q,MATCH($A96,'2024_25'!$A:$A,0)),"")</f>
        <v/>
      </c>
      <c r="X96">
        <f>IFERROR(INDEX('2025_26'!$Q:$Q,MATCH($A96,'2025_26'!$A:$A,0)),"")</f>
        <v>0</v>
      </c>
      <c r="Y96" t="str">
        <f>IFERROR(INDEX('2023_24'!$M:$M,MATCH($A96,'2023_24'!$A:$A,0))/INDEX('2023_24'!$G:$G,MATCH($A96,'2023_24'!$A:$A,0))*90,"")</f>
        <v/>
      </c>
      <c r="Z96" t="str">
        <f>IFERROR(INDEX('2024_25'!$M:$M,MATCH($A96,'2024_25'!$A:$A,0))/INDEX('2024_25'!$G:$G,MATCH($A96,'2024_25'!$A:$A,0))*90,"")</f>
        <v/>
      </c>
      <c r="AA96">
        <f>IFERROR(INDEX('2025_26'!$M:$M,MATCH($A96,'2025_26'!$A:$A,0))/INDEX('2025_26'!$G:$G,MATCH($A96,'2025_26'!$A:$A,0))*90,"")</f>
        <v>1</v>
      </c>
      <c r="AB96">
        <f>IFERROR(SUMPRODUCT(S96:U96,{0.2,0.3,0.5})/SUMPRODUCT(--(S96:U96&lt;&gt;""),{0.2,0.3,0.5}),"")</f>
        <v>0</v>
      </c>
      <c r="AC96">
        <f>IFERROR(SUMPRODUCT(V96:X96,{0.2,0.3,0.5})/SUMPRODUCT(--(V96:X96&lt;&gt;""),{0.2,0.3,0.5}),"")</f>
        <v>0</v>
      </c>
      <c r="AD96">
        <f>IFERROR(SUMPRODUCT(Y96:AA96,{0.2,0.3,0.5})/SUMPRODUCT((Y96:AA96&lt;&gt;"")*{0.2,0.3,0.5}),O96)</f>
        <v>1</v>
      </c>
      <c r="AE96">
        <f t="shared" si="31"/>
        <v>1</v>
      </c>
      <c r="AF96" t="str">
        <f t="shared" si="32"/>
        <v/>
      </c>
      <c r="AG96">
        <f t="shared" si="33"/>
        <v>0</v>
      </c>
      <c r="AH96">
        <f t="shared" si="34"/>
        <v>0</v>
      </c>
      <c r="AI96" s="2">
        <f t="shared" si="35"/>
        <v>1</v>
      </c>
      <c r="AJ96">
        <f t="shared" si="36"/>
        <v>0</v>
      </c>
      <c r="AK96" t="str">
        <f t="shared" si="37"/>
        <v>NO</v>
      </c>
      <c r="AL96">
        <f t="shared" si="38"/>
        <v>0</v>
      </c>
      <c r="AM96">
        <f t="shared" si="39"/>
        <v>0</v>
      </c>
      <c r="AN96">
        <f t="shared" si="40"/>
        <v>0</v>
      </c>
      <c r="AO96">
        <f t="shared" si="41"/>
        <v>0</v>
      </c>
      <c r="AP96">
        <f t="array" ref="AP96">AL96*IF($C96="GKP",10,IF($C96="DEF",6,IF($C96="MID",5,4)))</f>
        <v>0</v>
      </c>
      <c r="AQ96">
        <f t="shared" si="42"/>
        <v>0</v>
      </c>
      <c r="AR96">
        <f t="shared" si="43"/>
        <v>0</v>
      </c>
      <c r="AS96" s="2">
        <f>IF($H96=0,0,Player_Analysis!$AM96*$H96/90)</f>
        <v>0</v>
      </c>
      <c r="AT96">
        <f t="shared" si="44"/>
        <v>0</v>
      </c>
      <c r="AU96" s="2">
        <f>0</f>
        <v>0</v>
      </c>
      <c r="AV96" s="2" t="str">
        <f>IF(INDEX(FPL_Raw_Data!K:K,MATCH(A96,FPL_Raw_Data!AA:AA,0))=0,"",INDEX(FPL_Raw_Data!P:P,MATCH(A96,FPL_Raw_Data!AA:AA,0))/INDEX(FPL_Raw_Data!K:K,MATCH(A96,FPL_Raw_Data!AA:AA,0))*90)</f>
        <v/>
      </c>
      <c r="AW96" s="2">
        <f t="shared" si="45"/>
        <v>0</v>
      </c>
      <c r="AX96" s="2">
        <f>IFERROR(INDEX(TEAM_ANALYSIS!$H$2:$H$21,MATCH($B96,TEAM_ANALYSIS!$A$2:$A$21,0)),0)</f>
        <v>0.66666666666666663</v>
      </c>
      <c r="AY96" s="2">
        <f t="shared" si="46"/>
        <v>0</v>
      </c>
      <c r="AZ96" s="2">
        <f t="shared" si="47"/>
        <v>0</v>
      </c>
      <c r="BA96">
        <f t="shared" si="48"/>
        <v>0</v>
      </c>
      <c r="BB96">
        <f>IFERROR(Player_Analysis!$Y96,1)</f>
        <v>1.1250890990542559</v>
      </c>
      <c r="BC96">
        <f t="shared" si="49"/>
        <v>0</v>
      </c>
      <c r="BD96">
        <f t="shared" si="50"/>
        <v>0</v>
      </c>
      <c r="BE96">
        <f t="shared" si="51"/>
        <v>0</v>
      </c>
      <c r="BF96">
        <f t="shared" si="52"/>
        <v>253</v>
      </c>
      <c r="BG96">
        <f>IF($BE96="","",COUNTIFS($C$2:$C$596,$C96,$BE$2:$BE$596,"&gt;"&amp;$BE96)+COUNTIFS($C$2:$C96,$C96,$BE$2:$BE96,$BE96))</f>
        <v>27</v>
      </c>
    </row>
    <row r="97" spans="1:59" x14ac:dyDescent="0.25">
      <c r="A97" t="str">
        <f>Player_Analysis!A97</f>
        <v>Nathan Collins</v>
      </c>
      <c r="B97">
        <f>Player_Analysis!C97</f>
        <v>4</v>
      </c>
      <c r="C97" t="str">
        <f>Player_Analysis!B97</f>
        <v>DEF</v>
      </c>
      <c r="D97" s="13">
        <f>Player_Analysis!E97</f>
        <v>5.5</v>
      </c>
      <c r="E97">
        <f>Player_Analysis!I97</f>
        <v>196</v>
      </c>
      <c r="F97" s="8">
        <f>Player_Analysis!Z97</f>
        <v>3</v>
      </c>
      <c r="G97" s="17">
        <f t="shared" si="27"/>
        <v>1</v>
      </c>
      <c r="H97">
        <f t="shared" si="28"/>
        <v>90</v>
      </c>
      <c r="I97" s="8">
        <f>Player_Analysis!AF97</f>
        <v>0</v>
      </c>
      <c r="J97" s="8">
        <f>Player_Analysis!AG97</f>
        <v>0</v>
      </c>
      <c r="K97">
        <f>Player_Analysis!O97</f>
        <v>0.51</v>
      </c>
      <c r="L97">
        <f>Player_Analysis!P97</f>
        <v>0.05</v>
      </c>
      <c r="M97">
        <f t="shared" si="29"/>
        <v>0.23418367346938776</v>
      </c>
      <c r="N97">
        <f t="shared" si="30"/>
        <v>2.2959183673469389E-2</v>
      </c>
      <c r="O97" s="2">
        <f>IF(E97=0,"",Player_Analysis!L97/E97*90)</f>
        <v>4.591836734693878</v>
      </c>
      <c r="P97">
        <f>IF(E97=0,"",Player_Analysis!Q97/E97*90)</f>
        <v>0.25714285714285717</v>
      </c>
      <c r="Q97">
        <f>IF(E97=0,"",(Player_Analysis!AD97/E97)*90)</f>
        <v>17.908163265306122</v>
      </c>
      <c r="R97">
        <f>IF(E97=0,"",Player_Analysis!AA97/E97*90)</f>
        <v>7.8061224489795915</v>
      </c>
      <c r="S97">
        <f t="array" ref="S97">IFERROR(INDEX('2023_24'!$O:$O,MATCH($A97,'2023_24'!$A:$A,0)),"")</f>
        <v>5.4020385050962634E-2</v>
      </c>
      <c r="T97">
        <f>IFERROR(INDEX('2024_25'!$P:$P,MATCH($A97,'2024_25'!$A:$A,0)),"")</f>
        <v>6.4210526315789468E-2</v>
      </c>
      <c r="U97">
        <f>IFERROR(INDEX('2025_26'!$P:$P,MATCH($A97,'2025_26'!$A:$A,0)),"")</f>
        <v>6.7855940760686642E-2</v>
      </c>
      <c r="V97">
        <f>IFERROR(INDEX('2023_24'!$P:$P,MATCH($A97,'2023_24'!$A:$A,0)),"")</f>
        <v>3.2276330690826728E-2</v>
      </c>
      <c r="W97">
        <f>IFERROR(INDEX('2024_25'!$Q:$Q,MATCH($A97,'2024_25'!$A:$A,0)),"")</f>
        <v>4.1315789473684215E-2</v>
      </c>
      <c r="X97">
        <f>IFERROR(INDEX('2025_26'!$Q:$Q,MATCH($A97,'2025_26'!$A:$A,0)),"")</f>
        <v>5.180074049141703E-2</v>
      </c>
      <c r="Y97">
        <f>IFERROR(INDEX('2023_24'!$M:$M,MATCH($A97,'2023_24'!$A:$A,0))/INDEX('2023_24'!$G:$G,MATCH($A97,'2023_24'!$A:$A,0))*90,"")</f>
        <v>2.8539071347678369</v>
      </c>
      <c r="Z97">
        <f>IFERROR(INDEX('2024_25'!$M:$M,MATCH($A97,'2024_25'!$A:$A,0))/INDEX('2024_25'!$G:$G,MATCH($A97,'2024_25'!$A:$A,0))*90,"")</f>
        <v>3.3421052631578951</v>
      </c>
      <c r="AA97">
        <f>IFERROR(INDEX('2025_26'!$M:$M,MATCH($A97,'2025_26'!$A:$A,0))/INDEX('2025_26'!$G:$G,MATCH($A97,'2025_26'!$A:$A,0))*90,"")</f>
        <v>3.9077751598788288</v>
      </c>
      <c r="AB97">
        <f>IFERROR(SUMPRODUCT(S97:U97,{0.2,0.3,0.5})/SUMPRODUCT(--(S97:U97&lt;&gt;""),{0.2,0.3,0.5}),"")</f>
        <v>6.3995205285272694E-2</v>
      </c>
      <c r="AC97">
        <f>IFERROR(SUMPRODUCT(V97:X97,{0.2,0.3,0.5})/SUMPRODUCT(--(V97:X97&lt;&gt;""),{0.2,0.3,0.5}),"")</f>
        <v>4.475037322597912E-2</v>
      </c>
      <c r="AD97">
        <f>IFERROR(SUMPRODUCT(Y97:AA97,{0.2,0.3,0.5})/SUMPRODUCT((Y97:AA97&lt;&gt;"")*{0.2,0.3,0.5}),O97)</f>
        <v>3.5273005858403503</v>
      </c>
      <c r="AE97">
        <f t="shared" si="31"/>
        <v>3</v>
      </c>
      <c r="AF97">
        <f t="shared" si="32"/>
        <v>65.333333333333329</v>
      </c>
      <c r="AG97">
        <f t="shared" si="33"/>
        <v>0.17518500449889454</v>
      </c>
      <c r="AH97">
        <f t="shared" si="34"/>
        <v>3.0513462718339428E-2</v>
      </c>
      <c r="AI97" s="2">
        <f t="shared" si="35"/>
        <v>4.2227975364246557</v>
      </c>
      <c r="AJ97">
        <f t="shared" si="36"/>
        <v>0.65333333333333332</v>
      </c>
      <c r="AK97" t="str">
        <f t="shared" si="37"/>
        <v>NO</v>
      </c>
      <c r="AL97">
        <f t="shared" si="38"/>
        <v>0.17518500449889454</v>
      </c>
      <c r="AM97">
        <f t="shared" si="39"/>
        <v>3.0513462718339431E-2</v>
      </c>
      <c r="AN97">
        <f t="shared" si="40"/>
        <v>0.17518500449889454</v>
      </c>
      <c r="AO97">
        <f t="shared" si="41"/>
        <v>3.0513462718339431E-2</v>
      </c>
      <c r="AP97">
        <f t="array" ref="AP97">AL97*IF($C97="GKP",10,IF($C97="DEF",6,IF($C97="MID",5,4)))</f>
        <v>1.0511100269933673</v>
      </c>
      <c r="AQ97">
        <f t="shared" si="42"/>
        <v>9.154038815501829E-2</v>
      </c>
      <c r="AR97">
        <f t="shared" si="43"/>
        <v>2</v>
      </c>
      <c r="AS97" s="2">
        <f>IF($H97=0,0,Player_Analysis!$AM97*$H97/90)</f>
        <v>1.3333333333333333</v>
      </c>
      <c r="AT97">
        <f t="shared" si="44"/>
        <v>1.5612244897959182</v>
      </c>
      <c r="AU97" s="2">
        <f>0</f>
        <v>0</v>
      </c>
      <c r="AV97" s="2">
        <f>IF(INDEX(FPL_Raw_Data!K:K,MATCH(A97,FPL_Raw_Data!AA:AA,0))=0,"",INDEX(FPL_Raw_Data!P:P,MATCH(A97,FPL_Raw_Data!AA:AA,0))/INDEX(FPL_Raw_Data!K:K,MATCH(A97,FPL_Raw_Data!AA:AA,0))*90)</f>
        <v>0</v>
      </c>
      <c r="AW97" s="2">
        <f t="shared" si="45"/>
        <v>0</v>
      </c>
      <c r="AX97" s="2">
        <f>IFERROR(INDEX(TEAM_ANALYSIS!$H$2:$H$21,MATCH($B97,TEAM_ANALYSIS!$A$2:$A$21,0)),0)</f>
        <v>0.66666666666666663</v>
      </c>
      <c r="AY97" s="2">
        <f t="shared" si="46"/>
        <v>-0.33333333333333331</v>
      </c>
      <c r="AZ97" s="2">
        <f t="shared" si="47"/>
        <v>5.7038749049443043</v>
      </c>
      <c r="BA97">
        <f t="shared" si="48"/>
        <v>1.0370681645353281</v>
      </c>
      <c r="BB97">
        <f>IFERROR(Player_Analysis!$Y97,1)</f>
        <v>1.1250890990542559</v>
      </c>
      <c r="BC97">
        <f t="shared" si="49"/>
        <v>6.4173674779219665</v>
      </c>
      <c r="BD97">
        <f t="shared" si="50"/>
        <v>6.655247511477242</v>
      </c>
      <c r="BE97">
        <f t="shared" si="51"/>
        <v>6.4173674779219665</v>
      </c>
      <c r="BF97">
        <f t="shared" si="52"/>
        <v>29</v>
      </c>
      <c r="BG97">
        <f>IF($BE97="","",COUNTIFS($C$2:$C$596,$C97,$BE$2:$BE$596,"&gt;"&amp;$BE97)+COUNTIFS($C$2:$C97,$C97,$BE$2:$BE97,$BE97))</f>
        <v>14</v>
      </c>
    </row>
    <row r="98" spans="1:59" x14ac:dyDescent="0.25">
      <c r="A98" t="str">
        <f>Player_Analysis!A98</f>
        <v>Sepp van den Berg</v>
      </c>
      <c r="B98">
        <f>Player_Analysis!C98</f>
        <v>4</v>
      </c>
      <c r="C98" t="str">
        <f>Player_Analysis!B98</f>
        <v>DEF</v>
      </c>
      <c r="D98" s="13">
        <f>Player_Analysis!E98</f>
        <v>4.9000000000000004</v>
      </c>
      <c r="E98">
        <f>Player_Analysis!I98</f>
        <v>0</v>
      </c>
      <c r="F98" s="8">
        <f>Player_Analysis!Z98</f>
        <v>0</v>
      </c>
      <c r="G98" s="17">
        <f t="shared" si="27"/>
        <v>0</v>
      </c>
      <c r="H98">
        <f t="shared" si="28"/>
        <v>0</v>
      </c>
      <c r="I98" s="8">
        <f>Player_Analysis!AF98</f>
        <v>0</v>
      </c>
      <c r="J98" s="8">
        <f>Player_Analysis!AG98</f>
        <v>0</v>
      </c>
      <c r="K98">
        <f>Player_Analysis!O98</f>
        <v>0</v>
      </c>
      <c r="L98">
        <f>Player_Analysis!P98</f>
        <v>0</v>
      </c>
      <c r="M98" t="str">
        <f t="shared" si="29"/>
        <v/>
      </c>
      <c r="N98" t="str">
        <f t="shared" si="30"/>
        <v/>
      </c>
      <c r="O98" s="2" t="str">
        <f>IF(E98=0,"",Player_Analysis!L98/E98*90)</f>
        <v/>
      </c>
      <c r="P98" t="str">
        <f>IF(E98=0,"",Player_Analysis!Q98/E98*90)</f>
        <v/>
      </c>
      <c r="Q98" t="str">
        <f>IF(E98=0,"",(Player_Analysis!AD98/E98)*90)</f>
        <v/>
      </c>
      <c r="R98" t="str">
        <f>IF(E98=0,"",Player_Analysis!AA98/E98*90)</f>
        <v/>
      </c>
      <c r="S98">
        <f t="array" ref="S98">IFERROR(INDEX('2023_24'!$O:$O,MATCH($A98,'2023_24'!$A:$A,0)),"")</f>
        <v>0</v>
      </c>
      <c r="T98">
        <f>IFERROR(INDEX('2024_25'!$P:$P,MATCH($A98,'2024_25'!$A:$A,0)),"")</f>
        <v>7.2794117647058815E-2</v>
      </c>
      <c r="U98">
        <f>IFERROR(INDEX('2025_26'!$P:$P,MATCH($A98,'2025_26'!$A:$A,0)),"")</f>
        <v>0.10952553422672945</v>
      </c>
      <c r="V98">
        <f>IFERROR(INDEX('2023_24'!$P:$P,MATCH($A98,'2023_24'!$A:$A,0)),"")</f>
        <v>0</v>
      </c>
      <c r="W98">
        <f>IFERROR(INDEX('2024_25'!$Q:$Q,MATCH($A98,'2024_25'!$A:$A,0)),"")</f>
        <v>1.8111455108359133E-2</v>
      </c>
      <c r="X98">
        <f>IFERROR(INDEX('2025_26'!$Q:$Q,MATCH($A98,'2025_26'!$A:$A,0)),"")</f>
        <v>4.7265483520463593E-2</v>
      </c>
      <c r="Y98" t="str">
        <f>IFERROR(INDEX('2023_24'!$M:$M,MATCH($A98,'2023_24'!$A:$A,0))/INDEX('2023_24'!$G:$G,MATCH($A98,'2023_24'!$A:$A,0))*90,"")</f>
        <v/>
      </c>
      <c r="Z98">
        <f>IFERROR(INDEX('2024_25'!$M:$M,MATCH($A98,'2024_25'!$A:$A,0))/INDEX('2024_25'!$G:$G,MATCH($A98,'2024_25'!$A:$A,0))*90,"")</f>
        <v>2.1594427244582044</v>
      </c>
      <c r="AA98">
        <f>IFERROR(INDEX('2025_26'!$M:$M,MATCH($A98,'2025_26'!$A:$A,0))/INDEX('2025_26'!$G:$G,MATCH($A98,'2025_26'!$A:$A,0))*90,"")</f>
        <v>3.683448026077508</v>
      </c>
      <c r="AB98">
        <f>IFERROR(SUMPRODUCT(S98:U98,{0.2,0.3,0.5})/SUMPRODUCT(--(S98:U98&lt;&gt;""),{0.2,0.3,0.5}),"")</f>
        <v>7.6601002407482369E-2</v>
      </c>
      <c r="AC98">
        <f>IFERROR(SUMPRODUCT(V98:X98,{0.2,0.3,0.5})/SUMPRODUCT(--(V98:X98&lt;&gt;""),{0.2,0.3,0.5}),"")</f>
        <v>2.9066178292739536E-2</v>
      </c>
      <c r="AD98">
        <f>IFERROR(SUMPRODUCT(Y98:AA98,{0.2,0.3,0.5})/SUMPRODUCT((Y98:AA98&lt;&gt;"")*{0.2,0.3,0.5}),O98)</f>
        <v>3.1119460379702688</v>
      </c>
      <c r="AE98">
        <f t="shared" si="31"/>
        <v>3</v>
      </c>
      <c r="AF98" t="str">
        <f t="shared" si="32"/>
        <v/>
      </c>
      <c r="AG98">
        <f t="shared" si="33"/>
        <v>7.6601002407482369E-2</v>
      </c>
      <c r="AH98">
        <f t="shared" si="34"/>
        <v>2.9066178292739536E-2</v>
      </c>
      <c r="AI98" s="2">
        <f t="shared" si="35"/>
        <v>3.1119460379702688</v>
      </c>
      <c r="AJ98">
        <f t="shared" si="36"/>
        <v>0</v>
      </c>
      <c r="AK98" t="str">
        <f t="shared" si="37"/>
        <v>NO</v>
      </c>
      <c r="AL98">
        <f t="shared" si="38"/>
        <v>0</v>
      </c>
      <c r="AM98">
        <f t="shared" si="39"/>
        <v>0</v>
      </c>
      <c r="AN98">
        <f t="shared" si="40"/>
        <v>0</v>
      </c>
      <c r="AO98">
        <f t="shared" si="41"/>
        <v>0</v>
      </c>
      <c r="AP98">
        <f t="array" ref="AP98">AL98*IF($C98="GKP",10,IF($C98="DEF",6,IF($C98="MID",5,4)))</f>
        <v>0</v>
      </c>
      <c r="AQ98">
        <f t="shared" si="42"/>
        <v>0</v>
      </c>
      <c r="AR98">
        <f t="shared" si="43"/>
        <v>0</v>
      </c>
      <c r="AS98" s="2">
        <f>IF($H98=0,0,Player_Analysis!$AM98*$H98/90)</f>
        <v>0</v>
      </c>
      <c r="AT98">
        <f t="shared" si="44"/>
        <v>0</v>
      </c>
      <c r="AU98" s="2">
        <f>0</f>
        <v>0</v>
      </c>
      <c r="AV98" s="2" t="str">
        <f>IF(INDEX(FPL_Raw_Data!K:K,MATCH(A98,FPL_Raw_Data!AA:AA,0))=0,"",INDEX(FPL_Raw_Data!P:P,MATCH(A98,FPL_Raw_Data!AA:AA,0))/INDEX(FPL_Raw_Data!K:K,MATCH(A98,FPL_Raw_Data!AA:AA,0))*90)</f>
        <v/>
      </c>
      <c r="AW98" s="2">
        <f t="shared" si="45"/>
        <v>0</v>
      </c>
      <c r="AX98" s="2">
        <f>IFERROR(INDEX(TEAM_ANALYSIS!$H$2:$H$21,MATCH($B98,TEAM_ANALYSIS!$A$2:$A$21,0)),0)</f>
        <v>0.66666666666666663</v>
      </c>
      <c r="AY98" s="2">
        <f t="shared" si="46"/>
        <v>-0.33333333333333331</v>
      </c>
      <c r="AZ98" s="2">
        <f t="shared" si="47"/>
        <v>-0.33333333333333331</v>
      </c>
      <c r="BA98">
        <f t="shared" si="48"/>
        <v>-6.8027210884353734E-2</v>
      </c>
      <c r="BB98">
        <f>IFERROR(Player_Analysis!$Y98,1)</f>
        <v>1.1250890990542559</v>
      </c>
      <c r="BC98">
        <f t="shared" si="49"/>
        <v>-0.37502969968475197</v>
      </c>
      <c r="BD98">
        <f t="shared" si="50"/>
        <v>2.5512224468350473E-2</v>
      </c>
      <c r="BE98">
        <f t="shared" si="51"/>
        <v>-0.37502969968475197</v>
      </c>
      <c r="BF98">
        <f t="shared" si="52"/>
        <v>511</v>
      </c>
      <c r="BG98">
        <f>IF($BE98="","",COUNTIFS($C$2:$C$596,$C98,$BE$2:$BE$596,"&gt;"&amp;$BE98)+COUNTIFS($C$2:$C98,$C98,$BE$2:$BE98,$BE98))</f>
        <v>108</v>
      </c>
    </row>
    <row r="99" spans="1:59" x14ac:dyDescent="0.25">
      <c r="A99" t="str">
        <f>Player_Analysis!A99</f>
        <v>Keane Lewis-Potter</v>
      </c>
      <c r="B99">
        <f>Player_Analysis!C99</f>
        <v>4</v>
      </c>
      <c r="C99" t="str">
        <f>Player_Analysis!B99</f>
        <v>MID</v>
      </c>
      <c r="D99" s="13">
        <f>Player_Analysis!E99</f>
        <v>5.5</v>
      </c>
      <c r="E99">
        <f>Player_Analysis!I99</f>
        <v>267</v>
      </c>
      <c r="F99" s="8">
        <f>Player_Analysis!Z99</f>
        <v>3</v>
      </c>
      <c r="G99" s="17">
        <f t="shared" si="27"/>
        <v>1</v>
      </c>
      <c r="H99">
        <f t="shared" si="28"/>
        <v>90</v>
      </c>
      <c r="I99" s="8">
        <f>Player_Analysis!AF99</f>
        <v>1</v>
      </c>
      <c r="J99" s="8">
        <f>Player_Analysis!AG99</f>
        <v>1</v>
      </c>
      <c r="K99">
        <f>Player_Analysis!O99</f>
        <v>1.03</v>
      </c>
      <c r="L99">
        <f>Player_Analysis!P99</f>
        <v>0.65</v>
      </c>
      <c r="M99">
        <f t="shared" si="29"/>
        <v>0.34719101123595508</v>
      </c>
      <c r="N99">
        <f t="shared" si="30"/>
        <v>0.21910112359550563</v>
      </c>
      <c r="O99" s="2">
        <f>IF(E99=0,"",Player_Analysis!L99/E99*90)</f>
        <v>6.0674157303370784</v>
      </c>
      <c r="P99">
        <f>IF(E99=0,"",Player_Analysis!Q99/E99*90)</f>
        <v>0.56629213483146068</v>
      </c>
      <c r="Q99">
        <f>IF(E99=0,"",(Player_Analysis!AD99/E99)*90)</f>
        <v>23.595505617977526</v>
      </c>
      <c r="R99">
        <f>IF(E99=0,"",Player_Analysis!AA99/E99*90)</f>
        <v>9.1011235955056176</v>
      </c>
      <c r="S99">
        <f t="array" ref="S99">IFERROR(INDEX('2023_24'!$O:$O,MATCH($A99,'2023_24'!$A:$A,0)),"")</f>
        <v>0.4046218487394958</v>
      </c>
      <c r="T99">
        <f>IFERROR(INDEX('2024_25'!$P:$P,MATCH($A99,'2024_25'!$A:$A,0)),"")</f>
        <v>8.615782664941786E-2</v>
      </c>
      <c r="U99">
        <f>IFERROR(INDEX('2025_26'!$P:$P,MATCH($A99,'2025_26'!$A:$A,0)),"")</f>
        <v>0.13821428571428571</v>
      </c>
      <c r="V99">
        <f>IFERROR(INDEX('2023_24'!$P:$P,MATCH($A99,'2023_24'!$A:$A,0)),"")</f>
        <v>0.10462184873949579</v>
      </c>
      <c r="W99">
        <f>IFERROR(INDEX('2024_25'!$Q:$Q,MATCH($A99,'2024_25'!$A:$A,0)),"")</f>
        <v>0.14379042690815008</v>
      </c>
      <c r="X99">
        <f>IFERROR(INDEX('2025_26'!$Q:$Q,MATCH($A99,'2025_26'!$A:$A,0)),"")</f>
        <v>0.11525510204081632</v>
      </c>
      <c r="Y99">
        <f>IFERROR(INDEX('2023_24'!$M:$M,MATCH($A99,'2023_24'!$A:$A,0))/INDEX('2023_24'!$G:$G,MATCH($A99,'2023_24'!$A:$A,0))*90,"")</f>
        <v>4.6008403361344534</v>
      </c>
      <c r="Z99">
        <f>IFERROR(INDEX('2024_25'!$M:$M,MATCH($A99,'2024_25'!$A:$A,0))/INDEX('2024_25'!$G:$G,MATCH($A99,'2024_25'!$A:$A,0))*90,"")</f>
        <v>2.7360931435963778</v>
      </c>
      <c r="AA99">
        <f>IFERROR(INDEX('2025_26'!$M:$M,MATCH($A99,'2025_26'!$A:$A,0))/INDEX('2025_26'!$G:$G,MATCH($A99,'2025_26'!$A:$A,0))*90,"")</f>
        <v>5.2806122448979593</v>
      </c>
      <c r="AB99">
        <f>IFERROR(SUMPRODUCT(S99:U99,{0.2,0.3,0.5})/SUMPRODUCT(--(S99:U99&lt;&gt;""),{0.2,0.3,0.5}),"")</f>
        <v>0.17587886059986738</v>
      </c>
      <c r="AC99">
        <f>IFERROR(SUMPRODUCT(V99:X99,{0.2,0.3,0.5})/SUMPRODUCT(--(V99:X99&lt;&gt;""),{0.2,0.3,0.5}),"")</f>
        <v>0.12168904884075234</v>
      </c>
      <c r="AD99">
        <f>IFERROR(SUMPRODUCT(Y99:AA99,{0.2,0.3,0.5})/SUMPRODUCT((Y99:AA99&lt;&gt;"")*{0.2,0.3,0.5}),O99)</f>
        <v>4.3813021327547839</v>
      </c>
      <c r="AE99">
        <f t="shared" si="31"/>
        <v>3</v>
      </c>
      <c r="AF99">
        <f t="shared" si="32"/>
        <v>89</v>
      </c>
      <c r="AG99">
        <f t="shared" si="33"/>
        <v>0.32834667466598544</v>
      </c>
      <c r="AH99">
        <f t="shared" si="34"/>
        <v>0.20838579537248275</v>
      </c>
      <c r="AI99" s="2">
        <f t="shared" si="35"/>
        <v>5.8819432346030256</v>
      </c>
      <c r="AJ99">
        <f t="shared" si="36"/>
        <v>0.89</v>
      </c>
      <c r="AK99" t="str">
        <f t="shared" si="37"/>
        <v>NO</v>
      </c>
      <c r="AL99">
        <f t="shared" si="38"/>
        <v>0.32834667466598544</v>
      </c>
      <c r="AM99">
        <f t="shared" si="39"/>
        <v>0.20838579537248275</v>
      </c>
      <c r="AN99">
        <f t="shared" si="40"/>
        <v>0.32834667466598544</v>
      </c>
      <c r="AO99">
        <f t="shared" si="41"/>
        <v>0.20838579537248275</v>
      </c>
      <c r="AP99">
        <f t="array" ref="AP99">AL99*IF($C99="GKP",10,IF($C99="DEF",6,IF($C99="MID",5,4)))</f>
        <v>1.6417333733299273</v>
      </c>
      <c r="AQ99">
        <f t="shared" si="42"/>
        <v>0.6251573861174482</v>
      </c>
      <c r="AR99">
        <f t="shared" si="43"/>
        <v>2</v>
      </c>
      <c r="AS99" s="2">
        <f>IF($H99=0,0,Player_Analysis!$AM99*$H99/90)</f>
        <v>0.33333333333333331</v>
      </c>
      <c r="AT99">
        <f t="shared" si="44"/>
        <v>1.5168539325842696</v>
      </c>
      <c r="AU99" s="2">
        <f>0</f>
        <v>0</v>
      </c>
      <c r="AV99" s="2">
        <f>IF(INDEX(FPL_Raw_Data!K:K,MATCH(A99,FPL_Raw_Data!AA:AA,0))=0,"",INDEX(FPL_Raw_Data!P:P,MATCH(A99,FPL_Raw_Data!AA:AA,0))/INDEX(FPL_Raw_Data!K:K,MATCH(A99,FPL_Raw_Data!AA:AA,0))*90)</f>
        <v>0</v>
      </c>
      <c r="AW99" s="2">
        <f t="shared" si="45"/>
        <v>0</v>
      </c>
      <c r="AX99" s="2">
        <f>IFERROR(INDEX(TEAM_ANALYSIS!$H$2:$H$21,MATCH($B99,TEAM_ANALYSIS!$A$2:$A$21,0)),0)</f>
        <v>0.66666666666666663</v>
      </c>
      <c r="AY99" s="2">
        <f t="shared" si="46"/>
        <v>0</v>
      </c>
      <c r="AZ99" s="2">
        <f t="shared" si="47"/>
        <v>6.1170780253649779</v>
      </c>
      <c r="BA99">
        <f t="shared" si="48"/>
        <v>1.1121960046118142</v>
      </c>
      <c r="BB99">
        <f>IFERROR(Player_Analysis!$Y99,1)</f>
        <v>1.1305622837370244</v>
      </c>
      <c r="BC99">
        <f t="shared" si="49"/>
        <v>6.915737702154197</v>
      </c>
      <c r="BD99">
        <f t="shared" si="50"/>
        <v>7.6916558412791867</v>
      </c>
      <c r="BE99">
        <f t="shared" si="51"/>
        <v>6.915737702154197</v>
      </c>
      <c r="BF99">
        <f t="shared" si="52"/>
        <v>22</v>
      </c>
      <c r="BG99">
        <f>IF($BE99="","",COUNTIFS($C$2:$C$596,$C99,$BE$2:$BE$596,"&gt;"&amp;$BE99)+COUNTIFS($C$2:$C99,$C99,$BE$2:$BE99,$BE99))</f>
        <v>9</v>
      </c>
    </row>
    <row r="100" spans="1:59" x14ac:dyDescent="0.25">
      <c r="A100" t="str">
        <f>Player_Analysis!A100</f>
        <v>Kristoffer Ajer</v>
      </c>
      <c r="B100">
        <f>Player_Analysis!C100</f>
        <v>4</v>
      </c>
      <c r="C100" t="str">
        <f>Player_Analysis!B100</f>
        <v>DEF</v>
      </c>
      <c r="D100" s="13">
        <f>Player_Analysis!E100</f>
        <v>4.5</v>
      </c>
      <c r="E100">
        <f>Player_Analysis!I100</f>
        <v>270</v>
      </c>
      <c r="F100" s="8">
        <f>Player_Analysis!Z100</f>
        <v>3</v>
      </c>
      <c r="G100" s="17">
        <f t="shared" si="27"/>
        <v>1</v>
      </c>
      <c r="H100">
        <f t="shared" si="28"/>
        <v>90</v>
      </c>
      <c r="I100" s="8">
        <f>Player_Analysis!AF100</f>
        <v>0</v>
      </c>
      <c r="J100" s="8">
        <f>Player_Analysis!AG100</f>
        <v>0</v>
      </c>
      <c r="K100">
        <f>Player_Analysis!O100</f>
        <v>0.11</v>
      </c>
      <c r="L100">
        <f>Player_Analysis!P100</f>
        <v>0.03</v>
      </c>
      <c r="M100">
        <f t="shared" si="29"/>
        <v>3.6666666666666667E-2</v>
      </c>
      <c r="N100">
        <f t="shared" si="30"/>
        <v>9.9999999999999985E-3</v>
      </c>
      <c r="O100" s="2">
        <f>IF(E100=0,"",Player_Analysis!L100/E100*90)</f>
        <v>4.333333333333333</v>
      </c>
      <c r="P100">
        <f>IF(E100=0,"",Player_Analysis!Q100/E100*90)</f>
        <v>4.6666666666666669E-2</v>
      </c>
      <c r="Q100">
        <f>IF(E100=0,"",(Player_Analysis!AD100/E100)*90)</f>
        <v>14.666666666666668</v>
      </c>
      <c r="R100">
        <f>IF(E100=0,"",Player_Analysis!AA100/E100*90)</f>
        <v>10.666666666666668</v>
      </c>
      <c r="S100">
        <f t="array" ref="S100">IFERROR(INDEX('2023_24'!$O:$O,MATCH($A100,'2023_24'!$A:$A,0)),"")</f>
        <v>6.0131434830230007E-2</v>
      </c>
      <c r="T100">
        <f>IFERROR(INDEX('2024_25'!$P:$P,MATCH($A100,'2024_25'!$A:$A,0)),"")</f>
        <v>6.0921144452198185E-2</v>
      </c>
      <c r="U100">
        <f>IFERROR(INDEX('2025_26'!$P:$P,MATCH($A100,'2025_26'!$A:$A,0)),"")</f>
        <v>3.4404432132963986E-2</v>
      </c>
      <c r="V100">
        <f>IFERROR(INDEX('2023_24'!$P:$P,MATCH($A100,'2023_24'!$A:$A,0)),"")</f>
        <v>0.13209200438116103</v>
      </c>
      <c r="W100">
        <f>IFERROR(INDEX('2024_25'!$Q:$Q,MATCH($A100,'2024_25'!$A:$A,0)),"")</f>
        <v>3.0146545708304259E-2</v>
      </c>
      <c r="X100">
        <f>IFERROR(INDEX('2025_26'!$Q:$Q,MATCH($A100,'2025_26'!$A:$A,0)),"")</f>
        <v>3.6398891966759002E-2</v>
      </c>
      <c r="Y100">
        <f>IFERROR(INDEX('2023_24'!$M:$M,MATCH($A100,'2023_24'!$A:$A,0))/INDEX('2023_24'!$G:$G,MATCH($A100,'2023_24'!$A:$A,0))*90,"")</f>
        <v>3.3515881708652793</v>
      </c>
      <c r="Z100">
        <f>IFERROR(INDEX('2024_25'!$M:$M,MATCH($A100,'2024_25'!$A:$A,0))/INDEX('2024_25'!$G:$G,MATCH($A100,'2024_25'!$A:$A,0))*90,"")</f>
        <v>2.449406838799721</v>
      </c>
      <c r="AA100">
        <f>IFERROR(INDEX('2025_26'!$M:$M,MATCH($A100,'2025_26'!$A:$A,0))/INDEX('2025_26'!$G:$G,MATCH($A100,'2025_26'!$A:$A,0))*90,"")</f>
        <v>3.7894736842105261</v>
      </c>
      <c r="AB100">
        <f>IFERROR(SUMPRODUCT(S100:U100,{0.2,0.3,0.5})/SUMPRODUCT(--(S100:U100&lt;&gt;""),{0.2,0.3,0.5}),"")</f>
        <v>4.7504846368187449E-2</v>
      </c>
      <c r="AC100">
        <f>IFERROR(SUMPRODUCT(V100:X100,{0.2,0.3,0.5})/SUMPRODUCT(--(V100:X100&lt;&gt;""),{0.2,0.3,0.5}),"")</f>
        <v>5.366181057210298E-2</v>
      </c>
      <c r="AD100">
        <f>IFERROR(SUMPRODUCT(Y100:AA100,{0.2,0.3,0.5})/SUMPRODUCT((Y100:AA100&lt;&gt;"")*{0.2,0.3,0.5}),O100)</f>
        <v>3.2998765279182356</v>
      </c>
      <c r="AE100">
        <f t="shared" si="31"/>
        <v>3</v>
      </c>
      <c r="AF100">
        <f t="shared" si="32"/>
        <v>90</v>
      </c>
      <c r="AG100">
        <f t="shared" si="33"/>
        <v>3.7750484636818744E-2</v>
      </c>
      <c r="AH100">
        <f t="shared" si="34"/>
        <v>1.4366181057210296E-2</v>
      </c>
      <c r="AI100" s="2">
        <f t="shared" si="35"/>
        <v>4.2299876527918236</v>
      </c>
      <c r="AJ100">
        <f t="shared" si="36"/>
        <v>0.9</v>
      </c>
      <c r="AK100" t="str">
        <f t="shared" si="37"/>
        <v>NO</v>
      </c>
      <c r="AL100">
        <f t="shared" si="38"/>
        <v>3.7750484636818744E-2</v>
      </c>
      <c r="AM100">
        <f t="shared" si="39"/>
        <v>1.4366181057210296E-2</v>
      </c>
      <c r="AN100">
        <f t="shared" si="40"/>
        <v>3.7750484636818744E-2</v>
      </c>
      <c r="AO100">
        <f t="shared" si="41"/>
        <v>1.4366181057210296E-2</v>
      </c>
      <c r="AP100">
        <f t="array" ref="AP100">AL100*IF($C100="GKP",10,IF($C100="DEF",6,IF($C100="MID",5,4)))</f>
        <v>0.22650290782091248</v>
      </c>
      <c r="AQ100">
        <f t="shared" si="42"/>
        <v>4.3098543171630886E-2</v>
      </c>
      <c r="AR100">
        <f t="shared" si="43"/>
        <v>2</v>
      </c>
      <c r="AS100" s="2">
        <f>IF($H100=0,0,Player_Analysis!$AM100*$H100/90)</f>
        <v>1.3333333333333333</v>
      </c>
      <c r="AT100">
        <f t="shared" si="44"/>
        <v>2.1333333333333337</v>
      </c>
      <c r="AU100" s="2">
        <f>0</f>
        <v>0</v>
      </c>
      <c r="AV100" s="2">
        <f>IF(INDEX(FPL_Raw_Data!K:K,MATCH(A100,FPL_Raw_Data!AA:AA,0))=0,"",INDEX(FPL_Raw_Data!P:P,MATCH(A100,FPL_Raw_Data!AA:AA,0))/INDEX(FPL_Raw_Data!K:K,MATCH(A100,FPL_Raw_Data!AA:AA,0))*90)</f>
        <v>0</v>
      </c>
      <c r="AW100" s="2">
        <f t="shared" si="45"/>
        <v>0</v>
      </c>
      <c r="AX100" s="2">
        <f>IFERROR(INDEX(TEAM_ANALYSIS!$H$2:$H$21,MATCH($B100,TEAM_ANALYSIS!$A$2:$A$21,0)),0)</f>
        <v>0.66666666666666663</v>
      </c>
      <c r="AY100" s="2">
        <f t="shared" si="46"/>
        <v>-0.33333333333333331</v>
      </c>
      <c r="AZ100" s="2">
        <f t="shared" si="47"/>
        <v>5.4029347843258773</v>
      </c>
      <c r="BA100">
        <f t="shared" si="48"/>
        <v>1.2006521742946394</v>
      </c>
      <c r="BB100">
        <f>IFERROR(Player_Analysis!$Y100,1)</f>
        <v>1.1250890990542559</v>
      </c>
      <c r="BC100">
        <f t="shared" si="49"/>
        <v>6.078783028746102</v>
      </c>
      <c r="BD100">
        <f t="shared" si="50"/>
        <v>7.2985040605293614</v>
      </c>
      <c r="BE100">
        <f t="shared" si="51"/>
        <v>6.078783028746102</v>
      </c>
      <c r="BF100">
        <f t="shared" si="52"/>
        <v>42</v>
      </c>
      <c r="BG100">
        <f>IF($BE100="","",COUNTIFS($C$2:$C$596,$C100,$BE$2:$BE$596,"&gt;"&amp;$BE100)+COUNTIFS($C$2:$C100,$C100,$BE$2:$BE100,$BE100))</f>
        <v>21</v>
      </c>
    </row>
    <row r="101" spans="1:59" x14ac:dyDescent="0.25">
      <c r="A101" t="str">
        <f>Player_Analysis!A101</f>
        <v>Michael Kayode</v>
      </c>
      <c r="B101">
        <f>Player_Analysis!C101</f>
        <v>4</v>
      </c>
      <c r="C101" t="str">
        <f>Player_Analysis!B101</f>
        <v>DEF</v>
      </c>
      <c r="D101" s="13">
        <f>Player_Analysis!E101</f>
        <v>4.5999999999999996</v>
      </c>
      <c r="E101">
        <f>Player_Analysis!I101</f>
        <v>207</v>
      </c>
      <c r="F101" s="8">
        <f>Player_Analysis!Z101</f>
        <v>3</v>
      </c>
      <c r="G101" s="17">
        <f t="shared" si="27"/>
        <v>1</v>
      </c>
      <c r="H101">
        <f t="shared" si="28"/>
        <v>90</v>
      </c>
      <c r="I101" s="8">
        <f>Player_Analysis!AF101</f>
        <v>1</v>
      </c>
      <c r="J101" s="8">
        <f>Player_Analysis!AG101</f>
        <v>0</v>
      </c>
      <c r="K101">
        <f>Player_Analysis!O101</f>
        <v>0.55000000000000004</v>
      </c>
      <c r="L101">
        <f>Player_Analysis!P101</f>
        <v>0.21</v>
      </c>
      <c r="M101">
        <f t="shared" si="29"/>
        <v>0.2391304347826087</v>
      </c>
      <c r="N101">
        <f t="shared" si="30"/>
        <v>9.1304347826086957E-2</v>
      </c>
      <c r="O101" s="2">
        <f>IF(E101=0,"",Player_Analysis!L101/E101*90)</f>
        <v>6.9565217391304346</v>
      </c>
      <c r="P101">
        <f>IF(E101=0,"",Player_Analysis!Q101/E101*90)</f>
        <v>0.33043478260869563</v>
      </c>
      <c r="Q101">
        <f>IF(E101=0,"",(Player_Analysis!AD101/E101)*90)</f>
        <v>20.434782608695652</v>
      </c>
      <c r="R101">
        <f>IF(E101=0,"",Player_Analysis!AA101/E101*90)</f>
        <v>5.6521739130434785</v>
      </c>
      <c r="S101" t="str">
        <f t="array" ref="S101">IFERROR(INDEX('2023_24'!$O:$O,MATCH($A101,'2023_24'!$A:$A,0)),"")</f>
        <v/>
      </c>
      <c r="T101">
        <f>IFERROR(INDEX('2024_25'!$P:$P,MATCH($A101,'2024_25'!$A:$A,0)),"")</f>
        <v>3.2695984703632885E-2</v>
      </c>
      <c r="U101">
        <f>IFERROR(INDEX('2025_26'!$P:$P,MATCH($A101,'2025_26'!$A:$A,0)),"")</f>
        <v>3.535911602209945E-2</v>
      </c>
      <c r="V101" t="str">
        <f>IFERROR(INDEX('2023_24'!$P:$P,MATCH($A101,'2023_24'!$A:$A,0)),"")</f>
        <v/>
      </c>
      <c r="W101">
        <f>IFERROR(INDEX('2024_25'!$Q:$Q,MATCH($A101,'2024_25'!$A:$A,0)),"")</f>
        <v>0.12045889101338431</v>
      </c>
      <c r="X101">
        <f>IFERROR(INDEX('2025_26'!$Q:$Q,MATCH($A101,'2025_26'!$A:$A,0)),"")</f>
        <v>7.9834254143646421E-2</v>
      </c>
      <c r="Y101" t="str">
        <f>IFERROR(INDEX('2023_24'!$M:$M,MATCH($A101,'2023_24'!$A:$A,0))/INDEX('2023_24'!$G:$G,MATCH($A101,'2023_24'!$A:$A,0))*90,"")</f>
        <v/>
      </c>
      <c r="Z101">
        <f>IFERROR(INDEX('2024_25'!$M:$M,MATCH($A101,'2024_25'!$A:$A,0))/INDEX('2024_25'!$G:$G,MATCH($A101,'2024_25'!$A:$A,0))*90,"")</f>
        <v>4.646271510516252</v>
      </c>
      <c r="AA101">
        <f>IFERROR(INDEX('2025_26'!$M:$M,MATCH($A101,'2025_26'!$A:$A,0))/INDEX('2025_26'!$G:$G,MATCH($A101,'2025_26'!$A:$A,0))*90,"")</f>
        <v>3.1215469613259672</v>
      </c>
      <c r="AB101">
        <f>IFERROR(SUMPRODUCT(S101:U101,{0.2,0.3,0.5})/SUMPRODUCT(--(S101:U101&lt;&gt;""),{0.2,0.3,0.5}),"")</f>
        <v>3.4360441777674486E-2</v>
      </c>
      <c r="AC101">
        <f>IFERROR(SUMPRODUCT(V101:X101,{0.2,0.3,0.5})/SUMPRODUCT(--(V101:X101&lt;&gt;""),{0.2,0.3,0.5}),"")</f>
        <v>9.5068492969798135E-2</v>
      </c>
      <c r="AD101">
        <f>IFERROR(SUMPRODUCT(Y101:AA101,{0.2,0.3,0.5})/SUMPRODUCT((Y101:AA101&lt;&gt;"")*{0.2,0.3,0.5}),O101)</f>
        <v>3.6933186672723237</v>
      </c>
      <c r="AE101">
        <f t="shared" si="31"/>
        <v>2</v>
      </c>
      <c r="AF101">
        <f t="shared" si="32"/>
        <v>69</v>
      </c>
      <c r="AG101">
        <f t="shared" si="33"/>
        <v>0.17565173695107908</v>
      </c>
      <c r="AH101">
        <f t="shared" si="34"/>
        <v>9.2471232820637433E-2</v>
      </c>
      <c r="AI101" s="2">
        <f t="shared" si="35"/>
        <v>5.9449287868544207</v>
      </c>
      <c r="AJ101">
        <f t="shared" si="36"/>
        <v>0.69</v>
      </c>
      <c r="AK101" t="str">
        <f t="shared" si="37"/>
        <v>NO</v>
      </c>
      <c r="AL101">
        <f t="shared" si="38"/>
        <v>0.17565173695107908</v>
      </c>
      <c r="AM101">
        <f t="shared" si="39"/>
        <v>9.2471232820637433E-2</v>
      </c>
      <c r="AN101">
        <f t="shared" si="40"/>
        <v>0.17565173695107908</v>
      </c>
      <c r="AO101">
        <f t="shared" si="41"/>
        <v>9.2471232820637433E-2</v>
      </c>
      <c r="AP101">
        <f t="array" ref="AP101">AL101*IF($C101="GKP",10,IF($C101="DEF",6,IF($C101="MID",5,4)))</f>
        <v>1.0539104217064745</v>
      </c>
      <c r="AQ101">
        <f t="shared" si="42"/>
        <v>0.27741369846191233</v>
      </c>
      <c r="AR101">
        <f t="shared" si="43"/>
        <v>2</v>
      </c>
      <c r="AS101" s="2">
        <f>IF($H101=0,0,Player_Analysis!$AM101*$H101/90)</f>
        <v>1.3333333333333333</v>
      </c>
      <c r="AT101">
        <f t="shared" si="44"/>
        <v>1.1304347826086958</v>
      </c>
      <c r="AU101" s="2">
        <f>0</f>
        <v>0</v>
      </c>
      <c r="AV101" s="2">
        <f>IF(INDEX(FPL_Raw_Data!K:K,MATCH(A101,FPL_Raw_Data!AA:AA,0))=0,"",INDEX(FPL_Raw_Data!P:P,MATCH(A101,FPL_Raw_Data!AA:AA,0))/INDEX(FPL_Raw_Data!K:K,MATCH(A101,FPL_Raw_Data!AA:AA,0))*90)</f>
        <v>0</v>
      </c>
      <c r="AW101" s="2">
        <f t="shared" si="45"/>
        <v>0</v>
      </c>
      <c r="AX101" s="2">
        <f>IFERROR(INDEX(TEAM_ANALYSIS!$H$2:$H$21,MATCH($B101,TEAM_ANALYSIS!$A$2:$A$21,0)),0)</f>
        <v>0.66666666666666663</v>
      </c>
      <c r="AY101" s="2">
        <f t="shared" si="46"/>
        <v>-0.33333333333333331</v>
      </c>
      <c r="AZ101" s="2">
        <f t="shared" si="47"/>
        <v>5.4617589027770821</v>
      </c>
      <c r="BA101">
        <f t="shared" si="48"/>
        <v>1.1873388919080614</v>
      </c>
      <c r="BB101">
        <f>IFERROR(Player_Analysis!$Y101,1)</f>
        <v>1.1250890990542559</v>
      </c>
      <c r="BC101">
        <f t="shared" si="49"/>
        <v>6.1449654031770287</v>
      </c>
      <c r="BD101">
        <f t="shared" si="50"/>
        <v>7.2961564126215874</v>
      </c>
      <c r="BE101">
        <f t="shared" si="51"/>
        <v>6.1449654031770287</v>
      </c>
      <c r="BF101">
        <f t="shared" si="52"/>
        <v>40</v>
      </c>
      <c r="BG101">
        <f>IF($BE101="","",COUNTIFS($C$2:$C$596,$C101,$BE$2:$BE$596,"&gt;"&amp;$BE101)+COUNTIFS($C$2:$C101,$C101,$BE$2:$BE101,$BE101))</f>
        <v>19</v>
      </c>
    </row>
    <row r="102" spans="1:59" x14ac:dyDescent="0.25">
      <c r="A102" t="str">
        <f>Player_Analysis!A102</f>
        <v>Rico Henry</v>
      </c>
      <c r="B102">
        <f>Player_Analysis!C102</f>
        <v>4</v>
      </c>
      <c r="C102" t="str">
        <f>Player_Analysis!B102</f>
        <v>DEF</v>
      </c>
      <c r="D102" s="13">
        <f>Player_Analysis!E102</f>
        <v>4.5</v>
      </c>
      <c r="E102">
        <f>Player_Analysis!I102</f>
        <v>2</v>
      </c>
      <c r="F102" s="8">
        <f>Player_Analysis!Z102</f>
        <v>0</v>
      </c>
      <c r="G102" s="17">
        <f t="shared" si="27"/>
        <v>0</v>
      </c>
      <c r="H102">
        <f t="shared" si="28"/>
        <v>0</v>
      </c>
      <c r="I102" s="8">
        <f>Player_Analysis!AF102</f>
        <v>0</v>
      </c>
      <c r="J102" s="8">
        <f>Player_Analysis!AG102</f>
        <v>0</v>
      </c>
      <c r="K102">
        <f>Player_Analysis!O102</f>
        <v>0</v>
      </c>
      <c r="L102">
        <f>Player_Analysis!P102</f>
        <v>0</v>
      </c>
      <c r="M102">
        <f t="shared" si="29"/>
        <v>0</v>
      </c>
      <c r="N102">
        <f t="shared" si="30"/>
        <v>0</v>
      </c>
      <c r="O102" s="2">
        <f>IF(E102=0,"",Player_Analysis!L102/E102*90)</f>
        <v>45</v>
      </c>
      <c r="P102">
        <f>IF(E102=0,"",Player_Analysis!Q102/E102*90)</f>
        <v>0</v>
      </c>
      <c r="Q102">
        <f>IF(E102=0,"",(Player_Analysis!AD102/E102)*90)</f>
        <v>135</v>
      </c>
      <c r="R102">
        <f>IF(E102=0,"",Player_Analysis!AA102/E102*90)</f>
        <v>0</v>
      </c>
      <c r="S102">
        <f t="array" ref="S102">IFERROR(INDEX('2023_24'!$O:$O,MATCH($A102,'2023_24'!$A:$A,0)),"")</f>
        <v>1.5710723192019951E-2</v>
      </c>
      <c r="T102">
        <f>IFERROR(INDEX('2024_25'!$P:$P,MATCH($A102,'2024_25'!$A:$A,0)),"")</f>
        <v>0</v>
      </c>
      <c r="U102">
        <f>IFERROR(INDEX('2025_26'!$P:$P,MATCH($A102,'2025_26'!$A:$A,0)),"")</f>
        <v>1.2254160363086233E-2</v>
      </c>
      <c r="V102">
        <f>IFERROR(INDEX('2023_24'!$P:$P,MATCH($A102,'2023_24'!$A:$A,0)),"")</f>
        <v>0.20199501246882795</v>
      </c>
      <c r="W102">
        <f>IFERROR(INDEX('2024_25'!$Q:$Q,MATCH($A102,'2024_25'!$A:$A,0)),"")</f>
        <v>9.5744680851063829E-3</v>
      </c>
      <c r="X102">
        <f>IFERROR(INDEX('2025_26'!$Q:$Q,MATCH($A102,'2025_26'!$A:$A,0)),"")</f>
        <v>3.6762481089258704E-2</v>
      </c>
      <c r="Y102">
        <f>IFERROR(INDEX('2023_24'!$M:$M,MATCH($A102,'2023_24'!$A:$A,0))/INDEX('2023_24'!$G:$G,MATCH($A102,'2023_24'!$A:$A,0))*90,"")</f>
        <v>2.917705735660848</v>
      </c>
      <c r="Z102">
        <f>IFERROR(INDEX('2024_25'!$M:$M,MATCH($A102,'2024_25'!$A:$A,0))/INDEX('2024_25'!$G:$G,MATCH($A102,'2024_25'!$A:$A,0))*90,"")</f>
        <v>3.8297872340425529</v>
      </c>
      <c r="AA102">
        <f>IFERROR(INDEX('2025_26'!$M:$M,MATCH($A102,'2025_26'!$A:$A,0))/INDEX('2025_26'!$G:$G,MATCH($A102,'2025_26'!$A:$A,0))*90,"")</f>
        <v>3.5400907715582455</v>
      </c>
      <c r="AB102">
        <f>IFERROR(SUMPRODUCT(S102:U102,{0.2,0.3,0.5})/SUMPRODUCT(--(S102:U102&lt;&gt;""),{0.2,0.3,0.5}),"")</f>
        <v>9.2692248199471063E-3</v>
      </c>
      <c r="AC102">
        <f>IFERROR(SUMPRODUCT(V102:X102,{0.2,0.3,0.5})/SUMPRODUCT(--(V102:X102&lt;&gt;""),{0.2,0.3,0.5}),"")</f>
        <v>6.1652583463926866E-2</v>
      </c>
      <c r="AD102">
        <f>IFERROR(SUMPRODUCT(Y102:AA102,{0.2,0.3,0.5})/SUMPRODUCT((Y102:AA102&lt;&gt;"")*{0.2,0.3,0.5}),O102)</f>
        <v>3.5025227031240584</v>
      </c>
      <c r="AE102">
        <f t="shared" si="31"/>
        <v>3</v>
      </c>
      <c r="AF102" t="str">
        <f t="shared" si="32"/>
        <v/>
      </c>
      <c r="AG102">
        <f t="shared" si="33"/>
        <v>9.2074299878141252E-3</v>
      </c>
      <c r="AH102">
        <f t="shared" si="34"/>
        <v>6.1241566240834017E-2</v>
      </c>
      <c r="AI102" s="2">
        <f t="shared" si="35"/>
        <v>3.7791725517698982</v>
      </c>
      <c r="AJ102">
        <f t="shared" si="36"/>
        <v>6.6666666666666671E-3</v>
      </c>
      <c r="AK102" t="str">
        <f t="shared" si="37"/>
        <v>NO</v>
      </c>
      <c r="AL102">
        <f t="shared" si="38"/>
        <v>0</v>
      </c>
      <c r="AM102">
        <f t="shared" si="39"/>
        <v>0</v>
      </c>
      <c r="AN102">
        <f t="shared" si="40"/>
        <v>0</v>
      </c>
      <c r="AO102">
        <f t="shared" si="41"/>
        <v>0</v>
      </c>
      <c r="AP102">
        <f t="array" ref="AP102">AL102*IF($C102="GKP",10,IF($C102="DEF",6,IF($C102="MID",5,4)))</f>
        <v>0</v>
      </c>
      <c r="AQ102">
        <f t="shared" si="42"/>
        <v>0</v>
      </c>
      <c r="AR102">
        <f t="shared" si="43"/>
        <v>0</v>
      </c>
      <c r="AS102" s="2">
        <f>IF($H102=0,0,Player_Analysis!$AM102*$H102/90)</f>
        <v>0</v>
      </c>
      <c r="AT102">
        <f t="shared" si="44"/>
        <v>0</v>
      </c>
      <c r="AU102" s="2">
        <f>0</f>
        <v>0</v>
      </c>
      <c r="AV102" s="2">
        <f>IF(INDEX(FPL_Raw_Data!K:K,MATCH(A102,FPL_Raw_Data!AA:AA,0))=0,"",INDEX(FPL_Raw_Data!P:P,MATCH(A102,FPL_Raw_Data!AA:AA,0))/INDEX(FPL_Raw_Data!K:K,MATCH(A102,FPL_Raw_Data!AA:AA,0))*90)</f>
        <v>0</v>
      </c>
      <c r="AW102" s="2">
        <f t="shared" si="45"/>
        <v>0</v>
      </c>
      <c r="AX102" s="2">
        <f>IFERROR(INDEX(TEAM_ANALYSIS!$H$2:$H$21,MATCH($B102,TEAM_ANALYSIS!$A$2:$A$21,0)),0)</f>
        <v>0.66666666666666663</v>
      </c>
      <c r="AY102" s="2">
        <f t="shared" si="46"/>
        <v>-0.33333333333333331</v>
      </c>
      <c r="AZ102" s="2">
        <f t="shared" si="47"/>
        <v>-0.33333333333333331</v>
      </c>
      <c r="BA102">
        <f t="shared" si="48"/>
        <v>-7.407407407407407E-2</v>
      </c>
      <c r="BB102">
        <f>IFERROR(Player_Analysis!$Y102,1)</f>
        <v>1.1250890990542559</v>
      </c>
      <c r="BC102">
        <f t="shared" si="49"/>
        <v>-0.37502969968475197</v>
      </c>
      <c r="BD102">
        <f t="shared" si="50"/>
        <v>2.7779977754426071E-2</v>
      </c>
      <c r="BE102">
        <f t="shared" si="51"/>
        <v>-0.37502969968475197</v>
      </c>
      <c r="BF102">
        <f t="shared" si="52"/>
        <v>511</v>
      </c>
      <c r="BG102">
        <f>IF($BE102="","",COUNTIFS($C$2:$C$596,$C102,$BE$2:$BE$596,"&gt;"&amp;$BE102)+COUNTIFS($C$2:$C102,$C102,$BE$2:$BE102,$BE102))</f>
        <v>109</v>
      </c>
    </row>
    <row r="103" spans="1:59" x14ac:dyDescent="0.25">
      <c r="A103" t="str">
        <f>Player_Analysis!A103</f>
        <v>Aaron Hickey</v>
      </c>
      <c r="B103">
        <f>Player_Analysis!C103</f>
        <v>4</v>
      </c>
      <c r="C103" t="str">
        <f>Player_Analysis!B103</f>
        <v>DEF</v>
      </c>
      <c r="D103" s="13">
        <f>Player_Analysis!E103</f>
        <v>4.5</v>
      </c>
      <c r="E103">
        <f>Player_Analysis!I103</f>
        <v>61</v>
      </c>
      <c r="F103" s="8">
        <f>Player_Analysis!Z103</f>
        <v>0</v>
      </c>
      <c r="G103" s="17">
        <f t="shared" si="27"/>
        <v>0</v>
      </c>
      <c r="H103">
        <f t="shared" si="28"/>
        <v>0</v>
      </c>
      <c r="I103" s="8">
        <f>Player_Analysis!AF103</f>
        <v>0</v>
      </c>
      <c r="J103" s="8">
        <f>Player_Analysis!AG103</f>
        <v>0</v>
      </c>
      <c r="K103">
        <f>Player_Analysis!O103</f>
        <v>0</v>
      </c>
      <c r="L103">
        <f>Player_Analysis!P103</f>
        <v>0.02</v>
      </c>
      <c r="M103">
        <f t="shared" si="29"/>
        <v>0</v>
      </c>
      <c r="N103">
        <f t="shared" si="30"/>
        <v>2.9508196721311476E-2</v>
      </c>
      <c r="O103" s="2">
        <f>IF(E103=0,"",Player_Analysis!L103/E103*90)</f>
        <v>4.4262295081967213</v>
      </c>
      <c r="P103">
        <f>IF(E103=0,"",Player_Analysis!Q103/E103*90)</f>
        <v>2.9508196721311476E-2</v>
      </c>
      <c r="Q103">
        <f>IF(E103=0,"",(Player_Analysis!AD103/E103)*90)</f>
        <v>11.803278688524591</v>
      </c>
      <c r="R103">
        <f>IF(E103=0,"",Player_Analysis!AA103/E103*90)</f>
        <v>8.8524590163934427</v>
      </c>
      <c r="S103">
        <f t="array" ref="S103">IFERROR(INDEX('2023_24'!$O:$O,MATCH($A103,'2023_24'!$A:$A,0)),"")</f>
        <v>2.5245441795231419E-2</v>
      </c>
      <c r="T103">
        <f>IFERROR(INDEX('2024_25'!$P:$P,MATCH($A103,'2024_25'!$A:$A,0)),"")</f>
        <v>0</v>
      </c>
      <c r="U103">
        <f>IFERROR(INDEX('2025_26'!$P:$P,MATCH($A103,'2025_26'!$A:$A,0)),"")</f>
        <v>5.8321060382916054E-2</v>
      </c>
      <c r="V103">
        <f>IFERROR(INDEX('2023_24'!$P:$P,MATCH($A103,'2023_24'!$A:$A,0)),"")</f>
        <v>1.6409537166900419E-2</v>
      </c>
      <c r="W103">
        <f>IFERROR(INDEX('2024_25'!$Q:$Q,MATCH($A103,'2024_25'!$A:$A,0)),"")</f>
        <v>0</v>
      </c>
      <c r="X103">
        <f>IFERROR(INDEX('2025_26'!$Q:$Q,MATCH($A103,'2025_26'!$A:$A,0)),"")</f>
        <v>2.2533136966126657E-2</v>
      </c>
      <c r="Y103">
        <f>IFERROR(INDEX('2023_24'!$M:$M,MATCH($A103,'2023_24'!$A:$A,0))/INDEX('2023_24'!$G:$G,MATCH($A103,'2023_24'!$A:$A,0))*90,"")</f>
        <v>2.1458625525946702</v>
      </c>
      <c r="Z103" t="str">
        <f>IFERROR(INDEX('2024_25'!$M:$M,MATCH($A103,'2024_25'!$A:$A,0))/INDEX('2024_25'!$G:$G,MATCH($A103,'2024_25'!$A:$A,0))*90,"")</f>
        <v/>
      </c>
      <c r="AA103">
        <f>IFERROR(INDEX('2025_26'!$M:$M,MATCH($A103,'2025_26'!$A:$A,0))/INDEX('2025_26'!$G:$G,MATCH($A103,'2025_26'!$A:$A,0))*90,"")</f>
        <v>4.9042709867452139</v>
      </c>
      <c r="AB103">
        <f>IFERROR(SUMPRODUCT(S103:U103,{0.2,0.3,0.5})/SUMPRODUCT(--(S103:U103&lt;&gt;""),{0.2,0.3,0.5}),"")</f>
        <v>3.4209618550504313E-2</v>
      </c>
      <c r="AC103">
        <f>IFERROR(SUMPRODUCT(V103:X103,{0.2,0.3,0.5})/SUMPRODUCT(--(V103:X103&lt;&gt;""),{0.2,0.3,0.5}),"")</f>
        <v>1.4548475916443412E-2</v>
      </c>
      <c r="AD103">
        <f>IFERROR(SUMPRODUCT(Y103:AA103,{0.2,0.3,0.5})/SUMPRODUCT((Y103:AA103&lt;&gt;"")*{0.2,0.3,0.5}),O103)</f>
        <v>4.11615429127363</v>
      </c>
      <c r="AE103">
        <f t="shared" si="31"/>
        <v>3</v>
      </c>
      <c r="AF103" t="str">
        <f t="shared" si="32"/>
        <v/>
      </c>
      <c r="AG103">
        <f t="shared" si="33"/>
        <v>2.7253662778568433E-2</v>
      </c>
      <c r="AH103">
        <f t="shared" si="34"/>
        <v>1.7590285813433252E-2</v>
      </c>
      <c r="AI103" s="2">
        <f t="shared" si="35"/>
        <v>4.1792029187146582</v>
      </c>
      <c r="AJ103">
        <f t="shared" si="36"/>
        <v>0.20333333333333334</v>
      </c>
      <c r="AK103" t="str">
        <f t="shared" si="37"/>
        <v>NO</v>
      </c>
      <c r="AL103">
        <f t="shared" si="38"/>
        <v>0</v>
      </c>
      <c r="AM103">
        <f t="shared" si="39"/>
        <v>0</v>
      </c>
      <c r="AN103">
        <f t="shared" si="40"/>
        <v>0</v>
      </c>
      <c r="AO103">
        <f t="shared" si="41"/>
        <v>0</v>
      </c>
      <c r="AP103">
        <f t="array" ref="AP103">AL103*IF($C103="GKP",10,IF($C103="DEF",6,IF($C103="MID",5,4)))</f>
        <v>0</v>
      </c>
      <c r="AQ103">
        <f t="shared" si="42"/>
        <v>0</v>
      </c>
      <c r="AR103">
        <f t="shared" si="43"/>
        <v>0</v>
      </c>
      <c r="AS103" s="2">
        <f>IF($H103=0,0,Player_Analysis!$AM103*$H103/90)</f>
        <v>0</v>
      </c>
      <c r="AT103">
        <f t="shared" si="44"/>
        <v>0</v>
      </c>
      <c r="AU103" s="2">
        <f>0</f>
        <v>0</v>
      </c>
      <c r="AV103" s="2">
        <f>IF(INDEX(FPL_Raw_Data!K:K,MATCH(A103,FPL_Raw_Data!AA:AA,0))=0,"",INDEX(FPL_Raw_Data!P:P,MATCH(A103,FPL_Raw_Data!AA:AA,0))/INDEX(FPL_Raw_Data!K:K,MATCH(A103,FPL_Raw_Data!AA:AA,0))*90)</f>
        <v>0</v>
      </c>
      <c r="AW103" s="2">
        <f t="shared" si="45"/>
        <v>0</v>
      </c>
      <c r="AX103" s="2">
        <f>IFERROR(INDEX(TEAM_ANALYSIS!$H$2:$H$21,MATCH($B103,TEAM_ANALYSIS!$A$2:$A$21,0)),0)</f>
        <v>0.66666666666666663</v>
      </c>
      <c r="AY103" s="2">
        <f t="shared" si="46"/>
        <v>-0.33333333333333331</v>
      </c>
      <c r="AZ103" s="2">
        <f t="shared" si="47"/>
        <v>-0.33333333333333331</v>
      </c>
      <c r="BA103">
        <f t="shared" si="48"/>
        <v>-7.407407407407407E-2</v>
      </c>
      <c r="BB103">
        <f>IFERROR(Player_Analysis!$Y103,1)</f>
        <v>1.1250890990542559</v>
      </c>
      <c r="BC103">
        <f t="shared" si="49"/>
        <v>-0.37502969968475197</v>
      </c>
      <c r="BD103">
        <f t="shared" si="50"/>
        <v>2.7779977754426071E-2</v>
      </c>
      <c r="BE103">
        <f t="shared" si="51"/>
        <v>-0.37502969968475197</v>
      </c>
      <c r="BF103">
        <f t="shared" si="52"/>
        <v>511</v>
      </c>
      <c r="BG103">
        <f>IF($BE103="","",COUNTIFS($C$2:$C$596,$C103,$BE$2:$BE$596,"&gt;"&amp;$BE103)+COUNTIFS($C$2:$C103,$C103,$BE$2:$BE103,$BE103))</f>
        <v>110</v>
      </c>
    </row>
    <row r="104" spans="1:59" x14ac:dyDescent="0.25">
      <c r="A104" t="str">
        <f>Player_Analysis!A104</f>
        <v>Kim Ji-soo</v>
      </c>
      <c r="B104">
        <f>Player_Analysis!C104</f>
        <v>4</v>
      </c>
      <c r="C104" t="str">
        <f>Player_Analysis!B104</f>
        <v>DEF</v>
      </c>
      <c r="D104" s="13">
        <f>Player_Analysis!E104</f>
        <v>4.5</v>
      </c>
      <c r="E104">
        <f>Player_Analysis!I104</f>
        <v>0</v>
      </c>
      <c r="F104" s="8">
        <f>Player_Analysis!Z104</f>
        <v>0</v>
      </c>
      <c r="G104" s="17">
        <f t="shared" si="27"/>
        <v>0</v>
      </c>
      <c r="H104">
        <f t="shared" si="28"/>
        <v>0</v>
      </c>
      <c r="I104" s="8">
        <f>Player_Analysis!AF104</f>
        <v>0</v>
      </c>
      <c r="J104" s="8">
        <f>Player_Analysis!AG104</f>
        <v>0</v>
      </c>
      <c r="K104">
        <f>Player_Analysis!O104</f>
        <v>0</v>
      </c>
      <c r="L104">
        <f>Player_Analysis!P104</f>
        <v>0</v>
      </c>
      <c r="M104" t="str">
        <f t="shared" si="29"/>
        <v/>
      </c>
      <c r="N104" t="str">
        <f t="shared" si="30"/>
        <v/>
      </c>
      <c r="O104" s="2" t="str">
        <f>IF(E104=0,"",Player_Analysis!L104/E104*90)</f>
        <v/>
      </c>
      <c r="P104" t="str">
        <f>IF(E104=0,"",Player_Analysis!Q104/E104*90)</f>
        <v/>
      </c>
      <c r="Q104" t="str">
        <f>IF(E104=0,"",(Player_Analysis!AD104/E104)*90)</f>
        <v/>
      </c>
      <c r="R104" t="str">
        <f>IF(E104=0,"",Player_Analysis!AA104/E104*90)</f>
        <v/>
      </c>
      <c r="S104" t="str">
        <f t="array" ref="S104">IFERROR(INDEX('2023_24'!$O:$O,MATCH($A104,'2023_24'!$A:$A,0)),"")</f>
        <v/>
      </c>
      <c r="T104">
        <f>IFERROR(INDEX('2024_25'!$P:$P,MATCH($A104,'2024_25'!$A:$A,0)),"")</f>
        <v>0</v>
      </c>
      <c r="U104">
        <f>IFERROR(INDEX('2025_26'!$P:$P,MATCH($A104,'2025_26'!$A:$A,0)),"")</f>
        <v>0</v>
      </c>
      <c r="V104" t="str">
        <f>IFERROR(INDEX('2023_24'!$P:$P,MATCH($A104,'2023_24'!$A:$A,0)),"")</f>
        <v/>
      </c>
      <c r="W104">
        <f>IFERROR(INDEX('2024_25'!$Q:$Q,MATCH($A104,'2024_25'!$A:$A,0)),"")</f>
        <v>0</v>
      </c>
      <c r="X104">
        <f>IFERROR(INDEX('2025_26'!$Q:$Q,MATCH($A104,'2025_26'!$A:$A,0)),"")</f>
        <v>0</v>
      </c>
      <c r="Y104" t="str">
        <f>IFERROR(INDEX('2023_24'!$M:$M,MATCH($A104,'2023_24'!$A:$A,0))/INDEX('2023_24'!$G:$G,MATCH($A104,'2023_24'!$A:$A,0))*90,"")</f>
        <v/>
      </c>
      <c r="Z104">
        <f>IFERROR(INDEX('2024_25'!$M:$M,MATCH($A104,'2024_25'!$A:$A,0))/INDEX('2024_25'!$G:$G,MATCH($A104,'2024_25'!$A:$A,0))*90,"")</f>
        <v>9.6428571428571423</v>
      </c>
      <c r="AA104" t="str">
        <f>IFERROR(INDEX('2025_26'!$M:$M,MATCH($A104,'2025_26'!$A:$A,0))/INDEX('2025_26'!$G:$G,MATCH($A104,'2025_26'!$A:$A,0))*90,"")</f>
        <v/>
      </c>
      <c r="AB104">
        <f>IFERROR(SUMPRODUCT(S104:U104,{0.2,0.3,0.5})/SUMPRODUCT(--(S104:U104&lt;&gt;""),{0.2,0.3,0.5}),"")</f>
        <v>0</v>
      </c>
      <c r="AC104">
        <f>IFERROR(SUMPRODUCT(V104:X104,{0.2,0.3,0.5})/SUMPRODUCT(--(V104:X104&lt;&gt;""),{0.2,0.3,0.5}),"")</f>
        <v>0</v>
      </c>
      <c r="AD104">
        <f>IFERROR(SUMPRODUCT(Y104:AA104,{0.2,0.3,0.5})/SUMPRODUCT((Y104:AA104&lt;&gt;"")*{0.2,0.3,0.5}),O104)</f>
        <v>9.6428571428571423</v>
      </c>
      <c r="AE104">
        <f t="shared" si="31"/>
        <v>2</v>
      </c>
      <c r="AF104" t="str">
        <f t="shared" si="32"/>
        <v/>
      </c>
      <c r="AG104">
        <f t="shared" si="33"/>
        <v>0</v>
      </c>
      <c r="AH104">
        <f t="shared" si="34"/>
        <v>0</v>
      </c>
      <c r="AI104" s="2">
        <f t="shared" si="35"/>
        <v>9.6428571428571423</v>
      </c>
      <c r="AJ104">
        <f t="shared" si="36"/>
        <v>0</v>
      </c>
      <c r="AK104" t="str">
        <f t="shared" si="37"/>
        <v>NO</v>
      </c>
      <c r="AL104">
        <f t="shared" si="38"/>
        <v>0</v>
      </c>
      <c r="AM104">
        <f t="shared" si="39"/>
        <v>0</v>
      </c>
      <c r="AN104">
        <f t="shared" si="40"/>
        <v>0</v>
      </c>
      <c r="AO104">
        <f t="shared" si="41"/>
        <v>0</v>
      </c>
      <c r="AP104">
        <f t="array" ref="AP104">AL104*IF($C104="GKP",10,IF($C104="DEF",6,IF($C104="MID",5,4)))</f>
        <v>0</v>
      </c>
      <c r="AQ104">
        <f t="shared" si="42"/>
        <v>0</v>
      </c>
      <c r="AR104">
        <f t="shared" si="43"/>
        <v>0</v>
      </c>
      <c r="AS104" s="2">
        <f>IF($H104=0,0,Player_Analysis!$AM104*$H104/90)</f>
        <v>0</v>
      </c>
      <c r="AT104">
        <f t="shared" si="44"/>
        <v>0</v>
      </c>
      <c r="AU104" s="2">
        <f>0</f>
        <v>0</v>
      </c>
      <c r="AV104" s="2" t="str">
        <f>IF(INDEX(FPL_Raw_Data!K:K,MATCH(A104,FPL_Raw_Data!AA:AA,0))=0,"",INDEX(FPL_Raw_Data!P:P,MATCH(A104,FPL_Raw_Data!AA:AA,0))/INDEX(FPL_Raw_Data!K:K,MATCH(A104,FPL_Raw_Data!AA:AA,0))*90)</f>
        <v/>
      </c>
      <c r="AW104" s="2">
        <f t="shared" si="45"/>
        <v>0</v>
      </c>
      <c r="AX104" s="2">
        <f>IFERROR(INDEX(TEAM_ANALYSIS!$H$2:$H$21,MATCH($B104,TEAM_ANALYSIS!$A$2:$A$21,0)),0)</f>
        <v>0.66666666666666663</v>
      </c>
      <c r="AY104" s="2">
        <f t="shared" si="46"/>
        <v>-0.33333333333333331</v>
      </c>
      <c r="AZ104" s="2">
        <f t="shared" si="47"/>
        <v>-0.33333333333333331</v>
      </c>
      <c r="BA104">
        <f t="shared" si="48"/>
        <v>-7.407407407407407E-2</v>
      </c>
      <c r="BB104">
        <f>IFERROR(Player_Analysis!$Y104,1)</f>
        <v>1.1250890990542559</v>
      </c>
      <c r="BC104">
        <f t="shared" si="49"/>
        <v>-0.37502969968475197</v>
      </c>
      <c r="BD104">
        <f t="shared" si="50"/>
        <v>2.7779977754426071E-2</v>
      </c>
      <c r="BE104">
        <f t="shared" si="51"/>
        <v>-0.37502969968475197</v>
      </c>
      <c r="BF104">
        <f t="shared" si="52"/>
        <v>511</v>
      </c>
      <c r="BG104">
        <f>IF($BE104="","",COUNTIFS($C$2:$C$596,$C104,$BE$2:$BE$596,"&gt;"&amp;$BE104)+COUNTIFS($C$2:$C104,$C104,$BE$2:$BE104,$BE104))</f>
        <v>111</v>
      </c>
    </row>
    <row r="105" spans="1:59" x14ac:dyDescent="0.25">
      <c r="A105" t="str">
        <f>Player_Analysis!A105</f>
        <v>Jannik Schuster</v>
      </c>
      <c r="B105">
        <f>Player_Analysis!C105</f>
        <v>4</v>
      </c>
      <c r="C105" t="str">
        <f>Player_Analysis!B105</f>
        <v>DEF</v>
      </c>
      <c r="D105" s="13">
        <f>Player_Analysis!E105</f>
        <v>4.5</v>
      </c>
      <c r="E105">
        <f>Player_Analysis!I105</f>
        <v>73</v>
      </c>
      <c r="F105" s="8">
        <f>Player_Analysis!Z105</f>
        <v>0</v>
      </c>
      <c r="G105" s="17">
        <f t="shared" si="27"/>
        <v>0</v>
      </c>
      <c r="H105">
        <f t="shared" si="28"/>
        <v>0</v>
      </c>
      <c r="I105" s="8">
        <f>Player_Analysis!AF105</f>
        <v>0</v>
      </c>
      <c r="J105" s="8">
        <f>Player_Analysis!AG105</f>
        <v>0</v>
      </c>
      <c r="K105">
        <f>Player_Analysis!O105</f>
        <v>0.1</v>
      </c>
      <c r="L105">
        <f>Player_Analysis!P105</f>
        <v>0.01</v>
      </c>
      <c r="M105">
        <f t="shared" si="29"/>
        <v>0.12328767123287672</v>
      </c>
      <c r="N105">
        <f t="shared" si="30"/>
        <v>1.2328767123287671E-2</v>
      </c>
      <c r="O105" s="2">
        <f>IF(E105=0,"",Player_Analysis!L105/E105*90)</f>
        <v>4.9315068493150687</v>
      </c>
      <c r="P105">
        <f>IF(E105=0,"",Player_Analysis!Q105/E105*90)</f>
        <v>0.13561643835616438</v>
      </c>
      <c r="Q105">
        <f>IF(E105=0,"",(Player_Analysis!AD105/E105)*90)</f>
        <v>13.561643835616438</v>
      </c>
      <c r="R105">
        <f>IF(E105=0,"",Player_Analysis!AA105/E105*90)</f>
        <v>12.328767123287671</v>
      </c>
      <c r="S105" t="str">
        <f t="array" ref="S105">IFERROR(INDEX('2023_24'!$O:$O,MATCH($A105,'2023_24'!$A:$A,0)),"")</f>
        <v/>
      </c>
      <c r="T105" t="str">
        <f>IFERROR(INDEX('2024_25'!$P:$P,MATCH($A105,'2024_25'!$A:$A,0)),"")</f>
        <v/>
      </c>
      <c r="U105" t="str">
        <f>IFERROR(INDEX('2025_26'!$P:$P,MATCH($A105,'2025_26'!$A:$A,0)),"")</f>
        <v/>
      </c>
      <c r="V105" t="str">
        <f>IFERROR(INDEX('2023_24'!$P:$P,MATCH($A105,'2023_24'!$A:$A,0)),"")</f>
        <v/>
      </c>
      <c r="W105" t="str">
        <f>IFERROR(INDEX('2024_25'!$Q:$Q,MATCH($A105,'2024_25'!$A:$A,0)),"")</f>
        <v/>
      </c>
      <c r="X105" t="str">
        <f>IFERROR(INDEX('2025_26'!$Q:$Q,MATCH($A105,'2025_26'!$A:$A,0)),"")</f>
        <v/>
      </c>
      <c r="Y105" t="str">
        <f>IFERROR(INDEX('2023_24'!$M:$M,MATCH($A105,'2023_24'!$A:$A,0))/INDEX('2023_24'!$G:$G,MATCH($A105,'2023_24'!$A:$A,0))*90,"")</f>
        <v/>
      </c>
      <c r="Z105" t="str">
        <f>IFERROR(INDEX('2024_25'!$M:$M,MATCH($A105,'2024_25'!$A:$A,0))/INDEX('2024_25'!$G:$G,MATCH($A105,'2024_25'!$A:$A,0))*90,"")</f>
        <v/>
      </c>
      <c r="AA105" t="str">
        <f>IFERROR(INDEX('2025_26'!$M:$M,MATCH($A105,'2025_26'!$A:$A,0))/INDEX('2025_26'!$G:$G,MATCH($A105,'2025_26'!$A:$A,0))*90,"")</f>
        <v/>
      </c>
      <c r="AB105" t="str">
        <f>IFERROR(SUMPRODUCT(S105:U105,{0.2,0.3,0.5})/SUMPRODUCT(--(S105:U105&lt;&gt;""),{0.2,0.3,0.5}),"")</f>
        <v/>
      </c>
      <c r="AC105" t="str">
        <f>IFERROR(SUMPRODUCT(V105:X105,{0.2,0.3,0.5})/SUMPRODUCT(--(V105:X105&lt;&gt;""),{0.2,0.3,0.5}),"")</f>
        <v/>
      </c>
      <c r="AD105">
        <f>IFERROR(SUMPRODUCT(Y105:AA105,{0.2,0.3,0.5})/SUMPRODUCT((Y105:AA105&lt;&gt;"")*{0.2,0.3,0.5}),O105)</f>
        <v>4.9315068493150687</v>
      </c>
      <c r="AE105">
        <f t="shared" si="31"/>
        <v>0</v>
      </c>
      <c r="AF105" t="str">
        <f t="shared" si="32"/>
        <v/>
      </c>
      <c r="AG105">
        <f t="shared" si="33"/>
        <v>0.12328767123287672</v>
      </c>
      <c r="AH105">
        <f t="shared" si="34"/>
        <v>1.2328767123287671E-2</v>
      </c>
      <c r="AI105" s="2">
        <f t="shared" si="35"/>
        <v>4.9315068493150687</v>
      </c>
      <c r="AJ105">
        <f t="shared" si="36"/>
        <v>0.24333333333333335</v>
      </c>
      <c r="AK105" t="str">
        <f t="shared" si="37"/>
        <v>YES</v>
      </c>
      <c r="AL105">
        <f t="shared" si="38"/>
        <v>0</v>
      </c>
      <c r="AM105">
        <f t="shared" si="39"/>
        <v>0</v>
      </c>
      <c r="AN105">
        <f t="shared" si="40"/>
        <v>0</v>
      </c>
      <c r="AO105">
        <f t="shared" si="41"/>
        <v>0</v>
      </c>
      <c r="AP105">
        <f t="array" ref="AP105">AL105*IF($C105="GKP",10,IF($C105="DEF",6,IF($C105="MID",5,4)))</f>
        <v>0</v>
      </c>
      <c r="AQ105">
        <f t="shared" si="42"/>
        <v>0</v>
      </c>
      <c r="AR105">
        <f t="shared" si="43"/>
        <v>0</v>
      </c>
      <c r="AS105" s="2">
        <f>IF($H105=0,0,Player_Analysis!$AM105*$H105/90)</f>
        <v>0</v>
      </c>
      <c r="AT105">
        <f t="shared" si="44"/>
        <v>0</v>
      </c>
      <c r="AU105" s="2">
        <f>0</f>
        <v>0</v>
      </c>
      <c r="AV105" s="2">
        <f>IF(INDEX(FPL_Raw_Data!K:K,MATCH(A105,FPL_Raw_Data!AA:AA,0))=0,"",INDEX(FPL_Raw_Data!P:P,MATCH(A105,FPL_Raw_Data!AA:AA,0))/INDEX(FPL_Raw_Data!K:K,MATCH(A105,FPL_Raw_Data!AA:AA,0))*90)</f>
        <v>0</v>
      </c>
      <c r="AW105" s="2">
        <f t="shared" si="45"/>
        <v>0</v>
      </c>
      <c r="AX105" s="2">
        <f>IFERROR(INDEX(TEAM_ANALYSIS!$H$2:$H$21,MATCH($B105,TEAM_ANALYSIS!$A$2:$A$21,0)),0)</f>
        <v>0.66666666666666663</v>
      </c>
      <c r="AY105" s="2">
        <f t="shared" si="46"/>
        <v>-0.33333333333333331</v>
      </c>
      <c r="AZ105" s="2">
        <f t="shared" si="47"/>
        <v>-0.33333333333333331</v>
      </c>
      <c r="BA105">
        <f t="shared" si="48"/>
        <v>-7.407407407407407E-2</v>
      </c>
      <c r="BB105">
        <f>IFERROR(Player_Analysis!$Y105,1)</f>
        <v>1.1250890990542559</v>
      </c>
      <c r="BC105">
        <f t="shared" si="49"/>
        <v>-0.37502969968475197</v>
      </c>
      <c r="BD105">
        <f t="shared" si="50"/>
        <v>2.7779977754426071E-2</v>
      </c>
      <c r="BE105">
        <f t="shared" si="51"/>
        <v>-0.37502969968475197</v>
      </c>
      <c r="BF105">
        <f t="shared" si="52"/>
        <v>511</v>
      </c>
      <c r="BG105">
        <f>IF($BE105="","",COUNTIFS($C$2:$C$596,$C105,$BE$2:$BE$596,"&gt;"&amp;$BE105)+COUNTIFS($C$2:$C105,$C105,$BE$2:$BE105,$BE105))</f>
        <v>112</v>
      </c>
    </row>
    <row r="106" spans="1:59" x14ac:dyDescent="0.25">
      <c r="A106" t="str">
        <f>Player_Analysis!A106</f>
        <v>Kevin Schade</v>
      </c>
      <c r="B106">
        <f>Player_Analysis!C106</f>
        <v>4</v>
      </c>
      <c r="C106" t="str">
        <f>Player_Analysis!B106</f>
        <v>MID</v>
      </c>
      <c r="D106" s="13">
        <f>Player_Analysis!E106</f>
        <v>6</v>
      </c>
      <c r="E106">
        <f>Player_Analysis!I106</f>
        <v>267</v>
      </c>
      <c r="F106" s="8">
        <f>Player_Analysis!Z106</f>
        <v>3</v>
      </c>
      <c r="G106" s="17">
        <f t="shared" si="27"/>
        <v>1</v>
      </c>
      <c r="H106">
        <f t="shared" si="28"/>
        <v>90</v>
      </c>
      <c r="I106" s="8">
        <f>Player_Analysis!AF106</f>
        <v>1</v>
      </c>
      <c r="J106" s="8">
        <f>Player_Analysis!AG106</f>
        <v>0</v>
      </c>
      <c r="K106">
        <f>Player_Analysis!O106</f>
        <v>0.77</v>
      </c>
      <c r="L106">
        <f>Player_Analysis!P106</f>
        <v>0.2</v>
      </c>
      <c r="M106">
        <f t="shared" si="29"/>
        <v>0.25955056179775282</v>
      </c>
      <c r="N106">
        <f t="shared" si="30"/>
        <v>6.741573033707865E-2</v>
      </c>
      <c r="O106" s="2">
        <f>IF(E106=0,"",Player_Analysis!L106/E106*90)</f>
        <v>5.0561797752808983</v>
      </c>
      <c r="P106">
        <f>IF(E106=0,"",Player_Analysis!Q106/E106*90)</f>
        <v>0.32696629213483147</v>
      </c>
      <c r="Q106">
        <f>IF(E106=0,"",(Player_Analysis!AD106/E106)*90)</f>
        <v>20.898876404494384</v>
      </c>
      <c r="R106">
        <f>IF(E106=0,"",Player_Analysis!AA106/E106*90)</f>
        <v>7.7528089887640448</v>
      </c>
      <c r="S106">
        <f t="array" ref="S106">IFERROR(INDEX('2023_24'!$O:$O,MATCH($A106,'2023_24'!$A:$A,0)),"")</f>
        <v>0.35504587155963307</v>
      </c>
      <c r="T106">
        <f>IFERROR(INDEX('2024_25'!$P:$P,MATCH($A106,'2024_25'!$A:$A,0)),"")</f>
        <v>0.33340640070144667</v>
      </c>
      <c r="U106">
        <f>IFERROR(INDEX('2025_26'!$P:$P,MATCH($A106,'2025_26'!$A:$A,0)),"")</f>
        <v>0.39620991253644317</v>
      </c>
      <c r="V106">
        <f>IFERROR(INDEX('2023_24'!$P:$P,MATCH($A106,'2023_24'!$A:$A,0)),"")</f>
        <v>0.19816513761467888</v>
      </c>
      <c r="W106">
        <f>IFERROR(INDEX('2024_25'!$Q:$Q,MATCH($A106,'2024_25'!$A:$A,0)),"")</f>
        <v>6.9048662867163518E-2</v>
      </c>
      <c r="X106">
        <f>IFERROR(INDEX('2025_26'!$Q:$Q,MATCH($A106,'2025_26'!$A:$A,0)),"")</f>
        <v>6.7237609329446058E-2</v>
      </c>
      <c r="Y106">
        <f>IFERROR(INDEX('2023_24'!$M:$M,MATCH($A106,'2023_24'!$A:$A,0))/INDEX('2023_24'!$G:$G,MATCH($A106,'2023_24'!$A:$A,0))*90,"")</f>
        <v>9.0825688073394506</v>
      </c>
      <c r="Z106">
        <f>IFERROR(INDEX('2024_25'!$M:$M,MATCH($A106,'2024_25'!$A:$A,0))/INDEX('2024_25'!$G:$G,MATCH($A106,'2024_25'!$A:$A,0))*90,"")</f>
        <v>5.8790004384042085</v>
      </c>
      <c r="AA106">
        <f>IFERROR(INDEX('2025_26'!$M:$M,MATCH($A106,'2025_26'!$A:$A,0))/INDEX('2025_26'!$G:$G,MATCH($A106,'2025_26'!$A:$A,0))*90,"")</f>
        <v>4.0998542274052472</v>
      </c>
      <c r="AB106">
        <f>IFERROR(SUMPRODUCT(S106:U106,{0.2,0.3,0.5})/SUMPRODUCT(--(S106:U106&lt;&gt;""),{0.2,0.3,0.5}),"")</f>
        <v>0.3691360507905822</v>
      </c>
      <c r="AC106">
        <f>IFERROR(SUMPRODUCT(V106:X106,{0.2,0.3,0.5})/SUMPRODUCT(--(V106:X106&lt;&gt;""),{0.2,0.3,0.5}),"")</f>
        <v>9.3966431047807858E-2</v>
      </c>
      <c r="AD106">
        <f>IFERROR(SUMPRODUCT(Y106:AA106,{0.2,0.3,0.5})/SUMPRODUCT((Y106:AA106&lt;&gt;"")*{0.2,0.3,0.5}),O106)</f>
        <v>5.6301410066917761</v>
      </c>
      <c r="AE106">
        <f t="shared" si="31"/>
        <v>3</v>
      </c>
      <c r="AF106">
        <f t="shared" si="32"/>
        <v>89</v>
      </c>
      <c r="AG106">
        <f t="shared" si="33"/>
        <v>0.27160496558696406</v>
      </c>
      <c r="AH106">
        <f t="shared" si="34"/>
        <v>7.0336307415258856E-2</v>
      </c>
      <c r="AI106" s="2">
        <f t="shared" si="35"/>
        <v>5.1193155107360955</v>
      </c>
      <c r="AJ106">
        <f t="shared" si="36"/>
        <v>0.89</v>
      </c>
      <c r="AK106" t="str">
        <f t="shared" si="37"/>
        <v>NO</v>
      </c>
      <c r="AL106">
        <f t="shared" si="38"/>
        <v>0.27160496558696406</v>
      </c>
      <c r="AM106">
        <f t="shared" si="39"/>
        <v>7.0336307415258856E-2</v>
      </c>
      <c r="AN106">
        <f t="shared" si="40"/>
        <v>0.27160496558696406</v>
      </c>
      <c r="AO106">
        <f t="shared" si="41"/>
        <v>7.0336307415258856E-2</v>
      </c>
      <c r="AP106">
        <f t="array" ref="AP106">AL106*IF($C106="GKP",10,IF($C106="DEF",6,IF($C106="MID",5,4)))</f>
        <v>1.3580248279348204</v>
      </c>
      <c r="AQ106">
        <f t="shared" si="42"/>
        <v>0.21100892224577655</v>
      </c>
      <c r="AR106">
        <f t="shared" si="43"/>
        <v>2</v>
      </c>
      <c r="AS106" s="2">
        <f>IF($H106=0,0,Player_Analysis!$AM106*$H106/90)</f>
        <v>0.33333333333333331</v>
      </c>
      <c r="AT106">
        <f t="shared" si="44"/>
        <v>1.2921348314606742</v>
      </c>
      <c r="AU106" s="2">
        <f>0</f>
        <v>0</v>
      </c>
      <c r="AV106" s="2">
        <f>IF(INDEX(FPL_Raw_Data!K:K,MATCH(A106,FPL_Raw_Data!AA:AA,0))=0,"",INDEX(FPL_Raw_Data!P:P,MATCH(A106,FPL_Raw_Data!AA:AA,0))/INDEX(FPL_Raw_Data!K:K,MATCH(A106,FPL_Raw_Data!AA:AA,0))*90)</f>
        <v>0</v>
      </c>
      <c r="AW106" s="2">
        <f t="shared" si="45"/>
        <v>0</v>
      </c>
      <c r="AX106" s="2">
        <f>IFERROR(INDEX(TEAM_ANALYSIS!$H$2:$H$21,MATCH($B106,TEAM_ANALYSIS!$A$2:$A$21,0)),0)</f>
        <v>0.66666666666666663</v>
      </c>
      <c r="AY106" s="2">
        <f t="shared" si="46"/>
        <v>0</v>
      </c>
      <c r="AZ106" s="2">
        <f t="shared" si="47"/>
        <v>5.1945019149746043</v>
      </c>
      <c r="BA106">
        <f t="shared" si="48"/>
        <v>0.86575031916243406</v>
      </c>
      <c r="BB106">
        <f>IFERROR(Player_Analysis!$Y106,1)</f>
        <v>1.1305622837370244</v>
      </c>
      <c r="BC106">
        <f t="shared" si="49"/>
        <v>5.872707947870035</v>
      </c>
      <c r="BD106">
        <f t="shared" si="50"/>
        <v>5.0842987802162458</v>
      </c>
      <c r="BE106">
        <f t="shared" si="51"/>
        <v>5.872707947870035</v>
      </c>
      <c r="BF106">
        <f t="shared" si="52"/>
        <v>52</v>
      </c>
      <c r="BG106">
        <f>IF($BE106="","",COUNTIFS($C$2:$C$596,$C106,$BE$2:$BE$596,"&gt;"&amp;$BE106)+COUNTIFS($C$2:$C106,$C106,$BE$2:$BE106,$BE106))</f>
        <v>21</v>
      </c>
    </row>
    <row r="107" spans="1:59" x14ac:dyDescent="0.25">
      <c r="A107" t="str">
        <f>Player_Analysis!A107</f>
        <v>Dango Ouattara</v>
      </c>
      <c r="B107">
        <f>Player_Analysis!C107</f>
        <v>4</v>
      </c>
      <c r="C107" t="str">
        <f>Player_Analysis!B107</f>
        <v>MID</v>
      </c>
      <c r="D107" s="13">
        <f>Player_Analysis!E107</f>
        <v>6.4</v>
      </c>
      <c r="E107">
        <f>Player_Analysis!I107</f>
        <v>140</v>
      </c>
      <c r="F107" s="8">
        <f>Player_Analysis!Z107</f>
        <v>2</v>
      </c>
      <c r="G107" s="17">
        <f t="shared" si="27"/>
        <v>1</v>
      </c>
      <c r="H107">
        <f t="shared" si="28"/>
        <v>90</v>
      </c>
      <c r="I107" s="8">
        <f>Player_Analysis!AF107</f>
        <v>0</v>
      </c>
      <c r="J107" s="8">
        <f>Player_Analysis!AG107</f>
        <v>0</v>
      </c>
      <c r="K107">
        <f>Player_Analysis!O107</f>
        <v>7.0000000000000007E-2</v>
      </c>
      <c r="L107">
        <f>Player_Analysis!P107</f>
        <v>0.38</v>
      </c>
      <c r="M107">
        <f t="shared" si="29"/>
        <v>4.4999999999999998E-2</v>
      </c>
      <c r="N107">
        <f t="shared" si="30"/>
        <v>0.24428571428571427</v>
      </c>
      <c r="O107" s="2">
        <f>IF(E107=0,"",Player_Analysis!L107/E107*90)</f>
        <v>3.214285714285714</v>
      </c>
      <c r="P107">
        <f>IF(E107=0,"",Player_Analysis!Q107/E107*90)</f>
        <v>0.28928571428571426</v>
      </c>
      <c r="Q107">
        <f>IF(E107=0,"",(Player_Analysis!AD107/E107)*90)</f>
        <v>18</v>
      </c>
      <c r="R107">
        <f>IF(E107=0,"",Player_Analysis!AA107/E107*90)</f>
        <v>15.428571428571429</v>
      </c>
      <c r="S107">
        <f t="array" ref="S107">IFERROR(INDEX('2023_24'!$O:$O,MATCH($A107,'2023_24'!$A:$A,0)),"")</f>
        <v>0.19645799011532125</v>
      </c>
      <c r="T107">
        <f>IFERROR(INDEX('2024_25'!$P:$P,MATCH($A107,'2024_25'!$A:$A,0)),"")</f>
        <v>0.37927927927927929</v>
      </c>
      <c r="U107">
        <f>IFERROR(INDEX('2025_26'!$P:$P,MATCH($A107,'2025_26'!$A:$A,0)),"")</f>
        <v>0.31466314398943201</v>
      </c>
      <c r="V107">
        <f>IFERROR(INDEX('2023_24'!$P:$P,MATCH($A107,'2023_24'!$A:$A,0)),"")</f>
        <v>8.1548599670510716E-2</v>
      </c>
      <c r="W107">
        <f>IFERROR(INDEX('2024_25'!$Q:$Q,MATCH($A107,'2024_25'!$A:$A,0)),"")</f>
        <v>0.14594594594594595</v>
      </c>
      <c r="X107">
        <f>IFERROR(INDEX('2025_26'!$Q:$Q,MATCH($A107,'2025_26'!$A:$A,0)),"")</f>
        <v>0.16327608982826949</v>
      </c>
      <c r="Y107">
        <f>IFERROR(INDEX('2023_24'!$M:$M,MATCH($A107,'2023_24'!$A:$A,0))/INDEX('2023_24'!$G:$G,MATCH($A107,'2023_24'!$A:$A,0))*90,"")</f>
        <v>4.1515650741350907</v>
      </c>
      <c r="Z107">
        <f>IFERROR(INDEX('2024_25'!$M:$M,MATCH($A107,'2024_25'!$A:$A,0))/INDEX('2024_25'!$G:$G,MATCH($A107,'2024_25'!$A:$A,0))*90,"")</f>
        <v>5</v>
      </c>
      <c r="AA107">
        <f>IFERROR(INDEX('2025_26'!$M:$M,MATCH($A107,'2025_26'!$A:$A,0))/INDEX('2025_26'!$G:$G,MATCH($A107,'2025_26'!$A:$A,0))*90,"")</f>
        <v>5.3896961690885075</v>
      </c>
      <c r="AB107">
        <f>IFERROR(SUMPRODUCT(S107:U107,{0.2,0.3,0.5})/SUMPRODUCT(--(S107:U107&lt;&gt;""),{0.2,0.3,0.5}),"")</f>
        <v>0.31040695380156402</v>
      </c>
      <c r="AC107">
        <f>IFERROR(SUMPRODUCT(V107:X107,{0.2,0.3,0.5})/SUMPRODUCT(--(V107:X107&lt;&gt;""),{0.2,0.3,0.5}),"")</f>
        <v>0.14173154863202067</v>
      </c>
      <c r="AD107">
        <f>IFERROR(SUMPRODUCT(Y107:AA107,{0.2,0.3,0.5})/SUMPRODUCT((Y107:AA107&lt;&gt;"")*{0.2,0.3,0.5}),O107)</f>
        <v>5.0251610993712719</v>
      </c>
      <c r="AE107">
        <f t="shared" si="31"/>
        <v>3</v>
      </c>
      <c r="AF107">
        <f t="shared" si="32"/>
        <v>70</v>
      </c>
      <c r="AG107">
        <f t="shared" si="33"/>
        <v>0.18655037536083413</v>
      </c>
      <c r="AH107">
        <f t="shared" si="34"/>
        <v>0.18959015927041101</v>
      </c>
      <c r="AI107" s="2">
        <f t="shared" si="35"/>
        <v>4.1800859196646778</v>
      </c>
      <c r="AJ107">
        <f t="shared" si="36"/>
        <v>0.46666666666666667</v>
      </c>
      <c r="AK107" t="str">
        <f t="shared" si="37"/>
        <v>NO</v>
      </c>
      <c r="AL107">
        <f t="shared" si="38"/>
        <v>0.18655037536083413</v>
      </c>
      <c r="AM107">
        <f t="shared" si="39"/>
        <v>0.18959015927041101</v>
      </c>
      <c r="AN107">
        <f t="shared" si="40"/>
        <v>0.18655037536083413</v>
      </c>
      <c r="AO107">
        <f t="shared" si="41"/>
        <v>0.18959015927041101</v>
      </c>
      <c r="AP107">
        <f t="array" ref="AP107">AL107*IF($C107="GKP",10,IF($C107="DEF",6,IF($C107="MID",5,4)))</f>
        <v>0.93275187680417071</v>
      </c>
      <c r="AQ107">
        <f t="shared" si="42"/>
        <v>0.56877047781123302</v>
      </c>
      <c r="AR107">
        <f t="shared" si="43"/>
        <v>2</v>
      </c>
      <c r="AS107" s="2">
        <f>IF($H107=0,0,Player_Analysis!$AM107*$H107/90)</f>
        <v>0.5</v>
      </c>
      <c r="AT107">
        <f t="shared" si="44"/>
        <v>2.5714285714285716</v>
      </c>
      <c r="AU107" s="2">
        <f>0</f>
        <v>0</v>
      </c>
      <c r="AV107" s="2">
        <f>IF(INDEX(FPL_Raw_Data!K:K,MATCH(A107,FPL_Raw_Data!AA:AA,0))=0,"",INDEX(FPL_Raw_Data!P:P,MATCH(A107,FPL_Raw_Data!AA:AA,0))/INDEX(FPL_Raw_Data!K:K,MATCH(A107,FPL_Raw_Data!AA:AA,0))*90)</f>
        <v>0</v>
      </c>
      <c r="AW107" s="2">
        <f t="shared" si="45"/>
        <v>0</v>
      </c>
      <c r="AX107" s="2">
        <f>IFERROR(INDEX(TEAM_ANALYSIS!$H$2:$H$21,MATCH($B107,TEAM_ANALYSIS!$A$2:$A$21,0)),0)</f>
        <v>0.66666666666666663</v>
      </c>
      <c r="AY107" s="2">
        <f t="shared" si="46"/>
        <v>0</v>
      </c>
      <c r="AZ107" s="2">
        <f t="shared" si="47"/>
        <v>6.5729509260439745</v>
      </c>
      <c r="BA107">
        <f t="shared" si="48"/>
        <v>1.027023582194371</v>
      </c>
      <c r="BB107">
        <f>IFERROR(Player_Analysis!$Y107,1)</f>
        <v>1.1305622837370244</v>
      </c>
      <c r="BC107">
        <f t="shared" si="49"/>
        <v>7.4311304098396649</v>
      </c>
      <c r="BD107">
        <f t="shared" si="50"/>
        <v>7.6319461732670568</v>
      </c>
      <c r="BE107">
        <f t="shared" si="51"/>
        <v>7.4311304098396649</v>
      </c>
      <c r="BF107">
        <f t="shared" si="52"/>
        <v>15</v>
      </c>
      <c r="BG107">
        <f>IF($BE107="","",COUNTIFS($C$2:$C$596,$C107,$BE$2:$BE$596,"&gt;"&amp;$BE107)+COUNTIFS($C$2:$C107,$C107,$BE$2:$BE107,$BE107))</f>
        <v>5</v>
      </c>
    </row>
    <row r="108" spans="1:59" x14ac:dyDescent="0.25">
      <c r="A108" t="str">
        <f>Player_Analysis!A108</f>
        <v>Mikkel Damsgaard</v>
      </c>
      <c r="B108">
        <f>Player_Analysis!C108</f>
        <v>4</v>
      </c>
      <c r="C108" t="str">
        <f>Player_Analysis!B108</f>
        <v>MID</v>
      </c>
      <c r="D108" s="13">
        <f>Player_Analysis!E108</f>
        <v>5.5</v>
      </c>
      <c r="E108">
        <f>Player_Analysis!I108</f>
        <v>167</v>
      </c>
      <c r="F108" s="8">
        <f>Player_Analysis!Z108</f>
        <v>2</v>
      </c>
      <c r="G108" s="17">
        <f t="shared" si="27"/>
        <v>1</v>
      </c>
      <c r="H108">
        <f t="shared" si="28"/>
        <v>90</v>
      </c>
      <c r="I108" s="8">
        <f>Player_Analysis!AF108</f>
        <v>0</v>
      </c>
      <c r="J108" s="8">
        <f>Player_Analysis!AG108</f>
        <v>1</v>
      </c>
      <c r="K108">
        <f>Player_Analysis!O108</f>
        <v>0.03</v>
      </c>
      <c r="L108">
        <f>Player_Analysis!P108</f>
        <v>0.45</v>
      </c>
      <c r="M108">
        <f t="shared" si="29"/>
        <v>1.6167664670658683E-2</v>
      </c>
      <c r="N108">
        <f t="shared" si="30"/>
        <v>0.24251497005988024</v>
      </c>
      <c r="O108" s="2">
        <f>IF(E108=0,"",Player_Analysis!L108/E108*90)</f>
        <v>6.4670658682634725</v>
      </c>
      <c r="P108">
        <f>IF(E108=0,"",Player_Analysis!Q108/E108*90)</f>
        <v>0.25868263473053893</v>
      </c>
      <c r="Q108">
        <f>IF(E108=0,"",(Player_Analysis!AD108/E108)*90)</f>
        <v>30.179640718562872</v>
      </c>
      <c r="R108">
        <f>IF(E108=0,"",Player_Analysis!AA108/E108*90)</f>
        <v>9.1616766467065869</v>
      </c>
      <c r="S108">
        <f t="array" ref="S108">IFERROR(INDEX('2023_24'!$O:$O,MATCH($A108,'2023_24'!$A:$A,0)),"")</f>
        <v>8.2509047044632092E-2</v>
      </c>
      <c r="T108">
        <f>IFERROR(INDEX('2024_25'!$P:$P,MATCH($A108,'2024_25'!$A:$A,0)),"")</f>
        <v>8.9969082789419452E-2</v>
      </c>
      <c r="U108">
        <f>IFERROR(INDEX('2025_26'!$P:$P,MATCH($A108,'2025_26'!$A:$A,0)),"")</f>
        <v>0.11480938416422286</v>
      </c>
      <c r="V108">
        <f>IFERROR(INDEX('2023_24'!$P:$P,MATCH($A108,'2023_24'!$A:$A,0)),"")</f>
        <v>0.10096501809408925</v>
      </c>
      <c r="W108">
        <f>IFERROR(INDEX('2024_25'!$Q:$Q,MATCH($A108,'2024_25'!$A:$A,0)),"")</f>
        <v>0.21672964616970114</v>
      </c>
      <c r="X108">
        <f>IFERROR(INDEX('2025_26'!$Q:$Q,MATCH($A108,'2025_26'!$A:$A,0)),"")</f>
        <v>0.23885630498533722</v>
      </c>
      <c r="Y108">
        <f>IFERROR(INDEX('2023_24'!$M:$M,MATCH($A108,'2023_24'!$A:$A,0))/INDEX('2023_24'!$G:$G,MATCH($A108,'2023_24'!$A:$A,0))*90,"")</f>
        <v>4.8854041013268992</v>
      </c>
      <c r="Z108">
        <f>IFERROR(INDEX('2024_25'!$M:$M,MATCH($A108,'2024_25'!$A:$A,0))/INDEX('2024_25'!$G:$G,MATCH($A108,'2024_25'!$A:$A,0))*90,"")</f>
        <v>4.0501545860529022</v>
      </c>
      <c r="AA108">
        <f>IFERROR(INDEX('2025_26'!$M:$M,MATCH($A108,'2025_26'!$A:$A,0))/INDEX('2025_26'!$G:$G,MATCH($A108,'2025_26'!$A:$A,0))*90,"")</f>
        <v>4.9706744868035191</v>
      </c>
      <c r="AB108">
        <f>IFERROR(SUMPRODUCT(S108:U108,{0.2,0.3,0.5})/SUMPRODUCT(--(S108:U108&lt;&gt;""),{0.2,0.3,0.5}),"")</f>
        <v>0.10089722632786369</v>
      </c>
      <c r="AC108">
        <f>IFERROR(SUMPRODUCT(V108:X108,{0.2,0.3,0.5})/SUMPRODUCT(--(V108:X108&lt;&gt;""),{0.2,0.3,0.5}),"")</f>
        <v>0.20464004996239679</v>
      </c>
      <c r="AD108">
        <f>IFERROR(SUMPRODUCT(Y108:AA108,{0.2,0.3,0.5})/SUMPRODUCT((Y108:AA108&lt;&gt;"")*{0.2,0.3,0.5}),O108)</f>
        <v>4.6774644394830105</v>
      </c>
      <c r="AE108">
        <f t="shared" si="31"/>
        <v>3</v>
      </c>
      <c r="AF108">
        <f t="shared" si="32"/>
        <v>83.5</v>
      </c>
      <c r="AG108">
        <f t="shared" si="33"/>
        <v>5.3731103672019574E-2</v>
      </c>
      <c r="AH108">
        <f t="shared" si="34"/>
        <v>0.22572375548332924</v>
      </c>
      <c r="AI108" s="2">
        <f t="shared" si="35"/>
        <v>5.6736759015041347</v>
      </c>
      <c r="AJ108">
        <f t="shared" si="36"/>
        <v>0.55666666666666664</v>
      </c>
      <c r="AK108" t="str">
        <f t="shared" si="37"/>
        <v>NO</v>
      </c>
      <c r="AL108">
        <f t="shared" si="38"/>
        <v>5.3731103672019574E-2</v>
      </c>
      <c r="AM108">
        <f t="shared" si="39"/>
        <v>0.22572375548332926</v>
      </c>
      <c r="AN108">
        <f t="shared" si="40"/>
        <v>5.3731103672019574E-2</v>
      </c>
      <c r="AO108">
        <f t="shared" si="41"/>
        <v>0.22572375548332926</v>
      </c>
      <c r="AP108">
        <f t="array" ref="AP108">AL108*IF($C108="GKP",10,IF($C108="DEF",6,IF($C108="MID",5,4)))</f>
        <v>0.26865551836009788</v>
      </c>
      <c r="AQ108">
        <f t="shared" si="42"/>
        <v>0.67717126644998782</v>
      </c>
      <c r="AR108">
        <f t="shared" si="43"/>
        <v>2</v>
      </c>
      <c r="AS108" s="2">
        <f>IF($H108=0,0,Player_Analysis!$AM108*$H108/90)</f>
        <v>0.5</v>
      </c>
      <c r="AT108">
        <f t="shared" si="44"/>
        <v>1.5269461077844311</v>
      </c>
      <c r="AU108" s="2">
        <f>0</f>
        <v>0</v>
      </c>
      <c r="AV108" s="2">
        <f>IF(INDEX(FPL_Raw_Data!K:K,MATCH(A108,FPL_Raw_Data!AA:AA,0))=0,"",INDEX(FPL_Raw_Data!P:P,MATCH(A108,FPL_Raw_Data!AA:AA,0))/INDEX(FPL_Raw_Data!K:K,MATCH(A108,FPL_Raw_Data!AA:AA,0))*90)</f>
        <v>0</v>
      </c>
      <c r="AW108" s="2">
        <f t="shared" si="45"/>
        <v>0</v>
      </c>
      <c r="AX108" s="2">
        <f>IFERROR(INDEX(TEAM_ANALYSIS!$H$2:$H$21,MATCH($B108,TEAM_ANALYSIS!$A$2:$A$21,0)),0)</f>
        <v>0.66666666666666663</v>
      </c>
      <c r="AY108" s="2">
        <f t="shared" si="46"/>
        <v>0</v>
      </c>
      <c r="AZ108" s="2">
        <f t="shared" si="47"/>
        <v>4.9727728925945165</v>
      </c>
      <c r="BA108">
        <f t="shared" si="48"/>
        <v>0.9041405259262757</v>
      </c>
      <c r="BB108">
        <f>IFERROR(Player_Analysis!$Y108,1)</f>
        <v>1.1305622837370244</v>
      </c>
      <c r="BC108">
        <f t="shared" si="49"/>
        <v>5.6220294779572253</v>
      </c>
      <c r="BD108">
        <f t="shared" si="50"/>
        <v>5.0831046889732709</v>
      </c>
      <c r="BE108">
        <f t="shared" si="51"/>
        <v>5.6220294779572253</v>
      </c>
      <c r="BF108">
        <f t="shared" si="52"/>
        <v>59</v>
      </c>
      <c r="BG108">
        <f>IF($BE108="","",COUNTIFS($C$2:$C$596,$C108,$BE$2:$BE$596,"&gt;"&amp;$BE108)+COUNTIFS($C$2:$C108,$C108,$BE$2:$BE108,$BE108))</f>
        <v>25</v>
      </c>
    </row>
    <row r="109" spans="1:59" x14ac:dyDescent="0.25">
      <c r="A109" t="str">
        <f>Player_Analysis!A109</f>
        <v>Mathias Jensen</v>
      </c>
      <c r="B109">
        <f>Player_Analysis!C109</f>
        <v>4</v>
      </c>
      <c r="C109" t="str">
        <f>Player_Analysis!B109</f>
        <v>MID</v>
      </c>
      <c r="D109" s="13">
        <f>Player_Analysis!E109</f>
        <v>5.5</v>
      </c>
      <c r="E109">
        <f>Player_Analysis!I109</f>
        <v>66</v>
      </c>
      <c r="F109" s="8">
        <f>Player_Analysis!Z109</f>
        <v>1</v>
      </c>
      <c r="G109" s="17">
        <f t="shared" si="27"/>
        <v>1</v>
      </c>
      <c r="H109">
        <f t="shared" si="28"/>
        <v>90</v>
      </c>
      <c r="I109" s="8">
        <f>Player_Analysis!AF109</f>
        <v>0</v>
      </c>
      <c r="J109" s="8">
        <f>Player_Analysis!AG109</f>
        <v>1</v>
      </c>
      <c r="K109">
        <f>Player_Analysis!O109</f>
        <v>0.08</v>
      </c>
      <c r="L109">
        <f>Player_Analysis!P109</f>
        <v>0.34</v>
      </c>
      <c r="M109">
        <f t="shared" si="29"/>
        <v>0.10909090909090909</v>
      </c>
      <c r="N109">
        <f t="shared" si="30"/>
        <v>0.46363636363636368</v>
      </c>
      <c r="O109" s="2">
        <f>IF(E109=0,"",Player_Analysis!L109/E109*90)</f>
        <v>8.1818181818181817</v>
      </c>
      <c r="P109">
        <f>IF(E109=0,"",Player_Analysis!Q109/E109*90)</f>
        <v>0.57272727272727264</v>
      </c>
      <c r="Q109">
        <f>IF(E109=0,"",(Player_Analysis!AD109/E109)*90)</f>
        <v>30</v>
      </c>
      <c r="R109">
        <f>IF(E109=0,"",Player_Analysis!AA109/E109*90)</f>
        <v>6.8181818181818183</v>
      </c>
      <c r="S109">
        <f t="array" ref="S109">IFERROR(INDEX('2023_24'!$O:$O,MATCH($A109,'2023_24'!$A:$A,0)),"")</f>
        <v>2.903225806451613E-2</v>
      </c>
      <c r="T109">
        <f>IFERROR(INDEX('2024_25'!$P:$P,MATCH($A109,'2024_25'!$A:$A,0)),"")</f>
        <v>2.4468085106382979E-2</v>
      </c>
      <c r="U109">
        <f>IFERROR(INDEX('2025_26'!$P:$P,MATCH($A109,'2025_26'!$A:$A,0)),"")</f>
        <v>8.8834301027244308E-2</v>
      </c>
      <c r="V109">
        <f>IFERROR(INDEX('2023_24'!$P:$P,MATCH($A109,'2023_24'!$A:$A,0)),"")</f>
        <v>0.19995456610631529</v>
      </c>
      <c r="W109">
        <f>IFERROR(INDEX('2024_25'!$Q:$Q,MATCH($A109,'2024_25'!$A:$A,0)),"")</f>
        <v>0.18617021276595744</v>
      </c>
      <c r="X109">
        <f>IFERROR(INDEX('2025_26'!$Q:$Q,MATCH($A109,'2025_26'!$A:$A,0)),"")</f>
        <v>0.24359088878963819</v>
      </c>
      <c r="Y109">
        <f>IFERROR(INDEX('2023_24'!$M:$M,MATCH($A109,'2023_24'!$A:$A,0))/INDEX('2023_24'!$G:$G,MATCH($A109,'2023_24'!$A:$A,0))*90,"")</f>
        <v>4.00726942298955</v>
      </c>
      <c r="Z109">
        <f>IFERROR(INDEX('2024_25'!$M:$M,MATCH($A109,'2024_25'!$A:$A,0))/INDEX('2024_25'!$G:$G,MATCH($A109,'2024_25'!$A:$A,0))*90,"")</f>
        <v>4.042553191489362</v>
      </c>
      <c r="AA109">
        <f>IFERROR(INDEX('2025_26'!$M:$M,MATCH($A109,'2025_26'!$A:$A,0))/INDEX('2025_26'!$G:$G,MATCH($A109,'2025_26'!$A:$A,0))*90,"")</f>
        <v>3.9392585975882088</v>
      </c>
      <c r="AB109">
        <f>IFERROR(SUMPRODUCT(S109:U109,{0.2,0.3,0.5})/SUMPRODUCT(--(S109:U109&lt;&gt;""),{0.2,0.3,0.5}),"")</f>
        <v>5.7564027658440278E-2</v>
      </c>
      <c r="AC109">
        <f>IFERROR(SUMPRODUCT(V109:X109,{0.2,0.3,0.5})/SUMPRODUCT(--(V109:X109&lt;&gt;""),{0.2,0.3,0.5}),"")</f>
        <v>0.21763742144586939</v>
      </c>
      <c r="AD109">
        <f>IFERROR(SUMPRODUCT(Y109:AA109,{0.2,0.3,0.5})/SUMPRODUCT((Y109:AA109&lt;&gt;"")*{0.2,0.3,0.5}),O109)</f>
        <v>3.983849140838823</v>
      </c>
      <c r="AE109">
        <f t="shared" si="31"/>
        <v>3</v>
      </c>
      <c r="AF109">
        <f t="shared" si="32"/>
        <v>66</v>
      </c>
      <c r="AG109">
        <f t="shared" si="33"/>
        <v>6.8899941573583423E-2</v>
      </c>
      <c r="AH109">
        <f t="shared" si="34"/>
        <v>0.27175718872777815</v>
      </c>
      <c r="AI109" s="2">
        <f t="shared" si="35"/>
        <v>4.9074023298542819</v>
      </c>
      <c r="AJ109">
        <f t="shared" si="36"/>
        <v>0.22</v>
      </c>
      <c r="AK109" t="str">
        <f t="shared" si="37"/>
        <v>NO</v>
      </c>
      <c r="AL109">
        <f t="shared" si="38"/>
        <v>6.8899941573583423E-2</v>
      </c>
      <c r="AM109">
        <f t="shared" si="39"/>
        <v>0.27175718872777815</v>
      </c>
      <c r="AN109">
        <f t="shared" si="40"/>
        <v>6.8899941573583423E-2</v>
      </c>
      <c r="AO109">
        <f t="shared" si="41"/>
        <v>0.27175718872777815</v>
      </c>
      <c r="AP109">
        <f t="array" ref="AP109">AL109*IF($C109="GKP",10,IF($C109="DEF",6,IF($C109="MID",5,4)))</f>
        <v>0.34449970786791712</v>
      </c>
      <c r="AQ109">
        <f t="shared" si="42"/>
        <v>0.81527156618333452</v>
      </c>
      <c r="AR109">
        <f t="shared" si="43"/>
        <v>2</v>
      </c>
      <c r="AS109" s="2">
        <f>IF($H109=0,0,Player_Analysis!$AM109*$H109/90)</f>
        <v>1</v>
      </c>
      <c r="AT109">
        <f t="shared" si="44"/>
        <v>1.1363636363636365</v>
      </c>
      <c r="AU109" s="2">
        <f>0</f>
        <v>0</v>
      </c>
      <c r="AV109" s="2">
        <f>IF(INDEX(FPL_Raw_Data!K:K,MATCH(A109,FPL_Raw_Data!AA:AA,0))=0,"",INDEX(FPL_Raw_Data!P:P,MATCH(A109,FPL_Raw_Data!AA:AA,0))/INDEX(FPL_Raw_Data!K:K,MATCH(A109,FPL_Raw_Data!AA:AA,0))*90)</f>
        <v>0</v>
      </c>
      <c r="AW109" s="2">
        <f t="shared" si="45"/>
        <v>0</v>
      </c>
      <c r="AX109" s="2">
        <f>IFERROR(INDEX(TEAM_ANALYSIS!$H$2:$H$21,MATCH($B109,TEAM_ANALYSIS!$A$2:$A$21,0)),0)</f>
        <v>0.66666666666666663</v>
      </c>
      <c r="AY109" s="2">
        <f t="shared" si="46"/>
        <v>0</v>
      </c>
      <c r="AZ109" s="2">
        <f t="shared" si="47"/>
        <v>5.2961349104148887</v>
      </c>
      <c r="BA109">
        <f t="shared" si="48"/>
        <v>0.96293362007543426</v>
      </c>
      <c r="BB109">
        <f>IFERROR(Player_Analysis!$Y109,1)</f>
        <v>1.1305622837370244</v>
      </c>
      <c r="BC109">
        <f t="shared" si="49"/>
        <v>5.9876103792980375</v>
      </c>
      <c r="BD109">
        <f t="shared" si="50"/>
        <v>5.765671338138703</v>
      </c>
      <c r="BE109">
        <f t="shared" si="51"/>
        <v>5.9876103792980375</v>
      </c>
      <c r="BF109">
        <f t="shared" si="52"/>
        <v>47</v>
      </c>
      <c r="BG109">
        <f>IF($BE109="","",COUNTIFS($C$2:$C$596,$C109,$BE$2:$BE$596,"&gt;"&amp;$BE109)+COUNTIFS($C$2:$C109,$C109,$BE$2:$BE109,$BE109))</f>
        <v>19</v>
      </c>
    </row>
    <row r="110" spans="1:59" x14ac:dyDescent="0.25">
      <c r="A110" t="str">
        <f>Player_Analysis!A110</f>
        <v>Vitaly Janelt</v>
      </c>
      <c r="B110">
        <f>Player_Analysis!C110</f>
        <v>4</v>
      </c>
      <c r="C110" t="str">
        <f>Player_Analysis!B110</f>
        <v>MID</v>
      </c>
      <c r="D110" s="13">
        <f>Player_Analysis!E110</f>
        <v>5</v>
      </c>
      <c r="E110">
        <f>Player_Analysis!I110</f>
        <v>270</v>
      </c>
      <c r="F110" s="8">
        <f>Player_Analysis!Z110</f>
        <v>3</v>
      </c>
      <c r="G110" s="17">
        <f t="shared" si="27"/>
        <v>1</v>
      </c>
      <c r="H110">
        <f t="shared" si="28"/>
        <v>90</v>
      </c>
      <c r="I110" s="8">
        <f>Player_Analysis!AF110</f>
        <v>2</v>
      </c>
      <c r="J110" s="8">
        <f>Player_Analysis!AG110</f>
        <v>0</v>
      </c>
      <c r="K110">
        <f>Player_Analysis!O110</f>
        <v>0.5</v>
      </c>
      <c r="L110">
        <f>Player_Analysis!P110</f>
        <v>0.32</v>
      </c>
      <c r="M110">
        <f t="shared" si="29"/>
        <v>0.16666666666666669</v>
      </c>
      <c r="N110">
        <f t="shared" si="30"/>
        <v>0.10666666666666666</v>
      </c>
      <c r="O110" s="2">
        <f>IF(E110=0,"",Player_Analysis!L110/E110*90)</f>
        <v>7</v>
      </c>
      <c r="P110">
        <f>IF(E110=0,"",Player_Analysis!Q110/E110*90)</f>
        <v>0.27333333333333332</v>
      </c>
      <c r="Q110">
        <f>IF(E110=0,"",(Player_Analysis!AD110/E110)*90)</f>
        <v>25.333333333333336</v>
      </c>
      <c r="R110">
        <f>IF(E110=0,"",Player_Analysis!AA110/E110*90)</f>
        <v>11.666666666666666</v>
      </c>
      <c r="S110">
        <f t="array" ref="S110">IFERROR(INDEX('2023_24'!$O:$O,MATCH($A110,'2023_24'!$A:$A,0)),"")</f>
        <v>5.363457760314342E-2</v>
      </c>
      <c r="T110">
        <f>IFERROR(INDEX('2024_25'!$P:$P,MATCH($A110,'2024_25'!$A:$A,0)),"")</f>
        <v>3.318525099955575E-2</v>
      </c>
      <c r="U110">
        <f>IFERROR(INDEX('2025_26'!$P:$P,MATCH($A110,'2025_26'!$A:$A,0)),"")</f>
        <v>5.1464435146443506E-2</v>
      </c>
      <c r="V110">
        <f>IFERROR(INDEX('2023_24'!$P:$P,MATCH($A110,'2023_24'!$A:$A,0)),"")</f>
        <v>0.10137524557956779</v>
      </c>
      <c r="W110">
        <f>IFERROR(INDEX('2024_25'!$Q:$Q,MATCH($A110,'2024_25'!$A:$A,0)),"")</f>
        <v>9.5157707685473131E-2</v>
      </c>
      <c r="X110">
        <f>IFERROR(INDEX('2025_26'!$Q:$Q,MATCH($A110,'2025_26'!$A:$A,0)),"")</f>
        <v>0.14246861924686191</v>
      </c>
      <c r="Y110">
        <f>IFERROR(INDEX('2023_24'!$M:$M,MATCH($A110,'2023_24'!$A:$A,0))/INDEX('2023_24'!$G:$G,MATCH($A110,'2023_24'!$A:$A,0))*90,"")</f>
        <v>2.7406679764243616</v>
      </c>
      <c r="Z110">
        <f>IFERROR(INDEX('2024_25'!$M:$M,MATCH($A110,'2024_25'!$A:$A,0))/INDEX('2024_25'!$G:$G,MATCH($A110,'2024_25'!$A:$A,0))*90,"")</f>
        <v>2.9187027987561081</v>
      </c>
      <c r="AA110">
        <f>IFERROR(INDEX('2025_26'!$M:$M,MATCH($A110,'2025_26'!$A:$A,0))/INDEX('2025_26'!$G:$G,MATCH($A110,'2025_26'!$A:$A,0))*90,"")</f>
        <v>4.6443514644351467</v>
      </c>
      <c r="AB110">
        <f>IFERROR(SUMPRODUCT(S110:U110,{0.2,0.3,0.5})/SUMPRODUCT(--(S110:U110&lt;&gt;""),{0.2,0.3,0.5}),"")</f>
        <v>4.6414708393717162E-2</v>
      </c>
      <c r="AC110">
        <f>IFERROR(SUMPRODUCT(V110:X110,{0.2,0.3,0.5})/SUMPRODUCT(--(V110:X110&lt;&gt;""),{0.2,0.3,0.5}),"")</f>
        <v>0.12005667104498645</v>
      </c>
      <c r="AD110">
        <f>IFERROR(SUMPRODUCT(Y110:AA110,{0.2,0.3,0.5})/SUMPRODUCT((Y110:AA110&lt;&gt;"")*{0.2,0.3,0.5}),O110)</f>
        <v>3.7459201671292783</v>
      </c>
      <c r="AE110">
        <f t="shared" si="31"/>
        <v>3</v>
      </c>
      <c r="AF110">
        <f t="shared" si="32"/>
        <v>90</v>
      </c>
      <c r="AG110">
        <f t="shared" si="33"/>
        <v>0.15464147083937174</v>
      </c>
      <c r="AH110">
        <f t="shared" si="34"/>
        <v>0.10800566710449865</v>
      </c>
      <c r="AI110" s="2">
        <f t="shared" si="35"/>
        <v>6.6745920167129276</v>
      </c>
      <c r="AJ110">
        <f t="shared" si="36"/>
        <v>0.9</v>
      </c>
      <c r="AK110" t="str">
        <f t="shared" si="37"/>
        <v>NO</v>
      </c>
      <c r="AL110">
        <f t="shared" si="38"/>
        <v>0.15464147083937174</v>
      </c>
      <c r="AM110">
        <f t="shared" si="39"/>
        <v>0.10800566710449865</v>
      </c>
      <c r="AN110">
        <f t="shared" si="40"/>
        <v>0.15464147083937174</v>
      </c>
      <c r="AO110">
        <f t="shared" si="41"/>
        <v>0.10800566710449865</v>
      </c>
      <c r="AP110">
        <f t="array" ref="AP110">AL110*IF($C110="GKP",10,IF($C110="DEF",6,IF($C110="MID",5,4)))</f>
        <v>0.77320735419685871</v>
      </c>
      <c r="AQ110">
        <f t="shared" si="42"/>
        <v>0.32401700131349592</v>
      </c>
      <c r="AR110">
        <f t="shared" si="43"/>
        <v>2</v>
      </c>
      <c r="AS110" s="2">
        <f>IF($H110=0,0,Player_Analysis!$AM110*$H110/90)</f>
        <v>0.33333333333333331</v>
      </c>
      <c r="AT110">
        <f t="shared" si="44"/>
        <v>1.9444444444444444</v>
      </c>
      <c r="AU110" s="2">
        <f>0</f>
        <v>0</v>
      </c>
      <c r="AV110" s="2">
        <f>IF(INDEX(FPL_Raw_Data!K:K,MATCH(A110,FPL_Raw_Data!AA:AA,0))=0,"",INDEX(FPL_Raw_Data!P:P,MATCH(A110,FPL_Raw_Data!AA:AA,0))/INDEX(FPL_Raw_Data!K:K,MATCH(A110,FPL_Raw_Data!AA:AA,0))*90)</f>
        <v>0</v>
      </c>
      <c r="AW110" s="2">
        <f t="shared" si="45"/>
        <v>0</v>
      </c>
      <c r="AX110" s="2">
        <f>IFERROR(INDEX(TEAM_ANALYSIS!$H$2:$H$21,MATCH($B110,TEAM_ANALYSIS!$A$2:$A$21,0)),0)</f>
        <v>0.66666666666666663</v>
      </c>
      <c r="AY110" s="2">
        <f t="shared" si="46"/>
        <v>0</v>
      </c>
      <c r="AZ110" s="2">
        <f t="shared" si="47"/>
        <v>5.3750021332881328</v>
      </c>
      <c r="BA110">
        <f t="shared" si="48"/>
        <v>1.0750004266576265</v>
      </c>
      <c r="BB110">
        <f>IFERROR(Player_Analysis!$Y110,1)</f>
        <v>1.1305622837370244</v>
      </c>
      <c r="BC110">
        <f t="shared" si="49"/>
        <v>6.0767746869016097</v>
      </c>
      <c r="BD110">
        <f t="shared" si="50"/>
        <v>6.5325353811214955</v>
      </c>
      <c r="BE110">
        <f t="shared" si="51"/>
        <v>6.0767746869016097</v>
      </c>
      <c r="BF110">
        <f t="shared" si="52"/>
        <v>43</v>
      </c>
      <c r="BG110">
        <f>IF($BE110="","",COUNTIFS($C$2:$C$596,$C110,$BE$2:$BE$596,"&gt;"&amp;$BE110)+COUNTIFS($C$2:$C110,$C110,$BE$2:$BE110,$BE110))</f>
        <v>17</v>
      </c>
    </row>
    <row r="111" spans="1:59" x14ac:dyDescent="0.25">
      <c r="A111" t="str">
        <f>Player_Analysis!A111</f>
        <v>Antoni Milambo</v>
      </c>
      <c r="B111">
        <f>Player_Analysis!C111</f>
        <v>4</v>
      </c>
      <c r="C111" t="str">
        <f>Player_Analysis!B111</f>
        <v>MID</v>
      </c>
      <c r="D111" s="13">
        <f>Player_Analysis!E111</f>
        <v>5</v>
      </c>
      <c r="E111">
        <f>Player_Analysis!I111</f>
        <v>0</v>
      </c>
      <c r="F111" s="8">
        <f>Player_Analysis!Z111</f>
        <v>0</v>
      </c>
      <c r="G111" s="17">
        <f t="shared" si="27"/>
        <v>0</v>
      </c>
      <c r="H111">
        <f t="shared" si="28"/>
        <v>0</v>
      </c>
      <c r="I111" s="8">
        <f>Player_Analysis!AF111</f>
        <v>0</v>
      </c>
      <c r="J111" s="8">
        <f>Player_Analysis!AG111</f>
        <v>0</v>
      </c>
      <c r="K111">
        <f>Player_Analysis!O111</f>
        <v>0</v>
      </c>
      <c r="L111">
        <f>Player_Analysis!P111</f>
        <v>0</v>
      </c>
      <c r="M111" t="str">
        <f t="shared" si="29"/>
        <v/>
      </c>
      <c r="N111" t="str">
        <f t="shared" si="30"/>
        <v/>
      </c>
      <c r="O111" s="2" t="str">
        <f>IF(E111=0,"",Player_Analysis!L111/E111*90)</f>
        <v/>
      </c>
      <c r="P111" t="str">
        <f>IF(E111=0,"",Player_Analysis!Q111/E111*90)</f>
        <v/>
      </c>
      <c r="Q111" t="str">
        <f>IF(E111=0,"",(Player_Analysis!AD111/E111)*90)</f>
        <v/>
      </c>
      <c r="R111" t="str">
        <f>IF(E111=0,"",Player_Analysis!AA111/E111*90)</f>
        <v/>
      </c>
      <c r="S111" t="str">
        <f t="array" ref="S111">IFERROR(INDEX('2023_24'!$O:$O,MATCH($A111,'2023_24'!$A:$A,0)),"")</f>
        <v/>
      </c>
      <c r="T111" t="str">
        <f>IFERROR(INDEX('2024_25'!$P:$P,MATCH($A111,'2024_25'!$A:$A,0)),"")</f>
        <v/>
      </c>
      <c r="U111">
        <f>IFERROR(INDEX('2025_26'!$P:$P,MATCH($A111,'2025_26'!$A:$A,0)),"")</f>
        <v>0</v>
      </c>
      <c r="V111" t="str">
        <f>IFERROR(INDEX('2023_24'!$P:$P,MATCH($A111,'2023_24'!$A:$A,0)),"")</f>
        <v/>
      </c>
      <c r="W111" t="str">
        <f>IFERROR(INDEX('2024_25'!$Q:$Q,MATCH($A111,'2024_25'!$A:$A,0)),"")</f>
        <v/>
      </c>
      <c r="X111">
        <f>IFERROR(INDEX('2025_26'!$Q:$Q,MATCH($A111,'2025_26'!$A:$A,0)),"")</f>
        <v>0.02</v>
      </c>
      <c r="Y111" t="str">
        <f>IFERROR(INDEX('2023_24'!$M:$M,MATCH($A111,'2023_24'!$A:$A,0))/INDEX('2023_24'!$G:$G,MATCH($A111,'2023_24'!$A:$A,0))*90,"")</f>
        <v/>
      </c>
      <c r="Z111" t="str">
        <f>IFERROR(INDEX('2024_25'!$M:$M,MATCH($A111,'2024_25'!$A:$A,0))/INDEX('2024_25'!$G:$G,MATCH($A111,'2024_25'!$A:$A,0))*90,"")</f>
        <v/>
      </c>
      <c r="AA111">
        <f>IFERROR(INDEX('2025_26'!$M:$M,MATCH($A111,'2025_26'!$A:$A,0))/INDEX('2025_26'!$G:$G,MATCH($A111,'2025_26'!$A:$A,0))*90,"")</f>
        <v>2</v>
      </c>
      <c r="AB111">
        <f>IFERROR(SUMPRODUCT(S111:U111,{0.2,0.3,0.5})/SUMPRODUCT(--(S111:U111&lt;&gt;""),{0.2,0.3,0.5}),"")</f>
        <v>0</v>
      </c>
      <c r="AC111">
        <f>IFERROR(SUMPRODUCT(V111:X111,{0.2,0.3,0.5})/SUMPRODUCT(--(V111:X111&lt;&gt;""),{0.2,0.3,0.5}),"")</f>
        <v>0.02</v>
      </c>
      <c r="AD111">
        <f>IFERROR(SUMPRODUCT(Y111:AA111,{0.2,0.3,0.5})/SUMPRODUCT((Y111:AA111&lt;&gt;"")*{0.2,0.3,0.5}),O111)</f>
        <v>2</v>
      </c>
      <c r="AE111">
        <f t="shared" si="31"/>
        <v>1</v>
      </c>
      <c r="AF111" t="str">
        <f t="shared" si="32"/>
        <v/>
      </c>
      <c r="AG111">
        <f t="shared" si="33"/>
        <v>0</v>
      </c>
      <c r="AH111">
        <f t="shared" si="34"/>
        <v>0.02</v>
      </c>
      <c r="AI111" s="2">
        <f t="shared" si="35"/>
        <v>2</v>
      </c>
      <c r="AJ111">
        <f t="shared" si="36"/>
        <v>0</v>
      </c>
      <c r="AK111" t="str">
        <f t="shared" si="37"/>
        <v>NO</v>
      </c>
      <c r="AL111">
        <f t="shared" si="38"/>
        <v>0</v>
      </c>
      <c r="AM111">
        <f t="shared" si="39"/>
        <v>0</v>
      </c>
      <c r="AN111">
        <f t="shared" si="40"/>
        <v>0</v>
      </c>
      <c r="AO111">
        <f t="shared" si="41"/>
        <v>0</v>
      </c>
      <c r="AP111">
        <f t="array" ref="AP111">AL111*IF($C111="GKP",10,IF($C111="DEF",6,IF($C111="MID",5,4)))</f>
        <v>0</v>
      </c>
      <c r="AQ111">
        <f t="shared" si="42"/>
        <v>0</v>
      </c>
      <c r="AR111">
        <f t="shared" si="43"/>
        <v>0</v>
      </c>
      <c r="AS111" s="2">
        <f>IF($H111=0,0,Player_Analysis!$AM111*$H111/90)</f>
        <v>0</v>
      </c>
      <c r="AT111">
        <f t="shared" si="44"/>
        <v>0</v>
      </c>
      <c r="AU111" s="2">
        <f>0</f>
        <v>0</v>
      </c>
      <c r="AV111" s="2" t="str">
        <f>IF(INDEX(FPL_Raw_Data!K:K,MATCH(A111,FPL_Raw_Data!AA:AA,0))=0,"",INDEX(FPL_Raw_Data!P:P,MATCH(A111,FPL_Raw_Data!AA:AA,0))/INDEX(FPL_Raw_Data!K:K,MATCH(A111,FPL_Raw_Data!AA:AA,0))*90)</f>
        <v/>
      </c>
      <c r="AW111" s="2">
        <f t="shared" si="45"/>
        <v>0</v>
      </c>
      <c r="AX111" s="2">
        <f>IFERROR(INDEX(TEAM_ANALYSIS!$H$2:$H$21,MATCH($B111,TEAM_ANALYSIS!$A$2:$A$21,0)),0)</f>
        <v>0.66666666666666663</v>
      </c>
      <c r="AY111" s="2">
        <f t="shared" si="46"/>
        <v>0</v>
      </c>
      <c r="AZ111" s="2">
        <f t="shared" si="47"/>
        <v>0</v>
      </c>
      <c r="BA111">
        <f t="shared" si="48"/>
        <v>0</v>
      </c>
      <c r="BB111">
        <f>IFERROR(Player_Analysis!$Y111,1)</f>
        <v>1.1305622837370244</v>
      </c>
      <c r="BC111">
        <f t="shared" si="49"/>
        <v>0</v>
      </c>
      <c r="BD111">
        <f t="shared" si="50"/>
        <v>0</v>
      </c>
      <c r="BE111">
        <f t="shared" si="51"/>
        <v>0</v>
      </c>
      <c r="BF111">
        <f t="shared" si="52"/>
        <v>253</v>
      </c>
      <c r="BG111">
        <f>IF($BE111="","",COUNTIFS($C$2:$C$596,$C111,$BE$2:$BE$596,"&gt;"&amp;$BE111)+COUNTIFS($C$2:$C111,$C111,$BE$2:$BE111,$BE111))</f>
        <v>138</v>
      </c>
    </row>
    <row r="112" spans="1:59" x14ac:dyDescent="0.25">
      <c r="A112" t="str">
        <f>Player_Analysis!A112</f>
        <v>Fábio Freitas Gouveia Carvalho</v>
      </c>
      <c r="B112">
        <f>Player_Analysis!C112</f>
        <v>4</v>
      </c>
      <c r="C112" t="str">
        <f>Player_Analysis!B112</f>
        <v>MID</v>
      </c>
      <c r="D112" s="13">
        <f>Player_Analysis!E112</f>
        <v>5</v>
      </c>
      <c r="E112">
        <f>Player_Analysis!I112</f>
        <v>0</v>
      </c>
      <c r="F112" s="8">
        <f>Player_Analysis!Z112</f>
        <v>0</v>
      </c>
      <c r="G112" s="17">
        <f t="shared" si="27"/>
        <v>0</v>
      </c>
      <c r="H112">
        <f t="shared" si="28"/>
        <v>0</v>
      </c>
      <c r="I112" s="8">
        <f>Player_Analysis!AF112</f>
        <v>0</v>
      </c>
      <c r="J112" s="8">
        <f>Player_Analysis!AG112</f>
        <v>0</v>
      </c>
      <c r="K112">
        <f>Player_Analysis!O112</f>
        <v>0</v>
      </c>
      <c r="L112">
        <f>Player_Analysis!P112</f>
        <v>0</v>
      </c>
      <c r="M112" t="str">
        <f t="shared" si="29"/>
        <v/>
      </c>
      <c r="N112" t="str">
        <f t="shared" si="30"/>
        <v/>
      </c>
      <c r="O112" s="2" t="str">
        <f>IF(E112=0,"",Player_Analysis!L112/E112*90)</f>
        <v/>
      </c>
      <c r="P112" t="str">
        <f>IF(E112=0,"",Player_Analysis!Q112/E112*90)</f>
        <v/>
      </c>
      <c r="Q112" t="str">
        <f>IF(E112=0,"",(Player_Analysis!AD112/E112)*90)</f>
        <v/>
      </c>
      <c r="R112" t="str">
        <f>IF(E112=0,"",Player_Analysis!AA112/E112*90)</f>
        <v/>
      </c>
      <c r="S112" t="str">
        <f t="array" ref="S112">IFERROR(INDEX('2023_24'!$O:$O,MATCH($A112,'2023_24'!$A:$A,0)),"")</f>
        <v/>
      </c>
      <c r="T112">
        <f>IFERROR(INDEX('2024_25'!$P:$P,MATCH($A112,'2024_25'!$A:$A,0)),"")</f>
        <v>0.50586907449209939</v>
      </c>
      <c r="U112">
        <f>IFERROR(INDEX('2025_26'!$P:$P,MATCH($A112,'2025_26'!$A:$A,0)),"")</f>
        <v>0.62999999999999989</v>
      </c>
      <c r="V112" t="str">
        <f>IFERROR(INDEX('2023_24'!$P:$P,MATCH($A112,'2023_24'!$A:$A,0)),"")</f>
        <v/>
      </c>
      <c r="W112">
        <f>IFERROR(INDEX('2024_25'!$Q:$Q,MATCH($A112,'2024_25'!$A:$A,0)),"")</f>
        <v>0.10970654627539504</v>
      </c>
      <c r="X112">
        <f>IFERROR(INDEX('2025_26'!$Q:$Q,MATCH($A112,'2025_26'!$A:$A,0)),"")</f>
        <v>2.6999999999999996E-2</v>
      </c>
      <c r="Y112" t="str">
        <f>IFERROR(INDEX('2023_24'!$M:$M,MATCH($A112,'2023_24'!$A:$A,0))/INDEX('2023_24'!$G:$G,MATCH($A112,'2023_24'!$A:$A,0))*90,"")</f>
        <v/>
      </c>
      <c r="Z112">
        <f>IFERROR(INDEX('2024_25'!$M:$M,MATCH($A112,'2024_25'!$A:$A,0))/INDEX('2024_25'!$G:$G,MATCH($A112,'2024_25'!$A:$A,0))*90,"")</f>
        <v>7.1106094808126414</v>
      </c>
      <c r="AA112">
        <f>IFERROR(INDEX('2025_26'!$M:$M,MATCH($A112,'2025_26'!$A:$A,0))/INDEX('2025_26'!$G:$G,MATCH($A112,'2025_26'!$A:$A,0))*90,"")</f>
        <v>11.700000000000001</v>
      </c>
      <c r="AB112">
        <f>IFERROR(SUMPRODUCT(S112:U112,{0.2,0.3,0.5})/SUMPRODUCT(--(S112:U112&lt;&gt;""),{0.2,0.3,0.5}),"")</f>
        <v>0.58345090293453716</v>
      </c>
      <c r="AC112">
        <f>IFERROR(SUMPRODUCT(V112:X112,{0.2,0.3,0.5})/SUMPRODUCT(--(V112:X112&lt;&gt;""),{0.2,0.3,0.5}),"")</f>
        <v>5.8014954853273133E-2</v>
      </c>
      <c r="AD112">
        <f>IFERROR(SUMPRODUCT(Y112:AA112,{0.2,0.3,0.5})/SUMPRODUCT((Y112:AA112&lt;&gt;"")*{0.2,0.3,0.5}),O112)</f>
        <v>9.9789785553047405</v>
      </c>
      <c r="AE112">
        <f t="shared" si="31"/>
        <v>2</v>
      </c>
      <c r="AF112" t="str">
        <f t="shared" si="32"/>
        <v/>
      </c>
      <c r="AG112">
        <f t="shared" si="33"/>
        <v>0.58345090293453716</v>
      </c>
      <c r="AH112">
        <f t="shared" si="34"/>
        <v>5.8014954853273133E-2</v>
      </c>
      <c r="AI112" s="2">
        <f t="shared" si="35"/>
        <v>9.9789785553047405</v>
      </c>
      <c r="AJ112">
        <f t="shared" si="36"/>
        <v>0</v>
      </c>
      <c r="AK112" t="str">
        <f t="shared" si="37"/>
        <v>NO</v>
      </c>
      <c r="AL112">
        <f t="shared" si="38"/>
        <v>0</v>
      </c>
      <c r="AM112">
        <f t="shared" si="39"/>
        <v>0</v>
      </c>
      <c r="AN112">
        <f t="shared" si="40"/>
        <v>0</v>
      </c>
      <c r="AO112">
        <f t="shared" si="41"/>
        <v>0</v>
      </c>
      <c r="AP112">
        <f t="array" ref="AP112">AL112*IF($C112="GKP",10,IF($C112="DEF",6,IF($C112="MID",5,4)))</f>
        <v>0</v>
      </c>
      <c r="AQ112">
        <f t="shared" si="42"/>
        <v>0</v>
      </c>
      <c r="AR112">
        <f t="shared" si="43"/>
        <v>0</v>
      </c>
      <c r="AS112" s="2">
        <f>IF($H112=0,0,Player_Analysis!$AM112*$H112/90)</f>
        <v>0</v>
      </c>
      <c r="AT112">
        <f t="shared" si="44"/>
        <v>0</v>
      </c>
      <c r="AU112" s="2">
        <f>0</f>
        <v>0</v>
      </c>
      <c r="AV112" s="2" t="str">
        <f>IF(INDEX(FPL_Raw_Data!K:K,MATCH(A112,FPL_Raw_Data!AA:AA,0))=0,"",INDEX(FPL_Raw_Data!P:P,MATCH(A112,FPL_Raw_Data!AA:AA,0))/INDEX(FPL_Raw_Data!K:K,MATCH(A112,FPL_Raw_Data!AA:AA,0))*90)</f>
        <v/>
      </c>
      <c r="AW112" s="2">
        <f t="shared" si="45"/>
        <v>0</v>
      </c>
      <c r="AX112" s="2">
        <f>IFERROR(INDEX(TEAM_ANALYSIS!$H$2:$H$21,MATCH($B112,TEAM_ANALYSIS!$A$2:$A$21,0)),0)</f>
        <v>0.66666666666666663</v>
      </c>
      <c r="AY112" s="2">
        <f t="shared" si="46"/>
        <v>0</v>
      </c>
      <c r="AZ112" s="2">
        <f t="shared" si="47"/>
        <v>0</v>
      </c>
      <c r="BA112">
        <f t="shared" si="48"/>
        <v>0</v>
      </c>
      <c r="BB112">
        <f>IFERROR(Player_Analysis!$Y112,1)</f>
        <v>1.1305622837370244</v>
      </c>
      <c r="BC112">
        <f t="shared" si="49"/>
        <v>0</v>
      </c>
      <c r="BD112">
        <f t="shared" si="50"/>
        <v>0</v>
      </c>
      <c r="BE112">
        <f t="shared" si="51"/>
        <v>0</v>
      </c>
      <c r="BF112">
        <f t="shared" si="52"/>
        <v>253</v>
      </c>
      <c r="BG112">
        <f>IF($BE112="","",COUNTIFS($C$2:$C$596,$C112,$BE$2:$BE$596,"&gt;"&amp;$BE112)+COUNTIFS($C$2:$C112,$C112,$BE$2:$BE112,$BE112))</f>
        <v>139</v>
      </c>
    </row>
    <row r="113" spans="1:59" x14ac:dyDescent="0.25">
      <c r="A113" t="str">
        <f>Player_Analysis!A113</f>
        <v>Yehor Yarmoliuk</v>
      </c>
      <c r="B113">
        <f>Player_Analysis!C113</f>
        <v>4</v>
      </c>
      <c r="C113" t="str">
        <f>Player_Analysis!B113</f>
        <v>MID</v>
      </c>
      <c r="D113" s="13">
        <f>Player_Analysis!E113</f>
        <v>4.9000000000000004</v>
      </c>
      <c r="E113">
        <f>Player_Analysis!I113</f>
        <v>89</v>
      </c>
      <c r="F113" s="8">
        <f>Player_Analysis!Z113</f>
        <v>0</v>
      </c>
      <c r="G113" s="17">
        <f t="shared" si="27"/>
        <v>0</v>
      </c>
      <c r="H113">
        <f t="shared" si="28"/>
        <v>0</v>
      </c>
      <c r="I113" s="8">
        <f>Player_Analysis!AF113</f>
        <v>0</v>
      </c>
      <c r="J113" s="8">
        <f>Player_Analysis!AG113</f>
        <v>0</v>
      </c>
      <c r="K113">
        <f>Player_Analysis!O113</f>
        <v>7.0000000000000007E-2</v>
      </c>
      <c r="L113">
        <f>Player_Analysis!P113</f>
        <v>0.03</v>
      </c>
      <c r="M113">
        <f t="shared" si="29"/>
        <v>7.0786516853932599E-2</v>
      </c>
      <c r="N113">
        <f t="shared" si="30"/>
        <v>3.0337078651685393E-2</v>
      </c>
      <c r="O113" s="2">
        <f>IF(E113=0,"",Player_Analysis!L113/E113*90)</f>
        <v>2.0224719101123596</v>
      </c>
      <c r="P113">
        <f>IF(E113=0,"",Player_Analysis!Q113/E113*90)</f>
        <v>0.10112359550561799</v>
      </c>
      <c r="Q113">
        <f>IF(E113=0,"",(Player_Analysis!AD113/E113)*90)</f>
        <v>12.134831460674157</v>
      </c>
      <c r="R113">
        <f>IF(E113=0,"",Player_Analysis!AA113/E113*90)</f>
        <v>11.123595505617978</v>
      </c>
      <c r="S113" t="str">
        <f t="array" ref="S113">IFERROR(INDEX('2023_24'!$O:$O,MATCH($A113,'2023_24'!$A:$A,0)),"")</f>
        <v/>
      </c>
      <c r="T113">
        <f>IFERROR(INDEX('2024_25'!$P:$P,MATCH($A113,'2024_25'!$A:$A,0)),"")</f>
        <v>3.8885017421602788E-2</v>
      </c>
      <c r="U113">
        <f>IFERROR(INDEX('2025_26'!$P:$P,MATCH($A113,'2025_26'!$A:$A,0)),"")</f>
        <v>4.1402714932126695E-2</v>
      </c>
      <c r="V113" t="str">
        <f>IFERROR(INDEX('2023_24'!$P:$P,MATCH($A113,'2023_24'!$A:$A,0)),"")</f>
        <v/>
      </c>
      <c r="W113">
        <f>IFERROR(INDEX('2024_25'!$Q:$Q,MATCH($A113,'2024_25'!$A:$A,0)),"")</f>
        <v>5.7073170731707319E-2</v>
      </c>
      <c r="X113">
        <f>IFERROR(INDEX('2025_26'!$Q:$Q,MATCH($A113,'2025_26'!$A:$A,0)),"")</f>
        <v>4.7171945701357465E-2</v>
      </c>
      <c r="Y113" t="str">
        <f>IFERROR(INDEX('2023_24'!$M:$M,MATCH($A113,'2023_24'!$A:$A,0))/INDEX('2023_24'!$G:$G,MATCH($A113,'2023_24'!$A:$A,0))*90,"")</f>
        <v/>
      </c>
      <c r="Z113">
        <f>IFERROR(INDEX('2024_25'!$M:$M,MATCH($A113,'2024_25'!$A:$A,0))/INDEX('2024_25'!$G:$G,MATCH($A113,'2024_25'!$A:$A,0))*90,"")</f>
        <v>2.6968641114982579</v>
      </c>
      <c r="AA113">
        <f>IFERROR(INDEX('2025_26'!$M:$M,MATCH($A113,'2025_26'!$A:$A,0))/INDEX('2025_26'!$G:$G,MATCH($A113,'2025_26'!$A:$A,0))*90,"")</f>
        <v>3.5294117647058822</v>
      </c>
      <c r="AB113">
        <f>IFERROR(SUMPRODUCT(S113:U113,{0.2,0.3,0.5})/SUMPRODUCT(--(S113:U113&lt;&gt;""),{0.2,0.3,0.5}),"")</f>
        <v>4.0458578365680231E-2</v>
      </c>
      <c r="AC113">
        <f>IFERROR(SUMPRODUCT(V113:X113,{0.2,0.3,0.5})/SUMPRODUCT(--(V113:X113&lt;&gt;""),{0.2,0.3,0.5}),"")</f>
        <v>5.0884905087738658E-2</v>
      </c>
      <c r="AD113">
        <f>IFERROR(SUMPRODUCT(Y113:AA113,{0.2,0.3,0.5})/SUMPRODUCT((Y113:AA113&lt;&gt;"")*{0.2,0.3,0.5}),O113)</f>
        <v>3.2172063947530232</v>
      </c>
      <c r="AE113">
        <f t="shared" si="31"/>
        <v>2</v>
      </c>
      <c r="AF113" t="str">
        <f t="shared" si="32"/>
        <v/>
      </c>
      <c r="AG113">
        <f t="shared" si="33"/>
        <v>4.9455866783861768E-2</v>
      </c>
      <c r="AH113">
        <f t="shared" si="34"/>
        <v>4.4789049911709525E-2</v>
      </c>
      <c r="AI113" s="2">
        <f t="shared" si="35"/>
        <v>2.8627684976429597</v>
      </c>
      <c r="AJ113">
        <f t="shared" si="36"/>
        <v>0.29666666666666669</v>
      </c>
      <c r="AK113" t="str">
        <f t="shared" si="37"/>
        <v>NO</v>
      </c>
      <c r="AL113">
        <f t="shared" si="38"/>
        <v>0</v>
      </c>
      <c r="AM113">
        <f t="shared" si="39"/>
        <v>0</v>
      </c>
      <c r="AN113">
        <f t="shared" si="40"/>
        <v>0</v>
      </c>
      <c r="AO113">
        <f t="shared" si="41"/>
        <v>0</v>
      </c>
      <c r="AP113">
        <f t="array" ref="AP113">AL113*IF($C113="GKP",10,IF($C113="DEF",6,IF($C113="MID",5,4)))</f>
        <v>0</v>
      </c>
      <c r="AQ113">
        <f t="shared" si="42"/>
        <v>0</v>
      </c>
      <c r="AR113">
        <f t="shared" si="43"/>
        <v>0</v>
      </c>
      <c r="AS113" s="2">
        <f>IF($H113=0,0,Player_Analysis!$AM113*$H113/90)</f>
        <v>0</v>
      </c>
      <c r="AT113">
        <f t="shared" si="44"/>
        <v>0</v>
      </c>
      <c r="AU113" s="2">
        <f>0</f>
        <v>0</v>
      </c>
      <c r="AV113" s="2">
        <f>IF(INDEX(FPL_Raw_Data!K:K,MATCH(A113,FPL_Raw_Data!AA:AA,0))=0,"",INDEX(FPL_Raw_Data!P:P,MATCH(A113,FPL_Raw_Data!AA:AA,0))/INDEX(FPL_Raw_Data!K:K,MATCH(A113,FPL_Raw_Data!AA:AA,0))*90)</f>
        <v>0</v>
      </c>
      <c r="AW113" s="2">
        <f t="shared" si="45"/>
        <v>0</v>
      </c>
      <c r="AX113" s="2">
        <f>IFERROR(INDEX(TEAM_ANALYSIS!$H$2:$H$21,MATCH($B113,TEAM_ANALYSIS!$A$2:$A$21,0)),0)</f>
        <v>0.66666666666666663</v>
      </c>
      <c r="AY113" s="2">
        <f t="shared" si="46"/>
        <v>0</v>
      </c>
      <c r="AZ113" s="2">
        <f t="shared" si="47"/>
        <v>0</v>
      </c>
      <c r="BA113">
        <f t="shared" si="48"/>
        <v>0</v>
      </c>
      <c r="BB113">
        <f>IFERROR(Player_Analysis!$Y113,1)</f>
        <v>1.1305622837370244</v>
      </c>
      <c r="BC113">
        <f t="shared" si="49"/>
        <v>0</v>
      </c>
      <c r="BD113">
        <f t="shared" si="50"/>
        <v>0</v>
      </c>
      <c r="BE113">
        <f t="shared" si="51"/>
        <v>0</v>
      </c>
      <c r="BF113">
        <f t="shared" si="52"/>
        <v>253</v>
      </c>
      <c r="BG113">
        <f>IF($BE113="","",COUNTIFS($C$2:$C$596,$C113,$BE$2:$BE$596,"&gt;"&amp;$BE113)+COUNTIFS($C$2:$C113,$C113,$BE$2:$BE113,$BE113))</f>
        <v>140</v>
      </c>
    </row>
    <row r="114" spans="1:59" x14ac:dyDescent="0.25">
      <c r="A114" t="str">
        <f>Player_Analysis!A114</f>
        <v>Josh Dasilva</v>
      </c>
      <c r="B114">
        <f>Player_Analysis!C114</f>
        <v>4</v>
      </c>
      <c r="C114" t="str">
        <f>Player_Analysis!B114</f>
        <v>MID</v>
      </c>
      <c r="D114" s="13">
        <f>Player_Analysis!E114</f>
        <v>5</v>
      </c>
      <c r="E114">
        <f>Player_Analysis!I114</f>
        <v>0</v>
      </c>
      <c r="F114" s="8">
        <f>Player_Analysis!Z114</f>
        <v>0</v>
      </c>
      <c r="G114" s="17">
        <f t="shared" si="27"/>
        <v>0</v>
      </c>
      <c r="H114">
        <f t="shared" si="28"/>
        <v>0</v>
      </c>
      <c r="I114" s="8">
        <f>Player_Analysis!AF114</f>
        <v>0</v>
      </c>
      <c r="J114" s="8">
        <f>Player_Analysis!AG114</f>
        <v>0</v>
      </c>
      <c r="K114">
        <f>Player_Analysis!O114</f>
        <v>0</v>
      </c>
      <c r="L114">
        <f>Player_Analysis!P114</f>
        <v>0</v>
      </c>
      <c r="M114" t="str">
        <f t="shared" si="29"/>
        <v/>
      </c>
      <c r="N114" t="str">
        <f t="shared" si="30"/>
        <v/>
      </c>
      <c r="O114" s="2" t="str">
        <f>IF(E114=0,"",Player_Analysis!L114/E114*90)</f>
        <v/>
      </c>
      <c r="P114" t="str">
        <f>IF(E114=0,"",Player_Analysis!Q114/E114*90)</f>
        <v/>
      </c>
      <c r="Q114" t="str">
        <f>IF(E114=0,"",(Player_Analysis!AD114/E114)*90)</f>
        <v/>
      </c>
      <c r="R114" t="str">
        <f>IF(E114=0,"",Player_Analysis!AA114/E114*90)</f>
        <v/>
      </c>
      <c r="S114">
        <f t="array" ref="S114">IFERROR(INDEX('2023_24'!$O:$O,MATCH($A114,'2023_24'!$A:$A,0)),"")</f>
        <v>0</v>
      </c>
      <c r="T114">
        <f>IFERROR(INDEX('2024_25'!$P:$P,MATCH($A114,'2024_25'!$A:$A,0)),"")</f>
        <v>0</v>
      </c>
      <c r="U114">
        <f>IFERROR(INDEX('2025_26'!$P:$P,MATCH($A114,'2025_26'!$A:$A,0)),"")</f>
        <v>3.6</v>
      </c>
      <c r="V114">
        <f>IFERROR(INDEX('2023_24'!$P:$P,MATCH($A114,'2023_24'!$A:$A,0)),"")</f>
        <v>0.94090909090909092</v>
      </c>
      <c r="W114">
        <f>IFERROR(INDEX('2024_25'!$Q:$Q,MATCH($A114,'2024_25'!$A:$A,0)),"")</f>
        <v>0</v>
      </c>
      <c r="X114">
        <f>IFERROR(INDEX('2025_26'!$Q:$Q,MATCH($A114,'2025_26'!$A:$A,0)),"")</f>
        <v>0</v>
      </c>
      <c r="Y114">
        <f>IFERROR(INDEX('2023_24'!$M:$M,MATCH($A114,'2023_24'!$A:$A,0))/INDEX('2023_24'!$G:$G,MATCH($A114,'2023_24'!$A:$A,0))*90,"")</f>
        <v>12.272727272727272</v>
      </c>
      <c r="Z114" t="str">
        <f>IFERROR(INDEX('2024_25'!$M:$M,MATCH($A114,'2024_25'!$A:$A,0))/INDEX('2024_25'!$G:$G,MATCH($A114,'2024_25'!$A:$A,0))*90,"")</f>
        <v/>
      </c>
      <c r="AA114">
        <f>IFERROR(INDEX('2025_26'!$M:$M,MATCH($A114,'2025_26'!$A:$A,0))/INDEX('2025_26'!$G:$G,MATCH($A114,'2025_26'!$A:$A,0))*90,"")</f>
        <v>90</v>
      </c>
      <c r="AB114">
        <f>IFERROR(SUMPRODUCT(S114:U114,{0.2,0.3,0.5})/SUMPRODUCT(--(S114:U114&lt;&gt;""),{0.2,0.3,0.5}),"")</f>
        <v>1.8</v>
      </c>
      <c r="AC114">
        <f>IFERROR(SUMPRODUCT(V114:X114,{0.2,0.3,0.5})/SUMPRODUCT(--(V114:X114&lt;&gt;""),{0.2,0.3,0.5}),"")</f>
        <v>0.1881818181818182</v>
      </c>
      <c r="AD114">
        <f>IFERROR(SUMPRODUCT(Y114:AA114,{0.2,0.3,0.5})/SUMPRODUCT((Y114:AA114&lt;&gt;"")*{0.2,0.3,0.5}),O114)</f>
        <v>67.79220779220779</v>
      </c>
      <c r="AE114">
        <f t="shared" si="31"/>
        <v>3</v>
      </c>
      <c r="AF114" t="str">
        <f t="shared" si="32"/>
        <v/>
      </c>
      <c r="AG114">
        <f t="shared" si="33"/>
        <v>1.8</v>
      </c>
      <c r="AH114">
        <f t="shared" si="34"/>
        <v>0.1881818181818182</v>
      </c>
      <c r="AI114" s="2">
        <f t="shared" si="35"/>
        <v>67.79220779220779</v>
      </c>
      <c r="AJ114">
        <f t="shared" si="36"/>
        <v>0</v>
      </c>
      <c r="AK114" t="str">
        <f t="shared" si="37"/>
        <v>NO</v>
      </c>
      <c r="AL114">
        <f t="shared" si="38"/>
        <v>0</v>
      </c>
      <c r="AM114">
        <f t="shared" si="39"/>
        <v>0</v>
      </c>
      <c r="AN114">
        <f t="shared" si="40"/>
        <v>0</v>
      </c>
      <c r="AO114">
        <f t="shared" si="41"/>
        <v>0</v>
      </c>
      <c r="AP114">
        <f t="array" ref="AP114">AL114*IF($C114="GKP",10,IF($C114="DEF",6,IF($C114="MID",5,4)))</f>
        <v>0</v>
      </c>
      <c r="AQ114">
        <f t="shared" si="42"/>
        <v>0</v>
      </c>
      <c r="AR114">
        <f t="shared" si="43"/>
        <v>0</v>
      </c>
      <c r="AS114" s="2">
        <f>IF($H114=0,0,Player_Analysis!$AM114*$H114/90)</f>
        <v>0</v>
      </c>
      <c r="AT114">
        <f t="shared" si="44"/>
        <v>0</v>
      </c>
      <c r="AU114" s="2">
        <f>0</f>
        <v>0</v>
      </c>
      <c r="AV114" s="2" t="str">
        <f>IF(INDEX(FPL_Raw_Data!K:K,MATCH(A114,FPL_Raw_Data!AA:AA,0))=0,"",INDEX(FPL_Raw_Data!P:P,MATCH(A114,FPL_Raw_Data!AA:AA,0))/INDEX(FPL_Raw_Data!K:K,MATCH(A114,FPL_Raw_Data!AA:AA,0))*90)</f>
        <v/>
      </c>
      <c r="AW114" s="2">
        <f t="shared" si="45"/>
        <v>0</v>
      </c>
      <c r="AX114" s="2">
        <f>IFERROR(INDEX(TEAM_ANALYSIS!$H$2:$H$21,MATCH($B114,TEAM_ANALYSIS!$A$2:$A$21,0)),0)</f>
        <v>0.66666666666666663</v>
      </c>
      <c r="AY114" s="2">
        <f t="shared" si="46"/>
        <v>0</v>
      </c>
      <c r="AZ114" s="2">
        <f t="shared" si="47"/>
        <v>0</v>
      </c>
      <c r="BA114">
        <f t="shared" si="48"/>
        <v>0</v>
      </c>
      <c r="BB114">
        <f>IFERROR(Player_Analysis!$Y114,1)</f>
        <v>1.1305622837370244</v>
      </c>
      <c r="BC114">
        <f t="shared" si="49"/>
        <v>0</v>
      </c>
      <c r="BD114">
        <f t="shared" si="50"/>
        <v>0</v>
      </c>
      <c r="BE114">
        <f t="shared" si="51"/>
        <v>0</v>
      </c>
      <c r="BF114">
        <f t="shared" si="52"/>
        <v>253</v>
      </c>
      <c r="BG114">
        <f>IF($BE114="","",COUNTIFS($C$2:$C$596,$C114,$BE$2:$BE$596,"&gt;"&amp;$BE114)+COUNTIFS($C$2:$C114,$C114,$BE$2:$BE114,$BE114))</f>
        <v>141</v>
      </c>
    </row>
    <row r="115" spans="1:59" x14ac:dyDescent="0.25">
      <c r="A115" t="str">
        <f>Player_Analysis!A115</f>
        <v>Jaidon Anthony</v>
      </c>
      <c r="B115">
        <f>Player_Analysis!C115</f>
        <v>4</v>
      </c>
      <c r="C115" t="str">
        <f>Player_Analysis!B115</f>
        <v>MID</v>
      </c>
      <c r="D115" s="13">
        <f>Player_Analysis!E115</f>
        <v>6</v>
      </c>
      <c r="E115">
        <f>Player_Analysis!I115</f>
        <v>128</v>
      </c>
      <c r="F115" s="8">
        <f>Player_Analysis!Z115</f>
        <v>1</v>
      </c>
      <c r="G115" s="17">
        <f t="shared" si="27"/>
        <v>0.703125</v>
      </c>
      <c r="H115">
        <f t="shared" si="28"/>
        <v>63.28125</v>
      </c>
      <c r="I115" s="8">
        <f>Player_Analysis!AF115</f>
        <v>0</v>
      </c>
      <c r="J115" s="8">
        <f>Player_Analysis!AG115</f>
        <v>0</v>
      </c>
      <c r="K115">
        <f>Player_Analysis!O115</f>
        <v>0.19</v>
      </c>
      <c r="L115">
        <f>Player_Analysis!P115</f>
        <v>0.42</v>
      </c>
      <c r="M115">
        <f t="shared" si="29"/>
        <v>0.13359375000000001</v>
      </c>
      <c r="N115">
        <f t="shared" si="30"/>
        <v>0.29531249999999998</v>
      </c>
      <c r="O115" s="2">
        <f>IF(E115=0,"",Player_Analysis!L115/E115*90)</f>
        <v>2.8125</v>
      </c>
      <c r="P115">
        <f>IF(E115=0,"",Player_Analysis!Q115/E115*90)</f>
        <v>0.42890624999999999</v>
      </c>
      <c r="Q115">
        <f>IF(E115=0,"",(Player_Analysis!AD115/E115)*90)</f>
        <v>11.25</v>
      </c>
      <c r="R115">
        <f>IF(E115=0,"",Player_Analysis!AA115/E115*90)</f>
        <v>9.140625</v>
      </c>
      <c r="S115">
        <f t="array" ref="S115">IFERROR(INDEX('2023_24'!$O:$O,MATCH($A115,'2023_24'!$A:$A,0)),"")</f>
        <v>4.1721854304635764E-2</v>
      </c>
      <c r="T115">
        <f>IFERROR(INDEX('2024_25'!$P:$P,MATCH($A115,'2024_25'!$A:$A,0)),"")</f>
        <v>0</v>
      </c>
      <c r="U115">
        <f>IFERROR(INDEX('2025_26'!$P:$P,MATCH($A115,'2025_26'!$A:$A,0)),"")</f>
        <v>0.16926757453073243</v>
      </c>
      <c r="V115">
        <f>IFERROR(INDEX('2023_24'!$P:$P,MATCH($A115,'2023_24'!$A:$A,0)),"")</f>
        <v>1.1920529801324502E-2</v>
      </c>
      <c r="W115">
        <f>IFERROR(INDEX('2024_25'!$Q:$Q,MATCH($A115,'2024_25'!$A:$A,0)),"")</f>
        <v>0</v>
      </c>
      <c r="X115">
        <f>IFERROR(INDEX('2025_26'!$Q:$Q,MATCH($A115,'2025_26'!$A:$A,0)),"")</f>
        <v>9.4405594405594401E-2</v>
      </c>
      <c r="Y115">
        <f>IFERROR(INDEX('2023_24'!$M:$M,MATCH($A115,'2023_24'!$A:$A,0))/INDEX('2023_24'!$G:$G,MATCH($A115,'2023_24'!$A:$A,0))*90,"")</f>
        <v>1.7880794701986755</v>
      </c>
      <c r="Z115" t="str">
        <f>IFERROR(INDEX('2024_25'!$M:$M,MATCH($A115,'2024_25'!$A:$A,0))/INDEX('2024_25'!$G:$G,MATCH($A115,'2024_25'!$A:$A,0))*90,"")</f>
        <v/>
      </c>
      <c r="AA115">
        <f>IFERROR(INDEX('2025_26'!$M:$M,MATCH($A115,'2025_26'!$A:$A,0))/INDEX('2025_26'!$G:$G,MATCH($A115,'2025_26'!$A:$A,0))*90,"")</f>
        <v>4.2068457857931545</v>
      </c>
      <c r="AB115">
        <f>IFERROR(SUMPRODUCT(S115:U115,{0.2,0.3,0.5})/SUMPRODUCT(--(S115:U115&lt;&gt;""),{0.2,0.3,0.5}),"")</f>
        <v>9.297815812629337E-2</v>
      </c>
      <c r="AC115">
        <f>IFERROR(SUMPRODUCT(V115:X115,{0.2,0.3,0.5})/SUMPRODUCT(--(V115:X115&lt;&gt;""),{0.2,0.3,0.5}),"")</f>
        <v>4.95869031630621E-2</v>
      </c>
      <c r="AD115">
        <f>IFERROR(SUMPRODUCT(Y115:AA115,{0.2,0.3,0.5})/SUMPRODUCT((Y115:AA115&lt;&gt;"")*{0.2,0.3,0.5}),O115)</f>
        <v>3.5157696956233035</v>
      </c>
      <c r="AE115">
        <f t="shared" si="31"/>
        <v>3</v>
      </c>
      <c r="AF115">
        <f t="shared" si="32"/>
        <v>128</v>
      </c>
      <c r="AG115">
        <f t="shared" si="33"/>
        <v>0.11030747732574153</v>
      </c>
      <c r="AH115">
        <f t="shared" si="34"/>
        <v>0.1544298244801556</v>
      </c>
      <c r="AI115" s="2">
        <f t="shared" si="35"/>
        <v>3.2157079588240274</v>
      </c>
      <c r="AJ115">
        <f t="shared" si="36"/>
        <v>0.42666666666666669</v>
      </c>
      <c r="AK115" t="str">
        <f t="shared" si="37"/>
        <v>NO</v>
      </c>
      <c r="AL115">
        <f t="shared" si="38"/>
        <v>7.7559944994662011E-2</v>
      </c>
      <c r="AM115">
        <f t="shared" si="39"/>
        <v>0.10858347033760941</v>
      </c>
      <c r="AN115">
        <f t="shared" si="40"/>
        <v>7.7559944994662011E-2</v>
      </c>
      <c r="AO115">
        <f t="shared" si="41"/>
        <v>0.10858347033760941</v>
      </c>
      <c r="AP115">
        <f t="array" ref="AP115">AL115*IF($C115="GKP",10,IF($C115="DEF",6,IF($C115="MID",5,4)))</f>
        <v>0.38779972497331006</v>
      </c>
      <c r="AQ115">
        <f t="shared" si="42"/>
        <v>0.32575041101282826</v>
      </c>
      <c r="AR115">
        <f t="shared" si="43"/>
        <v>1.40625</v>
      </c>
      <c r="AS115" s="2">
        <f>IF($H115=0,0,Player_Analysis!$AM115*$H115/90)</f>
        <v>0.703125</v>
      </c>
      <c r="AT115">
        <f t="shared" si="44"/>
        <v>1.0711669921875</v>
      </c>
      <c r="AU115" s="2">
        <f>0</f>
        <v>0</v>
      </c>
      <c r="AV115" s="2">
        <f>IF(INDEX(FPL_Raw_Data!K:K,MATCH(A115,FPL_Raw_Data!AA:AA,0))=0,"",INDEX(FPL_Raw_Data!P:P,MATCH(A115,FPL_Raw_Data!AA:AA,0))/INDEX(FPL_Raw_Data!K:K,MATCH(A115,FPL_Raw_Data!AA:AA,0))*90)</f>
        <v>0</v>
      </c>
      <c r="AW115" s="2">
        <f t="shared" si="45"/>
        <v>0</v>
      </c>
      <c r="AX115" s="2">
        <f>IFERROR(INDEX(TEAM_ANALYSIS!$H$2:$H$21,MATCH($B115,TEAM_ANALYSIS!$A$2:$A$21,0)),0)</f>
        <v>0.66666666666666663</v>
      </c>
      <c r="AY115" s="2">
        <f t="shared" si="46"/>
        <v>0</v>
      </c>
      <c r="AZ115" s="2">
        <f t="shared" si="47"/>
        <v>3.8940921281736385</v>
      </c>
      <c r="BA115">
        <f t="shared" si="48"/>
        <v>0.64901535469560645</v>
      </c>
      <c r="BB115">
        <f>IFERROR(Player_Analysis!$Y115,1)</f>
        <v>1.1305622837370244</v>
      </c>
      <c r="BC115">
        <f t="shared" si="49"/>
        <v>4.402513689510358</v>
      </c>
      <c r="BD115">
        <f t="shared" si="50"/>
        <v>2.8572989837498279</v>
      </c>
      <c r="BE115">
        <f t="shared" si="51"/>
        <v>4.402513689510358</v>
      </c>
      <c r="BF115">
        <f t="shared" si="52"/>
        <v>128</v>
      </c>
      <c r="BG115">
        <f>IF($BE115="","",COUNTIFS($C$2:$C$596,$C115,$BE$2:$BE$596,"&gt;"&amp;$BE115)+COUNTIFS($C$2:$C115,$C115,$BE$2:$BE115,$BE115))</f>
        <v>62</v>
      </c>
    </row>
    <row r="116" spans="1:59" x14ac:dyDescent="0.25">
      <c r="A116" t="str">
        <f>Player_Analysis!A116</f>
        <v>Igor Thiago Nascimento Rodrigues</v>
      </c>
      <c r="B116">
        <f>Player_Analysis!C116</f>
        <v>4</v>
      </c>
      <c r="C116" t="str">
        <f>Player_Analysis!B116</f>
        <v>FWD</v>
      </c>
      <c r="D116" s="13">
        <f>Player_Analysis!E116</f>
        <v>7.9</v>
      </c>
      <c r="E116">
        <f>Player_Analysis!I116</f>
        <v>262</v>
      </c>
      <c r="F116" s="8">
        <f>Player_Analysis!Z116</f>
        <v>3</v>
      </c>
      <c r="G116" s="17">
        <f t="shared" si="27"/>
        <v>1</v>
      </c>
      <c r="H116">
        <f t="shared" si="28"/>
        <v>90</v>
      </c>
      <c r="I116" s="8">
        <f>Player_Analysis!AF116</f>
        <v>0</v>
      </c>
      <c r="J116" s="8">
        <f>Player_Analysis!AG116</f>
        <v>0</v>
      </c>
      <c r="K116">
        <f>Player_Analysis!O116</f>
        <v>2.2999999999999998</v>
      </c>
      <c r="L116">
        <f>Player_Analysis!P116</f>
        <v>0.1</v>
      </c>
      <c r="M116">
        <f t="shared" si="29"/>
        <v>0.79007633587786252</v>
      </c>
      <c r="N116">
        <f t="shared" si="30"/>
        <v>3.4351145038167941E-2</v>
      </c>
      <c r="O116" s="2">
        <f>IF(E116=0,"",Player_Analysis!L116/E116*90)</f>
        <v>1.3740458015267174</v>
      </c>
      <c r="P116">
        <f>IF(E116=0,"",Player_Analysis!Q116/E116*90)</f>
        <v>0.82442748091603058</v>
      </c>
      <c r="Q116">
        <f>IF(E116=0,"",(Player_Analysis!AD116/E116)*90)</f>
        <v>2.7480916030534348</v>
      </c>
      <c r="R116">
        <f>IF(E116=0,"",Player_Analysis!AA116/E116*90)</f>
        <v>5.1526717557251906</v>
      </c>
      <c r="S116" t="str">
        <f t="array" ref="S116">IFERROR(INDEX('2023_24'!$O:$O,MATCH($A116,'2023_24'!$A:$A,0)),"")</f>
        <v/>
      </c>
      <c r="T116">
        <f>IFERROR(INDEX('2024_25'!$P:$P,MATCH($A116,'2024_25'!$A:$A,0)),"")</f>
        <v>7.0059880239520964E-2</v>
      </c>
      <c r="U116">
        <f>IFERROR(INDEX('2025_26'!$P:$P,MATCH($A116,'2025_26'!$A:$A,0)),"")</f>
        <v>0.56489945155393062</v>
      </c>
      <c r="V116" t="str">
        <f>IFERROR(INDEX('2023_24'!$P:$P,MATCH($A116,'2023_24'!$A:$A,0)),"")</f>
        <v/>
      </c>
      <c r="W116">
        <f>IFERROR(INDEX('2024_25'!$Q:$Q,MATCH($A116,'2024_25'!$A:$A,0)),"")</f>
        <v>2.1556886227544911E-2</v>
      </c>
      <c r="X116">
        <f>IFERROR(INDEX('2025_26'!$Q:$Q,MATCH($A116,'2025_26'!$A:$A,0)),"")</f>
        <v>5.0182815356489947E-2</v>
      </c>
      <c r="Y116" t="str">
        <f>IFERROR(INDEX('2023_24'!$M:$M,MATCH($A116,'2023_24'!$A:$A,0))/INDEX('2023_24'!$G:$G,MATCH($A116,'2023_24'!$A:$A,0))*90,"")</f>
        <v/>
      </c>
      <c r="Z116">
        <f>IFERROR(INDEX('2024_25'!$M:$M,MATCH($A116,'2024_25'!$A:$A,0))/INDEX('2024_25'!$G:$G,MATCH($A116,'2024_25'!$A:$A,0))*90,"")</f>
        <v>4.8502994011976046</v>
      </c>
      <c r="AA116">
        <f>IFERROR(INDEX('2025_26'!$M:$M,MATCH($A116,'2025_26'!$A:$A,0))/INDEX('2025_26'!$G:$G,MATCH($A116,'2025_26'!$A:$A,0))*90,"")</f>
        <v>4.963436928702011</v>
      </c>
      <c r="AB116">
        <f>IFERROR(SUMPRODUCT(S116:U116,{0.2,0.3,0.5})/SUMPRODUCT(--(S116:U116&lt;&gt;""),{0.2,0.3,0.5}),"")</f>
        <v>0.379334612311027</v>
      </c>
      <c r="AC116">
        <f>IFERROR(SUMPRODUCT(V116:X116,{0.2,0.3,0.5})/SUMPRODUCT(--(V116:X116&lt;&gt;""),{0.2,0.3,0.5}),"")</f>
        <v>3.9448091933135553E-2</v>
      </c>
      <c r="AD116">
        <f>IFERROR(SUMPRODUCT(Y116:AA116,{0.2,0.3,0.5})/SUMPRODUCT((Y116:AA116&lt;&gt;"")*{0.2,0.3,0.5}),O116)</f>
        <v>4.9210103558878577</v>
      </c>
      <c r="AE116">
        <f t="shared" si="31"/>
        <v>2</v>
      </c>
      <c r="AF116">
        <f t="shared" si="32"/>
        <v>87.333333333333329</v>
      </c>
      <c r="AG116">
        <f t="shared" si="33"/>
        <v>0.7380490508927301</v>
      </c>
      <c r="AH116">
        <f t="shared" si="34"/>
        <v>3.4996758311530506E-2</v>
      </c>
      <c r="AI116" s="2">
        <f t="shared" si="35"/>
        <v>1.8233279784124619</v>
      </c>
      <c r="AJ116">
        <f t="shared" si="36"/>
        <v>0.87333333333333329</v>
      </c>
      <c r="AK116" t="str">
        <f t="shared" si="37"/>
        <v>NO</v>
      </c>
      <c r="AL116">
        <f t="shared" si="38"/>
        <v>0.7380490508927301</v>
      </c>
      <c r="AM116">
        <f t="shared" si="39"/>
        <v>3.4996758311530506E-2</v>
      </c>
      <c r="AN116">
        <f t="shared" si="40"/>
        <v>0.7380490508927301</v>
      </c>
      <c r="AO116">
        <f t="shared" si="41"/>
        <v>3.4996758311530506E-2</v>
      </c>
      <c r="AP116">
        <f t="array" ref="AP116">AL116*IF($C116="GKP",10,IF($C116="DEF",6,IF($C116="MID",5,4)))</f>
        <v>2.9521962035709204</v>
      </c>
      <c r="AQ116">
        <f t="shared" si="42"/>
        <v>0.10499027493459151</v>
      </c>
      <c r="AR116">
        <f t="shared" si="43"/>
        <v>2</v>
      </c>
      <c r="AS116" s="2">
        <f>IF($H116=0,0,Player_Analysis!$AM116*$H116/90)</f>
        <v>0</v>
      </c>
      <c r="AT116">
        <f t="shared" si="44"/>
        <v>0.8587786259541984</v>
      </c>
      <c r="AU116" s="2">
        <f>0</f>
        <v>0</v>
      </c>
      <c r="AV116" s="2">
        <f>IF(INDEX(FPL_Raw_Data!K:K,MATCH(A116,FPL_Raw_Data!AA:AA,0))=0,"",INDEX(FPL_Raw_Data!P:P,MATCH(A116,FPL_Raw_Data!AA:AA,0))/INDEX(FPL_Raw_Data!K:K,MATCH(A116,FPL_Raw_Data!AA:AA,0))*90)</f>
        <v>0</v>
      </c>
      <c r="AW116" s="2">
        <f t="shared" si="45"/>
        <v>0</v>
      </c>
      <c r="AX116" s="2">
        <f>IFERROR(INDEX(TEAM_ANALYSIS!$H$2:$H$21,MATCH($B116,TEAM_ANALYSIS!$A$2:$A$21,0)),0)</f>
        <v>0.66666666666666663</v>
      </c>
      <c r="AY116" s="2">
        <f t="shared" si="46"/>
        <v>0</v>
      </c>
      <c r="AZ116" s="2">
        <f t="shared" si="47"/>
        <v>5.915965104459711</v>
      </c>
      <c r="BA116">
        <f t="shared" si="48"/>
        <v>0.7488563423366722</v>
      </c>
      <c r="BB116">
        <f>IFERROR(Player_Analysis!$Y116,1)</f>
        <v>1.1305622837370244</v>
      </c>
      <c r="BC116">
        <f t="shared" si="49"/>
        <v>6.688367019006515</v>
      </c>
      <c r="BD116">
        <f t="shared" si="50"/>
        <v>5.0086260620584504</v>
      </c>
      <c r="BE116">
        <f t="shared" si="51"/>
        <v>6.688367019006515</v>
      </c>
      <c r="BF116">
        <f t="shared" si="52"/>
        <v>27</v>
      </c>
      <c r="BG116">
        <f>IF($BE116="","",COUNTIFS($C$2:$C$596,$C116,$BE$2:$BE$596,"&gt;"&amp;$BE116)+COUNTIFS($C$2:$C116,$C116,$BE$2:$BE116,$BE116))</f>
        <v>2</v>
      </c>
    </row>
    <row r="117" spans="1:59" x14ac:dyDescent="0.25">
      <c r="A117" t="str">
        <f>Player_Analysis!A117</f>
        <v>Kaye Furo</v>
      </c>
      <c r="B117">
        <f>Player_Analysis!C117</f>
        <v>4</v>
      </c>
      <c r="C117" t="str">
        <f>Player_Analysis!B117</f>
        <v>FWD</v>
      </c>
      <c r="D117" s="13">
        <f>Player_Analysis!E117</f>
        <v>4.5</v>
      </c>
      <c r="E117">
        <f>Player_Analysis!I117</f>
        <v>0</v>
      </c>
      <c r="F117" s="8">
        <f>Player_Analysis!Z117</f>
        <v>0</v>
      </c>
      <c r="G117" s="17">
        <f t="shared" si="27"/>
        <v>0</v>
      </c>
      <c r="H117">
        <f t="shared" si="28"/>
        <v>0</v>
      </c>
      <c r="I117" s="8">
        <f>Player_Analysis!AF117</f>
        <v>0</v>
      </c>
      <c r="J117" s="8">
        <f>Player_Analysis!AG117</f>
        <v>0</v>
      </c>
      <c r="K117">
        <f>Player_Analysis!O117</f>
        <v>0</v>
      </c>
      <c r="L117">
        <f>Player_Analysis!P117</f>
        <v>0</v>
      </c>
      <c r="M117" t="str">
        <f t="shared" si="29"/>
        <v/>
      </c>
      <c r="N117" t="str">
        <f t="shared" si="30"/>
        <v/>
      </c>
      <c r="O117" s="2" t="str">
        <f>IF(E117=0,"",Player_Analysis!L117/E117*90)</f>
        <v/>
      </c>
      <c r="P117" t="str">
        <f>IF(E117=0,"",Player_Analysis!Q117/E117*90)</f>
        <v/>
      </c>
      <c r="Q117" t="str">
        <f>IF(E117=0,"",(Player_Analysis!AD117/E117)*90)</f>
        <v/>
      </c>
      <c r="R117" t="str">
        <f>IF(E117=0,"",Player_Analysis!AA117/E117*90)</f>
        <v/>
      </c>
      <c r="S117" t="str">
        <f t="array" ref="S117">IFERROR(INDEX('2023_24'!$O:$O,MATCH($A117,'2023_24'!$A:$A,0)),"")</f>
        <v/>
      </c>
      <c r="T117" t="str">
        <f>IFERROR(INDEX('2024_25'!$P:$P,MATCH($A117,'2024_25'!$A:$A,0)),"")</f>
        <v/>
      </c>
      <c r="U117">
        <f>IFERROR(INDEX('2025_26'!$P:$P,MATCH($A117,'2025_26'!$A:$A,0)),"")</f>
        <v>0</v>
      </c>
      <c r="V117" t="str">
        <f>IFERROR(INDEX('2023_24'!$P:$P,MATCH($A117,'2023_24'!$A:$A,0)),"")</f>
        <v/>
      </c>
      <c r="W117" t="str">
        <f>IFERROR(INDEX('2024_25'!$Q:$Q,MATCH($A117,'2024_25'!$A:$A,0)),"")</f>
        <v/>
      </c>
      <c r="X117">
        <f>IFERROR(INDEX('2025_26'!$Q:$Q,MATCH($A117,'2025_26'!$A:$A,0)),"")</f>
        <v>0</v>
      </c>
      <c r="Y117" t="str">
        <f>IFERROR(INDEX('2023_24'!$M:$M,MATCH($A117,'2023_24'!$A:$A,0))/INDEX('2023_24'!$G:$G,MATCH($A117,'2023_24'!$A:$A,0))*90,"")</f>
        <v/>
      </c>
      <c r="Z117" t="str">
        <f>IFERROR(INDEX('2024_25'!$M:$M,MATCH($A117,'2024_25'!$A:$A,0))/INDEX('2024_25'!$G:$G,MATCH($A117,'2024_25'!$A:$A,0))*90,"")</f>
        <v/>
      </c>
      <c r="AA117">
        <f>IFERROR(INDEX('2025_26'!$M:$M,MATCH($A117,'2025_26'!$A:$A,0))/INDEX('2025_26'!$G:$G,MATCH($A117,'2025_26'!$A:$A,0))*90,"")</f>
        <v>90</v>
      </c>
      <c r="AB117">
        <f>IFERROR(SUMPRODUCT(S117:U117,{0.2,0.3,0.5})/SUMPRODUCT(--(S117:U117&lt;&gt;""),{0.2,0.3,0.5}),"")</f>
        <v>0</v>
      </c>
      <c r="AC117">
        <f>IFERROR(SUMPRODUCT(V117:X117,{0.2,0.3,0.5})/SUMPRODUCT(--(V117:X117&lt;&gt;""),{0.2,0.3,0.5}),"")</f>
        <v>0</v>
      </c>
      <c r="AD117">
        <f>IFERROR(SUMPRODUCT(Y117:AA117,{0.2,0.3,0.5})/SUMPRODUCT((Y117:AA117&lt;&gt;"")*{0.2,0.3,0.5}),O117)</f>
        <v>90</v>
      </c>
      <c r="AE117">
        <f t="shared" si="31"/>
        <v>1</v>
      </c>
      <c r="AF117" t="str">
        <f t="shared" si="32"/>
        <v/>
      </c>
      <c r="AG117">
        <f t="shared" si="33"/>
        <v>0</v>
      </c>
      <c r="AH117">
        <f t="shared" si="34"/>
        <v>0</v>
      </c>
      <c r="AI117" s="2">
        <f t="shared" si="35"/>
        <v>90</v>
      </c>
      <c r="AJ117">
        <f t="shared" si="36"/>
        <v>0</v>
      </c>
      <c r="AK117" t="str">
        <f t="shared" si="37"/>
        <v>NO</v>
      </c>
      <c r="AL117">
        <f t="shared" si="38"/>
        <v>0</v>
      </c>
      <c r="AM117">
        <f t="shared" si="39"/>
        <v>0</v>
      </c>
      <c r="AN117">
        <f t="shared" si="40"/>
        <v>0</v>
      </c>
      <c r="AO117">
        <f t="shared" si="41"/>
        <v>0</v>
      </c>
      <c r="AP117">
        <f t="array" ref="AP117">AL117*IF($C117="GKP",10,IF($C117="DEF",6,IF($C117="MID",5,4)))</f>
        <v>0</v>
      </c>
      <c r="AQ117">
        <f t="shared" si="42"/>
        <v>0</v>
      </c>
      <c r="AR117">
        <f t="shared" si="43"/>
        <v>0</v>
      </c>
      <c r="AS117" s="2">
        <f>IF($H117=0,0,Player_Analysis!$AM117*$H117/90)</f>
        <v>0</v>
      </c>
      <c r="AT117">
        <f t="shared" si="44"/>
        <v>0</v>
      </c>
      <c r="AU117" s="2">
        <f>0</f>
        <v>0</v>
      </c>
      <c r="AV117" s="2" t="str">
        <f>IF(INDEX(FPL_Raw_Data!K:K,MATCH(A117,FPL_Raw_Data!AA:AA,0))=0,"",INDEX(FPL_Raw_Data!P:P,MATCH(A117,FPL_Raw_Data!AA:AA,0))/INDEX(FPL_Raw_Data!K:K,MATCH(A117,FPL_Raw_Data!AA:AA,0))*90)</f>
        <v/>
      </c>
      <c r="AW117" s="2">
        <f t="shared" si="45"/>
        <v>0</v>
      </c>
      <c r="AX117" s="2">
        <f>IFERROR(INDEX(TEAM_ANALYSIS!$H$2:$H$21,MATCH($B117,TEAM_ANALYSIS!$A$2:$A$21,0)),0)</f>
        <v>0.66666666666666663</v>
      </c>
      <c r="AY117" s="2">
        <f t="shared" si="46"/>
        <v>0</v>
      </c>
      <c r="AZ117" s="2">
        <f t="shared" si="47"/>
        <v>0</v>
      </c>
      <c r="BA117">
        <f t="shared" si="48"/>
        <v>0</v>
      </c>
      <c r="BB117">
        <f>IFERROR(Player_Analysis!$Y117,1)</f>
        <v>1.1305622837370244</v>
      </c>
      <c r="BC117">
        <f t="shared" si="49"/>
        <v>0</v>
      </c>
      <c r="BD117">
        <f t="shared" si="50"/>
        <v>0</v>
      </c>
      <c r="BE117">
        <f t="shared" si="51"/>
        <v>0</v>
      </c>
      <c r="BF117">
        <f t="shared" si="52"/>
        <v>253</v>
      </c>
      <c r="BG117">
        <f>IF($BE117="","",COUNTIFS($C$2:$C$596,$C117,$BE$2:$BE$596,"&gt;"&amp;$BE117)+COUNTIFS($C$2:$C117,$C117,$BE$2:$BE117,$BE117))</f>
        <v>34</v>
      </c>
    </row>
    <row r="118" spans="1:59" x14ac:dyDescent="0.25">
      <c r="A118" t="str">
        <f>Player_Analysis!A118</f>
        <v>Callum Wilson</v>
      </c>
      <c r="B118">
        <f>Player_Analysis!C118</f>
        <v>4</v>
      </c>
      <c r="C118" t="str">
        <f>Player_Analysis!B118</f>
        <v>FWD</v>
      </c>
      <c r="D118" s="13">
        <f>Player_Analysis!E118</f>
        <v>5.5</v>
      </c>
      <c r="E118">
        <f>Player_Analysis!I118</f>
        <v>13</v>
      </c>
      <c r="F118" s="8">
        <f>Player_Analysis!Z118</f>
        <v>0</v>
      </c>
      <c r="G118" s="17">
        <f t="shared" si="27"/>
        <v>0</v>
      </c>
      <c r="H118">
        <f t="shared" si="28"/>
        <v>0</v>
      </c>
      <c r="I118" s="8">
        <f>Player_Analysis!AF118</f>
        <v>0</v>
      </c>
      <c r="J118" s="8">
        <f>Player_Analysis!AG118</f>
        <v>0</v>
      </c>
      <c r="K118">
        <f>Player_Analysis!O118</f>
        <v>7.0000000000000007E-2</v>
      </c>
      <c r="L118">
        <f>Player_Analysis!P118</f>
        <v>0.04</v>
      </c>
      <c r="M118">
        <f t="shared" si="29"/>
        <v>0.48461538461538467</v>
      </c>
      <c r="N118">
        <f t="shared" si="30"/>
        <v>0.27692307692307694</v>
      </c>
      <c r="O118" s="2">
        <f>IF(E118=0,"",Player_Analysis!L118/E118*90)</f>
        <v>20.76923076923077</v>
      </c>
      <c r="P118">
        <f>IF(E118=0,"",Player_Analysis!Q118/E118*90)</f>
        <v>0.7615384615384615</v>
      </c>
      <c r="Q118">
        <f>IF(E118=0,"",(Player_Analysis!AD118/E118)*90)</f>
        <v>62.307692307692307</v>
      </c>
      <c r="R118">
        <f>IF(E118=0,"",Player_Analysis!AA118/E118*90)</f>
        <v>13.846153846153847</v>
      </c>
      <c r="S118">
        <f t="array" ref="S118">IFERROR(INDEX('2023_24'!$O:$O,MATCH($A118,'2023_24'!$A:$A,0)),"")</f>
        <v>0.82201834862385326</v>
      </c>
      <c r="T118">
        <f>IFERROR(INDEX('2024_25'!$P:$P,MATCH($A118,'2024_25'!$A:$A,0)),"")</f>
        <v>9.1267605633802804E-2</v>
      </c>
      <c r="U118">
        <f>IFERROR(INDEX('2025_26'!$P:$P,MATCH($A118,'2025_26'!$A:$A,0)),"")</f>
        <v>0.5542949756888168</v>
      </c>
      <c r="V118">
        <f>IFERROR(INDEX('2023_24'!$P:$P,MATCH($A118,'2023_24'!$A:$A,0)),"")</f>
        <v>4.9541284403669728E-2</v>
      </c>
      <c r="W118">
        <f>IFERROR(INDEX('2024_25'!$Q:$Q,MATCH($A118,'2024_25'!$A:$A,0)),"")</f>
        <v>2.2816901408450701E-2</v>
      </c>
      <c r="X118">
        <f>IFERROR(INDEX('2025_26'!$Q:$Q,MATCH($A118,'2025_26'!$A:$A,0)),"")</f>
        <v>3.9384116693679097E-2</v>
      </c>
      <c r="Y118">
        <f>IFERROR(INDEX('2023_24'!$M:$M,MATCH($A118,'2023_24'!$A:$A,0))/INDEX('2023_24'!$G:$G,MATCH($A118,'2023_24'!$A:$A,0))*90,"")</f>
        <v>6.330275229357798</v>
      </c>
      <c r="Z118">
        <f>IFERROR(INDEX('2024_25'!$M:$M,MATCH($A118,'2024_25'!$A:$A,0))/INDEX('2024_25'!$G:$G,MATCH($A118,'2024_25'!$A:$A,0))*90,"")</f>
        <v>4.816901408450704</v>
      </c>
      <c r="AA118">
        <f>IFERROR(INDEX('2025_26'!$M:$M,MATCH($A118,'2025_26'!$A:$A,0))/INDEX('2025_26'!$G:$G,MATCH($A118,'2025_26'!$A:$A,0))*90,"")</f>
        <v>5.8346839546191243</v>
      </c>
      <c r="AB118">
        <f>IFERROR(SUMPRODUCT(S118:U118,{0.2,0.3,0.5})/SUMPRODUCT(--(S118:U118&lt;&gt;""),{0.2,0.3,0.5}),"")</f>
        <v>0.4689314392593199</v>
      </c>
      <c r="AC118">
        <f>IFERROR(SUMPRODUCT(V118:X118,{0.2,0.3,0.5})/SUMPRODUCT(--(V118:X118&lt;&gt;""),{0.2,0.3,0.5}),"")</f>
        <v>3.6445385650108707E-2</v>
      </c>
      <c r="AD118">
        <f>IFERROR(SUMPRODUCT(Y118:AA118,{0.2,0.3,0.5})/SUMPRODUCT((Y118:AA118&lt;&gt;"")*{0.2,0.3,0.5}),O118)</f>
        <v>5.6284674457163328</v>
      </c>
      <c r="AE118">
        <f t="shared" si="31"/>
        <v>3</v>
      </c>
      <c r="AF118" t="str">
        <f t="shared" si="32"/>
        <v/>
      </c>
      <c r="AG118">
        <f t="shared" si="33"/>
        <v>0.46961107689141607</v>
      </c>
      <c r="AH118">
        <f t="shared" si="34"/>
        <v>4.6866085605270669E-2</v>
      </c>
      <c r="AI118" s="2">
        <f t="shared" si="35"/>
        <v>6.2845671897352924</v>
      </c>
      <c r="AJ118">
        <f t="shared" si="36"/>
        <v>4.3333333333333335E-2</v>
      </c>
      <c r="AK118" t="str">
        <f t="shared" si="37"/>
        <v>NO</v>
      </c>
      <c r="AL118">
        <f t="shared" si="38"/>
        <v>0</v>
      </c>
      <c r="AM118">
        <f t="shared" si="39"/>
        <v>0</v>
      </c>
      <c r="AN118">
        <f t="shared" si="40"/>
        <v>0</v>
      </c>
      <c r="AO118">
        <f t="shared" si="41"/>
        <v>0</v>
      </c>
      <c r="AP118">
        <f t="array" ref="AP118">AL118*IF($C118="GKP",10,IF($C118="DEF",6,IF($C118="MID",5,4)))</f>
        <v>0</v>
      </c>
      <c r="AQ118">
        <f t="shared" si="42"/>
        <v>0</v>
      </c>
      <c r="AR118">
        <f t="shared" si="43"/>
        <v>0</v>
      </c>
      <c r="AS118" s="2">
        <f>IF($H118=0,0,Player_Analysis!$AM118*$H118/90)</f>
        <v>0</v>
      </c>
      <c r="AT118">
        <f t="shared" si="44"/>
        <v>0</v>
      </c>
      <c r="AU118" s="2">
        <f>0</f>
        <v>0</v>
      </c>
      <c r="AV118" s="2">
        <f>IF(INDEX(FPL_Raw_Data!K:K,MATCH(A118,FPL_Raw_Data!AA:AA,0))=0,"",INDEX(FPL_Raw_Data!P:P,MATCH(A118,FPL_Raw_Data!AA:AA,0))/INDEX(FPL_Raw_Data!K:K,MATCH(A118,FPL_Raw_Data!AA:AA,0))*90)</f>
        <v>0</v>
      </c>
      <c r="AW118" s="2">
        <f t="shared" si="45"/>
        <v>0</v>
      </c>
      <c r="AX118" s="2">
        <f>IFERROR(INDEX(TEAM_ANALYSIS!$H$2:$H$21,MATCH($B118,TEAM_ANALYSIS!$A$2:$A$21,0)),0)</f>
        <v>0.66666666666666663</v>
      </c>
      <c r="AY118" s="2">
        <f t="shared" si="46"/>
        <v>0</v>
      </c>
      <c r="AZ118" s="2">
        <f t="shared" si="47"/>
        <v>0</v>
      </c>
      <c r="BA118">
        <f t="shared" si="48"/>
        <v>0</v>
      </c>
      <c r="BB118">
        <f>IFERROR(Player_Analysis!$Y118,1)</f>
        <v>1.1305622837370244</v>
      </c>
      <c r="BC118">
        <f t="shared" si="49"/>
        <v>0</v>
      </c>
      <c r="BD118">
        <f t="shared" si="50"/>
        <v>0</v>
      </c>
      <c r="BE118">
        <f t="shared" si="51"/>
        <v>0</v>
      </c>
      <c r="BF118">
        <f t="shared" si="52"/>
        <v>253</v>
      </c>
      <c r="BG118">
        <f>IF($BE118="","",COUNTIFS($C$2:$C$596,$C118,$BE$2:$BE$596,"&gt;"&amp;$BE118)+COUNTIFS($C$2:$C118,$C118,$BE$2:$BE118,$BE118))</f>
        <v>35</v>
      </c>
    </row>
    <row r="119" spans="1:59" x14ac:dyDescent="0.25">
      <c r="A119" t="str">
        <f>Player_Analysis!A119</f>
        <v>Mamadou Sangaré</v>
      </c>
      <c r="B119">
        <f>Player_Analysis!C119</f>
        <v>4</v>
      </c>
      <c r="C119" t="str">
        <f>Player_Analysis!B119</f>
        <v>MID</v>
      </c>
      <c r="D119" s="13">
        <f>Player_Analysis!E119</f>
        <v>5.7</v>
      </c>
      <c r="E119">
        <f>Player_Analysis!I119</f>
        <v>210</v>
      </c>
      <c r="F119" s="8">
        <f>Player_Analysis!Z119</f>
        <v>3</v>
      </c>
      <c r="G119" s="17">
        <f t="shared" si="27"/>
        <v>1</v>
      </c>
      <c r="H119">
        <f t="shared" si="28"/>
        <v>90</v>
      </c>
      <c r="I119" s="8">
        <f>Player_Analysis!AF119</f>
        <v>0</v>
      </c>
      <c r="J119" s="8">
        <f>Player_Analysis!AG119</f>
        <v>2</v>
      </c>
      <c r="K119">
        <f>Player_Analysis!O119</f>
        <v>0.41</v>
      </c>
      <c r="L119">
        <f>Player_Analysis!P119</f>
        <v>0.37</v>
      </c>
      <c r="M119">
        <f t="shared" si="29"/>
        <v>0.17571428571428568</v>
      </c>
      <c r="N119">
        <f t="shared" si="30"/>
        <v>0.15857142857142856</v>
      </c>
      <c r="O119" s="2">
        <f>IF(E119=0,"",Player_Analysis!L119/E119*90)</f>
        <v>7.7142857142857144</v>
      </c>
      <c r="P119">
        <f>IF(E119=0,"",Player_Analysis!Q119/E119*90)</f>
        <v>0.3342857142857143</v>
      </c>
      <c r="Q119">
        <f>IF(E119=0,"",(Player_Analysis!AD119/E119)*90)</f>
        <v>24.428571428571427</v>
      </c>
      <c r="R119">
        <f>IF(E119=0,"",Player_Analysis!AA119/E119*90)</f>
        <v>13.714285714285715</v>
      </c>
      <c r="S119" t="str">
        <f t="array" ref="S119">IFERROR(INDEX('2023_24'!$O:$O,MATCH($A119,'2023_24'!$A:$A,0)),"")</f>
        <v/>
      </c>
      <c r="T119" t="str">
        <f>IFERROR(INDEX('2024_25'!$P:$P,MATCH($A119,'2024_25'!$A:$A,0)),"")</f>
        <v/>
      </c>
      <c r="U119" t="str">
        <f>IFERROR(INDEX('2025_26'!$P:$P,MATCH($A119,'2025_26'!$A:$A,0)),"")</f>
        <v/>
      </c>
      <c r="V119" t="str">
        <f>IFERROR(INDEX('2023_24'!$P:$P,MATCH($A119,'2023_24'!$A:$A,0)),"")</f>
        <v/>
      </c>
      <c r="W119" t="str">
        <f>IFERROR(INDEX('2024_25'!$Q:$Q,MATCH($A119,'2024_25'!$A:$A,0)),"")</f>
        <v/>
      </c>
      <c r="X119" t="str">
        <f>IFERROR(INDEX('2025_26'!$Q:$Q,MATCH($A119,'2025_26'!$A:$A,0)),"")</f>
        <v/>
      </c>
      <c r="Y119" t="str">
        <f>IFERROR(INDEX('2023_24'!$M:$M,MATCH($A119,'2023_24'!$A:$A,0))/INDEX('2023_24'!$G:$G,MATCH($A119,'2023_24'!$A:$A,0))*90,"")</f>
        <v/>
      </c>
      <c r="Z119" t="str">
        <f>IFERROR(INDEX('2024_25'!$M:$M,MATCH($A119,'2024_25'!$A:$A,0))/INDEX('2024_25'!$G:$G,MATCH($A119,'2024_25'!$A:$A,0))*90,"")</f>
        <v/>
      </c>
      <c r="AA119" t="str">
        <f>IFERROR(INDEX('2025_26'!$M:$M,MATCH($A119,'2025_26'!$A:$A,0))/INDEX('2025_26'!$G:$G,MATCH($A119,'2025_26'!$A:$A,0))*90,"")</f>
        <v/>
      </c>
      <c r="AB119" t="str">
        <f>IFERROR(SUMPRODUCT(S119:U119,{0.2,0.3,0.5})/SUMPRODUCT(--(S119:U119&lt;&gt;""),{0.2,0.3,0.5}),"")</f>
        <v/>
      </c>
      <c r="AC119" t="str">
        <f>IFERROR(SUMPRODUCT(V119:X119,{0.2,0.3,0.5})/SUMPRODUCT(--(V119:X119&lt;&gt;""),{0.2,0.3,0.5}),"")</f>
        <v/>
      </c>
      <c r="AD119">
        <f>IFERROR(SUMPRODUCT(Y119:AA119,{0.2,0.3,0.5})/SUMPRODUCT((Y119:AA119&lt;&gt;"")*{0.2,0.3,0.5}),O119)</f>
        <v>7.7142857142857144</v>
      </c>
      <c r="AE119">
        <f t="shared" si="31"/>
        <v>0</v>
      </c>
      <c r="AF119">
        <f t="shared" si="32"/>
        <v>70</v>
      </c>
      <c r="AG119">
        <f t="shared" si="33"/>
        <v>0.17571428571428568</v>
      </c>
      <c r="AH119">
        <f t="shared" si="34"/>
        <v>0.15857142857142856</v>
      </c>
      <c r="AI119" s="2">
        <f t="shared" si="35"/>
        <v>7.7142857142857135</v>
      </c>
      <c r="AJ119">
        <f t="shared" si="36"/>
        <v>0.7</v>
      </c>
      <c r="AK119" t="str">
        <f t="shared" si="37"/>
        <v>YES</v>
      </c>
      <c r="AL119">
        <f t="shared" si="38"/>
        <v>0.17571428571428568</v>
      </c>
      <c r="AM119">
        <f t="shared" si="39"/>
        <v>0.15857142857142856</v>
      </c>
      <c r="AN119">
        <f t="shared" si="40"/>
        <v>0.17571428571428568</v>
      </c>
      <c r="AO119">
        <f t="shared" si="41"/>
        <v>0.15857142857142856</v>
      </c>
      <c r="AP119">
        <f t="array" ref="AP119">AL119*IF($C119="GKP",10,IF($C119="DEF",6,IF($C119="MID",5,4)))</f>
        <v>0.87857142857142845</v>
      </c>
      <c r="AQ119">
        <f t="shared" si="42"/>
        <v>0.47571428571428565</v>
      </c>
      <c r="AR119">
        <f t="shared" si="43"/>
        <v>2</v>
      </c>
      <c r="AS119" s="2">
        <f>IF($H119=0,0,Player_Analysis!$AM119*$H119/90)</f>
        <v>0.33333333333333331</v>
      </c>
      <c r="AT119">
        <f t="shared" si="44"/>
        <v>2.285714285714286</v>
      </c>
      <c r="AU119" s="2">
        <f>0</f>
        <v>0</v>
      </c>
      <c r="AV119" s="2">
        <f>IF(INDEX(FPL_Raw_Data!K:K,MATCH(A119,FPL_Raw_Data!AA:AA,0))=0,"",INDEX(FPL_Raw_Data!P:P,MATCH(A119,FPL_Raw_Data!AA:AA,0))/INDEX(FPL_Raw_Data!K:K,MATCH(A119,FPL_Raw_Data!AA:AA,0))*90)</f>
        <v>0</v>
      </c>
      <c r="AW119" s="2">
        <f t="shared" si="45"/>
        <v>0</v>
      </c>
      <c r="AX119" s="2">
        <f>IFERROR(INDEX(TEAM_ANALYSIS!$H$2:$H$21,MATCH($B119,TEAM_ANALYSIS!$A$2:$A$21,0)),0)</f>
        <v>0.66666666666666663</v>
      </c>
      <c r="AY119" s="2">
        <f t="shared" si="46"/>
        <v>0</v>
      </c>
      <c r="AZ119" s="2">
        <f t="shared" si="47"/>
        <v>5.9733333333333336</v>
      </c>
      <c r="BA119">
        <f t="shared" si="48"/>
        <v>1.0479532163742691</v>
      </c>
      <c r="BB119">
        <f>IFERROR(Player_Analysis!$Y119,1)</f>
        <v>1.1305622837370244</v>
      </c>
      <c r="BC119">
        <f t="shared" si="49"/>
        <v>6.753225374855826</v>
      </c>
      <c r="BD119">
        <f t="shared" si="50"/>
        <v>7.0770642524804916</v>
      </c>
      <c r="BE119">
        <f t="shared" si="51"/>
        <v>6.753225374855826</v>
      </c>
      <c r="BF119">
        <f t="shared" si="52"/>
        <v>25</v>
      </c>
      <c r="BG119">
        <f>IF($BE119="","",COUNTIFS($C$2:$C$596,$C119,$BE$2:$BE$596,"&gt;"&amp;$BE119)+COUNTIFS($C$2:$C119,$C119,$BE$2:$BE119,$BE119))</f>
        <v>12</v>
      </c>
    </row>
    <row r="120" spans="1:59" x14ac:dyDescent="0.25">
      <c r="A120" t="str">
        <f>Player_Analysis!A120</f>
        <v>El Hadji Malick Diouf</v>
      </c>
      <c r="B120">
        <f>Player_Analysis!C120</f>
        <v>4</v>
      </c>
      <c r="C120" t="str">
        <f>Player_Analysis!B120</f>
        <v>DEF</v>
      </c>
      <c r="D120" s="13">
        <f>Player_Analysis!E120</f>
        <v>4.5</v>
      </c>
      <c r="E120">
        <f>Player_Analysis!I120</f>
        <v>0</v>
      </c>
      <c r="F120" s="8">
        <f>Player_Analysis!Z120</f>
        <v>0</v>
      </c>
      <c r="G120" s="17">
        <f t="shared" si="27"/>
        <v>0</v>
      </c>
      <c r="H120">
        <f t="shared" si="28"/>
        <v>0</v>
      </c>
      <c r="I120" s="8">
        <f>Player_Analysis!AF120</f>
        <v>0</v>
      </c>
      <c r="J120" s="8">
        <f>Player_Analysis!AG120</f>
        <v>0</v>
      </c>
      <c r="K120">
        <f>Player_Analysis!O120</f>
        <v>0</v>
      </c>
      <c r="L120">
        <f>Player_Analysis!P120</f>
        <v>0</v>
      </c>
      <c r="M120" t="str">
        <f t="shared" si="29"/>
        <v/>
      </c>
      <c r="N120" t="str">
        <f t="shared" si="30"/>
        <v/>
      </c>
      <c r="O120" s="2" t="str">
        <f>IF(E120=0,"",Player_Analysis!L120/E120*90)</f>
        <v/>
      </c>
      <c r="P120" t="str">
        <f>IF(E120=0,"",Player_Analysis!Q120/E120*90)</f>
        <v/>
      </c>
      <c r="Q120" t="str">
        <f>IF(E120=0,"",(Player_Analysis!AD120/E120)*90)</f>
        <v/>
      </c>
      <c r="R120" t="str">
        <f>IF(E120=0,"",Player_Analysis!AA120/E120*90)</f>
        <v/>
      </c>
      <c r="S120" t="str">
        <f t="array" ref="S120">IFERROR(INDEX('2023_24'!$O:$O,MATCH($A120,'2023_24'!$A:$A,0)),"")</f>
        <v/>
      </c>
      <c r="T120" t="str">
        <f>IFERROR(INDEX('2024_25'!$P:$P,MATCH($A120,'2024_25'!$A:$A,0)),"")</f>
        <v/>
      </c>
      <c r="U120">
        <f>IFERROR(INDEX('2025_26'!$P:$P,MATCH($A120,'2025_26'!$A:$A,0)),"")</f>
        <v>1.8957871396895785E-2</v>
      </c>
      <c r="V120" t="str">
        <f>IFERROR(INDEX('2023_24'!$P:$P,MATCH($A120,'2023_24'!$A:$A,0)),"")</f>
        <v/>
      </c>
      <c r="W120" t="str">
        <f>IFERROR(INDEX('2024_25'!$Q:$Q,MATCH($A120,'2024_25'!$A:$A,0)),"")</f>
        <v/>
      </c>
      <c r="X120">
        <f>IFERROR(INDEX('2025_26'!$Q:$Q,MATCH($A120,'2025_26'!$A:$A,0)),"")</f>
        <v>8.3481152993348101E-2</v>
      </c>
      <c r="Y120" t="str">
        <f>IFERROR(INDEX('2023_24'!$M:$M,MATCH($A120,'2023_24'!$A:$A,0))/INDEX('2023_24'!$G:$G,MATCH($A120,'2023_24'!$A:$A,0))*90,"")</f>
        <v/>
      </c>
      <c r="Z120" t="str">
        <f>IFERROR(INDEX('2024_25'!$M:$M,MATCH($A120,'2024_25'!$A:$A,0))/INDEX('2024_25'!$G:$G,MATCH($A120,'2024_25'!$A:$A,0))*90,"")</f>
        <v/>
      </c>
      <c r="AA120">
        <f>IFERROR(INDEX('2025_26'!$M:$M,MATCH($A120,'2025_26'!$A:$A,0))/INDEX('2025_26'!$G:$G,MATCH($A120,'2025_26'!$A:$A,0))*90,"")</f>
        <v>3.4589800443458985</v>
      </c>
      <c r="AB120">
        <f>IFERROR(SUMPRODUCT(S120:U120,{0.2,0.3,0.5})/SUMPRODUCT(--(S120:U120&lt;&gt;""),{0.2,0.3,0.5}),"")</f>
        <v>1.8957871396895785E-2</v>
      </c>
      <c r="AC120">
        <f>IFERROR(SUMPRODUCT(V120:X120,{0.2,0.3,0.5})/SUMPRODUCT(--(V120:X120&lt;&gt;""),{0.2,0.3,0.5}),"")</f>
        <v>8.3481152993348101E-2</v>
      </c>
      <c r="AD120">
        <f>IFERROR(SUMPRODUCT(Y120:AA120,{0.2,0.3,0.5})/SUMPRODUCT((Y120:AA120&lt;&gt;"")*{0.2,0.3,0.5}),O120)</f>
        <v>3.4589800443458985</v>
      </c>
      <c r="AE120">
        <f t="shared" si="31"/>
        <v>1</v>
      </c>
      <c r="AF120" t="str">
        <f t="shared" si="32"/>
        <v/>
      </c>
      <c r="AG120">
        <f t="shared" si="33"/>
        <v>1.8957871396895785E-2</v>
      </c>
      <c r="AH120">
        <f t="shared" si="34"/>
        <v>8.3481152993348101E-2</v>
      </c>
      <c r="AI120" s="2">
        <f t="shared" si="35"/>
        <v>3.4589800443458985</v>
      </c>
      <c r="AJ120">
        <f t="shared" si="36"/>
        <v>0</v>
      </c>
      <c r="AK120" t="str">
        <f t="shared" si="37"/>
        <v>NO</v>
      </c>
      <c r="AL120">
        <f t="shared" si="38"/>
        <v>0</v>
      </c>
      <c r="AM120">
        <f t="shared" si="39"/>
        <v>0</v>
      </c>
      <c r="AN120">
        <f t="shared" si="40"/>
        <v>0</v>
      </c>
      <c r="AO120">
        <f t="shared" si="41"/>
        <v>0</v>
      </c>
      <c r="AP120">
        <f t="array" ref="AP120">AL120*IF($C120="GKP",10,IF($C120="DEF",6,IF($C120="MID",5,4)))</f>
        <v>0</v>
      </c>
      <c r="AQ120">
        <f t="shared" si="42"/>
        <v>0</v>
      </c>
      <c r="AR120">
        <f t="shared" si="43"/>
        <v>0</v>
      </c>
      <c r="AS120" s="2">
        <f>IF($H120=0,0,Player_Analysis!$AM120*$H120/90)</f>
        <v>0</v>
      </c>
      <c r="AT120">
        <f t="shared" si="44"/>
        <v>0</v>
      </c>
      <c r="AU120" s="2">
        <f>0</f>
        <v>0</v>
      </c>
      <c r="AV120" s="2" t="str">
        <f>IF(INDEX(FPL_Raw_Data!K:K,MATCH(A120,FPL_Raw_Data!AA:AA,0))=0,"",INDEX(FPL_Raw_Data!P:P,MATCH(A120,FPL_Raw_Data!AA:AA,0))/INDEX(FPL_Raw_Data!K:K,MATCH(A120,FPL_Raw_Data!AA:AA,0))*90)</f>
        <v/>
      </c>
      <c r="AW120" s="2">
        <f t="shared" si="45"/>
        <v>0</v>
      </c>
      <c r="AX120" s="2">
        <f>IFERROR(INDEX(TEAM_ANALYSIS!$H$2:$H$21,MATCH($B120,TEAM_ANALYSIS!$A$2:$A$21,0)),0)</f>
        <v>0.66666666666666663</v>
      </c>
      <c r="AY120" s="2">
        <f t="shared" si="46"/>
        <v>-0.33333333333333331</v>
      </c>
      <c r="AZ120" s="2">
        <f t="shared" si="47"/>
        <v>-0.33333333333333331</v>
      </c>
      <c r="BA120">
        <f t="shared" si="48"/>
        <v>-7.407407407407407E-2</v>
      </c>
      <c r="BB120">
        <f>IFERROR(Player_Analysis!$Y120,1)</f>
        <v>1.1250890990542559</v>
      </c>
      <c r="BC120">
        <f t="shared" si="49"/>
        <v>-0.37502969968475197</v>
      </c>
      <c r="BD120">
        <f t="shared" si="50"/>
        <v>2.7779977754426071E-2</v>
      </c>
      <c r="BE120">
        <f t="shared" si="51"/>
        <v>-0.37502969968475197</v>
      </c>
      <c r="BF120">
        <f t="shared" si="52"/>
        <v>511</v>
      </c>
      <c r="BG120">
        <f>IF($BE120="","",COUNTIFS($C$2:$C$596,$C120,$BE$2:$BE$596,"&gt;"&amp;$BE120)+COUNTIFS($C$2:$C120,$C120,$BE$2:$BE120,$BE120))</f>
        <v>113</v>
      </c>
    </row>
    <row r="121" spans="1:59" x14ac:dyDescent="0.25">
      <c r="A121" t="str">
        <f>Player_Analysis!A121</f>
        <v>Bart Verbruggen</v>
      </c>
      <c r="B121">
        <f>Player_Analysis!C121</f>
        <v>5</v>
      </c>
      <c r="C121" t="str">
        <f>Player_Analysis!B121</f>
        <v>GK</v>
      </c>
      <c r="D121" s="13">
        <f>Player_Analysis!E121</f>
        <v>4.5</v>
      </c>
      <c r="E121">
        <f>Player_Analysis!I121</f>
        <v>270</v>
      </c>
      <c r="F121" s="8">
        <f>Player_Analysis!Z121</f>
        <v>3</v>
      </c>
      <c r="G121" s="17">
        <f t="shared" si="27"/>
        <v>1</v>
      </c>
      <c r="H121">
        <f t="shared" si="28"/>
        <v>90</v>
      </c>
      <c r="I121" s="8">
        <f>Player_Analysis!AF121</f>
        <v>0</v>
      </c>
      <c r="J121" s="8">
        <f>Player_Analysis!AG121</f>
        <v>0</v>
      </c>
      <c r="K121">
        <f>Player_Analysis!O121</f>
        <v>0</v>
      </c>
      <c r="L121">
        <f>Player_Analysis!P121</f>
        <v>0.2</v>
      </c>
      <c r="M121">
        <f t="shared" si="29"/>
        <v>0</v>
      </c>
      <c r="N121">
        <f t="shared" si="30"/>
        <v>6.666666666666668E-2</v>
      </c>
      <c r="O121" s="2">
        <f>IF(E121=0,"",Player_Analysis!L121/E121*90)</f>
        <v>3</v>
      </c>
      <c r="P121">
        <f>IF(E121=0,"",Player_Analysis!Q121/E121*90)</f>
        <v>6.666666666666668E-2</v>
      </c>
      <c r="Q121">
        <f>IF(E121=0,"",(Player_Analysis!AD121/E121)*90)</f>
        <v>13.666666666666666</v>
      </c>
      <c r="R121">
        <f>IF(E121=0,"",Player_Analysis!AA121/E121*90)</f>
        <v>0</v>
      </c>
      <c r="S121">
        <f t="array" ref="S121">IFERROR(INDEX('2023_24'!$O:$O,MATCH($A121,'2023_24'!$A:$A,0)),"")</f>
        <v>0</v>
      </c>
      <c r="T121">
        <f>IFERROR(INDEX('2024_25'!$P:$P,MATCH($A121,'2024_25'!$A:$A,0)),"")</f>
        <v>0</v>
      </c>
      <c r="U121">
        <f>IFERROR(INDEX('2025_26'!$P:$P,MATCH($A121,'2025_26'!$A:$A,0)),"")</f>
        <v>0</v>
      </c>
      <c r="V121">
        <f>IFERROR(INDEX('2023_24'!$P:$P,MATCH($A121,'2023_24'!$A:$A,0)),"")</f>
        <v>0</v>
      </c>
      <c r="W121">
        <f>IFERROR(INDEX('2024_25'!$Q:$Q,MATCH($A121,'2024_25'!$A:$A,0)),"")</f>
        <v>2.7777777777777778E-4</v>
      </c>
      <c r="X121">
        <f>IFERROR(INDEX('2025_26'!$Q:$Q,MATCH($A121,'2025_26'!$A:$A,0)),"")</f>
        <v>1.5789473684210526E-3</v>
      </c>
      <c r="Y121">
        <f>IFERROR(INDEX('2023_24'!$M:$M,MATCH($A121,'2023_24'!$A:$A,0))/INDEX('2023_24'!$G:$G,MATCH($A121,'2023_24'!$A:$A,0))*90,"")</f>
        <v>3.2380952380952381</v>
      </c>
      <c r="Z121">
        <f>IFERROR(INDEX('2024_25'!$M:$M,MATCH($A121,'2024_25'!$A:$A,0))/INDEX('2024_25'!$G:$G,MATCH($A121,'2024_25'!$A:$A,0))*90,"")</f>
        <v>2.8611111111111112</v>
      </c>
      <c r="AA121">
        <f>IFERROR(INDEX('2025_26'!$M:$M,MATCH($A121,'2025_26'!$A:$A,0))/INDEX('2025_26'!$G:$G,MATCH($A121,'2025_26'!$A:$A,0))*90,"")</f>
        <v>3.4210526315789473</v>
      </c>
      <c r="AB121">
        <f>IFERROR(SUMPRODUCT(S121:U121,{0.2,0.3,0.5})/SUMPRODUCT(--(S121:U121&lt;&gt;""),{0.2,0.3,0.5}),"")</f>
        <v>0</v>
      </c>
      <c r="AC121">
        <f>IFERROR(SUMPRODUCT(V121:X121,{0.2,0.3,0.5})/SUMPRODUCT(--(V121:X121&lt;&gt;""),{0.2,0.3,0.5}),"")</f>
        <v>8.7280701754385967E-4</v>
      </c>
      <c r="AD121">
        <f>IFERROR(SUMPRODUCT(Y121:AA121,{0.2,0.3,0.5})/SUMPRODUCT((Y121:AA121&lt;&gt;"")*{0.2,0.3,0.5}),O121)</f>
        <v>3.2164786967418548</v>
      </c>
      <c r="AE121">
        <f t="shared" si="31"/>
        <v>3</v>
      </c>
      <c r="AF121">
        <f t="shared" si="32"/>
        <v>90</v>
      </c>
      <c r="AG121">
        <f t="shared" si="33"/>
        <v>0</v>
      </c>
      <c r="AH121">
        <f t="shared" si="34"/>
        <v>6.0087280701754398E-2</v>
      </c>
      <c r="AI121" s="2">
        <f t="shared" si="35"/>
        <v>3.0216478696741857</v>
      </c>
      <c r="AJ121">
        <f t="shared" si="36"/>
        <v>0.9</v>
      </c>
      <c r="AK121" t="str">
        <f t="shared" si="37"/>
        <v>NO</v>
      </c>
      <c r="AL121">
        <f t="shared" si="38"/>
        <v>0</v>
      </c>
      <c r="AM121">
        <f t="shared" si="39"/>
        <v>6.0087280701754398E-2</v>
      </c>
      <c r="AN121">
        <f t="shared" si="40"/>
        <v>0</v>
      </c>
      <c r="AO121">
        <f t="shared" si="41"/>
        <v>6.0087280701754398E-2</v>
      </c>
      <c r="AP121">
        <f t="array" ref="AP121">AL121*IF($C121="GKP",10,IF($C121="DEF",6,IF($C121="MID",5,4)))</f>
        <v>0</v>
      </c>
      <c r="AQ121">
        <f t="shared" si="42"/>
        <v>0.18026184210526319</v>
      </c>
      <c r="AR121">
        <f t="shared" si="43"/>
        <v>2</v>
      </c>
      <c r="AS121" s="2">
        <f>IF($H121=0,0,Player_Analysis!$AM121*$H121/90)</f>
        <v>1.3333333333333333</v>
      </c>
      <c r="AT121">
        <f t="shared" si="44"/>
        <v>0</v>
      </c>
      <c r="AU121" s="2">
        <f>0</f>
        <v>0</v>
      </c>
      <c r="AV121" s="2">
        <f>IF(INDEX(FPL_Raw_Data!K:K,MATCH(A121,FPL_Raw_Data!AA:AA,0))=0,"",INDEX(FPL_Raw_Data!P:P,MATCH(A121,FPL_Raw_Data!AA:AA,0))/INDEX(FPL_Raw_Data!K:K,MATCH(A121,FPL_Raw_Data!AA:AA,0))*90)</f>
        <v>1.3333333333333335</v>
      </c>
      <c r="AW121" s="2">
        <f t="shared" si="45"/>
        <v>0.44444444444444448</v>
      </c>
      <c r="AX121" s="2">
        <f>IFERROR(INDEX(TEAM_ANALYSIS!$H$2:$H$21,MATCH($B121,TEAM_ANALYSIS!$A$2:$A$21,0)),0)</f>
        <v>1.6666666666666667</v>
      </c>
      <c r="AY121" s="2">
        <f t="shared" si="46"/>
        <v>0</v>
      </c>
      <c r="AZ121" s="2">
        <f t="shared" si="47"/>
        <v>3.9580396198830412</v>
      </c>
      <c r="BA121">
        <f t="shared" si="48"/>
        <v>0.87956435997400917</v>
      </c>
      <c r="BB121">
        <f>IFERROR(Player_Analysis!$Y121,1)</f>
        <v>0.99748538507159212</v>
      </c>
      <c r="BC121">
        <f t="shared" si="49"/>
        <v>3.9480866743676533</v>
      </c>
      <c r="BD121">
        <f t="shared" si="50"/>
        <v>3.4725963288620991</v>
      </c>
      <c r="BE121">
        <f t="shared" si="51"/>
        <v>3.9480866743676533</v>
      </c>
      <c r="BF121">
        <f t="shared" si="52"/>
        <v>156</v>
      </c>
      <c r="BG121">
        <f>IF($BE121="","",COUNTIFS($C$2:$C$596,$C121,$BE$2:$BE$596,"&gt;"&amp;$BE121)+COUNTIFS($C$2:$C121,$C121,$BE$2:$BE121,$BE121))</f>
        <v>11</v>
      </c>
    </row>
    <row r="122" spans="1:59" x14ac:dyDescent="0.25">
      <c r="A122" t="str">
        <f>Player_Analysis!A122</f>
        <v>Jason Steele</v>
      </c>
      <c r="B122">
        <f>Player_Analysis!C122</f>
        <v>5</v>
      </c>
      <c r="C122" t="str">
        <f>Player_Analysis!B122</f>
        <v>GK</v>
      </c>
      <c r="D122" s="13">
        <f>Player_Analysis!E122</f>
        <v>4</v>
      </c>
      <c r="E122">
        <f>Player_Analysis!I122</f>
        <v>0</v>
      </c>
      <c r="F122" s="8">
        <f>Player_Analysis!Z122</f>
        <v>0</v>
      </c>
      <c r="G122" s="17">
        <f t="shared" si="27"/>
        <v>0</v>
      </c>
      <c r="H122">
        <f t="shared" si="28"/>
        <v>0</v>
      </c>
      <c r="I122" s="8">
        <f>Player_Analysis!AF122</f>
        <v>0</v>
      </c>
      <c r="J122" s="8">
        <f>Player_Analysis!AG122</f>
        <v>0</v>
      </c>
      <c r="K122">
        <f>Player_Analysis!O122</f>
        <v>0</v>
      </c>
      <c r="L122">
        <f>Player_Analysis!P122</f>
        <v>0</v>
      </c>
      <c r="M122" t="str">
        <f t="shared" si="29"/>
        <v/>
      </c>
      <c r="N122" t="str">
        <f t="shared" si="30"/>
        <v/>
      </c>
      <c r="O122" s="2" t="str">
        <f>IF(E122=0,"",Player_Analysis!L122/E122*90)</f>
        <v/>
      </c>
      <c r="P122" t="str">
        <f>IF(E122=0,"",Player_Analysis!Q122/E122*90)</f>
        <v/>
      </c>
      <c r="Q122" t="str">
        <f>IF(E122=0,"",(Player_Analysis!AD122/E122)*90)</f>
        <v/>
      </c>
      <c r="R122" t="str">
        <f>IF(E122=0,"",Player_Analysis!AA122/E122*90)</f>
        <v/>
      </c>
      <c r="S122">
        <f t="array" ref="S122">IFERROR(INDEX('2023_24'!$O:$O,MATCH($A122,'2023_24'!$A:$A,0)),"")</f>
        <v>0</v>
      </c>
      <c r="T122">
        <f>IFERROR(INDEX('2024_25'!$P:$P,MATCH($A122,'2024_25'!$A:$A,0)),"")</f>
        <v>0</v>
      </c>
      <c r="U122">
        <f>IFERROR(INDEX('2025_26'!$P:$P,MATCH($A122,'2025_26'!$A:$A,0)),"")</f>
        <v>0</v>
      </c>
      <c r="V122">
        <f>IFERROR(INDEX('2023_24'!$P:$P,MATCH($A122,'2023_24'!$A:$A,0)),"")</f>
        <v>0</v>
      </c>
      <c r="W122">
        <f>IFERROR(INDEX('2024_25'!$Q:$Q,MATCH($A122,'2024_25'!$A:$A,0)),"")</f>
        <v>0</v>
      </c>
      <c r="X122">
        <f>IFERROR(INDEX('2025_26'!$Q:$Q,MATCH($A122,'2025_26'!$A:$A,0)),"")</f>
        <v>0</v>
      </c>
      <c r="Y122">
        <f>IFERROR(INDEX('2023_24'!$M:$M,MATCH($A122,'2023_24'!$A:$A,0))/INDEX('2023_24'!$G:$G,MATCH($A122,'2023_24'!$A:$A,0))*90,"")</f>
        <v>2.4705882352941178</v>
      </c>
      <c r="Z122">
        <f>IFERROR(INDEX('2024_25'!$M:$M,MATCH($A122,'2024_25'!$A:$A,0))/INDEX('2024_25'!$G:$G,MATCH($A122,'2024_25'!$A:$A,0))*90,"")</f>
        <v>4.5</v>
      </c>
      <c r="AA122" t="str">
        <f>IFERROR(INDEX('2025_26'!$M:$M,MATCH($A122,'2025_26'!$A:$A,0))/INDEX('2025_26'!$G:$G,MATCH($A122,'2025_26'!$A:$A,0))*90,"")</f>
        <v/>
      </c>
      <c r="AB122">
        <f>IFERROR(SUMPRODUCT(S122:U122,{0.2,0.3,0.5})/SUMPRODUCT(--(S122:U122&lt;&gt;""),{0.2,0.3,0.5}),"")</f>
        <v>0</v>
      </c>
      <c r="AC122">
        <f>IFERROR(SUMPRODUCT(V122:X122,{0.2,0.3,0.5})/SUMPRODUCT(--(V122:X122&lt;&gt;""),{0.2,0.3,0.5}),"")</f>
        <v>0</v>
      </c>
      <c r="AD122">
        <f>IFERROR(SUMPRODUCT(Y122:AA122,{0.2,0.3,0.5})/SUMPRODUCT((Y122:AA122&lt;&gt;"")*{0.2,0.3,0.5}),O122)</f>
        <v>3.6882352941176468</v>
      </c>
      <c r="AE122">
        <f t="shared" si="31"/>
        <v>3</v>
      </c>
      <c r="AF122" t="str">
        <f t="shared" si="32"/>
        <v/>
      </c>
      <c r="AG122">
        <f t="shared" si="33"/>
        <v>0</v>
      </c>
      <c r="AH122">
        <f t="shared" si="34"/>
        <v>0</v>
      </c>
      <c r="AI122" s="2">
        <f t="shared" si="35"/>
        <v>3.6882352941176468</v>
      </c>
      <c r="AJ122">
        <f t="shared" si="36"/>
        <v>0</v>
      </c>
      <c r="AK122" t="str">
        <f t="shared" si="37"/>
        <v>NO</v>
      </c>
      <c r="AL122">
        <f t="shared" si="38"/>
        <v>0</v>
      </c>
      <c r="AM122">
        <f t="shared" si="39"/>
        <v>0</v>
      </c>
      <c r="AN122">
        <f t="shared" si="40"/>
        <v>0</v>
      </c>
      <c r="AO122">
        <f t="shared" si="41"/>
        <v>0</v>
      </c>
      <c r="AP122">
        <f t="array" ref="AP122">AL122*IF($C122="GKP",10,IF($C122="DEF",6,IF($C122="MID",5,4)))</f>
        <v>0</v>
      </c>
      <c r="AQ122">
        <f t="shared" si="42"/>
        <v>0</v>
      </c>
      <c r="AR122">
        <f t="shared" si="43"/>
        <v>0</v>
      </c>
      <c r="AS122" s="2">
        <f>IF($H122=0,0,Player_Analysis!$AM122*$H122/90)</f>
        <v>0</v>
      </c>
      <c r="AT122">
        <f t="shared" si="44"/>
        <v>0</v>
      </c>
      <c r="AU122" s="2">
        <f>0</f>
        <v>0</v>
      </c>
      <c r="AV122" s="2" t="str">
        <f>IF(INDEX(FPL_Raw_Data!K:K,MATCH(A122,FPL_Raw_Data!AA:AA,0))=0,"",INDEX(FPL_Raw_Data!P:P,MATCH(A122,FPL_Raw_Data!AA:AA,0))/INDEX(FPL_Raw_Data!K:K,MATCH(A122,FPL_Raw_Data!AA:AA,0))*90)</f>
        <v/>
      </c>
      <c r="AW122" s="2">
        <f t="shared" si="45"/>
        <v>0</v>
      </c>
      <c r="AX122" s="2">
        <f>IFERROR(INDEX(TEAM_ANALYSIS!$H$2:$H$21,MATCH($B122,TEAM_ANALYSIS!$A$2:$A$21,0)),0)</f>
        <v>1.6666666666666667</v>
      </c>
      <c r="AY122" s="2">
        <f t="shared" si="46"/>
        <v>0</v>
      </c>
      <c r="AZ122" s="2">
        <f t="shared" si="47"/>
        <v>0</v>
      </c>
      <c r="BA122">
        <f t="shared" si="48"/>
        <v>0</v>
      </c>
      <c r="BB122">
        <f>IFERROR(Player_Analysis!$Y122,1)</f>
        <v>0.99748538507159212</v>
      </c>
      <c r="BC122">
        <f t="shared" si="49"/>
        <v>0</v>
      </c>
      <c r="BD122">
        <f t="shared" si="50"/>
        <v>0</v>
      </c>
      <c r="BE122">
        <f t="shared" si="51"/>
        <v>0</v>
      </c>
      <c r="BF122">
        <f t="shared" si="52"/>
        <v>253</v>
      </c>
      <c r="BG122">
        <f>IF($BE122="","",COUNTIFS($C$2:$C$596,$C122,$BE$2:$BE$596,"&gt;"&amp;$BE122)+COUNTIFS($C$2:$C122,$C122,$BE$2:$BE122,$BE122))</f>
        <v>28</v>
      </c>
    </row>
    <row r="123" spans="1:59" x14ac:dyDescent="0.25">
      <c r="A123" t="str">
        <f>Player_Analysis!A123</f>
        <v>Ferdi Kadıoğlu</v>
      </c>
      <c r="B123">
        <f>Player_Analysis!C123</f>
        <v>5</v>
      </c>
      <c r="C123" t="str">
        <f>Player_Analysis!B123</f>
        <v>DEF</v>
      </c>
      <c r="D123" s="13">
        <f>Player_Analysis!E123</f>
        <v>4.4000000000000004</v>
      </c>
      <c r="E123">
        <f>Player_Analysis!I123</f>
        <v>167</v>
      </c>
      <c r="F123" s="8">
        <f>Player_Analysis!Z123</f>
        <v>2</v>
      </c>
      <c r="G123" s="17">
        <f t="shared" si="27"/>
        <v>1</v>
      </c>
      <c r="H123">
        <f t="shared" si="28"/>
        <v>90</v>
      </c>
      <c r="I123" s="8">
        <f>Player_Analysis!AF123</f>
        <v>0</v>
      </c>
      <c r="J123" s="8">
        <f>Player_Analysis!AG123</f>
        <v>0</v>
      </c>
      <c r="K123">
        <f>Player_Analysis!O123</f>
        <v>0.08</v>
      </c>
      <c r="L123">
        <f>Player_Analysis!P123</f>
        <v>0.02</v>
      </c>
      <c r="M123">
        <f t="shared" si="29"/>
        <v>4.3113772455089822E-2</v>
      </c>
      <c r="N123">
        <f t="shared" si="30"/>
        <v>1.0778443113772455E-2</v>
      </c>
      <c r="O123" s="2">
        <f>IF(E123=0,"",Player_Analysis!L123/E123*90)</f>
        <v>1.0778443113772456</v>
      </c>
      <c r="P123">
        <f>IF(E123=0,"",Player_Analysis!Q123/E123*90)</f>
        <v>5.3892215568862277E-2</v>
      </c>
      <c r="Q123">
        <f>IF(E123=0,"",(Player_Analysis!AD123/E123)*90)</f>
        <v>2.1556886227544911</v>
      </c>
      <c r="R123">
        <f>IF(E123=0,"",Player_Analysis!AA123/E123*90)</f>
        <v>2.6946107784431139</v>
      </c>
      <c r="S123" t="str">
        <f t="array" ref="S123">IFERROR(INDEX('2023_24'!$O:$O,MATCH($A123,'2023_24'!$A:$A,0)),"")</f>
        <v/>
      </c>
      <c r="T123" t="str">
        <f>IFERROR(INDEX('2024_25'!$P:$P,MATCH($A123,'2024_25'!$A:$A,0)),"")</f>
        <v/>
      </c>
      <c r="U123">
        <f>IFERROR(INDEX('2025_26'!$P:$P,MATCH($A123,'2025_26'!$A:$A,0)),"")</f>
        <v>5.9233226837060705E-2</v>
      </c>
      <c r="V123" t="str">
        <f>IFERROR(INDEX('2023_24'!$P:$P,MATCH($A123,'2023_24'!$A:$A,0)),"")</f>
        <v/>
      </c>
      <c r="W123" t="str">
        <f>IFERROR(INDEX('2024_25'!$Q:$Q,MATCH($A123,'2024_25'!$A:$A,0)),"")</f>
        <v/>
      </c>
      <c r="X123">
        <f>IFERROR(INDEX('2025_26'!$Q:$Q,MATCH($A123,'2025_26'!$A:$A,0)),"")</f>
        <v>9.517571884984026E-2</v>
      </c>
      <c r="Y123" t="str">
        <f>IFERROR(INDEX('2023_24'!$M:$M,MATCH($A123,'2023_24'!$A:$A,0))/INDEX('2023_24'!$G:$G,MATCH($A123,'2023_24'!$A:$A,0))*90,"")</f>
        <v/>
      </c>
      <c r="Z123" t="str">
        <f>IFERROR(INDEX('2024_25'!$M:$M,MATCH($A123,'2024_25'!$A:$A,0))/INDEX('2024_25'!$G:$G,MATCH($A123,'2024_25'!$A:$A,0))*90,"")</f>
        <v/>
      </c>
      <c r="AA123">
        <f>IFERROR(INDEX('2025_26'!$M:$M,MATCH($A123,'2025_26'!$A:$A,0))/INDEX('2025_26'!$G:$G,MATCH($A123,'2025_26'!$A:$A,0))*90,"")</f>
        <v>3.3929712460063897</v>
      </c>
      <c r="AB123">
        <f>IFERROR(SUMPRODUCT(S123:U123,{0.2,0.3,0.5})/SUMPRODUCT(--(S123:U123&lt;&gt;""),{0.2,0.3,0.5}),"")</f>
        <v>5.9233226837060705E-2</v>
      </c>
      <c r="AC123">
        <f>IFERROR(SUMPRODUCT(V123:X123,{0.2,0.3,0.5})/SUMPRODUCT(--(V123:X123&lt;&gt;""),{0.2,0.3,0.5}),"")</f>
        <v>9.517571884984026E-2</v>
      </c>
      <c r="AD123">
        <f>IFERROR(SUMPRODUCT(Y123:AA123,{0.2,0.3,0.5})/SUMPRODUCT((Y123:AA123&lt;&gt;"")*{0.2,0.3,0.5}),O123)</f>
        <v>3.3929712460063897</v>
      </c>
      <c r="AE123">
        <f t="shared" si="31"/>
        <v>1</v>
      </c>
      <c r="AF123">
        <f t="shared" si="32"/>
        <v>83.5</v>
      </c>
      <c r="AG123">
        <f t="shared" si="33"/>
        <v>5.0260063897763579E-2</v>
      </c>
      <c r="AH123">
        <f t="shared" si="34"/>
        <v>4.8194568690095849E-2</v>
      </c>
      <c r="AI123" s="2">
        <f t="shared" si="35"/>
        <v>2.104217252396166</v>
      </c>
      <c r="AJ123">
        <f t="shared" si="36"/>
        <v>0.55666666666666664</v>
      </c>
      <c r="AK123" t="str">
        <f t="shared" si="37"/>
        <v>NO</v>
      </c>
      <c r="AL123">
        <f t="shared" si="38"/>
        <v>5.0260063897763579E-2</v>
      </c>
      <c r="AM123">
        <f t="shared" si="39"/>
        <v>4.8194568690095849E-2</v>
      </c>
      <c r="AN123">
        <f t="shared" si="40"/>
        <v>5.0260063897763579E-2</v>
      </c>
      <c r="AO123">
        <f t="shared" si="41"/>
        <v>4.8194568690095849E-2</v>
      </c>
      <c r="AP123">
        <f t="array" ref="AP123">AL123*IF($C123="GKP",10,IF($C123="DEF",6,IF($C123="MID",5,4)))</f>
        <v>0.30156038338658148</v>
      </c>
      <c r="AQ123">
        <f t="shared" si="42"/>
        <v>0.14458370607028753</v>
      </c>
      <c r="AR123">
        <f t="shared" si="43"/>
        <v>2</v>
      </c>
      <c r="AS123" s="2">
        <f>IF($H123=0,0,Player_Analysis!$AM123*$H123/90)</f>
        <v>0</v>
      </c>
      <c r="AT123">
        <f t="shared" si="44"/>
        <v>0.53892215568862278</v>
      </c>
      <c r="AU123" s="2">
        <f>0</f>
        <v>0</v>
      </c>
      <c r="AV123" s="2">
        <f>IF(INDEX(FPL_Raw_Data!K:K,MATCH(A123,FPL_Raw_Data!AA:AA,0))=0,"",INDEX(FPL_Raw_Data!P:P,MATCH(A123,FPL_Raw_Data!AA:AA,0))/INDEX(FPL_Raw_Data!K:K,MATCH(A123,FPL_Raw_Data!AA:AA,0))*90)</f>
        <v>0</v>
      </c>
      <c r="AW123" s="2">
        <f t="shared" si="45"/>
        <v>0</v>
      </c>
      <c r="AX123" s="2">
        <f>IFERROR(INDEX(TEAM_ANALYSIS!$H$2:$H$21,MATCH($B123,TEAM_ANALYSIS!$A$2:$A$21,0)),0)</f>
        <v>1.6666666666666667</v>
      </c>
      <c r="AY123" s="2">
        <f t="shared" si="46"/>
        <v>-0.83333333333333337</v>
      </c>
      <c r="AZ123" s="2">
        <f t="shared" si="47"/>
        <v>2.1517329118121582</v>
      </c>
      <c r="BA123">
        <f t="shared" si="48"/>
        <v>0.48903020723003593</v>
      </c>
      <c r="BB123">
        <f>IFERROR(Player_Analysis!$Y123,1)</f>
        <v>0.99748538507159212</v>
      </c>
      <c r="BC123">
        <f t="shared" si="49"/>
        <v>2.1463221321101686</v>
      </c>
      <c r="BD123">
        <f t="shared" si="50"/>
        <v>1.0496163570482484</v>
      </c>
      <c r="BE123">
        <f t="shared" si="51"/>
        <v>2.1463221321101686</v>
      </c>
      <c r="BF123">
        <f t="shared" si="52"/>
        <v>239</v>
      </c>
      <c r="BG123">
        <f>IF($BE123="","",COUNTIFS($C$2:$C$596,$C123,$BE$2:$BE$596,"&gt;"&amp;$BE123)+COUNTIFS($C$2:$C123,$C123,$BE$2:$BE123,$BE123))</f>
        <v>84</v>
      </c>
    </row>
    <row r="124" spans="1:59" x14ac:dyDescent="0.25">
      <c r="A124" t="str">
        <f>Player_Analysis!A124</f>
        <v>Olivier Boscagli</v>
      </c>
      <c r="B124">
        <f>Player_Analysis!C124</f>
        <v>5</v>
      </c>
      <c r="C124" t="str">
        <f>Player_Analysis!B124</f>
        <v>DEF</v>
      </c>
      <c r="D124" s="13">
        <f>Player_Analysis!E124</f>
        <v>4.5</v>
      </c>
      <c r="E124">
        <f>Player_Analysis!I124</f>
        <v>270</v>
      </c>
      <c r="F124" s="8">
        <f>Player_Analysis!Z124</f>
        <v>3</v>
      </c>
      <c r="G124" s="17">
        <f t="shared" si="27"/>
        <v>1</v>
      </c>
      <c r="H124">
        <f t="shared" si="28"/>
        <v>90</v>
      </c>
      <c r="I124" s="8">
        <f>Player_Analysis!AF124</f>
        <v>0</v>
      </c>
      <c r="J124" s="8">
        <f>Player_Analysis!AG124</f>
        <v>0</v>
      </c>
      <c r="K124">
        <f>Player_Analysis!O124</f>
        <v>0.05</v>
      </c>
      <c r="L124">
        <f>Player_Analysis!P124</f>
        <v>0.48</v>
      </c>
      <c r="M124">
        <f t="shared" si="29"/>
        <v>1.666666666666667E-2</v>
      </c>
      <c r="N124">
        <f t="shared" si="30"/>
        <v>0.15999999999999998</v>
      </c>
      <c r="O124" s="2">
        <f>IF(E124=0,"",Player_Analysis!L124/E124*90)</f>
        <v>2.3333333333333335</v>
      </c>
      <c r="P124">
        <f>IF(E124=0,"",Player_Analysis!Q124/E124*90)</f>
        <v>0.17666666666666669</v>
      </c>
      <c r="Q124">
        <f>IF(E124=0,"",(Player_Analysis!AD124/E124)*90)</f>
        <v>14.666666666666668</v>
      </c>
      <c r="R124">
        <f>IF(E124=0,"",Player_Analysis!AA124/E124*90)</f>
        <v>4.333333333333333</v>
      </c>
      <c r="S124" t="str">
        <f t="array" ref="S124">IFERROR(INDEX('2023_24'!$O:$O,MATCH($A124,'2023_24'!$A:$A,0)),"")</f>
        <v/>
      </c>
      <c r="T124" t="str">
        <f>IFERROR(INDEX('2024_25'!$P:$P,MATCH($A124,'2024_25'!$A:$A,0)),"")</f>
        <v/>
      </c>
      <c r="U124">
        <f>IFERROR(INDEX('2025_26'!$P:$P,MATCH($A124,'2025_26'!$A:$A,0)),"")</f>
        <v>5.6320400500625787E-3</v>
      </c>
      <c r="V124" t="str">
        <f>IFERROR(INDEX('2023_24'!$P:$P,MATCH($A124,'2023_24'!$A:$A,0)),"")</f>
        <v/>
      </c>
      <c r="W124" t="str">
        <f>IFERROR(INDEX('2024_25'!$Q:$Q,MATCH($A124,'2024_25'!$A:$A,0)),"")</f>
        <v/>
      </c>
      <c r="X124">
        <f>IFERROR(INDEX('2025_26'!$Q:$Q,MATCH($A124,'2025_26'!$A:$A,0)),"")</f>
        <v>5.2941176470588228E-2</v>
      </c>
      <c r="Y124" t="str">
        <f>IFERROR(INDEX('2023_24'!$M:$M,MATCH($A124,'2023_24'!$A:$A,0))/INDEX('2023_24'!$G:$G,MATCH($A124,'2023_24'!$A:$A,0))*90,"")</f>
        <v/>
      </c>
      <c r="Z124" t="str">
        <f>IFERROR(INDEX('2024_25'!$M:$M,MATCH($A124,'2024_25'!$A:$A,0))/INDEX('2024_25'!$G:$G,MATCH($A124,'2024_25'!$A:$A,0))*90,"")</f>
        <v/>
      </c>
      <c r="AA124">
        <f>IFERROR(INDEX('2025_26'!$M:$M,MATCH($A124,'2025_26'!$A:$A,0))/INDEX('2025_26'!$G:$G,MATCH($A124,'2025_26'!$A:$A,0))*90,"")</f>
        <v>4.3929912390488113</v>
      </c>
      <c r="AB124">
        <f>IFERROR(SUMPRODUCT(S124:U124,{0.2,0.3,0.5})/SUMPRODUCT(--(S124:U124&lt;&gt;""),{0.2,0.3,0.5}),"")</f>
        <v>5.6320400500625787E-3</v>
      </c>
      <c r="AC124">
        <f>IFERROR(SUMPRODUCT(V124:X124,{0.2,0.3,0.5})/SUMPRODUCT(--(V124:X124&lt;&gt;""),{0.2,0.3,0.5}),"")</f>
        <v>5.2941176470588228E-2</v>
      </c>
      <c r="AD124">
        <f>IFERROR(SUMPRODUCT(Y124:AA124,{0.2,0.3,0.5})/SUMPRODUCT((Y124:AA124&lt;&gt;"")*{0.2,0.3,0.5}),O124)</f>
        <v>4.3929912390488113</v>
      </c>
      <c r="AE124">
        <f t="shared" si="31"/>
        <v>1</v>
      </c>
      <c r="AF124">
        <f t="shared" si="32"/>
        <v>90</v>
      </c>
      <c r="AG124">
        <f t="shared" si="33"/>
        <v>1.556320400500626E-2</v>
      </c>
      <c r="AH124">
        <f t="shared" si="34"/>
        <v>0.1492941176470588</v>
      </c>
      <c r="AI124" s="2">
        <f t="shared" si="35"/>
        <v>2.5392991239048812</v>
      </c>
      <c r="AJ124">
        <f t="shared" si="36"/>
        <v>0.9</v>
      </c>
      <c r="AK124" t="str">
        <f t="shared" si="37"/>
        <v>NO</v>
      </c>
      <c r="AL124">
        <f t="shared" si="38"/>
        <v>1.556320400500626E-2</v>
      </c>
      <c r="AM124">
        <f t="shared" si="39"/>
        <v>0.1492941176470588</v>
      </c>
      <c r="AN124">
        <f t="shared" si="40"/>
        <v>1.556320400500626E-2</v>
      </c>
      <c r="AO124">
        <f t="shared" si="41"/>
        <v>0.1492941176470588</v>
      </c>
      <c r="AP124">
        <f t="array" ref="AP124">AL124*IF($C124="GKP",10,IF($C124="DEF",6,IF($C124="MID",5,4)))</f>
        <v>9.3379224030037566E-2</v>
      </c>
      <c r="AQ124">
        <f t="shared" si="42"/>
        <v>0.4478823529411764</v>
      </c>
      <c r="AR124">
        <f t="shared" si="43"/>
        <v>2</v>
      </c>
      <c r="AS124" s="2">
        <f>IF($H124=0,0,Player_Analysis!$AM124*$H124/90)</f>
        <v>1.3333333333333333</v>
      </c>
      <c r="AT124">
        <f t="shared" si="44"/>
        <v>0.86666666666666659</v>
      </c>
      <c r="AU124" s="2">
        <f>0</f>
        <v>0</v>
      </c>
      <c r="AV124" s="2">
        <f>IF(INDEX(FPL_Raw_Data!K:K,MATCH(A124,FPL_Raw_Data!AA:AA,0))=0,"",INDEX(FPL_Raw_Data!P:P,MATCH(A124,FPL_Raw_Data!AA:AA,0))/INDEX(FPL_Raw_Data!K:K,MATCH(A124,FPL_Raw_Data!AA:AA,0))*90)</f>
        <v>0</v>
      </c>
      <c r="AW124" s="2">
        <f t="shared" si="45"/>
        <v>0</v>
      </c>
      <c r="AX124" s="2">
        <f>IFERROR(INDEX(TEAM_ANALYSIS!$H$2:$H$21,MATCH($B124,TEAM_ANALYSIS!$A$2:$A$21,0)),0)</f>
        <v>1.6666666666666667</v>
      </c>
      <c r="AY124" s="2">
        <f t="shared" si="46"/>
        <v>-0.83333333333333337</v>
      </c>
      <c r="AZ124" s="2">
        <f t="shared" si="47"/>
        <v>3.9079282436378802</v>
      </c>
      <c r="BA124">
        <f t="shared" si="48"/>
        <v>0.86842849858619564</v>
      </c>
      <c r="BB124">
        <f>IFERROR(Player_Analysis!$Y124,1)</f>
        <v>0.99748538507159212</v>
      </c>
      <c r="BC124">
        <f t="shared" si="49"/>
        <v>3.8981013089372816</v>
      </c>
      <c r="BD124">
        <f t="shared" si="50"/>
        <v>3.3852222670572876</v>
      </c>
      <c r="BE124">
        <f t="shared" si="51"/>
        <v>3.8981013089372816</v>
      </c>
      <c r="BF124">
        <f t="shared" si="52"/>
        <v>159</v>
      </c>
      <c r="BG124">
        <f>IF($BE124="","",COUNTIFS($C$2:$C$596,$C124,$BE$2:$BE$596,"&gt;"&amp;$BE124)+COUNTIFS($C$2:$C124,$C124,$BE$2:$BE124,$BE124))</f>
        <v>52</v>
      </c>
    </row>
    <row r="125" spans="1:59" x14ac:dyDescent="0.25">
      <c r="A125" t="str">
        <f>Player_Analysis!A125</f>
        <v>Maxim De Cuyper</v>
      </c>
      <c r="B125">
        <f>Player_Analysis!C125</f>
        <v>5</v>
      </c>
      <c r="C125" t="str">
        <f>Player_Analysis!B125</f>
        <v>DEF</v>
      </c>
      <c r="D125" s="13">
        <f>Player_Analysis!E125</f>
        <v>4.7</v>
      </c>
      <c r="E125">
        <f>Player_Analysis!I125</f>
        <v>243</v>
      </c>
      <c r="F125" s="8">
        <f>Player_Analysis!Z125</f>
        <v>3</v>
      </c>
      <c r="G125" s="17">
        <f t="shared" si="27"/>
        <v>1</v>
      </c>
      <c r="H125">
        <f t="shared" si="28"/>
        <v>90</v>
      </c>
      <c r="I125" s="8">
        <f>Player_Analysis!AF125</f>
        <v>1</v>
      </c>
      <c r="J125" s="8">
        <f>Player_Analysis!AG125</f>
        <v>2</v>
      </c>
      <c r="K125">
        <f>Player_Analysis!O125</f>
        <v>1.5</v>
      </c>
      <c r="L125">
        <f>Player_Analysis!P125</f>
        <v>0.4</v>
      </c>
      <c r="M125">
        <f t="shared" si="29"/>
        <v>0.55555555555555558</v>
      </c>
      <c r="N125">
        <f t="shared" si="30"/>
        <v>0.14814814814814817</v>
      </c>
      <c r="O125" s="2">
        <f>IF(E125=0,"",Player_Analysis!L125/E125*90)</f>
        <v>7.7777777777777777</v>
      </c>
      <c r="P125">
        <f>IF(E125=0,"",Player_Analysis!Q125/E125*90)</f>
        <v>0.70370370370370372</v>
      </c>
      <c r="Q125">
        <f>IF(E125=0,"",(Player_Analysis!AD125/E125)*90)</f>
        <v>22.592592592592595</v>
      </c>
      <c r="R125">
        <f>IF(E125=0,"",Player_Analysis!AA125/E125*90)</f>
        <v>2.9629629629629632</v>
      </c>
      <c r="S125" t="str">
        <f t="array" ref="S125">IFERROR(INDEX('2023_24'!$O:$O,MATCH($A125,'2023_24'!$A:$A,0)),"")</f>
        <v/>
      </c>
      <c r="T125" t="str">
        <f>IFERROR(INDEX('2024_25'!$P:$P,MATCH($A125,'2024_25'!$A:$A,0)),"")</f>
        <v/>
      </c>
      <c r="U125">
        <f>IFERROR(INDEX('2025_26'!$P:$P,MATCH($A125,'2025_26'!$A:$A,0)),"")</f>
        <v>0.10641025641025641</v>
      </c>
      <c r="V125" t="str">
        <f>IFERROR(INDEX('2023_24'!$P:$P,MATCH($A125,'2023_24'!$A:$A,0)),"")</f>
        <v/>
      </c>
      <c r="W125" t="str">
        <f>IFERROR(INDEX('2024_25'!$Q:$Q,MATCH($A125,'2024_25'!$A:$A,0)),"")</f>
        <v/>
      </c>
      <c r="X125">
        <f>IFERROR(INDEX('2025_26'!$Q:$Q,MATCH($A125,'2025_26'!$A:$A,0)),"")</f>
        <v>0.26153846153846155</v>
      </c>
      <c r="Y125" t="str">
        <f>IFERROR(INDEX('2023_24'!$M:$M,MATCH($A125,'2023_24'!$A:$A,0))/INDEX('2023_24'!$G:$G,MATCH($A125,'2023_24'!$A:$A,0))*90,"")</f>
        <v/>
      </c>
      <c r="Z125" t="str">
        <f>IFERROR(INDEX('2024_25'!$M:$M,MATCH($A125,'2024_25'!$A:$A,0))/INDEX('2024_25'!$G:$G,MATCH($A125,'2024_25'!$A:$A,0))*90,"")</f>
        <v/>
      </c>
      <c r="AA125">
        <f>IFERROR(INDEX('2025_26'!$M:$M,MATCH($A125,'2025_26'!$A:$A,0))/INDEX('2025_26'!$G:$G,MATCH($A125,'2025_26'!$A:$A,0))*90,"")</f>
        <v>5.384615384615385</v>
      </c>
      <c r="AB125">
        <f>IFERROR(SUMPRODUCT(S125:U125,{0.2,0.3,0.5})/SUMPRODUCT(--(S125:U125&lt;&gt;""),{0.2,0.3,0.5}),"")</f>
        <v>0.10641025641025641</v>
      </c>
      <c r="AC125">
        <f>IFERROR(SUMPRODUCT(V125:X125,{0.2,0.3,0.5})/SUMPRODUCT(--(V125:X125&lt;&gt;""),{0.2,0.3,0.5}),"")</f>
        <v>0.26153846153846155</v>
      </c>
      <c r="AD125">
        <f>IFERROR(SUMPRODUCT(Y125:AA125,{0.2,0.3,0.5})/SUMPRODUCT((Y125:AA125&lt;&gt;"")*{0.2,0.3,0.5}),O125)</f>
        <v>5.384615384615385</v>
      </c>
      <c r="AE125">
        <f t="shared" si="31"/>
        <v>1</v>
      </c>
      <c r="AF125">
        <f t="shared" si="32"/>
        <v>81</v>
      </c>
      <c r="AG125">
        <f t="shared" si="33"/>
        <v>0.47021794871794875</v>
      </c>
      <c r="AH125">
        <f t="shared" si="34"/>
        <v>0.1696923076923077</v>
      </c>
      <c r="AI125" s="2">
        <f t="shared" si="35"/>
        <v>7.3230769230769237</v>
      </c>
      <c r="AJ125">
        <f t="shared" si="36"/>
        <v>0.81</v>
      </c>
      <c r="AK125" t="str">
        <f t="shared" si="37"/>
        <v>NO</v>
      </c>
      <c r="AL125">
        <f t="shared" si="38"/>
        <v>0.47021794871794875</v>
      </c>
      <c r="AM125">
        <f t="shared" si="39"/>
        <v>0.1696923076923077</v>
      </c>
      <c r="AN125">
        <f t="shared" si="40"/>
        <v>0.47021794871794875</v>
      </c>
      <c r="AO125">
        <f t="shared" si="41"/>
        <v>0.1696923076923077</v>
      </c>
      <c r="AP125">
        <f t="array" ref="AP125">AL125*IF($C125="GKP",10,IF($C125="DEF",6,IF($C125="MID",5,4)))</f>
        <v>2.8213076923076925</v>
      </c>
      <c r="AQ125">
        <f t="shared" si="42"/>
        <v>0.50907692307692309</v>
      </c>
      <c r="AR125">
        <f t="shared" si="43"/>
        <v>2</v>
      </c>
      <c r="AS125" s="2">
        <f>IF($H125=0,0,Player_Analysis!$AM125*$H125/90)</f>
        <v>1.3333333333333333</v>
      </c>
      <c r="AT125">
        <f t="shared" si="44"/>
        <v>0.59259259259259267</v>
      </c>
      <c r="AU125" s="2">
        <f>0</f>
        <v>0</v>
      </c>
      <c r="AV125" s="2">
        <f>IF(INDEX(FPL_Raw_Data!K:K,MATCH(A125,FPL_Raw_Data!AA:AA,0))=0,"",INDEX(FPL_Raw_Data!P:P,MATCH(A125,FPL_Raw_Data!AA:AA,0))/INDEX(FPL_Raw_Data!K:K,MATCH(A125,FPL_Raw_Data!AA:AA,0))*90)</f>
        <v>0</v>
      </c>
      <c r="AW125" s="2">
        <f t="shared" si="45"/>
        <v>0</v>
      </c>
      <c r="AX125" s="2">
        <f>IFERROR(INDEX(TEAM_ANALYSIS!$H$2:$H$21,MATCH($B125,TEAM_ANALYSIS!$A$2:$A$21,0)),0)</f>
        <v>1.6666666666666667</v>
      </c>
      <c r="AY125" s="2">
        <f t="shared" si="46"/>
        <v>-0.83333333333333337</v>
      </c>
      <c r="AZ125" s="2">
        <f t="shared" si="47"/>
        <v>6.4229772079772083</v>
      </c>
      <c r="BA125">
        <f t="shared" si="48"/>
        <v>1.3665908953142996</v>
      </c>
      <c r="BB125">
        <f>IFERROR(Player_Analysis!$Y125,1)</f>
        <v>0.99748538507159212</v>
      </c>
      <c r="BC125">
        <f t="shared" si="49"/>
        <v>6.4068258936052054</v>
      </c>
      <c r="BD125">
        <f t="shared" si="50"/>
        <v>8.7555099340647757</v>
      </c>
      <c r="BE125">
        <f t="shared" si="51"/>
        <v>6.4068258936052054</v>
      </c>
      <c r="BF125">
        <f t="shared" si="52"/>
        <v>31</v>
      </c>
      <c r="BG125">
        <f>IF($BE125="","",COUNTIFS($C$2:$C$596,$C125,$BE$2:$BE$596,"&gt;"&amp;$BE125)+COUNTIFS($C$2:$C125,$C125,$BE$2:$BE125,$BE125))</f>
        <v>16</v>
      </c>
    </row>
    <row r="126" spans="1:59" x14ac:dyDescent="0.25">
      <c r="A126" t="str">
        <f>Player_Analysis!A126</f>
        <v>Lewis Dunk</v>
      </c>
      <c r="B126">
        <f>Player_Analysis!C126</f>
        <v>5</v>
      </c>
      <c r="C126" t="str">
        <f>Player_Analysis!B126</f>
        <v>DEF</v>
      </c>
      <c r="D126" s="13">
        <f>Player_Analysis!E126</f>
        <v>4.5</v>
      </c>
      <c r="E126">
        <f>Player_Analysis!I126</f>
        <v>270</v>
      </c>
      <c r="F126" s="8">
        <f>Player_Analysis!Z126</f>
        <v>3</v>
      </c>
      <c r="G126" s="17">
        <f t="shared" si="27"/>
        <v>1</v>
      </c>
      <c r="H126">
        <f t="shared" si="28"/>
        <v>90</v>
      </c>
      <c r="I126" s="8">
        <f>Player_Analysis!AF126</f>
        <v>0</v>
      </c>
      <c r="J126" s="8">
        <f>Player_Analysis!AG126</f>
        <v>0</v>
      </c>
      <c r="K126">
        <f>Player_Analysis!O126</f>
        <v>0</v>
      </c>
      <c r="L126">
        <f>Player_Analysis!P126</f>
        <v>0.06</v>
      </c>
      <c r="M126">
        <f t="shared" si="29"/>
        <v>0</v>
      </c>
      <c r="N126">
        <f t="shared" si="30"/>
        <v>1.9999999999999997E-2</v>
      </c>
      <c r="O126" s="2">
        <f>IF(E126=0,"",Player_Analysis!L126/E126*90)</f>
        <v>3.333333333333333</v>
      </c>
      <c r="P126">
        <f>IF(E126=0,"",Player_Analysis!Q126/E126*90)</f>
        <v>1.9999999999999997E-2</v>
      </c>
      <c r="Q126">
        <f>IF(E126=0,"",(Player_Analysis!AD126/E126)*90)</f>
        <v>13.333333333333332</v>
      </c>
      <c r="R126">
        <f>IF(E126=0,"",Player_Analysis!AA126/E126*90)</f>
        <v>5.6666666666666661</v>
      </c>
      <c r="S126">
        <f t="array" ref="S126">IFERROR(INDEX('2023_24'!$O:$O,MATCH($A126,'2023_24'!$A:$A,0)),"")</f>
        <v>9.881491808992679E-2</v>
      </c>
      <c r="T126">
        <f>IFERROR(INDEX('2024_25'!$P:$P,MATCH($A126,'2024_25'!$A:$A,0)),"")</f>
        <v>3.5031234983181163E-2</v>
      </c>
      <c r="U126">
        <f>IFERROR(INDEX('2025_26'!$P:$P,MATCH($A126,'2025_26'!$A:$A,0)),"")</f>
        <v>5.8054282692985557E-2</v>
      </c>
      <c r="V126">
        <f>IFERROR(INDEX('2023_24'!$P:$P,MATCH($A126,'2023_24'!$A:$A,0)),"")</f>
        <v>7.0268386197281291E-2</v>
      </c>
      <c r="W126">
        <f>IFERROR(INDEX('2024_25'!$Q:$Q,MATCH($A126,'2024_25'!$A:$A,0)),"")</f>
        <v>4.4113407015857767E-2</v>
      </c>
      <c r="X126">
        <f>IFERROR(INDEX('2025_26'!$Q:$Q,MATCH($A126,'2025_26'!$A:$A,0)),"")</f>
        <v>1.7765244977088476E-2</v>
      </c>
      <c r="Y126">
        <f>IFERROR(INDEX('2023_24'!$M:$M,MATCH($A126,'2023_24'!$A:$A,0))/INDEX('2023_24'!$G:$G,MATCH($A126,'2023_24'!$A:$A,0))*90,"")</f>
        <v>2.7919135587312653</v>
      </c>
      <c r="Z126">
        <f>IFERROR(INDEX('2024_25'!$M:$M,MATCH($A126,'2024_25'!$A:$A,0))/INDEX('2024_25'!$G:$G,MATCH($A126,'2024_25'!$A:$A,0))*90,"")</f>
        <v>1.9029312830370015</v>
      </c>
      <c r="AA126">
        <f>IFERROR(INDEX('2025_26'!$M:$M,MATCH($A126,'2025_26'!$A:$A,0))/INDEX('2025_26'!$G:$G,MATCH($A126,'2025_26'!$A:$A,0))*90,"")</f>
        <v>3.1723651744800843</v>
      </c>
      <c r="AB126">
        <f>IFERROR(SUMPRODUCT(S126:U126,{0.2,0.3,0.5})/SUMPRODUCT(--(S126:U126&lt;&gt;""),{0.2,0.3,0.5}),"")</f>
        <v>5.9299495459432486E-2</v>
      </c>
      <c r="AC126">
        <f>IFERROR(SUMPRODUCT(V126:X126,{0.2,0.3,0.5})/SUMPRODUCT(--(V126:X126&lt;&gt;""),{0.2,0.3,0.5}),"")</f>
        <v>3.6170321832757826E-2</v>
      </c>
      <c r="AD126">
        <f>IFERROR(SUMPRODUCT(Y126:AA126,{0.2,0.3,0.5})/SUMPRODUCT((Y126:AA126&lt;&gt;"")*{0.2,0.3,0.5}),O126)</f>
        <v>2.7154446838973954</v>
      </c>
      <c r="AE126">
        <f t="shared" si="31"/>
        <v>3</v>
      </c>
      <c r="AF126">
        <f t="shared" si="32"/>
        <v>90</v>
      </c>
      <c r="AG126">
        <f t="shared" si="33"/>
        <v>5.9299495459432475E-3</v>
      </c>
      <c r="AH126">
        <f t="shared" si="34"/>
        <v>2.1617032183275781E-2</v>
      </c>
      <c r="AI126" s="2">
        <f t="shared" si="35"/>
        <v>3.2715444683897394</v>
      </c>
      <c r="AJ126">
        <f t="shared" si="36"/>
        <v>0.9</v>
      </c>
      <c r="AK126" t="str">
        <f t="shared" si="37"/>
        <v>NO</v>
      </c>
      <c r="AL126">
        <f t="shared" si="38"/>
        <v>5.9299495459432475E-3</v>
      </c>
      <c r="AM126">
        <f t="shared" si="39"/>
        <v>2.1617032183275781E-2</v>
      </c>
      <c r="AN126">
        <f t="shared" si="40"/>
        <v>5.9299495459432475E-3</v>
      </c>
      <c r="AO126">
        <f t="shared" si="41"/>
        <v>2.1617032183275781E-2</v>
      </c>
      <c r="AP126">
        <f t="array" ref="AP126">AL126*IF($C126="GKP",10,IF($C126="DEF",6,IF($C126="MID",5,4)))</f>
        <v>3.5579697275659489E-2</v>
      </c>
      <c r="AQ126">
        <f t="shared" si="42"/>
        <v>6.4851096549827347E-2</v>
      </c>
      <c r="AR126">
        <f t="shared" si="43"/>
        <v>2</v>
      </c>
      <c r="AS126" s="2">
        <f>IF($H126=0,0,Player_Analysis!$AM126*$H126/90)</f>
        <v>1.3333333333333333</v>
      </c>
      <c r="AT126">
        <f t="shared" si="44"/>
        <v>1.1333333333333333</v>
      </c>
      <c r="AU126" s="2">
        <f>0</f>
        <v>0</v>
      </c>
      <c r="AV126" s="2">
        <f>IF(INDEX(FPL_Raw_Data!K:K,MATCH(A126,FPL_Raw_Data!AA:AA,0))=0,"",INDEX(FPL_Raw_Data!P:P,MATCH(A126,FPL_Raw_Data!AA:AA,0))/INDEX(FPL_Raw_Data!K:K,MATCH(A126,FPL_Raw_Data!AA:AA,0))*90)</f>
        <v>0</v>
      </c>
      <c r="AW126" s="2">
        <f t="shared" si="45"/>
        <v>0</v>
      </c>
      <c r="AX126" s="2">
        <f>IFERROR(INDEX(TEAM_ANALYSIS!$H$2:$H$21,MATCH($B126,TEAM_ANALYSIS!$A$2:$A$21,0)),0)</f>
        <v>1.6666666666666667</v>
      </c>
      <c r="AY126" s="2">
        <f t="shared" si="46"/>
        <v>-0.83333333333333337</v>
      </c>
      <c r="AZ126" s="2">
        <f t="shared" si="47"/>
        <v>3.7337641271588198</v>
      </c>
      <c r="BA126">
        <f t="shared" si="48"/>
        <v>0.82972536159084886</v>
      </c>
      <c r="BB126">
        <f>IFERROR(Player_Analysis!$Y126,1)</f>
        <v>0.99748538507159212</v>
      </c>
      <c r="BC126">
        <f t="shared" si="49"/>
        <v>3.7243751481455125</v>
      </c>
      <c r="BD126">
        <f t="shared" si="50"/>
        <v>3.0902085164950068</v>
      </c>
      <c r="BE126">
        <f t="shared" si="51"/>
        <v>3.7243751481455125</v>
      </c>
      <c r="BF126">
        <f t="shared" si="52"/>
        <v>172</v>
      </c>
      <c r="BG126">
        <f>IF($BE126="","",COUNTIFS($C$2:$C$596,$C126,$BE$2:$BE$596,"&gt;"&amp;$BE126)+COUNTIFS($C$2:$C126,$C126,$BE$2:$BE126,$BE126))</f>
        <v>55</v>
      </c>
    </row>
    <row r="127" spans="1:59" x14ac:dyDescent="0.25">
      <c r="A127" t="str">
        <f>Player_Analysis!A127</f>
        <v>Diego Coppola</v>
      </c>
      <c r="B127">
        <f>Player_Analysis!C127</f>
        <v>5</v>
      </c>
      <c r="C127" t="str">
        <f>Player_Analysis!B127</f>
        <v>DEF</v>
      </c>
      <c r="D127" s="13">
        <f>Player_Analysis!E127</f>
        <v>4.5</v>
      </c>
      <c r="E127">
        <f>Player_Analysis!I127</f>
        <v>0</v>
      </c>
      <c r="F127" s="8">
        <f>Player_Analysis!Z127</f>
        <v>0</v>
      </c>
      <c r="G127" s="17">
        <f t="shared" si="27"/>
        <v>0</v>
      </c>
      <c r="H127">
        <f t="shared" si="28"/>
        <v>0</v>
      </c>
      <c r="I127" s="8">
        <f>Player_Analysis!AF127</f>
        <v>0</v>
      </c>
      <c r="J127" s="8">
        <f>Player_Analysis!AG127</f>
        <v>0</v>
      </c>
      <c r="K127">
        <f>Player_Analysis!O127</f>
        <v>0</v>
      </c>
      <c r="L127">
        <f>Player_Analysis!P127</f>
        <v>0</v>
      </c>
      <c r="M127" t="str">
        <f t="shared" si="29"/>
        <v/>
      </c>
      <c r="N127" t="str">
        <f t="shared" si="30"/>
        <v/>
      </c>
      <c r="O127" s="2" t="str">
        <f>IF(E127=0,"",Player_Analysis!L127/E127*90)</f>
        <v/>
      </c>
      <c r="P127" t="str">
        <f>IF(E127=0,"",Player_Analysis!Q127/E127*90)</f>
        <v/>
      </c>
      <c r="Q127" t="str">
        <f>IF(E127=0,"",(Player_Analysis!AD127/E127)*90)</f>
        <v/>
      </c>
      <c r="R127" t="str">
        <f>IF(E127=0,"",Player_Analysis!AA127/E127*90)</f>
        <v/>
      </c>
      <c r="S127" t="str">
        <f t="array" ref="S127">IFERROR(INDEX('2023_24'!$O:$O,MATCH($A127,'2023_24'!$A:$A,0)),"")</f>
        <v/>
      </c>
      <c r="T127" t="str">
        <f>IFERROR(INDEX('2024_25'!$P:$P,MATCH($A127,'2024_25'!$A:$A,0)),"")</f>
        <v/>
      </c>
      <c r="U127">
        <f>IFERROR(INDEX('2025_26'!$P:$P,MATCH($A127,'2025_26'!$A:$A,0)),"")</f>
        <v>0</v>
      </c>
      <c r="V127" t="str">
        <f>IFERROR(INDEX('2023_24'!$P:$P,MATCH($A127,'2023_24'!$A:$A,0)),"")</f>
        <v/>
      </c>
      <c r="W127" t="str">
        <f>IFERROR(INDEX('2024_25'!$Q:$Q,MATCH($A127,'2024_25'!$A:$A,0)),"")</f>
        <v/>
      </c>
      <c r="X127">
        <f>IFERROR(INDEX('2025_26'!$Q:$Q,MATCH($A127,'2025_26'!$A:$A,0)),"")</f>
        <v>4.6632124352331611E-3</v>
      </c>
      <c r="Y127" t="str">
        <f>IFERROR(INDEX('2023_24'!$M:$M,MATCH($A127,'2023_24'!$A:$A,0))/INDEX('2023_24'!$G:$G,MATCH($A127,'2023_24'!$A:$A,0))*90,"")</f>
        <v/>
      </c>
      <c r="Z127" t="str">
        <f>IFERROR(INDEX('2024_25'!$M:$M,MATCH($A127,'2024_25'!$A:$A,0))/INDEX('2024_25'!$G:$G,MATCH($A127,'2024_25'!$A:$A,0))*90,"")</f>
        <v/>
      </c>
      <c r="AA127">
        <f>IFERROR(INDEX('2025_26'!$M:$M,MATCH($A127,'2025_26'!$A:$A,0))/INDEX('2025_26'!$G:$G,MATCH($A127,'2025_26'!$A:$A,0))*90,"")</f>
        <v>4.6632124352331603</v>
      </c>
      <c r="AB127">
        <f>IFERROR(SUMPRODUCT(S127:U127,{0.2,0.3,0.5})/SUMPRODUCT(--(S127:U127&lt;&gt;""),{0.2,0.3,0.5}),"")</f>
        <v>0</v>
      </c>
      <c r="AC127">
        <f>IFERROR(SUMPRODUCT(V127:X127,{0.2,0.3,0.5})/SUMPRODUCT(--(V127:X127&lt;&gt;""),{0.2,0.3,0.5}),"")</f>
        <v>4.6632124352331611E-3</v>
      </c>
      <c r="AD127">
        <f>IFERROR(SUMPRODUCT(Y127:AA127,{0.2,0.3,0.5})/SUMPRODUCT((Y127:AA127&lt;&gt;"")*{0.2,0.3,0.5}),O127)</f>
        <v>4.6632124352331603</v>
      </c>
      <c r="AE127">
        <f t="shared" si="31"/>
        <v>1</v>
      </c>
      <c r="AF127" t="str">
        <f t="shared" si="32"/>
        <v/>
      </c>
      <c r="AG127">
        <f t="shared" si="33"/>
        <v>0</v>
      </c>
      <c r="AH127">
        <f t="shared" si="34"/>
        <v>4.6632124352331611E-3</v>
      </c>
      <c r="AI127" s="2">
        <f t="shared" si="35"/>
        <v>4.6632124352331603</v>
      </c>
      <c r="AJ127">
        <f t="shared" si="36"/>
        <v>0</v>
      </c>
      <c r="AK127" t="str">
        <f t="shared" si="37"/>
        <v>NO</v>
      </c>
      <c r="AL127">
        <f t="shared" si="38"/>
        <v>0</v>
      </c>
      <c r="AM127">
        <f t="shared" si="39"/>
        <v>0</v>
      </c>
      <c r="AN127">
        <f t="shared" si="40"/>
        <v>0</v>
      </c>
      <c r="AO127">
        <f t="shared" si="41"/>
        <v>0</v>
      </c>
      <c r="AP127">
        <f t="array" ref="AP127">AL127*IF($C127="GKP",10,IF($C127="DEF",6,IF($C127="MID",5,4)))</f>
        <v>0</v>
      </c>
      <c r="AQ127">
        <f t="shared" si="42"/>
        <v>0</v>
      </c>
      <c r="AR127">
        <f t="shared" si="43"/>
        <v>0</v>
      </c>
      <c r="AS127" s="2">
        <f>IF($H127=0,0,Player_Analysis!$AM127*$H127/90)</f>
        <v>0</v>
      </c>
      <c r="AT127">
        <f t="shared" si="44"/>
        <v>0</v>
      </c>
      <c r="AU127" s="2">
        <f>0</f>
        <v>0</v>
      </c>
      <c r="AV127" s="2" t="str">
        <f>IF(INDEX(FPL_Raw_Data!K:K,MATCH(A127,FPL_Raw_Data!AA:AA,0))=0,"",INDEX(FPL_Raw_Data!P:P,MATCH(A127,FPL_Raw_Data!AA:AA,0))/INDEX(FPL_Raw_Data!K:K,MATCH(A127,FPL_Raw_Data!AA:AA,0))*90)</f>
        <v/>
      </c>
      <c r="AW127" s="2">
        <f t="shared" si="45"/>
        <v>0</v>
      </c>
      <c r="AX127" s="2">
        <f>IFERROR(INDEX(TEAM_ANALYSIS!$H$2:$H$21,MATCH($B127,TEAM_ANALYSIS!$A$2:$A$21,0)),0)</f>
        <v>1.6666666666666667</v>
      </c>
      <c r="AY127" s="2">
        <f t="shared" si="46"/>
        <v>-0.83333333333333337</v>
      </c>
      <c r="AZ127" s="2">
        <f t="shared" si="47"/>
        <v>-0.83333333333333337</v>
      </c>
      <c r="BA127">
        <f t="shared" si="48"/>
        <v>-0.1851851851851852</v>
      </c>
      <c r="BB127">
        <f>IFERROR(Player_Analysis!$Y127,1)</f>
        <v>0.99748538507159212</v>
      </c>
      <c r="BC127">
        <f t="shared" si="49"/>
        <v>-0.83123782089299347</v>
      </c>
      <c r="BD127">
        <f t="shared" si="50"/>
        <v>0.15393292979499881</v>
      </c>
      <c r="BE127">
        <f t="shared" si="51"/>
        <v>-0.83123782089299347</v>
      </c>
      <c r="BF127">
        <f t="shared" si="52"/>
        <v>560</v>
      </c>
      <c r="BG127">
        <f>IF($BE127="","",COUNTIFS($C$2:$C$596,$C127,$BE$2:$BE$596,"&gt;"&amp;$BE127)+COUNTIFS($C$2:$C127,$C127,$BE$2:$BE127,$BE127))</f>
        <v>157</v>
      </c>
    </row>
    <row r="128" spans="1:59" x14ac:dyDescent="0.25">
      <c r="A128" t="str">
        <f>Player_Analysis!A128</f>
        <v>Igor Julio dos Santos de Paulo</v>
      </c>
      <c r="B128">
        <f>Player_Analysis!C128</f>
        <v>5</v>
      </c>
      <c r="C128" t="str">
        <f>Player_Analysis!B128</f>
        <v>DEF</v>
      </c>
      <c r="D128" s="13">
        <f>Player_Analysis!E128</f>
        <v>4.5</v>
      </c>
      <c r="E128">
        <f>Player_Analysis!I128</f>
        <v>0</v>
      </c>
      <c r="F128" s="8">
        <f>Player_Analysis!Z128</f>
        <v>0</v>
      </c>
      <c r="G128" s="17">
        <f t="shared" si="27"/>
        <v>0</v>
      </c>
      <c r="H128">
        <f t="shared" si="28"/>
        <v>0</v>
      </c>
      <c r="I128" s="8">
        <f>Player_Analysis!AF128</f>
        <v>0</v>
      </c>
      <c r="J128" s="8">
        <f>Player_Analysis!AG128</f>
        <v>0</v>
      </c>
      <c r="K128">
        <f>Player_Analysis!O128</f>
        <v>0</v>
      </c>
      <c r="L128">
        <f>Player_Analysis!P128</f>
        <v>0</v>
      </c>
      <c r="M128" t="str">
        <f t="shared" si="29"/>
        <v/>
      </c>
      <c r="N128" t="str">
        <f t="shared" si="30"/>
        <v/>
      </c>
      <c r="O128" s="2" t="str">
        <f>IF(E128=0,"",Player_Analysis!L128/E128*90)</f>
        <v/>
      </c>
      <c r="P128" t="str">
        <f>IF(E128=0,"",Player_Analysis!Q128/E128*90)</f>
        <v/>
      </c>
      <c r="Q128" t="str">
        <f>IF(E128=0,"",(Player_Analysis!AD128/E128)*90)</f>
        <v/>
      </c>
      <c r="R128" t="str">
        <f>IF(E128=0,"",Player_Analysis!AA128/E128*90)</f>
        <v/>
      </c>
      <c r="S128">
        <f t="array" ref="S128">IFERROR(INDEX('2023_24'!$O:$O,MATCH($A128,'2023_24'!$A:$A,0)),"")</f>
        <v>1.3795217657878601E-2</v>
      </c>
      <c r="T128">
        <f>IFERROR(INDEX('2024_25'!$P:$P,MATCH($A128,'2024_25'!$A:$A,0)),"")</f>
        <v>4.6923879040667365E-3</v>
      </c>
      <c r="U128">
        <f>IFERROR(INDEX('2025_26'!$P:$P,MATCH($A128,'2025_26'!$A:$A,0)),"")</f>
        <v>0</v>
      </c>
      <c r="V128">
        <f>IFERROR(INDEX('2023_24'!$P:$P,MATCH($A128,'2023_24'!$A:$A,0)),"")</f>
        <v>2.7590435315757202E-2</v>
      </c>
      <c r="W128">
        <f>IFERROR(INDEX('2024_25'!$Q:$Q,MATCH($A128,'2024_25'!$A:$A,0)),"")</f>
        <v>2.346193952033368E-2</v>
      </c>
      <c r="X128">
        <f>IFERROR(INDEX('2025_26'!$Q:$Q,MATCH($A128,'2025_26'!$A:$A,0)),"")</f>
        <v>0</v>
      </c>
      <c r="Y128">
        <f>IFERROR(INDEX('2023_24'!$M:$M,MATCH($A128,'2023_24'!$A:$A,0))/INDEX('2023_24'!$G:$G,MATCH($A128,'2023_24'!$A:$A,0))*90,"")</f>
        <v>2.0416922133660331</v>
      </c>
      <c r="Z128">
        <f>IFERROR(INDEX('2024_25'!$M:$M,MATCH($A128,'2024_25'!$A:$A,0))/INDEX('2024_25'!$G:$G,MATCH($A128,'2024_25'!$A:$A,0))*90,"")</f>
        <v>1.6892596454640252</v>
      </c>
      <c r="AA128">
        <f>IFERROR(INDEX('2025_26'!$M:$M,MATCH($A128,'2025_26'!$A:$A,0))/INDEX('2025_26'!$G:$G,MATCH($A128,'2025_26'!$A:$A,0))*90,"")</f>
        <v>5.2427184466019421</v>
      </c>
      <c r="AB128">
        <f>IFERROR(SUMPRODUCT(S128:U128,{0.2,0.3,0.5})/SUMPRODUCT(--(S128:U128&lt;&gt;""),{0.2,0.3,0.5}),"")</f>
        <v>4.1667599027957409E-3</v>
      </c>
      <c r="AC128">
        <f>IFERROR(SUMPRODUCT(V128:X128,{0.2,0.3,0.5})/SUMPRODUCT(--(V128:X128&lt;&gt;""),{0.2,0.3,0.5}),"")</f>
        <v>1.2556668919251543E-2</v>
      </c>
      <c r="AD128">
        <f>IFERROR(SUMPRODUCT(Y128:AA128,{0.2,0.3,0.5})/SUMPRODUCT((Y128:AA128&lt;&gt;"")*{0.2,0.3,0.5}),O128)</f>
        <v>3.5364755596133852</v>
      </c>
      <c r="AE128">
        <f t="shared" si="31"/>
        <v>3</v>
      </c>
      <c r="AF128" t="str">
        <f t="shared" si="32"/>
        <v/>
      </c>
      <c r="AG128">
        <f t="shared" si="33"/>
        <v>4.1667599027957409E-3</v>
      </c>
      <c r="AH128">
        <f t="shared" si="34"/>
        <v>1.2556668919251543E-2</v>
      </c>
      <c r="AI128" s="2">
        <f t="shared" si="35"/>
        <v>3.5364755596133852</v>
      </c>
      <c r="AJ128">
        <f t="shared" si="36"/>
        <v>0</v>
      </c>
      <c r="AK128" t="str">
        <f t="shared" si="37"/>
        <v>NO</v>
      </c>
      <c r="AL128">
        <f t="shared" si="38"/>
        <v>0</v>
      </c>
      <c r="AM128">
        <f t="shared" si="39"/>
        <v>0</v>
      </c>
      <c r="AN128">
        <f t="shared" si="40"/>
        <v>0</v>
      </c>
      <c r="AO128">
        <f t="shared" si="41"/>
        <v>0</v>
      </c>
      <c r="AP128">
        <f t="array" ref="AP128">AL128*IF($C128="GKP",10,IF($C128="DEF",6,IF($C128="MID",5,4)))</f>
        <v>0</v>
      </c>
      <c r="AQ128">
        <f t="shared" si="42"/>
        <v>0</v>
      </c>
      <c r="AR128">
        <f t="shared" si="43"/>
        <v>0</v>
      </c>
      <c r="AS128" s="2">
        <f>IF($H128=0,0,Player_Analysis!$AM128*$H128/90)</f>
        <v>0</v>
      </c>
      <c r="AT128">
        <f t="shared" si="44"/>
        <v>0</v>
      </c>
      <c r="AU128" s="2">
        <f>0</f>
        <v>0</v>
      </c>
      <c r="AV128" s="2" t="str">
        <f>IF(INDEX(FPL_Raw_Data!K:K,MATCH(A128,FPL_Raw_Data!AA:AA,0))=0,"",INDEX(FPL_Raw_Data!P:P,MATCH(A128,FPL_Raw_Data!AA:AA,0))/INDEX(FPL_Raw_Data!K:K,MATCH(A128,FPL_Raw_Data!AA:AA,0))*90)</f>
        <v/>
      </c>
      <c r="AW128" s="2">
        <f t="shared" si="45"/>
        <v>0</v>
      </c>
      <c r="AX128" s="2">
        <f>IFERROR(INDEX(TEAM_ANALYSIS!$H$2:$H$21,MATCH($B128,TEAM_ANALYSIS!$A$2:$A$21,0)),0)</f>
        <v>1.6666666666666667</v>
      </c>
      <c r="AY128" s="2">
        <f t="shared" si="46"/>
        <v>-0.83333333333333337</v>
      </c>
      <c r="AZ128" s="2">
        <f t="shared" si="47"/>
        <v>-0.83333333333333337</v>
      </c>
      <c r="BA128">
        <f t="shared" si="48"/>
        <v>-0.1851851851851852</v>
      </c>
      <c r="BB128">
        <f>IFERROR(Player_Analysis!$Y128,1)</f>
        <v>0.99748538507159212</v>
      </c>
      <c r="BC128">
        <f t="shared" si="49"/>
        <v>-0.83123782089299347</v>
      </c>
      <c r="BD128">
        <f t="shared" si="50"/>
        <v>0.15393292979499881</v>
      </c>
      <c r="BE128">
        <f t="shared" si="51"/>
        <v>-0.83123782089299347</v>
      </c>
      <c r="BF128">
        <f t="shared" si="52"/>
        <v>560</v>
      </c>
      <c r="BG128">
        <f>IF($BE128="","",COUNTIFS($C$2:$C$596,$C128,$BE$2:$BE$596,"&gt;"&amp;$BE128)+COUNTIFS($C$2:$C128,$C128,$BE$2:$BE128,$BE128))</f>
        <v>158</v>
      </c>
    </row>
    <row r="129" spans="1:59" x14ac:dyDescent="0.25">
      <c r="A129" t="str">
        <f>Player_Analysis!A129</f>
        <v>João Pedro Loureiro da Costa</v>
      </c>
      <c r="B129">
        <f>Player_Analysis!C129</f>
        <v>5</v>
      </c>
      <c r="C129" t="str">
        <f>Player_Analysis!B129</f>
        <v>DEF</v>
      </c>
      <c r="D129" s="13">
        <f>Player_Analysis!E129</f>
        <v>4.5</v>
      </c>
      <c r="E129">
        <f>Player_Analysis!I129</f>
        <v>48</v>
      </c>
      <c r="F129" s="8">
        <f>Player_Analysis!Z129</f>
        <v>0</v>
      </c>
      <c r="G129" s="17">
        <f t="shared" si="27"/>
        <v>0</v>
      </c>
      <c r="H129">
        <f t="shared" si="28"/>
        <v>0</v>
      </c>
      <c r="I129" s="8">
        <f>Player_Analysis!AF129</f>
        <v>0</v>
      </c>
      <c r="J129" s="8">
        <f>Player_Analysis!AG129</f>
        <v>0</v>
      </c>
      <c r="K129">
        <f>Player_Analysis!O129</f>
        <v>0.12</v>
      </c>
      <c r="L129">
        <f>Player_Analysis!P129</f>
        <v>0.16</v>
      </c>
      <c r="M129">
        <f t="shared" si="29"/>
        <v>0.22500000000000001</v>
      </c>
      <c r="N129">
        <f t="shared" si="30"/>
        <v>0.30000000000000004</v>
      </c>
      <c r="O129" s="2">
        <f>IF(E129=0,"",Player_Analysis!L129/E129*90)</f>
        <v>3.75</v>
      </c>
      <c r="P129">
        <f>IF(E129=0,"",Player_Analysis!Q129/E129*90)</f>
        <v>0.52500000000000002</v>
      </c>
      <c r="Q129">
        <f>IF(E129=0,"",(Player_Analysis!AD129/E129)*90)</f>
        <v>24.375</v>
      </c>
      <c r="R129">
        <f>IF(E129=0,"",Player_Analysis!AA129/E129*90)</f>
        <v>9.375</v>
      </c>
      <c r="S129" t="str">
        <f t="array" ref="S129">IFERROR(INDEX('2023_24'!$O:$O,MATCH($A129,'2023_24'!$A:$A,0)),"")</f>
        <v/>
      </c>
      <c r="T129" t="str">
        <f>IFERROR(INDEX('2024_25'!$P:$P,MATCH($A129,'2024_25'!$A:$A,0)),"")</f>
        <v/>
      </c>
      <c r="U129" t="str">
        <f>IFERROR(INDEX('2025_26'!$P:$P,MATCH($A129,'2025_26'!$A:$A,0)),"")</f>
        <v/>
      </c>
      <c r="V129" t="str">
        <f>IFERROR(INDEX('2023_24'!$P:$P,MATCH($A129,'2023_24'!$A:$A,0)),"")</f>
        <v/>
      </c>
      <c r="W129" t="str">
        <f>IFERROR(INDEX('2024_25'!$Q:$Q,MATCH($A129,'2024_25'!$A:$A,0)),"")</f>
        <v/>
      </c>
      <c r="X129" t="str">
        <f>IFERROR(INDEX('2025_26'!$Q:$Q,MATCH($A129,'2025_26'!$A:$A,0)),"")</f>
        <v/>
      </c>
      <c r="Y129" t="str">
        <f>IFERROR(INDEX('2023_24'!$M:$M,MATCH($A129,'2023_24'!$A:$A,0))/INDEX('2023_24'!$G:$G,MATCH($A129,'2023_24'!$A:$A,0))*90,"")</f>
        <v/>
      </c>
      <c r="Z129" t="str">
        <f>IFERROR(INDEX('2024_25'!$M:$M,MATCH($A129,'2024_25'!$A:$A,0))/INDEX('2024_25'!$G:$G,MATCH($A129,'2024_25'!$A:$A,0))*90,"")</f>
        <v/>
      </c>
      <c r="AA129" t="str">
        <f>IFERROR(INDEX('2025_26'!$M:$M,MATCH($A129,'2025_26'!$A:$A,0))/INDEX('2025_26'!$G:$G,MATCH($A129,'2025_26'!$A:$A,0))*90,"")</f>
        <v/>
      </c>
      <c r="AB129" t="str">
        <f>IFERROR(SUMPRODUCT(S129:U129,{0.2,0.3,0.5})/SUMPRODUCT(--(S129:U129&lt;&gt;""),{0.2,0.3,0.5}),"")</f>
        <v/>
      </c>
      <c r="AC129" t="str">
        <f>IFERROR(SUMPRODUCT(V129:X129,{0.2,0.3,0.5})/SUMPRODUCT(--(V129:X129&lt;&gt;""),{0.2,0.3,0.5}),"")</f>
        <v/>
      </c>
      <c r="AD129">
        <f>IFERROR(SUMPRODUCT(Y129:AA129,{0.2,0.3,0.5})/SUMPRODUCT((Y129:AA129&lt;&gt;"")*{0.2,0.3,0.5}),O129)</f>
        <v>3.75</v>
      </c>
      <c r="AE129">
        <f t="shared" si="31"/>
        <v>0</v>
      </c>
      <c r="AF129" t="str">
        <f t="shared" si="32"/>
        <v/>
      </c>
      <c r="AG129">
        <f t="shared" si="33"/>
        <v>0.22500000000000001</v>
      </c>
      <c r="AH129">
        <f t="shared" si="34"/>
        <v>0.30000000000000004</v>
      </c>
      <c r="AI129" s="2">
        <f t="shared" si="35"/>
        <v>3.75</v>
      </c>
      <c r="AJ129">
        <f t="shared" si="36"/>
        <v>0.16</v>
      </c>
      <c r="AK129" t="str">
        <f t="shared" si="37"/>
        <v>YES</v>
      </c>
      <c r="AL129">
        <f t="shared" si="38"/>
        <v>0</v>
      </c>
      <c r="AM129">
        <f t="shared" si="39"/>
        <v>0</v>
      </c>
      <c r="AN129">
        <f t="shared" si="40"/>
        <v>0</v>
      </c>
      <c r="AO129">
        <f t="shared" si="41"/>
        <v>0</v>
      </c>
      <c r="AP129">
        <f t="array" ref="AP129">AL129*IF($C129="GKP",10,IF($C129="DEF",6,IF($C129="MID",5,4)))</f>
        <v>0</v>
      </c>
      <c r="AQ129">
        <f t="shared" si="42"/>
        <v>0</v>
      </c>
      <c r="AR129">
        <f t="shared" si="43"/>
        <v>0</v>
      </c>
      <c r="AS129" s="2">
        <f>IF($H129=0,0,Player_Analysis!$AM129*$H129/90)</f>
        <v>0</v>
      </c>
      <c r="AT129">
        <f t="shared" si="44"/>
        <v>0</v>
      </c>
      <c r="AU129" s="2">
        <f>0</f>
        <v>0</v>
      </c>
      <c r="AV129" s="2">
        <f>IF(INDEX(FPL_Raw_Data!K:K,MATCH(A129,FPL_Raw_Data!AA:AA,0))=0,"",INDEX(FPL_Raw_Data!P:P,MATCH(A129,FPL_Raw_Data!AA:AA,0))/INDEX(FPL_Raw_Data!K:K,MATCH(A129,FPL_Raw_Data!AA:AA,0))*90)</f>
        <v>0</v>
      </c>
      <c r="AW129" s="2">
        <f t="shared" si="45"/>
        <v>0</v>
      </c>
      <c r="AX129" s="2">
        <f>IFERROR(INDEX(TEAM_ANALYSIS!$H$2:$H$21,MATCH($B129,TEAM_ANALYSIS!$A$2:$A$21,0)),0)</f>
        <v>1.6666666666666667</v>
      </c>
      <c r="AY129" s="2">
        <f t="shared" si="46"/>
        <v>-0.83333333333333337</v>
      </c>
      <c r="AZ129" s="2">
        <f t="shared" si="47"/>
        <v>-0.83333333333333337</v>
      </c>
      <c r="BA129">
        <f t="shared" si="48"/>
        <v>-0.1851851851851852</v>
      </c>
      <c r="BB129">
        <f>IFERROR(Player_Analysis!$Y129,1)</f>
        <v>0.99748538507159212</v>
      </c>
      <c r="BC129">
        <f t="shared" si="49"/>
        <v>-0.83123782089299347</v>
      </c>
      <c r="BD129">
        <f t="shared" si="50"/>
        <v>0.15393292979499881</v>
      </c>
      <c r="BE129">
        <f t="shared" si="51"/>
        <v>-0.83123782089299347</v>
      </c>
      <c r="BF129">
        <f t="shared" si="52"/>
        <v>560</v>
      </c>
      <c r="BG129">
        <f>IF($BE129="","",COUNTIFS($C$2:$C$596,$C129,$BE$2:$BE$596,"&gt;"&amp;$BE129)+COUNTIFS($C$2:$C129,$C129,$BE$2:$BE129,$BE129))</f>
        <v>159</v>
      </c>
    </row>
    <row r="130" spans="1:59" x14ac:dyDescent="0.25">
      <c r="A130" t="str">
        <f>Player_Analysis!A130</f>
        <v>Michael Svoboda</v>
      </c>
      <c r="B130">
        <f>Player_Analysis!C130</f>
        <v>5</v>
      </c>
      <c r="C130" t="str">
        <f>Player_Analysis!B130</f>
        <v>DEF</v>
      </c>
      <c r="D130" s="13">
        <f>Player_Analysis!E130</f>
        <v>5</v>
      </c>
      <c r="E130">
        <f>Player_Analysis!I130</f>
        <v>0</v>
      </c>
      <c r="F130" s="8">
        <f>Player_Analysis!Z130</f>
        <v>0</v>
      </c>
      <c r="G130" s="17">
        <f t="shared" ref="G130:G193" si="53">IF(E130=0,0,MIN(1,F130/(E130/90)))</f>
        <v>0</v>
      </c>
      <c r="H130">
        <f t="shared" ref="H130:H193" si="54">IF($E130=0,0,MIN(90,$G130*90))</f>
        <v>0</v>
      </c>
      <c r="I130" s="8">
        <f>Player_Analysis!AF130</f>
        <v>0</v>
      </c>
      <c r="J130" s="8">
        <f>Player_Analysis!AG130</f>
        <v>0</v>
      </c>
      <c r="K130">
        <f>Player_Analysis!O130</f>
        <v>0</v>
      </c>
      <c r="L130">
        <f>Player_Analysis!P130</f>
        <v>0</v>
      </c>
      <c r="M130" t="str">
        <f t="shared" ref="M130:M193" si="55">IF(E130=0,"",K130/E130*90)</f>
        <v/>
      </c>
      <c r="N130" t="str">
        <f t="shared" ref="N130:N193" si="56">IF(E130=0,"",L130/E130*90)</f>
        <v/>
      </c>
      <c r="O130" s="2" t="str">
        <f>IF(E130=0,"",Player_Analysis!L130/E130*90)</f>
        <v/>
      </c>
      <c r="P130" t="str">
        <f>IF(E130=0,"",Player_Analysis!Q130/E130*90)</f>
        <v/>
      </c>
      <c r="Q130" t="str">
        <f>IF(E130=0,"",(Player_Analysis!AD130/E130)*90)</f>
        <v/>
      </c>
      <c r="R130" t="str">
        <f>IF(E130=0,"",Player_Analysis!AA130/E130*90)</f>
        <v/>
      </c>
      <c r="S130" t="str">
        <f t="array" ref="S130">IFERROR(INDEX('2023_24'!$O:$O,MATCH($A130,'2023_24'!$A:$A,0)),"")</f>
        <v/>
      </c>
      <c r="T130" t="str">
        <f>IFERROR(INDEX('2024_25'!$P:$P,MATCH($A130,'2024_25'!$A:$A,0)),"")</f>
        <v/>
      </c>
      <c r="U130" t="str">
        <f>IFERROR(INDEX('2025_26'!$P:$P,MATCH($A130,'2025_26'!$A:$A,0)),"")</f>
        <v/>
      </c>
      <c r="V130" t="str">
        <f>IFERROR(INDEX('2023_24'!$P:$P,MATCH($A130,'2023_24'!$A:$A,0)),"")</f>
        <v/>
      </c>
      <c r="W130" t="str">
        <f>IFERROR(INDEX('2024_25'!$Q:$Q,MATCH($A130,'2024_25'!$A:$A,0)),"")</f>
        <v/>
      </c>
      <c r="X130" t="str">
        <f>IFERROR(INDEX('2025_26'!$Q:$Q,MATCH($A130,'2025_26'!$A:$A,0)),"")</f>
        <v/>
      </c>
      <c r="Y130" t="str">
        <f>IFERROR(INDEX('2023_24'!$M:$M,MATCH($A130,'2023_24'!$A:$A,0))/INDEX('2023_24'!$G:$G,MATCH($A130,'2023_24'!$A:$A,0))*90,"")</f>
        <v/>
      </c>
      <c r="Z130" t="str">
        <f>IFERROR(INDEX('2024_25'!$M:$M,MATCH($A130,'2024_25'!$A:$A,0))/INDEX('2024_25'!$G:$G,MATCH($A130,'2024_25'!$A:$A,0))*90,"")</f>
        <v/>
      </c>
      <c r="AA130" t="str">
        <f>IFERROR(INDEX('2025_26'!$M:$M,MATCH($A130,'2025_26'!$A:$A,0))/INDEX('2025_26'!$G:$G,MATCH($A130,'2025_26'!$A:$A,0))*90,"")</f>
        <v/>
      </c>
      <c r="AB130" t="str">
        <f>IFERROR(SUMPRODUCT(S130:U130,{0.2,0.3,0.5})/SUMPRODUCT(--(S130:U130&lt;&gt;""),{0.2,0.3,0.5}),"")</f>
        <v/>
      </c>
      <c r="AC130" t="str">
        <f>IFERROR(SUMPRODUCT(V130:X130,{0.2,0.3,0.5})/SUMPRODUCT(--(V130:X130&lt;&gt;""),{0.2,0.3,0.5}),"")</f>
        <v/>
      </c>
      <c r="AD130" t="str">
        <f>IFERROR(SUMPRODUCT(Y130:AA130,{0.2,0.3,0.5})/SUMPRODUCT((Y130:AA130&lt;&gt;"")*{0.2,0.3,0.5}),O130)</f>
        <v/>
      </c>
      <c r="AE130">
        <f t="shared" ref="AE130:AE193" si="57">COUNT(S130:U130)</f>
        <v>0</v>
      </c>
      <c r="AF130" t="str">
        <f t="shared" ref="AF130:AF193" si="58">IF(F130=0,"",E130/F130)</f>
        <v/>
      </c>
      <c r="AG130">
        <f t="shared" ref="AG130:AG193" si="59">IF(AND(M130="",AB130=""),0,IF(M130="",AB130,IF(AB130="",M130,M130*AJ130+AB130*(1-AJ130))))</f>
        <v>0</v>
      </c>
      <c r="AH130">
        <f t="shared" ref="AH130:AH193" si="60">IF(AND(N130="",AC130=""),0,IF(N130="",AC130,IF(AC130="",N130,N130*AJ130+AC130*(1-AJ130))))</f>
        <v>0</v>
      </c>
      <c r="AI130" s="2">
        <f t="shared" ref="AI130:AI193" si="61">IF(AND(O130="",AD130=""),0,IF(O130="",AD130,IF(AD130="",O130,O130*AJ130+AD130*(1-AJ130))))</f>
        <v>0</v>
      </c>
      <c r="AJ130">
        <f t="shared" ref="AJ130:AJ193" si="62">IF($E130=0,0,MIN(0.9,$E130/300))</f>
        <v>0</v>
      </c>
      <c r="AK130" t="str">
        <f t="shared" ref="AK130:AK193" si="63">IF(AE130=0,"YES","NO")</f>
        <v>YES</v>
      </c>
      <c r="AL130">
        <f t="shared" ref="AL130:AL193" si="64">IF($H130=0,0,$AG130*$H130/90)</f>
        <v>0</v>
      </c>
      <c r="AM130">
        <f t="shared" ref="AM130:AM193" si="65">IF($H130=0,0,$AH130*$H130/90)</f>
        <v>0</v>
      </c>
      <c r="AN130">
        <f t="shared" ref="AN130:AN193" si="66">AL130</f>
        <v>0</v>
      </c>
      <c r="AO130">
        <f t="shared" ref="AO130:AO193" si="67">AM130</f>
        <v>0</v>
      </c>
      <c r="AP130">
        <f t="array" ref="AP130">AL130*IF($C130="GKP",10,IF($C130="DEF",6,IF($C130="MID",5,4)))</f>
        <v>0</v>
      </c>
      <c r="AQ130">
        <f t="shared" ref="AQ130:AQ193" si="68">AM130*3</f>
        <v>0</v>
      </c>
      <c r="AR130">
        <f t="shared" ref="AR130:AR193" si="69">$G130*2</f>
        <v>0</v>
      </c>
      <c r="AS130" s="2">
        <f>IF($H130=0,0,Player_Analysis!$AM130*$H130/90)</f>
        <v>0</v>
      </c>
      <c r="AT130">
        <f t="shared" ref="AT130:AT193" si="70">IF($H130=0,0,$R130*$H130/90*2/IF(OR($C130="GKP",$C130="DEF"),10,12))</f>
        <v>0</v>
      </c>
      <c r="AU130" s="2">
        <f>0</f>
        <v>0</v>
      </c>
      <c r="AV130" s="2" t="str">
        <f>IF(INDEX(FPL_Raw_Data!K:K,MATCH(A130,FPL_Raw_Data!AA:AA,0))=0,"",INDEX(FPL_Raw_Data!P:P,MATCH(A130,FPL_Raw_Data!AA:AA,0))/INDEX(FPL_Raw_Data!K:K,MATCH(A130,FPL_Raw_Data!AA:AA,0))*90)</f>
        <v/>
      </c>
      <c r="AW130" s="2">
        <f t="shared" ref="AW130:AW193" si="71">IF(AV130="",0,AV130/3)</f>
        <v>0</v>
      </c>
      <c r="AX130" s="2">
        <f>IFERROR(INDEX(TEAM_ANALYSIS!$H$2:$H$21,MATCH($B130,TEAM_ANALYSIS!$A$2:$A$21,0)),0)</f>
        <v>1.6666666666666667</v>
      </c>
      <c r="AY130" s="2">
        <f t="shared" ref="AY130:AY193" si="72">IF(OR($C130="GKP",$C130="DEF"),-($AX130/2),0)</f>
        <v>-0.83333333333333337</v>
      </c>
      <c r="AZ130" s="2">
        <f t="shared" ref="AZ130:AZ193" si="73">SUM(AP130:AU130)+AW130+AY130</f>
        <v>-0.83333333333333337</v>
      </c>
      <c r="BA130">
        <f t="shared" ref="BA130:BA193" si="74">IF($D130=0,0,$AZ130/$D130)</f>
        <v>-0.16666666666666669</v>
      </c>
      <c r="BB130">
        <f>IFERROR(Player_Analysis!$Y130,1)</f>
        <v>0.99748538507159212</v>
      </c>
      <c r="BC130">
        <f t="shared" ref="BC130:BC193" si="75">BB130*AZ130</f>
        <v>-0.83123782089299347</v>
      </c>
      <c r="BD130">
        <f t="shared" ref="BD130:BD193" si="76">BA130*BC130</f>
        <v>0.13853963681549894</v>
      </c>
      <c r="BE130">
        <f t="shared" ref="BE130:BE193" si="77">BC130</f>
        <v>-0.83123782089299347</v>
      </c>
      <c r="BF130">
        <f t="shared" ref="BF130:BF193" si="78">IF($BE130="","",_xlfn.RANK.EQ($BE130,$BE$2:$BE$596,0))</f>
        <v>560</v>
      </c>
      <c r="BG130">
        <f>IF($BE130="","",COUNTIFS($C$2:$C$596,$C130,$BE$2:$BE$596,"&gt;"&amp;$BE130)+COUNTIFS($C$2:$C130,$C130,$BE$2:$BE130,$BE130))</f>
        <v>160</v>
      </c>
    </row>
    <row r="131" spans="1:59" x14ac:dyDescent="0.25">
      <c r="A131" t="str">
        <f>Player_Analysis!A131</f>
        <v>Mitoma Kaoru</v>
      </c>
      <c r="B131">
        <f>Player_Analysis!C131</f>
        <v>5</v>
      </c>
      <c r="C131" t="str">
        <f>Player_Analysis!B131</f>
        <v>MID</v>
      </c>
      <c r="D131" s="13">
        <f>Player_Analysis!E131</f>
        <v>5.9</v>
      </c>
      <c r="E131">
        <f>Player_Analysis!I131</f>
        <v>0</v>
      </c>
      <c r="F131" s="8">
        <f>Player_Analysis!Z131</f>
        <v>0</v>
      </c>
      <c r="G131" s="17">
        <f t="shared" si="53"/>
        <v>0</v>
      </c>
      <c r="H131">
        <f t="shared" si="54"/>
        <v>0</v>
      </c>
      <c r="I131" s="8">
        <f>Player_Analysis!AF131</f>
        <v>0</v>
      </c>
      <c r="J131" s="8">
        <f>Player_Analysis!AG131</f>
        <v>0</v>
      </c>
      <c r="K131">
        <f>Player_Analysis!O131</f>
        <v>0</v>
      </c>
      <c r="L131">
        <f>Player_Analysis!P131</f>
        <v>0</v>
      </c>
      <c r="M131" t="str">
        <f t="shared" si="55"/>
        <v/>
      </c>
      <c r="N131" t="str">
        <f t="shared" si="56"/>
        <v/>
      </c>
      <c r="O131" s="2" t="str">
        <f>IF(E131=0,"",Player_Analysis!L131/E131*90)</f>
        <v/>
      </c>
      <c r="P131" t="str">
        <f>IF(E131=0,"",Player_Analysis!Q131/E131*90)</f>
        <v/>
      </c>
      <c r="Q131" t="str">
        <f>IF(E131=0,"",(Player_Analysis!AD131/E131)*90)</f>
        <v/>
      </c>
      <c r="R131" t="str">
        <f>IF(E131=0,"",Player_Analysis!AA131/E131*90)</f>
        <v/>
      </c>
      <c r="S131" t="str">
        <f t="array" ref="S131">IFERROR(INDEX('2023_24'!$O:$O,MATCH($A131,'2023_24'!$A:$A,0)),"")</f>
        <v/>
      </c>
      <c r="T131">
        <f>IFERROR(INDEX('2024_25'!$P:$P,MATCH($A131,'2024_25'!$A:$A,0)),"")</f>
        <v>0.31848286484405081</v>
      </c>
      <c r="U131">
        <f>IFERROR(INDEX('2025_26'!$P:$P,MATCH($A131,'2025_26'!$A:$A,0)),"")</f>
        <v>0.21213535589264879</v>
      </c>
      <c r="V131" t="str">
        <f>IFERROR(INDEX('2023_24'!$P:$P,MATCH($A131,'2023_24'!$A:$A,0)),"")</f>
        <v/>
      </c>
      <c r="W131">
        <f>IFERROR(INDEX('2024_25'!$Q:$Q,MATCH($A131,'2024_25'!$A:$A,0)),"")</f>
        <v>0.13966114747785907</v>
      </c>
      <c r="X131">
        <f>IFERROR(INDEX('2025_26'!$Q:$Q,MATCH($A131,'2025_26'!$A:$A,0)),"")</f>
        <v>0.14387397899649942</v>
      </c>
      <c r="Y131" t="str">
        <f>IFERROR(INDEX('2023_24'!$M:$M,MATCH($A131,'2023_24'!$A:$A,0))/INDEX('2023_24'!$G:$G,MATCH($A131,'2023_24'!$A:$A,0))*90,"")</f>
        <v/>
      </c>
      <c r="Z131">
        <f>IFERROR(INDEX('2024_25'!$M:$M,MATCH($A131,'2024_25'!$A:$A,0))/INDEX('2024_25'!$G:$G,MATCH($A131,'2024_25'!$A:$A,0))*90,"")</f>
        <v>5.0250288794763192</v>
      </c>
      <c r="AA131">
        <f>IFERROR(INDEX('2025_26'!$M:$M,MATCH($A131,'2025_26'!$A:$A,0))/INDEX('2025_26'!$G:$G,MATCH($A131,'2025_26'!$A:$A,0))*90,"")</f>
        <v>3.2555425904317383</v>
      </c>
      <c r="AB131">
        <f>IFERROR(SUMPRODUCT(S131:U131,{0.2,0.3,0.5})/SUMPRODUCT(--(S131:U131&lt;&gt;""),{0.2,0.3,0.5}),"")</f>
        <v>0.25201567174942452</v>
      </c>
      <c r="AC131">
        <f>IFERROR(SUMPRODUCT(V131:X131,{0.2,0.3,0.5})/SUMPRODUCT(--(V131:X131&lt;&gt;""),{0.2,0.3,0.5}),"")</f>
        <v>0.14229416717700927</v>
      </c>
      <c r="AD131">
        <f>IFERROR(SUMPRODUCT(Y131:AA131,{0.2,0.3,0.5})/SUMPRODUCT((Y131:AA131&lt;&gt;"")*{0.2,0.3,0.5}),O131)</f>
        <v>3.9190999488234555</v>
      </c>
      <c r="AE131">
        <f t="shared" si="57"/>
        <v>2</v>
      </c>
      <c r="AF131" t="str">
        <f t="shared" si="58"/>
        <v/>
      </c>
      <c r="AG131">
        <f t="shared" si="59"/>
        <v>0.25201567174942452</v>
      </c>
      <c r="AH131">
        <f t="shared" si="60"/>
        <v>0.14229416717700927</v>
      </c>
      <c r="AI131" s="2">
        <f t="shared" si="61"/>
        <v>3.9190999488234555</v>
      </c>
      <c r="AJ131">
        <f t="shared" si="62"/>
        <v>0</v>
      </c>
      <c r="AK131" t="str">
        <f t="shared" si="63"/>
        <v>NO</v>
      </c>
      <c r="AL131">
        <f t="shared" si="64"/>
        <v>0</v>
      </c>
      <c r="AM131">
        <f t="shared" si="65"/>
        <v>0</v>
      </c>
      <c r="AN131">
        <f t="shared" si="66"/>
        <v>0</v>
      </c>
      <c r="AO131">
        <f t="shared" si="67"/>
        <v>0</v>
      </c>
      <c r="AP131">
        <f t="array" ref="AP131">AL131*IF($C131="GKP",10,IF($C131="DEF",6,IF($C131="MID",5,4)))</f>
        <v>0</v>
      </c>
      <c r="AQ131">
        <f t="shared" si="68"/>
        <v>0</v>
      </c>
      <c r="AR131">
        <f t="shared" si="69"/>
        <v>0</v>
      </c>
      <c r="AS131" s="2">
        <f>IF($H131=0,0,Player_Analysis!$AM131*$H131/90)</f>
        <v>0</v>
      </c>
      <c r="AT131">
        <f t="shared" si="70"/>
        <v>0</v>
      </c>
      <c r="AU131" s="2">
        <f>0</f>
        <v>0</v>
      </c>
      <c r="AV131" s="2" t="str">
        <f>IF(INDEX(FPL_Raw_Data!K:K,MATCH(A131,FPL_Raw_Data!AA:AA,0))=0,"",INDEX(FPL_Raw_Data!P:P,MATCH(A131,FPL_Raw_Data!AA:AA,0))/INDEX(FPL_Raw_Data!K:K,MATCH(A131,FPL_Raw_Data!AA:AA,0))*90)</f>
        <v/>
      </c>
      <c r="AW131" s="2">
        <f t="shared" si="71"/>
        <v>0</v>
      </c>
      <c r="AX131" s="2">
        <f>IFERROR(INDEX(TEAM_ANALYSIS!$H$2:$H$21,MATCH($B131,TEAM_ANALYSIS!$A$2:$A$21,0)),0)</f>
        <v>1.6666666666666667</v>
      </c>
      <c r="AY131" s="2">
        <f t="shared" si="72"/>
        <v>0</v>
      </c>
      <c r="AZ131" s="2">
        <f t="shared" si="73"/>
        <v>0</v>
      </c>
      <c r="BA131">
        <f t="shared" si="74"/>
        <v>0</v>
      </c>
      <c r="BB131">
        <f>IFERROR(Player_Analysis!$Y131,1)</f>
        <v>1.1225346020761244</v>
      </c>
      <c r="BC131">
        <f t="shared" si="75"/>
        <v>0</v>
      </c>
      <c r="BD131">
        <f t="shared" si="76"/>
        <v>0</v>
      </c>
      <c r="BE131">
        <f t="shared" si="77"/>
        <v>0</v>
      </c>
      <c r="BF131">
        <f t="shared" si="78"/>
        <v>253</v>
      </c>
      <c r="BG131">
        <f>IF($BE131="","",COUNTIFS($C$2:$C$596,$C131,$BE$2:$BE$596,"&gt;"&amp;$BE131)+COUNTIFS($C$2:$C131,$C131,$BE$2:$BE131,$BE131))</f>
        <v>142</v>
      </c>
    </row>
    <row r="132" spans="1:59" x14ac:dyDescent="0.25">
      <c r="A132" t="str">
        <f>Player_Analysis!A132</f>
        <v>Yankuba Minteh</v>
      </c>
      <c r="B132">
        <f>Player_Analysis!C132</f>
        <v>5</v>
      </c>
      <c r="C132" t="str">
        <f>Player_Analysis!B132</f>
        <v>MID</v>
      </c>
      <c r="D132" s="13">
        <f>Player_Analysis!E132</f>
        <v>5.9</v>
      </c>
      <c r="E132">
        <f>Player_Analysis!I132</f>
        <v>0</v>
      </c>
      <c r="F132" s="8">
        <f>Player_Analysis!Z132</f>
        <v>0</v>
      </c>
      <c r="G132" s="17">
        <f t="shared" si="53"/>
        <v>0</v>
      </c>
      <c r="H132">
        <f t="shared" si="54"/>
        <v>0</v>
      </c>
      <c r="I132" s="8">
        <f>Player_Analysis!AF132</f>
        <v>0</v>
      </c>
      <c r="J132" s="8">
        <f>Player_Analysis!AG132</f>
        <v>0</v>
      </c>
      <c r="K132">
        <f>Player_Analysis!O132</f>
        <v>0</v>
      </c>
      <c r="L132">
        <f>Player_Analysis!P132</f>
        <v>0</v>
      </c>
      <c r="M132" t="str">
        <f t="shared" si="55"/>
        <v/>
      </c>
      <c r="N132" t="str">
        <f t="shared" si="56"/>
        <v/>
      </c>
      <c r="O132" s="2" t="str">
        <f>IF(E132=0,"",Player_Analysis!L132/E132*90)</f>
        <v/>
      </c>
      <c r="P132" t="str">
        <f>IF(E132=0,"",Player_Analysis!Q132/E132*90)</f>
        <v/>
      </c>
      <c r="Q132" t="str">
        <f>IF(E132=0,"",(Player_Analysis!AD132/E132)*90)</f>
        <v/>
      </c>
      <c r="R132" t="str">
        <f>IF(E132=0,"",Player_Analysis!AA132/E132*90)</f>
        <v/>
      </c>
      <c r="S132" t="str">
        <f t="array" ref="S132">IFERROR(INDEX('2023_24'!$O:$O,MATCH($A132,'2023_24'!$A:$A,0)),"")</f>
        <v/>
      </c>
      <c r="T132">
        <f>IFERROR(INDEX('2024_25'!$P:$P,MATCH($A132,'2024_25'!$A:$A,0)),"")</f>
        <v>0.20300382304751502</v>
      </c>
      <c r="U132">
        <f>IFERROR(INDEX('2025_26'!$P:$P,MATCH($A132,'2025_26'!$A:$A,0)),"")</f>
        <v>0.14353285893679363</v>
      </c>
      <c r="V132" t="str">
        <f>IFERROR(INDEX('2023_24'!$P:$P,MATCH($A132,'2023_24'!$A:$A,0)),"")</f>
        <v/>
      </c>
      <c r="W132">
        <f>IFERROR(INDEX('2024_25'!$Q:$Q,MATCH($A132,'2024_25'!$A:$A,0)),"")</f>
        <v>0.24527580557072637</v>
      </c>
      <c r="X132">
        <f>IFERROR(INDEX('2025_26'!$Q:$Q,MATCH($A132,'2025_26'!$A:$A,0)),"")</f>
        <v>0.19062369192130599</v>
      </c>
      <c r="Y132" t="str">
        <f>IFERROR(INDEX('2023_24'!$M:$M,MATCH($A132,'2023_24'!$A:$A,0))/INDEX('2023_24'!$G:$G,MATCH($A132,'2023_24'!$A:$A,0))*90,"")</f>
        <v/>
      </c>
      <c r="Z132">
        <f>IFERROR(INDEX('2024_25'!$M:$M,MATCH($A132,'2024_25'!$A:$A,0))/INDEX('2024_25'!$G:$G,MATCH($A132,'2024_25'!$A:$A,0))*90,"")</f>
        <v>5.0136537411250686</v>
      </c>
      <c r="AA132">
        <f>IFERROR(INDEX('2025_26'!$M:$M,MATCH($A132,'2025_26'!$A:$A,0))/INDEX('2025_26'!$G:$G,MATCH($A132,'2025_26'!$A:$A,0))*90,"")</f>
        <v>4.4077019673503557</v>
      </c>
      <c r="AB132">
        <f>IFERROR(SUMPRODUCT(S132:U132,{0.2,0.3,0.5})/SUMPRODUCT(--(S132:U132&lt;&gt;""),{0.2,0.3,0.5}),"")</f>
        <v>0.16583447047831412</v>
      </c>
      <c r="AC132">
        <f>IFERROR(SUMPRODUCT(V132:X132,{0.2,0.3,0.5})/SUMPRODUCT(--(V132:X132&lt;&gt;""),{0.2,0.3,0.5}),"")</f>
        <v>0.21111823453983861</v>
      </c>
      <c r="AD132">
        <f>IFERROR(SUMPRODUCT(Y132:AA132,{0.2,0.3,0.5})/SUMPRODUCT((Y132:AA132&lt;&gt;"")*{0.2,0.3,0.5}),O132)</f>
        <v>4.6349338825158721</v>
      </c>
      <c r="AE132">
        <f t="shared" si="57"/>
        <v>2</v>
      </c>
      <c r="AF132" t="str">
        <f t="shared" si="58"/>
        <v/>
      </c>
      <c r="AG132">
        <f t="shared" si="59"/>
        <v>0.16583447047831412</v>
      </c>
      <c r="AH132">
        <f t="shared" si="60"/>
        <v>0.21111823453983861</v>
      </c>
      <c r="AI132" s="2">
        <f t="shared" si="61"/>
        <v>4.6349338825158721</v>
      </c>
      <c r="AJ132">
        <f t="shared" si="62"/>
        <v>0</v>
      </c>
      <c r="AK132" t="str">
        <f t="shared" si="63"/>
        <v>NO</v>
      </c>
      <c r="AL132">
        <f t="shared" si="64"/>
        <v>0</v>
      </c>
      <c r="AM132">
        <f t="shared" si="65"/>
        <v>0</v>
      </c>
      <c r="AN132">
        <f t="shared" si="66"/>
        <v>0</v>
      </c>
      <c r="AO132">
        <f t="shared" si="67"/>
        <v>0</v>
      </c>
      <c r="AP132">
        <f t="array" ref="AP132">AL132*IF($C132="GKP",10,IF($C132="DEF",6,IF($C132="MID",5,4)))</f>
        <v>0</v>
      </c>
      <c r="AQ132">
        <f t="shared" si="68"/>
        <v>0</v>
      </c>
      <c r="AR132">
        <f t="shared" si="69"/>
        <v>0</v>
      </c>
      <c r="AS132" s="2">
        <f>IF($H132=0,0,Player_Analysis!$AM132*$H132/90)</f>
        <v>0</v>
      </c>
      <c r="AT132">
        <f t="shared" si="70"/>
        <v>0</v>
      </c>
      <c r="AU132" s="2">
        <f>0</f>
        <v>0</v>
      </c>
      <c r="AV132" s="2" t="str">
        <f>IF(INDEX(FPL_Raw_Data!K:K,MATCH(A132,FPL_Raw_Data!AA:AA,0))=0,"",INDEX(FPL_Raw_Data!P:P,MATCH(A132,FPL_Raw_Data!AA:AA,0))/INDEX(FPL_Raw_Data!K:K,MATCH(A132,FPL_Raw_Data!AA:AA,0))*90)</f>
        <v/>
      </c>
      <c r="AW132" s="2">
        <f t="shared" si="71"/>
        <v>0</v>
      </c>
      <c r="AX132" s="2">
        <f>IFERROR(INDEX(TEAM_ANALYSIS!$H$2:$H$21,MATCH($B132,TEAM_ANALYSIS!$A$2:$A$21,0)),0)</f>
        <v>1.6666666666666667</v>
      </c>
      <c r="AY132" s="2">
        <f t="shared" si="72"/>
        <v>0</v>
      </c>
      <c r="AZ132" s="2">
        <f t="shared" si="73"/>
        <v>0</v>
      </c>
      <c r="BA132">
        <f t="shared" si="74"/>
        <v>0</v>
      </c>
      <c r="BB132">
        <f>IFERROR(Player_Analysis!$Y132,1)</f>
        <v>1.1225346020761244</v>
      </c>
      <c r="BC132">
        <f t="shared" si="75"/>
        <v>0</v>
      </c>
      <c r="BD132">
        <f t="shared" si="76"/>
        <v>0</v>
      </c>
      <c r="BE132">
        <f t="shared" si="77"/>
        <v>0</v>
      </c>
      <c r="BF132">
        <f t="shared" si="78"/>
        <v>253</v>
      </c>
      <c r="BG132">
        <f>IF($BE132="","",COUNTIFS($C$2:$C$596,$C132,$BE$2:$BE$596,"&gt;"&amp;$BE132)+COUNTIFS($C$2:$C132,$C132,$BE$2:$BE132,$BE132))</f>
        <v>143</v>
      </c>
    </row>
    <row r="133" spans="1:59" x14ac:dyDescent="0.25">
      <c r="A133" t="str">
        <f>Player_Analysis!A133</f>
        <v>Jack Hinshelwood</v>
      </c>
      <c r="B133">
        <f>Player_Analysis!C133</f>
        <v>5</v>
      </c>
      <c r="C133" t="str">
        <f>Player_Analysis!B133</f>
        <v>MID</v>
      </c>
      <c r="D133" s="13">
        <f>Player_Analysis!E133</f>
        <v>6</v>
      </c>
      <c r="E133">
        <f>Player_Analysis!I133</f>
        <v>63</v>
      </c>
      <c r="F133" s="8">
        <f>Player_Analysis!Z133</f>
        <v>1</v>
      </c>
      <c r="G133" s="17">
        <f t="shared" si="53"/>
        <v>1</v>
      </c>
      <c r="H133">
        <f t="shared" si="54"/>
        <v>90</v>
      </c>
      <c r="I133" s="8">
        <f>Player_Analysis!AF133</f>
        <v>2</v>
      </c>
      <c r="J133" s="8">
        <f>Player_Analysis!AG133</f>
        <v>0</v>
      </c>
      <c r="K133">
        <f>Player_Analysis!O133</f>
        <v>1.41</v>
      </c>
      <c r="L133">
        <f>Player_Analysis!P133</f>
        <v>0.02</v>
      </c>
      <c r="M133">
        <f t="shared" si="55"/>
        <v>2.0142857142857142</v>
      </c>
      <c r="N133">
        <f t="shared" si="56"/>
        <v>2.8571428571428571E-2</v>
      </c>
      <c r="O133" s="2">
        <f>IF(E133=0,"",Player_Analysis!L133/E133*90)</f>
        <v>22.857142857142854</v>
      </c>
      <c r="P133">
        <f>IF(E133=0,"",Player_Analysis!Q133/E133*90)</f>
        <v>2.0428571428571427</v>
      </c>
      <c r="Q133">
        <f>IF(E133=0,"",(Player_Analysis!AD133/E133)*90)</f>
        <v>77.142857142857139</v>
      </c>
      <c r="R133">
        <f>IF(E133=0,"",Player_Analysis!AA133/E133*90)</f>
        <v>4.2857142857142856</v>
      </c>
      <c r="S133">
        <f t="array" ref="S133">IFERROR(INDEX('2023_24'!$O:$O,MATCH($A133,'2023_24'!$A:$A,0)),"")</f>
        <v>0.21824480369515012</v>
      </c>
      <c r="T133">
        <f>IFERROR(INDEX('2024_25'!$P:$P,MATCH($A133,'2024_25'!$A:$A,0)),"")</f>
        <v>0.134094616639478</v>
      </c>
      <c r="U133">
        <f>IFERROR(INDEX('2025_26'!$P:$P,MATCH($A133,'2025_26'!$A:$A,0)),"")</f>
        <v>0.25610599078341018</v>
      </c>
      <c r="V133">
        <f>IFERROR(INDEX('2023_24'!$P:$P,MATCH($A133,'2023_24'!$A:$A,0)),"")</f>
        <v>3.7413394919168591E-2</v>
      </c>
      <c r="W133">
        <f>IFERROR(INDEX('2024_25'!$Q:$Q,MATCH($A133,'2024_25'!$A:$A,0)),"")</f>
        <v>7.3409461663947795E-2</v>
      </c>
      <c r="X133">
        <f>IFERROR(INDEX('2025_26'!$Q:$Q,MATCH($A133,'2025_26'!$A:$A,0)),"")</f>
        <v>0.12131336405529952</v>
      </c>
      <c r="Y133">
        <f>IFERROR(INDEX('2023_24'!$M:$M,MATCH($A133,'2023_24'!$A:$A,0))/INDEX('2023_24'!$G:$G,MATCH($A133,'2023_24'!$A:$A,0))*90,"")</f>
        <v>4.3648960739030027</v>
      </c>
      <c r="Z133">
        <f>IFERROR(INDEX('2024_25'!$M:$M,MATCH($A133,'2024_25'!$A:$A,0))/INDEX('2024_25'!$G:$G,MATCH($A133,'2024_25'!$A:$A,0))*90,"")</f>
        <v>4.3556280587275689</v>
      </c>
      <c r="AA133">
        <f>IFERROR(INDEX('2025_26'!$M:$M,MATCH($A133,'2025_26'!$A:$A,0))/INDEX('2025_26'!$G:$G,MATCH($A133,'2025_26'!$A:$A,0))*90,"")</f>
        <v>4.717741935483871</v>
      </c>
      <c r="AB133">
        <f>IFERROR(SUMPRODUCT(S133:U133,{0.2,0.3,0.5})/SUMPRODUCT(--(S133:U133&lt;&gt;""),{0.2,0.3,0.5}),"")</f>
        <v>0.21193034112257852</v>
      </c>
      <c r="AC133">
        <f>IFERROR(SUMPRODUCT(V133:X133,{0.2,0.3,0.5})/SUMPRODUCT(--(V133:X133&lt;&gt;""),{0.2,0.3,0.5}),"")</f>
        <v>9.0162199510667812E-2</v>
      </c>
      <c r="AD133">
        <f>IFERROR(SUMPRODUCT(Y133:AA133,{0.2,0.3,0.5})/SUMPRODUCT((Y133:AA133&lt;&gt;"")*{0.2,0.3,0.5}),O133)</f>
        <v>4.5385386001408072</v>
      </c>
      <c r="AE133">
        <f t="shared" si="57"/>
        <v>3</v>
      </c>
      <c r="AF133">
        <f t="shared" si="58"/>
        <v>63</v>
      </c>
      <c r="AG133">
        <f t="shared" si="59"/>
        <v>0.59042496948683709</v>
      </c>
      <c r="AH133">
        <f t="shared" si="60"/>
        <v>7.7228137613427575E-2</v>
      </c>
      <c r="AI133" s="2">
        <f t="shared" si="61"/>
        <v>8.3854454941112362</v>
      </c>
      <c r="AJ133">
        <f t="shared" si="62"/>
        <v>0.21</v>
      </c>
      <c r="AK133" t="str">
        <f t="shared" si="63"/>
        <v>NO</v>
      </c>
      <c r="AL133">
        <f t="shared" si="64"/>
        <v>0.59042496948683709</v>
      </c>
      <c r="AM133">
        <f t="shared" si="65"/>
        <v>7.7228137613427575E-2</v>
      </c>
      <c r="AN133">
        <f t="shared" si="66"/>
        <v>0.59042496948683709</v>
      </c>
      <c r="AO133">
        <f t="shared" si="67"/>
        <v>7.7228137613427575E-2</v>
      </c>
      <c r="AP133">
        <f t="array" ref="AP133">AL133*IF($C133="GKP",10,IF($C133="DEF",6,IF($C133="MID",5,4)))</f>
        <v>2.9521248474341855</v>
      </c>
      <c r="AQ133">
        <f t="shared" si="68"/>
        <v>0.23168441284028274</v>
      </c>
      <c r="AR133">
        <f t="shared" si="69"/>
        <v>2</v>
      </c>
      <c r="AS133" s="2">
        <f>IF($H133=0,0,Player_Analysis!$AM133*$H133/90)</f>
        <v>1</v>
      </c>
      <c r="AT133">
        <f t="shared" si="70"/>
        <v>0.7142857142857143</v>
      </c>
      <c r="AU133" s="2">
        <f>0</f>
        <v>0</v>
      </c>
      <c r="AV133" s="2">
        <f>IF(INDEX(FPL_Raw_Data!K:K,MATCH(A133,FPL_Raw_Data!AA:AA,0))=0,"",INDEX(FPL_Raw_Data!P:P,MATCH(A133,FPL_Raw_Data!AA:AA,0))/INDEX(FPL_Raw_Data!K:K,MATCH(A133,FPL_Raw_Data!AA:AA,0))*90)</f>
        <v>0</v>
      </c>
      <c r="AW133" s="2">
        <f t="shared" si="71"/>
        <v>0</v>
      </c>
      <c r="AX133" s="2">
        <f>IFERROR(INDEX(TEAM_ANALYSIS!$H$2:$H$21,MATCH($B133,TEAM_ANALYSIS!$A$2:$A$21,0)),0)</f>
        <v>1.6666666666666667</v>
      </c>
      <c r="AY133" s="2">
        <f t="shared" si="72"/>
        <v>0</v>
      </c>
      <c r="AZ133" s="2">
        <f t="shared" si="73"/>
        <v>6.8980949745601832</v>
      </c>
      <c r="BA133">
        <f t="shared" si="74"/>
        <v>1.1496824957600305</v>
      </c>
      <c r="BB133">
        <f>IFERROR(Player_Analysis!$Y133,1)</f>
        <v>1.1225346020761244</v>
      </c>
      <c r="BC133">
        <f t="shared" si="75"/>
        <v>7.7433502973512285</v>
      </c>
      <c r="BD133">
        <f t="shared" si="76"/>
        <v>8.9023942954029351</v>
      </c>
      <c r="BE133">
        <f t="shared" si="77"/>
        <v>7.7433502973512285</v>
      </c>
      <c r="BF133">
        <f t="shared" si="78"/>
        <v>13</v>
      </c>
      <c r="BG133">
        <f>IF($BE133="","",COUNTIFS($C$2:$C$596,$C133,$BE$2:$BE$596,"&gt;"&amp;$BE133)+COUNTIFS($C$2:$C133,$C133,$BE$2:$BE133,$BE133))</f>
        <v>3</v>
      </c>
    </row>
    <row r="134" spans="1:59" x14ac:dyDescent="0.25">
      <c r="A134" t="str">
        <f>Player_Analysis!A134</f>
        <v>Pascal Groß</v>
      </c>
      <c r="B134">
        <f>Player_Analysis!C134</f>
        <v>5</v>
      </c>
      <c r="C134" t="str">
        <f>Player_Analysis!B134</f>
        <v>MID</v>
      </c>
      <c r="D134" s="13">
        <f>Player_Analysis!E134</f>
        <v>5.5</v>
      </c>
      <c r="E134">
        <f>Player_Analysis!I134</f>
        <v>270</v>
      </c>
      <c r="F134" s="8">
        <f>Player_Analysis!Z134</f>
        <v>3</v>
      </c>
      <c r="G134" s="17">
        <f t="shared" si="53"/>
        <v>1</v>
      </c>
      <c r="H134">
        <f t="shared" si="54"/>
        <v>90</v>
      </c>
      <c r="I134" s="8">
        <f>Player_Analysis!AF134</f>
        <v>1</v>
      </c>
      <c r="J134" s="8">
        <f>Player_Analysis!AG134</f>
        <v>1</v>
      </c>
      <c r="K134">
        <f>Player_Analysis!O134</f>
        <v>0.84</v>
      </c>
      <c r="L134">
        <f>Player_Analysis!P134</f>
        <v>0.42</v>
      </c>
      <c r="M134">
        <f t="shared" si="55"/>
        <v>0.27999999999999997</v>
      </c>
      <c r="N134">
        <f t="shared" si="56"/>
        <v>0.13999999999999999</v>
      </c>
      <c r="O134" s="2">
        <f>IF(E134=0,"",Player_Analysis!L134/E134*90)</f>
        <v>5.3333333333333339</v>
      </c>
      <c r="P134">
        <f>IF(E134=0,"",Player_Analysis!Q134/E134*90)</f>
        <v>0.42000000000000004</v>
      </c>
      <c r="Q134">
        <f>IF(E134=0,"",(Player_Analysis!AD134/E134)*90)</f>
        <v>21</v>
      </c>
      <c r="R134">
        <f>IF(E134=0,"",Player_Analysis!AA134/E134*90)</f>
        <v>5</v>
      </c>
      <c r="S134">
        <f t="array" ref="S134">IFERROR(INDEX('2023_24'!$O:$O,MATCH($A134,'2023_24'!$A:$A,0)),"")</f>
        <v>0.18508997429305915</v>
      </c>
      <c r="T134">
        <f>IFERROR(INDEX('2024_25'!$P:$P,MATCH($A134,'2024_25'!$A:$A,0)),"")</f>
        <v>0</v>
      </c>
      <c r="U134">
        <f>IFERROR(INDEX('2025_26'!$P:$P,MATCH($A134,'2025_26'!$A:$A,0)),"")</f>
        <v>7.6466992665036662E-2</v>
      </c>
      <c r="V134">
        <f>IFERROR(INDEX('2023_24'!$P:$P,MATCH($A134,'2023_24'!$A:$A,0)),"")</f>
        <v>0.25710154241645244</v>
      </c>
      <c r="W134">
        <f>IFERROR(INDEX('2024_25'!$Q:$Q,MATCH($A134,'2024_25'!$A:$A,0)),"")</f>
        <v>0</v>
      </c>
      <c r="X134">
        <f>IFERROR(INDEX('2025_26'!$Q:$Q,MATCH($A134,'2025_26'!$A:$A,0)),"")</f>
        <v>0.21729828850855748</v>
      </c>
      <c r="Y134">
        <f>IFERROR(INDEX('2023_24'!$M:$M,MATCH($A134,'2023_24'!$A:$A,0))/INDEX('2023_24'!$G:$G,MATCH($A134,'2023_24'!$A:$A,0))*90,"")</f>
        <v>4.4248071979434451</v>
      </c>
      <c r="Z134" t="str">
        <f>IFERROR(INDEX('2024_25'!$M:$M,MATCH($A134,'2024_25'!$A:$A,0))/INDEX('2024_25'!$G:$G,MATCH($A134,'2024_25'!$A:$A,0))*90,"")</f>
        <v/>
      </c>
      <c r="AA134">
        <f>IFERROR(INDEX('2025_26'!$M:$M,MATCH($A134,'2025_26'!$A:$A,0))/INDEX('2025_26'!$G:$G,MATCH($A134,'2025_26'!$A:$A,0))*90,"")</f>
        <v>4.2909535452322736</v>
      </c>
      <c r="AB134">
        <f>IFERROR(SUMPRODUCT(S134:U134,{0.2,0.3,0.5})/SUMPRODUCT(--(S134:U134&lt;&gt;""),{0.2,0.3,0.5}),"")</f>
        <v>7.5251491191130171E-2</v>
      </c>
      <c r="AC134">
        <f>IFERROR(SUMPRODUCT(V134:X134,{0.2,0.3,0.5})/SUMPRODUCT(--(V134:X134&lt;&gt;""),{0.2,0.3,0.5}),"")</f>
        <v>0.16006945273756923</v>
      </c>
      <c r="AD134">
        <f>IFERROR(SUMPRODUCT(Y134:AA134,{0.2,0.3,0.5})/SUMPRODUCT((Y134:AA134&lt;&gt;"")*{0.2,0.3,0.5}),O134)</f>
        <v>4.3291974460068943</v>
      </c>
      <c r="AE134">
        <f t="shared" si="57"/>
        <v>3</v>
      </c>
      <c r="AF134">
        <f t="shared" si="58"/>
        <v>90</v>
      </c>
      <c r="AG134">
        <f t="shared" si="59"/>
        <v>0.25952514911911301</v>
      </c>
      <c r="AH134">
        <f t="shared" si="60"/>
        <v>0.14200694527375693</v>
      </c>
      <c r="AI134" s="2">
        <f t="shared" si="61"/>
        <v>5.2329197446006903</v>
      </c>
      <c r="AJ134">
        <f t="shared" si="62"/>
        <v>0.9</v>
      </c>
      <c r="AK134" t="str">
        <f t="shared" si="63"/>
        <v>NO</v>
      </c>
      <c r="AL134">
        <f t="shared" si="64"/>
        <v>0.25952514911911301</v>
      </c>
      <c r="AM134">
        <f t="shared" si="65"/>
        <v>0.14200694527375693</v>
      </c>
      <c r="AN134">
        <f t="shared" si="66"/>
        <v>0.25952514911911301</v>
      </c>
      <c r="AO134">
        <f t="shared" si="67"/>
        <v>0.14200694527375693</v>
      </c>
      <c r="AP134">
        <f t="array" ref="AP134">AL134*IF($C134="GKP",10,IF($C134="DEF",6,IF($C134="MID",5,4)))</f>
        <v>1.2976257455955651</v>
      </c>
      <c r="AQ134">
        <f t="shared" si="68"/>
        <v>0.42602083582127082</v>
      </c>
      <c r="AR134">
        <f t="shared" si="69"/>
        <v>2</v>
      </c>
      <c r="AS134" s="2">
        <f>IF($H134=0,0,Player_Analysis!$AM134*$H134/90)</f>
        <v>0.33333333333333331</v>
      </c>
      <c r="AT134">
        <f t="shared" si="70"/>
        <v>0.83333333333333337</v>
      </c>
      <c r="AU134" s="2">
        <f>0</f>
        <v>0</v>
      </c>
      <c r="AV134" s="2">
        <f>IF(INDEX(FPL_Raw_Data!K:K,MATCH(A134,FPL_Raw_Data!AA:AA,0))=0,"",INDEX(FPL_Raw_Data!P:P,MATCH(A134,FPL_Raw_Data!AA:AA,0))/INDEX(FPL_Raw_Data!K:K,MATCH(A134,FPL_Raw_Data!AA:AA,0))*90)</f>
        <v>0</v>
      </c>
      <c r="AW134" s="2">
        <f t="shared" si="71"/>
        <v>0</v>
      </c>
      <c r="AX134" s="2">
        <f>IFERROR(INDEX(TEAM_ANALYSIS!$H$2:$H$21,MATCH($B134,TEAM_ANALYSIS!$A$2:$A$21,0)),0)</f>
        <v>1.6666666666666667</v>
      </c>
      <c r="AY134" s="2">
        <f t="shared" si="72"/>
        <v>0</v>
      </c>
      <c r="AZ134" s="2">
        <f t="shared" si="73"/>
        <v>4.8903132480835021</v>
      </c>
      <c r="BA134">
        <f t="shared" si="74"/>
        <v>0.88914786328790951</v>
      </c>
      <c r="BB134">
        <f>IFERROR(Player_Analysis!$Y134,1)</f>
        <v>1.1225346020761244</v>
      </c>
      <c r="BC134">
        <f t="shared" si="75"/>
        <v>5.4895458359650133</v>
      </c>
      <c r="BD134">
        <f t="shared" si="76"/>
        <v>4.8810179504693325</v>
      </c>
      <c r="BE134">
        <f t="shared" si="77"/>
        <v>5.4895458359650133</v>
      </c>
      <c r="BF134">
        <f t="shared" si="78"/>
        <v>66</v>
      </c>
      <c r="BG134">
        <f>IF($BE134="","",COUNTIFS($C$2:$C$596,$C134,$BE$2:$BE$596,"&gt;"&amp;$BE134)+COUNTIFS($C$2:$C134,$C134,$BE$2:$BE134,$BE134))</f>
        <v>28</v>
      </c>
    </row>
    <row r="135" spans="1:59" x14ac:dyDescent="0.25">
      <c r="A135" t="str">
        <f>Player_Analysis!A135</f>
        <v>Georginio Rutter</v>
      </c>
      <c r="B135">
        <f>Player_Analysis!C135</f>
        <v>5</v>
      </c>
      <c r="C135" t="str">
        <f>Player_Analysis!B135</f>
        <v>FWD</v>
      </c>
      <c r="D135" s="13">
        <f>Player_Analysis!E135</f>
        <v>5.5</v>
      </c>
      <c r="E135">
        <f>Player_Analysis!I135</f>
        <v>90</v>
      </c>
      <c r="F135" s="8">
        <f>Player_Analysis!Z135</f>
        <v>1</v>
      </c>
      <c r="G135" s="17">
        <f t="shared" si="53"/>
        <v>1</v>
      </c>
      <c r="H135">
        <f t="shared" si="54"/>
        <v>90</v>
      </c>
      <c r="I135" s="8">
        <f>Player_Analysis!AF135</f>
        <v>0</v>
      </c>
      <c r="J135" s="8">
        <f>Player_Analysis!AG135</f>
        <v>1</v>
      </c>
      <c r="K135">
        <f>Player_Analysis!O135</f>
        <v>0.08</v>
      </c>
      <c r="L135">
        <f>Player_Analysis!P135</f>
        <v>0.44</v>
      </c>
      <c r="M135">
        <f t="shared" si="55"/>
        <v>0.08</v>
      </c>
      <c r="N135">
        <f t="shared" si="56"/>
        <v>0.44</v>
      </c>
      <c r="O135" s="2">
        <f>IF(E135=0,"",Player_Analysis!L135/E135*90)</f>
        <v>5</v>
      </c>
      <c r="P135">
        <f>IF(E135=0,"",Player_Analysis!Q135/E135*90)</f>
        <v>0.52</v>
      </c>
      <c r="Q135">
        <f>IF(E135=0,"",(Player_Analysis!AD135/E135)*90)</f>
        <v>22</v>
      </c>
      <c r="R135">
        <f>IF(E135=0,"",Player_Analysis!AA135/E135*90)</f>
        <v>7</v>
      </c>
      <c r="S135" t="str">
        <f t="array" ref="S135">IFERROR(INDEX('2023_24'!$O:$O,MATCH($A135,'2023_24'!$A:$A,0)),"")</f>
        <v/>
      </c>
      <c r="T135">
        <f>IFERROR(INDEX('2024_25'!$P:$P,MATCH($A135,'2024_25'!$A:$A,0)),"")</f>
        <v>0.24912174439733498</v>
      </c>
      <c r="U135">
        <f>IFERROR(INDEX('2025_26'!$P:$P,MATCH($A135,'2025_26'!$A:$A,0)),"")</f>
        <v>0.14695945945945946</v>
      </c>
      <c r="V135" t="str">
        <f>IFERROR(INDEX('2023_24'!$P:$P,MATCH($A135,'2023_24'!$A:$A,0)),"")</f>
        <v/>
      </c>
      <c r="W135">
        <f>IFERROR(INDEX('2024_25'!$Q:$Q,MATCH($A135,'2024_25'!$A:$A,0)),"")</f>
        <v>9.1035735917625663E-2</v>
      </c>
      <c r="X135">
        <f>IFERROR(INDEX('2025_26'!$Q:$Q,MATCH($A135,'2025_26'!$A:$A,0)),"")</f>
        <v>0.14695945945945946</v>
      </c>
      <c r="Y135" t="str">
        <f>IFERROR(INDEX('2023_24'!$M:$M,MATCH($A135,'2023_24'!$A:$A,0))/INDEX('2023_24'!$G:$G,MATCH($A135,'2023_24'!$A:$A,0))*90,"")</f>
        <v/>
      </c>
      <c r="Z135">
        <f>IFERROR(INDEX('2024_25'!$M:$M,MATCH($A135,'2024_25'!$A:$A,0))/INDEX('2024_25'!$G:$G,MATCH($A135,'2024_25'!$A:$A,0))*90,"")</f>
        <v>5.1786795881284071</v>
      </c>
      <c r="AA135">
        <f>IFERROR(INDEX('2025_26'!$M:$M,MATCH($A135,'2025_26'!$A:$A,0))/INDEX('2025_26'!$G:$G,MATCH($A135,'2025_26'!$A:$A,0))*90,"")</f>
        <v>4.4087837837837833</v>
      </c>
      <c r="AB135">
        <f>IFERROR(SUMPRODUCT(S135:U135,{0.2,0.3,0.5})/SUMPRODUCT(--(S135:U135&lt;&gt;""),{0.2,0.3,0.5}),"")</f>
        <v>0.18527031631116275</v>
      </c>
      <c r="AC135">
        <f>IFERROR(SUMPRODUCT(V135:X135,{0.2,0.3,0.5})/SUMPRODUCT(--(V135:X135&lt;&gt;""),{0.2,0.3,0.5}),"")</f>
        <v>0.12598806313127175</v>
      </c>
      <c r="AD135">
        <f>IFERROR(SUMPRODUCT(Y135:AA135,{0.2,0.3,0.5})/SUMPRODUCT((Y135:AA135&lt;&gt;"")*{0.2,0.3,0.5}),O135)</f>
        <v>4.6974947104130171</v>
      </c>
      <c r="AE135">
        <f t="shared" si="57"/>
        <v>2</v>
      </c>
      <c r="AF135">
        <f t="shared" si="58"/>
        <v>90</v>
      </c>
      <c r="AG135">
        <f t="shared" si="59"/>
        <v>0.15368922141781391</v>
      </c>
      <c r="AH135">
        <f t="shared" si="60"/>
        <v>0.22019164419189025</v>
      </c>
      <c r="AI135" s="2">
        <f t="shared" si="61"/>
        <v>4.7882462972891116</v>
      </c>
      <c r="AJ135">
        <f t="shared" si="62"/>
        <v>0.3</v>
      </c>
      <c r="AK135" t="str">
        <f t="shared" si="63"/>
        <v>NO</v>
      </c>
      <c r="AL135">
        <f t="shared" si="64"/>
        <v>0.15368922141781391</v>
      </c>
      <c r="AM135">
        <f t="shared" si="65"/>
        <v>0.22019164419189025</v>
      </c>
      <c r="AN135">
        <f t="shared" si="66"/>
        <v>0.15368922141781391</v>
      </c>
      <c r="AO135">
        <f t="shared" si="67"/>
        <v>0.22019164419189025</v>
      </c>
      <c r="AP135">
        <f t="array" ref="AP135">AL135*IF($C135="GKP",10,IF($C135="DEF",6,IF($C135="MID",5,4)))</f>
        <v>0.61475688567125564</v>
      </c>
      <c r="AQ135">
        <f t="shared" si="68"/>
        <v>0.66057493257567068</v>
      </c>
      <c r="AR135">
        <f t="shared" si="69"/>
        <v>2</v>
      </c>
      <c r="AS135" s="2">
        <f>IF($H135=0,0,Player_Analysis!$AM135*$H135/90)</f>
        <v>0</v>
      </c>
      <c r="AT135">
        <f t="shared" si="70"/>
        <v>1.1666666666666667</v>
      </c>
      <c r="AU135" s="2">
        <f>0</f>
        <v>0</v>
      </c>
      <c r="AV135" s="2">
        <f>IF(INDEX(FPL_Raw_Data!K:K,MATCH(A135,FPL_Raw_Data!AA:AA,0))=0,"",INDEX(FPL_Raw_Data!P:P,MATCH(A135,FPL_Raw_Data!AA:AA,0))/INDEX(FPL_Raw_Data!K:K,MATCH(A135,FPL_Raw_Data!AA:AA,0))*90)</f>
        <v>0</v>
      </c>
      <c r="AW135" s="2">
        <f t="shared" si="71"/>
        <v>0</v>
      </c>
      <c r="AX135" s="2">
        <f>IFERROR(INDEX(TEAM_ANALYSIS!$H$2:$H$21,MATCH($B135,TEAM_ANALYSIS!$A$2:$A$21,0)),0)</f>
        <v>1.6666666666666667</v>
      </c>
      <c r="AY135" s="2">
        <f t="shared" si="72"/>
        <v>0</v>
      </c>
      <c r="AZ135" s="2">
        <f t="shared" si="73"/>
        <v>4.4419984849135927</v>
      </c>
      <c r="BA135">
        <f t="shared" si="74"/>
        <v>0.80763608816610777</v>
      </c>
      <c r="BB135">
        <f>IFERROR(Player_Analysis!$Y135,1)</f>
        <v>1.1225346020761244</v>
      </c>
      <c r="BC135">
        <f t="shared" si="75"/>
        <v>4.9862970016852275</v>
      </c>
      <c r="BD135">
        <f t="shared" si="76"/>
        <v>4.0271134048754496</v>
      </c>
      <c r="BE135">
        <f t="shared" si="77"/>
        <v>4.9862970016852275</v>
      </c>
      <c r="BF135">
        <f t="shared" si="78"/>
        <v>93</v>
      </c>
      <c r="BG135">
        <f>IF($BE135="","",COUNTIFS($C$2:$C$596,$C135,$BE$2:$BE$596,"&gt;"&amp;$BE135)+COUNTIFS($C$2:$C135,$C135,$BE$2:$BE135,$BE135))</f>
        <v>10</v>
      </c>
    </row>
    <row r="136" spans="1:59" x14ac:dyDescent="0.25">
      <c r="A136" t="str">
        <f>Player_Analysis!A136</f>
        <v>Matt O'Riley</v>
      </c>
      <c r="B136">
        <f>Player_Analysis!C136</f>
        <v>5</v>
      </c>
      <c r="C136" t="str">
        <f>Player_Analysis!B136</f>
        <v>MID</v>
      </c>
      <c r="D136" s="13">
        <f>Player_Analysis!E136</f>
        <v>5.5</v>
      </c>
      <c r="E136">
        <f>Player_Analysis!I136</f>
        <v>0</v>
      </c>
      <c r="F136" s="8">
        <f>Player_Analysis!Z136</f>
        <v>0</v>
      </c>
      <c r="G136" s="17">
        <f t="shared" si="53"/>
        <v>0</v>
      </c>
      <c r="H136">
        <f t="shared" si="54"/>
        <v>0</v>
      </c>
      <c r="I136" s="8">
        <f>Player_Analysis!AF136</f>
        <v>0</v>
      </c>
      <c r="J136" s="8">
        <f>Player_Analysis!AG136</f>
        <v>0</v>
      </c>
      <c r="K136">
        <f>Player_Analysis!O136</f>
        <v>0</v>
      </c>
      <c r="L136">
        <f>Player_Analysis!P136</f>
        <v>0</v>
      </c>
      <c r="M136" t="str">
        <f t="shared" si="55"/>
        <v/>
      </c>
      <c r="N136" t="str">
        <f t="shared" si="56"/>
        <v/>
      </c>
      <c r="O136" s="2" t="str">
        <f>IF(E136=0,"",Player_Analysis!L136/E136*90)</f>
        <v/>
      </c>
      <c r="P136" t="str">
        <f>IF(E136=0,"",Player_Analysis!Q136/E136*90)</f>
        <v/>
      </c>
      <c r="Q136" t="str">
        <f>IF(E136=0,"",(Player_Analysis!AD136/E136)*90)</f>
        <v/>
      </c>
      <c r="R136" t="str">
        <f>IF(E136=0,"",Player_Analysis!AA136/E136*90)</f>
        <v/>
      </c>
      <c r="S136" t="str">
        <f t="array" ref="S136">IFERROR(INDEX('2023_24'!$O:$O,MATCH($A136,'2023_24'!$A:$A,0)),"")</f>
        <v/>
      </c>
      <c r="T136">
        <f>IFERROR(INDEX('2024_25'!$P:$P,MATCH($A136,'2024_25'!$A:$A,0)),"")</f>
        <v>0.26738428417653387</v>
      </c>
      <c r="U136">
        <f>IFERROR(INDEX('2025_26'!$P:$P,MATCH($A136,'2025_26'!$A:$A,0)),"")</f>
        <v>0.53910891089108914</v>
      </c>
      <c r="V136" t="str">
        <f>IFERROR(INDEX('2023_24'!$P:$P,MATCH($A136,'2023_24'!$A:$A,0)),"")</f>
        <v/>
      </c>
      <c r="W136">
        <f>IFERROR(INDEX('2024_25'!$Q:$Q,MATCH($A136,'2024_25'!$A:$A,0)),"")</f>
        <v>0.19763186221743811</v>
      </c>
      <c r="X136">
        <f>IFERROR(INDEX('2025_26'!$Q:$Q,MATCH($A136,'2025_26'!$A:$A,0)),"")</f>
        <v>8.0198019801980186E-2</v>
      </c>
      <c r="Y136" t="str">
        <f>IFERROR(INDEX('2023_24'!$M:$M,MATCH($A136,'2023_24'!$A:$A,0))/INDEX('2023_24'!$G:$G,MATCH($A136,'2023_24'!$A:$A,0))*90,"")</f>
        <v/>
      </c>
      <c r="Z136">
        <f>IFERROR(INDEX('2024_25'!$M:$M,MATCH($A136,'2024_25'!$A:$A,0))/INDEX('2024_25'!$G:$G,MATCH($A136,'2024_25'!$A:$A,0))*90,"")</f>
        <v>4.8439181916038754</v>
      </c>
      <c r="AA136">
        <f>IFERROR(INDEX('2025_26'!$M:$M,MATCH($A136,'2025_26'!$A:$A,0))/INDEX('2025_26'!$G:$G,MATCH($A136,'2025_26'!$A:$A,0))*90,"")</f>
        <v>7.1287128712871288</v>
      </c>
      <c r="AB136">
        <f>IFERROR(SUMPRODUCT(S136:U136,{0.2,0.3,0.5})/SUMPRODUCT(--(S136:U136&lt;&gt;""),{0.2,0.3,0.5}),"")</f>
        <v>0.43721217587313094</v>
      </c>
      <c r="AC136">
        <f>IFERROR(SUMPRODUCT(V136:X136,{0.2,0.3,0.5})/SUMPRODUCT(--(V136:X136&lt;&gt;""),{0.2,0.3,0.5}),"")</f>
        <v>0.12423571070777691</v>
      </c>
      <c r="AD136">
        <f>IFERROR(SUMPRODUCT(Y136:AA136,{0.2,0.3,0.5})/SUMPRODUCT((Y136:AA136&lt;&gt;"")*{0.2,0.3,0.5}),O136)</f>
        <v>6.2719148664059086</v>
      </c>
      <c r="AE136">
        <f t="shared" si="57"/>
        <v>2</v>
      </c>
      <c r="AF136" t="str">
        <f t="shared" si="58"/>
        <v/>
      </c>
      <c r="AG136">
        <f t="shared" si="59"/>
        <v>0.43721217587313094</v>
      </c>
      <c r="AH136">
        <f t="shared" si="60"/>
        <v>0.12423571070777691</v>
      </c>
      <c r="AI136" s="2">
        <f t="shared" si="61"/>
        <v>6.2719148664059086</v>
      </c>
      <c r="AJ136">
        <f t="shared" si="62"/>
        <v>0</v>
      </c>
      <c r="AK136" t="str">
        <f t="shared" si="63"/>
        <v>NO</v>
      </c>
      <c r="AL136">
        <f t="shared" si="64"/>
        <v>0</v>
      </c>
      <c r="AM136">
        <f t="shared" si="65"/>
        <v>0</v>
      </c>
      <c r="AN136">
        <f t="shared" si="66"/>
        <v>0</v>
      </c>
      <c r="AO136">
        <f t="shared" si="67"/>
        <v>0</v>
      </c>
      <c r="AP136">
        <f t="array" ref="AP136">AL136*IF($C136="GKP",10,IF($C136="DEF",6,IF($C136="MID",5,4)))</f>
        <v>0</v>
      </c>
      <c r="AQ136">
        <f t="shared" si="68"/>
        <v>0</v>
      </c>
      <c r="AR136">
        <f t="shared" si="69"/>
        <v>0</v>
      </c>
      <c r="AS136" s="2">
        <f>IF($H136=0,0,Player_Analysis!$AM136*$H136/90)</f>
        <v>0</v>
      </c>
      <c r="AT136">
        <f t="shared" si="70"/>
        <v>0</v>
      </c>
      <c r="AU136" s="2">
        <f>0</f>
        <v>0</v>
      </c>
      <c r="AV136" s="2" t="str">
        <f>IF(INDEX(FPL_Raw_Data!K:K,MATCH(A136,FPL_Raw_Data!AA:AA,0))=0,"",INDEX(FPL_Raw_Data!P:P,MATCH(A136,FPL_Raw_Data!AA:AA,0))/INDEX(FPL_Raw_Data!K:K,MATCH(A136,FPL_Raw_Data!AA:AA,0))*90)</f>
        <v/>
      </c>
      <c r="AW136" s="2">
        <f t="shared" si="71"/>
        <v>0</v>
      </c>
      <c r="AX136" s="2">
        <f>IFERROR(INDEX(TEAM_ANALYSIS!$H$2:$H$21,MATCH($B136,TEAM_ANALYSIS!$A$2:$A$21,0)),0)</f>
        <v>1.6666666666666667</v>
      </c>
      <c r="AY136" s="2">
        <f t="shared" si="72"/>
        <v>0</v>
      </c>
      <c r="AZ136" s="2">
        <f t="shared" si="73"/>
        <v>0</v>
      </c>
      <c r="BA136">
        <f t="shared" si="74"/>
        <v>0</v>
      </c>
      <c r="BB136">
        <f>IFERROR(Player_Analysis!$Y136,1)</f>
        <v>1.1225346020761244</v>
      </c>
      <c r="BC136">
        <f t="shared" si="75"/>
        <v>0</v>
      </c>
      <c r="BD136">
        <f t="shared" si="76"/>
        <v>0</v>
      </c>
      <c r="BE136">
        <f t="shared" si="77"/>
        <v>0</v>
      </c>
      <c r="BF136">
        <f t="shared" si="78"/>
        <v>253</v>
      </c>
      <c r="BG136">
        <f>IF($BE136="","",COUNTIFS($C$2:$C$596,$C136,$BE$2:$BE$596,"&gt;"&amp;$BE136)+COUNTIFS($C$2:$C136,$C136,$BE$2:$BE136,$BE136))</f>
        <v>144</v>
      </c>
    </row>
    <row r="137" spans="1:59" x14ac:dyDescent="0.25">
      <c r="A137" t="str">
        <f>Player_Analysis!A137</f>
        <v>Diego Gómez Amarilla</v>
      </c>
      <c r="B137">
        <f>Player_Analysis!C137</f>
        <v>5</v>
      </c>
      <c r="C137" t="str">
        <f>Player_Analysis!B137</f>
        <v>MID</v>
      </c>
      <c r="D137" s="13">
        <f>Player_Analysis!E137</f>
        <v>5</v>
      </c>
      <c r="E137">
        <f>Player_Analysis!I137</f>
        <v>265</v>
      </c>
      <c r="F137" s="8">
        <f>Player_Analysis!Z137</f>
        <v>3</v>
      </c>
      <c r="G137" s="17">
        <f t="shared" si="53"/>
        <v>1</v>
      </c>
      <c r="H137">
        <f t="shared" si="54"/>
        <v>90</v>
      </c>
      <c r="I137" s="8">
        <f>Player_Analysis!AF137</f>
        <v>0</v>
      </c>
      <c r="J137" s="8">
        <f>Player_Analysis!AG137</f>
        <v>2</v>
      </c>
      <c r="K137">
        <f>Player_Analysis!O137</f>
        <v>0.65</v>
      </c>
      <c r="L137">
        <f>Player_Analysis!P137</f>
        <v>0.7</v>
      </c>
      <c r="M137">
        <f t="shared" si="55"/>
        <v>0.22075471698113208</v>
      </c>
      <c r="N137">
        <f t="shared" si="56"/>
        <v>0.23773584905660375</v>
      </c>
      <c r="O137" s="2">
        <f>IF(E137=0,"",Player_Analysis!L137/E137*90)</f>
        <v>4.4150943396226419</v>
      </c>
      <c r="P137">
        <f>IF(E137=0,"",Player_Analysis!Q137/E137*90)</f>
        <v>0.45849056603773586</v>
      </c>
      <c r="Q137">
        <f>IF(E137=0,"",(Player_Analysis!AD137/E137)*90)</f>
        <v>18.679245283018869</v>
      </c>
      <c r="R137">
        <f>IF(E137=0,"",Player_Analysis!AA137/E137*90)</f>
        <v>6.7924528301886786</v>
      </c>
      <c r="S137" t="str">
        <f t="array" ref="S137">IFERROR(INDEX('2023_24'!$O:$O,MATCH($A137,'2023_24'!$A:$A,0)),"")</f>
        <v/>
      </c>
      <c r="T137" t="str">
        <f>IFERROR(INDEX('2024_25'!$P:$P,MATCH($A137,'2024_25'!$A:$A,0)),"")</f>
        <v/>
      </c>
      <c r="U137">
        <f>IFERROR(INDEX('2025_26'!$P:$P,MATCH($A137,'2025_26'!$A:$A,0)),"")</f>
        <v>0.26528105810108643</v>
      </c>
      <c r="V137" t="str">
        <f>IFERROR(INDEX('2023_24'!$P:$P,MATCH($A137,'2023_24'!$A:$A,0)),"")</f>
        <v/>
      </c>
      <c r="W137" t="str">
        <f>IFERROR(INDEX('2024_25'!$Q:$Q,MATCH($A137,'2024_25'!$A:$A,0)),"")</f>
        <v/>
      </c>
      <c r="X137">
        <f>IFERROR(INDEX('2025_26'!$Q:$Q,MATCH($A137,'2025_26'!$A:$A,0)),"")</f>
        <v>7.3122342938119977E-2</v>
      </c>
      <c r="Y137" t="str">
        <f>IFERROR(INDEX('2023_24'!$M:$M,MATCH($A137,'2023_24'!$A:$A,0))/INDEX('2023_24'!$G:$G,MATCH($A137,'2023_24'!$A:$A,0))*90,"")</f>
        <v/>
      </c>
      <c r="Z137" t="str">
        <f>IFERROR(INDEX('2024_25'!$M:$M,MATCH($A137,'2024_25'!$A:$A,0))/INDEX('2024_25'!$G:$G,MATCH($A137,'2024_25'!$A:$A,0))*90,"")</f>
        <v/>
      </c>
      <c r="AA137">
        <f>IFERROR(INDEX('2025_26'!$M:$M,MATCH($A137,'2025_26'!$A:$A,0))/INDEX('2025_26'!$G:$G,MATCH($A137,'2025_26'!$A:$A,0))*90,"")</f>
        <v>4.1237600377893244</v>
      </c>
      <c r="AB137">
        <f>IFERROR(SUMPRODUCT(S137:U137,{0.2,0.3,0.5})/SUMPRODUCT(--(S137:U137&lt;&gt;""),{0.2,0.3,0.5}),"")</f>
        <v>0.26528105810108643</v>
      </c>
      <c r="AC137">
        <f>IFERROR(SUMPRODUCT(V137:X137,{0.2,0.3,0.5})/SUMPRODUCT(--(V137:X137&lt;&gt;""),{0.2,0.3,0.5}),"")</f>
        <v>7.3122342938119977E-2</v>
      </c>
      <c r="AD137">
        <f>IFERROR(SUMPRODUCT(Y137:AA137,{0.2,0.3,0.5})/SUMPRODUCT((Y137:AA137&lt;&gt;"")*{0.2,0.3,0.5}),O137)</f>
        <v>4.1237600377893244</v>
      </c>
      <c r="AE137">
        <f t="shared" si="57"/>
        <v>1</v>
      </c>
      <c r="AF137">
        <f t="shared" si="58"/>
        <v>88.333333333333329</v>
      </c>
      <c r="AG137">
        <f t="shared" si="59"/>
        <v>0.22594945677846009</v>
      </c>
      <c r="AH137">
        <f t="shared" si="60"/>
        <v>0.21853094000944728</v>
      </c>
      <c r="AI137" s="2">
        <f t="shared" si="61"/>
        <v>4.3811053377420883</v>
      </c>
      <c r="AJ137">
        <f t="shared" si="62"/>
        <v>0.8833333333333333</v>
      </c>
      <c r="AK137" t="str">
        <f t="shared" si="63"/>
        <v>NO</v>
      </c>
      <c r="AL137">
        <f t="shared" si="64"/>
        <v>0.22594945677846009</v>
      </c>
      <c r="AM137">
        <f t="shared" si="65"/>
        <v>0.21853094000944726</v>
      </c>
      <c r="AN137">
        <f t="shared" si="66"/>
        <v>0.22594945677846009</v>
      </c>
      <c r="AO137">
        <f t="shared" si="67"/>
        <v>0.21853094000944726</v>
      </c>
      <c r="AP137">
        <f t="array" ref="AP137">AL137*IF($C137="GKP",10,IF($C137="DEF",6,IF($C137="MID",5,4)))</f>
        <v>1.1297472838923004</v>
      </c>
      <c r="AQ137">
        <f t="shared" si="68"/>
        <v>0.65559282002834174</v>
      </c>
      <c r="AR137">
        <f t="shared" si="69"/>
        <v>2</v>
      </c>
      <c r="AS137" s="2">
        <f>IF($H137=0,0,Player_Analysis!$AM137*$H137/90)</f>
        <v>0.33333333333333331</v>
      </c>
      <c r="AT137">
        <f t="shared" si="70"/>
        <v>1.1320754716981132</v>
      </c>
      <c r="AU137" s="2">
        <f>0</f>
        <v>0</v>
      </c>
      <c r="AV137" s="2">
        <f>IF(INDEX(FPL_Raw_Data!K:K,MATCH(A137,FPL_Raw_Data!AA:AA,0))=0,"",INDEX(FPL_Raw_Data!P:P,MATCH(A137,FPL_Raw_Data!AA:AA,0))/INDEX(FPL_Raw_Data!K:K,MATCH(A137,FPL_Raw_Data!AA:AA,0))*90)</f>
        <v>0</v>
      </c>
      <c r="AW137" s="2">
        <f t="shared" si="71"/>
        <v>0</v>
      </c>
      <c r="AX137" s="2">
        <f>IFERROR(INDEX(TEAM_ANALYSIS!$H$2:$H$21,MATCH($B137,TEAM_ANALYSIS!$A$2:$A$21,0)),0)</f>
        <v>1.6666666666666667</v>
      </c>
      <c r="AY137" s="2">
        <f t="shared" si="72"/>
        <v>0</v>
      </c>
      <c r="AZ137" s="2">
        <f t="shared" si="73"/>
        <v>5.2507489089520885</v>
      </c>
      <c r="BA137">
        <f t="shared" si="74"/>
        <v>1.0501497817904177</v>
      </c>
      <c r="BB137">
        <f>IFERROR(Player_Analysis!$Y137,1)</f>
        <v>1.1225346020761244</v>
      </c>
      <c r="BC137">
        <f t="shared" si="75"/>
        <v>5.8941473371121775</v>
      </c>
      <c r="BD137">
        <f t="shared" si="76"/>
        <v>6.1897375399089247</v>
      </c>
      <c r="BE137">
        <f t="shared" si="77"/>
        <v>5.8941473371121775</v>
      </c>
      <c r="BF137">
        <f t="shared" si="78"/>
        <v>50</v>
      </c>
      <c r="BG137">
        <f>IF($BE137="","",COUNTIFS($C$2:$C$596,$C137,$BE$2:$BE$596,"&gt;"&amp;$BE137)+COUNTIFS($C$2:$C137,$C137,$BE$2:$BE137,$BE137))</f>
        <v>20</v>
      </c>
    </row>
    <row r="138" spans="1:59" x14ac:dyDescent="0.25">
      <c r="A138" t="str">
        <f>Player_Analysis!A138</f>
        <v>Facundo Buonanotte</v>
      </c>
      <c r="B138">
        <f>Player_Analysis!C138</f>
        <v>5</v>
      </c>
      <c r="C138" t="str">
        <f>Player_Analysis!B138</f>
        <v>MID</v>
      </c>
      <c r="D138" s="13">
        <f>Player_Analysis!E138</f>
        <v>5</v>
      </c>
      <c r="E138">
        <f>Player_Analysis!I138</f>
        <v>0</v>
      </c>
      <c r="F138" s="8">
        <f>Player_Analysis!Z138</f>
        <v>0</v>
      </c>
      <c r="G138" s="17">
        <f t="shared" si="53"/>
        <v>0</v>
      </c>
      <c r="H138">
        <f t="shared" si="54"/>
        <v>0</v>
      </c>
      <c r="I138" s="8">
        <f>Player_Analysis!AF138</f>
        <v>0</v>
      </c>
      <c r="J138" s="8">
        <f>Player_Analysis!AG138</f>
        <v>0</v>
      </c>
      <c r="K138">
        <f>Player_Analysis!O138</f>
        <v>0</v>
      </c>
      <c r="L138">
        <f>Player_Analysis!P138</f>
        <v>0</v>
      </c>
      <c r="M138" t="str">
        <f t="shared" si="55"/>
        <v/>
      </c>
      <c r="N138" t="str">
        <f t="shared" si="56"/>
        <v/>
      </c>
      <c r="O138" s="2" t="str">
        <f>IF(E138=0,"",Player_Analysis!L138/E138*90)</f>
        <v/>
      </c>
      <c r="P138" t="str">
        <f>IF(E138=0,"",Player_Analysis!Q138/E138*90)</f>
        <v/>
      </c>
      <c r="Q138" t="str">
        <f>IF(E138=0,"",(Player_Analysis!AD138/E138)*90)</f>
        <v/>
      </c>
      <c r="R138" t="str">
        <f>IF(E138=0,"",Player_Analysis!AA138/E138*90)</f>
        <v/>
      </c>
      <c r="S138">
        <f t="array" ref="S138">IFERROR(INDEX('2023_24'!$O:$O,MATCH($A138,'2023_24'!$A:$A,0)),"")</f>
        <v>0.15530973451327432</v>
      </c>
      <c r="T138">
        <f>IFERROR(INDEX('2024_25'!$P:$P,MATCH($A138,'2024_25'!$A:$A,0)),"")</f>
        <v>0.23932360742705569</v>
      </c>
      <c r="U138">
        <f>IFERROR(INDEX('2025_26'!$P:$P,MATCH($A138,'2025_26'!$A:$A,0)),"")</f>
        <v>6.6666666666666666E-2</v>
      </c>
      <c r="V138">
        <f>IFERROR(INDEX('2023_24'!$P:$P,MATCH($A138,'2023_24'!$A:$A,0)),"")</f>
        <v>7.6991150442477868E-2</v>
      </c>
      <c r="W138">
        <f>IFERROR(INDEX('2024_25'!$Q:$Q,MATCH($A138,'2024_25'!$A:$A,0)),"")</f>
        <v>0.13667108753315649</v>
      </c>
      <c r="X138">
        <f>IFERROR(INDEX('2025_26'!$Q:$Q,MATCH($A138,'2025_26'!$A:$A,0)),"")</f>
        <v>0.31111111111111112</v>
      </c>
      <c r="Y138">
        <f>IFERROR(INDEX('2023_24'!$M:$M,MATCH($A138,'2023_24'!$A:$A,0))/INDEX('2023_24'!$G:$G,MATCH($A138,'2023_24'!$A:$A,0))*90,"")</f>
        <v>3.783185840707965</v>
      </c>
      <c r="Z138">
        <f>IFERROR(INDEX('2024_25'!$M:$M,MATCH($A138,'2024_25'!$A:$A,0))/INDEX('2024_25'!$G:$G,MATCH($A138,'2024_25'!$A:$A,0))*90,"")</f>
        <v>4.4761273209549071</v>
      </c>
      <c r="AA138">
        <f>IFERROR(INDEX('2025_26'!$M:$M,MATCH($A138,'2025_26'!$A:$A,0))/INDEX('2025_26'!$G:$G,MATCH($A138,'2025_26'!$A:$A,0))*90,"")</f>
        <v>3.333333333333333</v>
      </c>
      <c r="AB138">
        <f>IFERROR(SUMPRODUCT(S138:U138,{0.2,0.3,0.5})/SUMPRODUCT(--(S138:U138&lt;&gt;""),{0.2,0.3,0.5}),"")</f>
        <v>0.1361923624641049</v>
      </c>
      <c r="AC138">
        <f>IFERROR(SUMPRODUCT(V138:X138,{0.2,0.3,0.5})/SUMPRODUCT(--(V138:X138&lt;&gt;""),{0.2,0.3,0.5}),"")</f>
        <v>0.21195511190399807</v>
      </c>
      <c r="AD138">
        <f>IFERROR(SUMPRODUCT(Y138:AA138,{0.2,0.3,0.5})/SUMPRODUCT((Y138:AA138&lt;&gt;"")*{0.2,0.3,0.5}),O138)</f>
        <v>3.766142031094732</v>
      </c>
      <c r="AE138">
        <f t="shared" si="57"/>
        <v>3</v>
      </c>
      <c r="AF138" t="str">
        <f t="shared" si="58"/>
        <v/>
      </c>
      <c r="AG138">
        <f t="shared" si="59"/>
        <v>0.1361923624641049</v>
      </c>
      <c r="AH138">
        <f t="shared" si="60"/>
        <v>0.21195511190399807</v>
      </c>
      <c r="AI138" s="2">
        <f t="shared" si="61"/>
        <v>3.766142031094732</v>
      </c>
      <c r="AJ138">
        <f t="shared" si="62"/>
        <v>0</v>
      </c>
      <c r="AK138" t="str">
        <f t="shared" si="63"/>
        <v>NO</v>
      </c>
      <c r="AL138">
        <f t="shared" si="64"/>
        <v>0</v>
      </c>
      <c r="AM138">
        <f t="shared" si="65"/>
        <v>0</v>
      </c>
      <c r="AN138">
        <f t="shared" si="66"/>
        <v>0</v>
      </c>
      <c r="AO138">
        <f t="shared" si="67"/>
        <v>0</v>
      </c>
      <c r="AP138">
        <f t="array" ref="AP138">AL138*IF($C138="GKP",10,IF($C138="DEF",6,IF($C138="MID",5,4)))</f>
        <v>0</v>
      </c>
      <c r="AQ138">
        <f t="shared" si="68"/>
        <v>0</v>
      </c>
      <c r="AR138">
        <f t="shared" si="69"/>
        <v>0</v>
      </c>
      <c r="AS138" s="2">
        <f>IF($H138=0,0,Player_Analysis!$AM138*$H138/90)</f>
        <v>0</v>
      </c>
      <c r="AT138">
        <f t="shared" si="70"/>
        <v>0</v>
      </c>
      <c r="AU138" s="2">
        <f>0</f>
        <v>0</v>
      </c>
      <c r="AV138" s="2" t="str">
        <f>IF(INDEX(FPL_Raw_Data!K:K,MATCH(A138,FPL_Raw_Data!AA:AA,0))=0,"",INDEX(FPL_Raw_Data!P:P,MATCH(A138,FPL_Raw_Data!AA:AA,0))/INDEX(FPL_Raw_Data!K:K,MATCH(A138,FPL_Raw_Data!AA:AA,0))*90)</f>
        <v/>
      </c>
      <c r="AW138" s="2">
        <f t="shared" si="71"/>
        <v>0</v>
      </c>
      <c r="AX138" s="2">
        <f>IFERROR(INDEX(TEAM_ANALYSIS!$H$2:$H$21,MATCH($B138,TEAM_ANALYSIS!$A$2:$A$21,0)),0)</f>
        <v>1.6666666666666667</v>
      </c>
      <c r="AY138" s="2">
        <f t="shared" si="72"/>
        <v>0</v>
      </c>
      <c r="AZ138" s="2">
        <f t="shared" si="73"/>
        <v>0</v>
      </c>
      <c r="BA138">
        <f t="shared" si="74"/>
        <v>0</v>
      </c>
      <c r="BB138">
        <f>IFERROR(Player_Analysis!$Y138,1)</f>
        <v>1.1225346020761244</v>
      </c>
      <c r="BC138">
        <f t="shared" si="75"/>
        <v>0</v>
      </c>
      <c r="BD138">
        <f t="shared" si="76"/>
        <v>0</v>
      </c>
      <c r="BE138">
        <f t="shared" si="77"/>
        <v>0</v>
      </c>
      <c r="BF138">
        <f t="shared" si="78"/>
        <v>253</v>
      </c>
      <c r="BG138">
        <f>IF($BE138="","",COUNTIFS($C$2:$C$596,$C138,$BE$2:$BE$596,"&gt;"&amp;$BE138)+COUNTIFS($C$2:$C138,$C138,$BE$2:$BE138,$BE138))</f>
        <v>145</v>
      </c>
    </row>
    <row r="139" spans="1:59" x14ac:dyDescent="0.25">
      <c r="A139" t="str">
        <f>Player_Analysis!A139</f>
        <v>Yasin Ayari</v>
      </c>
      <c r="B139">
        <f>Player_Analysis!C139</f>
        <v>5</v>
      </c>
      <c r="C139" t="str">
        <f>Player_Analysis!B139</f>
        <v>MID</v>
      </c>
      <c r="D139" s="13">
        <f>Player_Analysis!E139</f>
        <v>5.4</v>
      </c>
      <c r="E139">
        <f>Player_Analysis!I139</f>
        <v>153</v>
      </c>
      <c r="F139" s="8">
        <f>Player_Analysis!Z139</f>
        <v>2</v>
      </c>
      <c r="G139" s="17">
        <f t="shared" si="53"/>
        <v>1</v>
      </c>
      <c r="H139">
        <f t="shared" si="54"/>
        <v>90</v>
      </c>
      <c r="I139" s="8">
        <f>Player_Analysis!AF139</f>
        <v>0</v>
      </c>
      <c r="J139" s="8">
        <f>Player_Analysis!AG139</f>
        <v>0</v>
      </c>
      <c r="K139">
        <f>Player_Analysis!O139</f>
        <v>0.28000000000000003</v>
      </c>
      <c r="L139">
        <f>Player_Analysis!P139</f>
        <v>7.0000000000000007E-2</v>
      </c>
      <c r="M139">
        <f t="shared" si="55"/>
        <v>0.1647058823529412</v>
      </c>
      <c r="N139">
        <f t="shared" si="56"/>
        <v>4.11764705882353E-2</v>
      </c>
      <c r="O139" s="2">
        <f>IF(E139=0,"",Player_Analysis!L139/E139*90)</f>
        <v>2.3529411764705883</v>
      </c>
      <c r="P139">
        <f>IF(E139=0,"",Player_Analysis!Q139/E139*90)</f>
        <v>0.20588235294117643</v>
      </c>
      <c r="Q139">
        <f>IF(E139=0,"",(Player_Analysis!AD139/E139)*90)</f>
        <v>15.294117647058824</v>
      </c>
      <c r="R139">
        <f>IF(E139=0,"",Player_Analysis!AA139/E139*90)</f>
        <v>4.117647058823529</v>
      </c>
      <c r="S139">
        <f t="array" ref="S139">IFERROR(INDEX('2023_24'!$O:$O,MATCH($A139,'2023_24'!$A:$A,0)),"")</f>
        <v>0</v>
      </c>
      <c r="T139">
        <f>IFERROR(INDEX('2024_25'!$P:$P,MATCH($A139,'2024_25'!$A:$A,0)),"")</f>
        <v>0.11537282941777323</v>
      </c>
      <c r="U139">
        <f>IFERROR(INDEX('2025_26'!$P:$P,MATCH($A139,'2025_26'!$A:$A,0)),"")</f>
        <v>0.12649661634565332</v>
      </c>
      <c r="V139">
        <f>IFERROR(INDEX('2023_24'!$P:$P,MATCH($A139,'2023_24'!$A:$A,0)),"")</f>
        <v>0</v>
      </c>
      <c r="W139">
        <f>IFERROR(INDEX('2024_25'!$Q:$Q,MATCH($A139,'2024_25'!$A:$A,0)),"")</f>
        <v>0.12042900919305413</v>
      </c>
      <c r="X139">
        <f>IFERROR(INDEX('2025_26'!$Q:$Q,MATCH($A139,'2025_26'!$A:$A,0)),"")</f>
        <v>5.3878188443519E-2</v>
      </c>
      <c r="Y139" t="str">
        <f>IFERROR(INDEX('2023_24'!$M:$M,MATCH($A139,'2023_24'!$A:$A,0))/INDEX('2023_24'!$G:$G,MATCH($A139,'2023_24'!$A:$A,0))*90,"")</f>
        <v/>
      </c>
      <c r="Z139">
        <f>IFERROR(INDEX('2024_25'!$M:$M,MATCH($A139,'2024_25'!$A:$A,0))/INDEX('2024_25'!$G:$G,MATCH($A139,'2024_25'!$A:$A,0))*90,"")</f>
        <v>3.4014300306435135</v>
      </c>
      <c r="AA139">
        <f>IFERROR(INDEX('2025_26'!$M:$M,MATCH($A139,'2025_26'!$A:$A,0))/INDEX('2025_26'!$G:$G,MATCH($A139,'2025_26'!$A:$A,0))*90,"")</f>
        <v>4.5913586673607494</v>
      </c>
      <c r="AB139">
        <f>IFERROR(SUMPRODUCT(S139:U139,{0.2,0.3,0.5})/SUMPRODUCT(--(S139:U139&lt;&gt;""),{0.2,0.3,0.5}),"")</f>
        <v>9.7860156998158629E-2</v>
      </c>
      <c r="AC139">
        <f>IFERROR(SUMPRODUCT(V139:X139,{0.2,0.3,0.5})/SUMPRODUCT(--(V139:X139&lt;&gt;""),{0.2,0.3,0.5}),"")</f>
        <v>6.3067796979675739E-2</v>
      </c>
      <c r="AD139">
        <f>IFERROR(SUMPRODUCT(Y139:AA139,{0.2,0.3,0.5})/SUMPRODUCT((Y139:AA139&lt;&gt;"")*{0.2,0.3,0.5}),O139)</f>
        <v>4.1451354285917859</v>
      </c>
      <c r="AE139">
        <f t="shared" si="57"/>
        <v>3</v>
      </c>
      <c r="AF139">
        <f t="shared" si="58"/>
        <v>76.5</v>
      </c>
      <c r="AG139">
        <f t="shared" si="59"/>
        <v>0.13195147692909776</v>
      </c>
      <c r="AH139">
        <f t="shared" si="60"/>
        <v>5.1903220520041121E-2</v>
      </c>
      <c r="AI139" s="2">
        <f t="shared" si="61"/>
        <v>3.2311163600099748</v>
      </c>
      <c r="AJ139">
        <f t="shared" si="62"/>
        <v>0.51</v>
      </c>
      <c r="AK139" t="str">
        <f t="shared" si="63"/>
        <v>NO</v>
      </c>
      <c r="AL139">
        <f t="shared" si="64"/>
        <v>0.13195147692909776</v>
      </c>
      <c r="AM139">
        <f t="shared" si="65"/>
        <v>5.1903220520041121E-2</v>
      </c>
      <c r="AN139">
        <f t="shared" si="66"/>
        <v>0.13195147692909776</v>
      </c>
      <c r="AO139">
        <f t="shared" si="67"/>
        <v>5.1903220520041121E-2</v>
      </c>
      <c r="AP139">
        <f t="array" ref="AP139">AL139*IF($C139="GKP",10,IF($C139="DEF",6,IF($C139="MID",5,4)))</f>
        <v>0.65975738464548872</v>
      </c>
      <c r="AQ139">
        <f t="shared" si="68"/>
        <v>0.15570966156012336</v>
      </c>
      <c r="AR139">
        <f t="shared" si="69"/>
        <v>2</v>
      </c>
      <c r="AS139" s="2">
        <f>IF($H139=0,0,Player_Analysis!$AM139*$H139/90)</f>
        <v>0.5</v>
      </c>
      <c r="AT139">
        <f t="shared" si="70"/>
        <v>0.68627450980392146</v>
      </c>
      <c r="AU139" s="2">
        <f>0</f>
        <v>0</v>
      </c>
      <c r="AV139" s="2">
        <f>IF(INDEX(FPL_Raw_Data!K:K,MATCH(A139,FPL_Raw_Data!AA:AA,0))=0,"",INDEX(FPL_Raw_Data!P:P,MATCH(A139,FPL_Raw_Data!AA:AA,0))/INDEX(FPL_Raw_Data!K:K,MATCH(A139,FPL_Raw_Data!AA:AA,0))*90)</f>
        <v>0</v>
      </c>
      <c r="AW139" s="2">
        <f t="shared" si="71"/>
        <v>0</v>
      </c>
      <c r="AX139" s="2">
        <f>IFERROR(INDEX(TEAM_ANALYSIS!$H$2:$H$21,MATCH($B139,TEAM_ANALYSIS!$A$2:$A$21,0)),0)</f>
        <v>1.6666666666666667</v>
      </c>
      <c r="AY139" s="2">
        <f t="shared" si="72"/>
        <v>0</v>
      </c>
      <c r="AZ139" s="2">
        <f t="shared" si="73"/>
        <v>4.0017415560095335</v>
      </c>
      <c r="BA139">
        <f t="shared" si="74"/>
        <v>0.74106325111287652</v>
      </c>
      <c r="BB139">
        <f>IFERROR(Player_Analysis!$Y139,1)</f>
        <v>1.1225346020761244</v>
      </c>
      <c r="BC139">
        <f t="shared" si="75"/>
        <v>4.492093365186653</v>
      </c>
      <c r="BD139">
        <f t="shared" si="76"/>
        <v>3.3289253135078032</v>
      </c>
      <c r="BE139">
        <f t="shared" si="77"/>
        <v>4.492093365186653</v>
      </c>
      <c r="BF139">
        <f t="shared" si="78"/>
        <v>123</v>
      </c>
      <c r="BG139">
        <f>IF($BE139="","",COUNTIFS($C$2:$C$596,$C139,$BE$2:$BE$596,"&gt;"&amp;$BE139)+COUNTIFS($C$2:$C139,$C139,$BE$2:$BE139,$BE139))</f>
        <v>58</v>
      </c>
    </row>
    <row r="140" spans="1:59" x14ac:dyDescent="0.25">
      <c r="A140" t="str">
        <f>Player_Analysis!A140</f>
        <v>Mats Wieffer</v>
      </c>
      <c r="B140">
        <f>Player_Analysis!C140</f>
        <v>5</v>
      </c>
      <c r="C140" t="str">
        <f>Player_Analysis!B140</f>
        <v>DEF</v>
      </c>
      <c r="D140" s="13">
        <f>Player_Analysis!E140</f>
        <v>5</v>
      </c>
      <c r="E140">
        <f>Player_Analysis!I140</f>
        <v>156</v>
      </c>
      <c r="F140" s="8">
        <f>Player_Analysis!Z140</f>
        <v>2</v>
      </c>
      <c r="G140" s="17">
        <f t="shared" si="53"/>
        <v>1</v>
      </c>
      <c r="H140">
        <f t="shared" si="54"/>
        <v>90</v>
      </c>
      <c r="I140" s="8">
        <f>Player_Analysis!AF140</f>
        <v>0</v>
      </c>
      <c r="J140" s="8">
        <f>Player_Analysis!AG140</f>
        <v>0</v>
      </c>
      <c r="K140">
        <f>Player_Analysis!O140</f>
        <v>0.12</v>
      </c>
      <c r="L140">
        <f>Player_Analysis!P140</f>
        <v>0.13</v>
      </c>
      <c r="M140">
        <f t="shared" si="55"/>
        <v>6.9230769230769235E-2</v>
      </c>
      <c r="N140">
        <f t="shared" si="56"/>
        <v>7.5000000000000011E-2</v>
      </c>
      <c r="O140" s="2">
        <f>IF(E140=0,"",Player_Analysis!L140/E140*90)</f>
        <v>4.0384615384615383</v>
      </c>
      <c r="P140">
        <f>IF(E140=0,"",Player_Analysis!Q140/E140*90)</f>
        <v>0.14423076923076922</v>
      </c>
      <c r="Q140">
        <f>IF(E140=0,"",(Player_Analysis!AD140/E140)*90)</f>
        <v>21.923076923076923</v>
      </c>
      <c r="R140">
        <f>IF(E140=0,"",Player_Analysis!AA140/E140*90)</f>
        <v>8.6538461538461551</v>
      </c>
      <c r="S140" t="str">
        <f t="array" ref="S140">IFERROR(INDEX('2023_24'!$O:$O,MATCH($A140,'2023_24'!$A:$A,0)),"")</f>
        <v/>
      </c>
      <c r="T140">
        <f>IFERROR(INDEX('2024_25'!$P:$P,MATCH($A140,'2024_25'!$A:$A,0)),"")</f>
        <v>7.1784646061814561E-2</v>
      </c>
      <c r="U140">
        <f>IFERROR(INDEX('2025_26'!$P:$P,MATCH($A140,'2025_26'!$A:$A,0)),"")</f>
        <v>9.0899526564965805E-2</v>
      </c>
      <c r="V140" t="str">
        <f>IFERROR(INDEX('2023_24'!$P:$P,MATCH($A140,'2023_24'!$A:$A,0)),"")</f>
        <v/>
      </c>
      <c r="W140">
        <f>IFERROR(INDEX('2024_25'!$Q:$Q,MATCH($A140,'2024_25'!$A:$A,0)),"")</f>
        <v>8.9730807577268187E-2</v>
      </c>
      <c r="X140">
        <f>IFERROR(INDEX('2025_26'!$Q:$Q,MATCH($A140,'2025_26'!$A:$A,0)),"")</f>
        <v>8.8058916359810627E-2</v>
      </c>
      <c r="Y140" t="str">
        <f>IFERROR(INDEX('2023_24'!$M:$M,MATCH($A140,'2023_24'!$A:$A,0))/INDEX('2023_24'!$G:$G,MATCH($A140,'2023_24'!$A:$A,0))*90,"")</f>
        <v/>
      </c>
      <c r="Z140">
        <f>IFERROR(INDEX('2024_25'!$M:$M,MATCH($A140,'2024_25'!$A:$A,0))/INDEX('2024_25'!$G:$G,MATCH($A140,'2024_25'!$A:$A,0))*90,"")</f>
        <v>4.6660019940179467</v>
      </c>
      <c r="AA140">
        <f>IFERROR(INDEX('2025_26'!$M:$M,MATCH($A140,'2025_26'!$A:$A,0))/INDEX('2025_26'!$G:$G,MATCH($A140,'2025_26'!$A:$A,0))*90,"")</f>
        <v>4.4502893214097838</v>
      </c>
      <c r="AB140">
        <f>IFERROR(SUMPRODUCT(S140:U140,{0.2,0.3,0.5})/SUMPRODUCT(--(S140:U140&lt;&gt;""),{0.2,0.3,0.5}),"")</f>
        <v>8.3731446376284088E-2</v>
      </c>
      <c r="AC140">
        <f>IFERROR(SUMPRODUCT(V140:X140,{0.2,0.3,0.5})/SUMPRODUCT(--(V140:X140&lt;&gt;""),{0.2,0.3,0.5}),"")</f>
        <v>8.8685875566357208E-2</v>
      </c>
      <c r="AD140">
        <f>IFERROR(SUMPRODUCT(Y140:AA140,{0.2,0.3,0.5})/SUMPRODUCT((Y140:AA140&lt;&gt;"")*{0.2,0.3,0.5}),O140)</f>
        <v>4.531181573637844</v>
      </c>
      <c r="AE140">
        <f t="shared" si="57"/>
        <v>2</v>
      </c>
      <c r="AF140">
        <f t="shared" si="58"/>
        <v>78</v>
      </c>
      <c r="AG140">
        <f t="shared" si="59"/>
        <v>7.6191094260616363E-2</v>
      </c>
      <c r="AH140">
        <f t="shared" si="60"/>
        <v>8.1569220271851456E-2</v>
      </c>
      <c r="AI140" s="2">
        <f t="shared" si="61"/>
        <v>4.2749671553461646</v>
      </c>
      <c r="AJ140">
        <f t="shared" si="62"/>
        <v>0.52</v>
      </c>
      <c r="AK140" t="str">
        <f t="shared" si="63"/>
        <v>NO</v>
      </c>
      <c r="AL140">
        <f t="shared" si="64"/>
        <v>7.6191094260616363E-2</v>
      </c>
      <c r="AM140">
        <f t="shared" si="65"/>
        <v>8.1569220271851456E-2</v>
      </c>
      <c r="AN140">
        <f t="shared" si="66"/>
        <v>7.6191094260616363E-2</v>
      </c>
      <c r="AO140">
        <f t="shared" si="67"/>
        <v>8.1569220271851456E-2</v>
      </c>
      <c r="AP140">
        <f t="array" ref="AP140">AL140*IF($C140="GKP",10,IF($C140="DEF",6,IF($C140="MID",5,4)))</f>
        <v>0.45714656556369815</v>
      </c>
      <c r="AQ140">
        <f t="shared" si="68"/>
        <v>0.24470766081555437</v>
      </c>
      <c r="AR140">
        <f t="shared" si="69"/>
        <v>2</v>
      </c>
      <c r="AS140" s="2">
        <f>IF($H140=0,0,Player_Analysis!$AM140*$H140/90)</f>
        <v>2</v>
      </c>
      <c r="AT140">
        <f t="shared" si="70"/>
        <v>1.7307692307692311</v>
      </c>
      <c r="AU140" s="2">
        <f>0</f>
        <v>0</v>
      </c>
      <c r="AV140" s="2">
        <f>IF(INDEX(FPL_Raw_Data!K:K,MATCH(A140,FPL_Raw_Data!AA:AA,0))=0,"",INDEX(FPL_Raw_Data!P:P,MATCH(A140,FPL_Raw_Data!AA:AA,0))/INDEX(FPL_Raw_Data!K:K,MATCH(A140,FPL_Raw_Data!AA:AA,0))*90)</f>
        <v>0</v>
      </c>
      <c r="AW140" s="2">
        <f t="shared" si="71"/>
        <v>0</v>
      </c>
      <c r="AX140" s="2">
        <f>IFERROR(INDEX(TEAM_ANALYSIS!$H$2:$H$21,MATCH($B140,TEAM_ANALYSIS!$A$2:$A$21,0)),0)</f>
        <v>1.6666666666666667</v>
      </c>
      <c r="AY140" s="2">
        <f t="shared" si="72"/>
        <v>-0.83333333333333337</v>
      </c>
      <c r="AZ140" s="2">
        <f t="shared" si="73"/>
        <v>5.59929012381515</v>
      </c>
      <c r="BA140">
        <f t="shared" si="74"/>
        <v>1.1198580247630301</v>
      </c>
      <c r="BB140">
        <f>IFERROR(Player_Analysis!$Y140,1)</f>
        <v>0.99748538507159212</v>
      </c>
      <c r="BC140">
        <f t="shared" si="75"/>
        <v>5.5852100652813172</v>
      </c>
      <c r="BD140">
        <f t="shared" si="76"/>
        <v>6.25464231159253</v>
      </c>
      <c r="BE140">
        <f t="shared" si="77"/>
        <v>5.5852100652813172</v>
      </c>
      <c r="BF140">
        <f t="shared" si="78"/>
        <v>63</v>
      </c>
      <c r="BG140">
        <f>IF($BE140="","",COUNTIFS($C$2:$C$596,$C140,$BE$2:$BE$596,"&gt;"&amp;$BE140)+COUNTIFS($C$2:$C140,$C140,$BE$2:$BE140,$BE140))</f>
        <v>28</v>
      </c>
    </row>
    <row r="141" spans="1:59" x14ac:dyDescent="0.25">
      <c r="A141" t="str">
        <f>Player_Analysis!A141</f>
        <v>Harry Howell</v>
      </c>
      <c r="B141">
        <f>Player_Analysis!C141</f>
        <v>5</v>
      </c>
      <c r="C141" t="str">
        <f>Player_Analysis!B141</f>
        <v>MID</v>
      </c>
      <c r="D141" s="13">
        <f>Player_Analysis!E141</f>
        <v>4.5</v>
      </c>
      <c r="E141">
        <f>Player_Analysis!I141</f>
        <v>0</v>
      </c>
      <c r="F141" s="8">
        <f>Player_Analysis!Z141</f>
        <v>0</v>
      </c>
      <c r="G141" s="17">
        <f t="shared" si="53"/>
        <v>0</v>
      </c>
      <c r="H141">
        <f t="shared" si="54"/>
        <v>0</v>
      </c>
      <c r="I141" s="8">
        <f>Player_Analysis!AF141</f>
        <v>0</v>
      </c>
      <c r="J141" s="8">
        <f>Player_Analysis!AG141</f>
        <v>0</v>
      </c>
      <c r="K141">
        <f>Player_Analysis!O141</f>
        <v>0</v>
      </c>
      <c r="L141">
        <f>Player_Analysis!P141</f>
        <v>0</v>
      </c>
      <c r="M141" t="str">
        <f t="shared" si="55"/>
        <v/>
      </c>
      <c r="N141" t="str">
        <f t="shared" si="56"/>
        <v/>
      </c>
      <c r="O141" s="2" t="str">
        <f>IF(E141=0,"",Player_Analysis!L141/E141*90)</f>
        <v/>
      </c>
      <c r="P141" t="str">
        <f>IF(E141=0,"",Player_Analysis!Q141/E141*90)</f>
        <v/>
      </c>
      <c r="Q141" t="str">
        <f>IF(E141=0,"",(Player_Analysis!AD141/E141)*90)</f>
        <v/>
      </c>
      <c r="R141" t="str">
        <f>IF(E141=0,"",Player_Analysis!AA141/E141*90)</f>
        <v/>
      </c>
      <c r="S141" t="str">
        <f t="array" ref="S141">IFERROR(INDEX('2023_24'!$O:$O,MATCH($A141,'2023_24'!$A:$A,0)),"")</f>
        <v/>
      </c>
      <c r="T141">
        <f>IFERROR(INDEX('2024_25'!$P:$P,MATCH($A141,'2024_25'!$A:$A,0)),"")</f>
        <v>0</v>
      </c>
      <c r="U141">
        <f>IFERROR(INDEX('2025_26'!$P:$P,MATCH($A141,'2025_26'!$A:$A,0)),"")</f>
        <v>0</v>
      </c>
      <c r="V141" t="str">
        <f>IFERROR(INDEX('2023_24'!$P:$P,MATCH($A141,'2023_24'!$A:$A,0)),"")</f>
        <v/>
      </c>
      <c r="W141">
        <f>IFERROR(INDEX('2024_25'!$Q:$Q,MATCH($A141,'2024_25'!$A:$A,0)),"")</f>
        <v>0.75</v>
      </c>
      <c r="X141">
        <f>IFERROR(INDEX('2025_26'!$Q:$Q,MATCH($A141,'2025_26'!$A:$A,0)),"")</f>
        <v>2.9347826086956519E-2</v>
      </c>
      <c r="Y141" t="str">
        <f>IFERROR(INDEX('2023_24'!$M:$M,MATCH($A141,'2023_24'!$A:$A,0))/INDEX('2023_24'!$G:$G,MATCH($A141,'2023_24'!$A:$A,0))*90,"")</f>
        <v/>
      </c>
      <c r="Z141">
        <f>IFERROR(INDEX('2024_25'!$M:$M,MATCH($A141,'2024_25'!$A:$A,0))/INDEX('2024_25'!$G:$G,MATCH($A141,'2024_25'!$A:$A,0))*90,"")</f>
        <v>15</v>
      </c>
      <c r="AA141">
        <f>IFERROR(INDEX('2025_26'!$M:$M,MATCH($A141,'2025_26'!$A:$A,0))/INDEX('2025_26'!$G:$G,MATCH($A141,'2025_26'!$A:$A,0))*90,"")</f>
        <v>3.9130434782608696</v>
      </c>
      <c r="AB141">
        <f>IFERROR(SUMPRODUCT(S141:U141,{0.2,0.3,0.5})/SUMPRODUCT(--(S141:U141&lt;&gt;""),{0.2,0.3,0.5}),"")</f>
        <v>0</v>
      </c>
      <c r="AC141">
        <f>IFERROR(SUMPRODUCT(V141:X141,{0.2,0.3,0.5})/SUMPRODUCT(--(V141:X141&lt;&gt;""),{0.2,0.3,0.5}),"")</f>
        <v>0.29959239130434778</v>
      </c>
      <c r="AD141">
        <f>IFERROR(SUMPRODUCT(Y141:AA141,{0.2,0.3,0.5})/SUMPRODUCT((Y141:AA141&lt;&gt;"")*{0.2,0.3,0.5}),O141)</f>
        <v>8.070652173913043</v>
      </c>
      <c r="AE141">
        <f t="shared" si="57"/>
        <v>2</v>
      </c>
      <c r="AF141" t="str">
        <f t="shared" si="58"/>
        <v/>
      </c>
      <c r="AG141">
        <f t="shared" si="59"/>
        <v>0</v>
      </c>
      <c r="AH141">
        <f t="shared" si="60"/>
        <v>0.29959239130434778</v>
      </c>
      <c r="AI141" s="2">
        <f t="shared" si="61"/>
        <v>8.070652173913043</v>
      </c>
      <c r="AJ141">
        <f t="shared" si="62"/>
        <v>0</v>
      </c>
      <c r="AK141" t="str">
        <f t="shared" si="63"/>
        <v>NO</v>
      </c>
      <c r="AL141">
        <f t="shared" si="64"/>
        <v>0</v>
      </c>
      <c r="AM141">
        <f t="shared" si="65"/>
        <v>0</v>
      </c>
      <c r="AN141">
        <f t="shared" si="66"/>
        <v>0</v>
      </c>
      <c r="AO141">
        <f t="shared" si="67"/>
        <v>0</v>
      </c>
      <c r="AP141">
        <f t="array" ref="AP141">AL141*IF($C141="GKP",10,IF($C141="DEF",6,IF($C141="MID",5,4)))</f>
        <v>0</v>
      </c>
      <c r="AQ141">
        <f t="shared" si="68"/>
        <v>0</v>
      </c>
      <c r="AR141">
        <f t="shared" si="69"/>
        <v>0</v>
      </c>
      <c r="AS141" s="2">
        <f>IF($H141=0,0,Player_Analysis!$AM141*$H141/90)</f>
        <v>0</v>
      </c>
      <c r="AT141">
        <f t="shared" si="70"/>
        <v>0</v>
      </c>
      <c r="AU141" s="2">
        <f>0</f>
        <v>0</v>
      </c>
      <c r="AV141" s="2" t="str">
        <f>IF(INDEX(FPL_Raw_Data!K:K,MATCH(A141,FPL_Raw_Data!AA:AA,0))=0,"",INDEX(FPL_Raw_Data!P:P,MATCH(A141,FPL_Raw_Data!AA:AA,0))/INDEX(FPL_Raw_Data!K:K,MATCH(A141,FPL_Raw_Data!AA:AA,0))*90)</f>
        <v/>
      </c>
      <c r="AW141" s="2">
        <f t="shared" si="71"/>
        <v>0</v>
      </c>
      <c r="AX141" s="2">
        <f>IFERROR(INDEX(TEAM_ANALYSIS!$H$2:$H$21,MATCH($B141,TEAM_ANALYSIS!$A$2:$A$21,0)),0)</f>
        <v>1.6666666666666667</v>
      </c>
      <c r="AY141" s="2">
        <f t="shared" si="72"/>
        <v>0</v>
      </c>
      <c r="AZ141" s="2">
        <f t="shared" si="73"/>
        <v>0</v>
      </c>
      <c r="BA141">
        <f t="shared" si="74"/>
        <v>0</v>
      </c>
      <c r="BB141">
        <f>IFERROR(Player_Analysis!$Y141,1)</f>
        <v>1.1225346020761244</v>
      </c>
      <c r="BC141">
        <f t="shared" si="75"/>
        <v>0</v>
      </c>
      <c r="BD141">
        <f t="shared" si="76"/>
        <v>0</v>
      </c>
      <c r="BE141">
        <f t="shared" si="77"/>
        <v>0</v>
      </c>
      <c r="BF141">
        <f t="shared" si="78"/>
        <v>253</v>
      </c>
      <c r="BG141">
        <f>IF($BE141="","",COUNTIFS($C$2:$C$596,$C141,$BE$2:$BE$596,"&gt;"&amp;$BE141)+COUNTIFS($C$2:$C141,$C141,$BE$2:$BE141,$BE141))</f>
        <v>146</v>
      </c>
    </row>
    <row r="142" spans="1:59" x14ac:dyDescent="0.25">
      <c r="A142" t="str">
        <f>Player_Analysis!A142</f>
        <v>Tom Watson</v>
      </c>
      <c r="B142">
        <f>Player_Analysis!C142</f>
        <v>5</v>
      </c>
      <c r="C142" t="str">
        <f>Player_Analysis!B142</f>
        <v>MID</v>
      </c>
      <c r="D142" s="13">
        <f>Player_Analysis!E142</f>
        <v>5</v>
      </c>
      <c r="E142">
        <f>Player_Analysis!I142</f>
        <v>0</v>
      </c>
      <c r="F142" s="8">
        <f>Player_Analysis!Z142</f>
        <v>0</v>
      </c>
      <c r="G142" s="17">
        <f t="shared" si="53"/>
        <v>0</v>
      </c>
      <c r="H142">
        <f t="shared" si="54"/>
        <v>0</v>
      </c>
      <c r="I142" s="8">
        <f>Player_Analysis!AF142</f>
        <v>0</v>
      </c>
      <c r="J142" s="8">
        <f>Player_Analysis!AG142</f>
        <v>0</v>
      </c>
      <c r="K142">
        <f>Player_Analysis!O142</f>
        <v>0</v>
      </c>
      <c r="L142">
        <f>Player_Analysis!P142</f>
        <v>0</v>
      </c>
      <c r="M142" t="str">
        <f t="shared" si="55"/>
        <v/>
      </c>
      <c r="N142" t="str">
        <f t="shared" si="56"/>
        <v/>
      </c>
      <c r="O142" s="2" t="str">
        <f>IF(E142=0,"",Player_Analysis!L142/E142*90)</f>
        <v/>
      </c>
      <c r="P142" t="str">
        <f>IF(E142=0,"",Player_Analysis!Q142/E142*90)</f>
        <v/>
      </c>
      <c r="Q142" t="str">
        <f>IF(E142=0,"",(Player_Analysis!AD142/E142)*90)</f>
        <v/>
      </c>
      <c r="R142" t="str">
        <f>IF(E142=0,"",Player_Analysis!AA142/E142*90)</f>
        <v/>
      </c>
      <c r="S142" t="str">
        <f t="array" ref="S142">IFERROR(INDEX('2023_24'!$O:$O,MATCH($A142,'2023_24'!$A:$A,0)),"")</f>
        <v/>
      </c>
      <c r="T142" t="str">
        <f>IFERROR(INDEX('2024_25'!$P:$P,MATCH($A142,'2024_25'!$A:$A,0)),"")</f>
        <v/>
      </c>
      <c r="U142">
        <f>IFERROR(INDEX('2025_26'!$P:$P,MATCH($A142,'2025_26'!$A:$A,0)),"")</f>
        <v>6.3157894736842107E-2</v>
      </c>
      <c r="V142" t="str">
        <f>IFERROR(INDEX('2023_24'!$P:$P,MATCH($A142,'2023_24'!$A:$A,0)),"")</f>
        <v/>
      </c>
      <c r="W142" t="str">
        <f>IFERROR(INDEX('2024_25'!$Q:$Q,MATCH($A142,'2024_25'!$A:$A,0)),"")</f>
        <v/>
      </c>
      <c r="X142">
        <f>IFERROR(INDEX('2025_26'!$Q:$Q,MATCH($A142,'2025_26'!$A:$A,0)),"")</f>
        <v>4.736842105263158E-2</v>
      </c>
      <c r="Y142" t="str">
        <f>IFERROR(INDEX('2023_24'!$M:$M,MATCH($A142,'2023_24'!$A:$A,0))/INDEX('2023_24'!$G:$G,MATCH($A142,'2023_24'!$A:$A,0))*90,"")</f>
        <v/>
      </c>
      <c r="Z142" t="str">
        <f>IFERROR(INDEX('2024_25'!$M:$M,MATCH($A142,'2024_25'!$A:$A,0))/INDEX('2024_25'!$G:$G,MATCH($A142,'2024_25'!$A:$A,0))*90,"")</f>
        <v/>
      </c>
      <c r="AA142">
        <f>IFERROR(INDEX('2025_26'!$M:$M,MATCH($A142,'2025_26'!$A:$A,0))/INDEX('2025_26'!$G:$G,MATCH($A142,'2025_26'!$A:$A,0))*90,"")</f>
        <v>7.8947368421052628</v>
      </c>
      <c r="AB142">
        <f>IFERROR(SUMPRODUCT(S142:U142,{0.2,0.3,0.5})/SUMPRODUCT(--(S142:U142&lt;&gt;""),{0.2,0.3,0.5}),"")</f>
        <v>6.3157894736842107E-2</v>
      </c>
      <c r="AC142">
        <f>IFERROR(SUMPRODUCT(V142:X142,{0.2,0.3,0.5})/SUMPRODUCT(--(V142:X142&lt;&gt;""),{0.2,0.3,0.5}),"")</f>
        <v>4.736842105263158E-2</v>
      </c>
      <c r="AD142">
        <f>IFERROR(SUMPRODUCT(Y142:AA142,{0.2,0.3,0.5})/SUMPRODUCT((Y142:AA142&lt;&gt;"")*{0.2,0.3,0.5}),O142)</f>
        <v>7.8947368421052628</v>
      </c>
      <c r="AE142">
        <f t="shared" si="57"/>
        <v>1</v>
      </c>
      <c r="AF142" t="str">
        <f t="shared" si="58"/>
        <v/>
      </c>
      <c r="AG142">
        <f t="shared" si="59"/>
        <v>6.3157894736842107E-2</v>
      </c>
      <c r="AH142">
        <f t="shared" si="60"/>
        <v>4.736842105263158E-2</v>
      </c>
      <c r="AI142" s="2">
        <f t="shared" si="61"/>
        <v>7.8947368421052628</v>
      </c>
      <c r="AJ142">
        <f t="shared" si="62"/>
        <v>0</v>
      </c>
      <c r="AK142" t="str">
        <f t="shared" si="63"/>
        <v>NO</v>
      </c>
      <c r="AL142">
        <f t="shared" si="64"/>
        <v>0</v>
      </c>
      <c r="AM142">
        <f t="shared" si="65"/>
        <v>0</v>
      </c>
      <c r="AN142">
        <f t="shared" si="66"/>
        <v>0</v>
      </c>
      <c r="AO142">
        <f t="shared" si="67"/>
        <v>0</v>
      </c>
      <c r="AP142">
        <f t="array" ref="AP142">AL142*IF($C142="GKP",10,IF($C142="DEF",6,IF($C142="MID",5,4)))</f>
        <v>0</v>
      </c>
      <c r="AQ142">
        <f t="shared" si="68"/>
        <v>0</v>
      </c>
      <c r="AR142">
        <f t="shared" si="69"/>
        <v>0</v>
      </c>
      <c r="AS142" s="2">
        <f>IF($H142=0,0,Player_Analysis!$AM142*$H142/90)</f>
        <v>0</v>
      </c>
      <c r="AT142">
        <f t="shared" si="70"/>
        <v>0</v>
      </c>
      <c r="AU142" s="2">
        <f>0</f>
        <v>0</v>
      </c>
      <c r="AV142" s="2" t="str">
        <f>IF(INDEX(FPL_Raw_Data!K:K,MATCH(A142,FPL_Raw_Data!AA:AA,0))=0,"",INDEX(FPL_Raw_Data!P:P,MATCH(A142,FPL_Raw_Data!AA:AA,0))/INDEX(FPL_Raw_Data!K:K,MATCH(A142,FPL_Raw_Data!AA:AA,0))*90)</f>
        <v/>
      </c>
      <c r="AW142" s="2">
        <f t="shared" si="71"/>
        <v>0</v>
      </c>
      <c r="AX142" s="2">
        <f>IFERROR(INDEX(TEAM_ANALYSIS!$H$2:$H$21,MATCH($B142,TEAM_ANALYSIS!$A$2:$A$21,0)),0)</f>
        <v>1.6666666666666667</v>
      </c>
      <c r="AY142" s="2">
        <f t="shared" si="72"/>
        <v>0</v>
      </c>
      <c r="AZ142" s="2">
        <f t="shared" si="73"/>
        <v>0</v>
      </c>
      <c r="BA142">
        <f t="shared" si="74"/>
        <v>0</v>
      </c>
      <c r="BB142">
        <f>IFERROR(Player_Analysis!$Y142,1)</f>
        <v>1.1225346020761244</v>
      </c>
      <c r="BC142">
        <f t="shared" si="75"/>
        <v>0</v>
      </c>
      <c r="BD142">
        <f t="shared" si="76"/>
        <v>0</v>
      </c>
      <c r="BE142">
        <f t="shared" si="77"/>
        <v>0</v>
      </c>
      <c r="BF142">
        <f t="shared" si="78"/>
        <v>253</v>
      </c>
      <c r="BG142">
        <f>IF($BE142="","",COUNTIFS($C$2:$C$596,$C142,$BE$2:$BE$596,"&gt;"&amp;$BE142)+COUNTIFS($C$2:$C142,$C142,$BE$2:$BE142,$BE142))</f>
        <v>147</v>
      </c>
    </row>
    <row r="143" spans="1:59" x14ac:dyDescent="0.25">
      <c r="A143" t="str">
        <f>Player_Analysis!A143</f>
        <v>Nehemiah Oriola</v>
      </c>
      <c r="B143">
        <f>Player_Analysis!C143</f>
        <v>5</v>
      </c>
      <c r="C143" t="str">
        <f>Player_Analysis!B143</f>
        <v>MID</v>
      </c>
      <c r="D143" s="13">
        <f>Player_Analysis!E143</f>
        <v>4.5</v>
      </c>
      <c r="E143">
        <f>Player_Analysis!I143</f>
        <v>0</v>
      </c>
      <c r="F143" s="8">
        <f>Player_Analysis!Z143</f>
        <v>0</v>
      </c>
      <c r="G143" s="17">
        <f t="shared" si="53"/>
        <v>0</v>
      </c>
      <c r="H143">
        <f t="shared" si="54"/>
        <v>0</v>
      </c>
      <c r="I143" s="8">
        <f>Player_Analysis!AF143</f>
        <v>0</v>
      </c>
      <c r="J143" s="8">
        <f>Player_Analysis!AG143</f>
        <v>0</v>
      </c>
      <c r="K143">
        <f>Player_Analysis!O143</f>
        <v>0</v>
      </c>
      <c r="L143">
        <f>Player_Analysis!P143</f>
        <v>0</v>
      </c>
      <c r="M143" t="str">
        <f t="shared" si="55"/>
        <v/>
      </c>
      <c r="N143" t="str">
        <f t="shared" si="56"/>
        <v/>
      </c>
      <c r="O143" s="2" t="str">
        <f>IF(E143=0,"",Player_Analysis!L143/E143*90)</f>
        <v/>
      </c>
      <c r="P143" t="str">
        <f>IF(E143=0,"",Player_Analysis!Q143/E143*90)</f>
        <v/>
      </c>
      <c r="Q143" t="str">
        <f>IF(E143=0,"",(Player_Analysis!AD143/E143)*90)</f>
        <v/>
      </c>
      <c r="R143" t="str">
        <f>IF(E143=0,"",Player_Analysis!AA143/E143*90)</f>
        <v/>
      </c>
      <c r="S143" t="str">
        <f t="array" ref="S143">IFERROR(INDEX('2023_24'!$O:$O,MATCH($A143,'2023_24'!$A:$A,0)),"")</f>
        <v/>
      </c>
      <c r="T143" t="str">
        <f>IFERROR(INDEX('2024_25'!$P:$P,MATCH($A143,'2024_25'!$A:$A,0)),"")</f>
        <v/>
      </c>
      <c r="U143">
        <f>IFERROR(INDEX('2025_26'!$P:$P,MATCH($A143,'2025_26'!$A:$A,0)),"")</f>
        <v>0</v>
      </c>
      <c r="V143" t="str">
        <f>IFERROR(INDEX('2023_24'!$P:$P,MATCH($A143,'2023_24'!$A:$A,0)),"")</f>
        <v/>
      </c>
      <c r="W143" t="str">
        <f>IFERROR(INDEX('2024_25'!$Q:$Q,MATCH($A143,'2024_25'!$A:$A,0)),"")</f>
        <v/>
      </c>
      <c r="X143">
        <f>IFERROR(INDEX('2025_26'!$Q:$Q,MATCH($A143,'2025_26'!$A:$A,0)),"")</f>
        <v>0</v>
      </c>
      <c r="Y143" t="str">
        <f>IFERROR(INDEX('2023_24'!$M:$M,MATCH($A143,'2023_24'!$A:$A,0))/INDEX('2023_24'!$G:$G,MATCH($A143,'2023_24'!$A:$A,0))*90,"")</f>
        <v/>
      </c>
      <c r="Z143" t="str">
        <f>IFERROR(INDEX('2024_25'!$M:$M,MATCH($A143,'2024_25'!$A:$A,0))/INDEX('2024_25'!$G:$G,MATCH($A143,'2024_25'!$A:$A,0))*90,"")</f>
        <v/>
      </c>
      <c r="AA143">
        <f>IFERROR(INDEX('2025_26'!$M:$M,MATCH($A143,'2025_26'!$A:$A,0))/INDEX('2025_26'!$G:$G,MATCH($A143,'2025_26'!$A:$A,0))*90,"")</f>
        <v>90</v>
      </c>
      <c r="AB143">
        <f>IFERROR(SUMPRODUCT(S143:U143,{0.2,0.3,0.5})/SUMPRODUCT(--(S143:U143&lt;&gt;""),{0.2,0.3,0.5}),"")</f>
        <v>0</v>
      </c>
      <c r="AC143">
        <f>IFERROR(SUMPRODUCT(V143:X143,{0.2,0.3,0.5})/SUMPRODUCT(--(V143:X143&lt;&gt;""),{0.2,0.3,0.5}),"")</f>
        <v>0</v>
      </c>
      <c r="AD143">
        <f>IFERROR(SUMPRODUCT(Y143:AA143,{0.2,0.3,0.5})/SUMPRODUCT((Y143:AA143&lt;&gt;"")*{0.2,0.3,0.5}),O143)</f>
        <v>90</v>
      </c>
      <c r="AE143">
        <f t="shared" si="57"/>
        <v>1</v>
      </c>
      <c r="AF143" t="str">
        <f t="shared" si="58"/>
        <v/>
      </c>
      <c r="AG143">
        <f t="shared" si="59"/>
        <v>0</v>
      </c>
      <c r="AH143">
        <f t="shared" si="60"/>
        <v>0</v>
      </c>
      <c r="AI143" s="2">
        <f t="shared" si="61"/>
        <v>90</v>
      </c>
      <c r="AJ143">
        <f t="shared" si="62"/>
        <v>0</v>
      </c>
      <c r="AK143" t="str">
        <f t="shared" si="63"/>
        <v>NO</v>
      </c>
      <c r="AL143">
        <f t="shared" si="64"/>
        <v>0</v>
      </c>
      <c r="AM143">
        <f t="shared" si="65"/>
        <v>0</v>
      </c>
      <c r="AN143">
        <f t="shared" si="66"/>
        <v>0</v>
      </c>
      <c r="AO143">
        <f t="shared" si="67"/>
        <v>0</v>
      </c>
      <c r="AP143">
        <f t="array" ref="AP143">AL143*IF($C143="GKP",10,IF($C143="DEF",6,IF($C143="MID",5,4)))</f>
        <v>0</v>
      </c>
      <c r="AQ143">
        <f t="shared" si="68"/>
        <v>0</v>
      </c>
      <c r="AR143">
        <f t="shared" si="69"/>
        <v>0</v>
      </c>
      <c r="AS143" s="2">
        <f>IF($H143=0,0,Player_Analysis!$AM143*$H143/90)</f>
        <v>0</v>
      </c>
      <c r="AT143">
        <f t="shared" si="70"/>
        <v>0</v>
      </c>
      <c r="AU143" s="2">
        <f>0</f>
        <v>0</v>
      </c>
      <c r="AV143" s="2" t="str">
        <f>IF(INDEX(FPL_Raw_Data!K:K,MATCH(A143,FPL_Raw_Data!AA:AA,0))=0,"",INDEX(FPL_Raw_Data!P:P,MATCH(A143,FPL_Raw_Data!AA:AA,0))/INDEX(FPL_Raw_Data!K:K,MATCH(A143,FPL_Raw_Data!AA:AA,0))*90)</f>
        <v/>
      </c>
      <c r="AW143" s="2">
        <f t="shared" si="71"/>
        <v>0</v>
      </c>
      <c r="AX143" s="2">
        <f>IFERROR(INDEX(TEAM_ANALYSIS!$H$2:$H$21,MATCH($B143,TEAM_ANALYSIS!$A$2:$A$21,0)),0)</f>
        <v>1.6666666666666667</v>
      </c>
      <c r="AY143" s="2">
        <f t="shared" si="72"/>
        <v>0</v>
      </c>
      <c r="AZ143" s="2">
        <f t="shared" si="73"/>
        <v>0</v>
      </c>
      <c r="BA143">
        <f t="shared" si="74"/>
        <v>0</v>
      </c>
      <c r="BB143">
        <f>IFERROR(Player_Analysis!$Y143,1)</f>
        <v>1.1225346020761244</v>
      </c>
      <c r="BC143">
        <f t="shared" si="75"/>
        <v>0</v>
      </c>
      <c r="BD143">
        <f t="shared" si="76"/>
        <v>0</v>
      </c>
      <c r="BE143">
        <f t="shared" si="77"/>
        <v>0</v>
      </c>
      <c r="BF143">
        <f t="shared" si="78"/>
        <v>253</v>
      </c>
      <c r="BG143">
        <f>IF($BE143="","",COUNTIFS($C$2:$C$596,$C143,$BE$2:$BE$596,"&gt;"&amp;$BE143)+COUNTIFS($C$2:$C143,$C143,$BE$2:$BE143,$BE143))</f>
        <v>148</v>
      </c>
    </row>
    <row r="144" spans="1:59" x14ac:dyDescent="0.25">
      <c r="A144" t="str">
        <f>Player_Analysis!A144</f>
        <v>Zadok Yohanna</v>
      </c>
      <c r="B144">
        <f>Player_Analysis!C144</f>
        <v>5</v>
      </c>
      <c r="C144" t="str">
        <f>Player_Analysis!B144</f>
        <v>MID</v>
      </c>
      <c r="D144" s="13">
        <f>Player_Analysis!E144</f>
        <v>4.9000000000000004</v>
      </c>
      <c r="E144">
        <f>Player_Analysis!I144</f>
        <v>12</v>
      </c>
      <c r="F144" s="8">
        <f>Player_Analysis!Z144</f>
        <v>0</v>
      </c>
      <c r="G144" s="17">
        <f t="shared" si="53"/>
        <v>0</v>
      </c>
      <c r="H144">
        <f t="shared" si="54"/>
        <v>0</v>
      </c>
      <c r="I144" s="8">
        <f>Player_Analysis!AF144</f>
        <v>0</v>
      </c>
      <c r="J144" s="8">
        <f>Player_Analysis!AG144</f>
        <v>0</v>
      </c>
      <c r="K144">
        <f>Player_Analysis!O144</f>
        <v>0</v>
      </c>
      <c r="L144">
        <f>Player_Analysis!P144</f>
        <v>0.03</v>
      </c>
      <c r="M144">
        <f t="shared" si="55"/>
        <v>0</v>
      </c>
      <c r="N144">
        <f t="shared" si="56"/>
        <v>0.22500000000000001</v>
      </c>
      <c r="O144" s="2">
        <f>IF(E144=0,"",Player_Analysis!L144/E144*90)</f>
        <v>7.5</v>
      </c>
      <c r="P144">
        <f>IF(E144=0,"",Player_Analysis!Q144/E144*90)</f>
        <v>0.22500000000000001</v>
      </c>
      <c r="Q144">
        <f>IF(E144=0,"",(Player_Analysis!AD144/E144)*90)</f>
        <v>22.5</v>
      </c>
      <c r="R144">
        <f>IF(E144=0,"",Player_Analysis!AA144/E144*90)</f>
        <v>0</v>
      </c>
      <c r="S144" t="str">
        <f t="array" ref="S144">IFERROR(INDEX('2023_24'!$O:$O,MATCH($A144,'2023_24'!$A:$A,0)),"")</f>
        <v/>
      </c>
      <c r="T144" t="str">
        <f>IFERROR(INDEX('2024_25'!$P:$P,MATCH($A144,'2024_25'!$A:$A,0)),"")</f>
        <v/>
      </c>
      <c r="U144" t="str">
        <f>IFERROR(INDEX('2025_26'!$P:$P,MATCH($A144,'2025_26'!$A:$A,0)),"")</f>
        <v/>
      </c>
      <c r="V144" t="str">
        <f>IFERROR(INDEX('2023_24'!$P:$P,MATCH($A144,'2023_24'!$A:$A,0)),"")</f>
        <v/>
      </c>
      <c r="W144" t="str">
        <f>IFERROR(INDEX('2024_25'!$Q:$Q,MATCH($A144,'2024_25'!$A:$A,0)),"")</f>
        <v/>
      </c>
      <c r="X144" t="str">
        <f>IFERROR(INDEX('2025_26'!$Q:$Q,MATCH($A144,'2025_26'!$A:$A,0)),"")</f>
        <v/>
      </c>
      <c r="Y144" t="str">
        <f>IFERROR(INDEX('2023_24'!$M:$M,MATCH($A144,'2023_24'!$A:$A,0))/INDEX('2023_24'!$G:$G,MATCH($A144,'2023_24'!$A:$A,0))*90,"")</f>
        <v/>
      </c>
      <c r="Z144" t="str">
        <f>IFERROR(INDEX('2024_25'!$M:$M,MATCH($A144,'2024_25'!$A:$A,0))/INDEX('2024_25'!$G:$G,MATCH($A144,'2024_25'!$A:$A,0))*90,"")</f>
        <v/>
      </c>
      <c r="AA144" t="str">
        <f>IFERROR(INDEX('2025_26'!$M:$M,MATCH($A144,'2025_26'!$A:$A,0))/INDEX('2025_26'!$G:$G,MATCH($A144,'2025_26'!$A:$A,0))*90,"")</f>
        <v/>
      </c>
      <c r="AB144" t="str">
        <f>IFERROR(SUMPRODUCT(S144:U144,{0.2,0.3,0.5})/SUMPRODUCT(--(S144:U144&lt;&gt;""),{0.2,0.3,0.5}),"")</f>
        <v/>
      </c>
      <c r="AC144" t="str">
        <f>IFERROR(SUMPRODUCT(V144:X144,{0.2,0.3,0.5})/SUMPRODUCT(--(V144:X144&lt;&gt;""),{0.2,0.3,0.5}),"")</f>
        <v/>
      </c>
      <c r="AD144">
        <f>IFERROR(SUMPRODUCT(Y144:AA144,{0.2,0.3,0.5})/SUMPRODUCT((Y144:AA144&lt;&gt;"")*{0.2,0.3,0.5}),O144)</f>
        <v>7.5</v>
      </c>
      <c r="AE144">
        <f t="shared" si="57"/>
        <v>0</v>
      </c>
      <c r="AF144" t="str">
        <f t="shared" si="58"/>
        <v/>
      </c>
      <c r="AG144">
        <f t="shared" si="59"/>
        <v>0</v>
      </c>
      <c r="AH144">
        <f t="shared" si="60"/>
        <v>0.22500000000000001</v>
      </c>
      <c r="AI144" s="2">
        <f t="shared" si="61"/>
        <v>7.4999999999999991</v>
      </c>
      <c r="AJ144">
        <f t="shared" si="62"/>
        <v>0.04</v>
      </c>
      <c r="AK144" t="str">
        <f t="shared" si="63"/>
        <v>YES</v>
      </c>
      <c r="AL144">
        <f t="shared" si="64"/>
        <v>0</v>
      </c>
      <c r="AM144">
        <f t="shared" si="65"/>
        <v>0</v>
      </c>
      <c r="AN144">
        <f t="shared" si="66"/>
        <v>0</v>
      </c>
      <c r="AO144">
        <f t="shared" si="67"/>
        <v>0</v>
      </c>
      <c r="AP144">
        <f t="array" ref="AP144">AL144*IF($C144="GKP",10,IF($C144="DEF",6,IF($C144="MID",5,4)))</f>
        <v>0</v>
      </c>
      <c r="AQ144">
        <f t="shared" si="68"/>
        <v>0</v>
      </c>
      <c r="AR144">
        <f t="shared" si="69"/>
        <v>0</v>
      </c>
      <c r="AS144" s="2">
        <f>IF($H144=0,0,Player_Analysis!$AM144*$H144/90)</f>
        <v>0</v>
      </c>
      <c r="AT144">
        <f t="shared" si="70"/>
        <v>0</v>
      </c>
      <c r="AU144" s="2">
        <f>0</f>
        <v>0</v>
      </c>
      <c r="AV144" s="2">
        <f>IF(INDEX(FPL_Raw_Data!K:K,MATCH(A144,FPL_Raw_Data!AA:AA,0))=0,"",INDEX(FPL_Raw_Data!P:P,MATCH(A144,FPL_Raw_Data!AA:AA,0))/INDEX(FPL_Raw_Data!K:K,MATCH(A144,FPL_Raw_Data!AA:AA,0))*90)</f>
        <v>0</v>
      </c>
      <c r="AW144" s="2">
        <f t="shared" si="71"/>
        <v>0</v>
      </c>
      <c r="AX144" s="2">
        <f>IFERROR(INDEX(TEAM_ANALYSIS!$H$2:$H$21,MATCH($B144,TEAM_ANALYSIS!$A$2:$A$21,0)),0)</f>
        <v>1.6666666666666667</v>
      </c>
      <c r="AY144" s="2">
        <f t="shared" si="72"/>
        <v>0</v>
      </c>
      <c r="AZ144" s="2">
        <f t="shared" si="73"/>
        <v>0</v>
      </c>
      <c r="BA144">
        <f t="shared" si="74"/>
        <v>0</v>
      </c>
      <c r="BB144">
        <f>IFERROR(Player_Analysis!$Y144,1)</f>
        <v>1.1225346020761244</v>
      </c>
      <c r="BC144">
        <f t="shared" si="75"/>
        <v>0</v>
      </c>
      <c r="BD144">
        <f t="shared" si="76"/>
        <v>0</v>
      </c>
      <c r="BE144">
        <f t="shared" si="77"/>
        <v>0</v>
      </c>
      <c r="BF144">
        <f t="shared" si="78"/>
        <v>253</v>
      </c>
      <c r="BG144">
        <f>IF($BE144="","",COUNTIFS($C$2:$C$596,$C144,$BE$2:$BE$596,"&gt;"&amp;$BE144)+COUNTIFS($C$2:$C144,$C144,$BE$2:$BE144,$BE144))</f>
        <v>149</v>
      </c>
    </row>
    <row r="145" spans="1:59" x14ac:dyDescent="0.25">
      <c r="A145" t="str">
        <f>Player_Analysis!A145</f>
        <v>Stefanos Tzimas</v>
      </c>
      <c r="B145">
        <f>Player_Analysis!C145</f>
        <v>5</v>
      </c>
      <c r="C145" t="str">
        <f>Player_Analysis!B145</f>
        <v>FWD</v>
      </c>
      <c r="D145" s="13">
        <f>Player_Analysis!E145</f>
        <v>5.5</v>
      </c>
      <c r="E145">
        <f>Player_Analysis!I145</f>
        <v>0</v>
      </c>
      <c r="F145" s="8">
        <f>Player_Analysis!Z145</f>
        <v>0</v>
      </c>
      <c r="G145" s="17">
        <f t="shared" si="53"/>
        <v>0</v>
      </c>
      <c r="H145">
        <f t="shared" si="54"/>
        <v>0</v>
      </c>
      <c r="I145" s="8">
        <f>Player_Analysis!AF145</f>
        <v>0</v>
      </c>
      <c r="J145" s="8">
        <f>Player_Analysis!AG145</f>
        <v>0</v>
      </c>
      <c r="K145">
        <f>Player_Analysis!O145</f>
        <v>0</v>
      </c>
      <c r="L145">
        <f>Player_Analysis!P145</f>
        <v>0</v>
      </c>
      <c r="M145" t="str">
        <f t="shared" si="55"/>
        <v/>
      </c>
      <c r="N145" t="str">
        <f t="shared" si="56"/>
        <v/>
      </c>
      <c r="O145" s="2" t="str">
        <f>IF(E145=0,"",Player_Analysis!L145/E145*90)</f>
        <v/>
      </c>
      <c r="P145" t="str">
        <f>IF(E145=0,"",Player_Analysis!Q145/E145*90)</f>
        <v/>
      </c>
      <c r="Q145" t="str">
        <f>IF(E145=0,"",(Player_Analysis!AD145/E145)*90)</f>
        <v/>
      </c>
      <c r="R145" t="str">
        <f>IF(E145=0,"",Player_Analysis!AA145/E145*90)</f>
        <v/>
      </c>
      <c r="S145" t="str">
        <f t="array" ref="S145">IFERROR(INDEX('2023_24'!$O:$O,MATCH($A145,'2023_24'!$A:$A,0)),"")</f>
        <v/>
      </c>
      <c r="T145" t="str">
        <f>IFERROR(INDEX('2024_25'!$P:$P,MATCH($A145,'2024_25'!$A:$A,0)),"")</f>
        <v/>
      </c>
      <c r="U145">
        <f>IFERROR(INDEX('2025_26'!$P:$P,MATCH($A145,'2025_26'!$A:$A,0)),"")</f>
        <v>0.30000000000000004</v>
      </c>
      <c r="V145" t="str">
        <f>IFERROR(INDEX('2023_24'!$P:$P,MATCH($A145,'2023_24'!$A:$A,0)),"")</f>
        <v/>
      </c>
      <c r="W145" t="str">
        <f>IFERROR(INDEX('2024_25'!$Q:$Q,MATCH($A145,'2024_25'!$A:$A,0)),"")</f>
        <v/>
      </c>
      <c r="X145">
        <f>IFERROR(INDEX('2025_26'!$Q:$Q,MATCH($A145,'2025_26'!$A:$A,0)),"")</f>
        <v>7.5000000000000011E-2</v>
      </c>
      <c r="Y145" t="str">
        <f>IFERROR(INDEX('2023_24'!$M:$M,MATCH($A145,'2023_24'!$A:$A,0))/INDEX('2023_24'!$G:$G,MATCH($A145,'2023_24'!$A:$A,0))*90,"")</f>
        <v/>
      </c>
      <c r="Z145" t="str">
        <f>IFERROR(INDEX('2024_25'!$M:$M,MATCH($A145,'2024_25'!$A:$A,0))/INDEX('2024_25'!$G:$G,MATCH($A145,'2024_25'!$A:$A,0))*90,"")</f>
        <v/>
      </c>
      <c r="AA145">
        <f>IFERROR(INDEX('2025_26'!$M:$M,MATCH($A145,'2025_26'!$A:$A,0))/INDEX('2025_26'!$G:$G,MATCH($A145,'2025_26'!$A:$A,0))*90,"")</f>
        <v>10.90909090909091</v>
      </c>
      <c r="AB145">
        <f>IFERROR(SUMPRODUCT(S145:U145,{0.2,0.3,0.5})/SUMPRODUCT(--(S145:U145&lt;&gt;""),{0.2,0.3,0.5}),"")</f>
        <v>0.30000000000000004</v>
      </c>
      <c r="AC145">
        <f>IFERROR(SUMPRODUCT(V145:X145,{0.2,0.3,0.5})/SUMPRODUCT(--(V145:X145&lt;&gt;""),{0.2,0.3,0.5}),"")</f>
        <v>7.5000000000000011E-2</v>
      </c>
      <c r="AD145">
        <f>IFERROR(SUMPRODUCT(Y145:AA145,{0.2,0.3,0.5})/SUMPRODUCT((Y145:AA145&lt;&gt;"")*{0.2,0.3,0.5}),O145)</f>
        <v>10.90909090909091</v>
      </c>
      <c r="AE145">
        <f t="shared" si="57"/>
        <v>1</v>
      </c>
      <c r="AF145" t="str">
        <f t="shared" si="58"/>
        <v/>
      </c>
      <c r="AG145">
        <f t="shared" si="59"/>
        <v>0.30000000000000004</v>
      </c>
      <c r="AH145">
        <f t="shared" si="60"/>
        <v>7.5000000000000011E-2</v>
      </c>
      <c r="AI145" s="2">
        <f t="shared" si="61"/>
        <v>10.90909090909091</v>
      </c>
      <c r="AJ145">
        <f t="shared" si="62"/>
        <v>0</v>
      </c>
      <c r="AK145" t="str">
        <f t="shared" si="63"/>
        <v>NO</v>
      </c>
      <c r="AL145">
        <f t="shared" si="64"/>
        <v>0</v>
      </c>
      <c r="AM145">
        <f t="shared" si="65"/>
        <v>0</v>
      </c>
      <c r="AN145">
        <f t="shared" si="66"/>
        <v>0</v>
      </c>
      <c r="AO145">
        <f t="shared" si="67"/>
        <v>0</v>
      </c>
      <c r="AP145">
        <f t="array" ref="AP145">AL145*IF($C145="GKP",10,IF($C145="DEF",6,IF($C145="MID",5,4)))</f>
        <v>0</v>
      </c>
      <c r="AQ145">
        <f t="shared" si="68"/>
        <v>0</v>
      </c>
      <c r="AR145">
        <f t="shared" si="69"/>
        <v>0</v>
      </c>
      <c r="AS145" s="2">
        <f>IF($H145=0,0,Player_Analysis!$AM145*$H145/90)</f>
        <v>0</v>
      </c>
      <c r="AT145">
        <f t="shared" si="70"/>
        <v>0</v>
      </c>
      <c r="AU145" s="2">
        <f>0</f>
        <v>0</v>
      </c>
      <c r="AV145" s="2" t="str">
        <f>IF(INDEX(FPL_Raw_Data!K:K,MATCH(A145,FPL_Raw_Data!AA:AA,0))=0,"",INDEX(FPL_Raw_Data!P:P,MATCH(A145,FPL_Raw_Data!AA:AA,0))/INDEX(FPL_Raw_Data!K:K,MATCH(A145,FPL_Raw_Data!AA:AA,0))*90)</f>
        <v/>
      </c>
      <c r="AW145" s="2">
        <f t="shared" si="71"/>
        <v>0</v>
      </c>
      <c r="AX145" s="2">
        <f>IFERROR(INDEX(TEAM_ANALYSIS!$H$2:$H$21,MATCH($B145,TEAM_ANALYSIS!$A$2:$A$21,0)),0)</f>
        <v>1.6666666666666667</v>
      </c>
      <c r="AY145" s="2">
        <f t="shared" si="72"/>
        <v>0</v>
      </c>
      <c r="AZ145" s="2">
        <f t="shared" si="73"/>
        <v>0</v>
      </c>
      <c r="BA145">
        <f t="shared" si="74"/>
        <v>0</v>
      </c>
      <c r="BB145">
        <f>IFERROR(Player_Analysis!$Y145,1)</f>
        <v>1.1225346020761244</v>
      </c>
      <c r="BC145">
        <f t="shared" si="75"/>
        <v>0</v>
      </c>
      <c r="BD145">
        <f t="shared" si="76"/>
        <v>0</v>
      </c>
      <c r="BE145">
        <f t="shared" si="77"/>
        <v>0</v>
      </c>
      <c r="BF145">
        <f t="shared" si="78"/>
        <v>253</v>
      </c>
      <c r="BG145">
        <f>IF($BE145="","",COUNTIFS($C$2:$C$596,$C145,$BE$2:$BE$596,"&gt;"&amp;$BE145)+COUNTIFS($C$2:$C145,$C145,$BE$2:$BE145,$BE145))</f>
        <v>36</v>
      </c>
    </row>
    <row r="146" spans="1:59" x14ac:dyDescent="0.25">
      <c r="A146" t="str">
        <f>Player_Analysis!A146</f>
        <v>Charalampos Kostoulas</v>
      </c>
      <c r="B146">
        <f>Player_Analysis!C146</f>
        <v>5</v>
      </c>
      <c r="C146" t="str">
        <f>Player_Analysis!B146</f>
        <v>FWD</v>
      </c>
      <c r="D146" s="13">
        <f>Player_Analysis!E146</f>
        <v>5.5</v>
      </c>
      <c r="E146">
        <f>Player_Analysis!I146</f>
        <v>195</v>
      </c>
      <c r="F146" s="8">
        <f>Player_Analysis!Z146</f>
        <v>2</v>
      </c>
      <c r="G146" s="17">
        <f t="shared" si="53"/>
        <v>0.92307692307692313</v>
      </c>
      <c r="H146">
        <f t="shared" si="54"/>
        <v>83.07692307692308</v>
      </c>
      <c r="I146" s="8">
        <f>Player_Analysis!AF146</f>
        <v>0</v>
      </c>
      <c r="J146" s="8">
        <f>Player_Analysis!AG146</f>
        <v>1</v>
      </c>
      <c r="K146">
        <f>Player_Analysis!O146</f>
        <v>0.78</v>
      </c>
      <c r="L146">
        <f>Player_Analysis!P146</f>
        <v>0.04</v>
      </c>
      <c r="M146">
        <f t="shared" si="55"/>
        <v>0.36</v>
      </c>
      <c r="N146">
        <f t="shared" si="56"/>
        <v>1.8461538461538463E-2</v>
      </c>
      <c r="O146" s="2">
        <f>IF(E146=0,"",Player_Analysis!L146/E146*90)</f>
        <v>3.6923076923076925</v>
      </c>
      <c r="P146">
        <f>IF(E146=0,"",Player_Analysis!Q146/E146*90)</f>
        <v>0.37846153846153846</v>
      </c>
      <c r="Q146">
        <f>IF(E146=0,"",(Player_Analysis!AD146/E146)*90)</f>
        <v>11.538461538461537</v>
      </c>
      <c r="R146">
        <f>IF(E146=0,"",Player_Analysis!AA146/E146*90)</f>
        <v>7.384615384615385</v>
      </c>
      <c r="S146" t="str">
        <f t="array" ref="S146">IFERROR(INDEX('2023_24'!$O:$O,MATCH($A146,'2023_24'!$A:$A,0)),"")</f>
        <v/>
      </c>
      <c r="T146" t="str">
        <f>IFERROR(INDEX('2024_25'!$P:$P,MATCH($A146,'2024_25'!$A:$A,0)),"")</f>
        <v/>
      </c>
      <c r="U146">
        <f>IFERROR(INDEX('2025_26'!$P:$P,MATCH($A146,'2025_26'!$A:$A,0)),"")</f>
        <v>0.54358974358974366</v>
      </c>
      <c r="V146" t="str">
        <f>IFERROR(INDEX('2023_24'!$P:$P,MATCH($A146,'2023_24'!$A:$A,0)),"")</f>
        <v/>
      </c>
      <c r="W146" t="str">
        <f>IFERROR(INDEX('2024_25'!$Q:$Q,MATCH($A146,'2024_25'!$A:$A,0)),"")</f>
        <v/>
      </c>
      <c r="X146">
        <f>IFERROR(INDEX('2025_26'!$Q:$Q,MATCH($A146,'2025_26'!$A:$A,0)),"")</f>
        <v>0.13846153846153847</v>
      </c>
      <c r="Y146" t="str">
        <f>IFERROR(INDEX('2023_24'!$M:$M,MATCH($A146,'2023_24'!$A:$A,0))/INDEX('2023_24'!$G:$G,MATCH($A146,'2023_24'!$A:$A,0))*90,"")</f>
        <v/>
      </c>
      <c r="Z146" t="str">
        <f>IFERROR(INDEX('2024_25'!$M:$M,MATCH($A146,'2024_25'!$A:$A,0))/INDEX('2024_25'!$G:$G,MATCH($A146,'2024_25'!$A:$A,0))*90,"")</f>
        <v/>
      </c>
      <c r="AA146">
        <f>IFERROR(INDEX('2025_26'!$M:$M,MATCH($A146,'2025_26'!$A:$A,0))/INDEX('2025_26'!$G:$G,MATCH($A146,'2025_26'!$A:$A,0))*90,"")</f>
        <v>8.9743589743589745</v>
      </c>
      <c r="AB146">
        <f>IFERROR(SUMPRODUCT(S146:U146,{0.2,0.3,0.5})/SUMPRODUCT(--(S146:U146&lt;&gt;""),{0.2,0.3,0.5}),"")</f>
        <v>0.54358974358974366</v>
      </c>
      <c r="AC146">
        <f>IFERROR(SUMPRODUCT(V146:X146,{0.2,0.3,0.5})/SUMPRODUCT(--(V146:X146&lt;&gt;""),{0.2,0.3,0.5}),"")</f>
        <v>0.13846153846153847</v>
      </c>
      <c r="AD146">
        <f>IFERROR(SUMPRODUCT(Y146:AA146,{0.2,0.3,0.5})/SUMPRODUCT((Y146:AA146&lt;&gt;"")*{0.2,0.3,0.5}),O146)</f>
        <v>8.9743589743589745</v>
      </c>
      <c r="AE146">
        <f t="shared" si="57"/>
        <v>1</v>
      </c>
      <c r="AF146">
        <f t="shared" si="58"/>
        <v>97.5</v>
      </c>
      <c r="AG146">
        <f t="shared" si="59"/>
        <v>0.42425641025641025</v>
      </c>
      <c r="AH146">
        <f t="shared" si="60"/>
        <v>6.0461538461538462E-2</v>
      </c>
      <c r="AI146" s="2">
        <f t="shared" si="61"/>
        <v>5.5410256410256409</v>
      </c>
      <c r="AJ146">
        <f t="shared" si="62"/>
        <v>0.65</v>
      </c>
      <c r="AK146" t="str">
        <f t="shared" si="63"/>
        <v>NO</v>
      </c>
      <c r="AL146">
        <f t="shared" si="64"/>
        <v>0.39162130177514798</v>
      </c>
      <c r="AM146">
        <f t="shared" si="65"/>
        <v>5.5810650887573969E-2</v>
      </c>
      <c r="AN146">
        <f t="shared" si="66"/>
        <v>0.39162130177514798</v>
      </c>
      <c r="AO146">
        <f t="shared" si="67"/>
        <v>5.5810650887573969E-2</v>
      </c>
      <c r="AP146">
        <f t="array" ref="AP146">AL146*IF($C146="GKP",10,IF($C146="DEF",6,IF($C146="MID",5,4)))</f>
        <v>1.5664852071005919</v>
      </c>
      <c r="AQ146">
        <f t="shared" si="68"/>
        <v>0.1674319526627219</v>
      </c>
      <c r="AR146">
        <f t="shared" si="69"/>
        <v>1.8461538461538463</v>
      </c>
      <c r="AS146" s="2">
        <f>IF($H146=0,0,Player_Analysis!$AM146*$H146/90)</f>
        <v>0</v>
      </c>
      <c r="AT146">
        <f t="shared" si="70"/>
        <v>1.136094674556213</v>
      </c>
      <c r="AU146" s="2">
        <f>0</f>
        <v>0</v>
      </c>
      <c r="AV146" s="2">
        <f>IF(INDEX(FPL_Raw_Data!K:K,MATCH(A146,FPL_Raw_Data!AA:AA,0))=0,"",INDEX(FPL_Raw_Data!P:P,MATCH(A146,FPL_Raw_Data!AA:AA,0))/INDEX(FPL_Raw_Data!K:K,MATCH(A146,FPL_Raw_Data!AA:AA,0))*90)</f>
        <v>0</v>
      </c>
      <c r="AW146" s="2">
        <f t="shared" si="71"/>
        <v>0</v>
      </c>
      <c r="AX146" s="2">
        <f>IFERROR(INDEX(TEAM_ANALYSIS!$H$2:$H$21,MATCH($B146,TEAM_ANALYSIS!$A$2:$A$21,0)),0)</f>
        <v>1.6666666666666667</v>
      </c>
      <c r="AY146" s="2">
        <f t="shared" si="72"/>
        <v>0</v>
      </c>
      <c r="AZ146" s="2">
        <f t="shared" si="73"/>
        <v>4.7161656804733738</v>
      </c>
      <c r="BA146">
        <f t="shared" si="74"/>
        <v>0.85748466917697708</v>
      </c>
      <c r="BB146">
        <f>IFERROR(Player_Analysis!$Y146,1)</f>
        <v>1.1225346020761244</v>
      </c>
      <c r="BC146">
        <f t="shared" si="75"/>
        <v>5.2940591654552529</v>
      </c>
      <c r="BD146">
        <f t="shared" si="76"/>
        <v>4.5395745720937413</v>
      </c>
      <c r="BE146">
        <f t="shared" si="77"/>
        <v>5.2940591654552529</v>
      </c>
      <c r="BF146">
        <f t="shared" si="78"/>
        <v>76</v>
      </c>
      <c r="BG146">
        <f>IF($BE146="","",COUNTIFS($C$2:$C$596,$C146,$BE$2:$BE$596,"&gt;"&amp;$BE146)+COUNTIFS($C$2:$C146,$C146,$BE$2:$BE146,$BE146))</f>
        <v>7</v>
      </c>
    </row>
    <row r="147" spans="1:59" x14ac:dyDescent="0.25">
      <c r="A147" t="str">
        <f>Player_Analysis!A147</f>
        <v>Evan Ferguson</v>
      </c>
      <c r="B147">
        <f>Player_Analysis!C147</f>
        <v>5</v>
      </c>
      <c r="C147" t="str">
        <f>Player_Analysis!B147</f>
        <v>FWD</v>
      </c>
      <c r="D147" s="13">
        <f>Player_Analysis!E147</f>
        <v>5</v>
      </c>
      <c r="E147">
        <f>Player_Analysis!I147</f>
        <v>0</v>
      </c>
      <c r="F147" s="8">
        <f>Player_Analysis!Z147</f>
        <v>0</v>
      </c>
      <c r="G147" s="17">
        <f t="shared" si="53"/>
        <v>0</v>
      </c>
      <c r="H147">
        <f t="shared" si="54"/>
        <v>0</v>
      </c>
      <c r="I147" s="8">
        <f>Player_Analysis!AF147</f>
        <v>0</v>
      </c>
      <c r="J147" s="8">
        <f>Player_Analysis!AG147</f>
        <v>0</v>
      </c>
      <c r="K147">
        <f>Player_Analysis!O147</f>
        <v>0</v>
      </c>
      <c r="L147">
        <f>Player_Analysis!P147</f>
        <v>0</v>
      </c>
      <c r="M147" t="str">
        <f t="shared" si="55"/>
        <v/>
      </c>
      <c r="N147" t="str">
        <f t="shared" si="56"/>
        <v/>
      </c>
      <c r="O147" s="2" t="str">
        <f>IF(E147=0,"",Player_Analysis!L147/E147*90)</f>
        <v/>
      </c>
      <c r="P147" t="str">
        <f>IF(E147=0,"",Player_Analysis!Q147/E147*90)</f>
        <v/>
      </c>
      <c r="Q147" t="str">
        <f>IF(E147=0,"",(Player_Analysis!AD147/E147)*90)</f>
        <v/>
      </c>
      <c r="R147" t="str">
        <f>IF(E147=0,"",Player_Analysis!AA147/E147*90)</f>
        <v/>
      </c>
      <c r="S147">
        <f t="array" ref="S147">IFERROR(INDEX('2023_24'!$O:$O,MATCH($A147,'2023_24'!$A:$A,0)),"")</f>
        <v>0.2980088495575221</v>
      </c>
      <c r="T147">
        <f>IFERROR(INDEX('2024_25'!$P:$P,MATCH($A147,'2024_25'!$A:$A,0)),"")</f>
        <v>0.26415584415584409</v>
      </c>
      <c r="U147">
        <f>IFERROR(INDEX('2025_26'!$P:$P,MATCH($A147,'2025_26'!$A:$A,0)),"")</f>
        <v>0</v>
      </c>
      <c r="V147">
        <f>IFERROR(INDEX('2023_24'!$P:$P,MATCH($A147,'2023_24'!$A:$A,0)),"")</f>
        <v>5.1106194690265491E-2</v>
      </c>
      <c r="W147">
        <f>IFERROR(INDEX('2024_25'!$Q:$Q,MATCH($A147,'2024_25'!$A:$A,0)),"")</f>
        <v>0.1542857142857143</v>
      </c>
      <c r="X147">
        <f>IFERROR(INDEX('2025_26'!$Q:$Q,MATCH($A147,'2025_26'!$A:$A,0)),"")</f>
        <v>0</v>
      </c>
      <c r="Y147">
        <f>IFERROR(INDEX('2023_24'!$M:$M,MATCH($A147,'2023_24'!$A:$A,0))/INDEX('2023_24'!$G:$G,MATCH($A147,'2023_24'!$A:$A,0))*90,"")</f>
        <v>4.5796460176991154</v>
      </c>
      <c r="Z147">
        <f>IFERROR(INDEX('2024_25'!$M:$M,MATCH($A147,'2024_25'!$A:$A,0))/INDEX('2024_25'!$G:$G,MATCH($A147,'2024_25'!$A:$A,0))*90,"")</f>
        <v>6.545454545454545</v>
      </c>
      <c r="AA147" t="str">
        <f>IFERROR(INDEX('2025_26'!$M:$M,MATCH($A147,'2025_26'!$A:$A,0))/INDEX('2025_26'!$G:$G,MATCH($A147,'2025_26'!$A:$A,0))*90,"")</f>
        <v/>
      </c>
      <c r="AB147">
        <f>IFERROR(SUMPRODUCT(S147:U147,{0.2,0.3,0.5})/SUMPRODUCT(--(S147:U147&lt;&gt;""),{0.2,0.3,0.5}),"")</f>
        <v>0.13884852315825763</v>
      </c>
      <c r="AC147">
        <f>IFERROR(SUMPRODUCT(V147:X147,{0.2,0.3,0.5})/SUMPRODUCT(--(V147:X147&lt;&gt;""),{0.2,0.3,0.5}),"")</f>
        <v>5.6506953223767392E-2</v>
      </c>
      <c r="AD147">
        <f>IFERROR(SUMPRODUCT(Y147:AA147,{0.2,0.3,0.5})/SUMPRODUCT((Y147:AA147&lt;&gt;"")*{0.2,0.3,0.5}),O147)</f>
        <v>5.7591311343523728</v>
      </c>
      <c r="AE147">
        <f t="shared" si="57"/>
        <v>3</v>
      </c>
      <c r="AF147" t="str">
        <f t="shared" si="58"/>
        <v/>
      </c>
      <c r="AG147">
        <f t="shared" si="59"/>
        <v>0.13884852315825763</v>
      </c>
      <c r="AH147">
        <f t="shared" si="60"/>
        <v>5.6506953223767392E-2</v>
      </c>
      <c r="AI147" s="2">
        <f t="shared" si="61"/>
        <v>5.7591311343523728</v>
      </c>
      <c r="AJ147">
        <f t="shared" si="62"/>
        <v>0</v>
      </c>
      <c r="AK147" t="str">
        <f t="shared" si="63"/>
        <v>NO</v>
      </c>
      <c r="AL147">
        <f t="shared" si="64"/>
        <v>0</v>
      </c>
      <c r="AM147">
        <f t="shared" si="65"/>
        <v>0</v>
      </c>
      <c r="AN147">
        <f t="shared" si="66"/>
        <v>0</v>
      </c>
      <c r="AO147">
        <f t="shared" si="67"/>
        <v>0</v>
      </c>
      <c r="AP147">
        <f t="array" ref="AP147">AL147*IF($C147="GKP",10,IF($C147="DEF",6,IF($C147="MID",5,4)))</f>
        <v>0</v>
      </c>
      <c r="AQ147">
        <f t="shared" si="68"/>
        <v>0</v>
      </c>
      <c r="AR147">
        <f t="shared" si="69"/>
        <v>0</v>
      </c>
      <c r="AS147" s="2">
        <f>IF($H147=0,0,Player_Analysis!$AM147*$H147/90)</f>
        <v>0</v>
      </c>
      <c r="AT147">
        <f t="shared" si="70"/>
        <v>0</v>
      </c>
      <c r="AU147" s="2">
        <f>0</f>
        <v>0</v>
      </c>
      <c r="AV147" s="2" t="str">
        <f>IF(INDEX(FPL_Raw_Data!K:K,MATCH(A147,FPL_Raw_Data!AA:AA,0))=0,"",INDEX(FPL_Raw_Data!P:P,MATCH(A147,FPL_Raw_Data!AA:AA,0))/INDEX(FPL_Raw_Data!K:K,MATCH(A147,FPL_Raw_Data!AA:AA,0))*90)</f>
        <v/>
      </c>
      <c r="AW147" s="2">
        <f t="shared" si="71"/>
        <v>0</v>
      </c>
      <c r="AX147" s="2">
        <f>IFERROR(INDEX(TEAM_ANALYSIS!$H$2:$H$21,MATCH($B147,TEAM_ANALYSIS!$A$2:$A$21,0)),0)</f>
        <v>1.6666666666666667</v>
      </c>
      <c r="AY147" s="2">
        <f t="shared" si="72"/>
        <v>0</v>
      </c>
      <c r="AZ147" s="2">
        <f t="shared" si="73"/>
        <v>0</v>
      </c>
      <c r="BA147">
        <f t="shared" si="74"/>
        <v>0</v>
      </c>
      <c r="BB147">
        <f>IFERROR(Player_Analysis!$Y147,1)</f>
        <v>1.1225346020761244</v>
      </c>
      <c r="BC147">
        <f t="shared" si="75"/>
        <v>0</v>
      </c>
      <c r="BD147">
        <f t="shared" si="76"/>
        <v>0</v>
      </c>
      <c r="BE147">
        <f t="shared" si="77"/>
        <v>0</v>
      </c>
      <c r="BF147">
        <f t="shared" si="78"/>
        <v>253</v>
      </c>
      <c r="BG147">
        <f>IF($BE147="","",COUNTIFS($C$2:$C$596,$C147,$BE$2:$BE$596,"&gt;"&amp;$BE147)+COUNTIFS($C$2:$C147,$C147,$BE$2:$BE147,$BE147))</f>
        <v>37</v>
      </c>
    </row>
    <row r="148" spans="1:59" x14ac:dyDescent="0.25">
      <c r="A148" t="str">
        <f>Player_Analysis!A148</f>
        <v>Pascal Struijk</v>
      </c>
      <c r="B148">
        <f>Player_Analysis!C148</f>
        <v>5</v>
      </c>
      <c r="C148" t="str">
        <f>Player_Analysis!B148</f>
        <v>DEF</v>
      </c>
      <c r="D148" s="13">
        <f>Player_Analysis!E148</f>
        <v>5</v>
      </c>
      <c r="E148">
        <f>Player_Analysis!I148</f>
        <v>1</v>
      </c>
      <c r="F148" s="8">
        <f>Player_Analysis!Z148</f>
        <v>0</v>
      </c>
      <c r="G148" s="17">
        <f t="shared" si="53"/>
        <v>0</v>
      </c>
      <c r="H148">
        <f t="shared" si="54"/>
        <v>0</v>
      </c>
      <c r="I148" s="8">
        <f>Player_Analysis!AF148</f>
        <v>0</v>
      </c>
      <c r="J148" s="8">
        <f>Player_Analysis!AG148</f>
        <v>0</v>
      </c>
      <c r="K148">
        <f>Player_Analysis!O148</f>
        <v>0</v>
      </c>
      <c r="L148">
        <f>Player_Analysis!P148</f>
        <v>0</v>
      </c>
      <c r="M148">
        <f t="shared" si="55"/>
        <v>0</v>
      </c>
      <c r="N148">
        <f t="shared" si="56"/>
        <v>0</v>
      </c>
      <c r="O148" s="2">
        <f>IF(E148=0,"",Player_Analysis!L148/E148*90)</f>
        <v>90</v>
      </c>
      <c r="P148">
        <f>IF(E148=0,"",Player_Analysis!Q148/E148*90)</f>
        <v>0</v>
      </c>
      <c r="Q148">
        <f>IF(E148=0,"",(Player_Analysis!AD148/E148)*90)</f>
        <v>270</v>
      </c>
      <c r="R148">
        <f>IF(E148=0,"",Player_Analysis!AA148/E148*90)</f>
        <v>0</v>
      </c>
      <c r="S148" t="str">
        <f t="array" ref="S148">IFERROR(INDEX('2023_24'!$O:$O,MATCH($A148,'2023_24'!$A:$A,0)),"")</f>
        <v/>
      </c>
      <c r="T148" t="str">
        <f>IFERROR(INDEX('2024_25'!$P:$P,MATCH($A148,'2024_25'!$A:$A,0)),"")</f>
        <v/>
      </c>
      <c r="U148">
        <f>IFERROR(INDEX('2025_26'!$P:$P,MATCH($A148,'2025_26'!$A:$A,0)),"")</f>
        <v>9.383304940374787E-2</v>
      </c>
      <c r="V148" t="str">
        <f>IFERROR(INDEX('2023_24'!$P:$P,MATCH($A148,'2023_24'!$A:$A,0)),"")</f>
        <v/>
      </c>
      <c r="W148" t="str">
        <f>IFERROR(INDEX('2024_25'!$Q:$Q,MATCH($A148,'2024_25'!$A:$A,0)),"")</f>
        <v/>
      </c>
      <c r="X148">
        <f>IFERROR(INDEX('2025_26'!$Q:$Q,MATCH($A148,'2025_26'!$A:$A,0)),"")</f>
        <v>2.3304940374787055E-2</v>
      </c>
      <c r="Y148" t="str">
        <f>IFERROR(INDEX('2023_24'!$M:$M,MATCH($A148,'2023_24'!$A:$A,0))/INDEX('2023_24'!$G:$G,MATCH($A148,'2023_24'!$A:$A,0))*90,"")</f>
        <v/>
      </c>
      <c r="Z148" t="str">
        <f>IFERROR(INDEX('2024_25'!$M:$M,MATCH($A148,'2024_25'!$A:$A,0))/INDEX('2024_25'!$G:$G,MATCH($A148,'2024_25'!$A:$A,0))*90,"")</f>
        <v/>
      </c>
      <c r="AA148">
        <f>IFERROR(INDEX('2025_26'!$M:$M,MATCH($A148,'2025_26'!$A:$A,0))/INDEX('2025_26'!$G:$G,MATCH($A148,'2025_26'!$A:$A,0))*90,"")</f>
        <v>3.31175468483816</v>
      </c>
      <c r="AB148">
        <f>IFERROR(SUMPRODUCT(S148:U148,{0.2,0.3,0.5})/SUMPRODUCT(--(S148:U148&lt;&gt;""),{0.2,0.3,0.5}),"")</f>
        <v>9.383304940374787E-2</v>
      </c>
      <c r="AC148">
        <f>IFERROR(SUMPRODUCT(V148:X148,{0.2,0.3,0.5})/SUMPRODUCT(--(V148:X148&lt;&gt;""),{0.2,0.3,0.5}),"")</f>
        <v>2.3304940374787055E-2</v>
      </c>
      <c r="AD148">
        <f>IFERROR(SUMPRODUCT(Y148:AA148,{0.2,0.3,0.5})/SUMPRODUCT((Y148:AA148&lt;&gt;"")*{0.2,0.3,0.5}),O148)</f>
        <v>3.31175468483816</v>
      </c>
      <c r="AE148">
        <f t="shared" si="57"/>
        <v>1</v>
      </c>
      <c r="AF148" t="str">
        <f t="shared" si="58"/>
        <v/>
      </c>
      <c r="AG148">
        <f t="shared" si="59"/>
        <v>9.3520272572402044E-2</v>
      </c>
      <c r="AH148">
        <f t="shared" si="60"/>
        <v>2.3227257240204434E-2</v>
      </c>
      <c r="AI148" s="2">
        <f t="shared" si="61"/>
        <v>3.6007155025553663</v>
      </c>
      <c r="AJ148">
        <f t="shared" si="62"/>
        <v>3.3333333333333335E-3</v>
      </c>
      <c r="AK148" t="str">
        <f t="shared" si="63"/>
        <v>NO</v>
      </c>
      <c r="AL148">
        <f t="shared" si="64"/>
        <v>0</v>
      </c>
      <c r="AM148">
        <f t="shared" si="65"/>
        <v>0</v>
      </c>
      <c r="AN148">
        <f t="shared" si="66"/>
        <v>0</v>
      </c>
      <c r="AO148">
        <f t="shared" si="67"/>
        <v>0</v>
      </c>
      <c r="AP148">
        <f t="array" ref="AP148">AL148*IF($C148="GKP",10,IF($C148="DEF",6,IF($C148="MID",5,4)))</f>
        <v>0</v>
      </c>
      <c r="AQ148">
        <f t="shared" si="68"/>
        <v>0</v>
      </c>
      <c r="AR148">
        <f t="shared" si="69"/>
        <v>0</v>
      </c>
      <c r="AS148" s="2">
        <f>IF($H148=0,0,Player_Analysis!$AM148*$H148/90)</f>
        <v>0</v>
      </c>
      <c r="AT148">
        <f t="shared" si="70"/>
        <v>0</v>
      </c>
      <c r="AU148" s="2">
        <f>0</f>
        <v>0</v>
      </c>
      <c r="AV148" s="2">
        <f>IF(INDEX(FPL_Raw_Data!K:K,MATCH(A148,FPL_Raw_Data!AA:AA,0))=0,"",INDEX(FPL_Raw_Data!P:P,MATCH(A148,FPL_Raw_Data!AA:AA,0))/INDEX(FPL_Raw_Data!K:K,MATCH(A148,FPL_Raw_Data!AA:AA,0))*90)</f>
        <v>0</v>
      </c>
      <c r="AW148" s="2">
        <f t="shared" si="71"/>
        <v>0</v>
      </c>
      <c r="AX148" s="2">
        <f>IFERROR(INDEX(TEAM_ANALYSIS!$H$2:$H$21,MATCH($B148,TEAM_ANALYSIS!$A$2:$A$21,0)),0)</f>
        <v>1.6666666666666667</v>
      </c>
      <c r="AY148" s="2">
        <f t="shared" si="72"/>
        <v>-0.83333333333333337</v>
      </c>
      <c r="AZ148" s="2">
        <f t="shared" si="73"/>
        <v>-0.83333333333333337</v>
      </c>
      <c r="BA148">
        <f t="shared" si="74"/>
        <v>-0.16666666666666669</v>
      </c>
      <c r="BB148">
        <f>IFERROR(Player_Analysis!$Y148,1)</f>
        <v>0.99748538507159212</v>
      </c>
      <c r="BC148">
        <f t="shared" si="75"/>
        <v>-0.83123782089299347</v>
      </c>
      <c r="BD148">
        <f t="shared" si="76"/>
        <v>0.13853963681549894</v>
      </c>
      <c r="BE148">
        <f t="shared" si="77"/>
        <v>-0.83123782089299347</v>
      </c>
      <c r="BF148">
        <f t="shared" si="78"/>
        <v>560</v>
      </c>
      <c r="BG148">
        <f>IF($BE148="","",COUNTIFS($C$2:$C$596,$C148,$BE$2:$BE$596,"&gt;"&amp;$BE148)+COUNTIFS($C$2:$C148,$C148,$BE$2:$BE148,$BE148))</f>
        <v>161</v>
      </c>
    </row>
    <row r="149" spans="1:59" x14ac:dyDescent="0.25">
      <c r="A149" t="str">
        <f>Player_Analysis!A149</f>
        <v>Luka Vušković</v>
      </c>
      <c r="B149">
        <f>Player_Analysis!C149</f>
        <v>5</v>
      </c>
      <c r="C149" t="str">
        <f>Player_Analysis!B149</f>
        <v>DEF</v>
      </c>
      <c r="D149" s="13">
        <f>Player_Analysis!E149</f>
        <v>5</v>
      </c>
      <c r="E149">
        <f>Player_Analysis!I149</f>
        <v>270</v>
      </c>
      <c r="F149" s="8">
        <f>Player_Analysis!Z149</f>
        <v>3</v>
      </c>
      <c r="G149" s="17">
        <f t="shared" si="53"/>
        <v>1</v>
      </c>
      <c r="H149">
        <f t="shared" si="54"/>
        <v>90</v>
      </c>
      <c r="I149" s="8">
        <f>Player_Analysis!AF149</f>
        <v>1</v>
      </c>
      <c r="J149" s="8">
        <f>Player_Analysis!AG149</f>
        <v>0</v>
      </c>
      <c r="K149">
        <f>Player_Analysis!O149</f>
        <v>0.35</v>
      </c>
      <c r="L149">
        <f>Player_Analysis!P149</f>
        <v>0.06</v>
      </c>
      <c r="M149">
        <f t="shared" si="55"/>
        <v>0.11666666666666667</v>
      </c>
      <c r="N149">
        <f t="shared" si="56"/>
        <v>1.9999999999999997E-2</v>
      </c>
      <c r="O149" s="2">
        <f>IF(E149=0,"",Player_Analysis!L149/E149*90)</f>
        <v>6</v>
      </c>
      <c r="P149">
        <f>IF(E149=0,"",Player_Analysis!Q149/E149*90)</f>
        <v>0.13666666666666666</v>
      </c>
      <c r="Q149">
        <f>IF(E149=0,"",(Player_Analysis!AD149/E149)*90)</f>
        <v>14.666666666666668</v>
      </c>
      <c r="R149">
        <f>IF(E149=0,"",Player_Analysis!AA149/E149*90)</f>
        <v>7.3333333333333339</v>
      </c>
      <c r="S149" t="str">
        <f t="array" ref="S149">IFERROR(INDEX('2023_24'!$O:$O,MATCH($A149,'2023_24'!$A:$A,0)),"")</f>
        <v/>
      </c>
      <c r="T149" t="str">
        <f>IFERROR(INDEX('2024_25'!$P:$P,MATCH($A149,'2024_25'!$A:$A,0)),"")</f>
        <v/>
      </c>
      <c r="U149">
        <f>IFERROR(INDEX('2025_26'!$P:$P,MATCH($A149,'2025_26'!$A:$A,0)),"")</f>
        <v>0</v>
      </c>
      <c r="V149" t="str">
        <f>IFERROR(INDEX('2023_24'!$P:$P,MATCH($A149,'2023_24'!$A:$A,0)),"")</f>
        <v/>
      </c>
      <c r="W149" t="str">
        <f>IFERROR(INDEX('2024_25'!$Q:$Q,MATCH($A149,'2024_25'!$A:$A,0)),"")</f>
        <v/>
      </c>
      <c r="X149">
        <f>IFERROR(INDEX('2025_26'!$Q:$Q,MATCH($A149,'2025_26'!$A:$A,0)),"")</f>
        <v>0</v>
      </c>
      <c r="Y149" t="str">
        <f>IFERROR(INDEX('2023_24'!$M:$M,MATCH($A149,'2023_24'!$A:$A,0))/INDEX('2023_24'!$G:$G,MATCH($A149,'2023_24'!$A:$A,0))*90,"")</f>
        <v/>
      </c>
      <c r="Z149" t="str">
        <f>IFERROR(INDEX('2024_25'!$M:$M,MATCH($A149,'2024_25'!$A:$A,0))/INDEX('2024_25'!$G:$G,MATCH($A149,'2024_25'!$A:$A,0))*90,"")</f>
        <v/>
      </c>
      <c r="AA149" t="str">
        <f>IFERROR(INDEX('2025_26'!$M:$M,MATCH($A149,'2025_26'!$A:$A,0))/INDEX('2025_26'!$G:$G,MATCH($A149,'2025_26'!$A:$A,0))*90,"")</f>
        <v/>
      </c>
      <c r="AB149">
        <f>IFERROR(SUMPRODUCT(S149:U149,{0.2,0.3,0.5})/SUMPRODUCT(--(S149:U149&lt;&gt;""),{0.2,0.3,0.5}),"")</f>
        <v>0</v>
      </c>
      <c r="AC149">
        <f>IFERROR(SUMPRODUCT(V149:X149,{0.2,0.3,0.5})/SUMPRODUCT(--(V149:X149&lt;&gt;""),{0.2,0.3,0.5}),"")</f>
        <v>0</v>
      </c>
      <c r="AD149">
        <f>IFERROR(SUMPRODUCT(Y149:AA149,{0.2,0.3,0.5})/SUMPRODUCT((Y149:AA149&lt;&gt;"")*{0.2,0.3,0.5}),O149)</f>
        <v>6</v>
      </c>
      <c r="AE149">
        <f t="shared" si="57"/>
        <v>1</v>
      </c>
      <c r="AF149">
        <f t="shared" si="58"/>
        <v>90</v>
      </c>
      <c r="AG149">
        <f t="shared" si="59"/>
        <v>0.10500000000000001</v>
      </c>
      <c r="AH149">
        <f t="shared" si="60"/>
        <v>1.7999999999999999E-2</v>
      </c>
      <c r="AI149" s="2">
        <f t="shared" si="61"/>
        <v>6</v>
      </c>
      <c r="AJ149">
        <f t="shared" si="62"/>
        <v>0.9</v>
      </c>
      <c r="AK149" t="str">
        <f t="shared" si="63"/>
        <v>NO</v>
      </c>
      <c r="AL149">
        <f t="shared" si="64"/>
        <v>0.10500000000000001</v>
      </c>
      <c r="AM149">
        <f t="shared" si="65"/>
        <v>1.7999999999999999E-2</v>
      </c>
      <c r="AN149">
        <f t="shared" si="66"/>
        <v>0.10500000000000001</v>
      </c>
      <c r="AO149">
        <f t="shared" si="67"/>
        <v>1.7999999999999999E-2</v>
      </c>
      <c r="AP149">
        <f t="array" ref="AP149">AL149*IF($C149="GKP",10,IF($C149="DEF",6,IF($C149="MID",5,4)))</f>
        <v>0.63000000000000012</v>
      </c>
      <c r="AQ149">
        <f t="shared" si="68"/>
        <v>5.3999999999999992E-2</v>
      </c>
      <c r="AR149">
        <f t="shared" si="69"/>
        <v>2</v>
      </c>
      <c r="AS149" s="2">
        <f>IF($H149=0,0,Player_Analysis!$AM149*$H149/90)</f>
        <v>1.3333333333333333</v>
      </c>
      <c r="AT149">
        <f t="shared" si="70"/>
        <v>1.4666666666666666</v>
      </c>
      <c r="AU149" s="2">
        <f>0</f>
        <v>0</v>
      </c>
      <c r="AV149" s="2">
        <f>IF(INDEX(FPL_Raw_Data!K:K,MATCH(A149,FPL_Raw_Data!AA:AA,0))=0,"",INDEX(FPL_Raw_Data!P:P,MATCH(A149,FPL_Raw_Data!AA:AA,0))/INDEX(FPL_Raw_Data!K:K,MATCH(A149,FPL_Raw_Data!AA:AA,0))*90)</f>
        <v>0</v>
      </c>
      <c r="AW149" s="2">
        <f t="shared" si="71"/>
        <v>0</v>
      </c>
      <c r="AX149" s="2">
        <f>IFERROR(INDEX(TEAM_ANALYSIS!$H$2:$H$21,MATCH($B149,TEAM_ANALYSIS!$A$2:$A$21,0)),0)</f>
        <v>1.6666666666666667</v>
      </c>
      <c r="AY149" s="2">
        <f t="shared" si="72"/>
        <v>-0.83333333333333337</v>
      </c>
      <c r="AZ149" s="2">
        <f t="shared" si="73"/>
        <v>4.6506666666666669</v>
      </c>
      <c r="BA149">
        <f t="shared" si="74"/>
        <v>0.93013333333333337</v>
      </c>
      <c r="BB149">
        <f>IFERROR(Player_Analysis!$Y149,1)</f>
        <v>0.99748538507159212</v>
      </c>
      <c r="BC149">
        <f t="shared" si="75"/>
        <v>4.6389720308396178</v>
      </c>
      <c r="BD149">
        <f t="shared" si="76"/>
        <v>4.3148625182849569</v>
      </c>
      <c r="BE149">
        <f t="shared" si="77"/>
        <v>4.6389720308396178</v>
      </c>
      <c r="BF149">
        <f t="shared" si="78"/>
        <v>118</v>
      </c>
      <c r="BG149">
        <f>IF($BE149="","",COUNTIFS($C$2:$C$596,$C149,$BE$2:$BE$596,"&gt;"&amp;$BE149)+COUNTIFS($C$2:$C149,$C149,$BE$2:$BE149,$BE149))</f>
        <v>43</v>
      </c>
    </row>
    <row r="150" spans="1:59" x14ac:dyDescent="0.25">
      <c r="A150" t="str">
        <f>Player_Analysis!A150</f>
        <v>Promise David</v>
      </c>
      <c r="B150">
        <f>Player_Analysis!C150</f>
        <v>5</v>
      </c>
      <c r="C150" t="str">
        <f>Player_Analysis!B150</f>
        <v>FWD</v>
      </c>
      <c r="D150" s="13">
        <f>Player_Analysis!E150</f>
        <v>6</v>
      </c>
      <c r="E150">
        <f>Player_Analysis!I150</f>
        <v>23</v>
      </c>
      <c r="F150" s="8">
        <f>Player_Analysis!Z150</f>
        <v>0</v>
      </c>
      <c r="G150" s="17">
        <f t="shared" si="53"/>
        <v>0</v>
      </c>
      <c r="H150">
        <f t="shared" si="54"/>
        <v>0</v>
      </c>
      <c r="I150" s="8">
        <f>Player_Analysis!AF150</f>
        <v>0</v>
      </c>
      <c r="J150" s="8">
        <f>Player_Analysis!AG150</f>
        <v>0</v>
      </c>
      <c r="K150">
        <f>Player_Analysis!O150</f>
        <v>0.42</v>
      </c>
      <c r="L150">
        <f>Player_Analysis!P150</f>
        <v>0</v>
      </c>
      <c r="M150">
        <f t="shared" si="55"/>
        <v>1.6434782608695651</v>
      </c>
      <c r="N150">
        <f t="shared" si="56"/>
        <v>0</v>
      </c>
      <c r="O150" s="2">
        <f>IF(E150=0,"",Player_Analysis!L150/E150*90)</f>
        <v>3.9130434782608696</v>
      </c>
      <c r="P150">
        <f>IF(E150=0,"",Player_Analysis!Q150/E150*90)</f>
        <v>1.6434782608695651</v>
      </c>
      <c r="Q150">
        <f>IF(E150=0,"",(Player_Analysis!AD150/E150)*90)</f>
        <v>-15.652173913043478</v>
      </c>
      <c r="R150">
        <f>IF(E150=0,"",Player_Analysis!AA150/E150*90)</f>
        <v>0</v>
      </c>
      <c r="S150" t="str">
        <f t="array" ref="S150">IFERROR(INDEX('2023_24'!$O:$O,MATCH($A150,'2023_24'!$A:$A,0)),"")</f>
        <v/>
      </c>
      <c r="T150" t="str">
        <f>IFERROR(INDEX('2024_25'!$P:$P,MATCH($A150,'2024_25'!$A:$A,0)),"")</f>
        <v/>
      </c>
      <c r="U150" t="str">
        <f>IFERROR(INDEX('2025_26'!$P:$P,MATCH($A150,'2025_26'!$A:$A,0)),"")</f>
        <v/>
      </c>
      <c r="V150" t="str">
        <f>IFERROR(INDEX('2023_24'!$P:$P,MATCH($A150,'2023_24'!$A:$A,0)),"")</f>
        <v/>
      </c>
      <c r="W150" t="str">
        <f>IFERROR(INDEX('2024_25'!$Q:$Q,MATCH($A150,'2024_25'!$A:$A,0)),"")</f>
        <v/>
      </c>
      <c r="X150" t="str">
        <f>IFERROR(INDEX('2025_26'!$Q:$Q,MATCH($A150,'2025_26'!$A:$A,0)),"")</f>
        <v/>
      </c>
      <c r="Y150" t="str">
        <f>IFERROR(INDEX('2023_24'!$M:$M,MATCH($A150,'2023_24'!$A:$A,0))/INDEX('2023_24'!$G:$G,MATCH($A150,'2023_24'!$A:$A,0))*90,"")</f>
        <v/>
      </c>
      <c r="Z150" t="str">
        <f>IFERROR(INDEX('2024_25'!$M:$M,MATCH($A150,'2024_25'!$A:$A,0))/INDEX('2024_25'!$G:$G,MATCH($A150,'2024_25'!$A:$A,0))*90,"")</f>
        <v/>
      </c>
      <c r="AA150" t="str">
        <f>IFERROR(INDEX('2025_26'!$M:$M,MATCH($A150,'2025_26'!$A:$A,0))/INDEX('2025_26'!$G:$G,MATCH($A150,'2025_26'!$A:$A,0))*90,"")</f>
        <v/>
      </c>
      <c r="AB150" t="str">
        <f>IFERROR(SUMPRODUCT(S150:U150,{0.2,0.3,0.5})/SUMPRODUCT(--(S150:U150&lt;&gt;""),{0.2,0.3,0.5}),"")</f>
        <v/>
      </c>
      <c r="AC150" t="str">
        <f>IFERROR(SUMPRODUCT(V150:X150,{0.2,0.3,0.5})/SUMPRODUCT(--(V150:X150&lt;&gt;""),{0.2,0.3,0.5}),"")</f>
        <v/>
      </c>
      <c r="AD150">
        <f>IFERROR(SUMPRODUCT(Y150:AA150,{0.2,0.3,0.5})/SUMPRODUCT((Y150:AA150&lt;&gt;"")*{0.2,0.3,0.5}),O150)</f>
        <v>3.9130434782608696</v>
      </c>
      <c r="AE150">
        <f t="shared" si="57"/>
        <v>0</v>
      </c>
      <c r="AF150" t="str">
        <f t="shared" si="58"/>
        <v/>
      </c>
      <c r="AG150">
        <f t="shared" si="59"/>
        <v>1.6434782608695651</v>
      </c>
      <c r="AH150">
        <f t="shared" si="60"/>
        <v>0</v>
      </c>
      <c r="AI150" s="2">
        <f t="shared" si="61"/>
        <v>3.9130434782608696</v>
      </c>
      <c r="AJ150">
        <f t="shared" si="62"/>
        <v>7.6666666666666661E-2</v>
      </c>
      <c r="AK150" t="str">
        <f t="shared" si="63"/>
        <v>YES</v>
      </c>
      <c r="AL150">
        <f t="shared" si="64"/>
        <v>0</v>
      </c>
      <c r="AM150">
        <f t="shared" si="65"/>
        <v>0</v>
      </c>
      <c r="AN150">
        <f t="shared" si="66"/>
        <v>0</v>
      </c>
      <c r="AO150">
        <f t="shared" si="67"/>
        <v>0</v>
      </c>
      <c r="AP150">
        <f t="array" ref="AP150">AL150*IF($C150="GKP",10,IF($C150="DEF",6,IF($C150="MID",5,4)))</f>
        <v>0</v>
      </c>
      <c r="AQ150">
        <f t="shared" si="68"/>
        <v>0</v>
      </c>
      <c r="AR150">
        <f t="shared" si="69"/>
        <v>0</v>
      </c>
      <c r="AS150" s="2">
        <f>IF($H150=0,0,Player_Analysis!$AM150*$H150/90)</f>
        <v>0</v>
      </c>
      <c r="AT150">
        <f t="shared" si="70"/>
        <v>0</v>
      </c>
      <c r="AU150" s="2">
        <f>0</f>
        <v>0</v>
      </c>
      <c r="AV150" s="2">
        <f>IF(INDEX(FPL_Raw_Data!K:K,MATCH(A150,FPL_Raw_Data!AA:AA,0))=0,"",INDEX(FPL_Raw_Data!P:P,MATCH(A150,FPL_Raw_Data!AA:AA,0))/INDEX(FPL_Raw_Data!K:K,MATCH(A150,FPL_Raw_Data!AA:AA,0))*90)</f>
        <v>0</v>
      </c>
      <c r="AW150" s="2">
        <f t="shared" si="71"/>
        <v>0</v>
      </c>
      <c r="AX150" s="2">
        <f>IFERROR(INDEX(TEAM_ANALYSIS!$H$2:$H$21,MATCH($B150,TEAM_ANALYSIS!$A$2:$A$21,0)),0)</f>
        <v>1.6666666666666667</v>
      </c>
      <c r="AY150" s="2">
        <f t="shared" si="72"/>
        <v>0</v>
      </c>
      <c r="AZ150" s="2">
        <f t="shared" si="73"/>
        <v>0</v>
      </c>
      <c r="BA150">
        <f t="shared" si="74"/>
        <v>0</v>
      </c>
      <c r="BB150">
        <f>IFERROR(Player_Analysis!$Y150,1)</f>
        <v>1.1225346020761244</v>
      </c>
      <c r="BC150">
        <f t="shared" si="75"/>
        <v>0</v>
      </c>
      <c r="BD150">
        <f t="shared" si="76"/>
        <v>0</v>
      </c>
      <c r="BE150">
        <f t="shared" si="77"/>
        <v>0</v>
      </c>
      <c r="BF150">
        <f t="shared" si="78"/>
        <v>253</v>
      </c>
      <c r="BG150">
        <f>IF($BE150="","",COUNTIFS($C$2:$C$596,$C150,$BE$2:$BE$596,"&gt;"&amp;$BE150)+COUNTIFS($C$2:$C150,$C150,$BE$2:$BE150,$BE150))</f>
        <v>38</v>
      </c>
    </row>
    <row r="151" spans="1:59" x14ac:dyDescent="0.25">
      <c r="A151" t="str">
        <f>Player_Analysis!A151</f>
        <v>Ibrahim Osman</v>
      </c>
      <c r="B151">
        <f>Player_Analysis!C151</f>
        <v>5</v>
      </c>
      <c r="C151" t="str">
        <f>Player_Analysis!B151</f>
        <v>MID</v>
      </c>
      <c r="D151" s="13">
        <f>Player_Analysis!E151</f>
        <v>5</v>
      </c>
      <c r="E151">
        <f>Player_Analysis!I151</f>
        <v>28</v>
      </c>
      <c r="F151" s="8">
        <f>Player_Analysis!Z151</f>
        <v>0</v>
      </c>
      <c r="G151" s="17">
        <f t="shared" si="53"/>
        <v>0</v>
      </c>
      <c r="H151">
        <f t="shared" si="54"/>
        <v>0</v>
      </c>
      <c r="I151" s="8">
        <f>Player_Analysis!AF151</f>
        <v>0</v>
      </c>
      <c r="J151" s="8">
        <f>Player_Analysis!AG151</f>
        <v>0</v>
      </c>
      <c r="K151">
        <f>Player_Analysis!O151</f>
        <v>0</v>
      </c>
      <c r="L151">
        <f>Player_Analysis!P151</f>
        <v>0.06</v>
      </c>
      <c r="M151">
        <f t="shared" si="55"/>
        <v>0</v>
      </c>
      <c r="N151">
        <f t="shared" si="56"/>
        <v>0.19285714285714287</v>
      </c>
      <c r="O151" s="2">
        <f>IF(E151=0,"",Player_Analysis!L151/E151*90)</f>
        <v>6.4285714285714279</v>
      </c>
      <c r="P151">
        <f>IF(E151=0,"",Player_Analysis!Q151/E151*90)</f>
        <v>0.19285714285714287</v>
      </c>
      <c r="Q151">
        <f>IF(E151=0,"",(Player_Analysis!AD151/E151)*90)</f>
        <v>41.785714285714285</v>
      </c>
      <c r="R151">
        <f>IF(E151=0,"",Player_Analysis!AA151/E151*90)</f>
        <v>9.6428571428571423</v>
      </c>
      <c r="S151" t="str">
        <f t="array" ref="S151">IFERROR(INDEX('2023_24'!$O:$O,MATCH($A151,'2023_24'!$A:$A,0)),"")</f>
        <v/>
      </c>
      <c r="T151">
        <f>IFERROR(INDEX('2024_25'!$P:$P,MATCH($A151,'2024_25'!$A:$A,0)),"")</f>
        <v>0</v>
      </c>
      <c r="U151" t="str">
        <f>IFERROR(INDEX('2025_26'!$P:$P,MATCH($A151,'2025_26'!$A:$A,0)),"")</f>
        <v/>
      </c>
      <c r="V151" t="str">
        <f>IFERROR(INDEX('2023_24'!$P:$P,MATCH($A151,'2023_24'!$A:$A,0)),"")</f>
        <v/>
      </c>
      <c r="W151">
        <f>IFERROR(INDEX('2024_25'!$Q:$Q,MATCH($A151,'2024_25'!$A:$A,0)),"")</f>
        <v>0</v>
      </c>
      <c r="X151" t="str">
        <f>IFERROR(INDEX('2025_26'!$Q:$Q,MATCH($A151,'2025_26'!$A:$A,0)),"")</f>
        <v/>
      </c>
      <c r="Y151" t="str">
        <f>IFERROR(INDEX('2023_24'!$M:$M,MATCH($A151,'2023_24'!$A:$A,0))/INDEX('2023_24'!$G:$G,MATCH($A151,'2023_24'!$A:$A,0))*90,"")</f>
        <v/>
      </c>
      <c r="Z151" t="str">
        <f>IFERROR(INDEX('2024_25'!$M:$M,MATCH($A151,'2024_25'!$A:$A,0))/INDEX('2024_25'!$G:$G,MATCH($A151,'2024_25'!$A:$A,0))*90,"")</f>
        <v/>
      </c>
      <c r="AA151" t="str">
        <f>IFERROR(INDEX('2025_26'!$M:$M,MATCH($A151,'2025_26'!$A:$A,0))/INDEX('2025_26'!$G:$G,MATCH($A151,'2025_26'!$A:$A,0))*90,"")</f>
        <v/>
      </c>
      <c r="AB151">
        <f>IFERROR(SUMPRODUCT(S151:U151,{0.2,0.3,0.5})/SUMPRODUCT(--(S151:U151&lt;&gt;""),{0.2,0.3,0.5}),"")</f>
        <v>0</v>
      </c>
      <c r="AC151">
        <f>IFERROR(SUMPRODUCT(V151:X151,{0.2,0.3,0.5})/SUMPRODUCT(--(V151:X151&lt;&gt;""),{0.2,0.3,0.5}),"")</f>
        <v>0</v>
      </c>
      <c r="AD151">
        <f>IFERROR(SUMPRODUCT(Y151:AA151,{0.2,0.3,0.5})/SUMPRODUCT((Y151:AA151&lt;&gt;"")*{0.2,0.3,0.5}),O151)</f>
        <v>6.4285714285714279</v>
      </c>
      <c r="AE151">
        <f t="shared" si="57"/>
        <v>1</v>
      </c>
      <c r="AF151" t="str">
        <f t="shared" si="58"/>
        <v/>
      </c>
      <c r="AG151">
        <f t="shared" si="59"/>
        <v>0</v>
      </c>
      <c r="AH151">
        <f t="shared" si="60"/>
        <v>1.8000000000000002E-2</v>
      </c>
      <c r="AI151" s="2">
        <f t="shared" si="61"/>
        <v>6.428571428571427</v>
      </c>
      <c r="AJ151">
        <f t="shared" si="62"/>
        <v>9.3333333333333338E-2</v>
      </c>
      <c r="AK151" t="str">
        <f t="shared" si="63"/>
        <v>NO</v>
      </c>
      <c r="AL151">
        <f t="shared" si="64"/>
        <v>0</v>
      </c>
      <c r="AM151">
        <f t="shared" si="65"/>
        <v>0</v>
      </c>
      <c r="AN151">
        <f t="shared" si="66"/>
        <v>0</v>
      </c>
      <c r="AO151">
        <f t="shared" si="67"/>
        <v>0</v>
      </c>
      <c r="AP151">
        <f t="array" ref="AP151">AL151*IF($C151="GKP",10,IF($C151="DEF",6,IF($C151="MID",5,4)))</f>
        <v>0</v>
      </c>
      <c r="AQ151">
        <f t="shared" si="68"/>
        <v>0</v>
      </c>
      <c r="AR151">
        <f t="shared" si="69"/>
        <v>0</v>
      </c>
      <c r="AS151" s="2">
        <f>IF($H151=0,0,Player_Analysis!$AM151*$H151/90)</f>
        <v>0</v>
      </c>
      <c r="AT151">
        <f t="shared" si="70"/>
        <v>0</v>
      </c>
      <c r="AU151" s="2">
        <f>0</f>
        <v>0</v>
      </c>
      <c r="AV151" s="2">
        <f>IF(INDEX(FPL_Raw_Data!K:K,MATCH(A151,FPL_Raw_Data!AA:AA,0))=0,"",INDEX(FPL_Raw_Data!P:P,MATCH(A151,FPL_Raw_Data!AA:AA,0))/INDEX(FPL_Raw_Data!K:K,MATCH(A151,FPL_Raw_Data!AA:AA,0))*90)</f>
        <v>0</v>
      </c>
      <c r="AW151" s="2">
        <f t="shared" si="71"/>
        <v>0</v>
      </c>
      <c r="AX151" s="2">
        <f>IFERROR(INDEX(TEAM_ANALYSIS!$H$2:$H$21,MATCH($B151,TEAM_ANALYSIS!$A$2:$A$21,0)),0)</f>
        <v>1.6666666666666667</v>
      </c>
      <c r="AY151" s="2">
        <f t="shared" si="72"/>
        <v>0</v>
      </c>
      <c r="AZ151" s="2">
        <f t="shared" si="73"/>
        <v>0</v>
      </c>
      <c r="BA151">
        <f t="shared" si="74"/>
        <v>0</v>
      </c>
      <c r="BB151">
        <f>IFERROR(Player_Analysis!$Y151,1)</f>
        <v>1.1225346020761244</v>
      </c>
      <c r="BC151">
        <f t="shared" si="75"/>
        <v>0</v>
      </c>
      <c r="BD151">
        <f t="shared" si="76"/>
        <v>0</v>
      </c>
      <c r="BE151">
        <f t="shared" si="77"/>
        <v>0</v>
      </c>
      <c r="BF151">
        <f t="shared" si="78"/>
        <v>253</v>
      </c>
      <c r="BG151">
        <f>IF($BE151="","",COUNTIFS($C$2:$C$596,$C151,$BE$2:$BE$596,"&gt;"&amp;$BE151)+COUNTIFS($C$2:$C151,$C151,$BE$2:$BE151,$BE151))</f>
        <v>150</v>
      </c>
    </row>
    <row r="152" spans="1:59" x14ac:dyDescent="0.25">
      <c r="A152" t="str">
        <f>Player_Analysis!A152</f>
        <v>Malick Yalcouyé</v>
      </c>
      <c r="B152">
        <f>Player_Analysis!C152</f>
        <v>5</v>
      </c>
      <c r="C152" t="str">
        <f>Player_Analysis!B152</f>
        <v>MID</v>
      </c>
      <c r="D152" s="13">
        <f>Player_Analysis!E152</f>
        <v>4.5</v>
      </c>
      <c r="E152">
        <f>Player_Analysis!I152</f>
        <v>167</v>
      </c>
      <c r="F152" s="8">
        <f>Player_Analysis!Z152</f>
        <v>2</v>
      </c>
      <c r="G152" s="17">
        <f t="shared" si="53"/>
        <v>1</v>
      </c>
      <c r="H152">
        <f t="shared" si="54"/>
        <v>90</v>
      </c>
      <c r="I152" s="8">
        <f>Player_Analysis!AF152</f>
        <v>1</v>
      </c>
      <c r="J152" s="8">
        <f>Player_Analysis!AG152</f>
        <v>0</v>
      </c>
      <c r="K152">
        <f>Player_Analysis!O152</f>
        <v>0.75</v>
      </c>
      <c r="L152">
        <f>Player_Analysis!P152</f>
        <v>0.26</v>
      </c>
      <c r="M152">
        <f t="shared" si="55"/>
        <v>0.40419161676646703</v>
      </c>
      <c r="N152">
        <f t="shared" si="56"/>
        <v>0.14011976047904193</v>
      </c>
      <c r="O152" s="2">
        <f>IF(E152=0,"",Player_Analysis!L152/E152*90)</f>
        <v>5.9281437125748511</v>
      </c>
      <c r="P152">
        <f>IF(E152=0,"",Player_Analysis!Q152/E152*90)</f>
        <v>0.54431137724550893</v>
      </c>
      <c r="Q152">
        <f>IF(E152=0,"",(Player_Analysis!AD152/E152)*90)</f>
        <v>31.257485029940121</v>
      </c>
      <c r="R152">
        <f>IF(E152=0,"",Player_Analysis!AA152/E152*90)</f>
        <v>6.4670658682634725</v>
      </c>
      <c r="S152" t="str">
        <f t="array" ref="S152">IFERROR(INDEX('2023_24'!$O:$O,MATCH($A152,'2023_24'!$A:$A,0)),"")</f>
        <v/>
      </c>
      <c r="T152" t="str">
        <f>IFERROR(INDEX('2024_25'!$P:$P,MATCH($A152,'2024_25'!$A:$A,0)),"")</f>
        <v/>
      </c>
      <c r="U152">
        <f>IFERROR(INDEX('2025_26'!$P:$P,MATCH($A152,'2025_26'!$A:$A,0)),"")</f>
        <v>0</v>
      </c>
      <c r="V152" t="str">
        <f>IFERROR(INDEX('2023_24'!$P:$P,MATCH($A152,'2023_24'!$A:$A,0)),"")</f>
        <v/>
      </c>
      <c r="W152" t="str">
        <f>IFERROR(INDEX('2024_25'!$Q:$Q,MATCH($A152,'2024_25'!$A:$A,0)),"")</f>
        <v/>
      </c>
      <c r="X152">
        <f>IFERROR(INDEX('2025_26'!$Q:$Q,MATCH($A152,'2025_26'!$A:$A,0)),"")</f>
        <v>0</v>
      </c>
      <c r="Y152" t="str">
        <f>IFERROR(INDEX('2023_24'!$M:$M,MATCH($A152,'2023_24'!$A:$A,0))/INDEX('2023_24'!$G:$G,MATCH($A152,'2023_24'!$A:$A,0))*90,"")</f>
        <v/>
      </c>
      <c r="Z152" t="str">
        <f>IFERROR(INDEX('2024_25'!$M:$M,MATCH($A152,'2024_25'!$A:$A,0))/INDEX('2024_25'!$G:$G,MATCH($A152,'2024_25'!$A:$A,0))*90,"")</f>
        <v/>
      </c>
      <c r="AA152" t="str">
        <f>IFERROR(INDEX('2025_26'!$M:$M,MATCH($A152,'2025_26'!$A:$A,0))/INDEX('2025_26'!$G:$G,MATCH($A152,'2025_26'!$A:$A,0))*90,"")</f>
        <v/>
      </c>
      <c r="AB152">
        <f>IFERROR(SUMPRODUCT(S152:U152,{0.2,0.3,0.5})/SUMPRODUCT(--(S152:U152&lt;&gt;""),{0.2,0.3,0.5}),"")</f>
        <v>0</v>
      </c>
      <c r="AC152">
        <f>IFERROR(SUMPRODUCT(V152:X152,{0.2,0.3,0.5})/SUMPRODUCT(--(V152:X152&lt;&gt;""),{0.2,0.3,0.5}),"")</f>
        <v>0</v>
      </c>
      <c r="AD152">
        <f>IFERROR(SUMPRODUCT(Y152:AA152,{0.2,0.3,0.5})/SUMPRODUCT((Y152:AA152&lt;&gt;"")*{0.2,0.3,0.5}),O152)</f>
        <v>5.9281437125748511</v>
      </c>
      <c r="AE152">
        <f t="shared" si="57"/>
        <v>1</v>
      </c>
      <c r="AF152">
        <f t="shared" si="58"/>
        <v>83.5</v>
      </c>
      <c r="AG152">
        <f t="shared" si="59"/>
        <v>0.22499999999999998</v>
      </c>
      <c r="AH152">
        <f t="shared" si="60"/>
        <v>7.8E-2</v>
      </c>
      <c r="AI152" s="2">
        <f t="shared" si="61"/>
        <v>5.9281437125748511</v>
      </c>
      <c r="AJ152">
        <f t="shared" si="62"/>
        <v>0.55666666666666664</v>
      </c>
      <c r="AK152" t="str">
        <f t="shared" si="63"/>
        <v>NO</v>
      </c>
      <c r="AL152">
        <f t="shared" si="64"/>
        <v>0.22499999999999995</v>
      </c>
      <c r="AM152">
        <f t="shared" si="65"/>
        <v>7.8E-2</v>
      </c>
      <c r="AN152">
        <f t="shared" si="66"/>
        <v>0.22499999999999995</v>
      </c>
      <c r="AO152">
        <f t="shared" si="67"/>
        <v>7.8E-2</v>
      </c>
      <c r="AP152">
        <f t="array" ref="AP152">AL152*IF($C152="GKP",10,IF($C152="DEF",6,IF($C152="MID",5,4)))</f>
        <v>1.1249999999999998</v>
      </c>
      <c r="AQ152">
        <f t="shared" si="68"/>
        <v>0.23399999999999999</v>
      </c>
      <c r="AR152">
        <f t="shared" si="69"/>
        <v>2</v>
      </c>
      <c r="AS152" s="2">
        <f>IF($H152=0,0,Player_Analysis!$AM152*$H152/90)</f>
        <v>0</v>
      </c>
      <c r="AT152">
        <f t="shared" si="70"/>
        <v>1.0778443113772456</v>
      </c>
      <c r="AU152" s="2">
        <f>0</f>
        <v>0</v>
      </c>
      <c r="AV152" s="2">
        <f>IF(INDEX(FPL_Raw_Data!K:K,MATCH(A152,FPL_Raw_Data!AA:AA,0))=0,"",INDEX(FPL_Raw_Data!P:P,MATCH(A152,FPL_Raw_Data!AA:AA,0))/INDEX(FPL_Raw_Data!K:K,MATCH(A152,FPL_Raw_Data!AA:AA,0))*90)</f>
        <v>0</v>
      </c>
      <c r="AW152" s="2">
        <f t="shared" si="71"/>
        <v>0</v>
      </c>
      <c r="AX152" s="2">
        <f>IFERROR(INDEX(TEAM_ANALYSIS!$H$2:$H$21,MATCH($B152,TEAM_ANALYSIS!$A$2:$A$21,0)),0)</f>
        <v>1.6666666666666667</v>
      </c>
      <c r="AY152" s="2">
        <f t="shared" si="72"/>
        <v>0</v>
      </c>
      <c r="AZ152" s="2">
        <f t="shared" si="73"/>
        <v>4.4368443113772456</v>
      </c>
      <c r="BA152">
        <f t="shared" si="74"/>
        <v>0.9859654025282768</v>
      </c>
      <c r="BB152">
        <f>IFERROR(Player_Analysis!$Y152,1)</f>
        <v>1.1225346020761244</v>
      </c>
      <c r="BC152">
        <f t="shared" si="75"/>
        <v>4.9805112635455728</v>
      </c>
      <c r="BD152">
        <f t="shared" si="76"/>
        <v>4.9106117927583268</v>
      </c>
      <c r="BE152">
        <f t="shared" si="77"/>
        <v>4.9805112635455728</v>
      </c>
      <c r="BF152">
        <f t="shared" si="78"/>
        <v>94</v>
      </c>
      <c r="BG152">
        <f>IF($BE152="","",COUNTIFS($C$2:$C$596,$C152,$BE$2:$BE$596,"&gt;"&amp;$BE152)+COUNTIFS($C$2:$C152,$C152,$BE$2:$BE152,$BE152))</f>
        <v>44</v>
      </c>
    </row>
    <row r="153" spans="1:59" x14ac:dyDescent="0.25">
      <c r="A153" t="str">
        <f>Player_Analysis!A153</f>
        <v>Jaouen Hadjam</v>
      </c>
      <c r="B153">
        <f>Player_Analysis!C153</f>
        <v>5</v>
      </c>
      <c r="C153" t="str">
        <f>Player_Analysis!B153</f>
        <v>DEF</v>
      </c>
      <c r="D153" s="13">
        <f>Player_Analysis!E153</f>
        <v>4.5</v>
      </c>
      <c r="E153">
        <f>Player_Analysis!I153</f>
        <v>0</v>
      </c>
      <c r="F153" s="8">
        <f>Player_Analysis!Z153</f>
        <v>0</v>
      </c>
      <c r="G153" s="17">
        <f t="shared" si="53"/>
        <v>0</v>
      </c>
      <c r="H153">
        <f t="shared" si="54"/>
        <v>0</v>
      </c>
      <c r="I153" s="8">
        <f>Player_Analysis!AF153</f>
        <v>0</v>
      </c>
      <c r="J153" s="8">
        <f>Player_Analysis!AG153</f>
        <v>0</v>
      </c>
      <c r="K153">
        <f>Player_Analysis!O153</f>
        <v>0</v>
      </c>
      <c r="L153">
        <f>Player_Analysis!P153</f>
        <v>0</v>
      </c>
      <c r="M153" t="str">
        <f t="shared" si="55"/>
        <v/>
      </c>
      <c r="N153" t="str">
        <f t="shared" si="56"/>
        <v/>
      </c>
      <c r="O153" s="2" t="str">
        <f>IF(E153=0,"",Player_Analysis!L153/E153*90)</f>
        <v/>
      </c>
      <c r="P153" t="str">
        <f>IF(E153=0,"",Player_Analysis!Q153/E153*90)</f>
        <v/>
      </c>
      <c r="Q153" t="str">
        <f>IF(E153=0,"",(Player_Analysis!AD153/E153)*90)</f>
        <v/>
      </c>
      <c r="R153" t="str">
        <f>IF(E153=0,"",Player_Analysis!AA153/E153*90)</f>
        <v/>
      </c>
      <c r="S153" t="str">
        <f t="array" ref="S153">IFERROR(INDEX('2023_24'!$O:$O,MATCH($A153,'2023_24'!$A:$A,0)),"")</f>
        <v/>
      </c>
      <c r="T153" t="str">
        <f>IFERROR(INDEX('2024_25'!$P:$P,MATCH($A153,'2024_25'!$A:$A,0)),"")</f>
        <v/>
      </c>
      <c r="U153" t="str">
        <f>IFERROR(INDEX('2025_26'!$P:$P,MATCH($A153,'2025_26'!$A:$A,0)),"")</f>
        <v/>
      </c>
      <c r="V153" t="str">
        <f>IFERROR(INDEX('2023_24'!$P:$P,MATCH($A153,'2023_24'!$A:$A,0)),"")</f>
        <v/>
      </c>
      <c r="W153" t="str">
        <f>IFERROR(INDEX('2024_25'!$Q:$Q,MATCH($A153,'2024_25'!$A:$A,0)),"")</f>
        <v/>
      </c>
      <c r="X153" t="str">
        <f>IFERROR(INDEX('2025_26'!$Q:$Q,MATCH($A153,'2025_26'!$A:$A,0)),"")</f>
        <v/>
      </c>
      <c r="Y153" t="str">
        <f>IFERROR(INDEX('2023_24'!$M:$M,MATCH($A153,'2023_24'!$A:$A,0))/INDEX('2023_24'!$G:$G,MATCH($A153,'2023_24'!$A:$A,0))*90,"")</f>
        <v/>
      </c>
      <c r="Z153" t="str">
        <f>IFERROR(INDEX('2024_25'!$M:$M,MATCH($A153,'2024_25'!$A:$A,0))/INDEX('2024_25'!$G:$G,MATCH($A153,'2024_25'!$A:$A,0))*90,"")</f>
        <v/>
      </c>
      <c r="AA153" t="str">
        <f>IFERROR(INDEX('2025_26'!$M:$M,MATCH($A153,'2025_26'!$A:$A,0))/INDEX('2025_26'!$G:$G,MATCH($A153,'2025_26'!$A:$A,0))*90,"")</f>
        <v/>
      </c>
      <c r="AB153" t="str">
        <f>IFERROR(SUMPRODUCT(S153:U153,{0.2,0.3,0.5})/SUMPRODUCT(--(S153:U153&lt;&gt;""),{0.2,0.3,0.5}),"")</f>
        <v/>
      </c>
      <c r="AC153" t="str">
        <f>IFERROR(SUMPRODUCT(V153:X153,{0.2,0.3,0.5})/SUMPRODUCT(--(V153:X153&lt;&gt;""),{0.2,0.3,0.5}),"")</f>
        <v/>
      </c>
      <c r="AD153" t="str">
        <f>IFERROR(SUMPRODUCT(Y153:AA153,{0.2,0.3,0.5})/SUMPRODUCT((Y153:AA153&lt;&gt;"")*{0.2,0.3,0.5}),O153)</f>
        <v/>
      </c>
      <c r="AE153">
        <f t="shared" si="57"/>
        <v>0</v>
      </c>
      <c r="AF153" t="str">
        <f t="shared" si="58"/>
        <v/>
      </c>
      <c r="AG153">
        <f t="shared" si="59"/>
        <v>0</v>
      </c>
      <c r="AH153">
        <f t="shared" si="60"/>
        <v>0</v>
      </c>
      <c r="AI153" s="2">
        <f t="shared" si="61"/>
        <v>0</v>
      </c>
      <c r="AJ153">
        <f t="shared" si="62"/>
        <v>0</v>
      </c>
      <c r="AK153" t="str">
        <f t="shared" si="63"/>
        <v>YES</v>
      </c>
      <c r="AL153">
        <f t="shared" si="64"/>
        <v>0</v>
      </c>
      <c r="AM153">
        <f t="shared" si="65"/>
        <v>0</v>
      </c>
      <c r="AN153">
        <f t="shared" si="66"/>
        <v>0</v>
      </c>
      <c r="AO153">
        <f t="shared" si="67"/>
        <v>0</v>
      </c>
      <c r="AP153">
        <f t="array" ref="AP153">AL153*IF($C153="GKP",10,IF($C153="DEF",6,IF($C153="MID",5,4)))</f>
        <v>0</v>
      </c>
      <c r="AQ153">
        <f t="shared" si="68"/>
        <v>0</v>
      </c>
      <c r="AR153">
        <f t="shared" si="69"/>
        <v>0</v>
      </c>
      <c r="AS153" s="2">
        <f>IF($H153=0,0,Player_Analysis!$AM153*$H153/90)</f>
        <v>0</v>
      </c>
      <c r="AT153">
        <f t="shared" si="70"/>
        <v>0</v>
      </c>
      <c r="AU153" s="2">
        <f>0</f>
        <v>0</v>
      </c>
      <c r="AV153" s="2" t="str">
        <f>IF(INDEX(FPL_Raw_Data!K:K,MATCH(A153,FPL_Raw_Data!AA:AA,0))=0,"",INDEX(FPL_Raw_Data!P:P,MATCH(A153,FPL_Raw_Data!AA:AA,0))/INDEX(FPL_Raw_Data!K:K,MATCH(A153,FPL_Raw_Data!AA:AA,0))*90)</f>
        <v/>
      </c>
      <c r="AW153" s="2">
        <f t="shared" si="71"/>
        <v>0</v>
      </c>
      <c r="AX153" s="2">
        <f>IFERROR(INDEX(TEAM_ANALYSIS!$H$2:$H$21,MATCH($B153,TEAM_ANALYSIS!$A$2:$A$21,0)),0)</f>
        <v>1.6666666666666667</v>
      </c>
      <c r="AY153" s="2">
        <f t="shared" si="72"/>
        <v>-0.83333333333333337</v>
      </c>
      <c r="AZ153" s="2">
        <f t="shared" si="73"/>
        <v>-0.83333333333333337</v>
      </c>
      <c r="BA153">
        <f t="shared" si="74"/>
        <v>-0.1851851851851852</v>
      </c>
      <c r="BB153">
        <f>IFERROR(Player_Analysis!$Y153,1)</f>
        <v>0.99748538507159212</v>
      </c>
      <c r="BC153">
        <f t="shared" si="75"/>
        <v>-0.83123782089299347</v>
      </c>
      <c r="BD153">
        <f t="shared" si="76"/>
        <v>0.15393292979499881</v>
      </c>
      <c r="BE153">
        <f t="shared" si="77"/>
        <v>-0.83123782089299347</v>
      </c>
      <c r="BF153">
        <f t="shared" si="78"/>
        <v>560</v>
      </c>
      <c r="BG153">
        <f>IF($BE153="","",COUNTIFS($C$2:$C$596,$C153,$BE$2:$BE$596,"&gt;"&amp;$BE153)+COUNTIFS($C$2:$C153,$C153,$BE$2:$BE153,$BE153))</f>
        <v>162</v>
      </c>
    </row>
    <row r="154" spans="1:59" x14ac:dyDescent="0.25">
      <c r="A154" t="str">
        <f>Player_Analysis!A154</f>
        <v>Amario Cozier-Duberry</v>
      </c>
      <c r="B154">
        <f>Player_Analysis!C154</f>
        <v>5</v>
      </c>
      <c r="C154" t="str">
        <f>Player_Analysis!B154</f>
        <v>MID</v>
      </c>
      <c r="D154" s="13">
        <f>Player_Analysis!E154</f>
        <v>5</v>
      </c>
      <c r="E154">
        <f>Player_Analysis!I154</f>
        <v>0</v>
      </c>
      <c r="F154" s="8">
        <f>Player_Analysis!Z154</f>
        <v>0</v>
      </c>
      <c r="G154" s="17">
        <f t="shared" si="53"/>
        <v>0</v>
      </c>
      <c r="H154">
        <f t="shared" si="54"/>
        <v>0</v>
      </c>
      <c r="I154" s="8">
        <f>Player_Analysis!AF154</f>
        <v>0</v>
      </c>
      <c r="J154" s="8">
        <f>Player_Analysis!AG154</f>
        <v>0</v>
      </c>
      <c r="K154">
        <f>Player_Analysis!O154</f>
        <v>0</v>
      </c>
      <c r="L154">
        <f>Player_Analysis!P154</f>
        <v>0</v>
      </c>
      <c r="M154" t="str">
        <f t="shared" si="55"/>
        <v/>
      </c>
      <c r="N154" t="str">
        <f t="shared" si="56"/>
        <v/>
      </c>
      <c r="O154" s="2" t="str">
        <f>IF(E154=0,"",Player_Analysis!L154/E154*90)</f>
        <v/>
      </c>
      <c r="P154" t="str">
        <f>IF(E154=0,"",Player_Analysis!Q154/E154*90)</f>
        <v/>
      </c>
      <c r="Q154" t="str">
        <f>IF(E154=0,"",(Player_Analysis!AD154/E154)*90)</f>
        <v/>
      </c>
      <c r="R154" t="str">
        <f>IF(E154=0,"",Player_Analysis!AA154/E154*90)</f>
        <v/>
      </c>
      <c r="S154" t="str">
        <f t="array" ref="S154">IFERROR(INDEX('2023_24'!$O:$O,MATCH($A154,'2023_24'!$A:$A,0)),"")</f>
        <v/>
      </c>
      <c r="T154">
        <f>IFERROR(INDEX('2024_25'!$P:$P,MATCH($A154,'2024_25'!$A:$A,0)),"")</f>
        <v>0</v>
      </c>
      <c r="U154" t="str">
        <f>IFERROR(INDEX('2025_26'!$P:$P,MATCH($A154,'2025_26'!$A:$A,0)),"")</f>
        <v/>
      </c>
      <c r="V154" t="str">
        <f>IFERROR(INDEX('2023_24'!$P:$P,MATCH($A154,'2023_24'!$A:$A,0)),"")</f>
        <v/>
      </c>
      <c r="W154">
        <f>IFERROR(INDEX('2024_25'!$Q:$Q,MATCH($A154,'2024_25'!$A:$A,0)),"")</f>
        <v>0</v>
      </c>
      <c r="X154" t="str">
        <f>IFERROR(INDEX('2025_26'!$Q:$Q,MATCH($A154,'2025_26'!$A:$A,0)),"")</f>
        <v/>
      </c>
      <c r="Y154" t="str">
        <f>IFERROR(INDEX('2023_24'!$M:$M,MATCH($A154,'2023_24'!$A:$A,0))/INDEX('2023_24'!$G:$G,MATCH($A154,'2023_24'!$A:$A,0))*90,"")</f>
        <v/>
      </c>
      <c r="Z154" t="str">
        <f>IFERROR(INDEX('2024_25'!$M:$M,MATCH($A154,'2024_25'!$A:$A,0))/INDEX('2024_25'!$G:$G,MATCH($A154,'2024_25'!$A:$A,0))*90,"")</f>
        <v/>
      </c>
      <c r="AA154" t="str">
        <f>IFERROR(INDEX('2025_26'!$M:$M,MATCH($A154,'2025_26'!$A:$A,0))/INDEX('2025_26'!$G:$G,MATCH($A154,'2025_26'!$A:$A,0))*90,"")</f>
        <v/>
      </c>
      <c r="AB154">
        <f>IFERROR(SUMPRODUCT(S154:U154,{0.2,0.3,0.5})/SUMPRODUCT(--(S154:U154&lt;&gt;""),{0.2,0.3,0.5}),"")</f>
        <v>0</v>
      </c>
      <c r="AC154">
        <f>IFERROR(SUMPRODUCT(V154:X154,{0.2,0.3,0.5})/SUMPRODUCT(--(V154:X154&lt;&gt;""),{0.2,0.3,0.5}),"")</f>
        <v>0</v>
      </c>
      <c r="AD154" t="str">
        <f>IFERROR(SUMPRODUCT(Y154:AA154,{0.2,0.3,0.5})/SUMPRODUCT((Y154:AA154&lt;&gt;"")*{0.2,0.3,0.5}),O154)</f>
        <v/>
      </c>
      <c r="AE154">
        <f t="shared" si="57"/>
        <v>1</v>
      </c>
      <c r="AF154" t="str">
        <f t="shared" si="58"/>
        <v/>
      </c>
      <c r="AG154">
        <f t="shared" si="59"/>
        <v>0</v>
      </c>
      <c r="AH154">
        <f t="shared" si="60"/>
        <v>0</v>
      </c>
      <c r="AI154" s="2">
        <f t="shared" si="61"/>
        <v>0</v>
      </c>
      <c r="AJ154">
        <f t="shared" si="62"/>
        <v>0</v>
      </c>
      <c r="AK154" t="str">
        <f t="shared" si="63"/>
        <v>NO</v>
      </c>
      <c r="AL154">
        <f t="shared" si="64"/>
        <v>0</v>
      </c>
      <c r="AM154">
        <f t="shared" si="65"/>
        <v>0</v>
      </c>
      <c r="AN154">
        <f t="shared" si="66"/>
        <v>0</v>
      </c>
      <c r="AO154">
        <f t="shared" si="67"/>
        <v>0</v>
      </c>
      <c r="AP154">
        <f t="array" ref="AP154">AL154*IF($C154="GKP",10,IF($C154="DEF",6,IF($C154="MID",5,4)))</f>
        <v>0</v>
      </c>
      <c r="AQ154">
        <f t="shared" si="68"/>
        <v>0</v>
      </c>
      <c r="AR154">
        <f t="shared" si="69"/>
        <v>0</v>
      </c>
      <c r="AS154" s="2">
        <f>IF($H154=0,0,Player_Analysis!$AM154*$H154/90)</f>
        <v>0</v>
      </c>
      <c r="AT154">
        <f t="shared" si="70"/>
        <v>0</v>
      </c>
      <c r="AU154" s="2">
        <f>0</f>
        <v>0</v>
      </c>
      <c r="AV154" s="2" t="str">
        <f>IF(INDEX(FPL_Raw_Data!K:K,MATCH(A154,FPL_Raw_Data!AA:AA,0))=0,"",INDEX(FPL_Raw_Data!P:P,MATCH(A154,FPL_Raw_Data!AA:AA,0))/INDEX(FPL_Raw_Data!K:K,MATCH(A154,FPL_Raw_Data!AA:AA,0))*90)</f>
        <v/>
      </c>
      <c r="AW154" s="2">
        <f t="shared" si="71"/>
        <v>0</v>
      </c>
      <c r="AX154" s="2">
        <f>IFERROR(INDEX(TEAM_ANALYSIS!$H$2:$H$21,MATCH($B154,TEAM_ANALYSIS!$A$2:$A$21,0)),0)</f>
        <v>1.6666666666666667</v>
      </c>
      <c r="AY154" s="2">
        <f t="shared" si="72"/>
        <v>0</v>
      </c>
      <c r="AZ154" s="2">
        <f t="shared" si="73"/>
        <v>0</v>
      </c>
      <c r="BA154">
        <f t="shared" si="74"/>
        <v>0</v>
      </c>
      <c r="BB154">
        <f>IFERROR(Player_Analysis!$Y154,1)</f>
        <v>1.1225346020761244</v>
      </c>
      <c r="BC154">
        <f t="shared" si="75"/>
        <v>0</v>
      </c>
      <c r="BD154">
        <f t="shared" si="76"/>
        <v>0</v>
      </c>
      <c r="BE154">
        <f t="shared" si="77"/>
        <v>0</v>
      </c>
      <c r="BF154">
        <f t="shared" si="78"/>
        <v>253</v>
      </c>
      <c r="BG154">
        <f>IF($BE154="","",COUNTIFS($C$2:$C$596,$C154,$BE$2:$BE$596,"&gt;"&amp;$BE154)+COUNTIFS($C$2:$C154,$C154,$BE$2:$BE154,$BE154))</f>
        <v>151</v>
      </c>
    </row>
    <row r="155" spans="1:59" x14ac:dyDescent="0.25">
      <c r="A155" t="str">
        <f>Player_Analysis!A155</f>
        <v>José María Andrés Baixauli</v>
      </c>
      <c r="B155">
        <f>Player_Analysis!C155</f>
        <v>5</v>
      </c>
      <c r="C155" t="str">
        <f>Player_Analysis!B155</f>
        <v>MID</v>
      </c>
      <c r="D155" s="13">
        <f>Player_Analysis!E155</f>
        <v>5.5</v>
      </c>
      <c r="E155">
        <f>Player_Analysis!I155</f>
        <v>0</v>
      </c>
      <c r="F155" s="8">
        <f>Player_Analysis!Z155</f>
        <v>0</v>
      </c>
      <c r="G155" s="17">
        <f t="shared" si="53"/>
        <v>0</v>
      </c>
      <c r="H155">
        <f t="shared" si="54"/>
        <v>0</v>
      </c>
      <c r="I155" s="8">
        <f>Player_Analysis!AF155</f>
        <v>0</v>
      </c>
      <c r="J155" s="8">
        <f>Player_Analysis!AG155</f>
        <v>0</v>
      </c>
      <c r="K155">
        <f>Player_Analysis!O155</f>
        <v>0</v>
      </c>
      <c r="L155">
        <f>Player_Analysis!P155</f>
        <v>0</v>
      </c>
      <c r="M155" t="str">
        <f t="shared" si="55"/>
        <v/>
      </c>
      <c r="N155" t="str">
        <f t="shared" si="56"/>
        <v/>
      </c>
      <c r="O155" s="2" t="str">
        <f>IF(E155=0,"",Player_Analysis!L155/E155*90)</f>
        <v/>
      </c>
      <c r="P155" t="str">
        <f>IF(E155=0,"",Player_Analysis!Q155/E155*90)</f>
        <v/>
      </c>
      <c r="Q155" t="str">
        <f>IF(E155=0,"",(Player_Analysis!AD155/E155)*90)</f>
        <v/>
      </c>
      <c r="R155" t="str">
        <f>IF(E155=0,"",Player_Analysis!AA155/E155*90)</f>
        <v/>
      </c>
      <c r="S155" t="str">
        <f t="array" ref="S155">IFERROR(INDEX('2023_24'!$O:$O,MATCH($A155,'2023_24'!$A:$A,0)),"")</f>
        <v/>
      </c>
      <c r="T155" t="str">
        <f>IFERROR(INDEX('2024_25'!$P:$P,MATCH($A155,'2024_25'!$A:$A,0)),"")</f>
        <v/>
      </c>
      <c r="U155" t="str">
        <f>IFERROR(INDEX('2025_26'!$P:$P,MATCH($A155,'2025_26'!$A:$A,0)),"")</f>
        <v/>
      </c>
      <c r="V155" t="str">
        <f>IFERROR(INDEX('2023_24'!$P:$P,MATCH($A155,'2023_24'!$A:$A,0)),"")</f>
        <v/>
      </c>
      <c r="W155" t="str">
        <f>IFERROR(INDEX('2024_25'!$Q:$Q,MATCH($A155,'2024_25'!$A:$A,0)),"")</f>
        <v/>
      </c>
      <c r="X155" t="str">
        <f>IFERROR(INDEX('2025_26'!$Q:$Q,MATCH($A155,'2025_26'!$A:$A,0)),"")</f>
        <v/>
      </c>
      <c r="Y155" t="str">
        <f>IFERROR(INDEX('2023_24'!$M:$M,MATCH($A155,'2023_24'!$A:$A,0))/INDEX('2023_24'!$G:$G,MATCH($A155,'2023_24'!$A:$A,0))*90,"")</f>
        <v/>
      </c>
      <c r="Z155" t="str">
        <f>IFERROR(INDEX('2024_25'!$M:$M,MATCH($A155,'2024_25'!$A:$A,0))/INDEX('2024_25'!$G:$G,MATCH($A155,'2024_25'!$A:$A,0))*90,"")</f>
        <v/>
      </c>
      <c r="AA155" t="str">
        <f>IFERROR(INDEX('2025_26'!$M:$M,MATCH($A155,'2025_26'!$A:$A,0))/INDEX('2025_26'!$G:$G,MATCH($A155,'2025_26'!$A:$A,0))*90,"")</f>
        <v/>
      </c>
      <c r="AB155" t="str">
        <f>IFERROR(SUMPRODUCT(S155:U155,{0.2,0.3,0.5})/SUMPRODUCT(--(S155:U155&lt;&gt;""),{0.2,0.3,0.5}),"")</f>
        <v/>
      </c>
      <c r="AC155" t="str">
        <f>IFERROR(SUMPRODUCT(V155:X155,{0.2,0.3,0.5})/SUMPRODUCT(--(V155:X155&lt;&gt;""),{0.2,0.3,0.5}),"")</f>
        <v/>
      </c>
      <c r="AD155" t="str">
        <f>IFERROR(SUMPRODUCT(Y155:AA155,{0.2,0.3,0.5})/SUMPRODUCT((Y155:AA155&lt;&gt;"")*{0.2,0.3,0.5}),O155)</f>
        <v/>
      </c>
      <c r="AE155">
        <f t="shared" si="57"/>
        <v>0</v>
      </c>
      <c r="AF155" t="str">
        <f t="shared" si="58"/>
        <v/>
      </c>
      <c r="AG155">
        <f t="shared" si="59"/>
        <v>0</v>
      </c>
      <c r="AH155">
        <f t="shared" si="60"/>
        <v>0</v>
      </c>
      <c r="AI155" s="2">
        <f t="shared" si="61"/>
        <v>0</v>
      </c>
      <c r="AJ155">
        <f t="shared" si="62"/>
        <v>0</v>
      </c>
      <c r="AK155" t="str">
        <f t="shared" si="63"/>
        <v>YES</v>
      </c>
      <c r="AL155">
        <f t="shared" si="64"/>
        <v>0</v>
      </c>
      <c r="AM155">
        <f t="shared" si="65"/>
        <v>0</v>
      </c>
      <c r="AN155">
        <f t="shared" si="66"/>
        <v>0</v>
      </c>
      <c r="AO155">
        <f t="shared" si="67"/>
        <v>0</v>
      </c>
      <c r="AP155">
        <f t="array" ref="AP155">AL155*IF($C155="GKP",10,IF($C155="DEF",6,IF($C155="MID",5,4)))</f>
        <v>0</v>
      </c>
      <c r="AQ155">
        <f t="shared" si="68"/>
        <v>0</v>
      </c>
      <c r="AR155">
        <f t="shared" si="69"/>
        <v>0</v>
      </c>
      <c r="AS155" s="2">
        <f>IF($H155=0,0,Player_Analysis!$AM155*$H155/90)</f>
        <v>0</v>
      </c>
      <c r="AT155">
        <f t="shared" si="70"/>
        <v>0</v>
      </c>
      <c r="AU155" s="2">
        <f>0</f>
        <v>0</v>
      </c>
      <c r="AV155" s="2" t="str">
        <f>IF(INDEX(FPL_Raw_Data!K:K,MATCH(A155,FPL_Raw_Data!AA:AA,0))=0,"",INDEX(FPL_Raw_Data!P:P,MATCH(A155,FPL_Raw_Data!AA:AA,0))/INDEX(FPL_Raw_Data!K:K,MATCH(A155,FPL_Raw_Data!AA:AA,0))*90)</f>
        <v/>
      </c>
      <c r="AW155" s="2">
        <f t="shared" si="71"/>
        <v>0</v>
      </c>
      <c r="AX155" s="2">
        <f>IFERROR(INDEX(TEAM_ANALYSIS!$H$2:$H$21,MATCH($B155,TEAM_ANALYSIS!$A$2:$A$21,0)),0)</f>
        <v>1.6666666666666667</v>
      </c>
      <c r="AY155" s="2">
        <f t="shared" si="72"/>
        <v>0</v>
      </c>
      <c r="AZ155" s="2">
        <f t="shared" si="73"/>
        <v>0</v>
      </c>
      <c r="BA155">
        <f t="shared" si="74"/>
        <v>0</v>
      </c>
      <c r="BB155">
        <f>IFERROR(Player_Analysis!$Y155,1)</f>
        <v>1.1225346020761244</v>
      </c>
      <c r="BC155">
        <f t="shared" si="75"/>
        <v>0</v>
      </c>
      <c r="BD155">
        <f t="shared" si="76"/>
        <v>0</v>
      </c>
      <c r="BE155">
        <f t="shared" si="77"/>
        <v>0</v>
      </c>
      <c r="BF155">
        <f t="shared" si="78"/>
        <v>253</v>
      </c>
      <c r="BG155">
        <f>IF($BE155="","",COUNTIFS($C$2:$C$596,$C155,$BE$2:$BE$596,"&gt;"&amp;$BE155)+COUNTIFS($C$2:$C155,$C155,$BE$2:$BE155,$BE155))</f>
        <v>152</v>
      </c>
    </row>
    <row r="156" spans="1:59" x14ac:dyDescent="0.25">
      <c r="A156" t="str">
        <f>Player_Analysis!A156</f>
        <v>Femi Azeez</v>
      </c>
      <c r="B156">
        <f>Player_Analysis!C156</f>
        <v>5</v>
      </c>
      <c r="C156" t="str">
        <f>Player_Analysis!B156</f>
        <v>MID</v>
      </c>
      <c r="D156" s="13">
        <f>Player_Analysis!E156</f>
        <v>5.5</v>
      </c>
      <c r="E156">
        <f>Player_Analysis!I156</f>
        <v>0</v>
      </c>
      <c r="F156" s="8">
        <f>Player_Analysis!Z156</f>
        <v>0</v>
      </c>
      <c r="G156" s="17">
        <f t="shared" si="53"/>
        <v>0</v>
      </c>
      <c r="H156">
        <f t="shared" si="54"/>
        <v>0</v>
      </c>
      <c r="I156" s="8">
        <f>Player_Analysis!AF156</f>
        <v>0</v>
      </c>
      <c r="J156" s="8">
        <f>Player_Analysis!AG156</f>
        <v>0</v>
      </c>
      <c r="K156">
        <f>Player_Analysis!O156</f>
        <v>0</v>
      </c>
      <c r="L156">
        <f>Player_Analysis!P156</f>
        <v>0</v>
      </c>
      <c r="M156" t="str">
        <f t="shared" si="55"/>
        <v/>
      </c>
      <c r="N156" t="str">
        <f t="shared" si="56"/>
        <v/>
      </c>
      <c r="O156" s="2" t="str">
        <f>IF(E156=0,"",Player_Analysis!L156/E156*90)</f>
        <v/>
      </c>
      <c r="P156" t="str">
        <f>IF(E156=0,"",Player_Analysis!Q156/E156*90)</f>
        <v/>
      </c>
      <c r="Q156" t="str">
        <f>IF(E156=0,"",(Player_Analysis!AD156/E156)*90)</f>
        <v/>
      </c>
      <c r="R156" t="str">
        <f>IF(E156=0,"",Player_Analysis!AA156/E156*90)</f>
        <v/>
      </c>
      <c r="S156" t="str">
        <f t="array" ref="S156">IFERROR(INDEX('2023_24'!$O:$O,MATCH($A156,'2023_24'!$A:$A,0)),"")</f>
        <v/>
      </c>
      <c r="T156" t="str">
        <f>IFERROR(INDEX('2024_25'!$P:$P,MATCH($A156,'2024_25'!$A:$A,0)),"")</f>
        <v/>
      </c>
      <c r="U156" t="str">
        <f>IFERROR(INDEX('2025_26'!$P:$P,MATCH($A156,'2025_26'!$A:$A,0)),"")</f>
        <v/>
      </c>
      <c r="V156" t="str">
        <f>IFERROR(INDEX('2023_24'!$P:$P,MATCH($A156,'2023_24'!$A:$A,0)),"")</f>
        <v/>
      </c>
      <c r="W156" t="str">
        <f>IFERROR(INDEX('2024_25'!$Q:$Q,MATCH($A156,'2024_25'!$A:$A,0)),"")</f>
        <v/>
      </c>
      <c r="X156" t="str">
        <f>IFERROR(INDEX('2025_26'!$Q:$Q,MATCH($A156,'2025_26'!$A:$A,0)),"")</f>
        <v/>
      </c>
      <c r="Y156" t="str">
        <f>IFERROR(INDEX('2023_24'!$M:$M,MATCH($A156,'2023_24'!$A:$A,0))/INDEX('2023_24'!$G:$G,MATCH($A156,'2023_24'!$A:$A,0))*90,"")</f>
        <v/>
      </c>
      <c r="Z156" t="str">
        <f>IFERROR(INDEX('2024_25'!$M:$M,MATCH($A156,'2024_25'!$A:$A,0))/INDEX('2024_25'!$G:$G,MATCH($A156,'2024_25'!$A:$A,0))*90,"")</f>
        <v/>
      </c>
      <c r="AA156" t="str">
        <f>IFERROR(INDEX('2025_26'!$M:$M,MATCH($A156,'2025_26'!$A:$A,0))/INDEX('2025_26'!$G:$G,MATCH($A156,'2025_26'!$A:$A,0))*90,"")</f>
        <v/>
      </c>
      <c r="AB156" t="str">
        <f>IFERROR(SUMPRODUCT(S156:U156,{0.2,0.3,0.5})/SUMPRODUCT(--(S156:U156&lt;&gt;""),{0.2,0.3,0.5}),"")</f>
        <v/>
      </c>
      <c r="AC156" t="str">
        <f>IFERROR(SUMPRODUCT(V156:X156,{0.2,0.3,0.5})/SUMPRODUCT(--(V156:X156&lt;&gt;""),{0.2,0.3,0.5}),"")</f>
        <v/>
      </c>
      <c r="AD156" t="str">
        <f>IFERROR(SUMPRODUCT(Y156:AA156,{0.2,0.3,0.5})/SUMPRODUCT((Y156:AA156&lt;&gt;"")*{0.2,0.3,0.5}),O156)</f>
        <v/>
      </c>
      <c r="AE156">
        <f t="shared" si="57"/>
        <v>0</v>
      </c>
      <c r="AF156" t="str">
        <f t="shared" si="58"/>
        <v/>
      </c>
      <c r="AG156">
        <f t="shared" si="59"/>
        <v>0</v>
      </c>
      <c r="AH156">
        <f t="shared" si="60"/>
        <v>0</v>
      </c>
      <c r="AI156" s="2">
        <f t="shared" si="61"/>
        <v>0</v>
      </c>
      <c r="AJ156">
        <f t="shared" si="62"/>
        <v>0</v>
      </c>
      <c r="AK156" t="str">
        <f t="shared" si="63"/>
        <v>YES</v>
      </c>
      <c r="AL156">
        <f t="shared" si="64"/>
        <v>0</v>
      </c>
      <c r="AM156">
        <f t="shared" si="65"/>
        <v>0</v>
      </c>
      <c r="AN156">
        <f t="shared" si="66"/>
        <v>0</v>
      </c>
      <c r="AO156">
        <f t="shared" si="67"/>
        <v>0</v>
      </c>
      <c r="AP156">
        <f t="array" ref="AP156">AL156*IF($C156="GKP",10,IF($C156="DEF",6,IF($C156="MID",5,4)))</f>
        <v>0</v>
      </c>
      <c r="AQ156">
        <f t="shared" si="68"/>
        <v>0</v>
      </c>
      <c r="AR156">
        <f t="shared" si="69"/>
        <v>0</v>
      </c>
      <c r="AS156" s="2">
        <f>IF($H156=0,0,Player_Analysis!$AM156*$H156/90)</f>
        <v>0</v>
      </c>
      <c r="AT156">
        <f t="shared" si="70"/>
        <v>0</v>
      </c>
      <c r="AU156" s="2">
        <f>0</f>
        <v>0</v>
      </c>
      <c r="AV156" s="2" t="str">
        <f>IF(INDEX(FPL_Raw_Data!K:K,MATCH(A156,FPL_Raw_Data!AA:AA,0))=0,"",INDEX(FPL_Raw_Data!P:P,MATCH(A156,FPL_Raw_Data!AA:AA,0))/INDEX(FPL_Raw_Data!K:K,MATCH(A156,FPL_Raw_Data!AA:AA,0))*90)</f>
        <v/>
      </c>
      <c r="AW156" s="2">
        <f t="shared" si="71"/>
        <v>0</v>
      </c>
      <c r="AX156" s="2">
        <f>IFERROR(INDEX(TEAM_ANALYSIS!$H$2:$H$21,MATCH($B156,TEAM_ANALYSIS!$A$2:$A$21,0)),0)</f>
        <v>1.6666666666666667</v>
      </c>
      <c r="AY156" s="2">
        <f t="shared" si="72"/>
        <v>0</v>
      </c>
      <c r="AZ156" s="2">
        <f t="shared" si="73"/>
        <v>0</v>
      </c>
      <c r="BA156">
        <f t="shared" si="74"/>
        <v>0</v>
      </c>
      <c r="BB156">
        <f>IFERROR(Player_Analysis!$Y156,1)</f>
        <v>1.1225346020761244</v>
      </c>
      <c r="BC156">
        <f t="shared" si="75"/>
        <v>0</v>
      </c>
      <c r="BD156">
        <f t="shared" si="76"/>
        <v>0</v>
      </c>
      <c r="BE156">
        <f t="shared" si="77"/>
        <v>0</v>
      </c>
      <c r="BF156">
        <f t="shared" si="78"/>
        <v>253</v>
      </c>
      <c r="BG156">
        <f>IF($BE156="","",COUNTIFS($C$2:$C$596,$C156,$BE$2:$BE$596,"&gt;"&amp;$BE156)+COUNTIFS($C$2:$C156,$C156,$BE$2:$BE156,$BE156))</f>
        <v>153</v>
      </c>
    </row>
    <row r="157" spans="1:59" x14ac:dyDescent="0.25">
      <c r="A157" t="str">
        <f>Player_Analysis!A157</f>
        <v>Emiliano Martínez Romero</v>
      </c>
      <c r="B157">
        <f>Player_Analysis!C157</f>
        <v>6</v>
      </c>
      <c r="C157" t="str">
        <f>Player_Analysis!B157</f>
        <v>GK</v>
      </c>
      <c r="D157" s="13">
        <f>Player_Analysis!E157</f>
        <v>5</v>
      </c>
      <c r="E157">
        <f>Player_Analysis!I157</f>
        <v>180</v>
      </c>
      <c r="F157" s="8">
        <f>Player_Analysis!Z157</f>
        <v>2</v>
      </c>
      <c r="G157" s="17">
        <f t="shared" si="53"/>
        <v>1</v>
      </c>
      <c r="H157">
        <f t="shared" si="54"/>
        <v>90</v>
      </c>
      <c r="I157" s="8">
        <f>Player_Analysis!AF157</f>
        <v>0</v>
      </c>
      <c r="J157" s="8">
        <f>Player_Analysis!AG157</f>
        <v>0</v>
      </c>
      <c r="K157">
        <f>Player_Analysis!O157</f>
        <v>0</v>
      </c>
      <c r="L157">
        <f>Player_Analysis!P157</f>
        <v>0.01</v>
      </c>
      <c r="M157">
        <f t="shared" si="55"/>
        <v>0</v>
      </c>
      <c r="N157">
        <f t="shared" si="56"/>
        <v>5.0000000000000001E-3</v>
      </c>
      <c r="O157" s="2">
        <f>IF(E157=0,"",Player_Analysis!L157/E157*90)</f>
        <v>2.5</v>
      </c>
      <c r="P157">
        <f>IF(E157=0,"",Player_Analysis!Q157/E157*90)</f>
        <v>5.0000000000000001E-3</v>
      </c>
      <c r="Q157">
        <f>IF(E157=0,"",(Player_Analysis!AD157/E157)*90)</f>
        <v>22</v>
      </c>
      <c r="R157">
        <f>IF(E157=0,"",Player_Analysis!AA157/E157*90)</f>
        <v>0</v>
      </c>
      <c r="S157">
        <f t="array" ref="S157">IFERROR(INDEX('2023_24'!$O:$O,MATCH($A157,'2023_24'!$A:$A,0)),"")</f>
        <v>0</v>
      </c>
      <c r="T157">
        <f>IFERROR(INDEX('2024_25'!$P:$P,MATCH($A157,'2024_25'!$A:$A,0)),"")</f>
        <v>0</v>
      </c>
      <c r="U157">
        <f>IFERROR(INDEX('2025_26'!$P:$P,MATCH($A157,'2025_26'!$A:$A,0)),"")</f>
        <v>0</v>
      </c>
      <c r="V157">
        <f>IFERROR(INDEX('2023_24'!$P:$P,MATCH($A157,'2023_24'!$A:$A,0)),"")</f>
        <v>2.9850746268656717E-4</v>
      </c>
      <c r="W157">
        <f>IFERROR(INDEX('2024_25'!$Q:$Q,MATCH($A157,'2024_25'!$A:$A,0)),"")</f>
        <v>5.6338028169014088E-4</v>
      </c>
      <c r="X157">
        <f>IFERROR(INDEX('2025_26'!$Q:$Q,MATCH($A157,'2025_26'!$A:$A,0)),"")</f>
        <v>2.5396825396825397E-3</v>
      </c>
      <c r="Y157">
        <f>IFERROR(INDEX('2023_24'!$M:$M,MATCH($A157,'2023_24'!$A:$A,0))/INDEX('2023_24'!$G:$G,MATCH($A157,'2023_24'!$A:$A,0))*90,"")</f>
        <v>3.4328358208955225</v>
      </c>
      <c r="Z157">
        <f>IFERROR(INDEX('2024_25'!$M:$M,MATCH($A157,'2024_25'!$A:$A,0))/INDEX('2024_25'!$G:$G,MATCH($A157,'2024_25'!$A:$A,0))*90,"")</f>
        <v>3.1267605633802815</v>
      </c>
      <c r="AA157">
        <f>IFERROR(INDEX('2025_26'!$M:$M,MATCH($A157,'2025_26'!$A:$A,0))/INDEX('2025_26'!$G:$G,MATCH($A157,'2025_26'!$A:$A,0))*90,"")</f>
        <v>3.8095238095238093</v>
      </c>
      <c r="AB157">
        <f>IFERROR(SUMPRODUCT(S157:U157,{0.2,0.3,0.5})/SUMPRODUCT(--(S157:U157&lt;&gt;""),{0.2,0.3,0.5}),"")</f>
        <v>0</v>
      </c>
      <c r="AC157">
        <f>IFERROR(SUMPRODUCT(V157:X157,{0.2,0.3,0.5})/SUMPRODUCT(--(V157:X157&lt;&gt;""),{0.2,0.3,0.5}),"")</f>
        <v>1.4985568468856255E-3</v>
      </c>
      <c r="AD157">
        <f>IFERROR(SUMPRODUCT(Y157:AA157,{0.2,0.3,0.5})/SUMPRODUCT((Y157:AA157&lt;&gt;"")*{0.2,0.3,0.5}),O157)</f>
        <v>3.5293572379550935</v>
      </c>
      <c r="AE157">
        <f t="shared" si="57"/>
        <v>3</v>
      </c>
      <c r="AF157">
        <f t="shared" si="58"/>
        <v>90</v>
      </c>
      <c r="AG157">
        <f t="shared" si="59"/>
        <v>0</v>
      </c>
      <c r="AH157">
        <f t="shared" si="60"/>
        <v>3.5994227387542502E-3</v>
      </c>
      <c r="AI157" s="2">
        <f t="shared" si="61"/>
        <v>2.9117428951820372</v>
      </c>
      <c r="AJ157">
        <f t="shared" si="62"/>
        <v>0.6</v>
      </c>
      <c r="AK157" t="str">
        <f t="shared" si="63"/>
        <v>NO</v>
      </c>
      <c r="AL157">
        <f t="shared" si="64"/>
        <v>0</v>
      </c>
      <c r="AM157">
        <f t="shared" si="65"/>
        <v>3.5994227387542502E-3</v>
      </c>
      <c r="AN157">
        <f t="shared" si="66"/>
        <v>0</v>
      </c>
      <c r="AO157">
        <f t="shared" si="67"/>
        <v>3.5994227387542502E-3</v>
      </c>
      <c r="AP157">
        <f t="array" ref="AP157">AL157*IF($C157="GKP",10,IF($C157="DEF",6,IF($C157="MID",5,4)))</f>
        <v>0</v>
      </c>
      <c r="AQ157">
        <f t="shared" si="68"/>
        <v>1.0798268216262751E-2</v>
      </c>
      <c r="AR157">
        <f t="shared" si="69"/>
        <v>2</v>
      </c>
      <c r="AS157" s="2">
        <f>IF($H157=0,0,Player_Analysis!$AM157*$H157/90)</f>
        <v>0</v>
      </c>
      <c r="AT157">
        <f t="shared" si="70"/>
        <v>0</v>
      </c>
      <c r="AU157" s="2">
        <f>0</f>
        <v>0</v>
      </c>
      <c r="AV157" s="2">
        <f>IF(INDEX(FPL_Raw_Data!K:K,MATCH(A157,FPL_Raw_Data!AA:AA,0))=0,"",INDEX(FPL_Raw_Data!P:P,MATCH(A157,FPL_Raw_Data!AA:AA,0))/INDEX(FPL_Raw_Data!K:K,MATCH(A157,FPL_Raw_Data!AA:AA,0))*90)</f>
        <v>6</v>
      </c>
      <c r="AW157" s="2">
        <f t="shared" si="71"/>
        <v>2</v>
      </c>
      <c r="AX157" s="2">
        <f>IFERROR(INDEX(TEAM_ANALYSIS!$H$2:$H$21,MATCH($B157,TEAM_ANALYSIS!$A$2:$A$21,0)),0)</f>
        <v>2.3333333333333335</v>
      </c>
      <c r="AY157" s="2">
        <f t="shared" si="72"/>
        <v>0</v>
      </c>
      <c r="AZ157" s="2">
        <f t="shared" si="73"/>
        <v>4.0107982682162628</v>
      </c>
      <c r="BA157">
        <f t="shared" si="74"/>
        <v>0.80215965364325259</v>
      </c>
      <c r="BB157">
        <f>IFERROR(Player_Analysis!$Y157,1)</f>
        <v>0.86574712643678164</v>
      </c>
      <c r="BC157">
        <f t="shared" si="75"/>
        <v>3.4723370754258496</v>
      </c>
      <c r="BD157">
        <f t="shared" si="76"/>
        <v>2.7853687057562242</v>
      </c>
      <c r="BE157">
        <f t="shared" si="77"/>
        <v>3.4723370754258496</v>
      </c>
      <c r="BF157">
        <f t="shared" si="78"/>
        <v>178</v>
      </c>
      <c r="BG157">
        <f>IF($BE157="","",COUNTIFS($C$2:$C$596,$C157,$BE$2:$BE$596,"&gt;"&amp;$BE157)+COUNTIFS($C$2:$C157,$C157,$BE$2:$BE157,$BE157))</f>
        <v>13</v>
      </c>
    </row>
    <row r="158" spans="1:59" x14ac:dyDescent="0.25">
      <c r="A158" t="str">
        <f>Player_Analysis!A158</f>
        <v>Morgan Rogers</v>
      </c>
      <c r="B158">
        <f>Player_Analysis!C158</f>
        <v>6</v>
      </c>
      <c r="C158" t="str">
        <f>Player_Analysis!B158</f>
        <v>MID</v>
      </c>
      <c r="D158" s="13">
        <f>Player_Analysis!E158</f>
        <v>7.6</v>
      </c>
      <c r="E158">
        <f>Player_Analysis!I158</f>
        <v>257</v>
      </c>
      <c r="F158" s="8">
        <f>Player_Analysis!Z158</f>
        <v>3</v>
      </c>
      <c r="G158" s="17">
        <f t="shared" si="53"/>
        <v>1</v>
      </c>
      <c r="H158">
        <f t="shared" si="54"/>
        <v>90</v>
      </c>
      <c r="I158" s="8">
        <f>Player_Analysis!AF158</f>
        <v>2</v>
      </c>
      <c r="J158" s="8">
        <f>Player_Analysis!AG158</f>
        <v>1</v>
      </c>
      <c r="K158">
        <f>Player_Analysis!O158</f>
        <v>1.18</v>
      </c>
      <c r="L158">
        <f>Player_Analysis!P158</f>
        <v>1.1399999999999999</v>
      </c>
      <c r="M158">
        <f t="shared" si="55"/>
        <v>0.41322957198443577</v>
      </c>
      <c r="N158">
        <f t="shared" si="56"/>
        <v>0.3992217898832684</v>
      </c>
      <c r="O158" s="2">
        <f>IF(E158=0,"",Player_Analysis!L158/E158*90)</f>
        <v>6.6536964980544751</v>
      </c>
      <c r="P158">
        <f>IF(E158=0,"",Player_Analysis!Q158/E158*90)</f>
        <v>0.81245136186770428</v>
      </c>
      <c r="Q158">
        <f>IF(E158=0,"",(Player_Analysis!AD158/E158)*90)</f>
        <v>30.466926070038912</v>
      </c>
      <c r="R158">
        <f>IF(E158=0,"",Player_Analysis!AA158/E158*90)</f>
        <v>5.9533073929961091</v>
      </c>
      <c r="S158">
        <f t="array" ref="S158">IFERROR(INDEX('2023_24'!$O:$O,MATCH($A158,'2023_24'!$A:$A,0)),"")</f>
        <v>0.19103773584905659</v>
      </c>
      <c r="T158">
        <f>IFERROR(INDEX('2024_25'!$P:$P,MATCH($A158,'2024_25'!$A:$A,0)),"")</f>
        <v>0.1875120385232745</v>
      </c>
      <c r="U158">
        <f>IFERROR(INDEX('2025_26'!$P:$P,MATCH($A158,'2025_26'!$A:$A,0)),"")</f>
        <v>0.18768292682926829</v>
      </c>
      <c r="V158">
        <f>IFERROR(INDEX('2023_24'!$P:$P,MATCH($A158,'2023_24'!$A:$A,0)),"")</f>
        <v>4.6698113207547173E-2</v>
      </c>
      <c r="W158">
        <f>IFERROR(INDEX('2024_25'!$Q:$Q,MATCH($A158,'2024_25'!$A:$A,0)),"")</f>
        <v>0.1513964686998395</v>
      </c>
      <c r="X158">
        <f>IFERROR(INDEX('2025_26'!$Q:$Q,MATCH($A158,'2025_26'!$A:$A,0)),"")</f>
        <v>0.11853658536585367</v>
      </c>
      <c r="Y158">
        <f>IFERROR(INDEX('2023_24'!$M:$M,MATCH($A158,'2023_24'!$A:$A,0))/INDEX('2023_24'!$G:$G,MATCH($A158,'2023_24'!$A:$A,0))*90,"")</f>
        <v>4.9528301886792452</v>
      </c>
      <c r="Z158">
        <f>IFERROR(INDEX('2024_25'!$M:$M,MATCH($A158,'2024_25'!$A:$A,0))/INDEX('2024_25'!$G:$G,MATCH($A158,'2024_25'!$A:$A,0))*90,"")</f>
        <v>4.6516853932584263</v>
      </c>
      <c r="AA158">
        <f>IFERROR(INDEX('2025_26'!$M:$M,MATCH($A158,'2025_26'!$A:$A,0))/INDEX('2025_26'!$G:$G,MATCH($A158,'2025_26'!$A:$A,0))*90,"")</f>
        <v>4.6371951219512191</v>
      </c>
      <c r="AB158">
        <f>IFERROR(SUMPRODUCT(S158:U158,{0.2,0.3,0.5})/SUMPRODUCT(--(S158:U158&lt;&gt;""),{0.2,0.3,0.5}),"")</f>
        <v>0.18830262214142782</v>
      </c>
      <c r="AC158">
        <f>IFERROR(SUMPRODUCT(V158:X158,{0.2,0.3,0.5})/SUMPRODUCT(--(V158:X158&lt;&gt;""),{0.2,0.3,0.5}),"")</f>
        <v>0.11402685593438812</v>
      </c>
      <c r="AD158">
        <f>IFERROR(SUMPRODUCT(Y158:AA158,{0.2,0.3,0.5})/SUMPRODUCT((Y158:AA158&lt;&gt;"")*{0.2,0.3,0.5}),O158)</f>
        <v>4.7046692166889859</v>
      </c>
      <c r="AE158">
        <f t="shared" si="57"/>
        <v>3</v>
      </c>
      <c r="AF158">
        <f t="shared" si="58"/>
        <v>85.666666666666671</v>
      </c>
      <c r="AG158">
        <f t="shared" si="59"/>
        <v>0.38099004250693796</v>
      </c>
      <c r="AH158">
        <f t="shared" si="60"/>
        <v>0.35834384935059554</v>
      </c>
      <c r="AI158" s="2">
        <f t="shared" si="61"/>
        <v>6.3743359210587549</v>
      </c>
      <c r="AJ158">
        <f t="shared" si="62"/>
        <v>0.85666666666666669</v>
      </c>
      <c r="AK158" t="str">
        <f t="shared" si="63"/>
        <v>NO</v>
      </c>
      <c r="AL158">
        <f t="shared" si="64"/>
        <v>0.38099004250693796</v>
      </c>
      <c r="AM158">
        <f t="shared" si="65"/>
        <v>0.3583438493505956</v>
      </c>
      <c r="AN158">
        <f t="shared" si="66"/>
        <v>0.38099004250693796</v>
      </c>
      <c r="AO158">
        <f t="shared" si="67"/>
        <v>0.3583438493505956</v>
      </c>
      <c r="AP158">
        <f t="array" ref="AP158">AL158*IF($C158="GKP",10,IF($C158="DEF",6,IF($C158="MID",5,4)))</f>
        <v>1.9049502125346898</v>
      </c>
      <c r="AQ158">
        <f t="shared" si="68"/>
        <v>1.0750315480517867</v>
      </c>
      <c r="AR158">
        <f t="shared" si="69"/>
        <v>2</v>
      </c>
      <c r="AS158" s="2">
        <f>IF($H158=0,0,Player_Analysis!$AM158*$H158/90)</f>
        <v>0</v>
      </c>
      <c r="AT158">
        <f t="shared" si="70"/>
        <v>0.99221789883268485</v>
      </c>
      <c r="AU158" s="2">
        <f>0</f>
        <v>0</v>
      </c>
      <c r="AV158" s="2">
        <f>IF(INDEX(FPL_Raw_Data!K:K,MATCH(A158,FPL_Raw_Data!AA:AA,0))=0,"",INDEX(FPL_Raw_Data!P:P,MATCH(A158,FPL_Raw_Data!AA:AA,0))/INDEX(FPL_Raw_Data!K:K,MATCH(A158,FPL_Raw_Data!AA:AA,0))*90)</f>
        <v>0</v>
      </c>
      <c r="AW158" s="2">
        <f t="shared" si="71"/>
        <v>0</v>
      </c>
      <c r="AX158" s="2">
        <f>IFERROR(INDEX(TEAM_ANALYSIS!$H$2:$H$21,MATCH($B158,TEAM_ANALYSIS!$A$2:$A$21,0)),0)</f>
        <v>2.3333333333333335</v>
      </c>
      <c r="AY158" s="2">
        <f t="shared" si="72"/>
        <v>0</v>
      </c>
      <c r="AZ158" s="2">
        <f t="shared" si="73"/>
        <v>5.9721996594191609</v>
      </c>
      <c r="BA158">
        <f t="shared" si="74"/>
        <v>0.78581574466041593</v>
      </c>
      <c r="BB158">
        <f>IFERROR(Player_Analysis!$Y158,1)</f>
        <v>1.0449221453287199</v>
      </c>
      <c r="BC158">
        <f t="shared" si="75"/>
        <v>6.2404836804517192</v>
      </c>
      <c r="BD158">
        <f t="shared" si="76"/>
        <v>4.9038703303953408</v>
      </c>
      <c r="BE158">
        <f t="shared" si="77"/>
        <v>6.2404836804517192</v>
      </c>
      <c r="BF158">
        <f t="shared" si="78"/>
        <v>37</v>
      </c>
      <c r="BG158">
        <f>IF($BE158="","",COUNTIFS($C$2:$C$596,$C158,$BE$2:$BE$596,"&gt;"&amp;$BE158)+COUNTIFS($C$2:$C158,$C158,$BE$2:$BE158,$BE158))</f>
        <v>15</v>
      </c>
    </row>
    <row r="159" spans="1:59" x14ac:dyDescent="0.25">
      <c r="A159" t="str">
        <f>Player_Analysis!A159</f>
        <v>Jordan Henderson</v>
      </c>
      <c r="B159">
        <f>Player_Analysis!C159</f>
        <v>6</v>
      </c>
      <c r="C159" t="str">
        <f>Player_Analysis!B159</f>
        <v>MID</v>
      </c>
      <c r="D159" s="13">
        <f>Player_Analysis!E159</f>
        <v>5</v>
      </c>
      <c r="E159">
        <f>Player_Analysis!I159</f>
        <v>0</v>
      </c>
      <c r="F159" s="8">
        <f>Player_Analysis!Z159</f>
        <v>0</v>
      </c>
      <c r="G159" s="17">
        <f t="shared" si="53"/>
        <v>0</v>
      </c>
      <c r="H159">
        <f t="shared" si="54"/>
        <v>0</v>
      </c>
      <c r="I159" s="8">
        <f>Player_Analysis!AF159</f>
        <v>0</v>
      </c>
      <c r="J159" s="8">
        <f>Player_Analysis!AG159</f>
        <v>0</v>
      </c>
      <c r="K159">
        <f>Player_Analysis!O159</f>
        <v>0</v>
      </c>
      <c r="L159">
        <f>Player_Analysis!P159</f>
        <v>0</v>
      </c>
      <c r="M159" t="str">
        <f t="shared" si="55"/>
        <v/>
      </c>
      <c r="N159" t="str">
        <f t="shared" si="56"/>
        <v/>
      </c>
      <c r="O159" s="2" t="str">
        <f>IF(E159=0,"",Player_Analysis!L159/E159*90)</f>
        <v/>
      </c>
      <c r="P159" t="str">
        <f>IF(E159=0,"",Player_Analysis!Q159/E159*90)</f>
        <v/>
      </c>
      <c r="Q159" t="str">
        <f>IF(E159=0,"",(Player_Analysis!AD159/E159)*90)</f>
        <v/>
      </c>
      <c r="R159" t="str">
        <f>IF(E159=0,"",Player_Analysis!AA159/E159*90)</f>
        <v/>
      </c>
      <c r="S159">
        <f t="array" ref="S159">IFERROR(INDEX('2023_24'!$O:$O,MATCH($A159,'2023_24'!$A:$A,0)),"")</f>
        <v>0</v>
      </c>
      <c r="T159" t="str">
        <f>IFERROR(INDEX('2024_25'!$P:$P,MATCH($A159,'2024_25'!$A:$A,0)),"")</f>
        <v/>
      </c>
      <c r="U159">
        <f>IFERROR(INDEX('2025_26'!$P:$P,MATCH($A159,'2025_26'!$A:$A,0)),"")</f>
        <v>1.554160125588697E-2</v>
      </c>
      <c r="V159">
        <f>IFERROR(INDEX('2023_24'!$P:$P,MATCH($A159,'2023_24'!$A:$A,0)),"")</f>
        <v>0</v>
      </c>
      <c r="W159" t="str">
        <f>IFERROR(INDEX('2024_25'!$Q:$Q,MATCH($A159,'2024_25'!$A:$A,0)),"")</f>
        <v/>
      </c>
      <c r="X159">
        <f>IFERROR(INDEX('2025_26'!$Q:$Q,MATCH($A159,'2025_26'!$A:$A,0)),"")</f>
        <v>0.10879120879120879</v>
      </c>
      <c r="Y159" t="str">
        <f>IFERROR(INDEX('2023_24'!$M:$M,MATCH($A159,'2023_24'!$A:$A,0))/INDEX('2023_24'!$G:$G,MATCH($A159,'2023_24'!$A:$A,0))*90,"")</f>
        <v/>
      </c>
      <c r="Z159" t="str">
        <f>IFERROR(INDEX('2024_25'!$M:$M,MATCH($A159,'2024_25'!$A:$A,0))/INDEX('2024_25'!$G:$G,MATCH($A159,'2024_25'!$A:$A,0))*90,"")</f>
        <v/>
      </c>
      <c r="AA159">
        <f>IFERROR(INDEX('2025_26'!$M:$M,MATCH($A159,'2025_26'!$A:$A,0))/INDEX('2025_26'!$G:$G,MATCH($A159,'2025_26'!$A:$A,0))*90,"")</f>
        <v>3.5792778649921511</v>
      </c>
      <c r="AB159">
        <f>IFERROR(SUMPRODUCT(S159:U159,{0.2,0.3,0.5})/SUMPRODUCT(--(S159:U159&lt;&gt;""),{0.2,0.3,0.5}),"")</f>
        <v>1.1101143754204979E-2</v>
      </c>
      <c r="AC159">
        <f>IFERROR(SUMPRODUCT(V159:X159,{0.2,0.3,0.5})/SUMPRODUCT(--(V159:X159&lt;&gt;""),{0.2,0.3,0.5}),"")</f>
        <v>7.770800627943486E-2</v>
      </c>
      <c r="AD159">
        <f>IFERROR(SUMPRODUCT(Y159:AA159,{0.2,0.3,0.5})/SUMPRODUCT((Y159:AA159&lt;&gt;"")*{0.2,0.3,0.5}),O159)</f>
        <v>3.5792778649921511</v>
      </c>
      <c r="AE159">
        <f t="shared" si="57"/>
        <v>2</v>
      </c>
      <c r="AF159" t="str">
        <f t="shared" si="58"/>
        <v/>
      </c>
      <c r="AG159">
        <f t="shared" si="59"/>
        <v>1.1101143754204979E-2</v>
      </c>
      <c r="AH159">
        <f t="shared" si="60"/>
        <v>7.770800627943486E-2</v>
      </c>
      <c r="AI159" s="2">
        <f t="shared" si="61"/>
        <v>3.5792778649921511</v>
      </c>
      <c r="AJ159">
        <f t="shared" si="62"/>
        <v>0</v>
      </c>
      <c r="AK159" t="str">
        <f t="shared" si="63"/>
        <v>NO</v>
      </c>
      <c r="AL159">
        <f t="shared" si="64"/>
        <v>0</v>
      </c>
      <c r="AM159">
        <f t="shared" si="65"/>
        <v>0</v>
      </c>
      <c r="AN159">
        <f t="shared" si="66"/>
        <v>0</v>
      </c>
      <c r="AO159">
        <f t="shared" si="67"/>
        <v>0</v>
      </c>
      <c r="AP159">
        <f t="array" ref="AP159">AL159*IF($C159="GKP",10,IF($C159="DEF",6,IF($C159="MID",5,4)))</f>
        <v>0</v>
      </c>
      <c r="AQ159">
        <f t="shared" si="68"/>
        <v>0</v>
      </c>
      <c r="AR159">
        <f t="shared" si="69"/>
        <v>0</v>
      </c>
      <c r="AS159" s="2">
        <f>IF($H159=0,0,Player_Analysis!$AM159*$H159/90)</f>
        <v>0</v>
      </c>
      <c r="AT159">
        <f t="shared" si="70"/>
        <v>0</v>
      </c>
      <c r="AU159" s="2">
        <f>0</f>
        <v>0</v>
      </c>
      <c r="AV159" s="2" t="str">
        <f>IF(INDEX(FPL_Raw_Data!K:K,MATCH(A159,FPL_Raw_Data!AA:AA,0))=0,"",INDEX(FPL_Raw_Data!P:P,MATCH(A159,FPL_Raw_Data!AA:AA,0))/INDEX(FPL_Raw_Data!K:K,MATCH(A159,FPL_Raw_Data!AA:AA,0))*90)</f>
        <v/>
      </c>
      <c r="AW159" s="2">
        <f t="shared" si="71"/>
        <v>0</v>
      </c>
      <c r="AX159" s="2">
        <f>IFERROR(INDEX(TEAM_ANALYSIS!$H$2:$H$21,MATCH($B159,TEAM_ANALYSIS!$A$2:$A$21,0)),0)</f>
        <v>2.3333333333333335</v>
      </c>
      <c r="AY159" s="2">
        <f t="shared" si="72"/>
        <v>0</v>
      </c>
      <c r="AZ159" s="2">
        <f t="shared" si="73"/>
        <v>0</v>
      </c>
      <c r="BA159">
        <f t="shared" si="74"/>
        <v>0</v>
      </c>
      <c r="BB159">
        <f>IFERROR(Player_Analysis!$Y159,1)</f>
        <v>1.0449221453287199</v>
      </c>
      <c r="BC159">
        <f t="shared" si="75"/>
        <v>0</v>
      </c>
      <c r="BD159">
        <f t="shared" si="76"/>
        <v>0</v>
      </c>
      <c r="BE159">
        <f t="shared" si="77"/>
        <v>0</v>
      </c>
      <c r="BF159">
        <f t="shared" si="78"/>
        <v>253</v>
      </c>
      <c r="BG159">
        <f>IF($BE159="","",COUNTIFS($C$2:$C$596,$C159,$BE$2:$BE$596,"&gt;"&amp;$BE159)+COUNTIFS($C$2:$C159,$C159,$BE$2:$BE159,$BE159))</f>
        <v>154</v>
      </c>
    </row>
    <row r="160" spans="1:59" x14ac:dyDescent="0.25">
      <c r="A160" t="str">
        <f>Player_Analysis!A160</f>
        <v>Danny Welbeck</v>
      </c>
      <c r="B160">
        <f>Player_Analysis!C160</f>
        <v>6</v>
      </c>
      <c r="C160" t="str">
        <f>Player_Analysis!B160</f>
        <v>FWD</v>
      </c>
      <c r="D160" s="13">
        <f>Player_Analysis!E160</f>
        <v>5.9</v>
      </c>
      <c r="E160">
        <f>Player_Analysis!I160</f>
        <v>3</v>
      </c>
      <c r="F160" s="8">
        <f>Player_Analysis!Z160</f>
        <v>0</v>
      </c>
      <c r="G160" s="17">
        <f t="shared" si="53"/>
        <v>0</v>
      </c>
      <c r="H160">
        <f t="shared" si="54"/>
        <v>0</v>
      </c>
      <c r="I160" s="8">
        <f>Player_Analysis!AF160</f>
        <v>0</v>
      </c>
      <c r="J160" s="8">
        <f>Player_Analysis!AG160</f>
        <v>0</v>
      </c>
      <c r="K160">
        <f>Player_Analysis!O160</f>
        <v>0</v>
      </c>
      <c r="L160">
        <f>Player_Analysis!P160</f>
        <v>0</v>
      </c>
      <c r="M160">
        <f t="shared" si="55"/>
        <v>0</v>
      </c>
      <c r="N160">
        <f t="shared" si="56"/>
        <v>0</v>
      </c>
      <c r="O160" s="2">
        <f>IF(E160=0,"",Player_Analysis!L160/E160*90)</f>
        <v>30</v>
      </c>
      <c r="P160">
        <f>IF(E160=0,"",Player_Analysis!Q160/E160*90)</f>
        <v>0</v>
      </c>
      <c r="Q160">
        <f>IF(E160=0,"",(Player_Analysis!AD160/E160)*90)</f>
        <v>90</v>
      </c>
      <c r="R160">
        <f>IF(E160=0,"",Player_Analysis!AA160/E160*90)</f>
        <v>0</v>
      </c>
      <c r="S160">
        <f t="array" ref="S160">IFERROR(INDEX('2023_24'!$O:$O,MATCH($A160,'2023_24'!$A:$A,0)),"")</f>
        <v>0.27154712507409601</v>
      </c>
      <c r="T160">
        <f>IFERROR(INDEX('2024_25'!$P:$P,MATCH($A160,'2024_25'!$A:$A,0)),"")</f>
        <v>0.40881934566145095</v>
      </c>
      <c r="U160">
        <f>IFERROR(INDEX('2025_26'!$P:$P,MATCH($A160,'2025_26'!$A:$A,0)),"")</f>
        <v>0.49461983103601598</v>
      </c>
      <c r="V160">
        <f>IFERROR(INDEX('2023_24'!$P:$P,MATCH($A160,'2023_24'!$A:$A,0)),"")</f>
        <v>7.7889745109662123E-2</v>
      </c>
      <c r="W160">
        <f>IFERROR(INDEX('2024_25'!$Q:$Q,MATCH($A160,'2024_25'!$A:$A,0)),"")</f>
        <v>5.8036984352773831E-2</v>
      </c>
      <c r="X160">
        <f>IFERROR(INDEX('2025_26'!$Q:$Q,MATCH($A160,'2025_26'!$A:$A,0)),"")</f>
        <v>5.6024899955535792E-2</v>
      </c>
      <c r="Y160">
        <f>IFERROR(INDEX('2023_24'!$M:$M,MATCH($A160,'2023_24'!$A:$A,0))/INDEX('2023_24'!$G:$G,MATCH($A160,'2023_24'!$A:$A,0))*90,"")</f>
        <v>4.2145820983995259</v>
      </c>
      <c r="Z160">
        <f>IFERROR(INDEX('2024_25'!$M:$M,MATCH($A160,'2024_25'!$A:$A,0))/INDEX('2024_25'!$G:$G,MATCH($A160,'2024_25'!$A:$A,0))*90,"")</f>
        <v>5.3342816500711239</v>
      </c>
      <c r="AA160">
        <f>IFERROR(INDEX('2025_26'!$M:$M,MATCH($A160,'2025_26'!$A:$A,0))/INDEX('2025_26'!$G:$G,MATCH($A160,'2025_26'!$A:$A,0))*90,"")</f>
        <v>5.0422409959982213</v>
      </c>
      <c r="AB160">
        <f>IFERROR(SUMPRODUCT(S160:U160,{0.2,0.3,0.5})/SUMPRODUCT(--(S160:U160&lt;&gt;""),{0.2,0.3,0.5}),"")</f>
        <v>0.42426514423126249</v>
      </c>
      <c r="AC160">
        <f>IFERROR(SUMPRODUCT(V160:X160,{0.2,0.3,0.5})/SUMPRODUCT(--(V160:X160&lt;&gt;""),{0.2,0.3,0.5}),"")</f>
        <v>6.1001494305532471E-2</v>
      </c>
      <c r="AD160">
        <f>IFERROR(SUMPRODUCT(Y160:AA160,{0.2,0.3,0.5})/SUMPRODUCT((Y160:AA160&lt;&gt;"")*{0.2,0.3,0.5}),O160)</f>
        <v>4.964321412700353</v>
      </c>
      <c r="AE160">
        <f t="shared" si="57"/>
        <v>3</v>
      </c>
      <c r="AF160" t="str">
        <f t="shared" si="58"/>
        <v/>
      </c>
      <c r="AG160">
        <f t="shared" si="59"/>
        <v>0.42002249278894987</v>
      </c>
      <c r="AH160">
        <f t="shared" si="60"/>
        <v>6.0391479362477143E-2</v>
      </c>
      <c r="AI160" s="2">
        <f t="shared" si="61"/>
        <v>5.214678198573349</v>
      </c>
      <c r="AJ160">
        <f t="shared" si="62"/>
        <v>0.01</v>
      </c>
      <c r="AK160" t="str">
        <f t="shared" si="63"/>
        <v>NO</v>
      </c>
      <c r="AL160">
        <f t="shared" si="64"/>
        <v>0</v>
      </c>
      <c r="AM160">
        <f t="shared" si="65"/>
        <v>0</v>
      </c>
      <c r="AN160">
        <f t="shared" si="66"/>
        <v>0</v>
      </c>
      <c r="AO160">
        <f t="shared" si="67"/>
        <v>0</v>
      </c>
      <c r="AP160">
        <f t="array" ref="AP160">AL160*IF($C160="GKP",10,IF($C160="DEF",6,IF($C160="MID",5,4)))</f>
        <v>0</v>
      </c>
      <c r="AQ160">
        <f t="shared" si="68"/>
        <v>0</v>
      </c>
      <c r="AR160">
        <f t="shared" si="69"/>
        <v>0</v>
      </c>
      <c r="AS160" s="2">
        <f>IF($H160=0,0,Player_Analysis!$AM160*$H160/90)</f>
        <v>0</v>
      </c>
      <c r="AT160">
        <f t="shared" si="70"/>
        <v>0</v>
      </c>
      <c r="AU160" s="2">
        <f>0</f>
        <v>0</v>
      </c>
      <c r="AV160" s="2">
        <f>IF(INDEX(FPL_Raw_Data!K:K,MATCH(A160,FPL_Raw_Data!AA:AA,0))=0,"",INDEX(FPL_Raw_Data!P:P,MATCH(A160,FPL_Raw_Data!AA:AA,0))/INDEX(FPL_Raw_Data!K:K,MATCH(A160,FPL_Raw_Data!AA:AA,0))*90)</f>
        <v>0</v>
      </c>
      <c r="AW160" s="2">
        <f t="shared" si="71"/>
        <v>0</v>
      </c>
      <c r="AX160" s="2">
        <f>IFERROR(INDEX(TEAM_ANALYSIS!$H$2:$H$21,MATCH($B160,TEAM_ANALYSIS!$A$2:$A$21,0)),0)</f>
        <v>2.3333333333333335</v>
      </c>
      <c r="AY160" s="2">
        <f t="shared" si="72"/>
        <v>0</v>
      </c>
      <c r="AZ160" s="2">
        <f t="shared" si="73"/>
        <v>0</v>
      </c>
      <c r="BA160">
        <f t="shared" si="74"/>
        <v>0</v>
      </c>
      <c r="BB160">
        <f>IFERROR(Player_Analysis!$Y160,1)</f>
        <v>1.0449221453287199</v>
      </c>
      <c r="BC160">
        <f t="shared" si="75"/>
        <v>0</v>
      </c>
      <c r="BD160">
        <f t="shared" si="76"/>
        <v>0</v>
      </c>
      <c r="BE160">
        <f t="shared" si="77"/>
        <v>0</v>
      </c>
      <c r="BF160">
        <f t="shared" si="78"/>
        <v>253</v>
      </c>
      <c r="BG160">
        <f>IF($BE160="","",COUNTIFS($C$2:$C$596,$C160,$BE$2:$BE$596,"&gt;"&amp;$BE160)+COUNTIFS($C$2:$C160,$C160,$BE$2:$BE160,$BE160))</f>
        <v>39</v>
      </c>
    </row>
    <row r="161" spans="1:59" x14ac:dyDescent="0.25">
      <c r="A161" t="str">
        <f>Player_Analysis!A161</f>
        <v>Robert Lynch Sánchez</v>
      </c>
      <c r="B161">
        <f>Player_Analysis!C161</f>
        <v>6</v>
      </c>
      <c r="C161" t="str">
        <f>Player_Analysis!B161</f>
        <v>GK</v>
      </c>
      <c r="D161" s="13">
        <f>Player_Analysis!E161</f>
        <v>4.9000000000000004</v>
      </c>
      <c r="E161">
        <f>Player_Analysis!I161</f>
        <v>90</v>
      </c>
      <c r="F161" s="8">
        <f>Player_Analysis!Z161</f>
        <v>1</v>
      </c>
      <c r="G161" s="17">
        <f t="shared" si="53"/>
        <v>1</v>
      </c>
      <c r="H161">
        <f t="shared" si="54"/>
        <v>90</v>
      </c>
      <c r="I161" s="8">
        <f>Player_Analysis!AF161</f>
        <v>0</v>
      </c>
      <c r="J161" s="8">
        <f>Player_Analysis!AG161</f>
        <v>0</v>
      </c>
      <c r="K161">
        <f>Player_Analysis!O161</f>
        <v>0</v>
      </c>
      <c r="L161">
        <f>Player_Analysis!P161</f>
        <v>0.01</v>
      </c>
      <c r="M161">
        <f t="shared" si="55"/>
        <v>0</v>
      </c>
      <c r="N161">
        <f t="shared" si="56"/>
        <v>0.01</v>
      </c>
      <c r="O161" s="2">
        <f>IF(E161=0,"",Player_Analysis!L161/E161*90)</f>
        <v>2</v>
      </c>
      <c r="P161">
        <f>IF(E161=0,"",Player_Analysis!Q161/E161*90)</f>
        <v>0.01</v>
      </c>
      <c r="Q161">
        <f>IF(E161=0,"",(Player_Analysis!AD161/E161)*90)</f>
        <v>6</v>
      </c>
      <c r="R161">
        <f>IF(E161=0,"",Player_Analysis!AA161/E161*90)</f>
        <v>0</v>
      </c>
      <c r="S161" t="str">
        <f t="array" ref="S161">IFERROR(INDEX('2023_24'!$O:$O,MATCH($A161,'2023_24'!$A:$A,0)),"")</f>
        <v/>
      </c>
      <c r="T161" t="str">
        <f>IFERROR(INDEX('2024_25'!$P:$P,MATCH($A161,'2024_25'!$A:$A,0)),"")</f>
        <v/>
      </c>
      <c r="U161">
        <f>IFERROR(INDEX('2025_26'!$P:$P,MATCH($A161,'2025_26'!$A:$A,0)),"")</f>
        <v>0</v>
      </c>
      <c r="V161" t="str">
        <f>IFERROR(INDEX('2023_24'!$P:$P,MATCH($A161,'2023_24'!$A:$A,0)),"")</f>
        <v/>
      </c>
      <c r="W161" t="str">
        <f>IFERROR(INDEX('2024_25'!$Q:$Q,MATCH($A161,'2024_25'!$A:$A,0)),"")</f>
        <v/>
      </c>
      <c r="X161">
        <f>IFERROR(INDEX('2025_26'!$Q:$Q,MATCH($A161,'2025_26'!$A:$A,0)),"")</f>
        <v>1.1842105263157896E-3</v>
      </c>
      <c r="Y161" t="str">
        <f>IFERROR(INDEX('2023_24'!$M:$M,MATCH($A161,'2023_24'!$A:$A,0))/INDEX('2023_24'!$G:$G,MATCH($A161,'2023_24'!$A:$A,0))*90,"")</f>
        <v/>
      </c>
      <c r="Z161" t="str">
        <f>IFERROR(INDEX('2024_25'!$M:$M,MATCH($A161,'2024_25'!$A:$A,0))/INDEX('2024_25'!$G:$G,MATCH($A161,'2024_25'!$A:$A,0))*90,"")</f>
        <v/>
      </c>
      <c r="AA161">
        <f>IFERROR(INDEX('2025_26'!$M:$M,MATCH($A161,'2025_26'!$A:$A,0))/INDEX('2025_26'!$G:$G,MATCH($A161,'2025_26'!$A:$A,0))*90,"")</f>
        <v>3.3453947368421049</v>
      </c>
      <c r="AB161">
        <f>IFERROR(SUMPRODUCT(S161:U161,{0.2,0.3,0.5})/SUMPRODUCT(--(S161:U161&lt;&gt;""),{0.2,0.3,0.5}),"")</f>
        <v>0</v>
      </c>
      <c r="AC161">
        <f>IFERROR(SUMPRODUCT(V161:X161,{0.2,0.3,0.5})/SUMPRODUCT(--(V161:X161&lt;&gt;""),{0.2,0.3,0.5}),"")</f>
        <v>1.1842105263157896E-3</v>
      </c>
      <c r="AD161">
        <f>IFERROR(SUMPRODUCT(Y161:AA161,{0.2,0.3,0.5})/SUMPRODUCT((Y161:AA161&lt;&gt;"")*{0.2,0.3,0.5}),O161)</f>
        <v>3.3453947368421049</v>
      </c>
      <c r="AE161">
        <f t="shared" si="57"/>
        <v>1</v>
      </c>
      <c r="AF161">
        <f t="shared" si="58"/>
        <v>90</v>
      </c>
      <c r="AG161">
        <f t="shared" si="59"/>
        <v>0</v>
      </c>
      <c r="AH161">
        <f t="shared" si="60"/>
        <v>3.8289473684210529E-3</v>
      </c>
      <c r="AI161" s="2">
        <f t="shared" si="61"/>
        <v>2.9417763157894732</v>
      </c>
      <c r="AJ161">
        <f t="shared" si="62"/>
        <v>0.3</v>
      </c>
      <c r="AK161" t="str">
        <f t="shared" si="63"/>
        <v>NO</v>
      </c>
      <c r="AL161">
        <f t="shared" si="64"/>
        <v>0</v>
      </c>
      <c r="AM161">
        <f t="shared" si="65"/>
        <v>3.8289473684210529E-3</v>
      </c>
      <c r="AN161">
        <f t="shared" si="66"/>
        <v>0</v>
      </c>
      <c r="AO161">
        <f t="shared" si="67"/>
        <v>3.8289473684210529E-3</v>
      </c>
      <c r="AP161">
        <f t="array" ref="AP161">AL161*IF($C161="GKP",10,IF($C161="DEF",6,IF($C161="MID",5,4)))</f>
        <v>0</v>
      </c>
      <c r="AQ161">
        <f t="shared" si="68"/>
        <v>1.1486842105263158E-2</v>
      </c>
      <c r="AR161">
        <f t="shared" si="69"/>
        <v>2</v>
      </c>
      <c r="AS161" s="2">
        <f>IF($H161=0,0,Player_Analysis!$AM161*$H161/90)</f>
        <v>0</v>
      </c>
      <c r="AT161">
        <f t="shared" si="70"/>
        <v>0</v>
      </c>
      <c r="AU161" s="2">
        <f>0</f>
        <v>0</v>
      </c>
      <c r="AV161" s="2">
        <f>IF(INDEX(FPL_Raw_Data!K:K,MATCH(A161,FPL_Raw_Data!AA:AA,0))=0,"",INDEX(FPL_Raw_Data!P:P,MATCH(A161,FPL_Raw_Data!AA:AA,0))/INDEX(FPL_Raw_Data!K:K,MATCH(A161,FPL_Raw_Data!AA:AA,0))*90)</f>
        <v>4</v>
      </c>
      <c r="AW161" s="2">
        <f t="shared" si="71"/>
        <v>1.3333333333333333</v>
      </c>
      <c r="AX161" s="2">
        <f>IFERROR(INDEX(TEAM_ANALYSIS!$H$2:$H$21,MATCH($B161,TEAM_ANALYSIS!$A$2:$A$21,0)),0)</f>
        <v>2.3333333333333335</v>
      </c>
      <c r="AY161" s="2">
        <f t="shared" si="72"/>
        <v>0</v>
      </c>
      <c r="AZ161" s="2">
        <f t="shared" si="73"/>
        <v>3.3448201754385964</v>
      </c>
      <c r="BA161">
        <f t="shared" si="74"/>
        <v>0.68261636233440737</v>
      </c>
      <c r="BB161">
        <f>IFERROR(Player_Analysis!$Y161,1)</f>
        <v>0.86574712643678164</v>
      </c>
      <c r="BC161">
        <f t="shared" si="75"/>
        <v>2.8957684553337368</v>
      </c>
      <c r="BD161">
        <f t="shared" si="76"/>
        <v>1.9766989291426413</v>
      </c>
      <c r="BE161">
        <f t="shared" si="77"/>
        <v>2.8957684553337368</v>
      </c>
      <c r="BF161">
        <f t="shared" si="78"/>
        <v>204</v>
      </c>
      <c r="BG161">
        <f>IF($BE161="","",COUNTIFS($C$2:$C$596,$C161,$BE$2:$BE$596,"&gt;"&amp;$BE161)+COUNTIFS($C$2:$C161,$C161,$BE$2:$BE161,$BE161))</f>
        <v>15</v>
      </c>
    </row>
    <row r="162" spans="1:59" x14ac:dyDescent="0.25">
      <c r="A162" t="str">
        <f>Player_Analysis!A162</f>
        <v>Filip Jörgensen</v>
      </c>
      <c r="B162">
        <f>Player_Analysis!C162</f>
        <v>6</v>
      </c>
      <c r="C162" t="str">
        <f>Player_Analysis!B162</f>
        <v>GK</v>
      </c>
      <c r="D162" s="13">
        <f>Player_Analysis!E162</f>
        <v>5</v>
      </c>
      <c r="E162">
        <f>Player_Analysis!I162</f>
        <v>0</v>
      </c>
      <c r="F162" s="8">
        <f>Player_Analysis!Z162</f>
        <v>0</v>
      </c>
      <c r="G162" s="17">
        <f t="shared" si="53"/>
        <v>0</v>
      </c>
      <c r="H162">
        <f t="shared" si="54"/>
        <v>0</v>
      </c>
      <c r="I162" s="8">
        <f>Player_Analysis!AF162</f>
        <v>0</v>
      </c>
      <c r="J162" s="8">
        <f>Player_Analysis!AG162</f>
        <v>0</v>
      </c>
      <c r="K162">
        <f>Player_Analysis!O162</f>
        <v>0</v>
      </c>
      <c r="L162">
        <f>Player_Analysis!P162</f>
        <v>0</v>
      </c>
      <c r="M162" t="str">
        <f t="shared" si="55"/>
        <v/>
      </c>
      <c r="N162" t="str">
        <f t="shared" si="56"/>
        <v/>
      </c>
      <c r="O162" s="2" t="str">
        <f>IF(E162=0,"",Player_Analysis!L162/E162*90)</f>
        <v/>
      </c>
      <c r="P162" t="str">
        <f>IF(E162=0,"",Player_Analysis!Q162/E162*90)</f>
        <v/>
      </c>
      <c r="Q162" t="str">
        <f>IF(E162=0,"",(Player_Analysis!AD162/E162)*90)</f>
        <v/>
      </c>
      <c r="R162" t="str">
        <f>IF(E162=0,"",Player_Analysis!AA162/E162*90)</f>
        <v/>
      </c>
      <c r="S162" t="str">
        <f t="array" ref="S162">IFERROR(INDEX('2023_24'!$O:$O,MATCH($A162,'2023_24'!$A:$A,0)),"")</f>
        <v/>
      </c>
      <c r="T162" t="str">
        <f>IFERROR(INDEX('2024_25'!$P:$P,MATCH($A162,'2024_25'!$A:$A,0)),"")</f>
        <v/>
      </c>
      <c r="U162">
        <f>IFERROR(INDEX('2025_26'!$P:$P,MATCH($A162,'2025_26'!$A:$A,0)),"")</f>
        <v>0</v>
      </c>
      <c r="V162" t="str">
        <f>IFERROR(INDEX('2023_24'!$P:$P,MATCH($A162,'2023_24'!$A:$A,0)),"")</f>
        <v/>
      </c>
      <c r="W162" t="str">
        <f>IFERROR(INDEX('2024_25'!$Q:$Q,MATCH($A162,'2024_25'!$A:$A,0)),"")</f>
        <v/>
      </c>
      <c r="X162">
        <f>IFERROR(INDEX('2025_26'!$Q:$Q,MATCH($A162,'2025_26'!$A:$A,0)),"")</f>
        <v>0</v>
      </c>
      <c r="Y162" t="str">
        <f>IFERROR(INDEX('2023_24'!$M:$M,MATCH($A162,'2023_24'!$A:$A,0))/INDEX('2023_24'!$G:$G,MATCH($A162,'2023_24'!$A:$A,0))*90,"")</f>
        <v/>
      </c>
      <c r="Z162" t="str">
        <f>IFERROR(INDEX('2024_25'!$M:$M,MATCH($A162,'2024_25'!$A:$A,0))/INDEX('2024_25'!$G:$G,MATCH($A162,'2024_25'!$A:$A,0))*90,"")</f>
        <v/>
      </c>
      <c r="AA162">
        <f>IFERROR(INDEX('2025_26'!$M:$M,MATCH($A162,'2025_26'!$A:$A,0))/INDEX('2025_26'!$G:$G,MATCH($A162,'2025_26'!$A:$A,0))*90,"")</f>
        <v>2.1428571428571428</v>
      </c>
      <c r="AB162">
        <f>IFERROR(SUMPRODUCT(S162:U162,{0.2,0.3,0.5})/SUMPRODUCT(--(S162:U162&lt;&gt;""),{0.2,0.3,0.5}),"")</f>
        <v>0</v>
      </c>
      <c r="AC162">
        <f>IFERROR(SUMPRODUCT(V162:X162,{0.2,0.3,0.5})/SUMPRODUCT(--(V162:X162&lt;&gt;""),{0.2,0.3,0.5}),"")</f>
        <v>0</v>
      </c>
      <c r="AD162">
        <f>IFERROR(SUMPRODUCT(Y162:AA162,{0.2,0.3,0.5})/SUMPRODUCT((Y162:AA162&lt;&gt;"")*{0.2,0.3,0.5}),O162)</f>
        <v>2.1428571428571428</v>
      </c>
      <c r="AE162">
        <f t="shared" si="57"/>
        <v>1</v>
      </c>
      <c r="AF162" t="str">
        <f t="shared" si="58"/>
        <v/>
      </c>
      <c r="AG162">
        <f t="shared" si="59"/>
        <v>0</v>
      </c>
      <c r="AH162">
        <f t="shared" si="60"/>
        <v>0</v>
      </c>
      <c r="AI162" s="2">
        <f t="shared" si="61"/>
        <v>2.1428571428571428</v>
      </c>
      <c r="AJ162">
        <f t="shared" si="62"/>
        <v>0</v>
      </c>
      <c r="AK162" t="str">
        <f t="shared" si="63"/>
        <v>NO</v>
      </c>
      <c r="AL162">
        <f t="shared" si="64"/>
        <v>0</v>
      </c>
      <c r="AM162">
        <f t="shared" si="65"/>
        <v>0</v>
      </c>
      <c r="AN162">
        <f t="shared" si="66"/>
        <v>0</v>
      </c>
      <c r="AO162">
        <f t="shared" si="67"/>
        <v>0</v>
      </c>
      <c r="AP162">
        <f t="array" ref="AP162">AL162*IF($C162="GKP",10,IF($C162="DEF",6,IF($C162="MID",5,4)))</f>
        <v>0</v>
      </c>
      <c r="AQ162">
        <f t="shared" si="68"/>
        <v>0</v>
      </c>
      <c r="AR162">
        <f t="shared" si="69"/>
        <v>0</v>
      </c>
      <c r="AS162" s="2">
        <f>IF($H162=0,0,Player_Analysis!$AM162*$H162/90)</f>
        <v>0</v>
      </c>
      <c r="AT162">
        <f t="shared" si="70"/>
        <v>0</v>
      </c>
      <c r="AU162" s="2">
        <f>0</f>
        <v>0</v>
      </c>
      <c r="AV162" s="2" t="str">
        <f>IF(INDEX(FPL_Raw_Data!K:K,MATCH(A162,FPL_Raw_Data!AA:AA,0))=0,"",INDEX(FPL_Raw_Data!P:P,MATCH(A162,FPL_Raw_Data!AA:AA,0))/INDEX(FPL_Raw_Data!K:K,MATCH(A162,FPL_Raw_Data!AA:AA,0))*90)</f>
        <v/>
      </c>
      <c r="AW162" s="2">
        <f t="shared" si="71"/>
        <v>0</v>
      </c>
      <c r="AX162" s="2">
        <f>IFERROR(INDEX(TEAM_ANALYSIS!$H$2:$H$21,MATCH($B162,TEAM_ANALYSIS!$A$2:$A$21,0)),0)</f>
        <v>2.3333333333333335</v>
      </c>
      <c r="AY162" s="2">
        <f t="shared" si="72"/>
        <v>0</v>
      </c>
      <c r="AZ162" s="2">
        <f t="shared" si="73"/>
        <v>0</v>
      </c>
      <c r="BA162">
        <f t="shared" si="74"/>
        <v>0</v>
      </c>
      <c r="BB162">
        <f>IFERROR(Player_Analysis!$Y162,1)</f>
        <v>0.86574712643678164</v>
      </c>
      <c r="BC162">
        <f t="shared" si="75"/>
        <v>0</v>
      </c>
      <c r="BD162">
        <f t="shared" si="76"/>
        <v>0</v>
      </c>
      <c r="BE162">
        <f t="shared" si="77"/>
        <v>0</v>
      </c>
      <c r="BF162">
        <f t="shared" si="78"/>
        <v>253</v>
      </c>
      <c r="BG162">
        <f>IF($BE162="","",COUNTIFS($C$2:$C$596,$C162,$BE$2:$BE$596,"&gt;"&amp;$BE162)+COUNTIFS($C$2:$C162,$C162,$BE$2:$BE162,$BE162))</f>
        <v>29</v>
      </c>
    </row>
    <row r="163" spans="1:59" x14ac:dyDescent="0.25">
      <c r="A163" t="str">
        <f>Player_Analysis!A163</f>
        <v>Reece James</v>
      </c>
      <c r="B163">
        <f>Player_Analysis!C163</f>
        <v>6</v>
      </c>
      <c r="C163" t="str">
        <f>Player_Analysis!B163</f>
        <v>DEF</v>
      </c>
      <c r="D163" s="13">
        <f>Player_Analysis!E163</f>
        <v>5.4</v>
      </c>
      <c r="E163">
        <f>Player_Analysis!I163</f>
        <v>202</v>
      </c>
      <c r="F163" s="8">
        <f>Player_Analysis!Z163</f>
        <v>2</v>
      </c>
      <c r="G163" s="17">
        <f t="shared" si="53"/>
        <v>0.8910891089108911</v>
      </c>
      <c r="H163">
        <f t="shared" si="54"/>
        <v>80.198019801980195</v>
      </c>
      <c r="I163" s="8">
        <f>Player_Analysis!AF163</f>
        <v>0</v>
      </c>
      <c r="J163" s="8">
        <f>Player_Analysis!AG163</f>
        <v>0</v>
      </c>
      <c r="K163">
        <f>Player_Analysis!O163</f>
        <v>0.17</v>
      </c>
      <c r="L163">
        <f>Player_Analysis!P163</f>
        <v>0.12</v>
      </c>
      <c r="M163">
        <f t="shared" si="55"/>
        <v>7.5742574257425754E-2</v>
      </c>
      <c r="N163">
        <f t="shared" si="56"/>
        <v>5.3465346534653464E-2</v>
      </c>
      <c r="O163" s="2">
        <f>IF(E163=0,"",Player_Analysis!L163/E163*90)</f>
        <v>0.8910891089108911</v>
      </c>
      <c r="P163">
        <f>IF(E163=0,"",Player_Analysis!Q163/E163*90)</f>
        <v>0.12920792079207921</v>
      </c>
      <c r="Q163">
        <f>IF(E163=0,"",(Player_Analysis!AD163/E163)*90)</f>
        <v>5.7920792079207919</v>
      </c>
      <c r="R163">
        <f>IF(E163=0,"",Player_Analysis!AA163/E163*90)</f>
        <v>4.0099009900990099</v>
      </c>
      <c r="S163">
        <f t="array" ref="S163">IFERROR(INDEX('2023_24'!$O:$O,MATCH($A163,'2023_24'!$A:$A,0)),"")</f>
        <v>6.4903846153846145E-2</v>
      </c>
      <c r="T163">
        <f>IFERROR(INDEX('2024_25'!$P:$P,MATCH($A163,'2024_25'!$A:$A,0)),"")</f>
        <v>3.8315988647114475E-2</v>
      </c>
      <c r="U163">
        <f>IFERROR(INDEX('2025_26'!$P:$P,MATCH($A163,'2025_26'!$A:$A,0)),"")</f>
        <v>4.7828308635666839E-2</v>
      </c>
      <c r="V163">
        <f>IFERROR(INDEX('2023_24'!$P:$P,MATCH($A163,'2023_24'!$A:$A,0)),"")</f>
        <v>0.29423076923076924</v>
      </c>
      <c r="W163">
        <f>IFERROR(INDEX('2024_25'!$Q:$Q,MATCH($A163,'2024_25'!$A:$A,0)),"")</f>
        <v>9.7918637653736998E-2</v>
      </c>
      <c r="X163">
        <f>IFERROR(INDEX('2025_26'!$Q:$Q,MATCH($A163,'2025_26'!$A:$A,0)),"")</f>
        <v>0.14716402657128258</v>
      </c>
      <c r="Y163">
        <f>IFERROR(INDEX('2023_24'!$M:$M,MATCH($A163,'2023_24'!$A:$A,0))/INDEX('2023_24'!$G:$G,MATCH($A163,'2023_24'!$A:$A,0))*90,"")</f>
        <v>2.3798076923076921</v>
      </c>
      <c r="Z163">
        <f>IFERROR(INDEX('2024_25'!$M:$M,MATCH($A163,'2024_25'!$A:$A,0))/INDEX('2024_25'!$G:$G,MATCH($A163,'2024_25'!$A:$A,0))*90,"")</f>
        <v>4.5979186376537369</v>
      </c>
      <c r="AA163">
        <f>IFERROR(INDEX('2025_26'!$M:$M,MATCH($A163,'2025_26'!$A:$A,0))/INDEX('2025_26'!$G:$G,MATCH($A163,'2025_26'!$A:$A,0))*90,"")</f>
        <v>5.2887072049054673</v>
      </c>
      <c r="AB163">
        <f>IFERROR(SUMPRODUCT(S163:U163,{0.2,0.3,0.5})/SUMPRODUCT(--(S163:U163&lt;&gt;""),{0.2,0.3,0.5}),"")</f>
        <v>4.8389720142736993E-2</v>
      </c>
      <c r="AC163">
        <f>IFERROR(SUMPRODUCT(V163:X163,{0.2,0.3,0.5})/SUMPRODUCT(--(V163:X163&lt;&gt;""),{0.2,0.3,0.5}),"")</f>
        <v>0.16180375842791625</v>
      </c>
      <c r="AD163">
        <f>IFERROR(SUMPRODUCT(Y163:AA163,{0.2,0.3,0.5})/SUMPRODUCT((Y163:AA163&lt;&gt;"")*{0.2,0.3,0.5}),O163)</f>
        <v>4.499690732210393</v>
      </c>
      <c r="AE163">
        <f t="shared" si="57"/>
        <v>3</v>
      </c>
      <c r="AF163">
        <f t="shared" si="58"/>
        <v>101</v>
      </c>
      <c r="AG163">
        <f t="shared" si="59"/>
        <v>6.6807308579960756E-2</v>
      </c>
      <c r="AH163">
        <f t="shared" si="60"/>
        <v>8.8855894419785975E-2</v>
      </c>
      <c r="AI163" s="2">
        <f t="shared" si="61"/>
        <v>2.0698989725220618</v>
      </c>
      <c r="AJ163">
        <f t="shared" si="62"/>
        <v>0.67333333333333334</v>
      </c>
      <c r="AK163" t="str">
        <f t="shared" si="63"/>
        <v>NO</v>
      </c>
      <c r="AL163">
        <f t="shared" si="64"/>
        <v>5.9531265071252157E-2</v>
      </c>
      <c r="AM163">
        <f t="shared" si="65"/>
        <v>7.9178519780007298E-2</v>
      </c>
      <c r="AN163">
        <f t="shared" si="66"/>
        <v>5.9531265071252157E-2</v>
      </c>
      <c r="AO163">
        <f t="shared" si="67"/>
        <v>7.9178519780007298E-2</v>
      </c>
      <c r="AP163">
        <f t="array" ref="AP163">AL163*IF($C163="GKP",10,IF($C163="DEF",6,IF($C163="MID",5,4)))</f>
        <v>0.35718759042751291</v>
      </c>
      <c r="AQ163">
        <f t="shared" si="68"/>
        <v>0.23753555934002191</v>
      </c>
      <c r="AR163">
        <f t="shared" si="69"/>
        <v>1.7821782178217822</v>
      </c>
      <c r="AS163" s="2">
        <f>IF($H163=0,0,Player_Analysis!$AM163*$H163/90)</f>
        <v>0</v>
      </c>
      <c r="AT163">
        <f t="shared" si="70"/>
        <v>0.71463582001764536</v>
      </c>
      <c r="AU163" s="2">
        <f>0</f>
        <v>0</v>
      </c>
      <c r="AV163" s="2">
        <f>IF(INDEX(FPL_Raw_Data!K:K,MATCH(A163,FPL_Raw_Data!AA:AA,0))=0,"",INDEX(FPL_Raw_Data!P:P,MATCH(A163,FPL_Raw_Data!AA:AA,0))/INDEX(FPL_Raw_Data!K:K,MATCH(A163,FPL_Raw_Data!AA:AA,0))*90)</f>
        <v>0</v>
      </c>
      <c r="AW163" s="2">
        <f t="shared" si="71"/>
        <v>0</v>
      </c>
      <c r="AX163" s="2">
        <f>IFERROR(INDEX(TEAM_ANALYSIS!$H$2:$H$21,MATCH($B163,TEAM_ANALYSIS!$A$2:$A$21,0)),0)</f>
        <v>2.3333333333333335</v>
      </c>
      <c r="AY163" s="2">
        <f t="shared" si="72"/>
        <v>-1.1666666666666667</v>
      </c>
      <c r="AZ163" s="2">
        <f t="shared" si="73"/>
        <v>1.9248705209402954</v>
      </c>
      <c r="BA163">
        <f t="shared" si="74"/>
        <v>0.35645750387783248</v>
      </c>
      <c r="BB163">
        <f>IFERROR(Player_Analysis!$Y163,1)</f>
        <v>0.86574712643678164</v>
      </c>
      <c r="BC163">
        <f t="shared" si="75"/>
        <v>1.6664511222669316</v>
      </c>
      <c r="BD163">
        <f t="shared" si="76"/>
        <v>0.59401900737768309</v>
      </c>
      <c r="BE163">
        <f t="shared" si="77"/>
        <v>1.6664511222669316</v>
      </c>
      <c r="BF163">
        <f t="shared" si="78"/>
        <v>250</v>
      </c>
      <c r="BG163">
        <f>IF($BE163="","",COUNTIFS($C$2:$C$596,$C163,$BE$2:$BE$596,"&gt;"&amp;$BE163)+COUNTIFS($C$2:$C163,$C163,$BE$2:$BE163,$BE163))</f>
        <v>94</v>
      </c>
    </row>
    <row r="164" spans="1:59" x14ac:dyDescent="0.25">
      <c r="A164" t="str">
        <f>Player_Analysis!A164</f>
        <v>Trevoh Chalobah</v>
      </c>
      <c r="B164">
        <f>Player_Analysis!C164</f>
        <v>6</v>
      </c>
      <c r="C164" t="str">
        <f>Player_Analysis!B164</f>
        <v>DEF</v>
      </c>
      <c r="D164" s="13">
        <f>Player_Analysis!E164</f>
        <v>5.5</v>
      </c>
      <c r="E164">
        <f>Player_Analysis!I164</f>
        <v>0</v>
      </c>
      <c r="F164" s="8">
        <f>Player_Analysis!Z164</f>
        <v>0</v>
      </c>
      <c r="G164" s="17">
        <f t="shared" si="53"/>
        <v>0</v>
      </c>
      <c r="H164">
        <f t="shared" si="54"/>
        <v>0</v>
      </c>
      <c r="I164" s="8">
        <f>Player_Analysis!AF164</f>
        <v>0</v>
      </c>
      <c r="J164" s="8">
        <f>Player_Analysis!AG164</f>
        <v>0</v>
      </c>
      <c r="K164">
        <f>Player_Analysis!O164</f>
        <v>0</v>
      </c>
      <c r="L164">
        <f>Player_Analysis!P164</f>
        <v>0</v>
      </c>
      <c r="M164" t="str">
        <f t="shared" si="55"/>
        <v/>
      </c>
      <c r="N164" t="str">
        <f t="shared" si="56"/>
        <v/>
      </c>
      <c r="O164" s="2" t="str">
        <f>IF(E164=0,"",Player_Analysis!L164/E164*90)</f>
        <v/>
      </c>
      <c r="P164" t="str">
        <f>IF(E164=0,"",Player_Analysis!Q164/E164*90)</f>
        <v/>
      </c>
      <c r="Q164" t="str">
        <f>IF(E164=0,"",(Player_Analysis!AD164/E164)*90)</f>
        <v/>
      </c>
      <c r="R164" t="str">
        <f>IF(E164=0,"",Player_Analysis!AA164/E164*90)</f>
        <v/>
      </c>
      <c r="S164">
        <f t="array" ref="S164">IFERROR(INDEX('2023_24'!$O:$O,MATCH($A164,'2023_24'!$A:$A,0)),"")</f>
        <v>1.8967334035827187E-2</v>
      </c>
      <c r="T164">
        <f>IFERROR(INDEX('2024_25'!$P:$P,MATCH($A164,'2024_25'!$A:$A,0)),"")</f>
        <v>9.0502793296089387E-2</v>
      </c>
      <c r="U164">
        <f>IFERROR(INDEX('2025_26'!$P:$P,MATCH($A164,'2025_26'!$A:$A,0)),"")</f>
        <v>4.6618705035971222E-2</v>
      </c>
      <c r="V164">
        <f>IFERROR(INDEX('2023_24'!$P:$P,MATCH($A164,'2023_24'!$A:$A,0)),"")</f>
        <v>1.517386722866175E-2</v>
      </c>
      <c r="W164">
        <f>IFERROR(INDEX('2024_25'!$Q:$Q,MATCH($A164,'2024_25'!$A:$A,0)),"")</f>
        <v>2.9253428136109701E-2</v>
      </c>
      <c r="X164">
        <f>IFERROR(INDEX('2025_26'!$Q:$Q,MATCH($A164,'2025_26'!$A:$A,0)),"")</f>
        <v>3.3345323741007196E-2</v>
      </c>
      <c r="Y164">
        <f>IFERROR(INDEX('2023_24'!$M:$M,MATCH($A164,'2023_24'!$A:$A,0))/INDEX('2023_24'!$G:$G,MATCH($A164,'2023_24'!$A:$A,0))*90,"")</f>
        <v>3.6986301369863011</v>
      </c>
      <c r="Z164">
        <f>IFERROR(INDEX('2024_25'!$M:$M,MATCH($A164,'2024_25'!$A:$A,0))/INDEX('2024_25'!$G:$G,MATCH($A164,'2024_25'!$A:$A,0))*90,"")</f>
        <v>4.2508887760284413</v>
      </c>
      <c r="AA164">
        <f>IFERROR(INDEX('2025_26'!$M:$M,MATCH($A164,'2025_26'!$A:$A,0))/INDEX('2025_26'!$G:$G,MATCH($A164,'2025_26'!$A:$A,0))*90,"")</f>
        <v>4.4028776978417268</v>
      </c>
      <c r="AB164">
        <f>IFERROR(SUMPRODUCT(S164:U164,{0.2,0.3,0.5})/SUMPRODUCT(--(S164:U164&lt;&gt;""),{0.2,0.3,0.5}),"")</f>
        <v>5.4253657313977868E-2</v>
      </c>
      <c r="AC164">
        <f>IFERROR(SUMPRODUCT(V164:X164,{0.2,0.3,0.5})/SUMPRODUCT(--(V164:X164&lt;&gt;""),{0.2,0.3,0.5}),"")</f>
        <v>2.848346375706886E-2</v>
      </c>
      <c r="AD164">
        <f>IFERROR(SUMPRODUCT(Y164:AA164,{0.2,0.3,0.5})/SUMPRODUCT((Y164:AA164&lt;&gt;"")*{0.2,0.3,0.5}),O164)</f>
        <v>4.2164315091266555</v>
      </c>
      <c r="AE164">
        <f t="shared" si="57"/>
        <v>3</v>
      </c>
      <c r="AF164" t="str">
        <f t="shared" si="58"/>
        <v/>
      </c>
      <c r="AG164">
        <f t="shared" si="59"/>
        <v>5.4253657313977868E-2</v>
      </c>
      <c r="AH164">
        <f t="shared" si="60"/>
        <v>2.848346375706886E-2</v>
      </c>
      <c r="AI164" s="2">
        <f t="shared" si="61"/>
        <v>4.2164315091266555</v>
      </c>
      <c r="AJ164">
        <f t="shared" si="62"/>
        <v>0</v>
      </c>
      <c r="AK164" t="str">
        <f t="shared" si="63"/>
        <v>NO</v>
      </c>
      <c r="AL164">
        <f t="shared" si="64"/>
        <v>0</v>
      </c>
      <c r="AM164">
        <f t="shared" si="65"/>
        <v>0</v>
      </c>
      <c r="AN164">
        <f t="shared" si="66"/>
        <v>0</v>
      </c>
      <c r="AO164">
        <f t="shared" si="67"/>
        <v>0</v>
      </c>
      <c r="AP164">
        <f t="array" ref="AP164">AL164*IF($C164="GKP",10,IF($C164="DEF",6,IF($C164="MID",5,4)))</f>
        <v>0</v>
      </c>
      <c r="AQ164">
        <f t="shared" si="68"/>
        <v>0</v>
      </c>
      <c r="AR164">
        <f t="shared" si="69"/>
        <v>0</v>
      </c>
      <c r="AS164" s="2">
        <f>IF($H164=0,0,Player_Analysis!$AM164*$H164/90)</f>
        <v>0</v>
      </c>
      <c r="AT164">
        <f t="shared" si="70"/>
        <v>0</v>
      </c>
      <c r="AU164" s="2">
        <f>0</f>
        <v>0</v>
      </c>
      <c r="AV164" s="2" t="str">
        <f>IF(INDEX(FPL_Raw_Data!K:K,MATCH(A164,FPL_Raw_Data!AA:AA,0))=0,"",INDEX(FPL_Raw_Data!P:P,MATCH(A164,FPL_Raw_Data!AA:AA,0))/INDEX(FPL_Raw_Data!K:K,MATCH(A164,FPL_Raw_Data!AA:AA,0))*90)</f>
        <v/>
      </c>
      <c r="AW164" s="2">
        <f t="shared" si="71"/>
        <v>0</v>
      </c>
      <c r="AX164" s="2">
        <f>IFERROR(INDEX(TEAM_ANALYSIS!$H$2:$H$21,MATCH($B164,TEAM_ANALYSIS!$A$2:$A$21,0)),0)</f>
        <v>2.3333333333333335</v>
      </c>
      <c r="AY164" s="2">
        <f t="shared" si="72"/>
        <v>-1.1666666666666667</v>
      </c>
      <c r="AZ164" s="2">
        <f t="shared" si="73"/>
        <v>-1.1666666666666667</v>
      </c>
      <c r="BA164">
        <f t="shared" si="74"/>
        <v>-0.21212121212121213</v>
      </c>
      <c r="BB164">
        <f>IFERROR(Player_Analysis!$Y164,1)</f>
        <v>0.86574712643678164</v>
      </c>
      <c r="BC164">
        <f t="shared" si="75"/>
        <v>-1.0100383141762452</v>
      </c>
      <c r="BD164">
        <f t="shared" si="76"/>
        <v>0.21425055149193081</v>
      </c>
      <c r="BE164">
        <f t="shared" si="77"/>
        <v>-1.0100383141762452</v>
      </c>
      <c r="BF164">
        <f t="shared" si="78"/>
        <v>581</v>
      </c>
      <c r="BG164">
        <f>IF($BE164="","",COUNTIFS($C$2:$C$596,$C164,$BE$2:$BE$596,"&gt;"&amp;$BE164)+COUNTIFS($C$2:$C164,$C164,$BE$2:$BE164,$BE164))</f>
        <v>178</v>
      </c>
    </row>
    <row r="165" spans="1:59" x14ac:dyDescent="0.25">
      <c r="A165" t="str">
        <f>Player_Analysis!A165</f>
        <v>Malo Gusto</v>
      </c>
      <c r="B165">
        <f>Player_Analysis!C165</f>
        <v>6</v>
      </c>
      <c r="C165" t="str">
        <f>Player_Analysis!B165</f>
        <v>DEF</v>
      </c>
      <c r="D165" s="13">
        <f>Player_Analysis!E165</f>
        <v>5</v>
      </c>
      <c r="E165">
        <f>Player_Analysis!I165</f>
        <v>195</v>
      </c>
      <c r="F165" s="8">
        <f>Player_Analysis!Z165</f>
        <v>2</v>
      </c>
      <c r="G165" s="17">
        <f t="shared" si="53"/>
        <v>0.92307692307692313</v>
      </c>
      <c r="H165">
        <f t="shared" si="54"/>
        <v>83.07692307692308</v>
      </c>
      <c r="I165" s="8">
        <f>Player_Analysis!AF165</f>
        <v>0</v>
      </c>
      <c r="J165" s="8">
        <f>Player_Analysis!AG165</f>
        <v>0</v>
      </c>
      <c r="K165">
        <f>Player_Analysis!O165</f>
        <v>0.04</v>
      </c>
      <c r="L165">
        <f>Player_Analysis!P165</f>
        <v>0.05</v>
      </c>
      <c r="M165">
        <f t="shared" si="55"/>
        <v>1.8461538461538463E-2</v>
      </c>
      <c r="N165">
        <f t="shared" si="56"/>
        <v>2.3076923076923078E-2</v>
      </c>
      <c r="O165" s="2">
        <f>IF(E165=0,"",Player_Analysis!L165/E165*90)</f>
        <v>1.3846153846153846</v>
      </c>
      <c r="P165">
        <f>IF(E165=0,"",Player_Analysis!Q165/E165*90)</f>
        <v>4.1538461538461538E-2</v>
      </c>
      <c r="Q165">
        <f>IF(E165=0,"",(Player_Analysis!AD165/E165)*90)</f>
        <v>2.3076923076923075</v>
      </c>
      <c r="R165">
        <f>IF(E165=0,"",Player_Analysis!AA165/E165*90)</f>
        <v>4.615384615384615</v>
      </c>
      <c r="S165">
        <f t="array" ref="S165">IFERROR(INDEX('2023_24'!$O:$O,MATCH($A165,'2023_24'!$A:$A,0)),"")</f>
        <v>5.2061855670103088E-2</v>
      </c>
      <c r="T165">
        <f>IFERROR(INDEX('2024_25'!$P:$P,MATCH($A165,'2024_25'!$A:$A,0)),"")</f>
        <v>6.9940636805180784E-2</v>
      </c>
      <c r="U165">
        <f>IFERROR(INDEX('2025_26'!$P:$P,MATCH($A165,'2025_26'!$A:$A,0)),"")</f>
        <v>6.2261640798226166E-2</v>
      </c>
      <c r="V165">
        <f>IFERROR(INDEX('2023_24'!$P:$P,MATCH($A165,'2023_24'!$A:$A,0)),"")</f>
        <v>0.17474226804123713</v>
      </c>
      <c r="W165">
        <f>IFERROR(INDEX('2024_25'!$Q:$Q,MATCH($A165,'2024_25'!$A:$A,0)),"")</f>
        <v>9.2768483540205074E-2</v>
      </c>
      <c r="X165">
        <f>IFERROR(INDEX('2025_26'!$Q:$Q,MATCH($A165,'2025_26'!$A:$A,0)),"")</f>
        <v>0.11853658536585367</v>
      </c>
      <c r="Y165">
        <f>IFERROR(INDEX('2023_24'!$M:$M,MATCH($A165,'2023_24'!$A:$A,0))/INDEX('2023_24'!$G:$G,MATCH($A165,'2023_24'!$A:$A,0))*90,"")</f>
        <v>3.8144329896907219</v>
      </c>
      <c r="Z165">
        <f>IFERROR(INDEX('2024_25'!$M:$M,MATCH($A165,'2024_25'!$A:$A,0))/INDEX('2024_25'!$G:$G,MATCH($A165,'2024_25'!$A:$A,0))*90,"")</f>
        <v>2.9141932002158661</v>
      </c>
      <c r="AA165">
        <f>IFERROR(INDEX('2025_26'!$M:$M,MATCH($A165,'2025_26'!$A:$A,0))/INDEX('2025_26'!$G:$G,MATCH($A165,'2025_26'!$A:$A,0))*90,"")</f>
        <v>3.8314855875831486</v>
      </c>
      <c r="AB165">
        <f>IFERROR(SUMPRODUCT(S165:U165,{0.2,0.3,0.5})/SUMPRODUCT(--(S165:U165&lt;&gt;""),{0.2,0.3,0.5}),"")</f>
        <v>6.2525382574687927E-2</v>
      </c>
      <c r="AC165">
        <f>IFERROR(SUMPRODUCT(V165:X165,{0.2,0.3,0.5})/SUMPRODUCT(--(V165:X165&lt;&gt;""),{0.2,0.3,0.5}),"")</f>
        <v>0.12204729135323578</v>
      </c>
      <c r="AD165">
        <f>IFERROR(SUMPRODUCT(Y165:AA165,{0.2,0.3,0.5})/SUMPRODUCT((Y165:AA165&lt;&gt;"")*{0.2,0.3,0.5}),O165)</f>
        <v>3.5528873517944786</v>
      </c>
      <c r="AE165">
        <f t="shared" si="57"/>
        <v>3</v>
      </c>
      <c r="AF165">
        <f t="shared" si="58"/>
        <v>97.5</v>
      </c>
      <c r="AG165">
        <f t="shared" si="59"/>
        <v>3.3883883901140777E-2</v>
      </c>
      <c r="AH165">
        <f t="shared" si="60"/>
        <v>5.771655197363252E-2</v>
      </c>
      <c r="AI165" s="2">
        <f t="shared" si="61"/>
        <v>2.1435105731280673</v>
      </c>
      <c r="AJ165">
        <f t="shared" si="62"/>
        <v>0.65</v>
      </c>
      <c r="AK165" t="str">
        <f t="shared" si="63"/>
        <v>NO</v>
      </c>
      <c r="AL165">
        <f t="shared" si="64"/>
        <v>3.1277431293360719E-2</v>
      </c>
      <c r="AM165">
        <f t="shared" si="65"/>
        <v>5.3276817206430023E-2</v>
      </c>
      <c r="AN165">
        <f t="shared" si="66"/>
        <v>3.1277431293360719E-2</v>
      </c>
      <c r="AO165">
        <f t="shared" si="67"/>
        <v>5.3276817206430023E-2</v>
      </c>
      <c r="AP165">
        <f t="array" ref="AP165">AL165*IF($C165="GKP",10,IF($C165="DEF",6,IF($C165="MID",5,4)))</f>
        <v>0.18766458776016431</v>
      </c>
      <c r="AQ165">
        <f t="shared" si="68"/>
        <v>0.15983045161929008</v>
      </c>
      <c r="AR165">
        <f t="shared" si="69"/>
        <v>1.8461538461538463</v>
      </c>
      <c r="AS165" s="2">
        <f>IF($H165=0,0,Player_Analysis!$AM165*$H165/90)</f>
        <v>0</v>
      </c>
      <c r="AT165">
        <f t="shared" si="70"/>
        <v>0.85207100591715967</v>
      </c>
      <c r="AU165" s="2">
        <f>0</f>
        <v>0</v>
      </c>
      <c r="AV165" s="2">
        <f>IF(INDEX(FPL_Raw_Data!K:K,MATCH(A165,FPL_Raw_Data!AA:AA,0))=0,"",INDEX(FPL_Raw_Data!P:P,MATCH(A165,FPL_Raw_Data!AA:AA,0))/INDEX(FPL_Raw_Data!K:K,MATCH(A165,FPL_Raw_Data!AA:AA,0))*90)</f>
        <v>0</v>
      </c>
      <c r="AW165" s="2">
        <f t="shared" si="71"/>
        <v>0</v>
      </c>
      <c r="AX165" s="2">
        <f>IFERROR(INDEX(TEAM_ANALYSIS!$H$2:$H$21,MATCH($B165,TEAM_ANALYSIS!$A$2:$A$21,0)),0)</f>
        <v>2.3333333333333335</v>
      </c>
      <c r="AY165" s="2">
        <f t="shared" si="72"/>
        <v>-1.1666666666666667</v>
      </c>
      <c r="AZ165" s="2">
        <f t="shared" si="73"/>
        <v>1.8790532247837934</v>
      </c>
      <c r="BA165">
        <f t="shared" si="74"/>
        <v>0.3758106449567587</v>
      </c>
      <c r="BB165">
        <f>IFERROR(Player_Analysis!$Y165,1)</f>
        <v>0.86574712643678164</v>
      </c>
      <c r="BC165">
        <f t="shared" si="75"/>
        <v>1.626784929778337</v>
      </c>
      <c r="BD165">
        <f t="shared" si="76"/>
        <v>0.61136309366593222</v>
      </c>
      <c r="BE165">
        <f t="shared" si="77"/>
        <v>1.626784929778337</v>
      </c>
      <c r="BF165">
        <f t="shared" si="78"/>
        <v>251</v>
      </c>
      <c r="BG165">
        <f>IF($BE165="","",COUNTIFS($C$2:$C$596,$C165,$BE$2:$BE$596,"&gt;"&amp;$BE165)+COUNTIFS($C$2:$C165,$C165,$BE$2:$BE165,$BE165))</f>
        <v>95</v>
      </c>
    </row>
    <row r="166" spans="1:59" x14ac:dyDescent="0.25">
      <c r="A166" t="str">
        <f>Player_Analysis!A166</f>
        <v>Wesley Fofana</v>
      </c>
      <c r="B166">
        <f>Player_Analysis!C166</f>
        <v>6</v>
      </c>
      <c r="C166" t="str">
        <f>Player_Analysis!B166</f>
        <v>DEF</v>
      </c>
      <c r="D166" s="13">
        <f>Player_Analysis!E166</f>
        <v>5</v>
      </c>
      <c r="E166">
        <f>Player_Analysis!I166</f>
        <v>157</v>
      </c>
      <c r="F166" s="8">
        <f>Player_Analysis!Z166</f>
        <v>2</v>
      </c>
      <c r="G166" s="17">
        <f t="shared" si="53"/>
        <v>1</v>
      </c>
      <c r="H166">
        <f t="shared" si="54"/>
        <v>90</v>
      </c>
      <c r="I166" s="8">
        <f>Player_Analysis!AF166</f>
        <v>0</v>
      </c>
      <c r="J166" s="8">
        <f>Player_Analysis!AG166</f>
        <v>0</v>
      </c>
      <c r="K166">
        <f>Player_Analysis!O166</f>
        <v>0</v>
      </c>
      <c r="L166">
        <f>Player_Analysis!P166</f>
        <v>0.05</v>
      </c>
      <c r="M166">
        <f t="shared" si="55"/>
        <v>0</v>
      </c>
      <c r="N166">
        <f t="shared" si="56"/>
        <v>2.8662420382165609E-2</v>
      </c>
      <c r="O166" s="2">
        <f>IF(E166=0,"",Player_Analysis!L166/E166*90)</f>
        <v>1.7197452229299361</v>
      </c>
      <c r="P166">
        <f>IF(E166=0,"",Player_Analysis!Q166/E166*90)</f>
        <v>2.8662420382165609E-2</v>
      </c>
      <c r="Q166">
        <f>IF(E166=0,"",(Player_Analysis!AD166/E166)*90)</f>
        <v>8.0254777070063685</v>
      </c>
      <c r="R166">
        <f>IF(E166=0,"",Player_Analysis!AA166/E166*90)</f>
        <v>14.904458598726114</v>
      </c>
      <c r="S166">
        <f t="array" ref="S166">IFERROR(INDEX('2023_24'!$O:$O,MATCH($A166,'2023_24'!$A:$A,0)),"")</f>
        <v>0</v>
      </c>
      <c r="T166">
        <f>IFERROR(INDEX('2024_25'!$P:$P,MATCH($A166,'2024_25'!$A:$A,0)),"")</f>
        <v>3.3788395904436858E-2</v>
      </c>
      <c r="U166">
        <f>IFERROR(INDEX('2025_26'!$P:$P,MATCH($A166,'2025_26'!$A:$A,0)),"")</f>
        <v>3.7718277066356228E-2</v>
      </c>
      <c r="V166">
        <f>IFERROR(INDEX('2023_24'!$P:$P,MATCH($A166,'2023_24'!$A:$A,0)),"")</f>
        <v>0</v>
      </c>
      <c r="W166">
        <f>IFERROR(INDEX('2024_25'!$Q:$Q,MATCH($A166,'2024_25'!$A:$A,0)),"")</f>
        <v>1.3822525597269625E-2</v>
      </c>
      <c r="X166">
        <f>IFERROR(INDEX('2025_26'!$Q:$Q,MATCH($A166,'2025_26'!$A:$A,0)),"")</f>
        <v>3.1431897555296857E-2</v>
      </c>
      <c r="Y166" t="str">
        <f>IFERROR(INDEX('2023_24'!$M:$M,MATCH($A166,'2023_24'!$A:$A,0))/INDEX('2023_24'!$G:$G,MATCH($A166,'2023_24'!$A:$A,0))*90,"")</f>
        <v/>
      </c>
      <c r="Z166">
        <f>IFERROR(INDEX('2024_25'!$M:$M,MATCH($A166,'2024_25'!$A:$A,0))/INDEX('2024_25'!$G:$G,MATCH($A166,'2024_25'!$A:$A,0))*90,"")</f>
        <v>1.9965870307167235</v>
      </c>
      <c r="AA166">
        <f>IFERROR(INDEX('2025_26'!$M:$M,MATCH($A166,'2025_26'!$A:$A,0))/INDEX('2025_26'!$G:$G,MATCH($A166,'2025_26'!$A:$A,0))*90,"")</f>
        <v>3.4051222351571595</v>
      </c>
      <c r="AB166">
        <f>IFERROR(SUMPRODUCT(S166:U166,{0.2,0.3,0.5})/SUMPRODUCT(--(S166:U166&lt;&gt;""),{0.2,0.3,0.5}),"")</f>
        <v>2.8995657304509169E-2</v>
      </c>
      <c r="AC166">
        <f>IFERROR(SUMPRODUCT(V166:X166,{0.2,0.3,0.5})/SUMPRODUCT(--(V166:X166&lt;&gt;""),{0.2,0.3,0.5}),"")</f>
        <v>1.9862706456829315E-2</v>
      </c>
      <c r="AD166">
        <f>IFERROR(SUMPRODUCT(Y166:AA166,{0.2,0.3,0.5})/SUMPRODUCT((Y166:AA166&lt;&gt;"")*{0.2,0.3,0.5}),O166)</f>
        <v>2.8769215334919962</v>
      </c>
      <c r="AE166">
        <f t="shared" si="57"/>
        <v>3</v>
      </c>
      <c r="AF166">
        <f t="shared" si="58"/>
        <v>78.5</v>
      </c>
      <c r="AG166">
        <f t="shared" si="59"/>
        <v>1.382126331514937E-2</v>
      </c>
      <c r="AH166">
        <f t="shared" si="60"/>
        <v>2.4467890077755308E-2</v>
      </c>
      <c r="AI166" s="2">
        <f t="shared" si="61"/>
        <v>2.2713325976311847</v>
      </c>
      <c r="AJ166">
        <f t="shared" si="62"/>
        <v>0.52333333333333332</v>
      </c>
      <c r="AK166" t="str">
        <f t="shared" si="63"/>
        <v>NO</v>
      </c>
      <c r="AL166">
        <f t="shared" si="64"/>
        <v>1.382126331514937E-2</v>
      </c>
      <c r="AM166">
        <f t="shared" si="65"/>
        <v>2.4467890077755308E-2</v>
      </c>
      <c r="AN166">
        <f t="shared" si="66"/>
        <v>1.382126331514937E-2</v>
      </c>
      <c r="AO166">
        <f t="shared" si="67"/>
        <v>2.4467890077755308E-2</v>
      </c>
      <c r="AP166">
        <f t="array" ref="AP166">AL166*IF($C166="GKP",10,IF($C166="DEF",6,IF($C166="MID",5,4)))</f>
        <v>8.2927579890896219E-2</v>
      </c>
      <c r="AQ166">
        <f t="shared" si="68"/>
        <v>7.3403670233265925E-2</v>
      </c>
      <c r="AR166">
        <f t="shared" si="69"/>
        <v>2</v>
      </c>
      <c r="AS166" s="2">
        <f>IF($H166=0,0,Player_Analysis!$AM166*$H166/90)</f>
        <v>0</v>
      </c>
      <c r="AT166">
        <f t="shared" si="70"/>
        <v>2.9808917197452227</v>
      </c>
      <c r="AU166" s="2">
        <f>0</f>
        <v>0</v>
      </c>
      <c r="AV166" s="2">
        <f>IF(INDEX(FPL_Raw_Data!K:K,MATCH(A166,FPL_Raw_Data!AA:AA,0))=0,"",INDEX(FPL_Raw_Data!P:P,MATCH(A166,FPL_Raw_Data!AA:AA,0))/INDEX(FPL_Raw_Data!K:K,MATCH(A166,FPL_Raw_Data!AA:AA,0))*90)</f>
        <v>0</v>
      </c>
      <c r="AW166" s="2">
        <f t="shared" si="71"/>
        <v>0</v>
      </c>
      <c r="AX166" s="2">
        <f>IFERROR(INDEX(TEAM_ANALYSIS!$H$2:$H$21,MATCH($B166,TEAM_ANALYSIS!$A$2:$A$21,0)),0)</f>
        <v>2.3333333333333335</v>
      </c>
      <c r="AY166" s="2">
        <f t="shared" si="72"/>
        <v>-1.1666666666666667</v>
      </c>
      <c r="AZ166" s="2">
        <f t="shared" si="73"/>
        <v>3.9705563032027174</v>
      </c>
      <c r="BA166">
        <f t="shared" si="74"/>
        <v>0.79411126064054349</v>
      </c>
      <c r="BB166">
        <f>IFERROR(Player_Analysis!$Y166,1)</f>
        <v>0.86574712643678164</v>
      </c>
      <c r="BC166">
        <f t="shared" si="75"/>
        <v>3.4374977098532034</v>
      </c>
      <c r="BD166">
        <f t="shared" si="76"/>
        <v>2.7297556398205085</v>
      </c>
      <c r="BE166">
        <f t="shared" si="77"/>
        <v>3.4374977098532034</v>
      </c>
      <c r="BF166">
        <f t="shared" si="78"/>
        <v>182</v>
      </c>
      <c r="BG166">
        <f>IF($BE166="","",COUNTIFS($C$2:$C$596,$C166,$BE$2:$BE$596,"&gt;"&amp;$BE166)+COUNTIFS($C$2:$C166,$C166,$BE$2:$BE166,$BE166))</f>
        <v>59</v>
      </c>
    </row>
    <row r="167" spans="1:59" x14ac:dyDescent="0.25">
      <c r="A167" t="str">
        <f>Player_Analysis!A167</f>
        <v>Benoît Badiashile Mukinayi</v>
      </c>
      <c r="B167">
        <f>Player_Analysis!C167</f>
        <v>6</v>
      </c>
      <c r="C167" t="str">
        <f>Player_Analysis!B167</f>
        <v>DEF</v>
      </c>
      <c r="D167" s="13">
        <f>Player_Analysis!E167</f>
        <v>4.5</v>
      </c>
      <c r="E167">
        <f>Player_Analysis!I167</f>
        <v>0</v>
      </c>
      <c r="F167" s="8">
        <f>Player_Analysis!Z167</f>
        <v>0</v>
      </c>
      <c r="G167" s="17">
        <f t="shared" si="53"/>
        <v>0</v>
      </c>
      <c r="H167">
        <f t="shared" si="54"/>
        <v>0</v>
      </c>
      <c r="I167" s="8">
        <f>Player_Analysis!AF167</f>
        <v>0</v>
      </c>
      <c r="J167" s="8">
        <f>Player_Analysis!AG167</f>
        <v>0</v>
      </c>
      <c r="K167">
        <f>Player_Analysis!O167</f>
        <v>0</v>
      </c>
      <c r="L167">
        <f>Player_Analysis!P167</f>
        <v>0</v>
      </c>
      <c r="M167" t="str">
        <f t="shared" si="55"/>
        <v/>
      </c>
      <c r="N167" t="str">
        <f t="shared" si="56"/>
        <v/>
      </c>
      <c r="O167" s="2" t="str">
        <f>IF(E167=0,"",Player_Analysis!L167/E167*90)</f>
        <v/>
      </c>
      <c r="P167" t="str">
        <f>IF(E167=0,"",Player_Analysis!Q167/E167*90)</f>
        <v/>
      </c>
      <c r="Q167" t="str">
        <f>IF(E167=0,"",(Player_Analysis!AD167/E167)*90)</f>
        <v/>
      </c>
      <c r="R167" t="str">
        <f>IF(E167=0,"",Player_Analysis!AA167/E167*90)</f>
        <v/>
      </c>
      <c r="S167" t="str">
        <f t="array" ref="S167">IFERROR(INDEX('2023_24'!$O:$O,MATCH($A167,'2023_24'!$A:$A,0)),"")</f>
        <v/>
      </c>
      <c r="T167" t="str">
        <f>IFERROR(INDEX('2024_25'!$P:$P,MATCH($A167,'2024_25'!$A:$A,0)),"")</f>
        <v/>
      </c>
      <c r="U167">
        <f>IFERROR(INDEX('2025_26'!$P:$P,MATCH($A167,'2025_26'!$A:$A,0)),"")</f>
        <v>0</v>
      </c>
      <c r="V167" t="str">
        <f>IFERROR(INDEX('2023_24'!$P:$P,MATCH($A167,'2023_24'!$A:$A,0)),"")</f>
        <v/>
      </c>
      <c r="W167" t="str">
        <f>IFERROR(INDEX('2024_25'!$Q:$Q,MATCH($A167,'2024_25'!$A:$A,0)),"")</f>
        <v/>
      </c>
      <c r="X167">
        <f>IFERROR(INDEX('2025_26'!$Q:$Q,MATCH($A167,'2025_26'!$A:$A,0)),"")</f>
        <v>1.1489361702127658E-2</v>
      </c>
      <c r="Y167" t="str">
        <f>IFERROR(INDEX('2023_24'!$M:$M,MATCH($A167,'2023_24'!$A:$A,0))/INDEX('2023_24'!$G:$G,MATCH($A167,'2023_24'!$A:$A,0))*90,"")</f>
        <v/>
      </c>
      <c r="Z167" t="str">
        <f>IFERROR(INDEX('2024_25'!$M:$M,MATCH($A167,'2024_25'!$A:$A,0))/INDEX('2024_25'!$G:$G,MATCH($A167,'2024_25'!$A:$A,0))*90,"")</f>
        <v/>
      </c>
      <c r="AA167">
        <f>IFERROR(INDEX('2025_26'!$M:$M,MATCH($A167,'2025_26'!$A:$A,0))/INDEX('2025_26'!$G:$G,MATCH($A167,'2025_26'!$A:$A,0))*90,"")</f>
        <v>1.3404255319148937</v>
      </c>
      <c r="AB167">
        <f>IFERROR(SUMPRODUCT(S167:U167,{0.2,0.3,0.5})/SUMPRODUCT(--(S167:U167&lt;&gt;""),{0.2,0.3,0.5}),"")</f>
        <v>0</v>
      </c>
      <c r="AC167">
        <f>IFERROR(SUMPRODUCT(V167:X167,{0.2,0.3,0.5})/SUMPRODUCT(--(V167:X167&lt;&gt;""),{0.2,0.3,0.5}),"")</f>
        <v>1.1489361702127658E-2</v>
      </c>
      <c r="AD167">
        <f>IFERROR(SUMPRODUCT(Y167:AA167,{0.2,0.3,0.5})/SUMPRODUCT((Y167:AA167&lt;&gt;"")*{0.2,0.3,0.5}),O167)</f>
        <v>1.3404255319148937</v>
      </c>
      <c r="AE167">
        <f t="shared" si="57"/>
        <v>1</v>
      </c>
      <c r="AF167" t="str">
        <f t="shared" si="58"/>
        <v/>
      </c>
      <c r="AG167">
        <f t="shared" si="59"/>
        <v>0</v>
      </c>
      <c r="AH167">
        <f t="shared" si="60"/>
        <v>1.1489361702127658E-2</v>
      </c>
      <c r="AI167" s="2">
        <f t="shared" si="61"/>
        <v>1.3404255319148937</v>
      </c>
      <c r="AJ167">
        <f t="shared" si="62"/>
        <v>0</v>
      </c>
      <c r="AK167" t="str">
        <f t="shared" si="63"/>
        <v>NO</v>
      </c>
      <c r="AL167">
        <f t="shared" si="64"/>
        <v>0</v>
      </c>
      <c r="AM167">
        <f t="shared" si="65"/>
        <v>0</v>
      </c>
      <c r="AN167">
        <f t="shared" si="66"/>
        <v>0</v>
      </c>
      <c r="AO167">
        <f t="shared" si="67"/>
        <v>0</v>
      </c>
      <c r="AP167">
        <f t="array" ref="AP167">AL167*IF($C167="GKP",10,IF($C167="DEF",6,IF($C167="MID",5,4)))</f>
        <v>0</v>
      </c>
      <c r="AQ167">
        <f t="shared" si="68"/>
        <v>0</v>
      </c>
      <c r="AR167">
        <f t="shared" si="69"/>
        <v>0</v>
      </c>
      <c r="AS167" s="2">
        <f>IF($H167=0,0,Player_Analysis!$AM167*$H167/90)</f>
        <v>0</v>
      </c>
      <c r="AT167">
        <f t="shared" si="70"/>
        <v>0</v>
      </c>
      <c r="AU167" s="2">
        <f>0</f>
        <v>0</v>
      </c>
      <c r="AV167" s="2" t="str">
        <f>IF(INDEX(FPL_Raw_Data!K:K,MATCH(A167,FPL_Raw_Data!AA:AA,0))=0,"",INDEX(FPL_Raw_Data!P:P,MATCH(A167,FPL_Raw_Data!AA:AA,0))/INDEX(FPL_Raw_Data!K:K,MATCH(A167,FPL_Raw_Data!AA:AA,0))*90)</f>
        <v/>
      </c>
      <c r="AW167" s="2">
        <f t="shared" si="71"/>
        <v>0</v>
      </c>
      <c r="AX167" s="2">
        <f>IFERROR(INDEX(TEAM_ANALYSIS!$H$2:$H$21,MATCH($B167,TEAM_ANALYSIS!$A$2:$A$21,0)),0)</f>
        <v>2.3333333333333335</v>
      </c>
      <c r="AY167" s="2">
        <f t="shared" si="72"/>
        <v>-1.1666666666666667</v>
      </c>
      <c r="AZ167" s="2">
        <f t="shared" si="73"/>
        <v>-1.1666666666666667</v>
      </c>
      <c r="BA167">
        <f t="shared" si="74"/>
        <v>-0.2592592592592593</v>
      </c>
      <c r="BB167">
        <f>IFERROR(Player_Analysis!$Y167,1)</f>
        <v>0.86574712643678164</v>
      </c>
      <c r="BC167">
        <f t="shared" si="75"/>
        <v>-1.0100383141762452</v>
      </c>
      <c r="BD167">
        <f t="shared" si="76"/>
        <v>0.26186178515680436</v>
      </c>
      <c r="BE167">
        <f t="shared" si="77"/>
        <v>-1.0100383141762452</v>
      </c>
      <c r="BF167">
        <f t="shared" si="78"/>
        <v>581</v>
      </c>
      <c r="BG167">
        <f>IF($BE167="","",COUNTIFS($C$2:$C$596,$C167,$BE$2:$BE$596,"&gt;"&amp;$BE167)+COUNTIFS($C$2:$C167,$C167,$BE$2:$BE167,$BE167))</f>
        <v>179</v>
      </c>
    </row>
    <row r="168" spans="1:59" x14ac:dyDescent="0.25">
      <c r="A168" t="str">
        <f>Player_Analysis!A168</f>
        <v>Jorrel Hato</v>
      </c>
      <c r="B168">
        <f>Player_Analysis!C168</f>
        <v>6</v>
      </c>
      <c r="C168" t="str">
        <f>Player_Analysis!B168</f>
        <v>DEF</v>
      </c>
      <c r="D168" s="13">
        <f>Player_Analysis!E168</f>
        <v>4.5</v>
      </c>
      <c r="E168">
        <f>Player_Analysis!I168</f>
        <v>213</v>
      </c>
      <c r="F168" s="8">
        <f>Player_Analysis!Z168</f>
        <v>3</v>
      </c>
      <c r="G168" s="17">
        <f t="shared" si="53"/>
        <v>1</v>
      </c>
      <c r="H168">
        <f t="shared" si="54"/>
        <v>90</v>
      </c>
      <c r="I168" s="8">
        <f>Player_Analysis!AF168</f>
        <v>0</v>
      </c>
      <c r="J168" s="8">
        <f>Player_Analysis!AG168</f>
        <v>2</v>
      </c>
      <c r="K168">
        <f>Player_Analysis!O168</f>
        <v>0.01</v>
      </c>
      <c r="L168">
        <f>Player_Analysis!P168</f>
        <v>0.11</v>
      </c>
      <c r="M168">
        <f t="shared" si="55"/>
        <v>4.2253521126760568E-3</v>
      </c>
      <c r="N168">
        <f t="shared" si="56"/>
        <v>4.6478873239436613E-2</v>
      </c>
      <c r="O168" s="2">
        <f>IF(E168=0,"",Player_Analysis!L168/E168*90)</f>
        <v>3.380281690140845</v>
      </c>
      <c r="P168">
        <f>IF(E168=0,"",Player_Analysis!Q168/E168*90)</f>
        <v>5.0704225352112678E-2</v>
      </c>
      <c r="Q168">
        <f>IF(E168=0,"",(Player_Analysis!AD168/E168)*90)</f>
        <v>9.295774647887324</v>
      </c>
      <c r="R168">
        <f>IF(E168=0,"",Player_Analysis!AA168/E168*90)</f>
        <v>6.3380281690140849</v>
      </c>
      <c r="S168" t="str">
        <f t="array" ref="S168">IFERROR(INDEX('2023_24'!$O:$O,MATCH($A168,'2023_24'!$A:$A,0)),"")</f>
        <v/>
      </c>
      <c r="T168" t="str">
        <f>IFERROR(INDEX('2024_25'!$P:$P,MATCH($A168,'2024_25'!$A:$A,0)),"")</f>
        <v/>
      </c>
      <c r="U168">
        <f>IFERROR(INDEX('2025_26'!$P:$P,MATCH($A168,'2025_26'!$A:$A,0)),"")</f>
        <v>2.3705004389815626E-2</v>
      </c>
      <c r="V168" t="str">
        <f>IFERROR(INDEX('2023_24'!$P:$P,MATCH($A168,'2023_24'!$A:$A,0)),"")</f>
        <v/>
      </c>
      <c r="W168" t="str">
        <f>IFERROR(INDEX('2024_25'!$Q:$Q,MATCH($A168,'2024_25'!$A:$A,0)),"")</f>
        <v/>
      </c>
      <c r="X168">
        <f>IFERROR(INDEX('2025_26'!$Q:$Q,MATCH($A168,'2025_26'!$A:$A,0)),"")</f>
        <v>4.8200175592625114E-2</v>
      </c>
      <c r="Y168" t="str">
        <f>IFERROR(INDEX('2023_24'!$M:$M,MATCH($A168,'2023_24'!$A:$A,0))/INDEX('2023_24'!$G:$G,MATCH($A168,'2023_24'!$A:$A,0))*90,"")</f>
        <v/>
      </c>
      <c r="Z168" t="str">
        <f>IFERROR(INDEX('2024_25'!$M:$M,MATCH($A168,'2024_25'!$A:$A,0))/INDEX('2024_25'!$G:$G,MATCH($A168,'2024_25'!$A:$A,0))*90,"")</f>
        <v/>
      </c>
      <c r="AA168">
        <f>IFERROR(INDEX('2025_26'!$M:$M,MATCH($A168,'2025_26'!$A:$A,0))/INDEX('2025_26'!$G:$G,MATCH($A168,'2025_26'!$A:$A,0))*90,"")</f>
        <v>1.5013169446883232</v>
      </c>
      <c r="AB168">
        <f>IFERROR(SUMPRODUCT(S168:U168,{0.2,0.3,0.5})/SUMPRODUCT(--(S168:U168&lt;&gt;""),{0.2,0.3,0.5}),"")</f>
        <v>2.3705004389815626E-2</v>
      </c>
      <c r="AC168">
        <f>IFERROR(SUMPRODUCT(V168:X168,{0.2,0.3,0.5})/SUMPRODUCT(--(V168:X168&lt;&gt;""),{0.2,0.3,0.5}),"")</f>
        <v>4.8200175592625114E-2</v>
      </c>
      <c r="AD168">
        <f>IFERROR(SUMPRODUCT(Y168:AA168,{0.2,0.3,0.5})/SUMPRODUCT((Y168:AA168&lt;&gt;"")*{0.2,0.3,0.5}),O168)</f>
        <v>1.5013169446883232</v>
      </c>
      <c r="AE168">
        <f t="shared" si="57"/>
        <v>1</v>
      </c>
      <c r="AF168">
        <f t="shared" si="58"/>
        <v>71</v>
      </c>
      <c r="AG168">
        <f t="shared" si="59"/>
        <v>9.8744512730465327E-3</v>
      </c>
      <c r="AH168">
        <f t="shared" si="60"/>
        <v>4.6978050921861275E-2</v>
      </c>
      <c r="AI168" s="2">
        <f t="shared" si="61"/>
        <v>2.8353819139596137</v>
      </c>
      <c r="AJ168">
        <f t="shared" si="62"/>
        <v>0.71</v>
      </c>
      <c r="AK168" t="str">
        <f t="shared" si="63"/>
        <v>NO</v>
      </c>
      <c r="AL168">
        <f t="shared" si="64"/>
        <v>9.8744512730465327E-3</v>
      </c>
      <c r="AM168">
        <f t="shared" si="65"/>
        <v>4.6978050921861275E-2</v>
      </c>
      <c r="AN168">
        <f t="shared" si="66"/>
        <v>9.8744512730465327E-3</v>
      </c>
      <c r="AO168">
        <f t="shared" si="67"/>
        <v>4.6978050921861275E-2</v>
      </c>
      <c r="AP168">
        <f t="array" ref="AP168">AL168*IF($C168="GKP",10,IF($C168="DEF",6,IF($C168="MID",5,4)))</f>
        <v>5.9246707638279196E-2</v>
      </c>
      <c r="AQ168">
        <f t="shared" si="68"/>
        <v>0.14093415276558383</v>
      </c>
      <c r="AR168">
        <f t="shared" si="69"/>
        <v>2</v>
      </c>
      <c r="AS168" s="2">
        <f>IF($H168=0,0,Player_Analysis!$AM168*$H168/90)</f>
        <v>0</v>
      </c>
      <c r="AT168">
        <f t="shared" si="70"/>
        <v>1.2676056338028172</v>
      </c>
      <c r="AU168" s="2">
        <f>0</f>
        <v>0</v>
      </c>
      <c r="AV168" s="2">
        <f>IF(INDEX(FPL_Raw_Data!K:K,MATCH(A168,FPL_Raw_Data!AA:AA,0))=0,"",INDEX(FPL_Raw_Data!P:P,MATCH(A168,FPL_Raw_Data!AA:AA,0))/INDEX(FPL_Raw_Data!K:K,MATCH(A168,FPL_Raw_Data!AA:AA,0))*90)</f>
        <v>0</v>
      </c>
      <c r="AW168" s="2">
        <f t="shared" si="71"/>
        <v>0</v>
      </c>
      <c r="AX168" s="2">
        <f>IFERROR(INDEX(TEAM_ANALYSIS!$H$2:$H$21,MATCH($B168,TEAM_ANALYSIS!$A$2:$A$21,0)),0)</f>
        <v>2.3333333333333335</v>
      </c>
      <c r="AY168" s="2">
        <f t="shared" si="72"/>
        <v>-1.1666666666666667</v>
      </c>
      <c r="AZ168" s="2">
        <f t="shared" si="73"/>
        <v>2.3011198275400133</v>
      </c>
      <c r="BA168">
        <f t="shared" si="74"/>
        <v>0.51135996167555853</v>
      </c>
      <c r="BB168">
        <f>IFERROR(Player_Analysis!$Y168,1)</f>
        <v>0.86574712643678164</v>
      </c>
      <c r="BC168">
        <f t="shared" si="75"/>
        <v>1.9921878782794691</v>
      </c>
      <c r="BD168">
        <f t="shared" si="76"/>
        <v>1.0187251170875016</v>
      </c>
      <c r="BE168">
        <f t="shared" si="77"/>
        <v>1.9921878782794691</v>
      </c>
      <c r="BF168">
        <f t="shared" si="78"/>
        <v>245</v>
      </c>
      <c r="BG168">
        <f>IF($BE168="","",COUNTIFS($C$2:$C$596,$C168,$BE$2:$BE$596,"&gt;"&amp;$BE168)+COUNTIFS($C$2:$C168,$C168,$BE$2:$BE168,$BE168))</f>
        <v>89</v>
      </c>
    </row>
    <row r="169" spans="1:59" x14ac:dyDescent="0.25">
      <c r="A169" t="str">
        <f>Player_Analysis!A169</f>
        <v>Levi Samuels Colwill</v>
      </c>
      <c r="B169">
        <f>Player_Analysis!C169</f>
        <v>6</v>
      </c>
      <c r="C169" t="str">
        <f>Player_Analysis!B169</f>
        <v>DEF</v>
      </c>
      <c r="D169" s="13">
        <f>Player_Analysis!E169</f>
        <v>4.9000000000000004</v>
      </c>
      <c r="E169">
        <f>Player_Analysis!I169</f>
        <v>161</v>
      </c>
      <c r="F169" s="8">
        <f>Player_Analysis!Z169</f>
        <v>2</v>
      </c>
      <c r="G169" s="17">
        <f t="shared" si="53"/>
        <v>1</v>
      </c>
      <c r="H169">
        <f t="shared" si="54"/>
        <v>90</v>
      </c>
      <c r="I169" s="8">
        <f>Player_Analysis!AF169</f>
        <v>0</v>
      </c>
      <c r="J169" s="8">
        <f>Player_Analysis!AG169</f>
        <v>0</v>
      </c>
      <c r="K169">
        <f>Player_Analysis!O169</f>
        <v>0.01</v>
      </c>
      <c r="L169">
        <f>Player_Analysis!P169</f>
        <v>0.03</v>
      </c>
      <c r="M169">
        <f t="shared" si="55"/>
        <v>5.5900621118012426E-3</v>
      </c>
      <c r="N169">
        <f t="shared" si="56"/>
        <v>1.6770186335403725E-2</v>
      </c>
      <c r="O169" s="2">
        <f>IF(E169=0,"",Player_Analysis!L169/E169*90)</f>
        <v>0.55900621118012417</v>
      </c>
      <c r="P169">
        <f>IF(E169=0,"",Player_Analysis!Q169/E169*90)</f>
        <v>2.236024844720497E-2</v>
      </c>
      <c r="Q169">
        <f>IF(E169=0,"",(Player_Analysis!AD169/E169)*90)</f>
        <v>4.4720496894409933</v>
      </c>
      <c r="R169">
        <f>IF(E169=0,"",Player_Analysis!AA169/E169*90)</f>
        <v>7.2670807453416151</v>
      </c>
      <c r="S169" t="str">
        <f t="array" ref="S169">IFERROR(INDEX('2023_24'!$O:$O,MATCH($A169,'2023_24'!$A:$A,0)),"")</f>
        <v/>
      </c>
      <c r="T169" t="str">
        <f>IFERROR(INDEX('2024_25'!$P:$P,MATCH($A169,'2024_25'!$A:$A,0)),"")</f>
        <v/>
      </c>
      <c r="U169">
        <f>IFERROR(INDEX('2025_26'!$P:$P,MATCH($A169,'2025_26'!$A:$A,0)),"")</f>
        <v>0</v>
      </c>
      <c r="V169" t="str">
        <f>IFERROR(INDEX('2023_24'!$P:$P,MATCH($A169,'2023_24'!$A:$A,0)),"")</f>
        <v/>
      </c>
      <c r="W169" t="str">
        <f>IFERROR(INDEX('2024_25'!$Q:$Q,MATCH($A169,'2024_25'!$A:$A,0)),"")</f>
        <v/>
      </c>
      <c r="X169">
        <f>IFERROR(INDEX('2025_26'!$Q:$Q,MATCH($A169,'2025_26'!$A:$A,0)),"")</f>
        <v>4.8000000000000001E-2</v>
      </c>
      <c r="Y169" t="str">
        <f>IFERROR(INDEX('2023_24'!$M:$M,MATCH($A169,'2023_24'!$A:$A,0))/INDEX('2023_24'!$G:$G,MATCH($A169,'2023_24'!$A:$A,0))*90,"")</f>
        <v/>
      </c>
      <c r="Z169" t="str">
        <f>IFERROR(INDEX('2024_25'!$M:$M,MATCH($A169,'2024_25'!$A:$A,0))/INDEX('2024_25'!$G:$G,MATCH($A169,'2024_25'!$A:$A,0))*90,"")</f>
        <v/>
      </c>
      <c r="AA169">
        <f>IFERROR(INDEX('2025_26'!$M:$M,MATCH($A169,'2025_26'!$A:$A,0))/INDEX('2025_26'!$G:$G,MATCH($A169,'2025_26'!$A:$A,0))*90,"")</f>
        <v>3.2</v>
      </c>
      <c r="AB169">
        <f>IFERROR(SUMPRODUCT(S169:U169,{0.2,0.3,0.5})/SUMPRODUCT(--(S169:U169&lt;&gt;""),{0.2,0.3,0.5}),"")</f>
        <v>0</v>
      </c>
      <c r="AC169">
        <f>IFERROR(SUMPRODUCT(V169:X169,{0.2,0.3,0.5})/SUMPRODUCT(--(V169:X169&lt;&gt;""),{0.2,0.3,0.5}),"")</f>
        <v>4.8000000000000001E-2</v>
      </c>
      <c r="AD169">
        <f>IFERROR(SUMPRODUCT(Y169:AA169,{0.2,0.3,0.5})/SUMPRODUCT((Y169:AA169&lt;&gt;"")*{0.2,0.3,0.5}),O169)</f>
        <v>3.2</v>
      </c>
      <c r="AE169">
        <f t="shared" si="57"/>
        <v>1</v>
      </c>
      <c r="AF169">
        <f t="shared" si="58"/>
        <v>80.5</v>
      </c>
      <c r="AG169">
        <f t="shared" si="59"/>
        <v>3.0000000000000001E-3</v>
      </c>
      <c r="AH169">
        <f t="shared" si="60"/>
        <v>3.124E-2</v>
      </c>
      <c r="AI169" s="2">
        <f t="shared" si="61"/>
        <v>1.7826666666666666</v>
      </c>
      <c r="AJ169">
        <f t="shared" si="62"/>
        <v>0.53666666666666663</v>
      </c>
      <c r="AK169" t="str">
        <f t="shared" si="63"/>
        <v>NO</v>
      </c>
      <c r="AL169">
        <f t="shared" si="64"/>
        <v>3.0000000000000001E-3</v>
      </c>
      <c r="AM169">
        <f t="shared" si="65"/>
        <v>3.1239999999999997E-2</v>
      </c>
      <c r="AN169">
        <f t="shared" si="66"/>
        <v>3.0000000000000001E-3</v>
      </c>
      <c r="AO169">
        <f t="shared" si="67"/>
        <v>3.1239999999999997E-2</v>
      </c>
      <c r="AP169">
        <f t="array" ref="AP169">AL169*IF($C169="GKP",10,IF($C169="DEF",6,IF($C169="MID",5,4)))</f>
        <v>1.8000000000000002E-2</v>
      </c>
      <c r="AQ169">
        <f t="shared" si="68"/>
        <v>9.3719999999999998E-2</v>
      </c>
      <c r="AR169">
        <f t="shared" si="69"/>
        <v>2</v>
      </c>
      <c r="AS169" s="2">
        <f>IF($H169=0,0,Player_Analysis!$AM169*$H169/90)</f>
        <v>0</v>
      </c>
      <c r="AT169">
        <f t="shared" si="70"/>
        <v>1.4534161490683231</v>
      </c>
      <c r="AU169" s="2">
        <f>0</f>
        <v>0</v>
      </c>
      <c r="AV169" s="2">
        <f>IF(INDEX(FPL_Raw_Data!K:K,MATCH(A169,FPL_Raw_Data!AA:AA,0))=0,"",INDEX(FPL_Raw_Data!P:P,MATCH(A169,FPL_Raw_Data!AA:AA,0))/INDEX(FPL_Raw_Data!K:K,MATCH(A169,FPL_Raw_Data!AA:AA,0))*90)</f>
        <v>0</v>
      </c>
      <c r="AW169" s="2">
        <f t="shared" si="71"/>
        <v>0</v>
      </c>
      <c r="AX169" s="2">
        <f>IFERROR(INDEX(TEAM_ANALYSIS!$H$2:$H$21,MATCH($B169,TEAM_ANALYSIS!$A$2:$A$21,0)),0)</f>
        <v>2.3333333333333335</v>
      </c>
      <c r="AY169" s="2">
        <f t="shared" si="72"/>
        <v>-1.1666666666666667</v>
      </c>
      <c r="AZ169" s="2">
        <f t="shared" si="73"/>
        <v>2.3984694824016559</v>
      </c>
      <c r="BA169">
        <f t="shared" si="74"/>
        <v>0.48948356783707259</v>
      </c>
      <c r="BB169">
        <f>IFERROR(Player_Analysis!$Y169,1)</f>
        <v>0.86574712643678164</v>
      </c>
      <c r="BC169">
        <f t="shared" si="75"/>
        <v>2.0764680622355485</v>
      </c>
      <c r="BD169">
        <f t="shared" si="76"/>
        <v>1.0163969956027887</v>
      </c>
      <c r="BE169">
        <f t="shared" si="77"/>
        <v>2.0764680622355485</v>
      </c>
      <c r="BF169">
        <f t="shared" si="78"/>
        <v>241</v>
      </c>
      <c r="BG169">
        <f>IF($BE169="","",COUNTIFS($C$2:$C$596,$C169,$BE$2:$BE$596,"&gt;"&amp;$BE169)+COUNTIFS($C$2:$C169,$C169,$BE$2:$BE169,$BE169))</f>
        <v>86</v>
      </c>
    </row>
    <row r="170" spans="1:59" x14ac:dyDescent="0.25">
      <c r="A170" t="str">
        <f>Player_Analysis!A170</f>
        <v>Mamadou Sarr</v>
      </c>
      <c r="B170">
        <f>Player_Analysis!C170</f>
        <v>6</v>
      </c>
      <c r="C170" t="str">
        <f>Player_Analysis!B170</f>
        <v>DEF</v>
      </c>
      <c r="D170" s="13">
        <f>Player_Analysis!E170</f>
        <v>4.5</v>
      </c>
      <c r="E170">
        <f>Player_Analysis!I170</f>
        <v>0</v>
      </c>
      <c r="F170" s="8">
        <f>Player_Analysis!Z170</f>
        <v>0</v>
      </c>
      <c r="G170" s="17">
        <f t="shared" si="53"/>
        <v>0</v>
      </c>
      <c r="H170">
        <f t="shared" si="54"/>
        <v>0</v>
      </c>
      <c r="I170" s="8">
        <f>Player_Analysis!AF170</f>
        <v>0</v>
      </c>
      <c r="J170" s="8">
        <f>Player_Analysis!AG170</f>
        <v>0</v>
      </c>
      <c r="K170">
        <f>Player_Analysis!O170</f>
        <v>0</v>
      </c>
      <c r="L170">
        <f>Player_Analysis!P170</f>
        <v>0</v>
      </c>
      <c r="M170" t="str">
        <f t="shared" si="55"/>
        <v/>
      </c>
      <c r="N170" t="str">
        <f t="shared" si="56"/>
        <v/>
      </c>
      <c r="O170" s="2" t="str">
        <f>IF(E170=0,"",Player_Analysis!L170/E170*90)</f>
        <v/>
      </c>
      <c r="P170" t="str">
        <f>IF(E170=0,"",Player_Analysis!Q170/E170*90)</f>
        <v/>
      </c>
      <c r="Q170" t="str">
        <f>IF(E170=0,"",(Player_Analysis!AD170/E170)*90)</f>
        <v/>
      </c>
      <c r="R170" t="str">
        <f>IF(E170=0,"",Player_Analysis!AA170/E170*90)</f>
        <v/>
      </c>
      <c r="S170" t="str">
        <f t="array" ref="S170">IFERROR(INDEX('2023_24'!$O:$O,MATCH($A170,'2023_24'!$A:$A,0)),"")</f>
        <v/>
      </c>
      <c r="T170" t="str">
        <f>IFERROR(INDEX('2024_25'!$P:$P,MATCH($A170,'2024_25'!$A:$A,0)),"")</f>
        <v/>
      </c>
      <c r="U170">
        <f>IFERROR(INDEX('2025_26'!$P:$P,MATCH($A170,'2025_26'!$A:$A,0)),"")</f>
        <v>0.31499999999999995</v>
      </c>
      <c r="V170" t="str">
        <f>IFERROR(INDEX('2023_24'!$P:$P,MATCH($A170,'2023_24'!$A:$A,0)),"")</f>
        <v/>
      </c>
      <c r="W170" t="str">
        <f>IFERROR(INDEX('2024_25'!$Q:$Q,MATCH($A170,'2024_25'!$A:$A,0)),"")</f>
        <v/>
      </c>
      <c r="X170">
        <f>IFERROR(INDEX('2025_26'!$Q:$Q,MATCH($A170,'2025_26'!$A:$A,0)),"")</f>
        <v>0</v>
      </c>
      <c r="Y170" t="str">
        <f>IFERROR(INDEX('2023_24'!$M:$M,MATCH($A170,'2023_24'!$A:$A,0))/INDEX('2023_24'!$G:$G,MATCH($A170,'2023_24'!$A:$A,0))*90,"")</f>
        <v/>
      </c>
      <c r="Z170" t="str">
        <f>IFERROR(INDEX('2024_25'!$M:$M,MATCH($A170,'2024_25'!$A:$A,0))/INDEX('2024_25'!$G:$G,MATCH($A170,'2024_25'!$A:$A,0))*90,"")</f>
        <v/>
      </c>
      <c r="AA170">
        <f>IFERROR(INDEX('2025_26'!$M:$M,MATCH($A170,'2025_26'!$A:$A,0))/INDEX('2025_26'!$G:$G,MATCH($A170,'2025_26'!$A:$A,0))*90,"")</f>
        <v>2.6999999999999997</v>
      </c>
      <c r="AB170">
        <f>IFERROR(SUMPRODUCT(S170:U170,{0.2,0.3,0.5})/SUMPRODUCT(--(S170:U170&lt;&gt;""),{0.2,0.3,0.5}),"")</f>
        <v>0.31499999999999995</v>
      </c>
      <c r="AC170">
        <f>IFERROR(SUMPRODUCT(V170:X170,{0.2,0.3,0.5})/SUMPRODUCT(--(V170:X170&lt;&gt;""),{0.2,0.3,0.5}),"")</f>
        <v>0</v>
      </c>
      <c r="AD170">
        <f>IFERROR(SUMPRODUCT(Y170:AA170,{0.2,0.3,0.5})/SUMPRODUCT((Y170:AA170&lt;&gt;"")*{0.2,0.3,0.5}),O170)</f>
        <v>2.6999999999999997</v>
      </c>
      <c r="AE170">
        <f t="shared" si="57"/>
        <v>1</v>
      </c>
      <c r="AF170" t="str">
        <f t="shared" si="58"/>
        <v/>
      </c>
      <c r="AG170">
        <f t="shared" si="59"/>
        <v>0.31499999999999995</v>
      </c>
      <c r="AH170">
        <f t="shared" si="60"/>
        <v>0</v>
      </c>
      <c r="AI170" s="2">
        <f t="shared" si="61"/>
        <v>2.6999999999999997</v>
      </c>
      <c r="AJ170">
        <f t="shared" si="62"/>
        <v>0</v>
      </c>
      <c r="AK170" t="str">
        <f t="shared" si="63"/>
        <v>NO</v>
      </c>
      <c r="AL170">
        <f t="shared" si="64"/>
        <v>0</v>
      </c>
      <c r="AM170">
        <f t="shared" si="65"/>
        <v>0</v>
      </c>
      <c r="AN170">
        <f t="shared" si="66"/>
        <v>0</v>
      </c>
      <c r="AO170">
        <f t="shared" si="67"/>
        <v>0</v>
      </c>
      <c r="AP170">
        <f t="array" ref="AP170">AL170*IF($C170="GKP",10,IF($C170="DEF",6,IF($C170="MID",5,4)))</f>
        <v>0</v>
      </c>
      <c r="AQ170">
        <f t="shared" si="68"/>
        <v>0</v>
      </c>
      <c r="AR170">
        <f t="shared" si="69"/>
        <v>0</v>
      </c>
      <c r="AS170" s="2">
        <f>IF($H170=0,0,Player_Analysis!$AM170*$H170/90)</f>
        <v>0</v>
      </c>
      <c r="AT170">
        <f t="shared" si="70"/>
        <v>0</v>
      </c>
      <c r="AU170" s="2">
        <f>0</f>
        <v>0</v>
      </c>
      <c r="AV170" s="2" t="str">
        <f>IF(INDEX(FPL_Raw_Data!K:K,MATCH(A170,FPL_Raw_Data!AA:AA,0))=0,"",INDEX(FPL_Raw_Data!P:P,MATCH(A170,FPL_Raw_Data!AA:AA,0))/INDEX(FPL_Raw_Data!K:K,MATCH(A170,FPL_Raw_Data!AA:AA,0))*90)</f>
        <v/>
      </c>
      <c r="AW170" s="2">
        <f t="shared" si="71"/>
        <v>0</v>
      </c>
      <c r="AX170" s="2">
        <f>IFERROR(INDEX(TEAM_ANALYSIS!$H$2:$H$21,MATCH($B170,TEAM_ANALYSIS!$A$2:$A$21,0)),0)</f>
        <v>2.3333333333333335</v>
      </c>
      <c r="AY170" s="2">
        <f t="shared" si="72"/>
        <v>-1.1666666666666667</v>
      </c>
      <c r="AZ170" s="2">
        <f t="shared" si="73"/>
        <v>-1.1666666666666667</v>
      </c>
      <c r="BA170">
        <f t="shared" si="74"/>
        <v>-0.2592592592592593</v>
      </c>
      <c r="BB170">
        <f>IFERROR(Player_Analysis!$Y170,1)</f>
        <v>0.86574712643678164</v>
      </c>
      <c r="BC170">
        <f t="shared" si="75"/>
        <v>-1.0100383141762452</v>
      </c>
      <c r="BD170">
        <f t="shared" si="76"/>
        <v>0.26186178515680436</v>
      </c>
      <c r="BE170">
        <f t="shared" si="77"/>
        <v>-1.0100383141762452</v>
      </c>
      <c r="BF170">
        <f t="shared" si="78"/>
        <v>581</v>
      </c>
      <c r="BG170">
        <f>IF($BE170="","",COUNTIFS($C$2:$C$596,$C170,$BE$2:$BE$596,"&gt;"&amp;$BE170)+COUNTIFS($C$2:$C170,$C170,$BE$2:$BE170,$BE170))</f>
        <v>180</v>
      </c>
    </row>
    <row r="171" spans="1:59" x14ac:dyDescent="0.25">
      <c r="A171" t="str">
        <f>Player_Analysis!A171</f>
        <v>Josh Acheampong</v>
      </c>
      <c r="B171">
        <f>Player_Analysis!C171</f>
        <v>6</v>
      </c>
      <c r="C171" t="str">
        <f>Player_Analysis!B171</f>
        <v>DEF</v>
      </c>
      <c r="D171" s="13">
        <f>Player_Analysis!E171</f>
        <v>4.5</v>
      </c>
      <c r="E171">
        <f>Player_Analysis!I171</f>
        <v>202</v>
      </c>
      <c r="F171" s="8">
        <f>Player_Analysis!Z171</f>
        <v>2</v>
      </c>
      <c r="G171" s="17">
        <f t="shared" si="53"/>
        <v>0.8910891089108911</v>
      </c>
      <c r="H171">
        <f t="shared" si="54"/>
        <v>80.198019801980195</v>
      </c>
      <c r="I171" s="8">
        <f>Player_Analysis!AF171</f>
        <v>0</v>
      </c>
      <c r="J171" s="8">
        <f>Player_Analysis!AG171</f>
        <v>0</v>
      </c>
      <c r="K171">
        <f>Player_Analysis!O171</f>
        <v>0</v>
      </c>
      <c r="L171">
        <f>Player_Analysis!P171</f>
        <v>0.02</v>
      </c>
      <c r="M171">
        <f t="shared" si="55"/>
        <v>0</v>
      </c>
      <c r="N171">
        <f t="shared" si="56"/>
        <v>8.9108910891089119E-3</v>
      </c>
      <c r="O171" s="2">
        <f>IF(E171=0,"",Player_Analysis!L171/E171*90)</f>
        <v>2.2277227722772279</v>
      </c>
      <c r="P171">
        <f>IF(E171=0,"",Player_Analysis!Q171/E171*90)</f>
        <v>8.9108910891089119E-3</v>
      </c>
      <c r="Q171">
        <f>IF(E171=0,"",(Player_Analysis!AD171/E171)*90)</f>
        <v>4.0099009900990099</v>
      </c>
      <c r="R171">
        <f>IF(E171=0,"",Player_Analysis!AA171/E171*90)</f>
        <v>8.4653465346534649</v>
      </c>
      <c r="S171">
        <f t="array" ref="S171">IFERROR(INDEX('2023_24'!$O:$O,MATCH($A171,'2023_24'!$A:$A,0)),"")</f>
        <v>0</v>
      </c>
      <c r="T171">
        <f>IFERROR(INDEX('2024_25'!$P:$P,MATCH($A171,'2024_25'!$A:$A,0)),"")</f>
        <v>0.11785714285714285</v>
      </c>
      <c r="U171">
        <f>IFERROR(INDEX('2025_26'!$P:$P,MATCH($A171,'2025_26'!$A:$A,0)),"")</f>
        <v>8.4931506849315067E-2</v>
      </c>
      <c r="V171">
        <f>IFERROR(INDEX('2023_24'!$P:$P,MATCH($A171,'2023_24'!$A:$A,0)),"")</f>
        <v>0</v>
      </c>
      <c r="W171">
        <f>IFERROR(INDEX('2024_25'!$Q:$Q,MATCH($A171,'2024_25'!$A:$A,0)),"")</f>
        <v>5.3571428571428572E-3</v>
      </c>
      <c r="X171">
        <f>IFERROR(INDEX('2025_26'!$Q:$Q,MATCH($A171,'2025_26'!$A:$A,0)),"")</f>
        <v>1.7808219178082191E-2</v>
      </c>
      <c r="Y171">
        <f>IFERROR(INDEX('2023_24'!$M:$M,MATCH($A171,'2023_24'!$A:$A,0))/INDEX('2023_24'!$G:$G,MATCH($A171,'2023_24'!$A:$A,0))*90,"")</f>
        <v>18</v>
      </c>
      <c r="Z171">
        <f>IFERROR(INDEX('2024_25'!$M:$M,MATCH($A171,'2024_25'!$A:$A,0))/INDEX('2024_25'!$G:$G,MATCH($A171,'2024_25'!$A:$A,0))*90,"")</f>
        <v>2.1428571428571428</v>
      </c>
      <c r="AA171">
        <f>IFERROR(INDEX('2025_26'!$M:$M,MATCH($A171,'2025_26'!$A:$A,0))/INDEX('2025_26'!$G:$G,MATCH($A171,'2025_26'!$A:$A,0))*90,"")</f>
        <v>5.3424657534246576</v>
      </c>
      <c r="AB171">
        <f>IFERROR(SUMPRODUCT(S171:U171,{0.2,0.3,0.5})/SUMPRODUCT(--(S171:U171&lt;&gt;""),{0.2,0.3,0.5}),"")</f>
        <v>7.7822896281800391E-2</v>
      </c>
      <c r="AC171">
        <f>IFERROR(SUMPRODUCT(V171:X171,{0.2,0.3,0.5})/SUMPRODUCT(--(V171:X171&lt;&gt;""),{0.2,0.3,0.5}),"")</f>
        <v>1.0511252446183953E-2</v>
      </c>
      <c r="AD171">
        <f>IFERROR(SUMPRODUCT(Y171:AA171,{0.2,0.3,0.5})/SUMPRODUCT((Y171:AA171&lt;&gt;"")*{0.2,0.3,0.5}),O171)</f>
        <v>6.9140900195694712</v>
      </c>
      <c r="AE171">
        <f t="shared" si="57"/>
        <v>3</v>
      </c>
      <c r="AF171">
        <f t="shared" si="58"/>
        <v>101</v>
      </c>
      <c r="AG171">
        <f t="shared" si="59"/>
        <v>2.5422146118721459E-2</v>
      </c>
      <c r="AH171">
        <f t="shared" si="60"/>
        <v>9.4336757990867593E-3</v>
      </c>
      <c r="AI171" s="2">
        <f t="shared" si="61"/>
        <v>3.7586027397260278</v>
      </c>
      <c r="AJ171">
        <f t="shared" si="62"/>
        <v>0.67333333333333334</v>
      </c>
      <c r="AK171" t="str">
        <f t="shared" si="63"/>
        <v>NO</v>
      </c>
      <c r="AL171">
        <f t="shared" si="64"/>
        <v>2.2653397531533972E-2</v>
      </c>
      <c r="AM171">
        <f t="shared" si="65"/>
        <v>8.4062457615624586E-3</v>
      </c>
      <c r="AN171">
        <f t="shared" si="66"/>
        <v>2.2653397531533972E-2</v>
      </c>
      <c r="AO171">
        <f t="shared" si="67"/>
        <v>8.4062457615624586E-3</v>
      </c>
      <c r="AP171">
        <f t="array" ref="AP171">AL171*IF($C171="GKP",10,IF($C171="DEF",6,IF($C171="MID",5,4)))</f>
        <v>0.13592038518920382</v>
      </c>
      <c r="AQ171">
        <f t="shared" si="68"/>
        <v>2.5218737284687376E-2</v>
      </c>
      <c r="AR171">
        <f t="shared" si="69"/>
        <v>1.7821782178217822</v>
      </c>
      <c r="AS171" s="2">
        <f>IF($H171=0,0,Player_Analysis!$AM171*$H171/90)</f>
        <v>0</v>
      </c>
      <c r="AT171">
        <f t="shared" si="70"/>
        <v>1.5086756200372513</v>
      </c>
      <c r="AU171" s="2">
        <f>0</f>
        <v>0</v>
      </c>
      <c r="AV171" s="2">
        <f>IF(INDEX(FPL_Raw_Data!K:K,MATCH(A171,FPL_Raw_Data!AA:AA,0))=0,"",INDEX(FPL_Raw_Data!P:P,MATCH(A171,FPL_Raw_Data!AA:AA,0))/INDEX(FPL_Raw_Data!K:K,MATCH(A171,FPL_Raw_Data!AA:AA,0))*90)</f>
        <v>0</v>
      </c>
      <c r="AW171" s="2">
        <f t="shared" si="71"/>
        <v>0</v>
      </c>
      <c r="AX171" s="2">
        <f>IFERROR(INDEX(TEAM_ANALYSIS!$H$2:$H$21,MATCH($B171,TEAM_ANALYSIS!$A$2:$A$21,0)),0)</f>
        <v>2.3333333333333335</v>
      </c>
      <c r="AY171" s="2">
        <f t="shared" si="72"/>
        <v>-1.1666666666666667</v>
      </c>
      <c r="AZ171" s="2">
        <f t="shared" si="73"/>
        <v>2.2853262936662579</v>
      </c>
      <c r="BA171">
        <f t="shared" si="74"/>
        <v>0.50785028748139061</v>
      </c>
      <c r="BB171">
        <f>IFERROR(Player_Analysis!$Y171,1)</f>
        <v>0.86574712643678164</v>
      </c>
      <c r="BC171">
        <f t="shared" si="75"/>
        <v>1.9785146717119835</v>
      </c>
      <c r="BD171">
        <f t="shared" si="76"/>
        <v>1.0047892448150799</v>
      </c>
      <c r="BE171">
        <f t="shared" si="77"/>
        <v>1.9785146717119835</v>
      </c>
      <c r="BF171">
        <f t="shared" si="78"/>
        <v>246</v>
      </c>
      <c r="BG171">
        <f>IF($BE171="","",COUNTIFS($C$2:$C$596,$C171,$BE$2:$BE$596,"&gt;"&amp;$BE171)+COUNTIFS($C$2:$C171,$C171,$BE$2:$BE171,$BE171))</f>
        <v>90</v>
      </c>
    </row>
    <row r="172" spans="1:59" x14ac:dyDescent="0.25">
      <c r="A172" t="str">
        <f>Player_Analysis!A172</f>
        <v>Marco Palestra</v>
      </c>
      <c r="B172">
        <f>Player_Analysis!C172</f>
        <v>6</v>
      </c>
      <c r="C172" t="str">
        <f>Player_Analysis!B172</f>
        <v>DEF</v>
      </c>
      <c r="D172" s="13">
        <f>Player_Analysis!E172</f>
        <v>5.4</v>
      </c>
      <c r="E172">
        <f>Player_Analysis!I172</f>
        <v>0</v>
      </c>
      <c r="F172" s="8">
        <f>Player_Analysis!Z172</f>
        <v>0</v>
      </c>
      <c r="G172" s="17">
        <f t="shared" si="53"/>
        <v>0</v>
      </c>
      <c r="H172">
        <f t="shared" si="54"/>
        <v>0</v>
      </c>
      <c r="I172" s="8">
        <f>Player_Analysis!AF172</f>
        <v>0</v>
      </c>
      <c r="J172" s="8">
        <f>Player_Analysis!AG172</f>
        <v>0</v>
      </c>
      <c r="K172">
        <f>Player_Analysis!O172</f>
        <v>0</v>
      </c>
      <c r="L172">
        <f>Player_Analysis!P172</f>
        <v>0</v>
      </c>
      <c r="M172" t="str">
        <f t="shared" si="55"/>
        <v/>
      </c>
      <c r="N172" t="str">
        <f t="shared" si="56"/>
        <v/>
      </c>
      <c r="O172" s="2" t="str">
        <f>IF(E172=0,"",Player_Analysis!L172/E172*90)</f>
        <v/>
      </c>
      <c r="P172" t="str">
        <f>IF(E172=0,"",Player_Analysis!Q172/E172*90)</f>
        <v/>
      </c>
      <c r="Q172" t="str">
        <f>IF(E172=0,"",(Player_Analysis!AD172/E172)*90)</f>
        <v/>
      </c>
      <c r="R172" t="str">
        <f>IF(E172=0,"",Player_Analysis!AA172/E172*90)</f>
        <v/>
      </c>
      <c r="S172" t="str">
        <f t="array" ref="S172">IFERROR(INDEX('2023_24'!$O:$O,MATCH($A172,'2023_24'!$A:$A,0)),"")</f>
        <v/>
      </c>
      <c r="T172" t="str">
        <f>IFERROR(INDEX('2024_25'!$P:$P,MATCH($A172,'2024_25'!$A:$A,0)),"")</f>
        <v/>
      </c>
      <c r="U172" t="str">
        <f>IFERROR(INDEX('2025_26'!$P:$P,MATCH($A172,'2025_26'!$A:$A,0)),"")</f>
        <v/>
      </c>
      <c r="V172" t="str">
        <f>IFERROR(INDEX('2023_24'!$P:$P,MATCH($A172,'2023_24'!$A:$A,0)),"")</f>
        <v/>
      </c>
      <c r="W172" t="str">
        <f>IFERROR(INDEX('2024_25'!$Q:$Q,MATCH($A172,'2024_25'!$A:$A,0)),"")</f>
        <v/>
      </c>
      <c r="X172" t="str">
        <f>IFERROR(INDEX('2025_26'!$Q:$Q,MATCH($A172,'2025_26'!$A:$A,0)),"")</f>
        <v/>
      </c>
      <c r="Y172" t="str">
        <f>IFERROR(INDEX('2023_24'!$M:$M,MATCH($A172,'2023_24'!$A:$A,0))/INDEX('2023_24'!$G:$G,MATCH($A172,'2023_24'!$A:$A,0))*90,"")</f>
        <v/>
      </c>
      <c r="Z172" t="str">
        <f>IFERROR(INDEX('2024_25'!$M:$M,MATCH($A172,'2024_25'!$A:$A,0))/INDEX('2024_25'!$G:$G,MATCH($A172,'2024_25'!$A:$A,0))*90,"")</f>
        <v/>
      </c>
      <c r="AA172" t="str">
        <f>IFERROR(INDEX('2025_26'!$M:$M,MATCH($A172,'2025_26'!$A:$A,0))/INDEX('2025_26'!$G:$G,MATCH($A172,'2025_26'!$A:$A,0))*90,"")</f>
        <v/>
      </c>
      <c r="AB172" t="str">
        <f>IFERROR(SUMPRODUCT(S172:U172,{0.2,0.3,0.5})/SUMPRODUCT(--(S172:U172&lt;&gt;""),{0.2,0.3,0.5}),"")</f>
        <v/>
      </c>
      <c r="AC172" t="str">
        <f>IFERROR(SUMPRODUCT(V172:X172,{0.2,0.3,0.5})/SUMPRODUCT(--(V172:X172&lt;&gt;""),{0.2,0.3,0.5}),"")</f>
        <v/>
      </c>
      <c r="AD172" t="str">
        <f>IFERROR(SUMPRODUCT(Y172:AA172,{0.2,0.3,0.5})/SUMPRODUCT((Y172:AA172&lt;&gt;"")*{0.2,0.3,0.5}),O172)</f>
        <v/>
      </c>
      <c r="AE172">
        <f t="shared" si="57"/>
        <v>0</v>
      </c>
      <c r="AF172" t="str">
        <f t="shared" si="58"/>
        <v/>
      </c>
      <c r="AG172">
        <f t="shared" si="59"/>
        <v>0</v>
      </c>
      <c r="AH172">
        <f t="shared" si="60"/>
        <v>0</v>
      </c>
      <c r="AI172" s="2">
        <f t="shared" si="61"/>
        <v>0</v>
      </c>
      <c r="AJ172">
        <f t="shared" si="62"/>
        <v>0</v>
      </c>
      <c r="AK172" t="str">
        <f t="shared" si="63"/>
        <v>YES</v>
      </c>
      <c r="AL172">
        <f t="shared" si="64"/>
        <v>0</v>
      </c>
      <c r="AM172">
        <f t="shared" si="65"/>
        <v>0</v>
      </c>
      <c r="AN172">
        <f t="shared" si="66"/>
        <v>0</v>
      </c>
      <c r="AO172">
        <f t="shared" si="67"/>
        <v>0</v>
      </c>
      <c r="AP172">
        <f t="array" ref="AP172">AL172*IF($C172="GKP",10,IF($C172="DEF",6,IF($C172="MID",5,4)))</f>
        <v>0</v>
      </c>
      <c r="AQ172">
        <f t="shared" si="68"/>
        <v>0</v>
      </c>
      <c r="AR172">
        <f t="shared" si="69"/>
        <v>0</v>
      </c>
      <c r="AS172" s="2">
        <f>IF($H172=0,0,Player_Analysis!$AM172*$H172/90)</f>
        <v>0</v>
      </c>
      <c r="AT172">
        <f t="shared" si="70"/>
        <v>0</v>
      </c>
      <c r="AU172" s="2">
        <f>0</f>
        <v>0</v>
      </c>
      <c r="AV172" s="2" t="str">
        <f>IF(INDEX(FPL_Raw_Data!K:K,MATCH(A172,FPL_Raw_Data!AA:AA,0))=0,"",INDEX(FPL_Raw_Data!P:P,MATCH(A172,FPL_Raw_Data!AA:AA,0))/INDEX(FPL_Raw_Data!K:K,MATCH(A172,FPL_Raw_Data!AA:AA,0))*90)</f>
        <v/>
      </c>
      <c r="AW172" s="2">
        <f t="shared" si="71"/>
        <v>0</v>
      </c>
      <c r="AX172" s="2">
        <f>IFERROR(INDEX(TEAM_ANALYSIS!$H$2:$H$21,MATCH($B172,TEAM_ANALYSIS!$A$2:$A$21,0)),0)</f>
        <v>2.3333333333333335</v>
      </c>
      <c r="AY172" s="2">
        <f t="shared" si="72"/>
        <v>-1.1666666666666667</v>
      </c>
      <c r="AZ172" s="2">
        <f t="shared" si="73"/>
        <v>-1.1666666666666667</v>
      </c>
      <c r="BA172">
        <f t="shared" si="74"/>
        <v>-0.21604938271604937</v>
      </c>
      <c r="BB172">
        <f>IFERROR(Player_Analysis!$Y172,1)</f>
        <v>0.86574712643678164</v>
      </c>
      <c r="BC172">
        <f t="shared" si="75"/>
        <v>-1.0100383141762452</v>
      </c>
      <c r="BD172">
        <f t="shared" si="76"/>
        <v>0.21821815429733693</v>
      </c>
      <c r="BE172">
        <f t="shared" si="77"/>
        <v>-1.0100383141762452</v>
      </c>
      <c r="BF172">
        <f t="shared" si="78"/>
        <v>581</v>
      </c>
      <c r="BG172">
        <f>IF($BE172="","",COUNTIFS($C$2:$C$596,$C172,$BE$2:$BE$596,"&gt;"&amp;$BE172)+COUNTIFS($C$2:$C172,$C172,$BE$2:$BE172,$BE172))</f>
        <v>181</v>
      </c>
    </row>
    <row r="173" spans="1:59" x14ac:dyDescent="0.25">
      <c r="A173" t="str">
        <f>Player_Analysis!A173</f>
        <v>Cole Palmer</v>
      </c>
      <c r="B173">
        <f>Player_Analysis!C173</f>
        <v>6</v>
      </c>
      <c r="C173" t="str">
        <f>Player_Analysis!B173</f>
        <v>MID</v>
      </c>
      <c r="D173" s="13">
        <f>Player_Analysis!E173</f>
        <v>9.6</v>
      </c>
      <c r="E173">
        <f>Player_Analysis!I173</f>
        <v>262</v>
      </c>
      <c r="F173" s="8">
        <f>Player_Analysis!Z173</f>
        <v>3</v>
      </c>
      <c r="G173" s="17">
        <f t="shared" si="53"/>
        <v>1</v>
      </c>
      <c r="H173">
        <f t="shared" si="54"/>
        <v>90</v>
      </c>
      <c r="I173" s="8">
        <f>Player_Analysis!AF173</f>
        <v>2</v>
      </c>
      <c r="J173" s="8">
        <f>Player_Analysis!AG173</f>
        <v>1</v>
      </c>
      <c r="K173">
        <f>Player_Analysis!O173</f>
        <v>1.05</v>
      </c>
      <c r="L173">
        <f>Player_Analysis!P173</f>
        <v>0.36</v>
      </c>
      <c r="M173">
        <f t="shared" si="55"/>
        <v>0.36068702290076338</v>
      </c>
      <c r="N173">
        <f t="shared" si="56"/>
        <v>0.12366412213740458</v>
      </c>
      <c r="O173" s="2">
        <f>IF(E173=0,"",Player_Analysis!L173/E173*90)</f>
        <v>7.2137404580152671</v>
      </c>
      <c r="P173">
        <f>IF(E173=0,"",Player_Analysis!Q173/E173*90)</f>
        <v>0.48435114503816795</v>
      </c>
      <c r="Q173">
        <f>IF(E173=0,"",(Player_Analysis!AD173/E173)*90)</f>
        <v>34.007633587786259</v>
      </c>
      <c r="R173">
        <f>IF(E173=0,"",Player_Analysis!AA173/E173*90)</f>
        <v>6.8702290076335881</v>
      </c>
      <c r="S173">
        <f t="array" ref="S173">IFERROR(INDEX('2023_24'!$O:$O,MATCH($A173,'2023_24'!$A:$A,0)),"")</f>
        <v>0.59667558272831489</v>
      </c>
      <c r="T173">
        <f>IFERROR(INDEX('2024_25'!$P:$P,MATCH($A173,'2024_25'!$A:$A,0)),"")</f>
        <v>0.473253993109928</v>
      </c>
      <c r="U173">
        <f>IFERROR(INDEX('2025_26'!$P:$P,MATCH($A173,'2025_26'!$A:$A,0)),"")</f>
        <v>0.48592630501535311</v>
      </c>
      <c r="V173">
        <f>IFERROR(INDEX('2023_24'!$P:$P,MATCH($A173,'2023_24'!$A:$A,0)),"")</f>
        <v>0.28097057699656097</v>
      </c>
      <c r="W173">
        <f>IFERROR(INDEX('2024_25'!$Q:$Q,MATCH($A173,'2024_25'!$A:$A,0)),"")</f>
        <v>0.26861885374256184</v>
      </c>
      <c r="X173">
        <f>IFERROR(INDEX('2025_26'!$Q:$Q,MATCH($A173,'2025_26'!$A:$A,0)),"")</f>
        <v>0.1146878198567042</v>
      </c>
      <c r="Y173">
        <f>IFERROR(INDEX('2023_24'!$M:$M,MATCH($A173,'2023_24'!$A:$A,0))/INDEX('2023_24'!$G:$G,MATCH($A173,'2023_24'!$A:$A,0))*90,"")</f>
        <v>8.3912877340466174</v>
      </c>
      <c r="Z173">
        <f>IFERROR(INDEX('2024_25'!$M:$M,MATCH($A173,'2024_25'!$A:$A,0))/INDEX('2024_25'!$G:$G,MATCH($A173,'2024_25'!$A:$A,0))*90,"")</f>
        <v>6.0319448794237385</v>
      </c>
      <c r="AA173">
        <f>IFERROR(INDEX('2025_26'!$M:$M,MATCH($A173,'2025_26'!$A:$A,0))/INDEX('2025_26'!$G:$G,MATCH($A173,'2025_26'!$A:$A,0))*90,"")</f>
        <v>5.2507676560900718</v>
      </c>
      <c r="AB173">
        <f>IFERROR(SUMPRODUCT(S173:U173,{0.2,0.3,0.5})/SUMPRODUCT(--(S173:U173&lt;&gt;""),{0.2,0.3,0.5}),"")</f>
        <v>0.50427446698631795</v>
      </c>
      <c r="AC173">
        <f>IFERROR(SUMPRODUCT(V173:X173,{0.2,0.3,0.5})/SUMPRODUCT(--(V173:X173&lt;&gt;""),{0.2,0.3,0.5}),"")</f>
        <v>0.19412368145043285</v>
      </c>
      <c r="AD173">
        <f>IFERROR(SUMPRODUCT(Y173:AA173,{0.2,0.3,0.5})/SUMPRODUCT((Y173:AA173&lt;&gt;"")*{0.2,0.3,0.5}),O173)</f>
        <v>6.1132248386814805</v>
      </c>
      <c r="AE173">
        <f t="shared" si="57"/>
        <v>3</v>
      </c>
      <c r="AF173">
        <f t="shared" si="58"/>
        <v>87.333333333333329</v>
      </c>
      <c r="AG173">
        <f t="shared" si="59"/>
        <v>0.37887476581826696</v>
      </c>
      <c r="AH173">
        <f t="shared" si="60"/>
        <v>0.13258899965038815</v>
      </c>
      <c r="AI173" s="2">
        <f t="shared" si="61"/>
        <v>7.0743418128996538</v>
      </c>
      <c r="AJ173">
        <f t="shared" si="62"/>
        <v>0.87333333333333329</v>
      </c>
      <c r="AK173" t="str">
        <f t="shared" si="63"/>
        <v>NO</v>
      </c>
      <c r="AL173">
        <f t="shared" si="64"/>
        <v>0.37887476581826696</v>
      </c>
      <c r="AM173">
        <f t="shared" si="65"/>
        <v>0.13258899965038815</v>
      </c>
      <c r="AN173">
        <f t="shared" si="66"/>
        <v>0.37887476581826696</v>
      </c>
      <c r="AO173">
        <f t="shared" si="67"/>
        <v>0.13258899965038815</v>
      </c>
      <c r="AP173">
        <f t="array" ref="AP173">AL173*IF($C173="GKP",10,IF($C173="DEF",6,IF($C173="MID",5,4)))</f>
        <v>1.8943738290913348</v>
      </c>
      <c r="AQ173">
        <f t="shared" si="68"/>
        <v>0.39776699895116441</v>
      </c>
      <c r="AR173">
        <f t="shared" si="69"/>
        <v>2</v>
      </c>
      <c r="AS173" s="2">
        <f>IF($H173=0,0,Player_Analysis!$AM173*$H173/90)</f>
        <v>0</v>
      </c>
      <c r="AT173">
        <f t="shared" si="70"/>
        <v>1.1450381679389314</v>
      </c>
      <c r="AU173" s="2">
        <f>0</f>
        <v>0</v>
      </c>
      <c r="AV173" s="2">
        <f>IF(INDEX(FPL_Raw_Data!K:K,MATCH(A173,FPL_Raw_Data!AA:AA,0))=0,"",INDEX(FPL_Raw_Data!P:P,MATCH(A173,FPL_Raw_Data!AA:AA,0))/INDEX(FPL_Raw_Data!K:K,MATCH(A173,FPL_Raw_Data!AA:AA,0))*90)</f>
        <v>0</v>
      </c>
      <c r="AW173" s="2">
        <f t="shared" si="71"/>
        <v>0</v>
      </c>
      <c r="AX173" s="2">
        <f>IFERROR(INDEX(TEAM_ANALYSIS!$H$2:$H$21,MATCH($B173,TEAM_ANALYSIS!$A$2:$A$21,0)),0)</f>
        <v>2.3333333333333335</v>
      </c>
      <c r="AY173" s="2">
        <f t="shared" si="72"/>
        <v>0</v>
      </c>
      <c r="AZ173" s="2">
        <f t="shared" si="73"/>
        <v>5.437178995981431</v>
      </c>
      <c r="BA173">
        <f t="shared" si="74"/>
        <v>0.56637281208139911</v>
      </c>
      <c r="BB173">
        <f>IFERROR(Player_Analysis!$Y173,1)</f>
        <v>1.0449221453287199</v>
      </c>
      <c r="BC173">
        <f t="shared" si="75"/>
        <v>5.6814287410171715</v>
      </c>
      <c r="BD173">
        <f t="shared" si="76"/>
        <v>3.2178067726899786</v>
      </c>
      <c r="BE173">
        <f t="shared" si="77"/>
        <v>5.6814287410171715</v>
      </c>
      <c r="BF173">
        <f t="shared" si="78"/>
        <v>56</v>
      </c>
      <c r="BG173">
        <f>IF($BE173="","",COUNTIFS($C$2:$C$596,$C173,$BE$2:$BE$596,"&gt;"&amp;$BE173)+COUNTIFS($C$2:$C173,$C173,$BE$2:$BE173,$BE173))</f>
        <v>23</v>
      </c>
    </row>
    <row r="174" spans="1:59" x14ac:dyDescent="0.25">
      <c r="A174" t="str">
        <f>Player_Analysis!A174</f>
        <v>Pedro Lomba Neto</v>
      </c>
      <c r="B174">
        <f>Player_Analysis!C174</f>
        <v>6</v>
      </c>
      <c r="C174" t="str">
        <f>Player_Analysis!B174</f>
        <v>MID</v>
      </c>
      <c r="D174" s="13">
        <f>Player_Analysis!E174</f>
        <v>6.5</v>
      </c>
      <c r="E174">
        <f>Player_Analysis!I174</f>
        <v>161</v>
      </c>
      <c r="F174" s="8">
        <f>Player_Analysis!Z174</f>
        <v>2</v>
      </c>
      <c r="G174" s="17">
        <f t="shared" si="53"/>
        <v>1</v>
      </c>
      <c r="H174">
        <f t="shared" si="54"/>
        <v>90</v>
      </c>
      <c r="I174" s="8">
        <f>Player_Analysis!AF174</f>
        <v>1</v>
      </c>
      <c r="J174" s="8">
        <f>Player_Analysis!AG174</f>
        <v>0</v>
      </c>
      <c r="K174">
        <f>Player_Analysis!O174</f>
        <v>0.47</v>
      </c>
      <c r="L174">
        <f>Player_Analysis!P174</f>
        <v>0.43</v>
      </c>
      <c r="M174">
        <f t="shared" si="55"/>
        <v>0.26273291925465836</v>
      </c>
      <c r="N174">
        <f t="shared" si="56"/>
        <v>0.24037267080745342</v>
      </c>
      <c r="O174" s="2">
        <f>IF(E174=0,"",Player_Analysis!L174/E174*90)</f>
        <v>5.5900621118012426</v>
      </c>
      <c r="P174">
        <f>IF(E174=0,"",Player_Analysis!Q174/E174*90)</f>
        <v>0.50310559006211186</v>
      </c>
      <c r="Q174">
        <f>IF(E174=0,"",(Player_Analysis!AD174/E174)*90)</f>
        <v>28.509316770186334</v>
      </c>
      <c r="R174">
        <f>IF(E174=0,"",Player_Analysis!AA174/E174*90)</f>
        <v>8.3850931677018625</v>
      </c>
      <c r="S174">
        <f t="array" ref="S174">IFERROR(INDEX('2023_24'!$O:$O,MATCH($A174,'2023_24'!$A:$A,0)),"")</f>
        <v>0.18819261213720317</v>
      </c>
      <c r="T174">
        <f>IFERROR(INDEX('2024_25'!$P:$P,MATCH($A174,'2024_25'!$A:$A,0)),"")</f>
        <v>0.13846153846153847</v>
      </c>
      <c r="U174">
        <f>IFERROR(INDEX('2025_26'!$P:$P,MATCH($A174,'2025_26'!$A:$A,0)),"")</f>
        <v>0.15713198934956255</v>
      </c>
      <c r="V174">
        <f>IFERROR(INDEX('2023_24'!$P:$P,MATCH($A174,'2023_24'!$A:$A,0)),"")</f>
        <v>0.21906332453825858</v>
      </c>
      <c r="W174">
        <f>IFERROR(INDEX('2024_25'!$Q:$Q,MATCH($A174,'2024_25'!$A:$A,0)),"")</f>
        <v>0.17785145888594164</v>
      </c>
      <c r="X174">
        <f>IFERROR(INDEX('2025_26'!$Q:$Q,MATCH($A174,'2025_26'!$A:$A,0)),"")</f>
        <v>0.23415747432483835</v>
      </c>
      <c r="Y174">
        <f>IFERROR(INDEX('2023_24'!$M:$M,MATCH($A174,'2023_24'!$A:$A,0))/INDEX('2023_24'!$G:$G,MATCH($A174,'2023_24'!$A:$A,0))*90,"")</f>
        <v>5.1055408970976259</v>
      </c>
      <c r="Z174">
        <f>IFERROR(INDEX('2024_25'!$M:$M,MATCH($A174,'2024_25'!$A:$A,0))/INDEX('2024_25'!$G:$G,MATCH($A174,'2024_25'!$A:$A,0))*90,"")</f>
        <v>4.1379310344827589</v>
      </c>
      <c r="AA174">
        <f>IFERROR(INDEX('2025_26'!$M:$M,MATCH($A174,'2025_26'!$A:$A,0))/INDEX('2025_26'!$G:$G,MATCH($A174,'2025_26'!$A:$A,0))*90,"")</f>
        <v>4.2791936097375425</v>
      </c>
      <c r="AB174">
        <f>IFERROR(SUMPRODUCT(S174:U174,{0.2,0.3,0.5})/SUMPRODUCT(--(S174:U174&lt;&gt;""),{0.2,0.3,0.5}),"")</f>
        <v>0.15774297864068343</v>
      </c>
      <c r="AC174">
        <f>IFERROR(SUMPRODUCT(V174:X174,{0.2,0.3,0.5})/SUMPRODUCT(--(V174:X174&lt;&gt;""),{0.2,0.3,0.5}),"")</f>
        <v>0.2142468397358534</v>
      </c>
      <c r="AD174">
        <f>IFERROR(SUMPRODUCT(Y174:AA174,{0.2,0.3,0.5})/SUMPRODUCT((Y174:AA174&lt;&gt;"")*{0.2,0.3,0.5}),O174)</f>
        <v>4.4020842946331236</v>
      </c>
      <c r="AE174">
        <f t="shared" si="57"/>
        <v>3</v>
      </c>
      <c r="AF174">
        <f t="shared" si="58"/>
        <v>80.5</v>
      </c>
      <c r="AG174">
        <f t="shared" si="59"/>
        <v>0.21408758010351664</v>
      </c>
      <c r="AH174">
        <f t="shared" si="60"/>
        <v>0.22826770241094541</v>
      </c>
      <c r="AI174" s="2">
        <f t="shared" si="61"/>
        <v>5.0396323898466804</v>
      </c>
      <c r="AJ174">
        <f t="shared" si="62"/>
        <v>0.53666666666666663</v>
      </c>
      <c r="AK174" t="str">
        <f t="shared" si="63"/>
        <v>NO</v>
      </c>
      <c r="AL174">
        <f t="shared" si="64"/>
        <v>0.21408758010351664</v>
      </c>
      <c r="AM174">
        <f t="shared" si="65"/>
        <v>0.22826770241094541</v>
      </c>
      <c r="AN174">
        <f t="shared" si="66"/>
        <v>0.21408758010351664</v>
      </c>
      <c r="AO174">
        <f t="shared" si="67"/>
        <v>0.22826770241094541</v>
      </c>
      <c r="AP174">
        <f t="array" ref="AP174">AL174*IF($C174="GKP",10,IF($C174="DEF",6,IF($C174="MID",5,4)))</f>
        <v>1.0704379005175833</v>
      </c>
      <c r="AQ174">
        <f t="shared" si="68"/>
        <v>0.68480310723283622</v>
      </c>
      <c r="AR174">
        <f t="shared" si="69"/>
        <v>2</v>
      </c>
      <c r="AS174" s="2">
        <f>IF($H174=0,0,Player_Analysis!$AM174*$H174/90)</f>
        <v>0</v>
      </c>
      <c r="AT174">
        <f t="shared" si="70"/>
        <v>1.3975155279503104</v>
      </c>
      <c r="AU174" s="2">
        <f>0</f>
        <v>0</v>
      </c>
      <c r="AV174" s="2">
        <f>IF(INDEX(FPL_Raw_Data!K:K,MATCH(A174,FPL_Raw_Data!AA:AA,0))=0,"",INDEX(FPL_Raw_Data!P:P,MATCH(A174,FPL_Raw_Data!AA:AA,0))/INDEX(FPL_Raw_Data!K:K,MATCH(A174,FPL_Raw_Data!AA:AA,0))*90)</f>
        <v>0</v>
      </c>
      <c r="AW174" s="2">
        <f t="shared" si="71"/>
        <v>0</v>
      </c>
      <c r="AX174" s="2">
        <f>IFERROR(INDEX(TEAM_ANALYSIS!$H$2:$H$21,MATCH($B174,TEAM_ANALYSIS!$A$2:$A$21,0)),0)</f>
        <v>2.3333333333333335</v>
      </c>
      <c r="AY174" s="2">
        <f t="shared" si="72"/>
        <v>0</v>
      </c>
      <c r="AZ174" s="2">
        <f t="shared" si="73"/>
        <v>5.1527565357007301</v>
      </c>
      <c r="BA174">
        <f t="shared" si="74"/>
        <v>0.79273177472318923</v>
      </c>
      <c r="BB174">
        <f>IFERROR(Player_Analysis!$Y174,1)</f>
        <v>1.0449221453287199</v>
      </c>
      <c r="BC174">
        <f t="shared" si="75"/>
        <v>5.3842294136409894</v>
      </c>
      <c r="BD174">
        <f t="shared" si="76"/>
        <v>4.2682497385924183</v>
      </c>
      <c r="BE174">
        <f t="shared" si="77"/>
        <v>5.3842294136409894</v>
      </c>
      <c r="BF174">
        <f t="shared" si="78"/>
        <v>72</v>
      </c>
      <c r="BG174">
        <f>IF($BE174="","",COUNTIFS($C$2:$C$596,$C174,$BE$2:$BE$596,"&gt;"&amp;$BE174)+COUNTIFS($C$2:$C174,$C174,$BE$2:$BE174,$BE174))</f>
        <v>32</v>
      </c>
    </row>
    <row r="175" spans="1:59" x14ac:dyDescent="0.25">
      <c r="A175" t="str">
        <f>Player_Analysis!A175</f>
        <v>Estêvão Almeida de Oliveira Gonçalves</v>
      </c>
      <c r="B175">
        <f>Player_Analysis!C175</f>
        <v>6</v>
      </c>
      <c r="C175" t="str">
        <f>Player_Analysis!B175</f>
        <v>MID</v>
      </c>
      <c r="D175" s="13">
        <f>Player_Analysis!E175</f>
        <v>6.4</v>
      </c>
      <c r="E175">
        <f>Player_Analysis!I175</f>
        <v>16</v>
      </c>
      <c r="F175" s="8">
        <f>Player_Analysis!Z175</f>
        <v>0</v>
      </c>
      <c r="G175" s="17">
        <f t="shared" si="53"/>
        <v>0</v>
      </c>
      <c r="H175">
        <f t="shared" si="54"/>
        <v>0</v>
      </c>
      <c r="I175" s="8">
        <f>Player_Analysis!AF175</f>
        <v>0</v>
      </c>
      <c r="J175" s="8">
        <f>Player_Analysis!AG175</f>
        <v>0</v>
      </c>
      <c r="K175">
        <f>Player_Analysis!O175</f>
        <v>0.04</v>
      </c>
      <c r="L175">
        <f>Player_Analysis!P175</f>
        <v>0</v>
      </c>
      <c r="M175">
        <f t="shared" si="55"/>
        <v>0.22500000000000001</v>
      </c>
      <c r="N175">
        <f t="shared" si="56"/>
        <v>0</v>
      </c>
      <c r="O175" s="2">
        <f>IF(E175=0,"",Player_Analysis!L175/E175*90)</f>
        <v>11.25</v>
      </c>
      <c r="P175">
        <f>IF(E175=0,"",Player_Analysis!Q175/E175*90)</f>
        <v>0.22500000000000001</v>
      </c>
      <c r="Q175">
        <f>IF(E175=0,"",(Player_Analysis!AD175/E175)*90)</f>
        <v>45</v>
      </c>
      <c r="R175">
        <f>IF(E175=0,"",Player_Analysis!AA175/E175*90)</f>
        <v>5.625</v>
      </c>
      <c r="S175" t="str">
        <f t="array" ref="S175">IFERROR(INDEX('2023_24'!$O:$O,MATCH($A175,'2023_24'!$A:$A,0)),"")</f>
        <v/>
      </c>
      <c r="T175" t="str">
        <f>IFERROR(INDEX('2024_25'!$P:$P,MATCH($A175,'2024_25'!$A:$A,0)),"")</f>
        <v/>
      </c>
      <c r="U175">
        <f>IFERROR(INDEX('2025_26'!$P:$P,MATCH($A175,'2025_26'!$A:$A,0)),"")</f>
        <v>0.3121573301549464</v>
      </c>
      <c r="V175" t="str">
        <f>IFERROR(INDEX('2023_24'!$P:$P,MATCH($A175,'2023_24'!$A:$A,0)),"")</f>
        <v/>
      </c>
      <c r="W175" t="str">
        <f>IFERROR(INDEX('2024_25'!$Q:$Q,MATCH($A175,'2024_25'!$A:$A,0)),"")</f>
        <v/>
      </c>
      <c r="X175">
        <f>IFERROR(INDEX('2025_26'!$Q:$Q,MATCH($A175,'2025_26'!$A:$A,0)),"")</f>
        <v>0.22955899880810493</v>
      </c>
      <c r="Y175" t="str">
        <f>IFERROR(INDEX('2023_24'!$M:$M,MATCH($A175,'2023_24'!$A:$A,0))/INDEX('2023_24'!$G:$G,MATCH($A175,'2023_24'!$A:$A,0))*90,"")</f>
        <v/>
      </c>
      <c r="Z175" t="str">
        <f>IFERROR(INDEX('2024_25'!$M:$M,MATCH($A175,'2024_25'!$A:$A,0))/INDEX('2024_25'!$G:$G,MATCH($A175,'2024_25'!$A:$A,0))*90,"")</f>
        <v/>
      </c>
      <c r="AA175">
        <f>IFERROR(INDEX('2025_26'!$M:$M,MATCH($A175,'2025_26'!$A:$A,0))/INDEX('2025_26'!$G:$G,MATCH($A175,'2025_26'!$A:$A,0))*90,"")</f>
        <v>6.2216924910607867</v>
      </c>
      <c r="AB175">
        <f>IFERROR(SUMPRODUCT(S175:U175,{0.2,0.3,0.5})/SUMPRODUCT(--(S175:U175&lt;&gt;""),{0.2,0.3,0.5}),"")</f>
        <v>0.3121573301549464</v>
      </c>
      <c r="AC175">
        <f>IFERROR(SUMPRODUCT(V175:X175,{0.2,0.3,0.5})/SUMPRODUCT(--(V175:X175&lt;&gt;""),{0.2,0.3,0.5}),"")</f>
        <v>0.22955899880810493</v>
      </c>
      <c r="AD175">
        <f>IFERROR(SUMPRODUCT(Y175:AA175,{0.2,0.3,0.5})/SUMPRODUCT((Y175:AA175&lt;&gt;"")*{0.2,0.3,0.5}),O175)</f>
        <v>6.2216924910607867</v>
      </c>
      <c r="AE175">
        <f t="shared" si="57"/>
        <v>1</v>
      </c>
      <c r="AF175" t="str">
        <f t="shared" si="58"/>
        <v/>
      </c>
      <c r="AG175">
        <f t="shared" si="59"/>
        <v>0.30750893921334926</v>
      </c>
      <c r="AH175">
        <f t="shared" si="60"/>
        <v>0.21731585220500599</v>
      </c>
      <c r="AI175" s="2">
        <f t="shared" si="61"/>
        <v>6.4898688915375455</v>
      </c>
      <c r="AJ175">
        <f t="shared" si="62"/>
        <v>5.3333333333333337E-2</v>
      </c>
      <c r="AK175" t="str">
        <f t="shared" si="63"/>
        <v>NO</v>
      </c>
      <c r="AL175">
        <f t="shared" si="64"/>
        <v>0</v>
      </c>
      <c r="AM175">
        <f t="shared" si="65"/>
        <v>0</v>
      </c>
      <c r="AN175">
        <f t="shared" si="66"/>
        <v>0</v>
      </c>
      <c r="AO175">
        <f t="shared" si="67"/>
        <v>0</v>
      </c>
      <c r="AP175">
        <f t="array" ref="AP175">AL175*IF($C175="GKP",10,IF($C175="DEF",6,IF($C175="MID",5,4)))</f>
        <v>0</v>
      </c>
      <c r="AQ175">
        <f t="shared" si="68"/>
        <v>0</v>
      </c>
      <c r="AR175">
        <f t="shared" si="69"/>
        <v>0</v>
      </c>
      <c r="AS175" s="2">
        <f>IF($H175=0,0,Player_Analysis!$AM175*$H175/90)</f>
        <v>0</v>
      </c>
      <c r="AT175">
        <f t="shared" si="70"/>
        <v>0</v>
      </c>
      <c r="AU175" s="2">
        <f>0</f>
        <v>0</v>
      </c>
      <c r="AV175" s="2">
        <f>IF(INDEX(FPL_Raw_Data!K:K,MATCH(A175,FPL_Raw_Data!AA:AA,0))=0,"",INDEX(FPL_Raw_Data!P:P,MATCH(A175,FPL_Raw_Data!AA:AA,0))/INDEX(FPL_Raw_Data!K:K,MATCH(A175,FPL_Raw_Data!AA:AA,0))*90)</f>
        <v>0</v>
      </c>
      <c r="AW175" s="2">
        <f t="shared" si="71"/>
        <v>0</v>
      </c>
      <c r="AX175" s="2">
        <f>IFERROR(INDEX(TEAM_ANALYSIS!$H$2:$H$21,MATCH($B175,TEAM_ANALYSIS!$A$2:$A$21,0)),0)</f>
        <v>2.3333333333333335</v>
      </c>
      <c r="AY175" s="2">
        <f t="shared" si="72"/>
        <v>0</v>
      </c>
      <c r="AZ175" s="2">
        <f t="shared" si="73"/>
        <v>0</v>
      </c>
      <c r="BA175">
        <f t="shared" si="74"/>
        <v>0</v>
      </c>
      <c r="BB175">
        <f>IFERROR(Player_Analysis!$Y175,1)</f>
        <v>1.0449221453287199</v>
      </c>
      <c r="BC175">
        <f t="shared" si="75"/>
        <v>0</v>
      </c>
      <c r="BD175">
        <f t="shared" si="76"/>
        <v>0</v>
      </c>
      <c r="BE175">
        <f t="shared" si="77"/>
        <v>0</v>
      </c>
      <c r="BF175">
        <f t="shared" si="78"/>
        <v>253</v>
      </c>
      <c r="BG175">
        <f>IF($BE175="","",COUNTIFS($C$2:$C$596,$C175,$BE$2:$BE$596,"&gt;"&amp;$BE175)+COUNTIFS($C$2:$C175,$C175,$BE$2:$BE175,$BE175))</f>
        <v>155</v>
      </c>
    </row>
    <row r="176" spans="1:59" x14ac:dyDescent="0.25">
      <c r="A176" t="str">
        <f>Player_Analysis!A176</f>
        <v>Jamie Bynoe-Gittens</v>
      </c>
      <c r="B176">
        <f>Player_Analysis!C176</f>
        <v>6</v>
      </c>
      <c r="C176" t="str">
        <f>Player_Analysis!B176</f>
        <v>MID</v>
      </c>
      <c r="D176" s="13">
        <f>Player_Analysis!E176</f>
        <v>5.9</v>
      </c>
      <c r="E176">
        <f>Player_Analysis!I176</f>
        <v>0</v>
      </c>
      <c r="F176" s="8">
        <f>Player_Analysis!Z176</f>
        <v>0</v>
      </c>
      <c r="G176" s="17">
        <f t="shared" si="53"/>
        <v>0</v>
      </c>
      <c r="H176">
        <f t="shared" si="54"/>
        <v>0</v>
      </c>
      <c r="I176" s="8">
        <f>Player_Analysis!AF176</f>
        <v>0</v>
      </c>
      <c r="J176" s="8">
        <f>Player_Analysis!AG176</f>
        <v>0</v>
      </c>
      <c r="K176">
        <f>Player_Analysis!O176</f>
        <v>0</v>
      </c>
      <c r="L176">
        <f>Player_Analysis!P176</f>
        <v>0</v>
      </c>
      <c r="M176" t="str">
        <f t="shared" si="55"/>
        <v/>
      </c>
      <c r="N176" t="str">
        <f t="shared" si="56"/>
        <v/>
      </c>
      <c r="O176" s="2" t="str">
        <f>IF(E176=0,"",Player_Analysis!L176/E176*90)</f>
        <v/>
      </c>
      <c r="P176" t="str">
        <f>IF(E176=0,"",Player_Analysis!Q176/E176*90)</f>
        <v/>
      </c>
      <c r="Q176" t="str">
        <f>IF(E176=0,"",(Player_Analysis!AD176/E176)*90)</f>
        <v/>
      </c>
      <c r="R176" t="str">
        <f>IF(E176=0,"",Player_Analysis!AA176/E176*90)</f>
        <v/>
      </c>
      <c r="S176" t="str">
        <f t="array" ref="S176">IFERROR(INDEX('2023_24'!$O:$O,MATCH($A176,'2023_24'!$A:$A,0)),"")</f>
        <v/>
      </c>
      <c r="T176" t="str">
        <f>IFERROR(INDEX('2024_25'!$P:$P,MATCH($A176,'2024_25'!$A:$A,0)),"")</f>
        <v/>
      </c>
      <c r="U176">
        <f>IFERROR(INDEX('2025_26'!$P:$P,MATCH($A176,'2025_26'!$A:$A,0)),"")</f>
        <v>0.15000000000000002</v>
      </c>
      <c r="V176" t="str">
        <f>IFERROR(INDEX('2023_24'!$P:$P,MATCH($A176,'2023_24'!$A:$A,0)),"")</f>
        <v/>
      </c>
      <c r="W176" t="str">
        <f>IFERROR(INDEX('2024_25'!$Q:$Q,MATCH($A176,'2024_25'!$A:$A,0)),"")</f>
        <v/>
      </c>
      <c r="X176">
        <f>IFERROR(INDEX('2025_26'!$Q:$Q,MATCH($A176,'2025_26'!$A:$A,0)),"")</f>
        <v>0.17407407407407408</v>
      </c>
      <c r="Y176" t="str">
        <f>IFERROR(INDEX('2023_24'!$M:$M,MATCH($A176,'2023_24'!$A:$A,0))/INDEX('2023_24'!$G:$G,MATCH($A176,'2023_24'!$A:$A,0))*90,"")</f>
        <v/>
      </c>
      <c r="Z176" t="str">
        <f>IFERROR(INDEX('2024_25'!$M:$M,MATCH($A176,'2024_25'!$A:$A,0))/INDEX('2024_25'!$G:$G,MATCH($A176,'2024_25'!$A:$A,0))*90,"")</f>
        <v/>
      </c>
      <c r="AA176">
        <f>IFERROR(INDEX('2025_26'!$M:$M,MATCH($A176,'2025_26'!$A:$A,0))/INDEX('2025_26'!$G:$G,MATCH($A176,'2025_26'!$A:$A,0))*90,"")</f>
        <v>4.6296296296296298</v>
      </c>
      <c r="AB176">
        <f>IFERROR(SUMPRODUCT(S176:U176,{0.2,0.3,0.5})/SUMPRODUCT(--(S176:U176&lt;&gt;""),{0.2,0.3,0.5}),"")</f>
        <v>0.15000000000000002</v>
      </c>
      <c r="AC176">
        <f>IFERROR(SUMPRODUCT(V176:X176,{0.2,0.3,0.5})/SUMPRODUCT(--(V176:X176&lt;&gt;""),{0.2,0.3,0.5}),"")</f>
        <v>0.17407407407407408</v>
      </c>
      <c r="AD176">
        <f>IFERROR(SUMPRODUCT(Y176:AA176,{0.2,0.3,0.5})/SUMPRODUCT((Y176:AA176&lt;&gt;"")*{0.2,0.3,0.5}),O176)</f>
        <v>4.6296296296296298</v>
      </c>
      <c r="AE176">
        <f t="shared" si="57"/>
        <v>1</v>
      </c>
      <c r="AF176" t="str">
        <f t="shared" si="58"/>
        <v/>
      </c>
      <c r="AG176">
        <f t="shared" si="59"/>
        <v>0.15000000000000002</v>
      </c>
      <c r="AH176">
        <f t="shared" si="60"/>
        <v>0.17407407407407408</v>
      </c>
      <c r="AI176" s="2">
        <f t="shared" si="61"/>
        <v>4.6296296296296298</v>
      </c>
      <c r="AJ176">
        <f t="shared" si="62"/>
        <v>0</v>
      </c>
      <c r="AK176" t="str">
        <f t="shared" si="63"/>
        <v>NO</v>
      </c>
      <c r="AL176">
        <f t="shared" si="64"/>
        <v>0</v>
      </c>
      <c r="AM176">
        <f t="shared" si="65"/>
        <v>0</v>
      </c>
      <c r="AN176">
        <f t="shared" si="66"/>
        <v>0</v>
      </c>
      <c r="AO176">
        <f t="shared" si="67"/>
        <v>0</v>
      </c>
      <c r="AP176">
        <f t="array" ref="AP176">AL176*IF($C176="GKP",10,IF($C176="DEF",6,IF($C176="MID",5,4)))</f>
        <v>0</v>
      </c>
      <c r="AQ176">
        <f t="shared" si="68"/>
        <v>0</v>
      </c>
      <c r="AR176">
        <f t="shared" si="69"/>
        <v>0</v>
      </c>
      <c r="AS176" s="2">
        <f>IF($H176=0,0,Player_Analysis!$AM176*$H176/90)</f>
        <v>0</v>
      </c>
      <c r="AT176">
        <f t="shared" si="70"/>
        <v>0</v>
      </c>
      <c r="AU176" s="2">
        <f>0</f>
        <v>0</v>
      </c>
      <c r="AV176" s="2" t="str">
        <f>IF(INDEX(FPL_Raw_Data!K:K,MATCH(A176,FPL_Raw_Data!AA:AA,0))=0,"",INDEX(FPL_Raw_Data!P:P,MATCH(A176,FPL_Raw_Data!AA:AA,0))/INDEX(FPL_Raw_Data!K:K,MATCH(A176,FPL_Raw_Data!AA:AA,0))*90)</f>
        <v/>
      </c>
      <c r="AW176" s="2">
        <f t="shared" si="71"/>
        <v>0</v>
      </c>
      <c r="AX176" s="2">
        <f>IFERROR(INDEX(TEAM_ANALYSIS!$H$2:$H$21,MATCH($B176,TEAM_ANALYSIS!$A$2:$A$21,0)),0)</f>
        <v>2.3333333333333335</v>
      </c>
      <c r="AY176" s="2">
        <f t="shared" si="72"/>
        <v>0</v>
      </c>
      <c r="AZ176" s="2">
        <f t="shared" si="73"/>
        <v>0</v>
      </c>
      <c r="BA176">
        <f t="shared" si="74"/>
        <v>0</v>
      </c>
      <c r="BB176">
        <f>IFERROR(Player_Analysis!$Y176,1)</f>
        <v>1.0449221453287199</v>
      </c>
      <c r="BC176">
        <f t="shared" si="75"/>
        <v>0</v>
      </c>
      <c r="BD176">
        <f t="shared" si="76"/>
        <v>0</v>
      </c>
      <c r="BE176">
        <f t="shared" si="77"/>
        <v>0</v>
      </c>
      <c r="BF176">
        <f t="shared" si="78"/>
        <v>253</v>
      </c>
      <c r="BG176">
        <f>IF($BE176="","",COUNTIFS($C$2:$C$596,$C176,$BE$2:$BE$596,"&gt;"&amp;$BE176)+COUNTIFS($C$2:$C176,$C176,$BE$2:$BE176,$BE176))</f>
        <v>156</v>
      </c>
    </row>
    <row r="177" spans="1:59" x14ac:dyDescent="0.25">
      <c r="A177" t="str">
        <f>Player_Analysis!A177</f>
        <v>Moisés Caicedo Corozo</v>
      </c>
      <c r="B177">
        <f>Player_Analysis!C177</f>
        <v>6</v>
      </c>
      <c r="C177" t="str">
        <f>Player_Analysis!B177</f>
        <v>MID</v>
      </c>
      <c r="D177" s="13">
        <f>Player_Analysis!E177</f>
        <v>5.4</v>
      </c>
      <c r="E177">
        <f>Player_Analysis!I177</f>
        <v>13</v>
      </c>
      <c r="F177" s="8">
        <f>Player_Analysis!Z177</f>
        <v>0</v>
      </c>
      <c r="G177" s="17">
        <f t="shared" si="53"/>
        <v>0</v>
      </c>
      <c r="H177">
        <f t="shared" si="54"/>
        <v>0</v>
      </c>
      <c r="I177" s="8">
        <f>Player_Analysis!AF177</f>
        <v>0</v>
      </c>
      <c r="J177" s="8">
        <f>Player_Analysis!AG177</f>
        <v>0</v>
      </c>
      <c r="K177">
        <f>Player_Analysis!O177</f>
        <v>0</v>
      </c>
      <c r="L177">
        <f>Player_Analysis!P177</f>
        <v>0</v>
      </c>
      <c r="M177">
        <f t="shared" si="55"/>
        <v>0</v>
      </c>
      <c r="N177">
        <f t="shared" si="56"/>
        <v>0</v>
      </c>
      <c r="O177" s="2">
        <f>IF(E177=0,"",Player_Analysis!L177/E177*90)</f>
        <v>6.9230769230769234</v>
      </c>
      <c r="P177">
        <f>IF(E177=0,"",Player_Analysis!Q177/E177*90)</f>
        <v>0</v>
      </c>
      <c r="Q177">
        <f>IF(E177=0,"",(Player_Analysis!AD177/E177)*90)</f>
        <v>20.76923076923077</v>
      </c>
      <c r="R177">
        <f>IF(E177=0,"",Player_Analysis!AA177/E177*90)</f>
        <v>0</v>
      </c>
      <c r="S177">
        <f t="array" ref="S177">IFERROR(INDEX('2023_24'!$O:$O,MATCH($A177,'2023_24'!$A:$A,0)),"")</f>
        <v>1.3193717277486909E-2</v>
      </c>
      <c r="T177">
        <f>IFERROR(INDEX('2024_25'!$P:$P,MATCH($A177,'2024_25'!$A:$A,0)),"")</f>
        <v>2.1754700089525517E-2</v>
      </c>
      <c r="U177">
        <f>IFERROR(INDEX('2025_26'!$P:$P,MATCH($A177,'2025_26'!$A:$A,0)),"")</f>
        <v>4.667381974248927E-2</v>
      </c>
      <c r="V177">
        <f>IFERROR(INDEX('2023_24'!$P:$P,MATCH($A177,'2023_24'!$A:$A,0)),"")</f>
        <v>6.3141361256544501E-2</v>
      </c>
      <c r="W177">
        <f>IFERROR(INDEX('2024_25'!$Q:$Q,MATCH($A177,'2024_25'!$A:$A,0)),"")</f>
        <v>7.5738585496866601E-2</v>
      </c>
      <c r="X177">
        <f>IFERROR(INDEX('2025_26'!$Q:$Q,MATCH($A177,'2025_26'!$A:$A,0)),"")</f>
        <v>7.6609442060085839E-2</v>
      </c>
      <c r="Y177">
        <f>IFERROR(INDEX('2023_24'!$M:$M,MATCH($A177,'2023_24'!$A:$A,0))/INDEX('2023_24'!$G:$G,MATCH($A177,'2023_24'!$A:$A,0))*90,"")</f>
        <v>2.6387434554973823</v>
      </c>
      <c r="Z177">
        <f>IFERROR(INDEX('2024_25'!$M:$M,MATCH($A177,'2024_25'!$A:$A,0))/INDEX('2024_25'!$G:$G,MATCH($A177,'2024_25'!$A:$A,0))*90,"")</f>
        <v>2.6320501342882721</v>
      </c>
      <c r="AA177">
        <f>IFERROR(INDEX('2025_26'!$M:$M,MATCH($A177,'2025_26'!$A:$A,0))/INDEX('2025_26'!$G:$G,MATCH($A177,'2025_26'!$A:$A,0))*90,"")</f>
        <v>3.5407725321888415</v>
      </c>
      <c r="AB177">
        <f>IFERROR(SUMPRODUCT(S177:U177,{0.2,0.3,0.5})/SUMPRODUCT(--(S177:U177&lt;&gt;""),{0.2,0.3,0.5}),"")</f>
        <v>3.2502063353599675E-2</v>
      </c>
      <c r="AC177">
        <f>IFERROR(SUMPRODUCT(V177:X177,{0.2,0.3,0.5})/SUMPRODUCT(--(V177:X177&lt;&gt;""),{0.2,0.3,0.5}),"")</f>
        <v>7.3654568930411807E-2</v>
      </c>
      <c r="AD177">
        <f>IFERROR(SUMPRODUCT(Y177:AA177,{0.2,0.3,0.5})/SUMPRODUCT((Y177:AA177&lt;&gt;"")*{0.2,0.3,0.5}),O177)</f>
        <v>3.0877499974803788</v>
      </c>
      <c r="AE177">
        <f t="shared" si="57"/>
        <v>3</v>
      </c>
      <c r="AF177" t="str">
        <f t="shared" si="58"/>
        <v/>
      </c>
      <c r="AG177">
        <f t="shared" si="59"/>
        <v>3.1093640608277021E-2</v>
      </c>
      <c r="AH177">
        <f t="shared" si="60"/>
        <v>7.0462870943427292E-2</v>
      </c>
      <c r="AI177" s="2">
        <f t="shared" si="61"/>
        <v>3.2539474975895626</v>
      </c>
      <c r="AJ177">
        <f t="shared" si="62"/>
        <v>4.3333333333333335E-2</v>
      </c>
      <c r="AK177" t="str">
        <f t="shared" si="63"/>
        <v>NO</v>
      </c>
      <c r="AL177">
        <f t="shared" si="64"/>
        <v>0</v>
      </c>
      <c r="AM177">
        <f t="shared" si="65"/>
        <v>0</v>
      </c>
      <c r="AN177">
        <f t="shared" si="66"/>
        <v>0</v>
      </c>
      <c r="AO177">
        <f t="shared" si="67"/>
        <v>0</v>
      </c>
      <c r="AP177">
        <f t="array" ref="AP177">AL177*IF($C177="GKP",10,IF($C177="DEF",6,IF($C177="MID",5,4)))</f>
        <v>0</v>
      </c>
      <c r="AQ177">
        <f t="shared" si="68"/>
        <v>0</v>
      </c>
      <c r="AR177">
        <f t="shared" si="69"/>
        <v>0</v>
      </c>
      <c r="AS177" s="2">
        <f>IF($H177=0,0,Player_Analysis!$AM177*$H177/90)</f>
        <v>0</v>
      </c>
      <c r="AT177">
        <f t="shared" si="70"/>
        <v>0</v>
      </c>
      <c r="AU177" s="2">
        <f>0</f>
        <v>0</v>
      </c>
      <c r="AV177" s="2">
        <f>IF(INDEX(FPL_Raw_Data!K:K,MATCH(A177,FPL_Raw_Data!AA:AA,0))=0,"",INDEX(FPL_Raw_Data!P:P,MATCH(A177,FPL_Raw_Data!AA:AA,0))/INDEX(FPL_Raw_Data!K:K,MATCH(A177,FPL_Raw_Data!AA:AA,0))*90)</f>
        <v>0</v>
      </c>
      <c r="AW177" s="2">
        <f t="shared" si="71"/>
        <v>0</v>
      </c>
      <c r="AX177" s="2">
        <f>IFERROR(INDEX(TEAM_ANALYSIS!$H$2:$H$21,MATCH($B177,TEAM_ANALYSIS!$A$2:$A$21,0)),0)</f>
        <v>2.3333333333333335</v>
      </c>
      <c r="AY177" s="2">
        <f t="shared" si="72"/>
        <v>0</v>
      </c>
      <c r="AZ177" s="2">
        <f t="shared" si="73"/>
        <v>0</v>
      </c>
      <c r="BA177">
        <f t="shared" si="74"/>
        <v>0</v>
      </c>
      <c r="BB177">
        <f>IFERROR(Player_Analysis!$Y177,1)</f>
        <v>1.0449221453287199</v>
      </c>
      <c r="BC177">
        <f t="shared" si="75"/>
        <v>0</v>
      </c>
      <c r="BD177">
        <f t="shared" si="76"/>
        <v>0</v>
      </c>
      <c r="BE177">
        <f t="shared" si="77"/>
        <v>0</v>
      </c>
      <c r="BF177">
        <f t="shared" si="78"/>
        <v>253</v>
      </c>
      <c r="BG177">
        <f>IF($BE177="","",COUNTIFS($C$2:$C$596,$C177,$BE$2:$BE$596,"&gt;"&amp;$BE177)+COUNTIFS($C$2:$C177,$C177,$BE$2:$BE177,$BE177))</f>
        <v>157</v>
      </c>
    </row>
    <row r="178" spans="1:59" x14ac:dyDescent="0.25">
      <c r="A178" t="str">
        <f>Player_Analysis!A178</f>
        <v>Roméo Lavia</v>
      </c>
      <c r="B178">
        <f>Player_Analysis!C178</f>
        <v>6</v>
      </c>
      <c r="C178" t="str">
        <f>Player_Analysis!B178</f>
        <v>MID</v>
      </c>
      <c r="D178" s="13">
        <f>Player_Analysis!E178</f>
        <v>5</v>
      </c>
      <c r="E178">
        <f>Player_Analysis!I178</f>
        <v>190</v>
      </c>
      <c r="F178" s="8">
        <f>Player_Analysis!Z178</f>
        <v>3</v>
      </c>
      <c r="G178" s="17">
        <f t="shared" si="53"/>
        <v>1</v>
      </c>
      <c r="H178">
        <f t="shared" si="54"/>
        <v>90</v>
      </c>
      <c r="I178" s="8">
        <f>Player_Analysis!AF178</f>
        <v>1</v>
      </c>
      <c r="J178" s="8">
        <f>Player_Analysis!AG178</f>
        <v>0</v>
      </c>
      <c r="K178">
        <f>Player_Analysis!O178</f>
        <v>0.75</v>
      </c>
      <c r="L178">
        <f>Player_Analysis!P178</f>
        <v>0.04</v>
      </c>
      <c r="M178">
        <f t="shared" si="55"/>
        <v>0.35526315789473684</v>
      </c>
      <c r="N178">
        <f t="shared" si="56"/>
        <v>1.8947368421052633E-2</v>
      </c>
      <c r="O178" s="2">
        <f>IF(E178=0,"",Player_Analysis!L178/E178*90)</f>
        <v>4.2631578947368425</v>
      </c>
      <c r="P178">
        <f>IF(E178=0,"",Player_Analysis!Q178/E178*90)</f>
        <v>0.37421052631578949</v>
      </c>
      <c r="Q178">
        <f>IF(E178=0,"",(Player_Analysis!AD178/E178)*90)</f>
        <v>22.263157894736842</v>
      </c>
      <c r="R178">
        <f>IF(E178=0,"",Player_Analysis!AA178/E178*90)</f>
        <v>10.421052631578947</v>
      </c>
      <c r="S178">
        <f t="array" ref="S178">IFERROR(INDEX('2023_24'!$O:$O,MATCH($A178,'2023_24'!$A:$A,0)),"")</f>
        <v>0</v>
      </c>
      <c r="T178">
        <f>IFERROR(INDEX('2024_25'!$P:$P,MATCH($A178,'2024_25'!$A:$A,0)),"")</f>
        <v>2.8409090909090912E-2</v>
      </c>
      <c r="U178">
        <f>IFERROR(INDEX('2025_26'!$P:$P,MATCH($A178,'2025_26'!$A:$A,0)),"")</f>
        <v>5.0534759358288765E-2</v>
      </c>
      <c r="V178">
        <f>IFERROR(INDEX('2023_24'!$P:$P,MATCH($A178,'2023_24'!$A:$A,0)),"")</f>
        <v>2.8125000000000001E-2</v>
      </c>
      <c r="W178">
        <f>IFERROR(INDEX('2024_25'!$Q:$Q,MATCH($A178,'2024_25'!$A:$A,0)),"")</f>
        <v>4.3181818181818182E-2</v>
      </c>
      <c r="X178">
        <f>IFERROR(INDEX('2025_26'!$Q:$Q,MATCH($A178,'2025_26'!$A:$A,0)),"")</f>
        <v>0.13235294117647062</v>
      </c>
      <c r="Y178">
        <f>IFERROR(INDEX('2023_24'!$M:$M,MATCH($A178,'2023_24'!$A:$A,0))/INDEX('2023_24'!$G:$G,MATCH($A178,'2023_24'!$A:$A,0))*90,"")</f>
        <v>2.8125</v>
      </c>
      <c r="Z178">
        <f>IFERROR(INDEX('2024_25'!$M:$M,MATCH($A178,'2024_25'!$A:$A,0))/INDEX('2024_25'!$G:$G,MATCH($A178,'2024_25'!$A:$A,0))*90,"")</f>
        <v>2.954545454545455</v>
      </c>
      <c r="AA178">
        <f>IFERROR(INDEX('2025_26'!$M:$M,MATCH($A178,'2025_26'!$A:$A,0))/INDEX('2025_26'!$G:$G,MATCH($A178,'2025_26'!$A:$A,0))*90,"")</f>
        <v>3.1283422459893049</v>
      </c>
      <c r="AB178">
        <f>IFERROR(SUMPRODUCT(S178:U178,{0.2,0.3,0.5})/SUMPRODUCT(--(S178:U178&lt;&gt;""),{0.2,0.3,0.5}),"")</f>
        <v>3.3790106951871658E-2</v>
      </c>
      <c r="AC178">
        <f>IFERROR(SUMPRODUCT(V178:X178,{0.2,0.3,0.5})/SUMPRODUCT(--(V178:X178&lt;&gt;""),{0.2,0.3,0.5}),"")</f>
        <v>8.4756016042780769E-2</v>
      </c>
      <c r="AD178">
        <f>IFERROR(SUMPRODUCT(Y178:AA178,{0.2,0.3,0.5})/SUMPRODUCT((Y178:AA178&lt;&gt;"")*{0.2,0.3,0.5}),O178)</f>
        <v>3.0130347593582889</v>
      </c>
      <c r="AE178">
        <f t="shared" si="57"/>
        <v>3</v>
      </c>
      <c r="AF178">
        <f t="shared" si="58"/>
        <v>63.333333333333336</v>
      </c>
      <c r="AG178">
        <f t="shared" si="59"/>
        <v>0.23738970588235292</v>
      </c>
      <c r="AH178">
        <f t="shared" si="60"/>
        <v>4.3077205882352948E-2</v>
      </c>
      <c r="AI178" s="2">
        <f t="shared" si="61"/>
        <v>3.8047794117647062</v>
      </c>
      <c r="AJ178">
        <f t="shared" si="62"/>
        <v>0.6333333333333333</v>
      </c>
      <c r="AK178" t="str">
        <f t="shared" si="63"/>
        <v>NO</v>
      </c>
      <c r="AL178">
        <f t="shared" si="64"/>
        <v>0.23738970588235292</v>
      </c>
      <c r="AM178">
        <f t="shared" si="65"/>
        <v>4.3077205882352948E-2</v>
      </c>
      <c r="AN178">
        <f t="shared" si="66"/>
        <v>0.23738970588235292</v>
      </c>
      <c r="AO178">
        <f t="shared" si="67"/>
        <v>4.3077205882352948E-2</v>
      </c>
      <c r="AP178">
        <f t="array" ref="AP178">AL178*IF($C178="GKP",10,IF($C178="DEF",6,IF($C178="MID",5,4)))</f>
        <v>1.1869485294117645</v>
      </c>
      <c r="AQ178">
        <f t="shared" si="68"/>
        <v>0.12923161764705884</v>
      </c>
      <c r="AR178">
        <f t="shared" si="69"/>
        <v>2</v>
      </c>
      <c r="AS178" s="2">
        <f>IF($H178=0,0,Player_Analysis!$AM178*$H178/90)</f>
        <v>0</v>
      </c>
      <c r="AT178">
        <f t="shared" si="70"/>
        <v>1.7368421052631577</v>
      </c>
      <c r="AU178" s="2">
        <f>0</f>
        <v>0</v>
      </c>
      <c r="AV178" s="2">
        <f>IF(INDEX(FPL_Raw_Data!K:K,MATCH(A178,FPL_Raw_Data!AA:AA,0))=0,"",INDEX(FPL_Raw_Data!P:P,MATCH(A178,FPL_Raw_Data!AA:AA,0))/INDEX(FPL_Raw_Data!K:K,MATCH(A178,FPL_Raw_Data!AA:AA,0))*90)</f>
        <v>0</v>
      </c>
      <c r="AW178" s="2">
        <f t="shared" si="71"/>
        <v>0</v>
      </c>
      <c r="AX178" s="2">
        <f>IFERROR(INDEX(TEAM_ANALYSIS!$H$2:$H$21,MATCH($B178,TEAM_ANALYSIS!$A$2:$A$21,0)),0)</f>
        <v>2.3333333333333335</v>
      </c>
      <c r="AY178" s="2">
        <f t="shared" si="72"/>
        <v>0</v>
      </c>
      <c r="AZ178" s="2">
        <f t="shared" si="73"/>
        <v>5.0530222523219814</v>
      </c>
      <c r="BA178">
        <f t="shared" si="74"/>
        <v>1.0106044504643963</v>
      </c>
      <c r="BB178">
        <f>IFERROR(Player_Analysis!$Y178,1)</f>
        <v>1.0449221453287199</v>
      </c>
      <c r="BC178">
        <f t="shared" si="75"/>
        <v>5.2800148522900452</v>
      </c>
      <c r="BD178">
        <f t="shared" si="76"/>
        <v>5.3360065082424315</v>
      </c>
      <c r="BE178">
        <f t="shared" si="77"/>
        <v>5.2800148522900452</v>
      </c>
      <c r="BF178">
        <f t="shared" si="78"/>
        <v>77</v>
      </c>
      <c r="BG178">
        <f>IF($BE178="","",COUNTIFS($C$2:$C$596,$C178,$BE$2:$BE$596,"&gt;"&amp;$BE178)+COUNTIFS($C$2:$C178,$C178,$BE$2:$BE178,$BE178))</f>
        <v>35</v>
      </c>
    </row>
    <row r="179" spans="1:59" x14ac:dyDescent="0.25">
      <c r="A179" t="str">
        <f>Player_Analysis!A179</f>
        <v>Dário Luís Essugo</v>
      </c>
      <c r="B179">
        <f>Player_Analysis!C179</f>
        <v>6</v>
      </c>
      <c r="C179" t="str">
        <f>Player_Analysis!B179</f>
        <v>MID</v>
      </c>
      <c r="D179" s="13">
        <f>Player_Analysis!E179</f>
        <v>4.5</v>
      </c>
      <c r="E179">
        <f>Player_Analysis!I179</f>
        <v>0</v>
      </c>
      <c r="F179" s="8">
        <f>Player_Analysis!Z179</f>
        <v>0</v>
      </c>
      <c r="G179" s="17">
        <f t="shared" si="53"/>
        <v>0</v>
      </c>
      <c r="H179">
        <f t="shared" si="54"/>
        <v>0</v>
      </c>
      <c r="I179" s="8">
        <f>Player_Analysis!AF179</f>
        <v>0</v>
      </c>
      <c r="J179" s="8">
        <f>Player_Analysis!AG179</f>
        <v>0</v>
      </c>
      <c r="K179">
        <f>Player_Analysis!O179</f>
        <v>0</v>
      </c>
      <c r="L179">
        <f>Player_Analysis!P179</f>
        <v>0</v>
      </c>
      <c r="M179" t="str">
        <f t="shared" si="55"/>
        <v/>
      </c>
      <c r="N179" t="str">
        <f t="shared" si="56"/>
        <v/>
      </c>
      <c r="O179" s="2" t="str">
        <f>IF(E179=0,"",Player_Analysis!L179/E179*90)</f>
        <v/>
      </c>
      <c r="P179" t="str">
        <f>IF(E179=0,"",Player_Analysis!Q179/E179*90)</f>
        <v/>
      </c>
      <c r="Q179" t="str">
        <f>IF(E179=0,"",(Player_Analysis!AD179/E179)*90)</f>
        <v/>
      </c>
      <c r="R179" t="str">
        <f>IF(E179=0,"",Player_Analysis!AA179/E179*90)</f>
        <v/>
      </c>
      <c r="S179" t="str">
        <f t="array" ref="S179">IFERROR(INDEX('2023_24'!$O:$O,MATCH($A179,'2023_24'!$A:$A,0)),"")</f>
        <v/>
      </c>
      <c r="T179" t="str">
        <f>IFERROR(INDEX('2024_25'!$P:$P,MATCH($A179,'2024_25'!$A:$A,0)),"")</f>
        <v/>
      </c>
      <c r="U179">
        <f>IFERROR(INDEX('2025_26'!$P:$P,MATCH($A179,'2025_26'!$A:$A,0)),"")</f>
        <v>0</v>
      </c>
      <c r="V179" t="str">
        <f>IFERROR(INDEX('2023_24'!$P:$P,MATCH($A179,'2023_24'!$A:$A,0)),"")</f>
        <v/>
      </c>
      <c r="W179" t="str">
        <f>IFERROR(INDEX('2024_25'!$Q:$Q,MATCH($A179,'2024_25'!$A:$A,0)),"")</f>
        <v/>
      </c>
      <c r="X179">
        <f>IFERROR(INDEX('2025_26'!$Q:$Q,MATCH($A179,'2025_26'!$A:$A,0)),"")</f>
        <v>3.4615384615384617E-2</v>
      </c>
      <c r="Y179" t="str">
        <f>IFERROR(INDEX('2023_24'!$M:$M,MATCH($A179,'2023_24'!$A:$A,0))/INDEX('2023_24'!$G:$G,MATCH($A179,'2023_24'!$A:$A,0))*90,"")</f>
        <v/>
      </c>
      <c r="Z179" t="str">
        <f>IFERROR(INDEX('2024_25'!$M:$M,MATCH($A179,'2024_25'!$A:$A,0))/INDEX('2024_25'!$G:$G,MATCH($A179,'2024_25'!$A:$A,0))*90,"")</f>
        <v/>
      </c>
      <c r="AA179">
        <f>IFERROR(INDEX('2025_26'!$M:$M,MATCH($A179,'2025_26'!$A:$A,0))/INDEX('2025_26'!$G:$G,MATCH($A179,'2025_26'!$A:$A,0))*90,"")</f>
        <v>3.4615384615384617</v>
      </c>
      <c r="AB179">
        <f>IFERROR(SUMPRODUCT(S179:U179,{0.2,0.3,0.5})/SUMPRODUCT(--(S179:U179&lt;&gt;""),{0.2,0.3,0.5}),"")</f>
        <v>0</v>
      </c>
      <c r="AC179">
        <f>IFERROR(SUMPRODUCT(V179:X179,{0.2,0.3,0.5})/SUMPRODUCT(--(V179:X179&lt;&gt;""),{0.2,0.3,0.5}),"")</f>
        <v>3.4615384615384617E-2</v>
      </c>
      <c r="AD179">
        <f>IFERROR(SUMPRODUCT(Y179:AA179,{0.2,0.3,0.5})/SUMPRODUCT((Y179:AA179&lt;&gt;"")*{0.2,0.3,0.5}),O179)</f>
        <v>3.4615384615384617</v>
      </c>
      <c r="AE179">
        <f t="shared" si="57"/>
        <v>1</v>
      </c>
      <c r="AF179" t="str">
        <f t="shared" si="58"/>
        <v/>
      </c>
      <c r="AG179">
        <f t="shared" si="59"/>
        <v>0</v>
      </c>
      <c r="AH179">
        <f t="shared" si="60"/>
        <v>3.4615384615384617E-2</v>
      </c>
      <c r="AI179" s="2">
        <f t="shared" si="61"/>
        <v>3.4615384615384617</v>
      </c>
      <c r="AJ179">
        <f t="shared" si="62"/>
        <v>0</v>
      </c>
      <c r="AK179" t="str">
        <f t="shared" si="63"/>
        <v>NO</v>
      </c>
      <c r="AL179">
        <f t="shared" si="64"/>
        <v>0</v>
      </c>
      <c r="AM179">
        <f t="shared" si="65"/>
        <v>0</v>
      </c>
      <c r="AN179">
        <f t="shared" si="66"/>
        <v>0</v>
      </c>
      <c r="AO179">
        <f t="shared" si="67"/>
        <v>0</v>
      </c>
      <c r="AP179">
        <f t="array" ref="AP179">AL179*IF($C179="GKP",10,IF($C179="DEF",6,IF($C179="MID",5,4)))</f>
        <v>0</v>
      </c>
      <c r="AQ179">
        <f t="shared" si="68"/>
        <v>0</v>
      </c>
      <c r="AR179">
        <f t="shared" si="69"/>
        <v>0</v>
      </c>
      <c r="AS179" s="2">
        <f>IF($H179=0,0,Player_Analysis!$AM179*$H179/90)</f>
        <v>0</v>
      </c>
      <c r="AT179">
        <f t="shared" si="70"/>
        <v>0</v>
      </c>
      <c r="AU179" s="2">
        <f>0</f>
        <v>0</v>
      </c>
      <c r="AV179" s="2" t="str">
        <f>IF(INDEX(FPL_Raw_Data!K:K,MATCH(A179,FPL_Raw_Data!AA:AA,0))=0,"",INDEX(FPL_Raw_Data!P:P,MATCH(A179,FPL_Raw_Data!AA:AA,0))/INDEX(FPL_Raw_Data!K:K,MATCH(A179,FPL_Raw_Data!AA:AA,0))*90)</f>
        <v/>
      </c>
      <c r="AW179" s="2">
        <f t="shared" si="71"/>
        <v>0</v>
      </c>
      <c r="AX179" s="2">
        <f>IFERROR(INDEX(TEAM_ANALYSIS!$H$2:$H$21,MATCH($B179,TEAM_ANALYSIS!$A$2:$A$21,0)),0)</f>
        <v>2.3333333333333335</v>
      </c>
      <c r="AY179" s="2">
        <f t="shared" si="72"/>
        <v>0</v>
      </c>
      <c r="AZ179" s="2">
        <f t="shared" si="73"/>
        <v>0</v>
      </c>
      <c r="BA179">
        <f t="shared" si="74"/>
        <v>0</v>
      </c>
      <c r="BB179">
        <f>IFERROR(Player_Analysis!$Y179,1)</f>
        <v>1.0449221453287199</v>
      </c>
      <c r="BC179">
        <f t="shared" si="75"/>
        <v>0</v>
      </c>
      <c r="BD179">
        <f t="shared" si="76"/>
        <v>0</v>
      </c>
      <c r="BE179">
        <f t="shared" si="77"/>
        <v>0</v>
      </c>
      <c r="BF179">
        <f t="shared" si="78"/>
        <v>253</v>
      </c>
      <c r="BG179">
        <f>IF($BE179="","",COUNTIFS($C$2:$C$596,$C179,$BE$2:$BE$596,"&gt;"&amp;$BE179)+COUNTIFS($C$2:$C179,$C179,$BE$2:$BE179,$BE179))</f>
        <v>158</v>
      </c>
    </row>
    <row r="180" spans="1:59" x14ac:dyDescent="0.25">
      <c r="A180" t="str">
        <f>Player_Analysis!A180</f>
        <v>Geovany Quenda</v>
      </c>
      <c r="B180">
        <f>Player_Analysis!C180</f>
        <v>6</v>
      </c>
      <c r="C180" t="str">
        <f>Player_Analysis!B180</f>
        <v>MID</v>
      </c>
      <c r="D180" s="13">
        <f>Player_Analysis!E180</f>
        <v>5.4</v>
      </c>
      <c r="E180">
        <f>Player_Analysis!I180</f>
        <v>8</v>
      </c>
      <c r="F180" s="8">
        <f>Player_Analysis!Z180</f>
        <v>0</v>
      </c>
      <c r="G180" s="17">
        <f t="shared" si="53"/>
        <v>0</v>
      </c>
      <c r="H180">
        <f t="shared" si="54"/>
        <v>0</v>
      </c>
      <c r="I180" s="8">
        <f>Player_Analysis!AF180</f>
        <v>0</v>
      </c>
      <c r="J180" s="8">
        <f>Player_Analysis!AG180</f>
        <v>0</v>
      </c>
      <c r="K180">
        <f>Player_Analysis!O180</f>
        <v>0</v>
      </c>
      <c r="L180">
        <f>Player_Analysis!P180</f>
        <v>0</v>
      </c>
      <c r="M180">
        <f t="shared" si="55"/>
        <v>0</v>
      </c>
      <c r="N180">
        <f t="shared" si="56"/>
        <v>0</v>
      </c>
      <c r="O180" s="2">
        <f>IF(E180=0,"",Player_Analysis!L180/E180*90)</f>
        <v>11.25</v>
      </c>
      <c r="P180">
        <f>IF(E180=0,"",Player_Analysis!Q180/E180*90)</f>
        <v>0</v>
      </c>
      <c r="Q180">
        <f>IF(E180=0,"",(Player_Analysis!AD180/E180)*90)</f>
        <v>22.5</v>
      </c>
      <c r="R180">
        <f>IF(E180=0,"",Player_Analysis!AA180/E180*90)</f>
        <v>11.25</v>
      </c>
      <c r="S180" t="str">
        <f t="array" ref="S180">IFERROR(INDEX('2023_24'!$O:$O,MATCH($A180,'2023_24'!$A:$A,0)),"")</f>
        <v/>
      </c>
      <c r="T180" t="str">
        <f>IFERROR(INDEX('2024_25'!$P:$P,MATCH($A180,'2024_25'!$A:$A,0)),"")</f>
        <v/>
      </c>
      <c r="U180" t="str">
        <f>IFERROR(INDEX('2025_26'!$P:$P,MATCH($A180,'2025_26'!$A:$A,0)),"")</f>
        <v/>
      </c>
      <c r="V180" t="str">
        <f>IFERROR(INDEX('2023_24'!$P:$P,MATCH($A180,'2023_24'!$A:$A,0)),"")</f>
        <v/>
      </c>
      <c r="W180" t="str">
        <f>IFERROR(INDEX('2024_25'!$Q:$Q,MATCH($A180,'2024_25'!$A:$A,0)),"")</f>
        <v/>
      </c>
      <c r="X180" t="str">
        <f>IFERROR(INDEX('2025_26'!$Q:$Q,MATCH($A180,'2025_26'!$A:$A,0)),"")</f>
        <v/>
      </c>
      <c r="Y180" t="str">
        <f>IFERROR(INDEX('2023_24'!$M:$M,MATCH($A180,'2023_24'!$A:$A,0))/INDEX('2023_24'!$G:$G,MATCH($A180,'2023_24'!$A:$A,0))*90,"")</f>
        <v/>
      </c>
      <c r="Z180" t="str">
        <f>IFERROR(INDEX('2024_25'!$M:$M,MATCH($A180,'2024_25'!$A:$A,0))/INDEX('2024_25'!$G:$G,MATCH($A180,'2024_25'!$A:$A,0))*90,"")</f>
        <v/>
      </c>
      <c r="AA180" t="str">
        <f>IFERROR(INDEX('2025_26'!$M:$M,MATCH($A180,'2025_26'!$A:$A,0))/INDEX('2025_26'!$G:$G,MATCH($A180,'2025_26'!$A:$A,0))*90,"")</f>
        <v/>
      </c>
      <c r="AB180" t="str">
        <f>IFERROR(SUMPRODUCT(S180:U180,{0.2,0.3,0.5})/SUMPRODUCT(--(S180:U180&lt;&gt;""),{0.2,0.3,0.5}),"")</f>
        <v/>
      </c>
      <c r="AC180" t="str">
        <f>IFERROR(SUMPRODUCT(V180:X180,{0.2,0.3,0.5})/SUMPRODUCT(--(V180:X180&lt;&gt;""),{0.2,0.3,0.5}),"")</f>
        <v/>
      </c>
      <c r="AD180">
        <f>IFERROR(SUMPRODUCT(Y180:AA180,{0.2,0.3,0.5})/SUMPRODUCT((Y180:AA180&lt;&gt;"")*{0.2,0.3,0.5}),O180)</f>
        <v>11.25</v>
      </c>
      <c r="AE180">
        <f t="shared" si="57"/>
        <v>0</v>
      </c>
      <c r="AF180" t="str">
        <f t="shared" si="58"/>
        <v/>
      </c>
      <c r="AG180">
        <f t="shared" si="59"/>
        <v>0</v>
      </c>
      <c r="AH180">
        <f t="shared" si="60"/>
        <v>0</v>
      </c>
      <c r="AI180" s="2">
        <f t="shared" si="61"/>
        <v>11.250000000000002</v>
      </c>
      <c r="AJ180">
        <f t="shared" si="62"/>
        <v>2.6666666666666668E-2</v>
      </c>
      <c r="AK180" t="str">
        <f t="shared" si="63"/>
        <v>YES</v>
      </c>
      <c r="AL180">
        <f t="shared" si="64"/>
        <v>0</v>
      </c>
      <c r="AM180">
        <f t="shared" si="65"/>
        <v>0</v>
      </c>
      <c r="AN180">
        <f t="shared" si="66"/>
        <v>0</v>
      </c>
      <c r="AO180">
        <f t="shared" si="67"/>
        <v>0</v>
      </c>
      <c r="AP180">
        <f t="array" ref="AP180">AL180*IF($C180="GKP",10,IF($C180="DEF",6,IF($C180="MID",5,4)))</f>
        <v>0</v>
      </c>
      <c r="AQ180">
        <f t="shared" si="68"/>
        <v>0</v>
      </c>
      <c r="AR180">
        <f t="shared" si="69"/>
        <v>0</v>
      </c>
      <c r="AS180" s="2">
        <f>IF($H180=0,0,Player_Analysis!$AM180*$H180/90)</f>
        <v>0</v>
      </c>
      <c r="AT180">
        <f t="shared" si="70"/>
        <v>0</v>
      </c>
      <c r="AU180" s="2">
        <f>0</f>
        <v>0</v>
      </c>
      <c r="AV180" s="2">
        <f>IF(INDEX(FPL_Raw_Data!K:K,MATCH(A180,FPL_Raw_Data!AA:AA,0))=0,"",INDEX(FPL_Raw_Data!P:P,MATCH(A180,FPL_Raw_Data!AA:AA,0))/INDEX(FPL_Raw_Data!K:K,MATCH(A180,FPL_Raw_Data!AA:AA,0))*90)</f>
        <v>0</v>
      </c>
      <c r="AW180" s="2">
        <f t="shared" si="71"/>
        <v>0</v>
      </c>
      <c r="AX180" s="2">
        <f>IFERROR(INDEX(TEAM_ANALYSIS!$H$2:$H$21,MATCH($B180,TEAM_ANALYSIS!$A$2:$A$21,0)),0)</f>
        <v>2.3333333333333335</v>
      </c>
      <c r="AY180" s="2">
        <f t="shared" si="72"/>
        <v>0</v>
      </c>
      <c r="AZ180" s="2">
        <f t="shared" si="73"/>
        <v>0</v>
      </c>
      <c r="BA180">
        <f t="shared" si="74"/>
        <v>0</v>
      </c>
      <c r="BB180">
        <f>IFERROR(Player_Analysis!$Y180,1)</f>
        <v>1.0449221453287199</v>
      </c>
      <c r="BC180">
        <f t="shared" si="75"/>
        <v>0</v>
      </c>
      <c r="BD180">
        <f t="shared" si="76"/>
        <v>0</v>
      </c>
      <c r="BE180">
        <f t="shared" si="77"/>
        <v>0</v>
      </c>
      <c r="BF180">
        <f t="shared" si="78"/>
        <v>253</v>
      </c>
      <c r="BG180">
        <f>IF($BE180="","",COUNTIFS($C$2:$C$596,$C180,$BE$2:$BE$596,"&gt;"&amp;$BE180)+COUNTIFS($C$2:$C180,$C180,$BE$2:$BE180,$BE180))</f>
        <v>159</v>
      </c>
    </row>
    <row r="181" spans="1:59" x14ac:dyDescent="0.25">
      <c r="A181" t="str">
        <f>Player_Analysis!A181</f>
        <v>João Pedro Junqueira de Jesus</v>
      </c>
      <c r="B181">
        <f>Player_Analysis!C181</f>
        <v>6</v>
      </c>
      <c r="C181" t="str">
        <f>Player_Analysis!B181</f>
        <v>FWD</v>
      </c>
      <c r="D181" s="13">
        <f>Player_Analysis!E181</f>
        <v>7.7</v>
      </c>
      <c r="E181">
        <f>Player_Analysis!I181</f>
        <v>270</v>
      </c>
      <c r="F181" s="8">
        <f>Player_Analysis!Z181</f>
        <v>3</v>
      </c>
      <c r="G181" s="17">
        <f t="shared" si="53"/>
        <v>1</v>
      </c>
      <c r="H181">
        <f t="shared" si="54"/>
        <v>90</v>
      </c>
      <c r="I181" s="8">
        <f>Player_Analysis!AF181</f>
        <v>2</v>
      </c>
      <c r="J181" s="8">
        <f>Player_Analysis!AG181</f>
        <v>2</v>
      </c>
      <c r="K181">
        <f>Player_Analysis!O181</f>
        <v>1.88</v>
      </c>
      <c r="L181">
        <f>Player_Analysis!P181</f>
        <v>0.15</v>
      </c>
      <c r="M181">
        <f t="shared" si="55"/>
        <v>0.62666666666666659</v>
      </c>
      <c r="N181">
        <f t="shared" si="56"/>
        <v>0.05</v>
      </c>
      <c r="O181" s="2">
        <f>IF(E181=0,"",Player_Analysis!L181/E181*90)</f>
        <v>7</v>
      </c>
      <c r="P181">
        <f>IF(E181=0,"",Player_Analysis!Q181/E181*90)</f>
        <v>0.67666666666666664</v>
      </c>
      <c r="Q181">
        <f>IF(E181=0,"",(Player_Analysis!AD181/E181)*90)</f>
        <v>32.333333333333336</v>
      </c>
      <c r="R181">
        <f>IF(E181=0,"",Player_Analysis!AA181/E181*90)</f>
        <v>2.3333333333333335</v>
      </c>
      <c r="S181">
        <f t="array" ref="S181">IFERROR(INDEX('2023_24'!$O:$O,MATCH($A181,'2023_24'!$A:$A,0)),"")</f>
        <v>0.53063328424153167</v>
      </c>
      <c r="T181">
        <f>IFERROR(INDEX('2024_25'!$P:$P,MATCH($A181,'2024_25'!$A:$A,0)),"")</f>
        <v>0.41438848920863314</v>
      </c>
      <c r="U181">
        <f>IFERROR(INDEX('2025_26'!$P:$P,MATCH($A181,'2025_26'!$A:$A,0)),"")</f>
        <v>0.50485327313769757</v>
      </c>
      <c r="V181">
        <f>IFERROR(INDEX('2023_24'!$P:$P,MATCH($A181,'2023_24'!$A:$A,0)),"")</f>
        <v>0.20500736377025033</v>
      </c>
      <c r="W181">
        <f>IFERROR(INDEX('2024_25'!$Q:$Q,MATCH($A181,'2024_25'!$A:$A,0)),"")</f>
        <v>0.14337101747173692</v>
      </c>
      <c r="X181">
        <f>IFERROR(INDEX('2025_26'!$Q:$Q,MATCH($A181,'2025_26'!$A:$A,0)),"")</f>
        <v>6.6365688487584645E-2</v>
      </c>
      <c r="Y181">
        <f>IFERROR(INDEX('2023_24'!$M:$M,MATCH($A181,'2023_24'!$A:$A,0))/INDEX('2023_24'!$G:$G,MATCH($A181,'2023_24'!$A:$A,0))*90,"")</f>
        <v>4.5949926362297493</v>
      </c>
      <c r="Z181">
        <f>IFERROR(INDEX('2024_25'!$M:$M,MATCH($A181,'2024_25'!$A:$A,0))/INDEX('2024_25'!$G:$G,MATCH($A181,'2024_25'!$A:$A,0))*90,"")</f>
        <v>5.8273381294964031</v>
      </c>
      <c r="AA181">
        <f>IFERROR(INDEX('2025_26'!$M:$M,MATCH($A181,'2025_26'!$A:$A,0))/INDEX('2025_26'!$G:$G,MATCH($A181,'2025_26'!$A:$A,0))*90,"")</f>
        <v>5.9932279909706541</v>
      </c>
      <c r="AB181">
        <f>IFERROR(SUMPRODUCT(S181:U181,{0.2,0.3,0.5})/SUMPRODUCT(--(S181:U181&lt;&gt;""),{0.2,0.3,0.5}),"")</f>
        <v>0.48286984017974505</v>
      </c>
      <c r="AC181">
        <f>IFERROR(SUMPRODUCT(V181:X181,{0.2,0.3,0.5})/SUMPRODUCT(--(V181:X181&lt;&gt;""),{0.2,0.3,0.5}),"")</f>
        <v>0.11719562223936346</v>
      </c>
      <c r="AD181">
        <f>IFERROR(SUMPRODUCT(Y181:AA181,{0.2,0.3,0.5})/SUMPRODUCT((Y181:AA181&lt;&gt;"")*{0.2,0.3,0.5}),O181)</f>
        <v>5.6638139615801979</v>
      </c>
      <c r="AE181">
        <f t="shared" si="57"/>
        <v>3</v>
      </c>
      <c r="AF181">
        <f t="shared" si="58"/>
        <v>90</v>
      </c>
      <c r="AG181">
        <f t="shared" si="59"/>
        <v>0.61228698401797443</v>
      </c>
      <c r="AH181">
        <f t="shared" si="60"/>
        <v>5.671956222393635E-2</v>
      </c>
      <c r="AI181" s="2">
        <f t="shared" si="61"/>
        <v>6.8663813961580198</v>
      </c>
      <c r="AJ181">
        <f t="shared" si="62"/>
        <v>0.9</v>
      </c>
      <c r="AK181" t="str">
        <f t="shared" si="63"/>
        <v>NO</v>
      </c>
      <c r="AL181">
        <f t="shared" si="64"/>
        <v>0.61228698401797443</v>
      </c>
      <c r="AM181">
        <f t="shared" si="65"/>
        <v>5.6719562223936357E-2</v>
      </c>
      <c r="AN181">
        <f t="shared" si="66"/>
        <v>0.61228698401797443</v>
      </c>
      <c r="AO181">
        <f t="shared" si="67"/>
        <v>5.6719562223936357E-2</v>
      </c>
      <c r="AP181">
        <f t="array" ref="AP181">AL181*IF($C181="GKP",10,IF($C181="DEF",6,IF($C181="MID",5,4)))</f>
        <v>2.4491479360718977</v>
      </c>
      <c r="AQ181">
        <f t="shared" si="68"/>
        <v>0.17015868667180906</v>
      </c>
      <c r="AR181">
        <f t="shared" si="69"/>
        <v>2</v>
      </c>
      <c r="AS181" s="2">
        <f>IF($H181=0,0,Player_Analysis!$AM181*$H181/90)</f>
        <v>0</v>
      </c>
      <c r="AT181">
        <f t="shared" si="70"/>
        <v>0.3888888888888889</v>
      </c>
      <c r="AU181" s="2">
        <f>0</f>
        <v>0</v>
      </c>
      <c r="AV181" s="2">
        <f>IF(INDEX(FPL_Raw_Data!K:K,MATCH(A181,FPL_Raw_Data!AA:AA,0))=0,"",INDEX(FPL_Raw_Data!P:P,MATCH(A181,FPL_Raw_Data!AA:AA,0))/INDEX(FPL_Raw_Data!K:K,MATCH(A181,FPL_Raw_Data!AA:AA,0))*90)</f>
        <v>0</v>
      </c>
      <c r="AW181" s="2">
        <f t="shared" si="71"/>
        <v>0</v>
      </c>
      <c r="AX181" s="2">
        <f>IFERROR(INDEX(TEAM_ANALYSIS!$H$2:$H$21,MATCH($B181,TEAM_ANALYSIS!$A$2:$A$21,0)),0)</f>
        <v>2.3333333333333335</v>
      </c>
      <c r="AY181" s="2">
        <f t="shared" si="72"/>
        <v>0</v>
      </c>
      <c r="AZ181" s="2">
        <f t="shared" si="73"/>
        <v>5.0081955116325965</v>
      </c>
      <c r="BA181">
        <f t="shared" si="74"/>
        <v>0.65041500151072684</v>
      </c>
      <c r="BB181">
        <f>IFERROR(Player_Analysis!$Y181,1)</f>
        <v>1.0449221453287199</v>
      </c>
      <c r="BC181">
        <f t="shared" si="75"/>
        <v>5.2331743982407986</v>
      </c>
      <c r="BD181">
        <f t="shared" si="76"/>
        <v>3.403735134137686</v>
      </c>
      <c r="BE181">
        <f t="shared" si="77"/>
        <v>5.2331743982407986</v>
      </c>
      <c r="BF181">
        <f t="shared" si="78"/>
        <v>80</v>
      </c>
      <c r="BG181">
        <f>IF($BE181="","",COUNTIFS($C$2:$C$596,$C181,$BE$2:$BE$596,"&gt;"&amp;$BE181)+COUNTIFS($C$2:$C181,$C181,$BE$2:$BE181,$BE181))</f>
        <v>8</v>
      </c>
    </row>
    <row r="182" spans="1:59" x14ac:dyDescent="0.25">
      <c r="A182" t="str">
        <f>Player_Analysis!A182</f>
        <v>Marc Guiu Paz</v>
      </c>
      <c r="B182">
        <f>Player_Analysis!C182</f>
        <v>6</v>
      </c>
      <c r="C182" t="str">
        <f>Player_Analysis!B182</f>
        <v>FWD</v>
      </c>
      <c r="D182" s="13">
        <f>Player_Analysis!E182</f>
        <v>5</v>
      </c>
      <c r="E182">
        <f>Player_Analysis!I182</f>
        <v>0</v>
      </c>
      <c r="F182" s="8">
        <f>Player_Analysis!Z182</f>
        <v>0</v>
      </c>
      <c r="G182" s="17">
        <f t="shared" si="53"/>
        <v>0</v>
      </c>
      <c r="H182">
        <f t="shared" si="54"/>
        <v>0</v>
      </c>
      <c r="I182" s="8">
        <f>Player_Analysis!AF182</f>
        <v>0</v>
      </c>
      <c r="J182" s="8">
        <f>Player_Analysis!AG182</f>
        <v>0</v>
      </c>
      <c r="K182">
        <f>Player_Analysis!O182</f>
        <v>0</v>
      </c>
      <c r="L182">
        <f>Player_Analysis!P182</f>
        <v>0</v>
      </c>
      <c r="M182" t="str">
        <f t="shared" si="55"/>
        <v/>
      </c>
      <c r="N182" t="str">
        <f t="shared" si="56"/>
        <v/>
      </c>
      <c r="O182" s="2" t="str">
        <f>IF(E182=0,"",Player_Analysis!L182/E182*90)</f>
        <v/>
      </c>
      <c r="P182" t="str">
        <f>IF(E182=0,"",Player_Analysis!Q182/E182*90)</f>
        <v/>
      </c>
      <c r="Q182" t="str">
        <f>IF(E182=0,"",(Player_Analysis!AD182/E182)*90)</f>
        <v/>
      </c>
      <c r="R182" t="str">
        <f>IF(E182=0,"",Player_Analysis!AA182/E182*90)</f>
        <v/>
      </c>
      <c r="S182" t="str">
        <f t="array" ref="S182">IFERROR(INDEX('2023_24'!$O:$O,MATCH($A182,'2023_24'!$A:$A,0)),"")</f>
        <v/>
      </c>
      <c r="T182">
        <f>IFERROR(INDEX('2024_25'!$P:$P,MATCH($A182,'2024_25'!$A:$A,0)),"")</f>
        <v>0</v>
      </c>
      <c r="U182">
        <f>IFERROR(INDEX('2025_26'!$P:$P,MATCH($A182,'2025_26'!$A:$A,0)),"")</f>
        <v>0.52301886792452834</v>
      </c>
      <c r="V182" t="str">
        <f>IFERROR(INDEX('2023_24'!$P:$P,MATCH($A182,'2023_24'!$A:$A,0)),"")</f>
        <v/>
      </c>
      <c r="W182">
        <f>IFERROR(INDEX('2024_25'!$Q:$Q,MATCH($A182,'2024_25'!$A:$A,0)),"")</f>
        <v>2.5352112676056339E-2</v>
      </c>
      <c r="X182">
        <f>IFERROR(INDEX('2025_26'!$Q:$Q,MATCH($A182,'2025_26'!$A:$A,0)),"")</f>
        <v>9.849056603773583E-2</v>
      </c>
      <c r="Y182" t="str">
        <f>IFERROR(INDEX('2023_24'!$M:$M,MATCH($A182,'2023_24'!$A:$A,0))/INDEX('2023_24'!$G:$G,MATCH($A182,'2023_24'!$A:$A,0))*90,"")</f>
        <v/>
      </c>
      <c r="Z182">
        <f>IFERROR(INDEX('2024_25'!$M:$M,MATCH($A182,'2024_25'!$A:$A,0))/INDEX('2024_25'!$G:$G,MATCH($A182,'2024_25'!$A:$A,0))*90,"")</f>
        <v>3.8028169014084505</v>
      </c>
      <c r="AA182">
        <f>IFERROR(INDEX('2025_26'!$M:$M,MATCH($A182,'2025_26'!$A:$A,0))/INDEX('2025_26'!$G:$G,MATCH($A182,'2025_26'!$A:$A,0))*90,"")</f>
        <v>4.4150943396226419</v>
      </c>
      <c r="AB182">
        <f>IFERROR(SUMPRODUCT(S182:U182,{0.2,0.3,0.5})/SUMPRODUCT(--(S182:U182&lt;&gt;""),{0.2,0.3,0.5}),"")</f>
        <v>0.3268867924528302</v>
      </c>
      <c r="AC182">
        <f>IFERROR(SUMPRODUCT(V182:X182,{0.2,0.3,0.5})/SUMPRODUCT(--(V182:X182&lt;&gt;""),{0.2,0.3,0.5}),"")</f>
        <v>7.106364602710602E-2</v>
      </c>
      <c r="AD182">
        <f>IFERROR(SUMPRODUCT(Y182:AA182,{0.2,0.3,0.5})/SUMPRODUCT((Y182:AA182&lt;&gt;"")*{0.2,0.3,0.5}),O182)</f>
        <v>4.1854903002923196</v>
      </c>
      <c r="AE182">
        <f t="shared" si="57"/>
        <v>2</v>
      </c>
      <c r="AF182" t="str">
        <f t="shared" si="58"/>
        <v/>
      </c>
      <c r="AG182">
        <f t="shared" si="59"/>
        <v>0.3268867924528302</v>
      </c>
      <c r="AH182">
        <f t="shared" si="60"/>
        <v>7.106364602710602E-2</v>
      </c>
      <c r="AI182" s="2">
        <f t="shared" si="61"/>
        <v>4.1854903002923196</v>
      </c>
      <c r="AJ182">
        <f t="shared" si="62"/>
        <v>0</v>
      </c>
      <c r="AK182" t="str">
        <f t="shared" si="63"/>
        <v>NO</v>
      </c>
      <c r="AL182">
        <f t="shared" si="64"/>
        <v>0</v>
      </c>
      <c r="AM182">
        <f t="shared" si="65"/>
        <v>0</v>
      </c>
      <c r="AN182">
        <f t="shared" si="66"/>
        <v>0</v>
      </c>
      <c r="AO182">
        <f t="shared" si="67"/>
        <v>0</v>
      </c>
      <c r="AP182">
        <f t="array" ref="AP182">AL182*IF($C182="GKP",10,IF($C182="DEF",6,IF($C182="MID",5,4)))</f>
        <v>0</v>
      </c>
      <c r="AQ182">
        <f t="shared" si="68"/>
        <v>0</v>
      </c>
      <c r="AR182">
        <f t="shared" si="69"/>
        <v>0</v>
      </c>
      <c r="AS182" s="2">
        <f>IF($H182=0,0,Player_Analysis!$AM182*$H182/90)</f>
        <v>0</v>
      </c>
      <c r="AT182">
        <f t="shared" si="70"/>
        <v>0</v>
      </c>
      <c r="AU182" s="2">
        <f>0</f>
        <v>0</v>
      </c>
      <c r="AV182" s="2" t="str">
        <f>IF(INDEX(FPL_Raw_Data!K:K,MATCH(A182,FPL_Raw_Data!AA:AA,0))=0,"",INDEX(FPL_Raw_Data!P:P,MATCH(A182,FPL_Raw_Data!AA:AA,0))/INDEX(FPL_Raw_Data!K:K,MATCH(A182,FPL_Raw_Data!AA:AA,0))*90)</f>
        <v/>
      </c>
      <c r="AW182" s="2">
        <f t="shared" si="71"/>
        <v>0</v>
      </c>
      <c r="AX182" s="2">
        <f>IFERROR(INDEX(TEAM_ANALYSIS!$H$2:$H$21,MATCH($B182,TEAM_ANALYSIS!$A$2:$A$21,0)),0)</f>
        <v>2.3333333333333335</v>
      </c>
      <c r="AY182" s="2">
        <f t="shared" si="72"/>
        <v>0</v>
      </c>
      <c r="AZ182" s="2">
        <f t="shared" si="73"/>
        <v>0</v>
      </c>
      <c r="BA182">
        <f t="shared" si="74"/>
        <v>0</v>
      </c>
      <c r="BB182">
        <f>IFERROR(Player_Analysis!$Y182,1)</f>
        <v>1.0449221453287199</v>
      </c>
      <c r="BC182">
        <f t="shared" si="75"/>
        <v>0</v>
      </c>
      <c r="BD182">
        <f t="shared" si="76"/>
        <v>0</v>
      </c>
      <c r="BE182">
        <f t="shared" si="77"/>
        <v>0</v>
      </c>
      <c r="BF182">
        <f t="shared" si="78"/>
        <v>253</v>
      </c>
      <c r="BG182">
        <f>IF($BE182="","",COUNTIFS($C$2:$C$596,$C182,$BE$2:$BE$596,"&gt;"&amp;$BE182)+COUNTIFS($C$2:$C182,$C182,$BE$2:$BE182,$BE182))</f>
        <v>40</v>
      </c>
    </row>
    <row r="183" spans="1:59" x14ac:dyDescent="0.25">
      <c r="A183" t="str">
        <f>Player_Analysis!A183</f>
        <v>Shumaira Mheuka</v>
      </c>
      <c r="B183">
        <f>Player_Analysis!C183</f>
        <v>6</v>
      </c>
      <c r="C183" t="str">
        <f>Player_Analysis!B183</f>
        <v>FWD</v>
      </c>
      <c r="D183" s="13">
        <f>Player_Analysis!E183</f>
        <v>4.5</v>
      </c>
      <c r="E183">
        <f>Player_Analysis!I183</f>
        <v>0</v>
      </c>
      <c r="F183" s="8">
        <f>Player_Analysis!Z183</f>
        <v>0</v>
      </c>
      <c r="G183" s="17">
        <f t="shared" si="53"/>
        <v>0</v>
      </c>
      <c r="H183">
        <f t="shared" si="54"/>
        <v>0</v>
      </c>
      <c r="I183" s="8">
        <f>Player_Analysis!AF183</f>
        <v>0</v>
      </c>
      <c r="J183" s="8">
        <f>Player_Analysis!AG183</f>
        <v>0</v>
      </c>
      <c r="K183">
        <f>Player_Analysis!O183</f>
        <v>0</v>
      </c>
      <c r="L183">
        <f>Player_Analysis!P183</f>
        <v>0</v>
      </c>
      <c r="M183" t="str">
        <f t="shared" si="55"/>
        <v/>
      </c>
      <c r="N183" t="str">
        <f t="shared" si="56"/>
        <v/>
      </c>
      <c r="O183" s="2" t="str">
        <f>IF(E183=0,"",Player_Analysis!L183/E183*90)</f>
        <v/>
      </c>
      <c r="P183" t="str">
        <f>IF(E183=0,"",Player_Analysis!Q183/E183*90)</f>
        <v/>
      </c>
      <c r="Q183" t="str">
        <f>IF(E183=0,"",(Player_Analysis!AD183/E183)*90)</f>
        <v/>
      </c>
      <c r="R183" t="str">
        <f>IF(E183=0,"",Player_Analysis!AA183/E183*90)</f>
        <v/>
      </c>
      <c r="S183" t="str">
        <f t="array" ref="S183">IFERROR(INDEX('2023_24'!$O:$O,MATCH($A183,'2023_24'!$A:$A,0)),"")</f>
        <v/>
      </c>
      <c r="T183">
        <f>IFERROR(INDEX('2024_25'!$P:$P,MATCH($A183,'2024_25'!$A:$A,0)),"")</f>
        <v>5.3999999999999995</v>
      </c>
      <c r="U183">
        <f>IFERROR(INDEX('2025_26'!$P:$P,MATCH($A183,'2025_26'!$A:$A,0)),"")</f>
        <v>0</v>
      </c>
      <c r="V183" t="str">
        <f>IFERROR(INDEX('2023_24'!$P:$P,MATCH($A183,'2023_24'!$A:$A,0)),"")</f>
        <v/>
      </c>
      <c r="W183">
        <f>IFERROR(INDEX('2024_25'!$Q:$Q,MATCH($A183,'2024_25'!$A:$A,0)),"")</f>
        <v>0</v>
      </c>
      <c r="X183">
        <f>IFERROR(INDEX('2025_26'!$Q:$Q,MATCH($A183,'2025_26'!$A:$A,0)),"")</f>
        <v>0</v>
      </c>
      <c r="Y183" t="str">
        <f>IFERROR(INDEX('2023_24'!$M:$M,MATCH($A183,'2023_24'!$A:$A,0))/INDEX('2023_24'!$G:$G,MATCH($A183,'2023_24'!$A:$A,0))*90,"")</f>
        <v/>
      </c>
      <c r="Z183">
        <f>IFERROR(INDEX('2024_25'!$M:$M,MATCH($A183,'2024_25'!$A:$A,0))/INDEX('2024_25'!$G:$G,MATCH($A183,'2024_25'!$A:$A,0))*90,"")</f>
        <v>90</v>
      </c>
      <c r="AA183">
        <f>IFERROR(INDEX('2025_26'!$M:$M,MATCH($A183,'2025_26'!$A:$A,0))/INDEX('2025_26'!$G:$G,MATCH($A183,'2025_26'!$A:$A,0))*90,"")</f>
        <v>90</v>
      </c>
      <c r="AB183">
        <f>IFERROR(SUMPRODUCT(S183:U183,{0.2,0.3,0.5})/SUMPRODUCT(--(S183:U183&lt;&gt;""),{0.2,0.3,0.5}),"")</f>
        <v>2.0249999999999999</v>
      </c>
      <c r="AC183">
        <f>IFERROR(SUMPRODUCT(V183:X183,{0.2,0.3,0.5})/SUMPRODUCT(--(V183:X183&lt;&gt;""),{0.2,0.3,0.5}),"")</f>
        <v>0</v>
      </c>
      <c r="AD183">
        <f>IFERROR(SUMPRODUCT(Y183:AA183,{0.2,0.3,0.5})/SUMPRODUCT((Y183:AA183&lt;&gt;"")*{0.2,0.3,0.5}),O183)</f>
        <v>90</v>
      </c>
      <c r="AE183">
        <f t="shared" si="57"/>
        <v>2</v>
      </c>
      <c r="AF183" t="str">
        <f t="shared" si="58"/>
        <v/>
      </c>
      <c r="AG183">
        <f t="shared" si="59"/>
        <v>2.0249999999999999</v>
      </c>
      <c r="AH183">
        <f t="shared" si="60"/>
        <v>0</v>
      </c>
      <c r="AI183" s="2">
        <f t="shared" si="61"/>
        <v>90</v>
      </c>
      <c r="AJ183">
        <f t="shared" si="62"/>
        <v>0</v>
      </c>
      <c r="AK183" t="str">
        <f t="shared" si="63"/>
        <v>NO</v>
      </c>
      <c r="AL183">
        <f t="shared" si="64"/>
        <v>0</v>
      </c>
      <c r="AM183">
        <f t="shared" si="65"/>
        <v>0</v>
      </c>
      <c r="AN183">
        <f t="shared" si="66"/>
        <v>0</v>
      </c>
      <c r="AO183">
        <f t="shared" si="67"/>
        <v>0</v>
      </c>
      <c r="AP183">
        <f t="array" ref="AP183">AL183*IF($C183="GKP",10,IF($C183="DEF",6,IF($C183="MID",5,4)))</f>
        <v>0</v>
      </c>
      <c r="AQ183">
        <f t="shared" si="68"/>
        <v>0</v>
      </c>
      <c r="AR183">
        <f t="shared" si="69"/>
        <v>0</v>
      </c>
      <c r="AS183" s="2">
        <f>IF($H183=0,0,Player_Analysis!$AM183*$H183/90)</f>
        <v>0</v>
      </c>
      <c r="AT183">
        <f t="shared" si="70"/>
        <v>0</v>
      </c>
      <c r="AU183" s="2">
        <f>0</f>
        <v>0</v>
      </c>
      <c r="AV183" s="2" t="str">
        <f>IF(INDEX(FPL_Raw_Data!K:K,MATCH(A183,FPL_Raw_Data!AA:AA,0))=0,"",INDEX(FPL_Raw_Data!P:P,MATCH(A183,FPL_Raw_Data!AA:AA,0))/INDEX(FPL_Raw_Data!K:K,MATCH(A183,FPL_Raw_Data!AA:AA,0))*90)</f>
        <v/>
      </c>
      <c r="AW183" s="2">
        <f t="shared" si="71"/>
        <v>0</v>
      </c>
      <c r="AX183" s="2">
        <f>IFERROR(INDEX(TEAM_ANALYSIS!$H$2:$H$21,MATCH($B183,TEAM_ANALYSIS!$A$2:$A$21,0)),0)</f>
        <v>2.3333333333333335</v>
      </c>
      <c r="AY183" s="2">
        <f t="shared" si="72"/>
        <v>0</v>
      </c>
      <c r="AZ183" s="2">
        <f t="shared" si="73"/>
        <v>0</v>
      </c>
      <c r="BA183">
        <f t="shared" si="74"/>
        <v>0</v>
      </c>
      <c r="BB183">
        <f>IFERROR(Player_Analysis!$Y183,1)</f>
        <v>1.0449221453287199</v>
      </c>
      <c r="BC183">
        <f t="shared" si="75"/>
        <v>0</v>
      </c>
      <c r="BD183">
        <f t="shared" si="76"/>
        <v>0</v>
      </c>
      <c r="BE183">
        <f t="shared" si="77"/>
        <v>0</v>
      </c>
      <c r="BF183">
        <f t="shared" si="78"/>
        <v>253</v>
      </c>
      <c r="BG183">
        <f>IF($BE183="","",COUNTIFS($C$2:$C$596,$C183,$BE$2:$BE$596,"&gt;"&amp;$BE183)+COUNTIFS($C$2:$C183,$C183,$BE$2:$BE183,$BE183))</f>
        <v>41</v>
      </c>
    </row>
    <row r="184" spans="1:59" x14ac:dyDescent="0.25">
      <c r="A184" t="str">
        <f>Player_Analysis!A184</f>
        <v>Emmanuel Emegha</v>
      </c>
      <c r="B184">
        <f>Player_Analysis!C184</f>
        <v>6</v>
      </c>
      <c r="C184" t="str">
        <f>Player_Analysis!B184</f>
        <v>FWD</v>
      </c>
      <c r="D184" s="13">
        <f>Player_Analysis!E184</f>
        <v>5</v>
      </c>
      <c r="E184">
        <f>Player_Analysis!I184</f>
        <v>0</v>
      </c>
      <c r="F184" s="8">
        <f>Player_Analysis!Z184</f>
        <v>0</v>
      </c>
      <c r="G184" s="17">
        <f t="shared" si="53"/>
        <v>0</v>
      </c>
      <c r="H184">
        <f t="shared" si="54"/>
        <v>0</v>
      </c>
      <c r="I184" s="8">
        <f>Player_Analysis!AF184</f>
        <v>0</v>
      </c>
      <c r="J184" s="8">
        <f>Player_Analysis!AG184</f>
        <v>0</v>
      </c>
      <c r="K184">
        <f>Player_Analysis!O184</f>
        <v>0</v>
      </c>
      <c r="L184">
        <f>Player_Analysis!P184</f>
        <v>0</v>
      </c>
      <c r="M184" t="str">
        <f t="shared" si="55"/>
        <v/>
      </c>
      <c r="N184" t="str">
        <f t="shared" si="56"/>
        <v/>
      </c>
      <c r="O184" s="2" t="str">
        <f>IF(E184=0,"",Player_Analysis!L184/E184*90)</f>
        <v/>
      </c>
      <c r="P184" t="str">
        <f>IF(E184=0,"",Player_Analysis!Q184/E184*90)</f>
        <v/>
      </c>
      <c r="Q184" t="str">
        <f>IF(E184=0,"",(Player_Analysis!AD184/E184)*90)</f>
        <v/>
      </c>
      <c r="R184" t="str">
        <f>IF(E184=0,"",Player_Analysis!AA184/E184*90)</f>
        <v/>
      </c>
      <c r="S184" t="str">
        <f t="array" ref="S184">IFERROR(INDEX('2023_24'!$O:$O,MATCH($A184,'2023_24'!$A:$A,0)),"")</f>
        <v/>
      </c>
      <c r="T184" t="str">
        <f>IFERROR(INDEX('2024_25'!$P:$P,MATCH($A184,'2024_25'!$A:$A,0)),"")</f>
        <v/>
      </c>
      <c r="U184" t="str">
        <f>IFERROR(INDEX('2025_26'!$P:$P,MATCH($A184,'2025_26'!$A:$A,0)),"")</f>
        <v/>
      </c>
      <c r="V184" t="str">
        <f>IFERROR(INDEX('2023_24'!$P:$P,MATCH($A184,'2023_24'!$A:$A,0)),"")</f>
        <v/>
      </c>
      <c r="W184" t="str">
        <f>IFERROR(INDEX('2024_25'!$Q:$Q,MATCH($A184,'2024_25'!$A:$A,0)),"")</f>
        <v/>
      </c>
      <c r="X184" t="str">
        <f>IFERROR(INDEX('2025_26'!$Q:$Q,MATCH($A184,'2025_26'!$A:$A,0)),"")</f>
        <v/>
      </c>
      <c r="Y184" t="str">
        <f>IFERROR(INDEX('2023_24'!$M:$M,MATCH($A184,'2023_24'!$A:$A,0))/INDEX('2023_24'!$G:$G,MATCH($A184,'2023_24'!$A:$A,0))*90,"")</f>
        <v/>
      </c>
      <c r="Z184" t="str">
        <f>IFERROR(INDEX('2024_25'!$M:$M,MATCH($A184,'2024_25'!$A:$A,0))/INDEX('2024_25'!$G:$G,MATCH($A184,'2024_25'!$A:$A,0))*90,"")</f>
        <v/>
      </c>
      <c r="AA184" t="str">
        <f>IFERROR(INDEX('2025_26'!$M:$M,MATCH($A184,'2025_26'!$A:$A,0))/INDEX('2025_26'!$G:$G,MATCH($A184,'2025_26'!$A:$A,0))*90,"")</f>
        <v/>
      </c>
      <c r="AB184" t="str">
        <f>IFERROR(SUMPRODUCT(S184:U184,{0.2,0.3,0.5})/SUMPRODUCT(--(S184:U184&lt;&gt;""),{0.2,0.3,0.5}),"")</f>
        <v/>
      </c>
      <c r="AC184" t="str">
        <f>IFERROR(SUMPRODUCT(V184:X184,{0.2,0.3,0.5})/SUMPRODUCT(--(V184:X184&lt;&gt;""),{0.2,0.3,0.5}),"")</f>
        <v/>
      </c>
      <c r="AD184" t="str">
        <f>IFERROR(SUMPRODUCT(Y184:AA184,{0.2,0.3,0.5})/SUMPRODUCT((Y184:AA184&lt;&gt;"")*{0.2,0.3,0.5}),O184)</f>
        <v/>
      </c>
      <c r="AE184">
        <f t="shared" si="57"/>
        <v>0</v>
      </c>
      <c r="AF184" t="str">
        <f t="shared" si="58"/>
        <v/>
      </c>
      <c r="AG184">
        <f t="shared" si="59"/>
        <v>0</v>
      </c>
      <c r="AH184">
        <f t="shared" si="60"/>
        <v>0</v>
      </c>
      <c r="AI184" s="2">
        <f t="shared" si="61"/>
        <v>0</v>
      </c>
      <c r="AJ184">
        <f t="shared" si="62"/>
        <v>0</v>
      </c>
      <c r="AK184" t="str">
        <f t="shared" si="63"/>
        <v>YES</v>
      </c>
      <c r="AL184">
        <f t="shared" si="64"/>
        <v>0</v>
      </c>
      <c r="AM184">
        <f t="shared" si="65"/>
        <v>0</v>
      </c>
      <c r="AN184">
        <f t="shared" si="66"/>
        <v>0</v>
      </c>
      <c r="AO184">
        <f t="shared" si="67"/>
        <v>0</v>
      </c>
      <c r="AP184">
        <f t="array" ref="AP184">AL184*IF($C184="GKP",10,IF($C184="DEF",6,IF($C184="MID",5,4)))</f>
        <v>0</v>
      </c>
      <c r="AQ184">
        <f t="shared" si="68"/>
        <v>0</v>
      </c>
      <c r="AR184">
        <f t="shared" si="69"/>
        <v>0</v>
      </c>
      <c r="AS184" s="2">
        <f>IF($H184=0,0,Player_Analysis!$AM184*$H184/90)</f>
        <v>0</v>
      </c>
      <c r="AT184">
        <f t="shared" si="70"/>
        <v>0</v>
      </c>
      <c r="AU184" s="2">
        <f>0</f>
        <v>0</v>
      </c>
      <c r="AV184" s="2" t="str">
        <f>IF(INDEX(FPL_Raw_Data!K:K,MATCH(A184,FPL_Raw_Data!AA:AA,0))=0,"",INDEX(FPL_Raw_Data!P:P,MATCH(A184,FPL_Raw_Data!AA:AA,0))/INDEX(FPL_Raw_Data!K:K,MATCH(A184,FPL_Raw_Data!AA:AA,0))*90)</f>
        <v/>
      </c>
      <c r="AW184" s="2">
        <f t="shared" si="71"/>
        <v>0</v>
      </c>
      <c r="AX184" s="2">
        <f>IFERROR(INDEX(TEAM_ANALYSIS!$H$2:$H$21,MATCH($B184,TEAM_ANALYSIS!$A$2:$A$21,0)),0)</f>
        <v>2.3333333333333335</v>
      </c>
      <c r="AY184" s="2">
        <f t="shared" si="72"/>
        <v>0</v>
      </c>
      <c r="AZ184" s="2">
        <f t="shared" si="73"/>
        <v>0</v>
      </c>
      <c r="BA184">
        <f t="shared" si="74"/>
        <v>0</v>
      </c>
      <c r="BB184">
        <f>IFERROR(Player_Analysis!$Y184,1)</f>
        <v>1.0449221453287199</v>
      </c>
      <c r="BC184">
        <f t="shared" si="75"/>
        <v>0</v>
      </c>
      <c r="BD184">
        <f t="shared" si="76"/>
        <v>0</v>
      </c>
      <c r="BE184">
        <f t="shared" si="77"/>
        <v>0</v>
      </c>
      <c r="BF184">
        <f t="shared" si="78"/>
        <v>253</v>
      </c>
      <c r="BG184">
        <f>IF($BE184="","",COUNTIFS($C$2:$C$596,$C184,$BE$2:$BE$596,"&gt;"&amp;$BE184)+COUNTIFS($C$2:$C184,$C184,$BE$2:$BE184,$BE184))</f>
        <v>42</v>
      </c>
    </row>
    <row r="185" spans="1:59" x14ac:dyDescent="0.25">
      <c r="A185" t="str">
        <f>Player_Analysis!A185</f>
        <v>Maxence Lacroix</v>
      </c>
      <c r="B185">
        <f>Player_Analysis!C185</f>
        <v>6</v>
      </c>
      <c r="C185" t="str">
        <f>Player_Analysis!B185</f>
        <v>DEF</v>
      </c>
      <c r="D185" s="13">
        <f>Player_Analysis!E185</f>
        <v>6</v>
      </c>
      <c r="E185">
        <f>Player_Analysis!I185</f>
        <v>270</v>
      </c>
      <c r="F185" s="8">
        <f>Player_Analysis!Z185</f>
        <v>3</v>
      </c>
      <c r="G185" s="17">
        <f t="shared" si="53"/>
        <v>1</v>
      </c>
      <c r="H185">
        <f t="shared" si="54"/>
        <v>90</v>
      </c>
      <c r="I185" s="8">
        <f>Player_Analysis!AF185</f>
        <v>0</v>
      </c>
      <c r="J185" s="8">
        <f>Player_Analysis!AG185</f>
        <v>1</v>
      </c>
      <c r="K185">
        <f>Player_Analysis!O185</f>
        <v>0.02</v>
      </c>
      <c r="L185">
        <f>Player_Analysis!P185</f>
        <v>0.21</v>
      </c>
      <c r="M185">
        <f t="shared" si="55"/>
        <v>6.6666666666666662E-3</v>
      </c>
      <c r="N185">
        <f t="shared" si="56"/>
        <v>6.9999999999999993E-2</v>
      </c>
      <c r="O185" s="2">
        <f>IF(E185=0,"",Player_Analysis!L185/E185*90)</f>
        <v>3</v>
      </c>
      <c r="P185">
        <f>IF(E185=0,"",Player_Analysis!Q185/E185*90)</f>
        <v>7.6666666666666675E-2</v>
      </c>
      <c r="Q185">
        <f>IF(E185=0,"",(Player_Analysis!AD185/E185)*90)</f>
        <v>8.3333333333333321</v>
      </c>
      <c r="R185">
        <f>IF(E185=0,"",Player_Analysis!AA185/E185*90)</f>
        <v>10.666666666666668</v>
      </c>
      <c r="S185" t="str">
        <f t="array" ref="S185">IFERROR(INDEX('2023_24'!$O:$O,MATCH($A185,'2023_24'!$A:$A,0)),"")</f>
        <v/>
      </c>
      <c r="T185">
        <f>IFERROR(INDEX('2024_25'!$P:$P,MATCH($A185,'2024_25'!$A:$A,0)),"")</f>
        <v>0.10109114249037228</v>
      </c>
      <c r="U185">
        <f>IFERROR(INDEX('2025_26'!$P:$P,MATCH($A185,'2025_26'!$A:$A,0)),"")</f>
        <v>7.1474878444084289E-2</v>
      </c>
      <c r="V185" t="str">
        <f>IFERROR(INDEX('2023_24'!$P:$P,MATCH($A185,'2023_24'!$A:$A,0)),"")</f>
        <v/>
      </c>
      <c r="W185">
        <f>IFERROR(INDEX('2024_25'!$Q:$Q,MATCH($A185,'2024_25'!$A:$A,0)),"")</f>
        <v>2.9172015404364569E-2</v>
      </c>
      <c r="X185">
        <f>IFERROR(INDEX('2025_26'!$Q:$Q,MATCH($A185,'2025_26'!$A:$A,0)),"")</f>
        <v>2.4213938411669366E-2</v>
      </c>
      <c r="Y185" t="str">
        <f>IFERROR(INDEX('2023_24'!$M:$M,MATCH($A185,'2023_24'!$A:$A,0))/INDEX('2023_24'!$G:$G,MATCH($A185,'2023_24'!$A:$A,0))*90,"")</f>
        <v/>
      </c>
      <c r="Z185">
        <f>IFERROR(INDEX('2024_25'!$M:$M,MATCH($A185,'2024_25'!$A:$A,0))/INDEX('2024_25'!$G:$G,MATCH($A185,'2024_25'!$A:$A,0))*90,"")</f>
        <v>3.2926829268292681</v>
      </c>
      <c r="AA185">
        <f>IFERROR(INDEX('2025_26'!$M:$M,MATCH($A185,'2025_26'!$A:$A,0))/INDEX('2025_26'!$G:$G,MATCH($A185,'2025_26'!$A:$A,0))*90,"")</f>
        <v>4.4927066450567263</v>
      </c>
      <c r="AB185">
        <f>IFERROR(SUMPRODUCT(S185:U185,{0.2,0.3,0.5})/SUMPRODUCT(--(S185:U185&lt;&gt;""),{0.2,0.3,0.5}),"")</f>
        <v>8.2580977461442287E-2</v>
      </c>
      <c r="AC185">
        <f>IFERROR(SUMPRODUCT(V185:X185,{0.2,0.3,0.5})/SUMPRODUCT(--(V185:X185&lt;&gt;""),{0.2,0.3,0.5}),"")</f>
        <v>2.6073217283930066E-2</v>
      </c>
      <c r="AD185">
        <f>IFERROR(SUMPRODUCT(Y185:AA185,{0.2,0.3,0.5})/SUMPRODUCT((Y185:AA185&lt;&gt;"")*{0.2,0.3,0.5}),O185)</f>
        <v>4.0426977507214295</v>
      </c>
      <c r="AE185">
        <f t="shared" si="57"/>
        <v>2</v>
      </c>
      <c r="AF185">
        <f t="shared" si="58"/>
        <v>90</v>
      </c>
      <c r="AG185">
        <f t="shared" si="59"/>
        <v>1.4258097746144227E-2</v>
      </c>
      <c r="AH185">
        <f t="shared" si="60"/>
        <v>6.5607321728393009E-2</v>
      </c>
      <c r="AI185" s="2">
        <f t="shared" si="61"/>
        <v>3.1042697750721429</v>
      </c>
      <c r="AJ185">
        <f t="shared" si="62"/>
        <v>0.9</v>
      </c>
      <c r="AK185" t="str">
        <f t="shared" si="63"/>
        <v>NO</v>
      </c>
      <c r="AL185">
        <f t="shared" si="64"/>
        <v>1.4258097746144225E-2</v>
      </c>
      <c r="AM185">
        <f t="shared" si="65"/>
        <v>6.5607321728393009E-2</v>
      </c>
      <c r="AN185">
        <f t="shared" si="66"/>
        <v>1.4258097746144225E-2</v>
      </c>
      <c r="AO185">
        <f t="shared" si="67"/>
        <v>6.5607321728393009E-2</v>
      </c>
      <c r="AP185">
        <f t="array" ref="AP185">AL185*IF($C185="GKP",10,IF($C185="DEF",6,IF($C185="MID",5,4)))</f>
        <v>8.5548586476865349E-2</v>
      </c>
      <c r="AQ185">
        <f t="shared" si="68"/>
        <v>0.19682196518517903</v>
      </c>
      <c r="AR185">
        <f t="shared" si="69"/>
        <v>2</v>
      </c>
      <c r="AS185" s="2">
        <f>IF($H185=0,0,Player_Analysis!$AM185*$H185/90)</f>
        <v>0</v>
      </c>
      <c r="AT185">
        <f t="shared" si="70"/>
        <v>2.1333333333333337</v>
      </c>
      <c r="AU185" s="2">
        <f>0</f>
        <v>0</v>
      </c>
      <c r="AV185" s="2">
        <f>IF(INDEX(FPL_Raw_Data!K:K,MATCH(A185,FPL_Raw_Data!AA:AA,0))=0,"",INDEX(FPL_Raw_Data!P:P,MATCH(A185,FPL_Raw_Data!AA:AA,0))/INDEX(FPL_Raw_Data!K:K,MATCH(A185,FPL_Raw_Data!AA:AA,0))*90)</f>
        <v>0</v>
      </c>
      <c r="AW185" s="2">
        <f t="shared" si="71"/>
        <v>0</v>
      </c>
      <c r="AX185" s="2">
        <f>IFERROR(INDEX(TEAM_ANALYSIS!$H$2:$H$21,MATCH($B185,TEAM_ANALYSIS!$A$2:$A$21,0)),0)</f>
        <v>2.3333333333333335</v>
      </c>
      <c r="AY185" s="2">
        <f t="shared" si="72"/>
        <v>-1.1666666666666667</v>
      </c>
      <c r="AZ185" s="2">
        <f t="shared" si="73"/>
        <v>3.2490372183287111</v>
      </c>
      <c r="BA185">
        <f t="shared" si="74"/>
        <v>0.54150620305478514</v>
      </c>
      <c r="BB185">
        <f>IFERROR(Player_Analysis!$Y185,1)</f>
        <v>0.86574712643678164</v>
      </c>
      <c r="BC185">
        <f t="shared" si="75"/>
        <v>2.812844635454236</v>
      </c>
      <c r="BD185">
        <f t="shared" si="76"/>
        <v>1.5231728183278446</v>
      </c>
      <c r="BE185">
        <f t="shared" si="77"/>
        <v>2.812844635454236</v>
      </c>
      <c r="BF185">
        <f t="shared" si="78"/>
        <v>210</v>
      </c>
      <c r="BG185">
        <f>IF($BE185="","",COUNTIFS($C$2:$C$596,$C185,$BE$2:$BE$596,"&gt;"&amp;$BE185)+COUNTIFS($C$2:$C185,$C185,$BE$2:$BE185,$BE185))</f>
        <v>64</v>
      </c>
    </row>
    <row r="186" spans="1:59" x14ac:dyDescent="0.25">
      <c r="A186" t="str">
        <f>Player_Analysis!A186</f>
        <v>Mike Penders</v>
      </c>
      <c r="B186">
        <f>Player_Analysis!C186</f>
        <v>6</v>
      </c>
      <c r="C186" t="str">
        <f>Player_Analysis!B186</f>
        <v>GK</v>
      </c>
      <c r="D186" s="13">
        <f>Player_Analysis!E186</f>
        <v>4.5</v>
      </c>
      <c r="E186">
        <f>Player_Analysis!I186</f>
        <v>0</v>
      </c>
      <c r="F186" s="8">
        <f>Player_Analysis!Z186</f>
        <v>0</v>
      </c>
      <c r="G186" s="17">
        <f t="shared" si="53"/>
        <v>0</v>
      </c>
      <c r="H186">
        <f t="shared" si="54"/>
        <v>0</v>
      </c>
      <c r="I186" s="8">
        <f>Player_Analysis!AF186</f>
        <v>0</v>
      </c>
      <c r="J186" s="8">
        <f>Player_Analysis!AG186</f>
        <v>0</v>
      </c>
      <c r="K186">
        <f>Player_Analysis!O186</f>
        <v>0</v>
      </c>
      <c r="L186">
        <f>Player_Analysis!P186</f>
        <v>0</v>
      </c>
      <c r="M186" t="str">
        <f t="shared" si="55"/>
        <v/>
      </c>
      <c r="N186" t="str">
        <f t="shared" si="56"/>
        <v/>
      </c>
      <c r="O186" s="2" t="str">
        <f>IF(E186=0,"",Player_Analysis!L186/E186*90)</f>
        <v/>
      </c>
      <c r="P186" t="str">
        <f>IF(E186=0,"",Player_Analysis!Q186/E186*90)</f>
        <v/>
      </c>
      <c r="Q186" t="str">
        <f>IF(E186=0,"",(Player_Analysis!AD186/E186)*90)</f>
        <v/>
      </c>
      <c r="R186" t="str">
        <f>IF(E186=0,"",Player_Analysis!AA186/E186*90)</f>
        <v/>
      </c>
      <c r="S186" t="str">
        <f t="array" ref="S186">IFERROR(INDEX('2023_24'!$O:$O,MATCH($A186,'2023_24'!$A:$A,0)),"")</f>
        <v/>
      </c>
      <c r="T186" t="str">
        <f>IFERROR(INDEX('2024_25'!$P:$P,MATCH($A186,'2024_25'!$A:$A,0)),"")</f>
        <v/>
      </c>
      <c r="U186">
        <f>IFERROR(INDEX('2025_26'!$P:$P,MATCH($A186,'2025_26'!$A:$A,0)),"")</f>
        <v>0</v>
      </c>
      <c r="V186" t="str">
        <f>IFERROR(INDEX('2023_24'!$P:$P,MATCH($A186,'2023_24'!$A:$A,0)),"")</f>
        <v/>
      </c>
      <c r="W186" t="str">
        <f>IFERROR(INDEX('2024_25'!$Q:$Q,MATCH($A186,'2024_25'!$A:$A,0)),"")</f>
        <v/>
      </c>
      <c r="X186">
        <f>IFERROR(INDEX('2025_26'!$Q:$Q,MATCH($A186,'2025_26'!$A:$A,0)),"")</f>
        <v>0</v>
      </c>
      <c r="Y186" t="str">
        <f>IFERROR(INDEX('2023_24'!$M:$M,MATCH($A186,'2023_24'!$A:$A,0))/INDEX('2023_24'!$G:$G,MATCH($A186,'2023_24'!$A:$A,0))*90,"")</f>
        <v/>
      </c>
      <c r="Z186" t="str">
        <f>IFERROR(INDEX('2024_25'!$M:$M,MATCH($A186,'2024_25'!$A:$A,0))/INDEX('2024_25'!$G:$G,MATCH($A186,'2024_25'!$A:$A,0))*90,"")</f>
        <v/>
      </c>
      <c r="AA186" t="str">
        <f>IFERROR(INDEX('2025_26'!$M:$M,MATCH($A186,'2025_26'!$A:$A,0))/INDEX('2025_26'!$G:$G,MATCH($A186,'2025_26'!$A:$A,0))*90,"")</f>
        <v/>
      </c>
      <c r="AB186">
        <f>IFERROR(SUMPRODUCT(S186:U186,{0.2,0.3,0.5})/SUMPRODUCT(--(S186:U186&lt;&gt;""),{0.2,0.3,0.5}),"")</f>
        <v>0</v>
      </c>
      <c r="AC186">
        <f>IFERROR(SUMPRODUCT(V186:X186,{0.2,0.3,0.5})/SUMPRODUCT(--(V186:X186&lt;&gt;""),{0.2,0.3,0.5}),"")</f>
        <v>0</v>
      </c>
      <c r="AD186" t="str">
        <f>IFERROR(SUMPRODUCT(Y186:AA186,{0.2,0.3,0.5})/SUMPRODUCT((Y186:AA186&lt;&gt;"")*{0.2,0.3,0.5}),O186)</f>
        <v/>
      </c>
      <c r="AE186">
        <f t="shared" si="57"/>
        <v>1</v>
      </c>
      <c r="AF186" t="str">
        <f t="shared" si="58"/>
        <v/>
      </c>
      <c r="AG186">
        <f t="shared" si="59"/>
        <v>0</v>
      </c>
      <c r="AH186">
        <f t="shared" si="60"/>
        <v>0</v>
      </c>
      <c r="AI186" s="2">
        <f t="shared" si="61"/>
        <v>0</v>
      </c>
      <c r="AJ186">
        <f t="shared" si="62"/>
        <v>0</v>
      </c>
      <c r="AK186" t="str">
        <f t="shared" si="63"/>
        <v>NO</v>
      </c>
      <c r="AL186">
        <f t="shared" si="64"/>
        <v>0</v>
      </c>
      <c r="AM186">
        <f t="shared" si="65"/>
        <v>0</v>
      </c>
      <c r="AN186">
        <f t="shared" si="66"/>
        <v>0</v>
      </c>
      <c r="AO186">
        <f t="shared" si="67"/>
        <v>0</v>
      </c>
      <c r="AP186">
        <f t="array" ref="AP186">AL186*IF($C186="GKP",10,IF($C186="DEF",6,IF($C186="MID",5,4)))</f>
        <v>0</v>
      </c>
      <c r="AQ186">
        <f t="shared" si="68"/>
        <v>0</v>
      </c>
      <c r="AR186">
        <f t="shared" si="69"/>
        <v>0</v>
      </c>
      <c r="AS186" s="2">
        <f>IF($H186=0,0,Player_Analysis!$AM186*$H186/90)</f>
        <v>0</v>
      </c>
      <c r="AT186">
        <f t="shared" si="70"/>
        <v>0</v>
      </c>
      <c r="AU186" s="2">
        <f>0</f>
        <v>0</v>
      </c>
      <c r="AV186" s="2" t="str">
        <f>IF(INDEX(FPL_Raw_Data!K:K,MATCH(A186,FPL_Raw_Data!AA:AA,0))=0,"",INDEX(FPL_Raw_Data!P:P,MATCH(A186,FPL_Raw_Data!AA:AA,0))/INDEX(FPL_Raw_Data!K:K,MATCH(A186,FPL_Raw_Data!AA:AA,0))*90)</f>
        <v/>
      </c>
      <c r="AW186" s="2">
        <f t="shared" si="71"/>
        <v>0</v>
      </c>
      <c r="AX186" s="2">
        <f>IFERROR(INDEX(TEAM_ANALYSIS!$H$2:$H$21,MATCH($B186,TEAM_ANALYSIS!$A$2:$A$21,0)),0)</f>
        <v>2.3333333333333335</v>
      </c>
      <c r="AY186" s="2">
        <f t="shared" si="72"/>
        <v>0</v>
      </c>
      <c r="AZ186" s="2">
        <f t="shared" si="73"/>
        <v>0</v>
      </c>
      <c r="BA186">
        <f t="shared" si="74"/>
        <v>0</v>
      </c>
      <c r="BB186">
        <f>IFERROR(Player_Analysis!$Y186,1)</f>
        <v>0.86574712643678164</v>
      </c>
      <c r="BC186">
        <f t="shared" si="75"/>
        <v>0</v>
      </c>
      <c r="BD186">
        <f t="shared" si="76"/>
        <v>0</v>
      </c>
      <c r="BE186">
        <f t="shared" si="77"/>
        <v>0</v>
      </c>
      <c r="BF186">
        <f t="shared" si="78"/>
        <v>253</v>
      </c>
      <c r="BG186">
        <f>IF($BE186="","",COUNTIFS($C$2:$C$596,$C186,$BE$2:$BE$596,"&gt;"&amp;$BE186)+COUNTIFS($C$2:$C186,$C186,$BE$2:$BE186,$BE186))</f>
        <v>30</v>
      </c>
    </row>
    <row r="187" spans="1:59" x14ac:dyDescent="0.25">
      <c r="A187" t="str">
        <f>Player_Analysis!A187</f>
        <v>Aaron Anselmino</v>
      </c>
      <c r="B187">
        <f>Player_Analysis!C187</f>
        <v>6</v>
      </c>
      <c r="C187" t="str">
        <f>Player_Analysis!B187</f>
        <v>DEF</v>
      </c>
      <c r="D187" s="13">
        <f>Player_Analysis!E187</f>
        <v>4.5</v>
      </c>
      <c r="E187">
        <f>Player_Analysis!I187</f>
        <v>0</v>
      </c>
      <c r="F187" s="8">
        <f>Player_Analysis!Z187</f>
        <v>0</v>
      </c>
      <c r="G187" s="17">
        <f t="shared" si="53"/>
        <v>0</v>
      </c>
      <c r="H187">
        <f t="shared" si="54"/>
        <v>0</v>
      </c>
      <c r="I187" s="8">
        <f>Player_Analysis!AF187</f>
        <v>0</v>
      </c>
      <c r="J187" s="8">
        <f>Player_Analysis!AG187</f>
        <v>0</v>
      </c>
      <c r="K187">
        <f>Player_Analysis!O187</f>
        <v>0</v>
      </c>
      <c r="L187">
        <f>Player_Analysis!P187</f>
        <v>0</v>
      </c>
      <c r="M187" t="str">
        <f t="shared" si="55"/>
        <v/>
      </c>
      <c r="N187" t="str">
        <f t="shared" si="56"/>
        <v/>
      </c>
      <c r="O187" s="2" t="str">
        <f>IF(E187=0,"",Player_Analysis!L187/E187*90)</f>
        <v/>
      </c>
      <c r="P187" t="str">
        <f>IF(E187=0,"",Player_Analysis!Q187/E187*90)</f>
        <v/>
      </c>
      <c r="Q187" t="str">
        <f>IF(E187=0,"",(Player_Analysis!AD187/E187)*90)</f>
        <v/>
      </c>
      <c r="R187" t="str">
        <f>IF(E187=0,"",Player_Analysis!AA187/E187*90)</f>
        <v/>
      </c>
      <c r="S187" t="str">
        <f t="array" ref="S187">IFERROR(INDEX('2023_24'!$O:$O,MATCH($A187,'2023_24'!$A:$A,0)),"")</f>
        <v/>
      </c>
      <c r="T187">
        <f>IFERROR(INDEX('2024_25'!$P:$P,MATCH($A187,'2024_25'!$A:$A,0)),"")</f>
        <v>0</v>
      </c>
      <c r="U187" t="str">
        <f>IFERROR(INDEX('2025_26'!$P:$P,MATCH($A187,'2025_26'!$A:$A,0)),"")</f>
        <v/>
      </c>
      <c r="V187" t="str">
        <f>IFERROR(INDEX('2023_24'!$P:$P,MATCH($A187,'2023_24'!$A:$A,0)),"")</f>
        <v/>
      </c>
      <c r="W187">
        <f>IFERROR(INDEX('2024_25'!$Q:$Q,MATCH($A187,'2024_25'!$A:$A,0)),"")</f>
        <v>0</v>
      </c>
      <c r="X187" t="str">
        <f>IFERROR(INDEX('2025_26'!$Q:$Q,MATCH($A187,'2025_26'!$A:$A,0)),"")</f>
        <v/>
      </c>
      <c r="Y187" t="str">
        <f>IFERROR(INDEX('2023_24'!$M:$M,MATCH($A187,'2023_24'!$A:$A,0))/INDEX('2023_24'!$G:$G,MATCH($A187,'2023_24'!$A:$A,0))*90,"")</f>
        <v/>
      </c>
      <c r="Z187" t="str">
        <f>IFERROR(INDEX('2024_25'!$M:$M,MATCH($A187,'2024_25'!$A:$A,0))/INDEX('2024_25'!$G:$G,MATCH($A187,'2024_25'!$A:$A,0))*90,"")</f>
        <v/>
      </c>
      <c r="AA187" t="str">
        <f>IFERROR(INDEX('2025_26'!$M:$M,MATCH($A187,'2025_26'!$A:$A,0))/INDEX('2025_26'!$G:$G,MATCH($A187,'2025_26'!$A:$A,0))*90,"")</f>
        <v/>
      </c>
      <c r="AB187">
        <f>IFERROR(SUMPRODUCT(S187:U187,{0.2,0.3,0.5})/SUMPRODUCT(--(S187:U187&lt;&gt;""),{0.2,0.3,0.5}),"")</f>
        <v>0</v>
      </c>
      <c r="AC187">
        <f>IFERROR(SUMPRODUCT(V187:X187,{0.2,0.3,0.5})/SUMPRODUCT(--(V187:X187&lt;&gt;""),{0.2,0.3,0.5}),"")</f>
        <v>0</v>
      </c>
      <c r="AD187" t="str">
        <f>IFERROR(SUMPRODUCT(Y187:AA187,{0.2,0.3,0.5})/SUMPRODUCT((Y187:AA187&lt;&gt;"")*{0.2,0.3,0.5}),O187)</f>
        <v/>
      </c>
      <c r="AE187">
        <f t="shared" si="57"/>
        <v>1</v>
      </c>
      <c r="AF187" t="str">
        <f t="shared" si="58"/>
        <v/>
      </c>
      <c r="AG187">
        <f t="shared" si="59"/>
        <v>0</v>
      </c>
      <c r="AH187">
        <f t="shared" si="60"/>
        <v>0</v>
      </c>
      <c r="AI187" s="2">
        <f t="shared" si="61"/>
        <v>0</v>
      </c>
      <c r="AJ187">
        <f t="shared" si="62"/>
        <v>0</v>
      </c>
      <c r="AK187" t="str">
        <f t="shared" si="63"/>
        <v>NO</v>
      </c>
      <c r="AL187">
        <f t="shared" si="64"/>
        <v>0</v>
      </c>
      <c r="AM187">
        <f t="shared" si="65"/>
        <v>0</v>
      </c>
      <c r="AN187">
        <f t="shared" si="66"/>
        <v>0</v>
      </c>
      <c r="AO187">
        <f t="shared" si="67"/>
        <v>0</v>
      </c>
      <c r="AP187">
        <f t="array" ref="AP187">AL187*IF($C187="GKP",10,IF($C187="DEF",6,IF($C187="MID",5,4)))</f>
        <v>0</v>
      </c>
      <c r="AQ187">
        <f t="shared" si="68"/>
        <v>0</v>
      </c>
      <c r="AR187">
        <f t="shared" si="69"/>
        <v>0</v>
      </c>
      <c r="AS187" s="2">
        <f>IF($H187=0,0,Player_Analysis!$AM187*$H187/90)</f>
        <v>0</v>
      </c>
      <c r="AT187">
        <f t="shared" si="70"/>
        <v>0</v>
      </c>
      <c r="AU187" s="2">
        <f>0</f>
        <v>0</v>
      </c>
      <c r="AV187" s="2" t="str">
        <f>IF(INDEX(FPL_Raw_Data!K:K,MATCH(A187,FPL_Raw_Data!AA:AA,0))=0,"",INDEX(FPL_Raw_Data!P:P,MATCH(A187,FPL_Raw_Data!AA:AA,0))/INDEX(FPL_Raw_Data!K:K,MATCH(A187,FPL_Raw_Data!AA:AA,0))*90)</f>
        <v/>
      </c>
      <c r="AW187" s="2">
        <f t="shared" si="71"/>
        <v>0</v>
      </c>
      <c r="AX187" s="2">
        <f>IFERROR(INDEX(TEAM_ANALYSIS!$H$2:$H$21,MATCH($B187,TEAM_ANALYSIS!$A$2:$A$21,0)),0)</f>
        <v>2.3333333333333335</v>
      </c>
      <c r="AY187" s="2">
        <f t="shared" si="72"/>
        <v>-1.1666666666666667</v>
      </c>
      <c r="AZ187" s="2">
        <f t="shared" si="73"/>
        <v>-1.1666666666666667</v>
      </c>
      <c r="BA187">
        <f t="shared" si="74"/>
        <v>-0.2592592592592593</v>
      </c>
      <c r="BB187">
        <f>IFERROR(Player_Analysis!$Y187,1)</f>
        <v>0.86574712643678164</v>
      </c>
      <c r="BC187">
        <f t="shared" si="75"/>
        <v>-1.0100383141762452</v>
      </c>
      <c r="BD187">
        <f t="shared" si="76"/>
        <v>0.26186178515680436</v>
      </c>
      <c r="BE187">
        <f t="shared" si="77"/>
        <v>-1.0100383141762452</v>
      </c>
      <c r="BF187">
        <f t="shared" si="78"/>
        <v>581</v>
      </c>
      <c r="BG187">
        <f>IF($BE187="","",COUNTIFS($C$2:$C$596,$C187,$BE$2:$BE$596,"&gt;"&amp;$BE187)+COUNTIFS($C$2:$C187,$C187,$BE$2:$BE187,$BE187))</f>
        <v>182</v>
      </c>
    </row>
    <row r="188" spans="1:59" x14ac:dyDescent="0.25">
      <c r="A188" t="str">
        <f>Player_Analysis!A188</f>
        <v>Valentín Barco</v>
      </c>
      <c r="B188">
        <f>Player_Analysis!C188</f>
        <v>6</v>
      </c>
      <c r="C188" t="str">
        <f>Player_Analysis!B188</f>
        <v>MID</v>
      </c>
      <c r="D188" s="13">
        <f>Player_Analysis!E188</f>
        <v>5.5</v>
      </c>
      <c r="E188">
        <f>Player_Analysis!I188</f>
        <v>8</v>
      </c>
      <c r="F188" s="8">
        <f>Player_Analysis!Z188</f>
        <v>0</v>
      </c>
      <c r="G188" s="17">
        <f t="shared" si="53"/>
        <v>0</v>
      </c>
      <c r="H188">
        <f t="shared" si="54"/>
        <v>0</v>
      </c>
      <c r="I188" s="8">
        <f>Player_Analysis!AF188</f>
        <v>0</v>
      </c>
      <c r="J188" s="8">
        <f>Player_Analysis!AG188</f>
        <v>0</v>
      </c>
      <c r="K188">
        <f>Player_Analysis!O188</f>
        <v>0.04</v>
      </c>
      <c r="L188">
        <f>Player_Analysis!P188</f>
        <v>0</v>
      </c>
      <c r="M188">
        <f t="shared" si="55"/>
        <v>0.45</v>
      </c>
      <c r="N188">
        <f t="shared" si="56"/>
        <v>0</v>
      </c>
      <c r="O188" s="2">
        <f>IF(E188=0,"",Player_Analysis!L188/E188*90)</f>
        <v>11.25</v>
      </c>
      <c r="P188">
        <f>IF(E188=0,"",Player_Analysis!Q188/E188*90)</f>
        <v>0.45</v>
      </c>
      <c r="Q188">
        <f>IF(E188=0,"",(Player_Analysis!AD188/E188)*90)</f>
        <v>11.25</v>
      </c>
      <c r="R188">
        <f>IF(E188=0,"",Player_Analysis!AA188/E188*90)</f>
        <v>11.25</v>
      </c>
      <c r="S188">
        <f t="array" ref="S188">IFERROR(INDEX('2023_24'!$O:$O,MATCH($A188,'2023_24'!$A:$A,0)),"")</f>
        <v>5.863192182410424E-2</v>
      </c>
      <c r="T188">
        <f>IFERROR(INDEX('2024_25'!$P:$P,MATCH($A188,'2024_25'!$A:$A,0)),"")</f>
        <v>0</v>
      </c>
      <c r="U188" t="str">
        <f>IFERROR(INDEX('2025_26'!$P:$P,MATCH($A188,'2025_26'!$A:$A,0)),"")</f>
        <v/>
      </c>
      <c r="V188">
        <f>IFERROR(INDEX('2023_24'!$P:$P,MATCH($A188,'2023_24'!$A:$A,0)),"")</f>
        <v>0.11140065146579804</v>
      </c>
      <c r="W188">
        <f>IFERROR(INDEX('2024_25'!$Q:$Q,MATCH($A188,'2024_25'!$A:$A,0)),"")</f>
        <v>0</v>
      </c>
      <c r="X188" t="str">
        <f>IFERROR(INDEX('2025_26'!$Q:$Q,MATCH($A188,'2025_26'!$A:$A,0)),"")</f>
        <v/>
      </c>
      <c r="Y188">
        <f>IFERROR(INDEX('2023_24'!$M:$M,MATCH($A188,'2023_24'!$A:$A,0))/INDEX('2023_24'!$G:$G,MATCH($A188,'2023_24'!$A:$A,0))*90,"")</f>
        <v>1.4657980456026058</v>
      </c>
      <c r="Z188" t="str">
        <f>IFERROR(INDEX('2024_25'!$M:$M,MATCH($A188,'2024_25'!$A:$A,0))/INDEX('2024_25'!$G:$G,MATCH($A188,'2024_25'!$A:$A,0))*90,"")</f>
        <v/>
      </c>
      <c r="AA188" t="str">
        <f>IFERROR(INDEX('2025_26'!$M:$M,MATCH($A188,'2025_26'!$A:$A,0))/INDEX('2025_26'!$G:$G,MATCH($A188,'2025_26'!$A:$A,0))*90,"")</f>
        <v/>
      </c>
      <c r="AB188">
        <f>IFERROR(SUMPRODUCT(S188:U188,{0.2,0.3,0.5})/SUMPRODUCT(--(S188:U188&lt;&gt;""),{0.2,0.3,0.5}),"")</f>
        <v>2.3452768729641697E-2</v>
      </c>
      <c r="AC188">
        <f>IFERROR(SUMPRODUCT(V188:X188,{0.2,0.3,0.5})/SUMPRODUCT(--(V188:X188&lt;&gt;""),{0.2,0.3,0.5}),"")</f>
        <v>4.456026058631922E-2</v>
      </c>
      <c r="AD188">
        <f>IFERROR(SUMPRODUCT(Y188:AA188,{0.2,0.3,0.5})/SUMPRODUCT((Y188:AA188&lt;&gt;"")*{0.2,0.3,0.5}),O188)</f>
        <v>1.4657980456026058</v>
      </c>
      <c r="AE188">
        <f t="shared" si="57"/>
        <v>2</v>
      </c>
      <c r="AF188" t="str">
        <f t="shared" si="58"/>
        <v/>
      </c>
      <c r="AG188">
        <f t="shared" si="59"/>
        <v>3.4827361563517921E-2</v>
      </c>
      <c r="AH188">
        <f t="shared" si="60"/>
        <v>4.3371986970684041E-2</v>
      </c>
      <c r="AI188" s="2">
        <f t="shared" si="61"/>
        <v>1.7267100977198697</v>
      </c>
      <c r="AJ188">
        <f t="shared" si="62"/>
        <v>2.6666666666666668E-2</v>
      </c>
      <c r="AK188" t="str">
        <f t="shared" si="63"/>
        <v>NO</v>
      </c>
      <c r="AL188">
        <f t="shared" si="64"/>
        <v>0</v>
      </c>
      <c r="AM188">
        <f t="shared" si="65"/>
        <v>0</v>
      </c>
      <c r="AN188">
        <f t="shared" si="66"/>
        <v>0</v>
      </c>
      <c r="AO188">
        <f t="shared" si="67"/>
        <v>0</v>
      </c>
      <c r="AP188">
        <f t="array" ref="AP188">AL188*IF($C188="GKP",10,IF($C188="DEF",6,IF($C188="MID",5,4)))</f>
        <v>0</v>
      </c>
      <c r="AQ188">
        <f t="shared" si="68"/>
        <v>0</v>
      </c>
      <c r="AR188">
        <f t="shared" si="69"/>
        <v>0</v>
      </c>
      <c r="AS188" s="2">
        <f>IF($H188=0,0,Player_Analysis!$AM188*$H188/90)</f>
        <v>0</v>
      </c>
      <c r="AT188">
        <f t="shared" si="70"/>
        <v>0</v>
      </c>
      <c r="AU188" s="2">
        <f>0</f>
        <v>0</v>
      </c>
      <c r="AV188" s="2">
        <f>IF(INDEX(FPL_Raw_Data!K:K,MATCH(A188,FPL_Raw_Data!AA:AA,0))=0,"",INDEX(FPL_Raw_Data!P:P,MATCH(A188,FPL_Raw_Data!AA:AA,0))/INDEX(FPL_Raw_Data!K:K,MATCH(A188,FPL_Raw_Data!AA:AA,0))*90)</f>
        <v>0</v>
      </c>
      <c r="AW188" s="2">
        <f t="shared" si="71"/>
        <v>0</v>
      </c>
      <c r="AX188" s="2">
        <f>IFERROR(INDEX(TEAM_ANALYSIS!$H$2:$H$21,MATCH($B188,TEAM_ANALYSIS!$A$2:$A$21,0)),0)</f>
        <v>2.3333333333333335</v>
      </c>
      <c r="AY188" s="2">
        <f t="shared" si="72"/>
        <v>0</v>
      </c>
      <c r="AZ188" s="2">
        <f t="shared" si="73"/>
        <v>0</v>
      </c>
      <c r="BA188">
        <f t="shared" si="74"/>
        <v>0</v>
      </c>
      <c r="BB188">
        <f>IFERROR(Player_Analysis!$Y188,1)</f>
        <v>1.0449221453287199</v>
      </c>
      <c r="BC188">
        <f t="shared" si="75"/>
        <v>0</v>
      </c>
      <c r="BD188">
        <f t="shared" si="76"/>
        <v>0</v>
      </c>
      <c r="BE188">
        <f t="shared" si="77"/>
        <v>0</v>
      </c>
      <c r="BF188">
        <f t="shared" si="78"/>
        <v>253</v>
      </c>
      <c r="BG188">
        <f>IF($BE188="","",COUNTIFS($C$2:$C$596,$C188,$BE$2:$BE$596,"&gt;"&amp;$BE188)+COUNTIFS($C$2:$C188,$C188,$BE$2:$BE188,$BE188))</f>
        <v>160</v>
      </c>
    </row>
    <row r="189" spans="1:59" x14ac:dyDescent="0.25">
      <c r="A189" t="str">
        <f>Player_Analysis!A189</f>
        <v>Pep Chavarría</v>
      </c>
      <c r="B189">
        <f>Player_Analysis!C189</f>
        <v>6</v>
      </c>
      <c r="C189" t="str">
        <f>Player_Analysis!B189</f>
        <v>DEF</v>
      </c>
      <c r="D189" s="13">
        <f>Player_Analysis!E189</f>
        <v>4.9000000000000004</v>
      </c>
      <c r="E189">
        <f>Player_Analysis!I189</f>
        <v>73</v>
      </c>
      <c r="F189" s="8">
        <f>Player_Analysis!Z189</f>
        <v>0</v>
      </c>
      <c r="G189" s="17">
        <f t="shared" si="53"/>
        <v>0</v>
      </c>
      <c r="H189">
        <f t="shared" si="54"/>
        <v>0</v>
      </c>
      <c r="I189" s="8">
        <f>Player_Analysis!AF189</f>
        <v>0</v>
      </c>
      <c r="J189" s="8">
        <f>Player_Analysis!AG189</f>
        <v>0</v>
      </c>
      <c r="K189">
        <f>Player_Analysis!O189</f>
        <v>0</v>
      </c>
      <c r="L189">
        <f>Player_Analysis!P189</f>
        <v>0.02</v>
      </c>
      <c r="M189">
        <f t="shared" si="55"/>
        <v>0</v>
      </c>
      <c r="N189">
        <f t="shared" si="56"/>
        <v>2.4657534246575342E-2</v>
      </c>
      <c r="O189" s="2">
        <f>IF(E189=0,"",Player_Analysis!L189/E189*90)</f>
        <v>3.6986301369863011</v>
      </c>
      <c r="P189">
        <f>IF(E189=0,"",Player_Analysis!Q189/E189*90)</f>
        <v>2.4657534246575342E-2</v>
      </c>
      <c r="Q189">
        <f>IF(E189=0,"",(Player_Analysis!AD189/E189)*90)</f>
        <v>7.3972602739726021</v>
      </c>
      <c r="R189">
        <f>IF(E189=0,"",Player_Analysis!AA189/E189*90)</f>
        <v>7.3972602739726021</v>
      </c>
      <c r="S189" t="str">
        <f t="array" ref="S189">IFERROR(INDEX('2023_24'!$O:$O,MATCH($A189,'2023_24'!$A:$A,0)),"")</f>
        <v/>
      </c>
      <c r="T189" t="str">
        <f>IFERROR(INDEX('2024_25'!$P:$P,MATCH($A189,'2024_25'!$A:$A,0)),"")</f>
        <v/>
      </c>
      <c r="U189" t="str">
        <f>IFERROR(INDEX('2025_26'!$P:$P,MATCH($A189,'2025_26'!$A:$A,0)),"")</f>
        <v/>
      </c>
      <c r="V189" t="str">
        <f>IFERROR(INDEX('2023_24'!$P:$P,MATCH($A189,'2023_24'!$A:$A,0)),"")</f>
        <v/>
      </c>
      <c r="W189" t="str">
        <f>IFERROR(INDEX('2024_25'!$Q:$Q,MATCH($A189,'2024_25'!$A:$A,0)),"")</f>
        <v/>
      </c>
      <c r="X189" t="str">
        <f>IFERROR(INDEX('2025_26'!$Q:$Q,MATCH($A189,'2025_26'!$A:$A,0)),"")</f>
        <v/>
      </c>
      <c r="Y189" t="str">
        <f>IFERROR(INDEX('2023_24'!$M:$M,MATCH($A189,'2023_24'!$A:$A,0))/INDEX('2023_24'!$G:$G,MATCH($A189,'2023_24'!$A:$A,0))*90,"")</f>
        <v/>
      </c>
      <c r="Z189" t="str">
        <f>IFERROR(INDEX('2024_25'!$M:$M,MATCH($A189,'2024_25'!$A:$A,0))/INDEX('2024_25'!$G:$G,MATCH($A189,'2024_25'!$A:$A,0))*90,"")</f>
        <v/>
      </c>
      <c r="AA189" t="str">
        <f>IFERROR(INDEX('2025_26'!$M:$M,MATCH($A189,'2025_26'!$A:$A,0))/INDEX('2025_26'!$G:$G,MATCH($A189,'2025_26'!$A:$A,0))*90,"")</f>
        <v/>
      </c>
      <c r="AB189" t="str">
        <f>IFERROR(SUMPRODUCT(S189:U189,{0.2,0.3,0.5})/SUMPRODUCT(--(S189:U189&lt;&gt;""),{0.2,0.3,0.5}),"")</f>
        <v/>
      </c>
      <c r="AC189" t="str">
        <f>IFERROR(SUMPRODUCT(V189:X189,{0.2,0.3,0.5})/SUMPRODUCT(--(V189:X189&lt;&gt;""),{0.2,0.3,0.5}),"")</f>
        <v/>
      </c>
      <c r="AD189">
        <f>IFERROR(SUMPRODUCT(Y189:AA189,{0.2,0.3,0.5})/SUMPRODUCT((Y189:AA189&lt;&gt;"")*{0.2,0.3,0.5}),O189)</f>
        <v>3.6986301369863011</v>
      </c>
      <c r="AE189">
        <f t="shared" si="57"/>
        <v>0</v>
      </c>
      <c r="AF189" t="str">
        <f t="shared" si="58"/>
        <v/>
      </c>
      <c r="AG189">
        <f t="shared" si="59"/>
        <v>0</v>
      </c>
      <c r="AH189">
        <f t="shared" si="60"/>
        <v>2.4657534246575342E-2</v>
      </c>
      <c r="AI189" s="2">
        <f t="shared" si="61"/>
        <v>3.6986301369863006</v>
      </c>
      <c r="AJ189">
        <f t="shared" si="62"/>
        <v>0.24333333333333335</v>
      </c>
      <c r="AK189" t="str">
        <f t="shared" si="63"/>
        <v>YES</v>
      </c>
      <c r="AL189">
        <f t="shared" si="64"/>
        <v>0</v>
      </c>
      <c r="AM189">
        <f t="shared" si="65"/>
        <v>0</v>
      </c>
      <c r="AN189">
        <f t="shared" si="66"/>
        <v>0</v>
      </c>
      <c r="AO189">
        <f t="shared" si="67"/>
        <v>0</v>
      </c>
      <c r="AP189">
        <f t="array" ref="AP189">AL189*IF($C189="GKP",10,IF($C189="DEF",6,IF($C189="MID",5,4)))</f>
        <v>0</v>
      </c>
      <c r="AQ189">
        <f t="shared" si="68"/>
        <v>0</v>
      </c>
      <c r="AR189">
        <f t="shared" si="69"/>
        <v>0</v>
      </c>
      <c r="AS189" s="2">
        <f>IF($H189=0,0,Player_Analysis!$AM189*$H189/90)</f>
        <v>0</v>
      </c>
      <c r="AT189">
        <f t="shared" si="70"/>
        <v>0</v>
      </c>
      <c r="AU189" s="2">
        <f>0</f>
        <v>0</v>
      </c>
      <c r="AV189" s="2">
        <f>IF(INDEX(FPL_Raw_Data!K:K,MATCH(A189,FPL_Raw_Data!AA:AA,0))=0,"",INDEX(FPL_Raw_Data!P:P,MATCH(A189,FPL_Raw_Data!AA:AA,0))/INDEX(FPL_Raw_Data!K:K,MATCH(A189,FPL_Raw_Data!AA:AA,0))*90)</f>
        <v>0</v>
      </c>
      <c r="AW189" s="2">
        <f t="shared" si="71"/>
        <v>0</v>
      </c>
      <c r="AX189" s="2">
        <f>IFERROR(INDEX(TEAM_ANALYSIS!$H$2:$H$21,MATCH($B189,TEAM_ANALYSIS!$A$2:$A$21,0)),0)</f>
        <v>2.3333333333333335</v>
      </c>
      <c r="AY189" s="2">
        <f t="shared" si="72"/>
        <v>-1.1666666666666667</v>
      </c>
      <c r="AZ189" s="2">
        <f t="shared" si="73"/>
        <v>-1.1666666666666667</v>
      </c>
      <c r="BA189">
        <f t="shared" si="74"/>
        <v>-0.23809523809523808</v>
      </c>
      <c r="BB189">
        <f>IFERROR(Player_Analysis!$Y189,1)</f>
        <v>0.86574712643678164</v>
      </c>
      <c r="BC189">
        <f t="shared" si="75"/>
        <v>-1.0100383141762452</v>
      </c>
      <c r="BD189">
        <f t="shared" si="76"/>
        <v>0.24048531289910599</v>
      </c>
      <c r="BE189">
        <f t="shared" si="77"/>
        <v>-1.0100383141762452</v>
      </c>
      <c r="BF189">
        <f t="shared" si="78"/>
        <v>581</v>
      </c>
      <c r="BG189">
        <f>IF($BE189="","",COUNTIFS($C$2:$C$596,$C189,$BE$2:$BE$596,"&gt;"&amp;$BE189)+COUNTIFS($C$2:$C189,$C189,$BE$2:$BE189,$BE189))</f>
        <v>183</v>
      </c>
    </row>
    <row r="190" spans="1:59" x14ac:dyDescent="0.25">
      <c r="A190" t="str">
        <f>Player_Analysis!A190</f>
        <v>Ethan Pinnock</v>
      </c>
      <c r="B190">
        <f>Player_Analysis!C190</f>
        <v>7</v>
      </c>
      <c r="C190" t="str">
        <f>Player_Analysis!B190</f>
        <v>DEF</v>
      </c>
      <c r="D190" s="13">
        <f>Player_Analysis!E190</f>
        <v>4.5</v>
      </c>
      <c r="E190">
        <f>Player_Analysis!I190</f>
        <v>102</v>
      </c>
      <c r="F190" s="8">
        <f>Player_Analysis!Z190</f>
        <v>1</v>
      </c>
      <c r="G190" s="17">
        <f t="shared" si="53"/>
        <v>0.88235294117647056</v>
      </c>
      <c r="H190">
        <f t="shared" si="54"/>
        <v>79.411764705882348</v>
      </c>
      <c r="I190" s="8">
        <f>Player_Analysis!AF190</f>
        <v>0</v>
      </c>
      <c r="J190" s="8">
        <f>Player_Analysis!AG190</f>
        <v>0</v>
      </c>
      <c r="K190">
        <f>Player_Analysis!O190</f>
        <v>0.11</v>
      </c>
      <c r="L190">
        <f>Player_Analysis!P190</f>
        <v>0</v>
      </c>
      <c r="M190">
        <f t="shared" si="55"/>
        <v>9.7058823529411753E-2</v>
      </c>
      <c r="N190">
        <f t="shared" si="56"/>
        <v>0</v>
      </c>
      <c r="O190" s="2">
        <f>IF(E190=0,"",Player_Analysis!L190/E190*90)</f>
        <v>3.5294117647058822</v>
      </c>
      <c r="P190">
        <f>IF(E190=0,"",Player_Analysis!Q190/E190*90)</f>
        <v>9.7058823529411753E-2</v>
      </c>
      <c r="Q190">
        <f>IF(E190=0,"",(Player_Analysis!AD190/E190)*90)</f>
        <v>1.7647058823529411</v>
      </c>
      <c r="R190">
        <f>IF(E190=0,"",Player_Analysis!AA190/E190*90)</f>
        <v>13.23529411764706</v>
      </c>
      <c r="S190">
        <f t="array" ref="S190">IFERROR(INDEX('2023_24'!$O:$O,MATCH($A190,'2023_24'!$A:$A,0)),"")</f>
        <v>7.1757239190797295E-2</v>
      </c>
      <c r="T190">
        <f>IFERROR(INDEX('2024_25'!$P:$P,MATCH($A190,'2024_25'!$A:$A,0)),"")</f>
        <v>5.0836820083682011E-2</v>
      </c>
      <c r="U190">
        <f>IFERROR(INDEX('2025_26'!$P:$P,MATCH($A190,'2025_26'!$A:$A,0)),"")</f>
        <v>2.8301886792452828E-3</v>
      </c>
      <c r="V190">
        <f>IFERROR(INDEX('2023_24'!$P:$P,MATCH($A190,'2023_24'!$A:$A,0)),"")</f>
        <v>2.9631098770329236E-2</v>
      </c>
      <c r="W190">
        <f>IFERROR(INDEX('2024_25'!$Q:$Q,MATCH($A190,'2024_25'!$A:$A,0)),"")</f>
        <v>3.0125523012552304E-2</v>
      </c>
      <c r="X190">
        <f>IFERROR(INDEX('2025_26'!$Q:$Q,MATCH($A190,'2025_26'!$A:$A,0)),"")</f>
        <v>1.6981132075471698E-2</v>
      </c>
      <c r="Y190">
        <f>IFERROR(INDEX('2023_24'!$M:$M,MATCH($A190,'2023_24'!$A:$A,0))/INDEX('2023_24'!$G:$G,MATCH($A190,'2023_24'!$A:$A,0))*90,"")</f>
        <v>2.7489091630305436</v>
      </c>
      <c r="Z190">
        <f>IFERROR(INDEX('2024_25'!$M:$M,MATCH($A190,'2024_25'!$A:$A,0))/INDEX('2024_25'!$G:$G,MATCH($A190,'2024_25'!$A:$A,0))*90,"")</f>
        <v>2.2123430962343096</v>
      </c>
      <c r="AA190">
        <f>IFERROR(INDEX('2025_26'!$M:$M,MATCH($A190,'2025_26'!$A:$A,0))/INDEX('2025_26'!$G:$G,MATCH($A190,'2025_26'!$A:$A,0))*90,"")</f>
        <v>3.9622641509433958</v>
      </c>
      <c r="AB190">
        <f>IFERROR(SUMPRODUCT(S190:U190,{0.2,0.3,0.5})/SUMPRODUCT(--(S190:U190&lt;&gt;""),{0.2,0.3,0.5}),"")</f>
        <v>3.1017588202886706E-2</v>
      </c>
      <c r="AC190">
        <f>IFERROR(SUMPRODUCT(V190:X190,{0.2,0.3,0.5})/SUMPRODUCT(--(V190:X190&lt;&gt;""),{0.2,0.3,0.5}),"")</f>
        <v>2.3454442695567387E-2</v>
      </c>
      <c r="AD190">
        <f>IFERROR(SUMPRODUCT(Y190:AA190,{0.2,0.3,0.5})/SUMPRODUCT((Y190:AA190&lt;&gt;"")*{0.2,0.3,0.5}),O190)</f>
        <v>3.1946168369480992</v>
      </c>
      <c r="AE190">
        <f t="shared" si="57"/>
        <v>3</v>
      </c>
      <c r="AF190">
        <f t="shared" si="58"/>
        <v>102</v>
      </c>
      <c r="AG190">
        <f t="shared" si="59"/>
        <v>5.3471608213905224E-2</v>
      </c>
      <c r="AH190">
        <f t="shared" si="60"/>
        <v>1.5479932179074474E-2</v>
      </c>
      <c r="AI190" s="2">
        <f t="shared" si="61"/>
        <v>3.3084471123857453</v>
      </c>
      <c r="AJ190">
        <f t="shared" si="62"/>
        <v>0.34</v>
      </c>
      <c r="AK190" t="str">
        <f t="shared" si="63"/>
        <v>NO</v>
      </c>
      <c r="AL190">
        <f t="shared" si="64"/>
        <v>4.7180830776975193E-2</v>
      </c>
      <c r="AM190">
        <f t="shared" si="65"/>
        <v>1.3658763687418654E-2</v>
      </c>
      <c r="AN190">
        <f t="shared" si="66"/>
        <v>4.7180830776975193E-2</v>
      </c>
      <c r="AO190">
        <f t="shared" si="67"/>
        <v>1.3658763687418654E-2</v>
      </c>
      <c r="AP190">
        <f t="array" ref="AP190">AL190*IF($C190="GKP",10,IF($C190="DEF",6,IF($C190="MID",5,4)))</f>
        <v>0.28308498466185117</v>
      </c>
      <c r="AQ190">
        <f t="shared" si="68"/>
        <v>4.0976291062255962E-2</v>
      </c>
      <c r="AR190">
        <f t="shared" si="69"/>
        <v>1.7647058823529411</v>
      </c>
      <c r="AS190" s="2">
        <f>IF($H190=0,0,Player_Analysis!$AM190*$H190/90)</f>
        <v>0</v>
      </c>
      <c r="AT190">
        <f t="shared" si="70"/>
        <v>2.3356401384083041</v>
      </c>
      <c r="AU190" s="2">
        <f>0</f>
        <v>0</v>
      </c>
      <c r="AV190" s="2">
        <f>IF(INDEX(FPL_Raw_Data!K:K,MATCH(A190,FPL_Raw_Data!AA:AA,0))=0,"",INDEX(FPL_Raw_Data!P:P,MATCH(A190,FPL_Raw_Data!AA:AA,0))/INDEX(FPL_Raw_Data!K:K,MATCH(A190,FPL_Raw_Data!AA:AA,0))*90)</f>
        <v>0</v>
      </c>
      <c r="AW190" s="2">
        <f t="shared" si="71"/>
        <v>0</v>
      </c>
      <c r="AX190" s="2">
        <f>IFERROR(INDEX(TEAM_ANALYSIS!$H$2:$H$21,MATCH($B190,TEAM_ANALYSIS!$A$2:$A$21,0)),0)</f>
        <v>1.6666666666666667</v>
      </c>
      <c r="AY190" s="2">
        <f t="shared" si="72"/>
        <v>-0.83333333333333337</v>
      </c>
      <c r="AZ190" s="2">
        <f t="shared" si="73"/>
        <v>3.5910739631520188</v>
      </c>
      <c r="BA190">
        <f t="shared" si="74"/>
        <v>0.79801643625600416</v>
      </c>
      <c r="BB190">
        <f>IFERROR(Player_Analysis!$Y190,1)</f>
        <v>0.97467649467649475</v>
      </c>
      <c r="BC190">
        <f t="shared" si="75"/>
        <v>3.5001353825290376</v>
      </c>
      <c r="BD190">
        <f t="shared" si="76"/>
        <v>2.7931655643793682</v>
      </c>
      <c r="BE190">
        <f t="shared" si="77"/>
        <v>3.5001353825290376</v>
      </c>
      <c r="BF190">
        <f t="shared" si="78"/>
        <v>176</v>
      </c>
      <c r="BG190">
        <f>IF($BE190="","",COUNTIFS($C$2:$C$596,$C190,$BE$2:$BE$596,"&gt;"&amp;$BE190)+COUNTIFS($C$2:$C190,$C190,$BE$2:$BE190,$BE190))</f>
        <v>57</v>
      </c>
    </row>
    <row r="191" spans="1:59" x14ac:dyDescent="0.25">
      <c r="A191" t="str">
        <f>Player_Analysis!A191</f>
        <v>Frank Onyeka</v>
      </c>
      <c r="B191">
        <f>Player_Analysis!C191</f>
        <v>7</v>
      </c>
      <c r="C191" t="str">
        <f>Player_Analysis!B191</f>
        <v>MID</v>
      </c>
      <c r="D191" s="13">
        <f>Player_Analysis!E191</f>
        <v>4.9000000000000004</v>
      </c>
      <c r="E191">
        <f>Player_Analysis!I191</f>
        <v>152</v>
      </c>
      <c r="F191" s="8">
        <f>Player_Analysis!Z191</f>
        <v>2</v>
      </c>
      <c r="G191" s="17">
        <f t="shared" si="53"/>
        <v>1</v>
      </c>
      <c r="H191">
        <f t="shared" si="54"/>
        <v>90</v>
      </c>
      <c r="I191" s="8">
        <f>Player_Analysis!AF191</f>
        <v>0</v>
      </c>
      <c r="J191" s="8">
        <f>Player_Analysis!AG191</f>
        <v>0</v>
      </c>
      <c r="K191">
        <f>Player_Analysis!O191</f>
        <v>0</v>
      </c>
      <c r="L191">
        <f>Player_Analysis!P191</f>
        <v>0.01</v>
      </c>
      <c r="M191">
        <f t="shared" si="55"/>
        <v>0</v>
      </c>
      <c r="N191">
        <f t="shared" si="56"/>
        <v>5.9210526315789476E-3</v>
      </c>
      <c r="O191" s="2">
        <f>IF(E191=0,"",Player_Analysis!L191/E191*90)</f>
        <v>2.3684210526315788</v>
      </c>
      <c r="P191">
        <f>IF(E191=0,"",Player_Analysis!Q191/E191*90)</f>
        <v>5.9210526315789476E-3</v>
      </c>
      <c r="Q191">
        <f>IF(E191=0,"",(Player_Analysis!AD191/E191)*90)</f>
        <v>7.6973684210526319</v>
      </c>
      <c r="R191">
        <f>IF(E191=0,"",Player_Analysis!AA191/E191*90)</f>
        <v>7.1052631578947363</v>
      </c>
      <c r="S191">
        <f t="array" ref="S191">IFERROR(INDEX('2023_24'!$O:$O,MATCH($A191,'2023_24'!$A:$A,0)),"")</f>
        <v>0.16399302528334786</v>
      </c>
      <c r="T191">
        <f>IFERROR(INDEX('2024_25'!$P:$P,MATCH($A191,'2024_25'!$A:$A,0)),"")</f>
        <v>0</v>
      </c>
      <c r="U191">
        <f>IFERROR(INDEX('2025_26'!$P:$P,MATCH($A191,'2025_26'!$A:$A,0)),"")</f>
        <v>0</v>
      </c>
      <c r="V191">
        <f>IFERROR(INDEX('2023_24'!$P:$P,MATCH($A191,'2023_24'!$A:$A,0)),"")</f>
        <v>0.1129904097646033</v>
      </c>
      <c r="W191">
        <f>IFERROR(INDEX('2024_25'!$Q:$Q,MATCH($A191,'2024_25'!$A:$A,0)),"")</f>
        <v>7.8260869565217397E-2</v>
      </c>
      <c r="X191">
        <f>IFERROR(INDEX('2025_26'!$Q:$Q,MATCH($A191,'2025_26'!$A:$A,0)),"")</f>
        <v>0.36818181818181811</v>
      </c>
      <c r="Y191">
        <f>IFERROR(INDEX('2023_24'!$M:$M,MATCH($A191,'2023_24'!$A:$A,0))/INDEX('2023_24'!$G:$G,MATCH($A191,'2023_24'!$A:$A,0))*90,"")</f>
        <v>3.060156931124673</v>
      </c>
      <c r="Z191">
        <f>IFERROR(INDEX('2024_25'!$M:$M,MATCH($A191,'2024_25'!$A:$A,0))/INDEX('2024_25'!$G:$G,MATCH($A191,'2024_25'!$A:$A,0))*90,"")</f>
        <v>7.8260869565217392</v>
      </c>
      <c r="AA191">
        <f>IFERROR(INDEX('2025_26'!$M:$M,MATCH($A191,'2025_26'!$A:$A,0))/INDEX('2025_26'!$G:$G,MATCH($A191,'2025_26'!$A:$A,0))*90,"")</f>
        <v>12.272727272727272</v>
      </c>
      <c r="AB191">
        <f>IFERROR(SUMPRODUCT(S191:U191,{0.2,0.3,0.5})/SUMPRODUCT(--(S191:U191&lt;&gt;""),{0.2,0.3,0.5}),"")</f>
        <v>3.2798605056669573E-2</v>
      </c>
      <c r="AC191">
        <f>IFERROR(SUMPRODUCT(V191:X191,{0.2,0.3,0.5})/SUMPRODUCT(--(V191:X191&lt;&gt;""),{0.2,0.3,0.5}),"")</f>
        <v>0.23016725191339493</v>
      </c>
      <c r="AD191">
        <f>IFERROR(SUMPRODUCT(Y191:AA191,{0.2,0.3,0.5})/SUMPRODUCT((Y191:AA191&lt;&gt;"")*{0.2,0.3,0.5}),O191)</f>
        <v>9.0962211095450911</v>
      </c>
      <c r="AE191">
        <f t="shared" si="57"/>
        <v>3</v>
      </c>
      <c r="AF191">
        <f t="shared" si="58"/>
        <v>76</v>
      </c>
      <c r="AG191">
        <f t="shared" si="59"/>
        <v>1.6180645161290322E-2</v>
      </c>
      <c r="AH191">
        <f t="shared" si="60"/>
        <v>0.11654917761060817</v>
      </c>
      <c r="AI191" s="2">
        <f t="shared" si="61"/>
        <v>5.6874690807089117</v>
      </c>
      <c r="AJ191">
        <f t="shared" si="62"/>
        <v>0.50666666666666671</v>
      </c>
      <c r="AK191" t="str">
        <f t="shared" si="63"/>
        <v>NO</v>
      </c>
      <c r="AL191">
        <f t="shared" si="64"/>
        <v>1.6180645161290322E-2</v>
      </c>
      <c r="AM191">
        <f t="shared" si="65"/>
        <v>0.11654917761060817</v>
      </c>
      <c r="AN191">
        <f t="shared" si="66"/>
        <v>1.6180645161290322E-2</v>
      </c>
      <c r="AO191">
        <f t="shared" si="67"/>
        <v>0.11654917761060817</v>
      </c>
      <c r="AP191">
        <f t="array" ref="AP191">AL191*IF($C191="GKP",10,IF($C191="DEF",6,IF($C191="MID",5,4)))</f>
        <v>8.0903225806451609E-2</v>
      </c>
      <c r="AQ191">
        <f t="shared" si="68"/>
        <v>0.34964753283182448</v>
      </c>
      <c r="AR191">
        <f t="shared" si="69"/>
        <v>2</v>
      </c>
      <c r="AS191" s="2">
        <f>IF($H191=0,0,Player_Analysis!$AM191*$H191/90)</f>
        <v>0</v>
      </c>
      <c r="AT191">
        <f t="shared" si="70"/>
        <v>1.1842105263157894</v>
      </c>
      <c r="AU191" s="2">
        <f>0</f>
        <v>0</v>
      </c>
      <c r="AV191" s="2">
        <f>IF(INDEX(FPL_Raw_Data!K:K,MATCH(A191,FPL_Raw_Data!AA:AA,0))=0,"",INDEX(FPL_Raw_Data!P:P,MATCH(A191,FPL_Raw_Data!AA:AA,0))/INDEX(FPL_Raw_Data!K:K,MATCH(A191,FPL_Raw_Data!AA:AA,0))*90)</f>
        <v>0</v>
      </c>
      <c r="AW191" s="2">
        <f t="shared" si="71"/>
        <v>0</v>
      </c>
      <c r="AX191" s="2">
        <f>IFERROR(INDEX(TEAM_ANALYSIS!$H$2:$H$21,MATCH($B191,TEAM_ANALYSIS!$A$2:$A$21,0)),0)</f>
        <v>1.6666666666666667</v>
      </c>
      <c r="AY191" s="2">
        <f t="shared" si="72"/>
        <v>0</v>
      </c>
      <c r="AZ191" s="2">
        <f t="shared" si="73"/>
        <v>3.6147612849540653</v>
      </c>
      <c r="BA191">
        <f t="shared" si="74"/>
        <v>0.73770638468450311</v>
      </c>
      <c r="BB191">
        <f>IFERROR(Player_Analysis!$Y191,1)</f>
        <v>0.8</v>
      </c>
      <c r="BC191">
        <f t="shared" si="75"/>
        <v>2.8918090279632525</v>
      </c>
      <c r="BD191">
        <f t="shared" si="76"/>
        <v>2.1333059832167782</v>
      </c>
      <c r="BE191">
        <f t="shared" si="77"/>
        <v>2.8918090279632525</v>
      </c>
      <c r="BF191">
        <f t="shared" si="78"/>
        <v>206</v>
      </c>
      <c r="BG191">
        <f>IF($BE191="","",COUNTIFS($C$2:$C$596,$C191,$BE$2:$BE$596,"&gt;"&amp;$BE191)+COUNTIFS($C$2:$C191,$C191,$BE$2:$BE191,$BE191))</f>
        <v>107</v>
      </c>
    </row>
    <row r="192" spans="1:59" x14ac:dyDescent="0.25">
      <c r="A192" t="str">
        <f>Player_Analysis!A192</f>
        <v>Carl Rushworth</v>
      </c>
      <c r="B192">
        <f>Player_Analysis!C192</f>
        <v>7</v>
      </c>
      <c r="C192" t="str">
        <f>Player_Analysis!B192</f>
        <v>GK</v>
      </c>
      <c r="D192" s="13">
        <f>Player_Analysis!E192</f>
        <v>4.5</v>
      </c>
      <c r="E192">
        <f>Player_Analysis!I192</f>
        <v>270</v>
      </c>
      <c r="F192" s="8">
        <f>Player_Analysis!Z192</f>
        <v>3</v>
      </c>
      <c r="G192" s="17">
        <f t="shared" si="53"/>
        <v>1</v>
      </c>
      <c r="H192">
        <f t="shared" si="54"/>
        <v>90</v>
      </c>
      <c r="I192" s="8">
        <f>Player_Analysis!AF192</f>
        <v>0</v>
      </c>
      <c r="J192" s="8">
        <f>Player_Analysis!AG192</f>
        <v>0</v>
      </c>
      <c r="K192">
        <f>Player_Analysis!O192</f>
        <v>0</v>
      </c>
      <c r="L192">
        <f>Player_Analysis!P192</f>
        <v>0.01</v>
      </c>
      <c r="M192">
        <f t="shared" si="55"/>
        <v>0</v>
      </c>
      <c r="N192">
        <f t="shared" si="56"/>
        <v>3.3333333333333331E-3</v>
      </c>
      <c r="O192" s="2">
        <f>IF(E192=0,"",Player_Analysis!L192/E192*90)</f>
        <v>1.6666666666666665</v>
      </c>
      <c r="P192">
        <f>IF(E192=0,"",Player_Analysis!Q192/E192*90)</f>
        <v>3.3333333333333331E-3</v>
      </c>
      <c r="Q192">
        <f>IF(E192=0,"",(Player_Analysis!AD192/E192)*90)</f>
        <v>7.6666666666666661</v>
      </c>
      <c r="R192">
        <f>IF(E192=0,"",Player_Analysis!AA192/E192*90)</f>
        <v>0</v>
      </c>
      <c r="S192" t="str">
        <f t="array" ref="S192">IFERROR(INDEX('2023_24'!$O:$O,MATCH($A192,'2023_24'!$A:$A,0)),"")</f>
        <v/>
      </c>
      <c r="T192">
        <f>IFERROR(INDEX('2024_25'!$P:$P,MATCH($A192,'2024_25'!$A:$A,0)),"")</f>
        <v>0</v>
      </c>
      <c r="U192">
        <f>IFERROR(INDEX('2025_26'!$P:$P,MATCH($A192,'2025_26'!$A:$A,0)),"")</f>
        <v>0</v>
      </c>
      <c r="V192" t="str">
        <f>IFERROR(INDEX('2023_24'!$P:$P,MATCH($A192,'2023_24'!$A:$A,0)),"")</f>
        <v/>
      </c>
      <c r="W192">
        <f>IFERROR(INDEX('2024_25'!$Q:$Q,MATCH($A192,'2024_25'!$A:$A,0)),"")</f>
        <v>0</v>
      </c>
      <c r="X192">
        <f>IFERROR(INDEX('2025_26'!$Q:$Q,MATCH($A192,'2025_26'!$A:$A,0)),"")</f>
        <v>0</v>
      </c>
      <c r="Y192" t="str">
        <f>IFERROR(INDEX('2023_24'!$M:$M,MATCH($A192,'2023_24'!$A:$A,0))/INDEX('2023_24'!$G:$G,MATCH($A192,'2023_24'!$A:$A,0))*90,"")</f>
        <v/>
      </c>
      <c r="Z192" t="str">
        <f>IFERROR(INDEX('2024_25'!$M:$M,MATCH($A192,'2024_25'!$A:$A,0))/INDEX('2024_25'!$G:$G,MATCH($A192,'2024_25'!$A:$A,0))*90,"")</f>
        <v/>
      </c>
      <c r="AA192" t="str">
        <f>IFERROR(INDEX('2025_26'!$M:$M,MATCH($A192,'2025_26'!$A:$A,0))/INDEX('2025_26'!$G:$G,MATCH($A192,'2025_26'!$A:$A,0))*90,"")</f>
        <v/>
      </c>
      <c r="AB192">
        <f>IFERROR(SUMPRODUCT(S192:U192,{0.2,0.3,0.5})/SUMPRODUCT(--(S192:U192&lt;&gt;""),{0.2,0.3,0.5}),"")</f>
        <v>0</v>
      </c>
      <c r="AC192">
        <f>IFERROR(SUMPRODUCT(V192:X192,{0.2,0.3,0.5})/SUMPRODUCT(--(V192:X192&lt;&gt;""),{0.2,0.3,0.5}),"")</f>
        <v>0</v>
      </c>
      <c r="AD192">
        <f>IFERROR(SUMPRODUCT(Y192:AA192,{0.2,0.3,0.5})/SUMPRODUCT((Y192:AA192&lt;&gt;"")*{0.2,0.3,0.5}),O192)</f>
        <v>1.6666666666666665</v>
      </c>
      <c r="AE192">
        <f t="shared" si="57"/>
        <v>2</v>
      </c>
      <c r="AF192">
        <f t="shared" si="58"/>
        <v>90</v>
      </c>
      <c r="AG192">
        <f t="shared" si="59"/>
        <v>0</v>
      </c>
      <c r="AH192">
        <f t="shared" si="60"/>
        <v>3.0000000000000001E-3</v>
      </c>
      <c r="AI192" s="2">
        <f t="shared" si="61"/>
        <v>1.6666666666666665</v>
      </c>
      <c r="AJ192">
        <f t="shared" si="62"/>
        <v>0.9</v>
      </c>
      <c r="AK192" t="str">
        <f t="shared" si="63"/>
        <v>NO</v>
      </c>
      <c r="AL192">
        <f t="shared" si="64"/>
        <v>0</v>
      </c>
      <c r="AM192">
        <f t="shared" si="65"/>
        <v>3.0000000000000001E-3</v>
      </c>
      <c r="AN192">
        <f t="shared" si="66"/>
        <v>0</v>
      </c>
      <c r="AO192">
        <f t="shared" si="67"/>
        <v>3.0000000000000001E-3</v>
      </c>
      <c r="AP192">
        <f t="array" ref="AP192">AL192*IF($C192="GKP",10,IF($C192="DEF",6,IF($C192="MID",5,4)))</f>
        <v>0</v>
      </c>
      <c r="AQ192">
        <f t="shared" si="68"/>
        <v>9.0000000000000011E-3</v>
      </c>
      <c r="AR192">
        <f t="shared" si="69"/>
        <v>2</v>
      </c>
      <c r="AS192" s="2">
        <f>IF($H192=0,0,Player_Analysis!$AM192*$H192/90)</f>
        <v>0</v>
      </c>
      <c r="AT192">
        <f t="shared" si="70"/>
        <v>0</v>
      </c>
      <c r="AU192" s="2">
        <f>0</f>
        <v>0</v>
      </c>
      <c r="AV192" s="2">
        <f>IF(INDEX(FPL_Raw_Data!K:K,MATCH(A192,FPL_Raw_Data!AA:AA,0))=0,"",INDEX(FPL_Raw_Data!P:P,MATCH(A192,FPL_Raw_Data!AA:AA,0))/INDEX(FPL_Raw_Data!K:K,MATCH(A192,FPL_Raw_Data!AA:AA,0))*90)</f>
        <v>1.6666666666666665</v>
      </c>
      <c r="AW192" s="2">
        <f t="shared" si="71"/>
        <v>0.55555555555555547</v>
      </c>
      <c r="AX192" s="2">
        <f>IFERROR(INDEX(TEAM_ANALYSIS!$H$2:$H$21,MATCH($B192,TEAM_ANALYSIS!$A$2:$A$21,0)),0)</f>
        <v>1.6666666666666667</v>
      </c>
      <c r="AY192" s="2">
        <f t="shared" si="72"/>
        <v>0</v>
      </c>
      <c r="AZ192" s="2">
        <f t="shared" si="73"/>
        <v>2.5645555555555553</v>
      </c>
      <c r="BA192">
        <f t="shared" si="74"/>
        <v>0.5699012345679012</v>
      </c>
      <c r="BB192">
        <f>IFERROR(Player_Analysis!$Y192,1)</f>
        <v>0.97467649467649475</v>
      </c>
      <c r="BC192">
        <f t="shared" si="75"/>
        <v>2.499612019292019</v>
      </c>
      <c r="BD192">
        <f t="shared" si="76"/>
        <v>1.4245319757352861</v>
      </c>
      <c r="BE192">
        <f t="shared" si="77"/>
        <v>2.499612019292019</v>
      </c>
      <c r="BF192">
        <f t="shared" si="78"/>
        <v>227</v>
      </c>
      <c r="BG192">
        <f>IF($BE192="","",COUNTIFS($C$2:$C$596,$C192,$BE$2:$BE$596,"&gt;"&amp;$BE192)+COUNTIFS($C$2:$C192,$C192,$BE$2:$BE192,$BE192))</f>
        <v>20</v>
      </c>
    </row>
    <row r="193" spans="1:59" x14ac:dyDescent="0.25">
      <c r="A193" t="str">
        <f>Player_Analysis!A193</f>
        <v>Oliver Dovin</v>
      </c>
      <c r="B193">
        <f>Player_Analysis!C193</f>
        <v>7</v>
      </c>
      <c r="C193" t="str">
        <f>Player_Analysis!B193</f>
        <v>GK</v>
      </c>
      <c r="D193" s="13">
        <f>Player_Analysis!E193</f>
        <v>4</v>
      </c>
      <c r="E193">
        <f>Player_Analysis!I193</f>
        <v>0</v>
      </c>
      <c r="F193" s="8">
        <f>Player_Analysis!Z193</f>
        <v>0</v>
      </c>
      <c r="G193" s="17">
        <f t="shared" si="53"/>
        <v>0</v>
      </c>
      <c r="H193">
        <f t="shared" si="54"/>
        <v>0</v>
      </c>
      <c r="I193" s="8">
        <f>Player_Analysis!AF193</f>
        <v>0</v>
      </c>
      <c r="J193" s="8">
        <f>Player_Analysis!AG193</f>
        <v>0</v>
      </c>
      <c r="K193">
        <f>Player_Analysis!O193</f>
        <v>0</v>
      </c>
      <c r="L193">
        <f>Player_Analysis!P193</f>
        <v>0</v>
      </c>
      <c r="M193" t="str">
        <f t="shared" si="55"/>
        <v/>
      </c>
      <c r="N193" t="str">
        <f t="shared" si="56"/>
        <v/>
      </c>
      <c r="O193" s="2" t="str">
        <f>IF(E193=0,"",Player_Analysis!L193/E193*90)</f>
        <v/>
      </c>
      <c r="P193" t="str">
        <f>IF(E193=0,"",Player_Analysis!Q193/E193*90)</f>
        <v/>
      </c>
      <c r="Q193" t="str">
        <f>IF(E193=0,"",(Player_Analysis!AD193/E193)*90)</f>
        <v/>
      </c>
      <c r="R193" t="str">
        <f>IF(E193=0,"",Player_Analysis!AA193/E193*90)</f>
        <v/>
      </c>
      <c r="S193" t="str">
        <f t="array" ref="S193">IFERROR(INDEX('2023_24'!$O:$O,MATCH($A193,'2023_24'!$A:$A,0)),"")</f>
        <v/>
      </c>
      <c r="T193" t="str">
        <f>IFERROR(INDEX('2024_25'!$P:$P,MATCH($A193,'2024_25'!$A:$A,0)),"")</f>
        <v/>
      </c>
      <c r="U193" t="str">
        <f>IFERROR(INDEX('2025_26'!$P:$P,MATCH($A193,'2025_26'!$A:$A,0)),"")</f>
        <v/>
      </c>
      <c r="V193" t="str">
        <f>IFERROR(INDEX('2023_24'!$P:$P,MATCH($A193,'2023_24'!$A:$A,0)),"")</f>
        <v/>
      </c>
      <c r="W193" t="str">
        <f>IFERROR(INDEX('2024_25'!$Q:$Q,MATCH($A193,'2024_25'!$A:$A,0)),"")</f>
        <v/>
      </c>
      <c r="X193" t="str">
        <f>IFERROR(INDEX('2025_26'!$Q:$Q,MATCH($A193,'2025_26'!$A:$A,0)),"")</f>
        <v/>
      </c>
      <c r="Y193" t="str">
        <f>IFERROR(INDEX('2023_24'!$M:$M,MATCH($A193,'2023_24'!$A:$A,0))/INDEX('2023_24'!$G:$G,MATCH($A193,'2023_24'!$A:$A,0))*90,"")</f>
        <v/>
      </c>
      <c r="Z193" t="str">
        <f>IFERROR(INDEX('2024_25'!$M:$M,MATCH($A193,'2024_25'!$A:$A,0))/INDEX('2024_25'!$G:$G,MATCH($A193,'2024_25'!$A:$A,0))*90,"")</f>
        <v/>
      </c>
      <c r="AA193" t="str">
        <f>IFERROR(INDEX('2025_26'!$M:$M,MATCH($A193,'2025_26'!$A:$A,0))/INDEX('2025_26'!$G:$G,MATCH($A193,'2025_26'!$A:$A,0))*90,"")</f>
        <v/>
      </c>
      <c r="AB193" t="str">
        <f>IFERROR(SUMPRODUCT(S193:U193,{0.2,0.3,0.5})/SUMPRODUCT(--(S193:U193&lt;&gt;""),{0.2,0.3,0.5}),"")</f>
        <v/>
      </c>
      <c r="AC193" t="str">
        <f>IFERROR(SUMPRODUCT(V193:X193,{0.2,0.3,0.5})/SUMPRODUCT(--(V193:X193&lt;&gt;""),{0.2,0.3,0.5}),"")</f>
        <v/>
      </c>
      <c r="AD193" t="str">
        <f>IFERROR(SUMPRODUCT(Y193:AA193,{0.2,0.3,0.5})/SUMPRODUCT((Y193:AA193&lt;&gt;"")*{0.2,0.3,0.5}),O193)</f>
        <v/>
      </c>
      <c r="AE193">
        <f t="shared" si="57"/>
        <v>0</v>
      </c>
      <c r="AF193" t="str">
        <f t="shared" si="58"/>
        <v/>
      </c>
      <c r="AG193">
        <f t="shared" si="59"/>
        <v>0</v>
      </c>
      <c r="AH193">
        <f t="shared" si="60"/>
        <v>0</v>
      </c>
      <c r="AI193" s="2">
        <f t="shared" si="61"/>
        <v>0</v>
      </c>
      <c r="AJ193">
        <f t="shared" si="62"/>
        <v>0</v>
      </c>
      <c r="AK193" t="str">
        <f t="shared" si="63"/>
        <v>YES</v>
      </c>
      <c r="AL193">
        <f t="shared" si="64"/>
        <v>0</v>
      </c>
      <c r="AM193">
        <f t="shared" si="65"/>
        <v>0</v>
      </c>
      <c r="AN193">
        <f t="shared" si="66"/>
        <v>0</v>
      </c>
      <c r="AO193">
        <f t="shared" si="67"/>
        <v>0</v>
      </c>
      <c r="AP193">
        <f t="array" ref="AP193">AL193*IF($C193="GKP",10,IF($C193="DEF",6,IF($C193="MID",5,4)))</f>
        <v>0</v>
      </c>
      <c r="AQ193">
        <f t="shared" si="68"/>
        <v>0</v>
      </c>
      <c r="AR193">
        <f t="shared" si="69"/>
        <v>0</v>
      </c>
      <c r="AS193" s="2">
        <f>IF($H193=0,0,Player_Analysis!$AM193*$H193/90)</f>
        <v>0</v>
      </c>
      <c r="AT193">
        <f t="shared" si="70"/>
        <v>0</v>
      </c>
      <c r="AU193" s="2">
        <f>0</f>
        <v>0</v>
      </c>
      <c r="AV193" s="2" t="str">
        <f>IF(INDEX(FPL_Raw_Data!K:K,MATCH(A193,FPL_Raw_Data!AA:AA,0))=0,"",INDEX(FPL_Raw_Data!P:P,MATCH(A193,FPL_Raw_Data!AA:AA,0))/INDEX(FPL_Raw_Data!K:K,MATCH(A193,FPL_Raw_Data!AA:AA,0))*90)</f>
        <v/>
      </c>
      <c r="AW193" s="2">
        <f t="shared" si="71"/>
        <v>0</v>
      </c>
      <c r="AX193" s="2">
        <f>IFERROR(INDEX(TEAM_ANALYSIS!$H$2:$H$21,MATCH($B193,TEAM_ANALYSIS!$A$2:$A$21,0)),0)</f>
        <v>1.6666666666666667</v>
      </c>
      <c r="AY193" s="2">
        <f t="shared" si="72"/>
        <v>0</v>
      </c>
      <c r="AZ193" s="2">
        <f t="shared" si="73"/>
        <v>0</v>
      </c>
      <c r="BA193">
        <f t="shared" si="74"/>
        <v>0</v>
      </c>
      <c r="BB193">
        <f>IFERROR(Player_Analysis!$Y193,1)</f>
        <v>0.97467649467649475</v>
      </c>
      <c r="BC193">
        <f t="shared" si="75"/>
        <v>0</v>
      </c>
      <c r="BD193">
        <f t="shared" si="76"/>
        <v>0</v>
      </c>
      <c r="BE193">
        <f t="shared" si="77"/>
        <v>0</v>
      </c>
      <c r="BF193">
        <f t="shared" si="78"/>
        <v>253</v>
      </c>
      <c r="BG193">
        <f>IF($BE193="","",COUNTIFS($C$2:$C$596,$C193,$BE$2:$BE$596,"&gt;"&amp;$BE193)+COUNTIFS($C$2:$C193,$C193,$BE$2:$BE193,$BE193))</f>
        <v>31</v>
      </c>
    </row>
    <row r="194" spans="1:59" x14ac:dyDescent="0.25">
      <c r="A194" t="str">
        <f>Player_Analysis!A194</f>
        <v>Ben Wilson</v>
      </c>
      <c r="B194">
        <f>Player_Analysis!C194</f>
        <v>7</v>
      </c>
      <c r="C194" t="str">
        <f>Player_Analysis!B194</f>
        <v>GK</v>
      </c>
      <c r="D194" s="13">
        <f>Player_Analysis!E194</f>
        <v>4.5</v>
      </c>
      <c r="E194">
        <f>Player_Analysis!I194</f>
        <v>0</v>
      </c>
      <c r="F194" s="8">
        <f>Player_Analysis!Z194</f>
        <v>0</v>
      </c>
      <c r="G194" s="17">
        <f t="shared" ref="G194:G257" si="79">IF(E194=0,0,MIN(1,F194/(E194/90)))</f>
        <v>0</v>
      </c>
      <c r="H194">
        <f t="shared" ref="H194:H257" si="80">IF($E194=0,0,MIN(90,$G194*90))</f>
        <v>0</v>
      </c>
      <c r="I194" s="8">
        <f>Player_Analysis!AF194</f>
        <v>0</v>
      </c>
      <c r="J194" s="8">
        <f>Player_Analysis!AG194</f>
        <v>0</v>
      </c>
      <c r="K194">
        <f>Player_Analysis!O194</f>
        <v>0</v>
      </c>
      <c r="L194">
        <f>Player_Analysis!P194</f>
        <v>0</v>
      </c>
      <c r="M194" t="str">
        <f t="shared" ref="M194:M257" si="81">IF(E194=0,"",K194/E194*90)</f>
        <v/>
      </c>
      <c r="N194" t="str">
        <f t="shared" ref="N194:N257" si="82">IF(E194=0,"",L194/E194*90)</f>
        <v/>
      </c>
      <c r="O194" s="2" t="str">
        <f>IF(E194=0,"",Player_Analysis!L194/E194*90)</f>
        <v/>
      </c>
      <c r="P194" t="str">
        <f>IF(E194=0,"",Player_Analysis!Q194/E194*90)</f>
        <v/>
      </c>
      <c r="Q194" t="str">
        <f>IF(E194=0,"",(Player_Analysis!AD194/E194)*90)</f>
        <v/>
      </c>
      <c r="R194" t="str">
        <f>IF(E194=0,"",Player_Analysis!AA194/E194*90)</f>
        <v/>
      </c>
      <c r="S194" t="str">
        <f t="array" ref="S194">IFERROR(INDEX('2023_24'!$O:$O,MATCH($A194,'2023_24'!$A:$A,0)),"")</f>
        <v/>
      </c>
      <c r="T194" t="str">
        <f>IFERROR(INDEX('2024_25'!$P:$P,MATCH($A194,'2024_25'!$A:$A,0)),"")</f>
        <v/>
      </c>
      <c r="U194" t="str">
        <f>IFERROR(INDEX('2025_26'!$P:$P,MATCH($A194,'2025_26'!$A:$A,0)),"")</f>
        <v/>
      </c>
      <c r="V194" t="str">
        <f>IFERROR(INDEX('2023_24'!$P:$P,MATCH($A194,'2023_24'!$A:$A,0)),"")</f>
        <v/>
      </c>
      <c r="W194" t="str">
        <f>IFERROR(INDEX('2024_25'!$Q:$Q,MATCH($A194,'2024_25'!$A:$A,0)),"")</f>
        <v/>
      </c>
      <c r="X194" t="str">
        <f>IFERROR(INDEX('2025_26'!$Q:$Q,MATCH($A194,'2025_26'!$A:$A,0)),"")</f>
        <v/>
      </c>
      <c r="Y194" t="str">
        <f>IFERROR(INDEX('2023_24'!$M:$M,MATCH($A194,'2023_24'!$A:$A,0))/INDEX('2023_24'!$G:$G,MATCH($A194,'2023_24'!$A:$A,0))*90,"")</f>
        <v/>
      </c>
      <c r="Z194" t="str">
        <f>IFERROR(INDEX('2024_25'!$M:$M,MATCH($A194,'2024_25'!$A:$A,0))/INDEX('2024_25'!$G:$G,MATCH($A194,'2024_25'!$A:$A,0))*90,"")</f>
        <v/>
      </c>
      <c r="AA194" t="str">
        <f>IFERROR(INDEX('2025_26'!$M:$M,MATCH($A194,'2025_26'!$A:$A,0))/INDEX('2025_26'!$G:$G,MATCH($A194,'2025_26'!$A:$A,0))*90,"")</f>
        <v/>
      </c>
      <c r="AB194" t="str">
        <f>IFERROR(SUMPRODUCT(S194:U194,{0.2,0.3,0.5})/SUMPRODUCT(--(S194:U194&lt;&gt;""),{0.2,0.3,0.5}),"")</f>
        <v/>
      </c>
      <c r="AC194" t="str">
        <f>IFERROR(SUMPRODUCT(V194:X194,{0.2,0.3,0.5})/SUMPRODUCT(--(V194:X194&lt;&gt;""),{0.2,0.3,0.5}),"")</f>
        <v/>
      </c>
      <c r="AD194" t="str">
        <f>IFERROR(SUMPRODUCT(Y194:AA194,{0.2,0.3,0.5})/SUMPRODUCT((Y194:AA194&lt;&gt;"")*{0.2,0.3,0.5}),O194)</f>
        <v/>
      </c>
      <c r="AE194">
        <f t="shared" ref="AE194:AE257" si="83">COUNT(S194:U194)</f>
        <v>0</v>
      </c>
      <c r="AF194" t="str">
        <f t="shared" ref="AF194:AF257" si="84">IF(F194=0,"",E194/F194)</f>
        <v/>
      </c>
      <c r="AG194">
        <f t="shared" ref="AG194:AG257" si="85">IF(AND(M194="",AB194=""),0,IF(M194="",AB194,IF(AB194="",M194,M194*AJ194+AB194*(1-AJ194))))</f>
        <v>0</v>
      </c>
      <c r="AH194">
        <f t="shared" ref="AH194:AH257" si="86">IF(AND(N194="",AC194=""),0,IF(N194="",AC194,IF(AC194="",N194,N194*AJ194+AC194*(1-AJ194))))</f>
        <v>0</v>
      </c>
      <c r="AI194" s="2">
        <f t="shared" ref="AI194:AI257" si="87">IF(AND(O194="",AD194=""),0,IF(O194="",AD194,IF(AD194="",O194,O194*AJ194+AD194*(1-AJ194))))</f>
        <v>0</v>
      </c>
      <c r="AJ194">
        <f t="shared" ref="AJ194:AJ257" si="88">IF($E194=0,0,MIN(0.9,$E194/300))</f>
        <v>0</v>
      </c>
      <c r="AK194" t="str">
        <f t="shared" ref="AK194:AK257" si="89">IF(AE194=0,"YES","NO")</f>
        <v>YES</v>
      </c>
      <c r="AL194">
        <f t="shared" ref="AL194:AL257" si="90">IF($H194=0,0,$AG194*$H194/90)</f>
        <v>0</v>
      </c>
      <c r="AM194">
        <f t="shared" ref="AM194:AM257" si="91">IF($H194=0,0,$AH194*$H194/90)</f>
        <v>0</v>
      </c>
      <c r="AN194">
        <f t="shared" ref="AN194:AN257" si="92">AL194</f>
        <v>0</v>
      </c>
      <c r="AO194">
        <f t="shared" ref="AO194:AO257" si="93">AM194</f>
        <v>0</v>
      </c>
      <c r="AP194">
        <f t="array" ref="AP194">AL194*IF($C194="GKP",10,IF($C194="DEF",6,IF($C194="MID",5,4)))</f>
        <v>0</v>
      </c>
      <c r="AQ194">
        <f t="shared" ref="AQ194:AQ257" si="94">AM194*3</f>
        <v>0</v>
      </c>
      <c r="AR194">
        <f t="shared" ref="AR194:AR257" si="95">$G194*2</f>
        <v>0</v>
      </c>
      <c r="AS194" s="2">
        <f>IF($H194=0,0,Player_Analysis!$AM194*$H194/90)</f>
        <v>0</v>
      </c>
      <c r="AT194">
        <f t="shared" ref="AT194:AT257" si="96">IF($H194=0,0,$R194*$H194/90*2/IF(OR($C194="GKP",$C194="DEF"),10,12))</f>
        <v>0</v>
      </c>
      <c r="AU194" s="2">
        <f>0</f>
        <v>0</v>
      </c>
      <c r="AV194" s="2" t="str">
        <f>IF(INDEX(FPL_Raw_Data!K:K,MATCH(A194,FPL_Raw_Data!AA:AA,0))=0,"",INDEX(FPL_Raw_Data!P:P,MATCH(A194,FPL_Raw_Data!AA:AA,0))/INDEX(FPL_Raw_Data!K:K,MATCH(A194,FPL_Raw_Data!AA:AA,0))*90)</f>
        <v/>
      </c>
      <c r="AW194" s="2">
        <f t="shared" ref="AW194:AW257" si="97">IF(AV194="",0,AV194/3)</f>
        <v>0</v>
      </c>
      <c r="AX194" s="2">
        <f>IFERROR(INDEX(TEAM_ANALYSIS!$H$2:$H$21,MATCH($B194,TEAM_ANALYSIS!$A$2:$A$21,0)),0)</f>
        <v>1.6666666666666667</v>
      </c>
      <c r="AY194" s="2">
        <f t="shared" ref="AY194:AY257" si="98">IF(OR($C194="GKP",$C194="DEF"),-($AX194/2),0)</f>
        <v>0</v>
      </c>
      <c r="AZ194" s="2">
        <f t="shared" ref="AZ194:AZ257" si="99">SUM(AP194:AU194)+AW194+AY194</f>
        <v>0</v>
      </c>
      <c r="BA194">
        <f t="shared" ref="BA194:BA257" si="100">IF($D194=0,0,$AZ194/$D194)</f>
        <v>0</v>
      </c>
      <c r="BB194">
        <f>IFERROR(Player_Analysis!$Y194,1)</f>
        <v>0.97467649467649475</v>
      </c>
      <c r="BC194">
        <f t="shared" ref="BC194:BC257" si="101">BB194*AZ194</f>
        <v>0</v>
      </c>
      <c r="BD194">
        <f t="shared" ref="BD194:BD257" si="102">BA194*BC194</f>
        <v>0</v>
      </c>
      <c r="BE194">
        <f t="shared" ref="BE194:BE257" si="103">BC194</f>
        <v>0</v>
      </c>
      <c r="BF194">
        <f t="shared" ref="BF194:BF257" si="104">IF($BE194="","",_xlfn.RANK.EQ($BE194,$BE$2:$BE$596,0))</f>
        <v>253</v>
      </c>
      <c r="BG194">
        <f>IF($BE194="","",COUNTIFS($C$2:$C$596,$C194,$BE$2:$BE$596,"&gt;"&amp;$BE194)+COUNTIFS($C$2:$C194,$C194,$BE$2:$BE194,$BE194))</f>
        <v>32</v>
      </c>
    </row>
    <row r="195" spans="1:59" x14ac:dyDescent="0.25">
      <c r="A195" t="str">
        <f>Player_Analysis!A195</f>
        <v>Bobby Thomas</v>
      </c>
      <c r="B195">
        <f>Player_Analysis!C195</f>
        <v>7</v>
      </c>
      <c r="C195" t="str">
        <f>Player_Analysis!B195</f>
        <v>DEF</v>
      </c>
      <c r="D195" s="13">
        <f>Player_Analysis!E195</f>
        <v>4</v>
      </c>
      <c r="E195">
        <f>Player_Analysis!I195</f>
        <v>257</v>
      </c>
      <c r="F195" s="8">
        <f>Player_Analysis!Z195</f>
        <v>3</v>
      </c>
      <c r="G195" s="17">
        <f t="shared" si="79"/>
        <v>1</v>
      </c>
      <c r="H195">
        <f t="shared" si="80"/>
        <v>90</v>
      </c>
      <c r="I195" s="8">
        <f>Player_Analysis!AF195</f>
        <v>0</v>
      </c>
      <c r="J195" s="8">
        <f>Player_Analysis!AG195</f>
        <v>0</v>
      </c>
      <c r="K195">
        <f>Player_Analysis!O195</f>
        <v>0.24</v>
      </c>
      <c r="L195">
        <f>Player_Analysis!P195</f>
        <v>0.19</v>
      </c>
      <c r="M195">
        <f t="shared" si="81"/>
        <v>8.4046692607003884E-2</v>
      </c>
      <c r="N195">
        <f t="shared" si="82"/>
        <v>6.6536964980544747E-2</v>
      </c>
      <c r="O195" s="2">
        <f>IF(E195=0,"",Player_Analysis!L195/E195*90)</f>
        <v>5.2529182879377432</v>
      </c>
      <c r="P195">
        <f>IF(E195=0,"",Player_Analysis!Q195/E195*90)</f>
        <v>0.15058365758754863</v>
      </c>
      <c r="Q195">
        <f>IF(E195=0,"",(Player_Analysis!AD195/E195)*90)</f>
        <v>20.311284046692606</v>
      </c>
      <c r="R195">
        <f>IF(E195=0,"",Player_Analysis!AA195/E195*90)</f>
        <v>10.85603112840467</v>
      </c>
      <c r="S195">
        <f t="array" ref="S195">IFERROR(INDEX('2023_24'!$O:$O,MATCH($A195,'2023_24'!$A:$A,0)),"")</f>
        <v>0</v>
      </c>
      <c r="T195" t="str">
        <f>IFERROR(INDEX('2024_25'!$P:$P,MATCH($A195,'2024_25'!$A:$A,0)),"")</f>
        <v/>
      </c>
      <c r="U195" t="str">
        <f>IFERROR(INDEX('2025_26'!$P:$P,MATCH($A195,'2025_26'!$A:$A,0)),"")</f>
        <v/>
      </c>
      <c r="V195">
        <f>IFERROR(INDEX('2023_24'!$P:$P,MATCH($A195,'2023_24'!$A:$A,0)),"")</f>
        <v>0</v>
      </c>
      <c r="W195" t="str">
        <f>IFERROR(INDEX('2024_25'!$Q:$Q,MATCH($A195,'2024_25'!$A:$A,0)),"")</f>
        <v/>
      </c>
      <c r="X195" t="str">
        <f>IFERROR(INDEX('2025_26'!$Q:$Q,MATCH($A195,'2025_26'!$A:$A,0)),"")</f>
        <v/>
      </c>
      <c r="Y195" t="str">
        <f>IFERROR(INDEX('2023_24'!$M:$M,MATCH($A195,'2023_24'!$A:$A,0))/INDEX('2023_24'!$G:$G,MATCH($A195,'2023_24'!$A:$A,0))*90,"")</f>
        <v/>
      </c>
      <c r="Z195" t="str">
        <f>IFERROR(INDEX('2024_25'!$M:$M,MATCH($A195,'2024_25'!$A:$A,0))/INDEX('2024_25'!$G:$G,MATCH($A195,'2024_25'!$A:$A,0))*90,"")</f>
        <v/>
      </c>
      <c r="AA195" t="str">
        <f>IFERROR(INDEX('2025_26'!$M:$M,MATCH($A195,'2025_26'!$A:$A,0))/INDEX('2025_26'!$G:$G,MATCH($A195,'2025_26'!$A:$A,0))*90,"")</f>
        <v/>
      </c>
      <c r="AB195">
        <f>IFERROR(SUMPRODUCT(S195:U195,{0.2,0.3,0.5})/SUMPRODUCT(--(S195:U195&lt;&gt;""),{0.2,0.3,0.5}),"")</f>
        <v>0</v>
      </c>
      <c r="AC195">
        <f>IFERROR(SUMPRODUCT(V195:X195,{0.2,0.3,0.5})/SUMPRODUCT(--(V195:X195&lt;&gt;""),{0.2,0.3,0.5}),"")</f>
        <v>0</v>
      </c>
      <c r="AD195">
        <f>IFERROR(SUMPRODUCT(Y195:AA195,{0.2,0.3,0.5})/SUMPRODUCT((Y195:AA195&lt;&gt;"")*{0.2,0.3,0.5}),O195)</f>
        <v>5.2529182879377432</v>
      </c>
      <c r="AE195">
        <f t="shared" si="83"/>
        <v>1</v>
      </c>
      <c r="AF195">
        <f t="shared" si="84"/>
        <v>85.666666666666671</v>
      </c>
      <c r="AG195">
        <f t="shared" si="85"/>
        <v>7.1999999999999995E-2</v>
      </c>
      <c r="AH195">
        <f t="shared" si="86"/>
        <v>5.7000000000000002E-2</v>
      </c>
      <c r="AI195" s="2">
        <f t="shared" si="87"/>
        <v>5.2529182879377432</v>
      </c>
      <c r="AJ195">
        <f t="shared" si="88"/>
        <v>0.85666666666666669</v>
      </c>
      <c r="AK195" t="str">
        <f t="shared" si="89"/>
        <v>NO</v>
      </c>
      <c r="AL195">
        <f t="shared" si="90"/>
        <v>7.1999999999999995E-2</v>
      </c>
      <c r="AM195">
        <f t="shared" si="91"/>
        <v>5.7000000000000002E-2</v>
      </c>
      <c r="AN195">
        <f t="shared" si="92"/>
        <v>7.1999999999999995E-2</v>
      </c>
      <c r="AO195">
        <f t="shared" si="93"/>
        <v>5.7000000000000002E-2</v>
      </c>
      <c r="AP195">
        <f t="array" ref="AP195">AL195*IF($C195="GKP",10,IF($C195="DEF",6,IF($C195="MID",5,4)))</f>
        <v>0.43199999999999994</v>
      </c>
      <c r="AQ195">
        <f t="shared" si="94"/>
        <v>0.17100000000000001</v>
      </c>
      <c r="AR195">
        <f t="shared" si="95"/>
        <v>2</v>
      </c>
      <c r="AS195" s="2">
        <f>IF($H195=0,0,Player_Analysis!$AM195*$H195/90)</f>
        <v>1.3333333333333333</v>
      </c>
      <c r="AT195">
        <f t="shared" si="96"/>
        <v>2.1712062256809341</v>
      </c>
      <c r="AU195" s="2">
        <f>0</f>
        <v>0</v>
      </c>
      <c r="AV195" s="2">
        <f>IF(INDEX(FPL_Raw_Data!K:K,MATCH(A195,FPL_Raw_Data!AA:AA,0))=0,"",INDEX(FPL_Raw_Data!P:P,MATCH(A195,FPL_Raw_Data!AA:AA,0))/INDEX(FPL_Raw_Data!K:K,MATCH(A195,FPL_Raw_Data!AA:AA,0))*90)</f>
        <v>0</v>
      </c>
      <c r="AW195" s="2">
        <f t="shared" si="97"/>
        <v>0</v>
      </c>
      <c r="AX195" s="2">
        <f>IFERROR(INDEX(TEAM_ANALYSIS!$H$2:$H$21,MATCH($B195,TEAM_ANALYSIS!$A$2:$A$21,0)),0)</f>
        <v>1.6666666666666667</v>
      </c>
      <c r="AY195" s="2">
        <f t="shared" si="98"/>
        <v>-0.83333333333333337</v>
      </c>
      <c r="AZ195" s="2">
        <f t="shared" si="99"/>
        <v>5.2742062256809339</v>
      </c>
      <c r="BA195">
        <f t="shared" si="100"/>
        <v>1.3185515564202335</v>
      </c>
      <c r="BB195">
        <f>IFERROR(Player_Analysis!$Y195,1)</f>
        <v>0.97467649467649475</v>
      </c>
      <c r="BC195">
        <f t="shared" si="101"/>
        <v>5.1406448362476382</v>
      </c>
      <c r="BD195">
        <f t="shared" si="102"/>
        <v>6.7782052498379599</v>
      </c>
      <c r="BE195">
        <f t="shared" si="103"/>
        <v>5.1406448362476382</v>
      </c>
      <c r="BF195">
        <f t="shared" si="104"/>
        <v>85</v>
      </c>
      <c r="BG195">
        <f>IF($BE195="","",COUNTIFS($C$2:$C$596,$C195,$BE$2:$BE$596,"&gt;"&amp;$BE195)+COUNTIFS($C$2:$C195,$C195,$BE$2:$BE195,$BE195))</f>
        <v>34</v>
      </c>
    </row>
    <row r="196" spans="1:59" x14ac:dyDescent="0.25">
      <c r="A196" t="str">
        <f>Player_Analysis!A196</f>
        <v>Liam Kitching</v>
      </c>
      <c r="B196">
        <f>Player_Analysis!C196</f>
        <v>7</v>
      </c>
      <c r="C196" t="str">
        <f>Player_Analysis!B196</f>
        <v>DEF</v>
      </c>
      <c r="D196" s="13">
        <f>Player_Analysis!E196</f>
        <v>4</v>
      </c>
      <c r="E196">
        <f>Player_Analysis!I196</f>
        <v>0</v>
      </c>
      <c r="F196" s="8">
        <f>Player_Analysis!Z196</f>
        <v>0</v>
      </c>
      <c r="G196" s="17">
        <f t="shared" si="79"/>
        <v>0</v>
      </c>
      <c r="H196">
        <f t="shared" si="80"/>
        <v>0</v>
      </c>
      <c r="I196" s="8">
        <f>Player_Analysis!AF196</f>
        <v>0</v>
      </c>
      <c r="J196" s="8">
        <f>Player_Analysis!AG196</f>
        <v>0</v>
      </c>
      <c r="K196">
        <f>Player_Analysis!O196</f>
        <v>0</v>
      </c>
      <c r="L196">
        <f>Player_Analysis!P196</f>
        <v>0</v>
      </c>
      <c r="M196" t="str">
        <f t="shared" si="81"/>
        <v/>
      </c>
      <c r="N196" t="str">
        <f t="shared" si="82"/>
        <v/>
      </c>
      <c r="O196" s="2" t="str">
        <f>IF(E196=0,"",Player_Analysis!L196/E196*90)</f>
        <v/>
      </c>
      <c r="P196" t="str">
        <f>IF(E196=0,"",Player_Analysis!Q196/E196*90)</f>
        <v/>
      </c>
      <c r="Q196" t="str">
        <f>IF(E196=0,"",(Player_Analysis!AD196/E196)*90)</f>
        <v/>
      </c>
      <c r="R196" t="str">
        <f>IF(E196=0,"",Player_Analysis!AA196/E196*90)</f>
        <v/>
      </c>
      <c r="S196" t="str">
        <f t="array" ref="S196">IFERROR(INDEX('2023_24'!$O:$O,MATCH($A196,'2023_24'!$A:$A,0)),"")</f>
        <v/>
      </c>
      <c r="T196" t="str">
        <f>IFERROR(INDEX('2024_25'!$P:$P,MATCH($A196,'2024_25'!$A:$A,0)),"")</f>
        <v/>
      </c>
      <c r="U196" t="str">
        <f>IFERROR(INDEX('2025_26'!$P:$P,MATCH($A196,'2025_26'!$A:$A,0)),"")</f>
        <v/>
      </c>
      <c r="V196" t="str">
        <f>IFERROR(INDEX('2023_24'!$P:$P,MATCH($A196,'2023_24'!$A:$A,0)),"")</f>
        <v/>
      </c>
      <c r="W196" t="str">
        <f>IFERROR(INDEX('2024_25'!$Q:$Q,MATCH($A196,'2024_25'!$A:$A,0)),"")</f>
        <v/>
      </c>
      <c r="X196" t="str">
        <f>IFERROR(INDEX('2025_26'!$Q:$Q,MATCH($A196,'2025_26'!$A:$A,0)),"")</f>
        <v/>
      </c>
      <c r="Y196" t="str">
        <f>IFERROR(INDEX('2023_24'!$M:$M,MATCH($A196,'2023_24'!$A:$A,0))/INDEX('2023_24'!$G:$G,MATCH($A196,'2023_24'!$A:$A,0))*90,"")</f>
        <v/>
      </c>
      <c r="Z196" t="str">
        <f>IFERROR(INDEX('2024_25'!$M:$M,MATCH($A196,'2024_25'!$A:$A,0))/INDEX('2024_25'!$G:$G,MATCH($A196,'2024_25'!$A:$A,0))*90,"")</f>
        <v/>
      </c>
      <c r="AA196" t="str">
        <f>IFERROR(INDEX('2025_26'!$M:$M,MATCH($A196,'2025_26'!$A:$A,0))/INDEX('2025_26'!$G:$G,MATCH($A196,'2025_26'!$A:$A,0))*90,"")</f>
        <v/>
      </c>
      <c r="AB196" t="str">
        <f>IFERROR(SUMPRODUCT(S196:U196,{0.2,0.3,0.5})/SUMPRODUCT(--(S196:U196&lt;&gt;""),{0.2,0.3,0.5}),"")</f>
        <v/>
      </c>
      <c r="AC196" t="str">
        <f>IFERROR(SUMPRODUCT(V196:X196,{0.2,0.3,0.5})/SUMPRODUCT(--(V196:X196&lt;&gt;""),{0.2,0.3,0.5}),"")</f>
        <v/>
      </c>
      <c r="AD196" t="str">
        <f>IFERROR(SUMPRODUCT(Y196:AA196,{0.2,0.3,0.5})/SUMPRODUCT((Y196:AA196&lt;&gt;"")*{0.2,0.3,0.5}),O196)</f>
        <v/>
      </c>
      <c r="AE196">
        <f t="shared" si="83"/>
        <v>0</v>
      </c>
      <c r="AF196" t="str">
        <f t="shared" si="84"/>
        <v/>
      </c>
      <c r="AG196">
        <f t="shared" si="85"/>
        <v>0</v>
      </c>
      <c r="AH196">
        <f t="shared" si="86"/>
        <v>0</v>
      </c>
      <c r="AI196" s="2">
        <f t="shared" si="87"/>
        <v>0</v>
      </c>
      <c r="AJ196">
        <f t="shared" si="88"/>
        <v>0</v>
      </c>
      <c r="AK196" t="str">
        <f t="shared" si="89"/>
        <v>YES</v>
      </c>
      <c r="AL196">
        <f t="shared" si="90"/>
        <v>0</v>
      </c>
      <c r="AM196">
        <f t="shared" si="91"/>
        <v>0</v>
      </c>
      <c r="AN196">
        <f t="shared" si="92"/>
        <v>0</v>
      </c>
      <c r="AO196">
        <f t="shared" si="93"/>
        <v>0</v>
      </c>
      <c r="AP196">
        <f t="array" ref="AP196">AL196*IF($C196="GKP",10,IF($C196="DEF",6,IF($C196="MID",5,4)))</f>
        <v>0</v>
      </c>
      <c r="AQ196">
        <f t="shared" si="94"/>
        <v>0</v>
      </c>
      <c r="AR196">
        <f t="shared" si="95"/>
        <v>0</v>
      </c>
      <c r="AS196" s="2">
        <f>IF($H196=0,0,Player_Analysis!$AM196*$H196/90)</f>
        <v>0</v>
      </c>
      <c r="AT196">
        <f t="shared" si="96"/>
        <v>0</v>
      </c>
      <c r="AU196" s="2">
        <f>0</f>
        <v>0</v>
      </c>
      <c r="AV196" s="2" t="str">
        <f>IF(INDEX(FPL_Raw_Data!K:K,MATCH(A196,FPL_Raw_Data!AA:AA,0))=0,"",INDEX(FPL_Raw_Data!P:P,MATCH(A196,FPL_Raw_Data!AA:AA,0))/INDEX(FPL_Raw_Data!K:K,MATCH(A196,FPL_Raw_Data!AA:AA,0))*90)</f>
        <v/>
      </c>
      <c r="AW196" s="2">
        <f t="shared" si="97"/>
        <v>0</v>
      </c>
      <c r="AX196" s="2">
        <f>IFERROR(INDEX(TEAM_ANALYSIS!$H$2:$H$21,MATCH($B196,TEAM_ANALYSIS!$A$2:$A$21,0)),0)</f>
        <v>1.6666666666666667</v>
      </c>
      <c r="AY196" s="2">
        <f t="shared" si="98"/>
        <v>-0.83333333333333337</v>
      </c>
      <c r="AZ196" s="2">
        <f t="shared" si="99"/>
        <v>-0.83333333333333337</v>
      </c>
      <c r="BA196">
        <f t="shared" si="100"/>
        <v>-0.20833333333333334</v>
      </c>
      <c r="BB196">
        <f>IFERROR(Player_Analysis!$Y196,1)</f>
        <v>0.97467649467649475</v>
      </c>
      <c r="BC196">
        <f t="shared" si="101"/>
        <v>-0.81223041223041237</v>
      </c>
      <c r="BD196">
        <f t="shared" si="102"/>
        <v>0.16921466921466924</v>
      </c>
      <c r="BE196">
        <f t="shared" si="103"/>
        <v>-0.81223041223041237</v>
      </c>
      <c r="BF196">
        <f t="shared" si="104"/>
        <v>554</v>
      </c>
      <c r="BG196">
        <f>IF($BE196="","",COUNTIFS($C$2:$C$596,$C196,$BE$2:$BE$596,"&gt;"&amp;$BE196)+COUNTIFS($C$2:$C196,$C196,$BE$2:$BE196,$BE196))</f>
        <v>151</v>
      </c>
    </row>
    <row r="197" spans="1:59" x14ac:dyDescent="0.25">
      <c r="A197" t="str">
        <f>Player_Analysis!A197</f>
        <v>Milan van Ewijk</v>
      </c>
      <c r="B197">
        <f>Player_Analysis!C197</f>
        <v>7</v>
      </c>
      <c r="C197" t="str">
        <f>Player_Analysis!B197</f>
        <v>DEF</v>
      </c>
      <c r="D197" s="13">
        <f>Player_Analysis!E197</f>
        <v>4</v>
      </c>
      <c r="E197">
        <f>Player_Analysis!I197</f>
        <v>270</v>
      </c>
      <c r="F197" s="8">
        <f>Player_Analysis!Z197</f>
        <v>3</v>
      </c>
      <c r="G197" s="17">
        <f t="shared" si="79"/>
        <v>1</v>
      </c>
      <c r="H197">
        <f t="shared" si="80"/>
        <v>90</v>
      </c>
      <c r="I197" s="8">
        <f>Player_Analysis!AF197</f>
        <v>0</v>
      </c>
      <c r="J197" s="8">
        <f>Player_Analysis!AG197</f>
        <v>0</v>
      </c>
      <c r="K197">
        <f>Player_Analysis!O197</f>
        <v>0</v>
      </c>
      <c r="L197">
        <f>Player_Analysis!P197</f>
        <v>0.26</v>
      </c>
      <c r="M197">
        <f t="shared" si="81"/>
        <v>0</v>
      </c>
      <c r="N197">
        <f t="shared" si="82"/>
        <v>8.666666666666667E-2</v>
      </c>
      <c r="O197" s="2">
        <f>IF(E197=0,"",Player_Analysis!L197/E197*90)</f>
        <v>2</v>
      </c>
      <c r="P197">
        <f>IF(E197=0,"",Player_Analysis!Q197/E197*90)</f>
        <v>8.666666666666667E-2</v>
      </c>
      <c r="Q197">
        <f>IF(E197=0,"",(Player_Analysis!AD197/E197)*90)</f>
        <v>4</v>
      </c>
      <c r="R197">
        <f>IF(E197=0,"",Player_Analysis!AA197/E197*90)</f>
        <v>6.6666666666666661</v>
      </c>
      <c r="S197" t="str">
        <f t="array" ref="S197">IFERROR(INDEX('2023_24'!$O:$O,MATCH($A197,'2023_24'!$A:$A,0)),"")</f>
        <v/>
      </c>
      <c r="T197" t="str">
        <f>IFERROR(INDEX('2024_25'!$P:$P,MATCH($A197,'2024_25'!$A:$A,0)),"")</f>
        <v/>
      </c>
      <c r="U197" t="str">
        <f>IFERROR(INDEX('2025_26'!$P:$P,MATCH($A197,'2025_26'!$A:$A,0)),"")</f>
        <v/>
      </c>
      <c r="V197" t="str">
        <f>IFERROR(INDEX('2023_24'!$P:$P,MATCH($A197,'2023_24'!$A:$A,0)),"")</f>
        <v/>
      </c>
      <c r="W197" t="str">
        <f>IFERROR(INDEX('2024_25'!$Q:$Q,MATCH($A197,'2024_25'!$A:$A,0)),"")</f>
        <v/>
      </c>
      <c r="X197" t="str">
        <f>IFERROR(INDEX('2025_26'!$Q:$Q,MATCH($A197,'2025_26'!$A:$A,0)),"")</f>
        <v/>
      </c>
      <c r="Y197" t="str">
        <f>IFERROR(INDEX('2023_24'!$M:$M,MATCH($A197,'2023_24'!$A:$A,0))/INDEX('2023_24'!$G:$G,MATCH($A197,'2023_24'!$A:$A,0))*90,"")</f>
        <v/>
      </c>
      <c r="Z197" t="str">
        <f>IFERROR(INDEX('2024_25'!$M:$M,MATCH($A197,'2024_25'!$A:$A,0))/INDEX('2024_25'!$G:$G,MATCH($A197,'2024_25'!$A:$A,0))*90,"")</f>
        <v/>
      </c>
      <c r="AA197" t="str">
        <f>IFERROR(INDEX('2025_26'!$M:$M,MATCH($A197,'2025_26'!$A:$A,0))/INDEX('2025_26'!$G:$G,MATCH($A197,'2025_26'!$A:$A,0))*90,"")</f>
        <v/>
      </c>
      <c r="AB197" t="str">
        <f>IFERROR(SUMPRODUCT(S197:U197,{0.2,0.3,0.5})/SUMPRODUCT(--(S197:U197&lt;&gt;""),{0.2,0.3,0.5}),"")</f>
        <v/>
      </c>
      <c r="AC197" t="str">
        <f>IFERROR(SUMPRODUCT(V197:X197,{0.2,0.3,0.5})/SUMPRODUCT(--(V197:X197&lt;&gt;""),{0.2,0.3,0.5}),"")</f>
        <v/>
      </c>
      <c r="AD197">
        <f>IFERROR(SUMPRODUCT(Y197:AA197,{0.2,0.3,0.5})/SUMPRODUCT((Y197:AA197&lt;&gt;"")*{0.2,0.3,0.5}),O197)</f>
        <v>2</v>
      </c>
      <c r="AE197">
        <f t="shared" si="83"/>
        <v>0</v>
      </c>
      <c r="AF197">
        <f t="shared" si="84"/>
        <v>90</v>
      </c>
      <c r="AG197">
        <f t="shared" si="85"/>
        <v>0</v>
      </c>
      <c r="AH197">
        <f t="shared" si="86"/>
        <v>8.666666666666667E-2</v>
      </c>
      <c r="AI197" s="2">
        <f t="shared" si="87"/>
        <v>2</v>
      </c>
      <c r="AJ197">
        <f t="shared" si="88"/>
        <v>0.9</v>
      </c>
      <c r="AK197" t="str">
        <f t="shared" si="89"/>
        <v>YES</v>
      </c>
      <c r="AL197">
        <f t="shared" si="90"/>
        <v>0</v>
      </c>
      <c r="AM197">
        <f t="shared" si="91"/>
        <v>8.666666666666667E-2</v>
      </c>
      <c r="AN197">
        <f t="shared" si="92"/>
        <v>0</v>
      </c>
      <c r="AO197">
        <f t="shared" si="93"/>
        <v>8.666666666666667E-2</v>
      </c>
      <c r="AP197">
        <f t="array" ref="AP197">AL197*IF($C197="GKP",10,IF($C197="DEF",6,IF($C197="MID",5,4)))</f>
        <v>0</v>
      </c>
      <c r="AQ197">
        <f t="shared" si="94"/>
        <v>0.26</v>
      </c>
      <c r="AR197">
        <f t="shared" si="95"/>
        <v>2</v>
      </c>
      <c r="AS197" s="2">
        <f>IF($H197=0,0,Player_Analysis!$AM197*$H197/90)</f>
        <v>0</v>
      </c>
      <c r="AT197">
        <f t="shared" si="96"/>
        <v>1.3333333333333335</v>
      </c>
      <c r="AU197" s="2">
        <f>0</f>
        <v>0</v>
      </c>
      <c r="AV197" s="2">
        <f>IF(INDEX(FPL_Raw_Data!K:K,MATCH(A197,FPL_Raw_Data!AA:AA,0))=0,"",INDEX(FPL_Raw_Data!P:P,MATCH(A197,FPL_Raw_Data!AA:AA,0))/INDEX(FPL_Raw_Data!K:K,MATCH(A197,FPL_Raw_Data!AA:AA,0))*90)</f>
        <v>0</v>
      </c>
      <c r="AW197" s="2">
        <f t="shared" si="97"/>
        <v>0</v>
      </c>
      <c r="AX197" s="2">
        <f>IFERROR(INDEX(TEAM_ANALYSIS!$H$2:$H$21,MATCH($B197,TEAM_ANALYSIS!$A$2:$A$21,0)),0)</f>
        <v>1.6666666666666667</v>
      </c>
      <c r="AY197" s="2">
        <f t="shared" si="98"/>
        <v>-0.83333333333333337</v>
      </c>
      <c r="AZ197" s="2">
        <f t="shared" si="99"/>
        <v>2.76</v>
      </c>
      <c r="BA197">
        <f t="shared" si="100"/>
        <v>0.69</v>
      </c>
      <c r="BB197">
        <f>IFERROR(Player_Analysis!$Y197,1)</f>
        <v>0.97467649467649475</v>
      </c>
      <c r="BC197">
        <f t="shared" si="101"/>
        <v>2.6901071253071254</v>
      </c>
      <c r="BD197">
        <f t="shared" si="102"/>
        <v>1.8561739164619164</v>
      </c>
      <c r="BE197">
        <f t="shared" si="103"/>
        <v>2.6901071253071254</v>
      </c>
      <c r="BF197">
        <f t="shared" si="104"/>
        <v>217</v>
      </c>
      <c r="BG197">
        <f>IF($BE197="","",COUNTIFS($C$2:$C$596,$C197,$BE$2:$BE$596,"&gt;"&amp;$BE197)+COUNTIFS($C$2:$C197,$C197,$BE$2:$BE197,$BE197))</f>
        <v>68</v>
      </c>
    </row>
    <row r="198" spans="1:59" x14ac:dyDescent="0.25">
      <c r="A198" t="str">
        <f>Player_Analysis!A198</f>
        <v>Jay Dasilva</v>
      </c>
      <c r="B198">
        <f>Player_Analysis!C198</f>
        <v>7</v>
      </c>
      <c r="C198" t="str">
        <f>Player_Analysis!B198</f>
        <v>DEF</v>
      </c>
      <c r="D198" s="13">
        <f>Player_Analysis!E198</f>
        <v>4</v>
      </c>
      <c r="E198">
        <f>Player_Analysis!I198</f>
        <v>264</v>
      </c>
      <c r="F198" s="8">
        <f>Player_Analysis!Z198</f>
        <v>3</v>
      </c>
      <c r="G198" s="17">
        <f t="shared" si="79"/>
        <v>1</v>
      </c>
      <c r="H198">
        <f t="shared" si="80"/>
        <v>90</v>
      </c>
      <c r="I198" s="8">
        <f>Player_Analysis!AF198</f>
        <v>0</v>
      </c>
      <c r="J198" s="8">
        <f>Player_Analysis!AG198</f>
        <v>0</v>
      </c>
      <c r="K198">
        <f>Player_Analysis!O198</f>
        <v>0.18</v>
      </c>
      <c r="L198">
        <f>Player_Analysis!P198</f>
        <v>0.15</v>
      </c>
      <c r="M198">
        <f t="shared" si="81"/>
        <v>6.1363636363636356E-2</v>
      </c>
      <c r="N198">
        <f t="shared" si="82"/>
        <v>5.1136363636363633E-2</v>
      </c>
      <c r="O198" s="2">
        <f>IF(E198=0,"",Player_Analysis!L198/E198*90)</f>
        <v>1.7045454545454546</v>
      </c>
      <c r="P198">
        <f>IF(E198=0,"",Player_Analysis!Q198/E198*90)</f>
        <v>0.1125</v>
      </c>
      <c r="Q198">
        <f>IF(E198=0,"",(Player_Analysis!AD198/E198)*90)</f>
        <v>7.1590909090909092</v>
      </c>
      <c r="R198">
        <f>IF(E198=0,"",Player_Analysis!AA198/E198*90)</f>
        <v>5.454545454545455</v>
      </c>
      <c r="S198" t="str">
        <f t="array" ref="S198">IFERROR(INDEX('2023_24'!$O:$O,MATCH($A198,'2023_24'!$A:$A,0)),"")</f>
        <v/>
      </c>
      <c r="T198" t="str">
        <f>IFERROR(INDEX('2024_25'!$P:$P,MATCH($A198,'2024_25'!$A:$A,0)),"")</f>
        <v/>
      </c>
      <c r="U198" t="str">
        <f>IFERROR(INDEX('2025_26'!$P:$P,MATCH($A198,'2025_26'!$A:$A,0)),"")</f>
        <v/>
      </c>
      <c r="V198" t="str">
        <f>IFERROR(INDEX('2023_24'!$P:$P,MATCH($A198,'2023_24'!$A:$A,0)),"")</f>
        <v/>
      </c>
      <c r="W198" t="str">
        <f>IFERROR(INDEX('2024_25'!$Q:$Q,MATCH($A198,'2024_25'!$A:$A,0)),"")</f>
        <v/>
      </c>
      <c r="X198" t="str">
        <f>IFERROR(INDEX('2025_26'!$Q:$Q,MATCH($A198,'2025_26'!$A:$A,0)),"")</f>
        <v/>
      </c>
      <c r="Y198" t="str">
        <f>IFERROR(INDEX('2023_24'!$M:$M,MATCH($A198,'2023_24'!$A:$A,0))/INDEX('2023_24'!$G:$G,MATCH($A198,'2023_24'!$A:$A,0))*90,"")</f>
        <v/>
      </c>
      <c r="Z198" t="str">
        <f>IFERROR(INDEX('2024_25'!$M:$M,MATCH($A198,'2024_25'!$A:$A,0))/INDEX('2024_25'!$G:$G,MATCH($A198,'2024_25'!$A:$A,0))*90,"")</f>
        <v/>
      </c>
      <c r="AA198" t="str">
        <f>IFERROR(INDEX('2025_26'!$M:$M,MATCH($A198,'2025_26'!$A:$A,0))/INDEX('2025_26'!$G:$G,MATCH($A198,'2025_26'!$A:$A,0))*90,"")</f>
        <v/>
      </c>
      <c r="AB198" t="str">
        <f>IFERROR(SUMPRODUCT(S198:U198,{0.2,0.3,0.5})/SUMPRODUCT(--(S198:U198&lt;&gt;""),{0.2,0.3,0.5}),"")</f>
        <v/>
      </c>
      <c r="AC198" t="str">
        <f>IFERROR(SUMPRODUCT(V198:X198,{0.2,0.3,0.5})/SUMPRODUCT(--(V198:X198&lt;&gt;""),{0.2,0.3,0.5}),"")</f>
        <v/>
      </c>
      <c r="AD198">
        <f>IFERROR(SUMPRODUCT(Y198:AA198,{0.2,0.3,0.5})/SUMPRODUCT((Y198:AA198&lt;&gt;"")*{0.2,0.3,0.5}),O198)</f>
        <v>1.7045454545454546</v>
      </c>
      <c r="AE198">
        <f t="shared" si="83"/>
        <v>0</v>
      </c>
      <c r="AF198">
        <f t="shared" si="84"/>
        <v>88</v>
      </c>
      <c r="AG198">
        <f t="shared" si="85"/>
        <v>6.1363636363636356E-2</v>
      </c>
      <c r="AH198">
        <f t="shared" si="86"/>
        <v>5.1136363636363633E-2</v>
      </c>
      <c r="AI198" s="2">
        <f t="shared" si="87"/>
        <v>1.7045454545454546</v>
      </c>
      <c r="AJ198">
        <f t="shared" si="88"/>
        <v>0.88</v>
      </c>
      <c r="AK198" t="str">
        <f t="shared" si="89"/>
        <v>YES</v>
      </c>
      <c r="AL198">
        <f t="shared" si="90"/>
        <v>6.1363636363636363E-2</v>
      </c>
      <c r="AM198">
        <f t="shared" si="91"/>
        <v>5.1136363636363633E-2</v>
      </c>
      <c r="AN198">
        <f t="shared" si="92"/>
        <v>6.1363636363636363E-2</v>
      </c>
      <c r="AO198">
        <f t="shared" si="93"/>
        <v>5.1136363636363633E-2</v>
      </c>
      <c r="AP198">
        <f t="array" ref="AP198">AL198*IF($C198="GKP",10,IF($C198="DEF",6,IF($C198="MID",5,4)))</f>
        <v>0.36818181818181817</v>
      </c>
      <c r="AQ198">
        <f t="shared" si="94"/>
        <v>0.15340909090909088</v>
      </c>
      <c r="AR198">
        <f t="shared" si="95"/>
        <v>2</v>
      </c>
      <c r="AS198" s="2">
        <f>IF($H198=0,0,Player_Analysis!$AM198*$H198/90)</f>
        <v>0</v>
      </c>
      <c r="AT198">
        <f t="shared" si="96"/>
        <v>1.0909090909090911</v>
      </c>
      <c r="AU198" s="2">
        <f>0</f>
        <v>0</v>
      </c>
      <c r="AV198" s="2">
        <f>IF(INDEX(FPL_Raw_Data!K:K,MATCH(A198,FPL_Raw_Data!AA:AA,0))=0,"",INDEX(FPL_Raw_Data!P:P,MATCH(A198,FPL_Raw_Data!AA:AA,0))/INDEX(FPL_Raw_Data!K:K,MATCH(A198,FPL_Raw_Data!AA:AA,0))*90)</f>
        <v>0</v>
      </c>
      <c r="AW198" s="2">
        <f t="shared" si="97"/>
        <v>0</v>
      </c>
      <c r="AX198" s="2">
        <f>IFERROR(INDEX(TEAM_ANALYSIS!$H$2:$H$21,MATCH($B198,TEAM_ANALYSIS!$A$2:$A$21,0)),0)</f>
        <v>1.6666666666666667</v>
      </c>
      <c r="AY198" s="2">
        <f t="shared" si="98"/>
        <v>-0.83333333333333337</v>
      </c>
      <c r="AZ198" s="2">
        <f t="shared" si="99"/>
        <v>2.7791666666666663</v>
      </c>
      <c r="BA198">
        <f t="shared" si="100"/>
        <v>0.69479166666666659</v>
      </c>
      <c r="BB198">
        <f>IFERROR(Player_Analysis!$Y198,1)</f>
        <v>0.97467649467649475</v>
      </c>
      <c r="BC198">
        <f t="shared" si="101"/>
        <v>2.7087884247884246</v>
      </c>
      <c r="BD198">
        <f t="shared" si="102"/>
        <v>1.882043624306124</v>
      </c>
      <c r="BE198">
        <f t="shared" si="103"/>
        <v>2.7087884247884246</v>
      </c>
      <c r="BF198">
        <f t="shared" si="104"/>
        <v>216</v>
      </c>
      <c r="BG198">
        <f>IF($BE198="","",COUNTIFS($C$2:$C$596,$C198,$BE$2:$BE$596,"&gt;"&amp;$BE198)+COUNTIFS($C$2:$C198,$C198,$BE$2:$BE198,$BE198))</f>
        <v>67</v>
      </c>
    </row>
    <row r="199" spans="1:59" x14ac:dyDescent="0.25">
      <c r="A199" t="str">
        <f>Player_Analysis!A199</f>
        <v>Kaine Kesler-Hayden</v>
      </c>
      <c r="B199">
        <f>Player_Analysis!C199</f>
        <v>7</v>
      </c>
      <c r="C199" t="str">
        <f>Player_Analysis!B199</f>
        <v>DEF</v>
      </c>
      <c r="D199" s="13">
        <f>Player_Analysis!E199</f>
        <v>4</v>
      </c>
      <c r="E199">
        <f>Player_Analysis!I199</f>
        <v>0</v>
      </c>
      <c r="F199" s="8">
        <f>Player_Analysis!Z199</f>
        <v>0</v>
      </c>
      <c r="G199" s="17">
        <f t="shared" si="79"/>
        <v>0</v>
      </c>
      <c r="H199">
        <f t="shared" si="80"/>
        <v>0</v>
      </c>
      <c r="I199" s="8">
        <f>Player_Analysis!AF199</f>
        <v>0</v>
      </c>
      <c r="J199" s="8">
        <f>Player_Analysis!AG199</f>
        <v>0</v>
      </c>
      <c r="K199">
        <f>Player_Analysis!O199</f>
        <v>0</v>
      </c>
      <c r="L199">
        <f>Player_Analysis!P199</f>
        <v>0</v>
      </c>
      <c r="M199" t="str">
        <f t="shared" si="81"/>
        <v/>
      </c>
      <c r="N199" t="str">
        <f t="shared" si="82"/>
        <v/>
      </c>
      <c r="O199" s="2" t="str">
        <f>IF(E199=0,"",Player_Analysis!L199/E199*90)</f>
        <v/>
      </c>
      <c r="P199" t="str">
        <f>IF(E199=0,"",Player_Analysis!Q199/E199*90)</f>
        <v/>
      </c>
      <c r="Q199" t="str">
        <f>IF(E199=0,"",(Player_Analysis!AD199/E199)*90)</f>
        <v/>
      </c>
      <c r="R199" t="str">
        <f>IF(E199=0,"",Player_Analysis!AA199/E199*90)</f>
        <v/>
      </c>
      <c r="S199">
        <f t="array" ref="S199">IFERROR(INDEX('2023_24'!$O:$O,MATCH($A199,'2023_24'!$A:$A,0)),"")</f>
        <v>0</v>
      </c>
      <c r="T199">
        <f>IFERROR(INDEX('2024_25'!$P:$P,MATCH($A199,'2024_25'!$A:$A,0)),"")</f>
        <v>0</v>
      </c>
      <c r="U199" t="str">
        <f>IFERROR(INDEX('2025_26'!$P:$P,MATCH($A199,'2025_26'!$A:$A,0)),"")</f>
        <v/>
      </c>
      <c r="V199">
        <f>IFERROR(INDEX('2023_24'!$P:$P,MATCH($A199,'2023_24'!$A:$A,0)),"")</f>
        <v>0</v>
      </c>
      <c r="W199">
        <f>IFERROR(INDEX('2024_25'!$Q:$Q,MATCH($A199,'2024_25'!$A:$A,0)),"")</f>
        <v>0</v>
      </c>
      <c r="X199" t="str">
        <f>IFERROR(INDEX('2025_26'!$Q:$Q,MATCH($A199,'2025_26'!$A:$A,0)),"")</f>
        <v/>
      </c>
      <c r="Y199">
        <f>IFERROR(INDEX('2023_24'!$M:$M,MATCH($A199,'2023_24'!$A:$A,0))/INDEX('2023_24'!$G:$G,MATCH($A199,'2023_24'!$A:$A,0))*90,"")</f>
        <v>54</v>
      </c>
      <c r="Z199" t="str">
        <f>IFERROR(INDEX('2024_25'!$M:$M,MATCH($A199,'2024_25'!$A:$A,0))/INDEX('2024_25'!$G:$G,MATCH($A199,'2024_25'!$A:$A,0))*90,"")</f>
        <v/>
      </c>
      <c r="AA199" t="str">
        <f>IFERROR(INDEX('2025_26'!$M:$M,MATCH($A199,'2025_26'!$A:$A,0))/INDEX('2025_26'!$G:$G,MATCH($A199,'2025_26'!$A:$A,0))*90,"")</f>
        <v/>
      </c>
      <c r="AB199">
        <f>IFERROR(SUMPRODUCT(S199:U199,{0.2,0.3,0.5})/SUMPRODUCT(--(S199:U199&lt;&gt;""),{0.2,0.3,0.5}),"")</f>
        <v>0</v>
      </c>
      <c r="AC199">
        <f>IFERROR(SUMPRODUCT(V199:X199,{0.2,0.3,0.5})/SUMPRODUCT(--(V199:X199&lt;&gt;""),{0.2,0.3,0.5}),"")</f>
        <v>0</v>
      </c>
      <c r="AD199">
        <f>IFERROR(SUMPRODUCT(Y199:AA199,{0.2,0.3,0.5})/SUMPRODUCT((Y199:AA199&lt;&gt;"")*{0.2,0.3,0.5}),O199)</f>
        <v>54</v>
      </c>
      <c r="AE199">
        <f t="shared" si="83"/>
        <v>2</v>
      </c>
      <c r="AF199" t="str">
        <f t="shared" si="84"/>
        <v/>
      </c>
      <c r="AG199">
        <f t="shared" si="85"/>
        <v>0</v>
      </c>
      <c r="AH199">
        <f t="shared" si="86"/>
        <v>0</v>
      </c>
      <c r="AI199" s="2">
        <f t="shared" si="87"/>
        <v>54</v>
      </c>
      <c r="AJ199">
        <f t="shared" si="88"/>
        <v>0</v>
      </c>
      <c r="AK199" t="str">
        <f t="shared" si="89"/>
        <v>NO</v>
      </c>
      <c r="AL199">
        <f t="shared" si="90"/>
        <v>0</v>
      </c>
      <c r="AM199">
        <f t="shared" si="91"/>
        <v>0</v>
      </c>
      <c r="AN199">
        <f t="shared" si="92"/>
        <v>0</v>
      </c>
      <c r="AO199">
        <f t="shared" si="93"/>
        <v>0</v>
      </c>
      <c r="AP199">
        <f t="array" ref="AP199">AL199*IF($C199="GKP",10,IF($C199="DEF",6,IF($C199="MID",5,4)))</f>
        <v>0</v>
      </c>
      <c r="AQ199">
        <f t="shared" si="94"/>
        <v>0</v>
      </c>
      <c r="AR199">
        <f t="shared" si="95"/>
        <v>0</v>
      </c>
      <c r="AS199" s="2">
        <f>IF($H199=0,0,Player_Analysis!$AM199*$H199/90)</f>
        <v>0</v>
      </c>
      <c r="AT199">
        <f t="shared" si="96"/>
        <v>0</v>
      </c>
      <c r="AU199" s="2">
        <f>0</f>
        <v>0</v>
      </c>
      <c r="AV199" s="2" t="str">
        <f>IF(INDEX(FPL_Raw_Data!K:K,MATCH(A199,FPL_Raw_Data!AA:AA,0))=0,"",INDEX(FPL_Raw_Data!P:P,MATCH(A199,FPL_Raw_Data!AA:AA,0))/INDEX(FPL_Raw_Data!K:K,MATCH(A199,FPL_Raw_Data!AA:AA,0))*90)</f>
        <v/>
      </c>
      <c r="AW199" s="2">
        <f t="shared" si="97"/>
        <v>0</v>
      </c>
      <c r="AX199" s="2">
        <f>IFERROR(INDEX(TEAM_ANALYSIS!$H$2:$H$21,MATCH($B199,TEAM_ANALYSIS!$A$2:$A$21,0)),0)</f>
        <v>1.6666666666666667</v>
      </c>
      <c r="AY199" s="2">
        <f t="shared" si="98"/>
        <v>-0.83333333333333337</v>
      </c>
      <c r="AZ199" s="2">
        <f t="shared" si="99"/>
        <v>-0.83333333333333337</v>
      </c>
      <c r="BA199">
        <f t="shared" si="100"/>
        <v>-0.20833333333333334</v>
      </c>
      <c r="BB199">
        <f>IFERROR(Player_Analysis!$Y199,1)</f>
        <v>0.97467649467649475</v>
      </c>
      <c r="BC199">
        <f t="shared" si="101"/>
        <v>-0.81223041223041237</v>
      </c>
      <c r="BD199">
        <f t="shared" si="102"/>
        <v>0.16921466921466924</v>
      </c>
      <c r="BE199">
        <f t="shared" si="103"/>
        <v>-0.81223041223041237</v>
      </c>
      <c r="BF199">
        <f t="shared" si="104"/>
        <v>554</v>
      </c>
      <c r="BG199">
        <f>IF($BE199="","",COUNTIFS($C$2:$C$596,$C199,$BE$2:$BE$596,"&gt;"&amp;$BE199)+COUNTIFS($C$2:$C199,$C199,$BE$2:$BE199,$BE199))</f>
        <v>152</v>
      </c>
    </row>
    <row r="200" spans="1:59" x14ac:dyDescent="0.25">
      <c r="A200" t="str">
        <f>Player_Analysis!A200</f>
        <v>Jake Bidwell</v>
      </c>
      <c r="B200">
        <f>Player_Analysis!C200</f>
        <v>7</v>
      </c>
      <c r="C200" t="str">
        <f>Player_Analysis!B200</f>
        <v>DEF</v>
      </c>
      <c r="D200" s="13">
        <f>Player_Analysis!E200</f>
        <v>4</v>
      </c>
      <c r="E200">
        <f>Player_Analysis!I200</f>
        <v>0</v>
      </c>
      <c r="F200" s="8">
        <f>Player_Analysis!Z200</f>
        <v>0</v>
      </c>
      <c r="G200" s="17">
        <f t="shared" si="79"/>
        <v>0</v>
      </c>
      <c r="H200">
        <f t="shared" si="80"/>
        <v>0</v>
      </c>
      <c r="I200" s="8">
        <f>Player_Analysis!AF200</f>
        <v>0</v>
      </c>
      <c r="J200" s="8">
        <f>Player_Analysis!AG200</f>
        <v>0</v>
      </c>
      <c r="K200">
        <f>Player_Analysis!O200</f>
        <v>0</v>
      </c>
      <c r="L200">
        <f>Player_Analysis!P200</f>
        <v>0</v>
      </c>
      <c r="M200" t="str">
        <f t="shared" si="81"/>
        <v/>
      </c>
      <c r="N200" t="str">
        <f t="shared" si="82"/>
        <v/>
      </c>
      <c r="O200" s="2" t="str">
        <f>IF(E200=0,"",Player_Analysis!L200/E200*90)</f>
        <v/>
      </c>
      <c r="P200" t="str">
        <f>IF(E200=0,"",Player_Analysis!Q200/E200*90)</f>
        <v/>
      </c>
      <c r="Q200" t="str">
        <f>IF(E200=0,"",(Player_Analysis!AD200/E200)*90)</f>
        <v/>
      </c>
      <c r="R200" t="str">
        <f>IF(E200=0,"",Player_Analysis!AA200/E200*90)</f>
        <v/>
      </c>
      <c r="S200" t="str">
        <f t="array" ref="S200">IFERROR(INDEX('2023_24'!$O:$O,MATCH($A200,'2023_24'!$A:$A,0)),"")</f>
        <v/>
      </c>
      <c r="T200" t="str">
        <f>IFERROR(INDEX('2024_25'!$P:$P,MATCH($A200,'2024_25'!$A:$A,0)),"")</f>
        <v/>
      </c>
      <c r="U200" t="str">
        <f>IFERROR(INDEX('2025_26'!$P:$P,MATCH($A200,'2025_26'!$A:$A,0)),"")</f>
        <v/>
      </c>
      <c r="V200" t="str">
        <f>IFERROR(INDEX('2023_24'!$P:$P,MATCH($A200,'2023_24'!$A:$A,0)),"")</f>
        <v/>
      </c>
      <c r="W200" t="str">
        <f>IFERROR(INDEX('2024_25'!$Q:$Q,MATCH($A200,'2024_25'!$A:$A,0)),"")</f>
        <v/>
      </c>
      <c r="X200" t="str">
        <f>IFERROR(INDEX('2025_26'!$Q:$Q,MATCH($A200,'2025_26'!$A:$A,0)),"")</f>
        <v/>
      </c>
      <c r="Y200" t="str">
        <f>IFERROR(INDEX('2023_24'!$M:$M,MATCH($A200,'2023_24'!$A:$A,0))/INDEX('2023_24'!$G:$G,MATCH($A200,'2023_24'!$A:$A,0))*90,"")</f>
        <v/>
      </c>
      <c r="Z200" t="str">
        <f>IFERROR(INDEX('2024_25'!$M:$M,MATCH($A200,'2024_25'!$A:$A,0))/INDEX('2024_25'!$G:$G,MATCH($A200,'2024_25'!$A:$A,0))*90,"")</f>
        <v/>
      </c>
      <c r="AA200" t="str">
        <f>IFERROR(INDEX('2025_26'!$M:$M,MATCH($A200,'2025_26'!$A:$A,0))/INDEX('2025_26'!$G:$G,MATCH($A200,'2025_26'!$A:$A,0))*90,"")</f>
        <v/>
      </c>
      <c r="AB200" t="str">
        <f>IFERROR(SUMPRODUCT(S200:U200,{0.2,0.3,0.5})/SUMPRODUCT(--(S200:U200&lt;&gt;""),{0.2,0.3,0.5}),"")</f>
        <v/>
      </c>
      <c r="AC200" t="str">
        <f>IFERROR(SUMPRODUCT(V200:X200,{0.2,0.3,0.5})/SUMPRODUCT(--(V200:X200&lt;&gt;""),{0.2,0.3,0.5}),"")</f>
        <v/>
      </c>
      <c r="AD200" t="str">
        <f>IFERROR(SUMPRODUCT(Y200:AA200,{0.2,0.3,0.5})/SUMPRODUCT((Y200:AA200&lt;&gt;"")*{0.2,0.3,0.5}),O200)</f>
        <v/>
      </c>
      <c r="AE200">
        <f t="shared" si="83"/>
        <v>0</v>
      </c>
      <c r="AF200" t="str">
        <f t="shared" si="84"/>
        <v/>
      </c>
      <c r="AG200">
        <f t="shared" si="85"/>
        <v>0</v>
      </c>
      <c r="AH200">
        <f t="shared" si="86"/>
        <v>0</v>
      </c>
      <c r="AI200" s="2">
        <f t="shared" si="87"/>
        <v>0</v>
      </c>
      <c r="AJ200">
        <f t="shared" si="88"/>
        <v>0</v>
      </c>
      <c r="AK200" t="str">
        <f t="shared" si="89"/>
        <v>YES</v>
      </c>
      <c r="AL200">
        <f t="shared" si="90"/>
        <v>0</v>
      </c>
      <c r="AM200">
        <f t="shared" si="91"/>
        <v>0</v>
      </c>
      <c r="AN200">
        <f t="shared" si="92"/>
        <v>0</v>
      </c>
      <c r="AO200">
        <f t="shared" si="93"/>
        <v>0</v>
      </c>
      <c r="AP200">
        <f t="array" ref="AP200">AL200*IF($C200="GKP",10,IF($C200="DEF",6,IF($C200="MID",5,4)))</f>
        <v>0</v>
      </c>
      <c r="AQ200">
        <f t="shared" si="94"/>
        <v>0</v>
      </c>
      <c r="AR200">
        <f t="shared" si="95"/>
        <v>0</v>
      </c>
      <c r="AS200" s="2">
        <f>IF($H200=0,0,Player_Analysis!$AM200*$H200/90)</f>
        <v>0</v>
      </c>
      <c r="AT200">
        <f t="shared" si="96"/>
        <v>0</v>
      </c>
      <c r="AU200" s="2">
        <f>0</f>
        <v>0</v>
      </c>
      <c r="AV200" s="2" t="str">
        <f>IF(INDEX(FPL_Raw_Data!K:K,MATCH(A200,FPL_Raw_Data!AA:AA,0))=0,"",INDEX(FPL_Raw_Data!P:P,MATCH(A200,FPL_Raw_Data!AA:AA,0))/INDEX(FPL_Raw_Data!K:K,MATCH(A200,FPL_Raw_Data!AA:AA,0))*90)</f>
        <v/>
      </c>
      <c r="AW200" s="2">
        <f t="shared" si="97"/>
        <v>0</v>
      </c>
      <c r="AX200" s="2">
        <f>IFERROR(INDEX(TEAM_ANALYSIS!$H$2:$H$21,MATCH($B200,TEAM_ANALYSIS!$A$2:$A$21,0)),0)</f>
        <v>1.6666666666666667</v>
      </c>
      <c r="AY200" s="2">
        <f t="shared" si="98"/>
        <v>-0.83333333333333337</v>
      </c>
      <c r="AZ200" s="2">
        <f t="shared" si="99"/>
        <v>-0.83333333333333337</v>
      </c>
      <c r="BA200">
        <f t="shared" si="100"/>
        <v>-0.20833333333333334</v>
      </c>
      <c r="BB200">
        <f>IFERROR(Player_Analysis!$Y200,1)</f>
        <v>0.97467649467649475</v>
      </c>
      <c r="BC200">
        <f t="shared" si="101"/>
        <v>-0.81223041223041237</v>
      </c>
      <c r="BD200">
        <f t="shared" si="102"/>
        <v>0.16921466921466924</v>
      </c>
      <c r="BE200">
        <f t="shared" si="103"/>
        <v>-0.81223041223041237</v>
      </c>
      <c r="BF200">
        <f t="shared" si="104"/>
        <v>554</v>
      </c>
      <c r="BG200">
        <f>IF($BE200="","",COUNTIFS($C$2:$C$596,$C200,$BE$2:$BE$596,"&gt;"&amp;$BE200)+COUNTIFS($C$2:$C200,$C200,$BE$2:$BE200,$BE200))</f>
        <v>153</v>
      </c>
    </row>
    <row r="201" spans="1:59" x14ac:dyDescent="0.25">
      <c r="A201" t="str">
        <f>Player_Analysis!A201</f>
        <v>Joel Latibeaudiere</v>
      </c>
      <c r="B201">
        <f>Player_Analysis!C201</f>
        <v>7</v>
      </c>
      <c r="C201" t="str">
        <f>Player_Analysis!B201</f>
        <v>DEF</v>
      </c>
      <c r="D201" s="13">
        <f>Player_Analysis!E201</f>
        <v>4</v>
      </c>
      <c r="E201">
        <f>Player_Analysis!I201</f>
        <v>0</v>
      </c>
      <c r="F201" s="8">
        <f>Player_Analysis!Z201</f>
        <v>0</v>
      </c>
      <c r="G201" s="17">
        <f t="shared" si="79"/>
        <v>0</v>
      </c>
      <c r="H201">
        <f t="shared" si="80"/>
        <v>0</v>
      </c>
      <c r="I201" s="8">
        <f>Player_Analysis!AF201</f>
        <v>0</v>
      </c>
      <c r="J201" s="8">
        <f>Player_Analysis!AG201</f>
        <v>0</v>
      </c>
      <c r="K201">
        <f>Player_Analysis!O201</f>
        <v>0</v>
      </c>
      <c r="L201">
        <f>Player_Analysis!P201</f>
        <v>0</v>
      </c>
      <c r="M201" t="str">
        <f t="shared" si="81"/>
        <v/>
      </c>
      <c r="N201" t="str">
        <f t="shared" si="82"/>
        <v/>
      </c>
      <c r="O201" s="2" t="str">
        <f>IF(E201=0,"",Player_Analysis!L201/E201*90)</f>
        <v/>
      </c>
      <c r="P201" t="str">
        <f>IF(E201=0,"",Player_Analysis!Q201/E201*90)</f>
        <v/>
      </c>
      <c r="Q201" t="str">
        <f>IF(E201=0,"",(Player_Analysis!AD201/E201)*90)</f>
        <v/>
      </c>
      <c r="R201" t="str">
        <f>IF(E201=0,"",Player_Analysis!AA201/E201*90)</f>
        <v/>
      </c>
      <c r="S201" t="str">
        <f t="array" ref="S201">IFERROR(INDEX('2023_24'!$O:$O,MATCH($A201,'2023_24'!$A:$A,0)),"")</f>
        <v/>
      </c>
      <c r="T201" t="str">
        <f>IFERROR(INDEX('2024_25'!$P:$P,MATCH($A201,'2024_25'!$A:$A,0)),"")</f>
        <v/>
      </c>
      <c r="U201" t="str">
        <f>IFERROR(INDEX('2025_26'!$P:$P,MATCH($A201,'2025_26'!$A:$A,0)),"")</f>
        <v/>
      </c>
      <c r="V201" t="str">
        <f>IFERROR(INDEX('2023_24'!$P:$P,MATCH($A201,'2023_24'!$A:$A,0)),"")</f>
        <v/>
      </c>
      <c r="W201" t="str">
        <f>IFERROR(INDEX('2024_25'!$Q:$Q,MATCH($A201,'2024_25'!$A:$A,0)),"")</f>
        <v/>
      </c>
      <c r="X201" t="str">
        <f>IFERROR(INDEX('2025_26'!$Q:$Q,MATCH($A201,'2025_26'!$A:$A,0)),"")</f>
        <v/>
      </c>
      <c r="Y201" t="str">
        <f>IFERROR(INDEX('2023_24'!$M:$M,MATCH($A201,'2023_24'!$A:$A,0))/INDEX('2023_24'!$G:$G,MATCH($A201,'2023_24'!$A:$A,0))*90,"")</f>
        <v/>
      </c>
      <c r="Z201" t="str">
        <f>IFERROR(INDEX('2024_25'!$M:$M,MATCH($A201,'2024_25'!$A:$A,0))/INDEX('2024_25'!$G:$G,MATCH($A201,'2024_25'!$A:$A,0))*90,"")</f>
        <v/>
      </c>
      <c r="AA201" t="str">
        <f>IFERROR(INDEX('2025_26'!$M:$M,MATCH($A201,'2025_26'!$A:$A,0))/INDEX('2025_26'!$G:$G,MATCH($A201,'2025_26'!$A:$A,0))*90,"")</f>
        <v/>
      </c>
      <c r="AB201" t="str">
        <f>IFERROR(SUMPRODUCT(S201:U201,{0.2,0.3,0.5})/SUMPRODUCT(--(S201:U201&lt;&gt;""),{0.2,0.3,0.5}),"")</f>
        <v/>
      </c>
      <c r="AC201" t="str">
        <f>IFERROR(SUMPRODUCT(V201:X201,{0.2,0.3,0.5})/SUMPRODUCT(--(V201:X201&lt;&gt;""),{0.2,0.3,0.5}),"")</f>
        <v/>
      </c>
      <c r="AD201" t="str">
        <f>IFERROR(SUMPRODUCT(Y201:AA201,{0.2,0.3,0.5})/SUMPRODUCT((Y201:AA201&lt;&gt;"")*{0.2,0.3,0.5}),O201)</f>
        <v/>
      </c>
      <c r="AE201">
        <f t="shared" si="83"/>
        <v>0</v>
      </c>
      <c r="AF201" t="str">
        <f t="shared" si="84"/>
        <v/>
      </c>
      <c r="AG201">
        <f t="shared" si="85"/>
        <v>0</v>
      </c>
      <c r="AH201">
        <f t="shared" si="86"/>
        <v>0</v>
      </c>
      <c r="AI201" s="2">
        <f t="shared" si="87"/>
        <v>0</v>
      </c>
      <c r="AJ201">
        <f t="shared" si="88"/>
        <v>0</v>
      </c>
      <c r="AK201" t="str">
        <f t="shared" si="89"/>
        <v>YES</v>
      </c>
      <c r="AL201">
        <f t="shared" si="90"/>
        <v>0</v>
      </c>
      <c r="AM201">
        <f t="shared" si="91"/>
        <v>0</v>
      </c>
      <c r="AN201">
        <f t="shared" si="92"/>
        <v>0</v>
      </c>
      <c r="AO201">
        <f t="shared" si="93"/>
        <v>0</v>
      </c>
      <c r="AP201">
        <f t="array" ref="AP201">AL201*IF($C201="GKP",10,IF($C201="DEF",6,IF($C201="MID",5,4)))</f>
        <v>0</v>
      </c>
      <c r="AQ201">
        <f t="shared" si="94"/>
        <v>0</v>
      </c>
      <c r="AR201">
        <f t="shared" si="95"/>
        <v>0</v>
      </c>
      <c r="AS201" s="2">
        <f>IF($H201=0,0,Player_Analysis!$AM201*$H201/90)</f>
        <v>0</v>
      </c>
      <c r="AT201">
        <f t="shared" si="96"/>
        <v>0</v>
      </c>
      <c r="AU201" s="2">
        <f>0</f>
        <v>0</v>
      </c>
      <c r="AV201" s="2" t="str">
        <f>IF(INDEX(FPL_Raw_Data!K:K,MATCH(A201,FPL_Raw_Data!AA:AA,0))=0,"",INDEX(FPL_Raw_Data!P:P,MATCH(A201,FPL_Raw_Data!AA:AA,0))/INDEX(FPL_Raw_Data!K:K,MATCH(A201,FPL_Raw_Data!AA:AA,0))*90)</f>
        <v/>
      </c>
      <c r="AW201" s="2">
        <f t="shared" si="97"/>
        <v>0</v>
      </c>
      <c r="AX201" s="2">
        <f>IFERROR(INDEX(TEAM_ANALYSIS!$H$2:$H$21,MATCH($B201,TEAM_ANALYSIS!$A$2:$A$21,0)),0)</f>
        <v>1.6666666666666667</v>
      </c>
      <c r="AY201" s="2">
        <f t="shared" si="98"/>
        <v>-0.83333333333333337</v>
      </c>
      <c r="AZ201" s="2">
        <f t="shared" si="99"/>
        <v>-0.83333333333333337</v>
      </c>
      <c r="BA201">
        <f t="shared" si="100"/>
        <v>-0.20833333333333334</v>
      </c>
      <c r="BB201">
        <f>IFERROR(Player_Analysis!$Y201,1)</f>
        <v>0.97467649467649475</v>
      </c>
      <c r="BC201">
        <f t="shared" si="101"/>
        <v>-0.81223041223041237</v>
      </c>
      <c r="BD201">
        <f t="shared" si="102"/>
        <v>0.16921466921466924</v>
      </c>
      <c r="BE201">
        <f t="shared" si="103"/>
        <v>-0.81223041223041237</v>
      </c>
      <c r="BF201">
        <f t="shared" si="104"/>
        <v>554</v>
      </c>
      <c r="BG201">
        <f>IF($BE201="","",COUNTIFS($C$2:$C$596,$C201,$BE$2:$BE$596,"&gt;"&amp;$BE201)+COUNTIFS($C$2:$C201,$C201,$BE$2:$BE201,$BE201))</f>
        <v>154</v>
      </c>
    </row>
    <row r="202" spans="1:59" x14ac:dyDescent="0.25">
      <c r="A202" t="str">
        <f>Player_Analysis!A202</f>
        <v>Luke Woolfenden</v>
      </c>
      <c r="B202">
        <f>Player_Analysis!C202</f>
        <v>7</v>
      </c>
      <c r="C202" t="str">
        <f>Player_Analysis!B202</f>
        <v>DEF</v>
      </c>
      <c r="D202" s="13">
        <f>Player_Analysis!E202</f>
        <v>4</v>
      </c>
      <c r="E202">
        <f>Player_Analysis!I202</f>
        <v>0</v>
      </c>
      <c r="F202" s="8">
        <f>Player_Analysis!Z202</f>
        <v>0</v>
      </c>
      <c r="G202" s="17">
        <f t="shared" si="79"/>
        <v>0</v>
      </c>
      <c r="H202">
        <f t="shared" si="80"/>
        <v>0</v>
      </c>
      <c r="I202" s="8">
        <f>Player_Analysis!AF202</f>
        <v>0</v>
      </c>
      <c r="J202" s="8">
        <f>Player_Analysis!AG202</f>
        <v>0</v>
      </c>
      <c r="K202">
        <f>Player_Analysis!O202</f>
        <v>0</v>
      </c>
      <c r="L202">
        <f>Player_Analysis!P202</f>
        <v>0</v>
      </c>
      <c r="M202" t="str">
        <f t="shared" si="81"/>
        <v/>
      </c>
      <c r="N202" t="str">
        <f t="shared" si="82"/>
        <v/>
      </c>
      <c r="O202" s="2" t="str">
        <f>IF(E202=0,"",Player_Analysis!L202/E202*90)</f>
        <v/>
      </c>
      <c r="P202" t="str">
        <f>IF(E202=0,"",Player_Analysis!Q202/E202*90)</f>
        <v/>
      </c>
      <c r="Q202" t="str">
        <f>IF(E202=0,"",(Player_Analysis!AD202/E202)*90)</f>
        <v/>
      </c>
      <c r="R202" t="str">
        <f>IF(E202=0,"",Player_Analysis!AA202/E202*90)</f>
        <v/>
      </c>
      <c r="S202" t="str">
        <f t="array" ref="S202">IFERROR(INDEX('2023_24'!$O:$O,MATCH($A202,'2023_24'!$A:$A,0)),"")</f>
        <v/>
      </c>
      <c r="T202">
        <f>IFERROR(INDEX('2024_25'!$P:$P,MATCH($A202,'2024_25'!$A:$A,0)),"")</f>
        <v>2.2746419545071608E-3</v>
      </c>
      <c r="U202" t="str">
        <f>IFERROR(INDEX('2025_26'!$P:$P,MATCH($A202,'2025_26'!$A:$A,0)),"")</f>
        <v/>
      </c>
      <c r="V202" t="str">
        <f>IFERROR(INDEX('2023_24'!$P:$P,MATCH($A202,'2023_24'!$A:$A,0)),"")</f>
        <v/>
      </c>
      <c r="W202">
        <f>IFERROR(INDEX('2024_25'!$Q:$Q,MATCH($A202,'2024_25'!$A:$A,0)),"")</f>
        <v>1.5164279696714407E-3</v>
      </c>
      <c r="X202" t="str">
        <f>IFERROR(INDEX('2025_26'!$Q:$Q,MATCH($A202,'2025_26'!$A:$A,0)),"")</f>
        <v/>
      </c>
      <c r="Y202" t="str">
        <f>IFERROR(INDEX('2023_24'!$M:$M,MATCH($A202,'2023_24'!$A:$A,0))/INDEX('2023_24'!$G:$G,MATCH($A202,'2023_24'!$A:$A,0))*90,"")</f>
        <v/>
      </c>
      <c r="Z202">
        <f>IFERROR(INDEX('2024_25'!$M:$M,MATCH($A202,'2024_25'!$A:$A,0))/INDEX('2024_25'!$G:$G,MATCH($A202,'2024_25'!$A:$A,0))*90,"")</f>
        <v>1.3647851727042966</v>
      </c>
      <c r="AA202" t="str">
        <f>IFERROR(INDEX('2025_26'!$M:$M,MATCH($A202,'2025_26'!$A:$A,0))/INDEX('2025_26'!$G:$G,MATCH($A202,'2025_26'!$A:$A,0))*90,"")</f>
        <v/>
      </c>
      <c r="AB202">
        <f>IFERROR(SUMPRODUCT(S202:U202,{0.2,0.3,0.5})/SUMPRODUCT(--(S202:U202&lt;&gt;""),{0.2,0.3,0.5}),"")</f>
        <v>2.2746419545071608E-3</v>
      </c>
      <c r="AC202">
        <f>IFERROR(SUMPRODUCT(V202:X202,{0.2,0.3,0.5})/SUMPRODUCT(--(V202:X202&lt;&gt;""),{0.2,0.3,0.5}),"")</f>
        <v>1.5164279696714407E-3</v>
      </c>
      <c r="AD202">
        <f>IFERROR(SUMPRODUCT(Y202:AA202,{0.2,0.3,0.5})/SUMPRODUCT((Y202:AA202&lt;&gt;"")*{0.2,0.3,0.5}),O202)</f>
        <v>1.3647851727042966</v>
      </c>
      <c r="AE202">
        <f t="shared" si="83"/>
        <v>1</v>
      </c>
      <c r="AF202" t="str">
        <f t="shared" si="84"/>
        <v/>
      </c>
      <c r="AG202">
        <f t="shared" si="85"/>
        <v>2.2746419545071608E-3</v>
      </c>
      <c r="AH202">
        <f t="shared" si="86"/>
        <v>1.5164279696714407E-3</v>
      </c>
      <c r="AI202" s="2">
        <f t="shared" si="87"/>
        <v>1.3647851727042966</v>
      </c>
      <c r="AJ202">
        <f t="shared" si="88"/>
        <v>0</v>
      </c>
      <c r="AK202" t="str">
        <f t="shared" si="89"/>
        <v>NO</v>
      </c>
      <c r="AL202">
        <f t="shared" si="90"/>
        <v>0</v>
      </c>
      <c r="AM202">
        <f t="shared" si="91"/>
        <v>0</v>
      </c>
      <c r="AN202">
        <f t="shared" si="92"/>
        <v>0</v>
      </c>
      <c r="AO202">
        <f t="shared" si="93"/>
        <v>0</v>
      </c>
      <c r="AP202">
        <f t="array" ref="AP202">AL202*IF($C202="GKP",10,IF($C202="DEF",6,IF($C202="MID",5,4)))</f>
        <v>0</v>
      </c>
      <c r="AQ202">
        <f t="shared" si="94"/>
        <v>0</v>
      </c>
      <c r="AR202">
        <f t="shared" si="95"/>
        <v>0</v>
      </c>
      <c r="AS202" s="2">
        <f>IF($H202=0,0,Player_Analysis!$AM202*$H202/90)</f>
        <v>0</v>
      </c>
      <c r="AT202">
        <f t="shared" si="96"/>
        <v>0</v>
      </c>
      <c r="AU202" s="2">
        <f>0</f>
        <v>0</v>
      </c>
      <c r="AV202" s="2" t="str">
        <f>IF(INDEX(FPL_Raw_Data!K:K,MATCH(A202,FPL_Raw_Data!AA:AA,0))=0,"",INDEX(FPL_Raw_Data!P:P,MATCH(A202,FPL_Raw_Data!AA:AA,0))/INDEX(FPL_Raw_Data!K:K,MATCH(A202,FPL_Raw_Data!AA:AA,0))*90)</f>
        <v/>
      </c>
      <c r="AW202" s="2">
        <f t="shared" si="97"/>
        <v>0</v>
      </c>
      <c r="AX202" s="2">
        <f>IFERROR(INDEX(TEAM_ANALYSIS!$H$2:$H$21,MATCH($B202,TEAM_ANALYSIS!$A$2:$A$21,0)),0)</f>
        <v>1.6666666666666667</v>
      </c>
      <c r="AY202" s="2">
        <f t="shared" si="98"/>
        <v>-0.83333333333333337</v>
      </c>
      <c r="AZ202" s="2">
        <f t="shared" si="99"/>
        <v>-0.83333333333333337</v>
      </c>
      <c r="BA202">
        <f t="shared" si="100"/>
        <v>-0.20833333333333334</v>
      </c>
      <c r="BB202">
        <f>IFERROR(Player_Analysis!$Y202,1)</f>
        <v>0.97467649467649475</v>
      </c>
      <c r="BC202">
        <f t="shared" si="101"/>
        <v>-0.81223041223041237</v>
      </c>
      <c r="BD202">
        <f t="shared" si="102"/>
        <v>0.16921466921466924</v>
      </c>
      <c r="BE202">
        <f t="shared" si="103"/>
        <v>-0.81223041223041237</v>
      </c>
      <c r="BF202">
        <f t="shared" si="104"/>
        <v>554</v>
      </c>
      <c r="BG202">
        <f>IF($BE202="","",COUNTIFS($C$2:$C$596,$C202,$BE$2:$BE$596,"&gt;"&amp;$BE202)+COUNTIFS($C$2:$C202,$C202,$BE$2:$BE202,$BE202))</f>
        <v>155</v>
      </c>
    </row>
    <row r="203" spans="1:59" x14ac:dyDescent="0.25">
      <c r="A203" t="str">
        <f>Player_Analysis!A203</f>
        <v>Miguel Brau</v>
      </c>
      <c r="B203">
        <f>Player_Analysis!C203</f>
        <v>7</v>
      </c>
      <c r="C203" t="str">
        <f>Player_Analysis!B203</f>
        <v>DEF</v>
      </c>
      <c r="D203" s="13">
        <f>Player_Analysis!E203</f>
        <v>4</v>
      </c>
      <c r="E203">
        <f>Player_Analysis!I203</f>
        <v>0</v>
      </c>
      <c r="F203" s="8">
        <f>Player_Analysis!Z203</f>
        <v>0</v>
      </c>
      <c r="G203" s="17">
        <f t="shared" si="79"/>
        <v>0</v>
      </c>
      <c r="H203">
        <f t="shared" si="80"/>
        <v>0</v>
      </c>
      <c r="I203" s="8">
        <f>Player_Analysis!AF203</f>
        <v>0</v>
      </c>
      <c r="J203" s="8">
        <f>Player_Analysis!AG203</f>
        <v>0</v>
      </c>
      <c r="K203">
        <f>Player_Analysis!O203</f>
        <v>0</v>
      </c>
      <c r="L203">
        <f>Player_Analysis!P203</f>
        <v>0</v>
      </c>
      <c r="M203" t="str">
        <f t="shared" si="81"/>
        <v/>
      </c>
      <c r="N203" t="str">
        <f t="shared" si="82"/>
        <v/>
      </c>
      <c r="O203" s="2" t="str">
        <f>IF(E203=0,"",Player_Analysis!L203/E203*90)</f>
        <v/>
      </c>
      <c r="P203" t="str">
        <f>IF(E203=0,"",Player_Analysis!Q203/E203*90)</f>
        <v/>
      </c>
      <c r="Q203" t="str">
        <f>IF(E203=0,"",(Player_Analysis!AD203/E203)*90)</f>
        <v/>
      </c>
      <c r="R203" t="str">
        <f>IF(E203=0,"",Player_Analysis!AA203/E203*90)</f>
        <v/>
      </c>
      <c r="S203" t="str">
        <f t="array" ref="S203">IFERROR(INDEX('2023_24'!$O:$O,MATCH($A203,'2023_24'!$A:$A,0)),"")</f>
        <v/>
      </c>
      <c r="T203" t="str">
        <f>IFERROR(INDEX('2024_25'!$P:$P,MATCH($A203,'2024_25'!$A:$A,0)),"")</f>
        <v/>
      </c>
      <c r="U203" t="str">
        <f>IFERROR(INDEX('2025_26'!$P:$P,MATCH($A203,'2025_26'!$A:$A,0)),"")</f>
        <v/>
      </c>
      <c r="V203" t="str">
        <f>IFERROR(INDEX('2023_24'!$P:$P,MATCH($A203,'2023_24'!$A:$A,0)),"")</f>
        <v/>
      </c>
      <c r="W203" t="str">
        <f>IFERROR(INDEX('2024_25'!$Q:$Q,MATCH($A203,'2024_25'!$A:$A,0)),"")</f>
        <v/>
      </c>
      <c r="X203" t="str">
        <f>IFERROR(INDEX('2025_26'!$Q:$Q,MATCH($A203,'2025_26'!$A:$A,0)),"")</f>
        <v/>
      </c>
      <c r="Y203" t="str">
        <f>IFERROR(INDEX('2023_24'!$M:$M,MATCH($A203,'2023_24'!$A:$A,0))/INDEX('2023_24'!$G:$G,MATCH($A203,'2023_24'!$A:$A,0))*90,"")</f>
        <v/>
      </c>
      <c r="Z203" t="str">
        <f>IFERROR(INDEX('2024_25'!$M:$M,MATCH($A203,'2024_25'!$A:$A,0))/INDEX('2024_25'!$G:$G,MATCH($A203,'2024_25'!$A:$A,0))*90,"")</f>
        <v/>
      </c>
      <c r="AA203" t="str">
        <f>IFERROR(INDEX('2025_26'!$M:$M,MATCH($A203,'2025_26'!$A:$A,0))/INDEX('2025_26'!$G:$G,MATCH($A203,'2025_26'!$A:$A,0))*90,"")</f>
        <v/>
      </c>
      <c r="AB203" t="str">
        <f>IFERROR(SUMPRODUCT(S203:U203,{0.2,0.3,0.5})/SUMPRODUCT(--(S203:U203&lt;&gt;""),{0.2,0.3,0.5}),"")</f>
        <v/>
      </c>
      <c r="AC203" t="str">
        <f>IFERROR(SUMPRODUCT(V203:X203,{0.2,0.3,0.5})/SUMPRODUCT(--(V203:X203&lt;&gt;""),{0.2,0.3,0.5}),"")</f>
        <v/>
      </c>
      <c r="AD203" t="str">
        <f>IFERROR(SUMPRODUCT(Y203:AA203,{0.2,0.3,0.5})/SUMPRODUCT((Y203:AA203&lt;&gt;"")*{0.2,0.3,0.5}),O203)</f>
        <v/>
      </c>
      <c r="AE203">
        <f t="shared" si="83"/>
        <v>0</v>
      </c>
      <c r="AF203" t="str">
        <f t="shared" si="84"/>
        <v/>
      </c>
      <c r="AG203">
        <f t="shared" si="85"/>
        <v>0</v>
      </c>
      <c r="AH203">
        <f t="shared" si="86"/>
        <v>0</v>
      </c>
      <c r="AI203" s="2">
        <f t="shared" si="87"/>
        <v>0</v>
      </c>
      <c r="AJ203">
        <f t="shared" si="88"/>
        <v>0</v>
      </c>
      <c r="AK203" t="str">
        <f t="shared" si="89"/>
        <v>YES</v>
      </c>
      <c r="AL203">
        <f t="shared" si="90"/>
        <v>0</v>
      </c>
      <c r="AM203">
        <f t="shared" si="91"/>
        <v>0</v>
      </c>
      <c r="AN203">
        <f t="shared" si="92"/>
        <v>0</v>
      </c>
      <c r="AO203">
        <f t="shared" si="93"/>
        <v>0</v>
      </c>
      <c r="AP203">
        <f t="array" ref="AP203">AL203*IF($C203="GKP",10,IF($C203="DEF",6,IF($C203="MID",5,4)))</f>
        <v>0</v>
      </c>
      <c r="AQ203">
        <f t="shared" si="94"/>
        <v>0</v>
      </c>
      <c r="AR203">
        <f t="shared" si="95"/>
        <v>0</v>
      </c>
      <c r="AS203" s="2">
        <f>IF($H203=0,0,Player_Analysis!$AM203*$H203/90)</f>
        <v>0</v>
      </c>
      <c r="AT203">
        <f t="shared" si="96"/>
        <v>0</v>
      </c>
      <c r="AU203" s="2">
        <f>0</f>
        <v>0</v>
      </c>
      <c r="AV203" s="2" t="str">
        <f>IF(INDEX(FPL_Raw_Data!K:K,MATCH(A203,FPL_Raw_Data!AA:AA,0))=0,"",INDEX(FPL_Raw_Data!P:P,MATCH(A203,FPL_Raw_Data!AA:AA,0))/INDEX(FPL_Raw_Data!K:K,MATCH(A203,FPL_Raw_Data!AA:AA,0))*90)</f>
        <v/>
      </c>
      <c r="AW203" s="2">
        <f t="shared" si="97"/>
        <v>0</v>
      </c>
      <c r="AX203" s="2">
        <f>IFERROR(INDEX(TEAM_ANALYSIS!$H$2:$H$21,MATCH($B203,TEAM_ANALYSIS!$A$2:$A$21,0)),0)</f>
        <v>1.6666666666666667</v>
      </c>
      <c r="AY203" s="2">
        <f t="shared" si="98"/>
        <v>-0.83333333333333337</v>
      </c>
      <c r="AZ203" s="2">
        <f t="shared" si="99"/>
        <v>-0.83333333333333337</v>
      </c>
      <c r="BA203">
        <f t="shared" si="100"/>
        <v>-0.20833333333333334</v>
      </c>
      <c r="BB203">
        <f>IFERROR(Player_Analysis!$Y203,1)</f>
        <v>0.97467649467649475</v>
      </c>
      <c r="BC203">
        <f t="shared" si="101"/>
        <v>-0.81223041223041237</v>
      </c>
      <c r="BD203">
        <f t="shared" si="102"/>
        <v>0.16921466921466924</v>
      </c>
      <c r="BE203">
        <f t="shared" si="103"/>
        <v>-0.81223041223041237</v>
      </c>
      <c r="BF203">
        <f t="shared" si="104"/>
        <v>554</v>
      </c>
      <c r="BG203">
        <f>IF($BE203="","",COUNTIFS($C$2:$C$596,$C203,$BE$2:$BE$596,"&gt;"&amp;$BE203)+COUNTIFS($C$2:$C203,$C203,$BE$2:$BE203,$BE203))</f>
        <v>156</v>
      </c>
    </row>
    <row r="204" spans="1:59" x14ac:dyDescent="0.25">
      <c r="A204" t="str">
        <f>Player_Analysis!A204</f>
        <v>Aurèle Amenda</v>
      </c>
      <c r="B204">
        <f>Player_Analysis!C204</f>
        <v>7</v>
      </c>
      <c r="C204" t="str">
        <f>Player_Analysis!B204</f>
        <v>DEF</v>
      </c>
      <c r="D204" s="13">
        <f>Player_Analysis!E204</f>
        <v>4</v>
      </c>
      <c r="E204">
        <f>Player_Analysis!I204</f>
        <v>270</v>
      </c>
      <c r="F204" s="8">
        <f>Player_Analysis!Z204</f>
        <v>3</v>
      </c>
      <c r="G204" s="17">
        <f t="shared" si="79"/>
        <v>1</v>
      </c>
      <c r="H204">
        <f t="shared" si="80"/>
        <v>90</v>
      </c>
      <c r="I204" s="8">
        <f>Player_Analysis!AF204</f>
        <v>0</v>
      </c>
      <c r="J204" s="8">
        <f>Player_Analysis!AG204</f>
        <v>0</v>
      </c>
      <c r="K204">
        <f>Player_Analysis!O204</f>
        <v>0.02</v>
      </c>
      <c r="L204">
        <f>Player_Analysis!P204</f>
        <v>0.39</v>
      </c>
      <c r="M204">
        <f t="shared" si="81"/>
        <v>6.6666666666666662E-3</v>
      </c>
      <c r="N204">
        <f t="shared" si="82"/>
        <v>0.13</v>
      </c>
      <c r="O204" s="2">
        <f>IF(E204=0,"",Player_Analysis!L204/E204*90)</f>
        <v>1.3333333333333335</v>
      </c>
      <c r="P204">
        <f>IF(E204=0,"",Player_Analysis!Q204/E204*90)</f>
        <v>0.13666666666666666</v>
      </c>
      <c r="Q204">
        <f>IF(E204=0,"",(Player_Analysis!AD204/E204)*90)</f>
        <v>3</v>
      </c>
      <c r="R204">
        <f>IF(E204=0,"",Player_Analysis!AA204/E204*90)</f>
        <v>5.3333333333333339</v>
      </c>
      <c r="S204" t="str">
        <f t="array" ref="S204">IFERROR(INDEX('2023_24'!$O:$O,MATCH($A204,'2023_24'!$A:$A,0)),"")</f>
        <v/>
      </c>
      <c r="T204" t="str">
        <f>IFERROR(INDEX('2024_25'!$P:$P,MATCH($A204,'2024_25'!$A:$A,0)),"")</f>
        <v/>
      </c>
      <c r="U204" t="str">
        <f>IFERROR(INDEX('2025_26'!$P:$P,MATCH($A204,'2025_26'!$A:$A,0)),"")</f>
        <v/>
      </c>
      <c r="V204" t="str">
        <f>IFERROR(INDEX('2023_24'!$P:$P,MATCH($A204,'2023_24'!$A:$A,0)),"")</f>
        <v/>
      </c>
      <c r="W204" t="str">
        <f>IFERROR(INDEX('2024_25'!$Q:$Q,MATCH($A204,'2024_25'!$A:$A,0)),"")</f>
        <v/>
      </c>
      <c r="X204" t="str">
        <f>IFERROR(INDEX('2025_26'!$Q:$Q,MATCH($A204,'2025_26'!$A:$A,0)),"")</f>
        <v/>
      </c>
      <c r="Y204" t="str">
        <f>IFERROR(INDEX('2023_24'!$M:$M,MATCH($A204,'2023_24'!$A:$A,0))/INDEX('2023_24'!$G:$G,MATCH($A204,'2023_24'!$A:$A,0))*90,"")</f>
        <v/>
      </c>
      <c r="Z204" t="str">
        <f>IFERROR(INDEX('2024_25'!$M:$M,MATCH($A204,'2024_25'!$A:$A,0))/INDEX('2024_25'!$G:$G,MATCH($A204,'2024_25'!$A:$A,0))*90,"")</f>
        <v/>
      </c>
      <c r="AA204" t="str">
        <f>IFERROR(INDEX('2025_26'!$M:$M,MATCH($A204,'2025_26'!$A:$A,0))/INDEX('2025_26'!$G:$G,MATCH($A204,'2025_26'!$A:$A,0))*90,"")</f>
        <v/>
      </c>
      <c r="AB204" t="str">
        <f>IFERROR(SUMPRODUCT(S204:U204,{0.2,0.3,0.5})/SUMPRODUCT(--(S204:U204&lt;&gt;""),{0.2,0.3,0.5}),"")</f>
        <v/>
      </c>
      <c r="AC204" t="str">
        <f>IFERROR(SUMPRODUCT(V204:X204,{0.2,0.3,0.5})/SUMPRODUCT(--(V204:X204&lt;&gt;""),{0.2,0.3,0.5}),"")</f>
        <v/>
      </c>
      <c r="AD204">
        <f>IFERROR(SUMPRODUCT(Y204:AA204,{0.2,0.3,0.5})/SUMPRODUCT((Y204:AA204&lt;&gt;"")*{0.2,0.3,0.5}),O204)</f>
        <v>1.3333333333333335</v>
      </c>
      <c r="AE204">
        <f t="shared" si="83"/>
        <v>0</v>
      </c>
      <c r="AF204">
        <f t="shared" si="84"/>
        <v>90</v>
      </c>
      <c r="AG204">
        <f t="shared" si="85"/>
        <v>6.6666666666666662E-3</v>
      </c>
      <c r="AH204">
        <f t="shared" si="86"/>
        <v>0.13</v>
      </c>
      <c r="AI204" s="2">
        <f t="shared" si="87"/>
        <v>1.3333333333333335</v>
      </c>
      <c r="AJ204">
        <f t="shared" si="88"/>
        <v>0.9</v>
      </c>
      <c r="AK204" t="str">
        <f t="shared" si="89"/>
        <v>YES</v>
      </c>
      <c r="AL204">
        <f t="shared" si="90"/>
        <v>6.6666666666666662E-3</v>
      </c>
      <c r="AM204">
        <f t="shared" si="91"/>
        <v>0.13</v>
      </c>
      <c r="AN204">
        <f t="shared" si="92"/>
        <v>6.6666666666666662E-3</v>
      </c>
      <c r="AO204">
        <f t="shared" si="93"/>
        <v>0.13</v>
      </c>
      <c r="AP204">
        <f t="array" ref="AP204">AL204*IF($C204="GKP",10,IF($C204="DEF",6,IF($C204="MID",5,4)))</f>
        <v>3.9999999999999994E-2</v>
      </c>
      <c r="AQ204">
        <f t="shared" si="94"/>
        <v>0.39</v>
      </c>
      <c r="AR204">
        <f t="shared" si="95"/>
        <v>2</v>
      </c>
      <c r="AS204" s="2">
        <f>IF($H204=0,0,Player_Analysis!$AM204*$H204/90)</f>
        <v>0</v>
      </c>
      <c r="AT204">
        <f t="shared" si="96"/>
        <v>1.0666666666666669</v>
      </c>
      <c r="AU204" s="2">
        <f>0</f>
        <v>0</v>
      </c>
      <c r="AV204" s="2">
        <f>IF(INDEX(FPL_Raw_Data!K:K,MATCH(A204,FPL_Raw_Data!AA:AA,0))=0,"",INDEX(FPL_Raw_Data!P:P,MATCH(A204,FPL_Raw_Data!AA:AA,0))/INDEX(FPL_Raw_Data!K:K,MATCH(A204,FPL_Raw_Data!AA:AA,0))*90)</f>
        <v>0</v>
      </c>
      <c r="AW204" s="2">
        <f t="shared" si="97"/>
        <v>0</v>
      </c>
      <c r="AX204" s="2">
        <f>IFERROR(INDEX(TEAM_ANALYSIS!$H$2:$H$21,MATCH($B204,TEAM_ANALYSIS!$A$2:$A$21,0)),0)</f>
        <v>1.6666666666666667</v>
      </c>
      <c r="AY204" s="2">
        <f t="shared" si="98"/>
        <v>-0.83333333333333337</v>
      </c>
      <c r="AZ204" s="2">
        <f t="shared" si="99"/>
        <v>2.6633333333333336</v>
      </c>
      <c r="BA204">
        <f t="shared" si="100"/>
        <v>0.66583333333333339</v>
      </c>
      <c r="BB204">
        <f>IFERROR(Player_Analysis!$Y204,1)</f>
        <v>0.97467649467649475</v>
      </c>
      <c r="BC204">
        <f t="shared" si="101"/>
        <v>2.5958883974883977</v>
      </c>
      <c r="BD204">
        <f t="shared" si="102"/>
        <v>1.728429024661025</v>
      </c>
      <c r="BE204">
        <f t="shared" si="103"/>
        <v>2.5958883974883977</v>
      </c>
      <c r="BF204">
        <f t="shared" si="104"/>
        <v>220</v>
      </c>
      <c r="BG204">
        <f>IF($BE204="","",COUNTIFS($C$2:$C$596,$C204,$BE$2:$BE$596,"&gt;"&amp;$BE204)+COUNTIFS($C$2:$C204,$C204,$BE$2:$BE204,$BE204))</f>
        <v>71</v>
      </c>
    </row>
    <row r="205" spans="1:59" x14ac:dyDescent="0.25">
      <c r="A205" t="str">
        <f>Player_Analysis!A205</f>
        <v>Jack Rudoni</v>
      </c>
      <c r="B205">
        <f>Player_Analysis!C205</f>
        <v>7</v>
      </c>
      <c r="C205" t="str">
        <f>Player_Analysis!B205</f>
        <v>MID</v>
      </c>
      <c r="D205" s="13">
        <f>Player_Analysis!E205</f>
        <v>5</v>
      </c>
      <c r="E205">
        <f>Player_Analysis!I205</f>
        <v>152</v>
      </c>
      <c r="F205" s="8">
        <f>Player_Analysis!Z205</f>
        <v>2</v>
      </c>
      <c r="G205" s="17">
        <f t="shared" si="79"/>
        <v>1</v>
      </c>
      <c r="H205">
        <f t="shared" si="80"/>
        <v>90</v>
      </c>
      <c r="I205" s="8">
        <f>Player_Analysis!AF205</f>
        <v>0</v>
      </c>
      <c r="J205" s="8">
        <f>Player_Analysis!AG205</f>
        <v>0</v>
      </c>
      <c r="K205">
        <f>Player_Analysis!O205</f>
        <v>0.5</v>
      </c>
      <c r="L205">
        <f>Player_Analysis!P205</f>
        <v>0.18</v>
      </c>
      <c r="M205">
        <f t="shared" si="81"/>
        <v>0.29605263157894735</v>
      </c>
      <c r="N205">
        <f t="shared" si="82"/>
        <v>0.10657894736842104</v>
      </c>
      <c r="O205" s="2">
        <f>IF(E205=0,"",Player_Analysis!L205/E205*90)</f>
        <v>3.5526315789473681</v>
      </c>
      <c r="P205">
        <f>IF(E205=0,"",Player_Analysis!Q205/E205*90)</f>
        <v>0.40263157894736845</v>
      </c>
      <c r="Q205">
        <f>IF(E205=0,"",(Player_Analysis!AD205/E205)*90)</f>
        <v>14.210526315789473</v>
      </c>
      <c r="R205">
        <f>IF(E205=0,"",Player_Analysis!AA205/E205*90)</f>
        <v>9.473684210526315</v>
      </c>
      <c r="S205" t="str">
        <f t="array" ref="S205">IFERROR(INDEX('2023_24'!$O:$O,MATCH($A205,'2023_24'!$A:$A,0)),"")</f>
        <v/>
      </c>
      <c r="T205" t="str">
        <f>IFERROR(INDEX('2024_25'!$P:$P,MATCH($A205,'2024_25'!$A:$A,0)),"")</f>
        <v/>
      </c>
      <c r="U205" t="str">
        <f>IFERROR(INDEX('2025_26'!$P:$P,MATCH($A205,'2025_26'!$A:$A,0)),"")</f>
        <v/>
      </c>
      <c r="V205" t="str">
        <f>IFERROR(INDEX('2023_24'!$P:$P,MATCH($A205,'2023_24'!$A:$A,0)),"")</f>
        <v/>
      </c>
      <c r="W205" t="str">
        <f>IFERROR(INDEX('2024_25'!$Q:$Q,MATCH($A205,'2024_25'!$A:$A,0)),"")</f>
        <v/>
      </c>
      <c r="X205" t="str">
        <f>IFERROR(INDEX('2025_26'!$Q:$Q,MATCH($A205,'2025_26'!$A:$A,0)),"")</f>
        <v/>
      </c>
      <c r="Y205" t="str">
        <f>IFERROR(INDEX('2023_24'!$M:$M,MATCH($A205,'2023_24'!$A:$A,0))/INDEX('2023_24'!$G:$G,MATCH($A205,'2023_24'!$A:$A,0))*90,"")</f>
        <v/>
      </c>
      <c r="Z205" t="str">
        <f>IFERROR(INDEX('2024_25'!$M:$M,MATCH($A205,'2024_25'!$A:$A,0))/INDEX('2024_25'!$G:$G,MATCH($A205,'2024_25'!$A:$A,0))*90,"")</f>
        <v/>
      </c>
      <c r="AA205" t="str">
        <f>IFERROR(INDEX('2025_26'!$M:$M,MATCH($A205,'2025_26'!$A:$A,0))/INDEX('2025_26'!$G:$G,MATCH($A205,'2025_26'!$A:$A,0))*90,"")</f>
        <v/>
      </c>
      <c r="AB205" t="str">
        <f>IFERROR(SUMPRODUCT(S205:U205,{0.2,0.3,0.5})/SUMPRODUCT(--(S205:U205&lt;&gt;""),{0.2,0.3,0.5}),"")</f>
        <v/>
      </c>
      <c r="AC205" t="str">
        <f>IFERROR(SUMPRODUCT(V205:X205,{0.2,0.3,0.5})/SUMPRODUCT(--(V205:X205&lt;&gt;""),{0.2,0.3,0.5}),"")</f>
        <v/>
      </c>
      <c r="AD205">
        <f>IFERROR(SUMPRODUCT(Y205:AA205,{0.2,0.3,0.5})/SUMPRODUCT((Y205:AA205&lt;&gt;"")*{0.2,0.3,0.5}),O205)</f>
        <v>3.5526315789473681</v>
      </c>
      <c r="AE205">
        <f t="shared" si="83"/>
        <v>0</v>
      </c>
      <c r="AF205">
        <f t="shared" si="84"/>
        <v>76</v>
      </c>
      <c r="AG205">
        <f t="shared" si="85"/>
        <v>0.29605263157894735</v>
      </c>
      <c r="AH205">
        <f t="shared" si="86"/>
        <v>0.10657894736842104</v>
      </c>
      <c r="AI205" s="2">
        <f t="shared" si="87"/>
        <v>3.5526315789473681</v>
      </c>
      <c r="AJ205">
        <f t="shared" si="88"/>
        <v>0.50666666666666671</v>
      </c>
      <c r="AK205" t="str">
        <f t="shared" si="89"/>
        <v>YES</v>
      </c>
      <c r="AL205">
        <f t="shared" si="90"/>
        <v>0.29605263157894735</v>
      </c>
      <c r="AM205">
        <f t="shared" si="91"/>
        <v>0.10657894736842104</v>
      </c>
      <c r="AN205">
        <f t="shared" si="92"/>
        <v>0.29605263157894735</v>
      </c>
      <c r="AO205">
        <f t="shared" si="93"/>
        <v>0.10657894736842104</v>
      </c>
      <c r="AP205">
        <f t="array" ref="AP205">AL205*IF($C205="GKP",10,IF($C205="DEF",6,IF($C205="MID",5,4)))</f>
        <v>1.4802631578947367</v>
      </c>
      <c r="AQ205">
        <f t="shared" si="94"/>
        <v>0.3197368421052631</v>
      </c>
      <c r="AR205">
        <f t="shared" si="95"/>
        <v>2</v>
      </c>
      <c r="AS205" s="2">
        <f>IF($H205=0,0,Player_Analysis!$AM205*$H205/90)</f>
        <v>0.5</v>
      </c>
      <c r="AT205">
        <f t="shared" si="96"/>
        <v>1.5789473684210524</v>
      </c>
      <c r="AU205" s="2">
        <f>0</f>
        <v>0</v>
      </c>
      <c r="AV205" s="2">
        <f>IF(INDEX(FPL_Raw_Data!K:K,MATCH(A205,FPL_Raw_Data!AA:AA,0))=0,"",INDEX(FPL_Raw_Data!P:P,MATCH(A205,FPL_Raw_Data!AA:AA,0))/INDEX(FPL_Raw_Data!K:K,MATCH(A205,FPL_Raw_Data!AA:AA,0))*90)</f>
        <v>0</v>
      </c>
      <c r="AW205" s="2">
        <f t="shared" si="97"/>
        <v>0</v>
      </c>
      <c r="AX205" s="2">
        <f>IFERROR(INDEX(TEAM_ANALYSIS!$H$2:$H$21,MATCH($B205,TEAM_ANALYSIS!$A$2:$A$21,0)),0)</f>
        <v>1.6666666666666667</v>
      </c>
      <c r="AY205" s="2">
        <f t="shared" si="98"/>
        <v>0</v>
      </c>
      <c r="AZ205" s="2">
        <f t="shared" si="99"/>
        <v>5.878947368421052</v>
      </c>
      <c r="BA205">
        <f t="shared" si="100"/>
        <v>1.1757894736842105</v>
      </c>
      <c r="BB205">
        <f>IFERROR(Player_Analysis!$Y205,1)</f>
        <v>0.8</v>
      </c>
      <c r="BC205">
        <f t="shared" si="101"/>
        <v>4.703157894736842</v>
      </c>
      <c r="BD205">
        <f t="shared" si="102"/>
        <v>5.5299235457063709</v>
      </c>
      <c r="BE205">
        <f t="shared" si="103"/>
        <v>4.703157894736842</v>
      </c>
      <c r="BF205">
        <f t="shared" si="104"/>
        <v>113</v>
      </c>
      <c r="BG205">
        <f>IF($BE205="","",COUNTIFS($C$2:$C$596,$C205,$BE$2:$BE$596,"&gt;"&amp;$BE205)+COUNTIFS($C$2:$C205,$C205,$BE$2:$BE205,$BE205))</f>
        <v>53</v>
      </c>
    </row>
    <row r="206" spans="1:59" x14ac:dyDescent="0.25">
      <c r="A206" t="str">
        <f>Player_Analysis!A206</f>
        <v>Matt Grimes</v>
      </c>
      <c r="B206">
        <f>Player_Analysis!C206</f>
        <v>7</v>
      </c>
      <c r="C206" t="str">
        <f>Player_Analysis!B206</f>
        <v>MID</v>
      </c>
      <c r="D206" s="13">
        <f>Player_Analysis!E206</f>
        <v>5</v>
      </c>
      <c r="E206">
        <f>Player_Analysis!I206</f>
        <v>270</v>
      </c>
      <c r="F206" s="8">
        <f>Player_Analysis!Z206</f>
        <v>3</v>
      </c>
      <c r="G206" s="17">
        <f t="shared" si="79"/>
        <v>1</v>
      </c>
      <c r="H206">
        <f t="shared" si="80"/>
        <v>90</v>
      </c>
      <c r="I206" s="8">
        <f>Player_Analysis!AF206</f>
        <v>0</v>
      </c>
      <c r="J206" s="8">
        <f>Player_Analysis!AG206</f>
        <v>0</v>
      </c>
      <c r="K206">
        <f>Player_Analysis!O206</f>
        <v>0.05</v>
      </c>
      <c r="L206">
        <f>Player_Analysis!P206</f>
        <v>0.05</v>
      </c>
      <c r="M206">
        <f t="shared" si="81"/>
        <v>1.666666666666667E-2</v>
      </c>
      <c r="N206">
        <f t="shared" si="82"/>
        <v>1.666666666666667E-2</v>
      </c>
      <c r="O206" s="2">
        <f>IF(E206=0,"",Player_Analysis!L206/E206*90)</f>
        <v>2</v>
      </c>
      <c r="P206">
        <f>IF(E206=0,"",Player_Analysis!Q206/E206*90)</f>
        <v>3.333333333333334E-2</v>
      </c>
      <c r="Q206">
        <f>IF(E206=0,"",(Player_Analysis!AD206/E206)*90)</f>
        <v>12</v>
      </c>
      <c r="R206">
        <f>IF(E206=0,"",Player_Analysis!AA206/E206*90)</f>
        <v>8.3333333333333321</v>
      </c>
      <c r="S206" t="str">
        <f t="array" ref="S206">IFERROR(INDEX('2023_24'!$O:$O,MATCH($A206,'2023_24'!$A:$A,0)),"")</f>
        <v/>
      </c>
      <c r="T206" t="str">
        <f>IFERROR(INDEX('2024_25'!$P:$P,MATCH($A206,'2024_25'!$A:$A,0)),"")</f>
        <v/>
      </c>
      <c r="U206" t="str">
        <f>IFERROR(INDEX('2025_26'!$P:$P,MATCH($A206,'2025_26'!$A:$A,0)),"")</f>
        <v/>
      </c>
      <c r="V206" t="str">
        <f>IFERROR(INDEX('2023_24'!$P:$P,MATCH($A206,'2023_24'!$A:$A,0)),"")</f>
        <v/>
      </c>
      <c r="W206" t="str">
        <f>IFERROR(INDEX('2024_25'!$Q:$Q,MATCH($A206,'2024_25'!$A:$A,0)),"")</f>
        <v/>
      </c>
      <c r="X206" t="str">
        <f>IFERROR(INDEX('2025_26'!$Q:$Q,MATCH($A206,'2025_26'!$A:$A,0)),"")</f>
        <v/>
      </c>
      <c r="Y206" t="str">
        <f>IFERROR(INDEX('2023_24'!$M:$M,MATCH($A206,'2023_24'!$A:$A,0))/INDEX('2023_24'!$G:$G,MATCH($A206,'2023_24'!$A:$A,0))*90,"")</f>
        <v/>
      </c>
      <c r="Z206" t="str">
        <f>IFERROR(INDEX('2024_25'!$M:$M,MATCH($A206,'2024_25'!$A:$A,0))/INDEX('2024_25'!$G:$G,MATCH($A206,'2024_25'!$A:$A,0))*90,"")</f>
        <v/>
      </c>
      <c r="AA206" t="str">
        <f>IFERROR(INDEX('2025_26'!$M:$M,MATCH($A206,'2025_26'!$A:$A,0))/INDEX('2025_26'!$G:$G,MATCH($A206,'2025_26'!$A:$A,0))*90,"")</f>
        <v/>
      </c>
      <c r="AB206" t="str">
        <f>IFERROR(SUMPRODUCT(S206:U206,{0.2,0.3,0.5})/SUMPRODUCT(--(S206:U206&lt;&gt;""),{0.2,0.3,0.5}),"")</f>
        <v/>
      </c>
      <c r="AC206" t="str">
        <f>IFERROR(SUMPRODUCT(V206:X206,{0.2,0.3,0.5})/SUMPRODUCT(--(V206:X206&lt;&gt;""),{0.2,0.3,0.5}),"")</f>
        <v/>
      </c>
      <c r="AD206">
        <f>IFERROR(SUMPRODUCT(Y206:AA206,{0.2,0.3,0.5})/SUMPRODUCT((Y206:AA206&lt;&gt;"")*{0.2,0.3,0.5}),O206)</f>
        <v>2</v>
      </c>
      <c r="AE206">
        <f t="shared" si="83"/>
        <v>0</v>
      </c>
      <c r="AF206">
        <f t="shared" si="84"/>
        <v>90</v>
      </c>
      <c r="AG206">
        <f t="shared" si="85"/>
        <v>1.666666666666667E-2</v>
      </c>
      <c r="AH206">
        <f t="shared" si="86"/>
        <v>1.666666666666667E-2</v>
      </c>
      <c r="AI206" s="2">
        <f t="shared" si="87"/>
        <v>2</v>
      </c>
      <c r="AJ206">
        <f t="shared" si="88"/>
        <v>0.9</v>
      </c>
      <c r="AK206" t="str">
        <f t="shared" si="89"/>
        <v>YES</v>
      </c>
      <c r="AL206">
        <f t="shared" si="90"/>
        <v>1.666666666666667E-2</v>
      </c>
      <c r="AM206">
        <f t="shared" si="91"/>
        <v>1.666666666666667E-2</v>
      </c>
      <c r="AN206">
        <f t="shared" si="92"/>
        <v>1.666666666666667E-2</v>
      </c>
      <c r="AO206">
        <f t="shared" si="93"/>
        <v>1.666666666666667E-2</v>
      </c>
      <c r="AP206">
        <f t="array" ref="AP206">AL206*IF($C206="GKP",10,IF($C206="DEF",6,IF($C206="MID",5,4)))</f>
        <v>8.3333333333333343E-2</v>
      </c>
      <c r="AQ206">
        <f t="shared" si="94"/>
        <v>5.000000000000001E-2</v>
      </c>
      <c r="AR206">
        <f t="shared" si="95"/>
        <v>2</v>
      </c>
      <c r="AS206" s="2">
        <f>IF($H206=0,0,Player_Analysis!$AM206*$H206/90)</f>
        <v>0</v>
      </c>
      <c r="AT206">
        <f t="shared" si="96"/>
        <v>1.3888888888888886</v>
      </c>
      <c r="AU206" s="2">
        <f>0</f>
        <v>0</v>
      </c>
      <c r="AV206" s="2">
        <f>IF(INDEX(FPL_Raw_Data!K:K,MATCH(A206,FPL_Raw_Data!AA:AA,0))=0,"",INDEX(FPL_Raw_Data!P:P,MATCH(A206,FPL_Raw_Data!AA:AA,0))/INDEX(FPL_Raw_Data!K:K,MATCH(A206,FPL_Raw_Data!AA:AA,0))*90)</f>
        <v>0</v>
      </c>
      <c r="AW206" s="2">
        <f t="shared" si="97"/>
        <v>0</v>
      </c>
      <c r="AX206" s="2">
        <f>IFERROR(INDEX(TEAM_ANALYSIS!$H$2:$H$21,MATCH($B206,TEAM_ANALYSIS!$A$2:$A$21,0)),0)</f>
        <v>1.6666666666666667</v>
      </c>
      <c r="AY206" s="2">
        <f t="shared" si="98"/>
        <v>0</v>
      </c>
      <c r="AZ206" s="2">
        <f t="shared" si="99"/>
        <v>3.5222222222222221</v>
      </c>
      <c r="BA206">
        <f t="shared" si="100"/>
        <v>0.70444444444444443</v>
      </c>
      <c r="BB206">
        <f>IFERROR(Player_Analysis!$Y206,1)</f>
        <v>0.8</v>
      </c>
      <c r="BC206">
        <f t="shared" si="101"/>
        <v>2.8177777777777777</v>
      </c>
      <c r="BD206">
        <f t="shared" si="102"/>
        <v>1.9849679012345678</v>
      </c>
      <c r="BE206">
        <f t="shared" si="103"/>
        <v>2.8177777777777777</v>
      </c>
      <c r="BF206">
        <f t="shared" si="104"/>
        <v>209</v>
      </c>
      <c r="BG206">
        <f>IF($BE206="","",COUNTIFS($C$2:$C$596,$C206,$BE$2:$BE$596,"&gt;"&amp;$BE206)+COUNTIFS($C$2:$C206,$C206,$BE$2:$BE206,$BE206))</f>
        <v>109</v>
      </c>
    </row>
    <row r="207" spans="1:59" x14ac:dyDescent="0.25">
      <c r="A207" t="str">
        <f>Player_Analysis!A207</f>
        <v>Tatsuhiro Sakamoto</v>
      </c>
      <c r="B207">
        <f>Player_Analysis!C207</f>
        <v>7</v>
      </c>
      <c r="C207" t="str">
        <f>Player_Analysis!B207</f>
        <v>MID</v>
      </c>
      <c r="D207" s="13">
        <f>Player_Analysis!E207</f>
        <v>4.9000000000000004</v>
      </c>
      <c r="E207">
        <f>Player_Analysis!I207</f>
        <v>31</v>
      </c>
      <c r="F207" s="8">
        <f>Player_Analysis!Z207</f>
        <v>0</v>
      </c>
      <c r="G207" s="17">
        <f t="shared" si="79"/>
        <v>0</v>
      </c>
      <c r="H207">
        <f t="shared" si="80"/>
        <v>0</v>
      </c>
      <c r="I207" s="8">
        <f>Player_Analysis!AF207</f>
        <v>0</v>
      </c>
      <c r="J207" s="8">
        <f>Player_Analysis!AG207</f>
        <v>0</v>
      </c>
      <c r="K207">
        <f>Player_Analysis!O207</f>
        <v>0.02</v>
      </c>
      <c r="L207">
        <f>Player_Analysis!P207</f>
        <v>0.02</v>
      </c>
      <c r="M207">
        <f t="shared" si="81"/>
        <v>5.8064516129032261E-2</v>
      </c>
      <c r="N207">
        <f t="shared" si="82"/>
        <v>5.8064516129032261E-2</v>
      </c>
      <c r="O207" s="2">
        <f>IF(E207=0,"",Player_Analysis!L207/E207*90)</f>
        <v>2.903225806451613</v>
      </c>
      <c r="P207">
        <f>IF(E207=0,"",Player_Analysis!Q207/E207*90)</f>
        <v>0.11612903225806452</v>
      </c>
      <c r="Q207">
        <f>IF(E207=0,"",(Player_Analysis!AD207/E207)*90)</f>
        <v>23.225806451612904</v>
      </c>
      <c r="R207">
        <f>IF(E207=0,"",Player_Analysis!AA207/E207*90)</f>
        <v>11.612903225806452</v>
      </c>
      <c r="S207" t="str">
        <f t="array" ref="S207">IFERROR(INDEX('2023_24'!$O:$O,MATCH($A207,'2023_24'!$A:$A,0)),"")</f>
        <v/>
      </c>
      <c r="T207" t="str">
        <f>IFERROR(INDEX('2024_25'!$P:$P,MATCH($A207,'2024_25'!$A:$A,0)),"")</f>
        <v/>
      </c>
      <c r="U207" t="str">
        <f>IFERROR(INDEX('2025_26'!$P:$P,MATCH($A207,'2025_26'!$A:$A,0)),"")</f>
        <v/>
      </c>
      <c r="V207" t="str">
        <f>IFERROR(INDEX('2023_24'!$P:$P,MATCH($A207,'2023_24'!$A:$A,0)),"")</f>
        <v/>
      </c>
      <c r="W207" t="str">
        <f>IFERROR(INDEX('2024_25'!$Q:$Q,MATCH($A207,'2024_25'!$A:$A,0)),"")</f>
        <v/>
      </c>
      <c r="X207" t="str">
        <f>IFERROR(INDEX('2025_26'!$Q:$Q,MATCH($A207,'2025_26'!$A:$A,0)),"")</f>
        <v/>
      </c>
      <c r="Y207" t="str">
        <f>IFERROR(INDEX('2023_24'!$M:$M,MATCH($A207,'2023_24'!$A:$A,0))/INDEX('2023_24'!$G:$G,MATCH($A207,'2023_24'!$A:$A,0))*90,"")</f>
        <v/>
      </c>
      <c r="Z207" t="str">
        <f>IFERROR(INDEX('2024_25'!$M:$M,MATCH($A207,'2024_25'!$A:$A,0))/INDEX('2024_25'!$G:$G,MATCH($A207,'2024_25'!$A:$A,0))*90,"")</f>
        <v/>
      </c>
      <c r="AA207" t="str">
        <f>IFERROR(INDEX('2025_26'!$M:$M,MATCH($A207,'2025_26'!$A:$A,0))/INDEX('2025_26'!$G:$G,MATCH($A207,'2025_26'!$A:$A,0))*90,"")</f>
        <v/>
      </c>
      <c r="AB207" t="str">
        <f>IFERROR(SUMPRODUCT(S207:U207,{0.2,0.3,0.5})/SUMPRODUCT(--(S207:U207&lt;&gt;""),{0.2,0.3,0.5}),"")</f>
        <v/>
      </c>
      <c r="AC207" t="str">
        <f>IFERROR(SUMPRODUCT(V207:X207,{0.2,0.3,0.5})/SUMPRODUCT(--(V207:X207&lt;&gt;""),{0.2,0.3,0.5}),"")</f>
        <v/>
      </c>
      <c r="AD207">
        <f>IFERROR(SUMPRODUCT(Y207:AA207,{0.2,0.3,0.5})/SUMPRODUCT((Y207:AA207&lt;&gt;"")*{0.2,0.3,0.5}),O207)</f>
        <v>2.903225806451613</v>
      </c>
      <c r="AE207">
        <f t="shared" si="83"/>
        <v>0</v>
      </c>
      <c r="AF207" t="str">
        <f t="shared" si="84"/>
        <v/>
      </c>
      <c r="AG207">
        <f t="shared" si="85"/>
        <v>5.8064516129032261E-2</v>
      </c>
      <c r="AH207">
        <f t="shared" si="86"/>
        <v>5.8064516129032261E-2</v>
      </c>
      <c r="AI207" s="2">
        <f t="shared" si="87"/>
        <v>2.903225806451613</v>
      </c>
      <c r="AJ207">
        <f t="shared" si="88"/>
        <v>0.10333333333333333</v>
      </c>
      <c r="AK207" t="str">
        <f t="shared" si="89"/>
        <v>YES</v>
      </c>
      <c r="AL207">
        <f t="shared" si="90"/>
        <v>0</v>
      </c>
      <c r="AM207">
        <f t="shared" si="91"/>
        <v>0</v>
      </c>
      <c r="AN207">
        <f t="shared" si="92"/>
        <v>0</v>
      </c>
      <c r="AO207">
        <f t="shared" si="93"/>
        <v>0</v>
      </c>
      <c r="AP207">
        <f t="array" ref="AP207">AL207*IF($C207="GKP",10,IF($C207="DEF",6,IF($C207="MID",5,4)))</f>
        <v>0</v>
      </c>
      <c r="AQ207">
        <f t="shared" si="94"/>
        <v>0</v>
      </c>
      <c r="AR207">
        <f t="shared" si="95"/>
        <v>0</v>
      </c>
      <c r="AS207" s="2">
        <f>IF($H207=0,0,Player_Analysis!$AM207*$H207/90)</f>
        <v>0</v>
      </c>
      <c r="AT207">
        <f t="shared" si="96"/>
        <v>0</v>
      </c>
      <c r="AU207" s="2">
        <f>0</f>
        <v>0</v>
      </c>
      <c r="AV207" s="2">
        <f>IF(INDEX(FPL_Raw_Data!K:K,MATCH(A207,FPL_Raw_Data!AA:AA,0))=0,"",INDEX(FPL_Raw_Data!P:P,MATCH(A207,FPL_Raw_Data!AA:AA,0))/INDEX(FPL_Raw_Data!K:K,MATCH(A207,FPL_Raw_Data!AA:AA,0))*90)</f>
        <v>0</v>
      </c>
      <c r="AW207" s="2">
        <f t="shared" si="97"/>
        <v>0</v>
      </c>
      <c r="AX207" s="2">
        <f>IFERROR(INDEX(TEAM_ANALYSIS!$H$2:$H$21,MATCH($B207,TEAM_ANALYSIS!$A$2:$A$21,0)),0)</f>
        <v>1.6666666666666667</v>
      </c>
      <c r="AY207" s="2">
        <f t="shared" si="98"/>
        <v>0</v>
      </c>
      <c r="AZ207" s="2">
        <f t="shared" si="99"/>
        <v>0</v>
      </c>
      <c r="BA207">
        <f t="shared" si="100"/>
        <v>0</v>
      </c>
      <c r="BB207">
        <f>IFERROR(Player_Analysis!$Y207,1)</f>
        <v>0.8</v>
      </c>
      <c r="BC207">
        <f t="shared" si="101"/>
        <v>0</v>
      </c>
      <c r="BD207">
        <f t="shared" si="102"/>
        <v>0</v>
      </c>
      <c r="BE207">
        <f t="shared" si="103"/>
        <v>0</v>
      </c>
      <c r="BF207">
        <f t="shared" si="104"/>
        <v>253</v>
      </c>
      <c r="BG207">
        <f>IF($BE207="","",COUNTIFS($C$2:$C$596,$C207,$BE$2:$BE$596,"&gt;"&amp;$BE207)+COUNTIFS($C$2:$C207,$C207,$BE$2:$BE207,$BE207))</f>
        <v>161</v>
      </c>
    </row>
    <row r="208" spans="1:59" x14ac:dyDescent="0.25">
      <c r="A208" t="str">
        <f>Player_Analysis!A208</f>
        <v>Ephron Mason-Clark</v>
      </c>
      <c r="B208">
        <f>Player_Analysis!C208</f>
        <v>7</v>
      </c>
      <c r="C208" t="str">
        <f>Player_Analysis!B208</f>
        <v>MID</v>
      </c>
      <c r="D208" s="13">
        <f>Player_Analysis!E208</f>
        <v>5.4</v>
      </c>
      <c r="E208">
        <f>Player_Analysis!I208</f>
        <v>127</v>
      </c>
      <c r="F208" s="8">
        <f>Player_Analysis!Z208</f>
        <v>2</v>
      </c>
      <c r="G208" s="17">
        <f t="shared" si="79"/>
        <v>1</v>
      </c>
      <c r="H208">
        <f t="shared" si="80"/>
        <v>90</v>
      </c>
      <c r="I208" s="8">
        <f>Player_Analysis!AF208</f>
        <v>0</v>
      </c>
      <c r="J208" s="8">
        <f>Player_Analysis!AG208</f>
        <v>0</v>
      </c>
      <c r="K208">
        <f>Player_Analysis!O208</f>
        <v>0</v>
      </c>
      <c r="L208">
        <f>Player_Analysis!P208</f>
        <v>0.06</v>
      </c>
      <c r="M208">
        <f t="shared" si="81"/>
        <v>0</v>
      </c>
      <c r="N208">
        <f t="shared" si="82"/>
        <v>4.2519685039370078E-2</v>
      </c>
      <c r="O208" s="2">
        <f>IF(E208=0,"",Player_Analysis!L208/E208*90)</f>
        <v>2.1259842519685037</v>
      </c>
      <c r="P208">
        <f>IF(E208=0,"",Player_Analysis!Q208/E208*90)</f>
        <v>4.2519685039370078E-2</v>
      </c>
      <c r="Q208">
        <f>IF(E208=0,"",(Player_Analysis!AD208/E208)*90)</f>
        <v>5.6692913385826769</v>
      </c>
      <c r="R208">
        <f>IF(E208=0,"",Player_Analysis!AA208/E208*90)</f>
        <v>6.377952755905512</v>
      </c>
      <c r="S208" t="str">
        <f t="array" ref="S208">IFERROR(INDEX('2023_24'!$O:$O,MATCH($A208,'2023_24'!$A:$A,0)),"")</f>
        <v/>
      </c>
      <c r="T208" t="str">
        <f>IFERROR(INDEX('2024_25'!$P:$P,MATCH($A208,'2024_25'!$A:$A,0)),"")</f>
        <v/>
      </c>
      <c r="U208" t="str">
        <f>IFERROR(INDEX('2025_26'!$P:$P,MATCH($A208,'2025_26'!$A:$A,0)),"")</f>
        <v/>
      </c>
      <c r="V208" t="str">
        <f>IFERROR(INDEX('2023_24'!$P:$P,MATCH($A208,'2023_24'!$A:$A,0)),"")</f>
        <v/>
      </c>
      <c r="W208" t="str">
        <f>IFERROR(INDEX('2024_25'!$Q:$Q,MATCH($A208,'2024_25'!$A:$A,0)),"")</f>
        <v/>
      </c>
      <c r="X208" t="str">
        <f>IFERROR(INDEX('2025_26'!$Q:$Q,MATCH($A208,'2025_26'!$A:$A,0)),"")</f>
        <v/>
      </c>
      <c r="Y208" t="str">
        <f>IFERROR(INDEX('2023_24'!$M:$M,MATCH($A208,'2023_24'!$A:$A,0))/INDEX('2023_24'!$G:$G,MATCH($A208,'2023_24'!$A:$A,0))*90,"")</f>
        <v/>
      </c>
      <c r="Z208" t="str">
        <f>IFERROR(INDEX('2024_25'!$M:$M,MATCH($A208,'2024_25'!$A:$A,0))/INDEX('2024_25'!$G:$G,MATCH($A208,'2024_25'!$A:$A,0))*90,"")</f>
        <v/>
      </c>
      <c r="AA208" t="str">
        <f>IFERROR(INDEX('2025_26'!$M:$M,MATCH($A208,'2025_26'!$A:$A,0))/INDEX('2025_26'!$G:$G,MATCH($A208,'2025_26'!$A:$A,0))*90,"")</f>
        <v/>
      </c>
      <c r="AB208" t="str">
        <f>IFERROR(SUMPRODUCT(S208:U208,{0.2,0.3,0.5})/SUMPRODUCT(--(S208:U208&lt;&gt;""),{0.2,0.3,0.5}),"")</f>
        <v/>
      </c>
      <c r="AC208" t="str">
        <f>IFERROR(SUMPRODUCT(V208:X208,{0.2,0.3,0.5})/SUMPRODUCT(--(V208:X208&lt;&gt;""),{0.2,0.3,0.5}),"")</f>
        <v/>
      </c>
      <c r="AD208">
        <f>IFERROR(SUMPRODUCT(Y208:AA208,{0.2,0.3,0.5})/SUMPRODUCT((Y208:AA208&lt;&gt;"")*{0.2,0.3,0.5}),O208)</f>
        <v>2.1259842519685037</v>
      </c>
      <c r="AE208">
        <f t="shared" si="83"/>
        <v>0</v>
      </c>
      <c r="AF208">
        <f t="shared" si="84"/>
        <v>63.5</v>
      </c>
      <c r="AG208">
        <f t="shared" si="85"/>
        <v>0</v>
      </c>
      <c r="AH208">
        <f t="shared" si="86"/>
        <v>4.2519685039370078E-2</v>
      </c>
      <c r="AI208" s="2">
        <f t="shared" si="87"/>
        <v>2.1259842519685037</v>
      </c>
      <c r="AJ208">
        <f t="shared" si="88"/>
        <v>0.42333333333333334</v>
      </c>
      <c r="AK208" t="str">
        <f t="shared" si="89"/>
        <v>YES</v>
      </c>
      <c r="AL208">
        <f t="shared" si="90"/>
        <v>0</v>
      </c>
      <c r="AM208">
        <f t="shared" si="91"/>
        <v>4.2519685039370078E-2</v>
      </c>
      <c r="AN208">
        <f t="shared" si="92"/>
        <v>0</v>
      </c>
      <c r="AO208">
        <f t="shared" si="93"/>
        <v>4.2519685039370078E-2</v>
      </c>
      <c r="AP208">
        <f t="array" ref="AP208">AL208*IF($C208="GKP",10,IF($C208="DEF",6,IF($C208="MID",5,4)))</f>
        <v>0</v>
      </c>
      <c r="AQ208">
        <f t="shared" si="94"/>
        <v>0.12755905511811022</v>
      </c>
      <c r="AR208">
        <f t="shared" si="95"/>
        <v>2</v>
      </c>
      <c r="AS208" s="2">
        <f>IF($H208=0,0,Player_Analysis!$AM208*$H208/90)</f>
        <v>0</v>
      </c>
      <c r="AT208">
        <f t="shared" si="96"/>
        <v>1.0629921259842521</v>
      </c>
      <c r="AU208" s="2">
        <f>0</f>
        <v>0</v>
      </c>
      <c r="AV208" s="2">
        <f>IF(INDEX(FPL_Raw_Data!K:K,MATCH(A208,FPL_Raw_Data!AA:AA,0))=0,"",INDEX(FPL_Raw_Data!P:P,MATCH(A208,FPL_Raw_Data!AA:AA,0))/INDEX(FPL_Raw_Data!K:K,MATCH(A208,FPL_Raw_Data!AA:AA,0))*90)</f>
        <v>0</v>
      </c>
      <c r="AW208" s="2">
        <f t="shared" si="97"/>
        <v>0</v>
      </c>
      <c r="AX208" s="2">
        <f>IFERROR(INDEX(TEAM_ANALYSIS!$H$2:$H$21,MATCH($B208,TEAM_ANALYSIS!$A$2:$A$21,0)),0)</f>
        <v>1.6666666666666667</v>
      </c>
      <c r="AY208" s="2">
        <f t="shared" si="98"/>
        <v>0</v>
      </c>
      <c r="AZ208" s="2">
        <f t="shared" si="99"/>
        <v>3.1905511811023626</v>
      </c>
      <c r="BA208">
        <f t="shared" si="100"/>
        <v>0.59084281131525229</v>
      </c>
      <c r="BB208">
        <f>IFERROR(Player_Analysis!$Y208,1)</f>
        <v>0.8</v>
      </c>
      <c r="BC208">
        <f t="shared" si="101"/>
        <v>2.5524409448818903</v>
      </c>
      <c r="BD208">
        <f t="shared" si="102"/>
        <v>1.508091383590175</v>
      </c>
      <c r="BE208">
        <f t="shared" si="103"/>
        <v>2.5524409448818903</v>
      </c>
      <c r="BF208">
        <f t="shared" si="104"/>
        <v>225</v>
      </c>
      <c r="BG208">
        <f>IF($BE208="","",COUNTIFS($C$2:$C$596,$C208,$BE$2:$BE$596,"&gt;"&amp;$BE208)+COUNTIFS($C$2:$C208,$C208,$BE$2:$BE208,$BE208))</f>
        <v>110</v>
      </c>
    </row>
    <row r="209" spans="1:59" x14ac:dyDescent="0.25">
      <c r="A209" t="str">
        <f>Player_Analysis!A209</f>
        <v>Josh Eccles</v>
      </c>
      <c r="B209">
        <f>Player_Analysis!C209</f>
        <v>7</v>
      </c>
      <c r="C209" t="str">
        <f>Player_Analysis!B209</f>
        <v>MID</v>
      </c>
      <c r="D209" s="13">
        <f>Player_Analysis!E209</f>
        <v>4.9000000000000004</v>
      </c>
      <c r="E209">
        <f>Player_Analysis!I209</f>
        <v>0</v>
      </c>
      <c r="F209" s="8">
        <f>Player_Analysis!Z209</f>
        <v>0</v>
      </c>
      <c r="G209" s="17">
        <f t="shared" si="79"/>
        <v>0</v>
      </c>
      <c r="H209">
        <f t="shared" si="80"/>
        <v>0</v>
      </c>
      <c r="I209" s="8">
        <f>Player_Analysis!AF209</f>
        <v>0</v>
      </c>
      <c r="J209" s="8">
        <f>Player_Analysis!AG209</f>
        <v>0</v>
      </c>
      <c r="K209">
        <f>Player_Analysis!O209</f>
        <v>0</v>
      </c>
      <c r="L209">
        <f>Player_Analysis!P209</f>
        <v>0</v>
      </c>
      <c r="M209" t="str">
        <f t="shared" si="81"/>
        <v/>
      </c>
      <c r="N209" t="str">
        <f t="shared" si="82"/>
        <v/>
      </c>
      <c r="O209" s="2" t="str">
        <f>IF(E209=0,"",Player_Analysis!L209/E209*90)</f>
        <v/>
      </c>
      <c r="P209" t="str">
        <f>IF(E209=0,"",Player_Analysis!Q209/E209*90)</f>
        <v/>
      </c>
      <c r="Q209" t="str">
        <f>IF(E209=0,"",(Player_Analysis!AD209/E209)*90)</f>
        <v/>
      </c>
      <c r="R209" t="str">
        <f>IF(E209=0,"",Player_Analysis!AA209/E209*90)</f>
        <v/>
      </c>
      <c r="S209" t="str">
        <f t="array" ref="S209">IFERROR(INDEX('2023_24'!$O:$O,MATCH($A209,'2023_24'!$A:$A,0)),"")</f>
        <v/>
      </c>
      <c r="T209" t="str">
        <f>IFERROR(INDEX('2024_25'!$P:$P,MATCH($A209,'2024_25'!$A:$A,0)),"")</f>
        <v/>
      </c>
      <c r="U209" t="str">
        <f>IFERROR(INDEX('2025_26'!$P:$P,MATCH($A209,'2025_26'!$A:$A,0)),"")</f>
        <v/>
      </c>
      <c r="V209" t="str">
        <f>IFERROR(INDEX('2023_24'!$P:$P,MATCH($A209,'2023_24'!$A:$A,0)),"")</f>
        <v/>
      </c>
      <c r="W209" t="str">
        <f>IFERROR(INDEX('2024_25'!$Q:$Q,MATCH($A209,'2024_25'!$A:$A,0)),"")</f>
        <v/>
      </c>
      <c r="X209" t="str">
        <f>IFERROR(INDEX('2025_26'!$Q:$Q,MATCH($A209,'2025_26'!$A:$A,0)),"")</f>
        <v/>
      </c>
      <c r="Y209" t="str">
        <f>IFERROR(INDEX('2023_24'!$M:$M,MATCH($A209,'2023_24'!$A:$A,0))/INDEX('2023_24'!$G:$G,MATCH($A209,'2023_24'!$A:$A,0))*90,"")</f>
        <v/>
      </c>
      <c r="Z209" t="str">
        <f>IFERROR(INDEX('2024_25'!$M:$M,MATCH($A209,'2024_25'!$A:$A,0))/INDEX('2024_25'!$G:$G,MATCH($A209,'2024_25'!$A:$A,0))*90,"")</f>
        <v/>
      </c>
      <c r="AA209" t="str">
        <f>IFERROR(INDEX('2025_26'!$M:$M,MATCH($A209,'2025_26'!$A:$A,0))/INDEX('2025_26'!$G:$G,MATCH($A209,'2025_26'!$A:$A,0))*90,"")</f>
        <v/>
      </c>
      <c r="AB209" t="str">
        <f>IFERROR(SUMPRODUCT(S209:U209,{0.2,0.3,0.5})/SUMPRODUCT(--(S209:U209&lt;&gt;""),{0.2,0.3,0.5}),"")</f>
        <v/>
      </c>
      <c r="AC209" t="str">
        <f>IFERROR(SUMPRODUCT(V209:X209,{0.2,0.3,0.5})/SUMPRODUCT(--(V209:X209&lt;&gt;""),{0.2,0.3,0.5}),"")</f>
        <v/>
      </c>
      <c r="AD209" t="str">
        <f>IFERROR(SUMPRODUCT(Y209:AA209,{0.2,0.3,0.5})/SUMPRODUCT((Y209:AA209&lt;&gt;"")*{0.2,0.3,0.5}),O209)</f>
        <v/>
      </c>
      <c r="AE209">
        <f t="shared" si="83"/>
        <v>0</v>
      </c>
      <c r="AF209" t="str">
        <f t="shared" si="84"/>
        <v/>
      </c>
      <c r="AG209">
        <f t="shared" si="85"/>
        <v>0</v>
      </c>
      <c r="AH209">
        <f t="shared" si="86"/>
        <v>0</v>
      </c>
      <c r="AI209" s="2">
        <f t="shared" si="87"/>
        <v>0</v>
      </c>
      <c r="AJ209">
        <f t="shared" si="88"/>
        <v>0</v>
      </c>
      <c r="AK209" t="str">
        <f t="shared" si="89"/>
        <v>YES</v>
      </c>
      <c r="AL209">
        <f t="shared" si="90"/>
        <v>0</v>
      </c>
      <c r="AM209">
        <f t="shared" si="91"/>
        <v>0</v>
      </c>
      <c r="AN209">
        <f t="shared" si="92"/>
        <v>0</v>
      </c>
      <c r="AO209">
        <f t="shared" si="93"/>
        <v>0</v>
      </c>
      <c r="AP209">
        <f t="array" ref="AP209">AL209*IF($C209="GKP",10,IF($C209="DEF",6,IF($C209="MID",5,4)))</f>
        <v>0</v>
      </c>
      <c r="AQ209">
        <f t="shared" si="94"/>
        <v>0</v>
      </c>
      <c r="AR209">
        <f t="shared" si="95"/>
        <v>0</v>
      </c>
      <c r="AS209" s="2">
        <f>IF($H209=0,0,Player_Analysis!$AM209*$H209/90)</f>
        <v>0</v>
      </c>
      <c r="AT209">
        <f t="shared" si="96"/>
        <v>0</v>
      </c>
      <c r="AU209" s="2">
        <f>0</f>
        <v>0</v>
      </c>
      <c r="AV209" s="2" t="str">
        <f>IF(INDEX(FPL_Raw_Data!K:K,MATCH(A209,FPL_Raw_Data!AA:AA,0))=0,"",INDEX(FPL_Raw_Data!P:P,MATCH(A209,FPL_Raw_Data!AA:AA,0))/INDEX(FPL_Raw_Data!K:K,MATCH(A209,FPL_Raw_Data!AA:AA,0))*90)</f>
        <v/>
      </c>
      <c r="AW209" s="2">
        <f t="shared" si="97"/>
        <v>0</v>
      </c>
      <c r="AX209" s="2">
        <f>IFERROR(INDEX(TEAM_ANALYSIS!$H$2:$H$21,MATCH($B209,TEAM_ANALYSIS!$A$2:$A$21,0)),0)</f>
        <v>1.6666666666666667</v>
      </c>
      <c r="AY209" s="2">
        <f t="shared" si="98"/>
        <v>0</v>
      </c>
      <c r="AZ209" s="2">
        <f t="shared" si="99"/>
        <v>0</v>
      </c>
      <c r="BA209">
        <f t="shared" si="100"/>
        <v>0</v>
      </c>
      <c r="BB209">
        <f>IFERROR(Player_Analysis!$Y209,1)</f>
        <v>0.8</v>
      </c>
      <c r="BC209">
        <f t="shared" si="101"/>
        <v>0</v>
      </c>
      <c r="BD209">
        <f t="shared" si="102"/>
        <v>0</v>
      </c>
      <c r="BE209">
        <f t="shared" si="103"/>
        <v>0</v>
      </c>
      <c r="BF209">
        <f t="shared" si="104"/>
        <v>253</v>
      </c>
      <c r="BG209">
        <f>IF($BE209="","",COUNTIFS($C$2:$C$596,$C209,$BE$2:$BE$596,"&gt;"&amp;$BE209)+COUNTIFS($C$2:$C209,$C209,$BE$2:$BE209,$BE209))</f>
        <v>162</v>
      </c>
    </row>
    <row r="210" spans="1:59" x14ac:dyDescent="0.25">
      <c r="A210" t="str">
        <f>Player_Analysis!A210</f>
        <v>Victor Torp</v>
      </c>
      <c r="B210">
        <f>Player_Analysis!C210</f>
        <v>7</v>
      </c>
      <c r="C210" t="str">
        <f>Player_Analysis!B210</f>
        <v>MID</v>
      </c>
      <c r="D210" s="13">
        <f>Player_Analysis!E210</f>
        <v>5.4</v>
      </c>
      <c r="E210">
        <f>Player_Analysis!I210</f>
        <v>47</v>
      </c>
      <c r="F210" s="8">
        <f>Player_Analysis!Z210</f>
        <v>0</v>
      </c>
      <c r="G210" s="17">
        <f t="shared" si="79"/>
        <v>0</v>
      </c>
      <c r="H210">
        <f t="shared" si="80"/>
        <v>0</v>
      </c>
      <c r="I210" s="8">
        <f>Player_Analysis!AF210</f>
        <v>0</v>
      </c>
      <c r="J210" s="8">
        <f>Player_Analysis!AG210</f>
        <v>0</v>
      </c>
      <c r="K210">
        <f>Player_Analysis!O210</f>
        <v>0</v>
      </c>
      <c r="L210">
        <f>Player_Analysis!P210</f>
        <v>0.12</v>
      </c>
      <c r="M210">
        <f t="shared" si="81"/>
        <v>0</v>
      </c>
      <c r="N210">
        <f t="shared" si="82"/>
        <v>0.22978723404255319</v>
      </c>
      <c r="O210" s="2">
        <f>IF(E210=0,"",Player_Analysis!L210/E210*90)</f>
        <v>3.8297872340425529</v>
      </c>
      <c r="P210">
        <f>IF(E210=0,"",Player_Analysis!Q210/E210*90)</f>
        <v>0.22978723404255319</v>
      </c>
      <c r="Q210">
        <f>IF(E210=0,"",(Player_Analysis!AD210/E210)*90)</f>
        <v>19.148936170212767</v>
      </c>
      <c r="R210">
        <f>IF(E210=0,"",Player_Analysis!AA210/E210*90)</f>
        <v>5.744680851063829</v>
      </c>
      <c r="S210" t="str">
        <f t="array" ref="S210">IFERROR(INDEX('2023_24'!$O:$O,MATCH($A210,'2023_24'!$A:$A,0)),"")</f>
        <v/>
      </c>
      <c r="T210" t="str">
        <f>IFERROR(INDEX('2024_25'!$P:$P,MATCH($A210,'2024_25'!$A:$A,0)),"")</f>
        <v/>
      </c>
      <c r="U210" t="str">
        <f>IFERROR(INDEX('2025_26'!$P:$P,MATCH($A210,'2025_26'!$A:$A,0)),"")</f>
        <v/>
      </c>
      <c r="V210" t="str">
        <f>IFERROR(INDEX('2023_24'!$P:$P,MATCH($A210,'2023_24'!$A:$A,0)),"")</f>
        <v/>
      </c>
      <c r="W210" t="str">
        <f>IFERROR(INDEX('2024_25'!$Q:$Q,MATCH($A210,'2024_25'!$A:$A,0)),"")</f>
        <v/>
      </c>
      <c r="X210" t="str">
        <f>IFERROR(INDEX('2025_26'!$Q:$Q,MATCH($A210,'2025_26'!$A:$A,0)),"")</f>
        <v/>
      </c>
      <c r="Y210" t="str">
        <f>IFERROR(INDEX('2023_24'!$M:$M,MATCH($A210,'2023_24'!$A:$A,0))/INDEX('2023_24'!$G:$G,MATCH($A210,'2023_24'!$A:$A,0))*90,"")</f>
        <v/>
      </c>
      <c r="Z210" t="str">
        <f>IFERROR(INDEX('2024_25'!$M:$M,MATCH($A210,'2024_25'!$A:$A,0))/INDEX('2024_25'!$G:$G,MATCH($A210,'2024_25'!$A:$A,0))*90,"")</f>
        <v/>
      </c>
      <c r="AA210" t="str">
        <f>IFERROR(INDEX('2025_26'!$M:$M,MATCH($A210,'2025_26'!$A:$A,0))/INDEX('2025_26'!$G:$G,MATCH($A210,'2025_26'!$A:$A,0))*90,"")</f>
        <v/>
      </c>
      <c r="AB210" t="str">
        <f>IFERROR(SUMPRODUCT(S210:U210,{0.2,0.3,0.5})/SUMPRODUCT(--(S210:U210&lt;&gt;""),{0.2,0.3,0.5}),"")</f>
        <v/>
      </c>
      <c r="AC210" t="str">
        <f>IFERROR(SUMPRODUCT(V210:X210,{0.2,0.3,0.5})/SUMPRODUCT(--(V210:X210&lt;&gt;""),{0.2,0.3,0.5}),"")</f>
        <v/>
      </c>
      <c r="AD210">
        <f>IFERROR(SUMPRODUCT(Y210:AA210,{0.2,0.3,0.5})/SUMPRODUCT((Y210:AA210&lt;&gt;"")*{0.2,0.3,0.5}),O210)</f>
        <v>3.8297872340425529</v>
      </c>
      <c r="AE210">
        <f t="shared" si="83"/>
        <v>0</v>
      </c>
      <c r="AF210" t="str">
        <f t="shared" si="84"/>
        <v/>
      </c>
      <c r="AG210">
        <f t="shared" si="85"/>
        <v>0</v>
      </c>
      <c r="AH210">
        <f t="shared" si="86"/>
        <v>0.22978723404255319</v>
      </c>
      <c r="AI210" s="2">
        <f t="shared" si="87"/>
        <v>3.8297872340425529</v>
      </c>
      <c r="AJ210">
        <f t="shared" si="88"/>
        <v>0.15666666666666668</v>
      </c>
      <c r="AK210" t="str">
        <f t="shared" si="89"/>
        <v>YES</v>
      </c>
      <c r="AL210">
        <f t="shared" si="90"/>
        <v>0</v>
      </c>
      <c r="AM210">
        <f t="shared" si="91"/>
        <v>0</v>
      </c>
      <c r="AN210">
        <f t="shared" si="92"/>
        <v>0</v>
      </c>
      <c r="AO210">
        <f t="shared" si="93"/>
        <v>0</v>
      </c>
      <c r="AP210">
        <f t="array" ref="AP210">AL210*IF($C210="GKP",10,IF($C210="DEF",6,IF($C210="MID",5,4)))</f>
        <v>0</v>
      </c>
      <c r="AQ210">
        <f t="shared" si="94"/>
        <v>0</v>
      </c>
      <c r="AR210">
        <f t="shared" si="95"/>
        <v>0</v>
      </c>
      <c r="AS210" s="2">
        <f>IF($H210=0,0,Player_Analysis!$AM210*$H210/90)</f>
        <v>0</v>
      </c>
      <c r="AT210">
        <f t="shared" si="96"/>
        <v>0</v>
      </c>
      <c r="AU210" s="2">
        <f>0</f>
        <v>0</v>
      </c>
      <c r="AV210" s="2">
        <f>IF(INDEX(FPL_Raw_Data!K:K,MATCH(A210,FPL_Raw_Data!AA:AA,0))=0,"",INDEX(FPL_Raw_Data!P:P,MATCH(A210,FPL_Raw_Data!AA:AA,0))/INDEX(FPL_Raw_Data!K:K,MATCH(A210,FPL_Raw_Data!AA:AA,0))*90)</f>
        <v>0</v>
      </c>
      <c r="AW210" s="2">
        <f t="shared" si="97"/>
        <v>0</v>
      </c>
      <c r="AX210" s="2">
        <f>IFERROR(INDEX(TEAM_ANALYSIS!$H$2:$H$21,MATCH($B210,TEAM_ANALYSIS!$A$2:$A$21,0)),0)</f>
        <v>1.6666666666666667</v>
      </c>
      <c r="AY210" s="2">
        <f t="shared" si="98"/>
        <v>0</v>
      </c>
      <c r="AZ210" s="2">
        <f t="shared" si="99"/>
        <v>0</v>
      </c>
      <c r="BA210">
        <f t="shared" si="100"/>
        <v>0</v>
      </c>
      <c r="BB210">
        <f>IFERROR(Player_Analysis!$Y210,1)</f>
        <v>0.8</v>
      </c>
      <c r="BC210">
        <f t="shared" si="101"/>
        <v>0</v>
      </c>
      <c r="BD210">
        <f t="shared" si="102"/>
        <v>0</v>
      </c>
      <c r="BE210">
        <f t="shared" si="103"/>
        <v>0</v>
      </c>
      <c r="BF210">
        <f t="shared" si="104"/>
        <v>253</v>
      </c>
      <c r="BG210">
        <f>IF($BE210="","",COUNTIFS($C$2:$C$596,$C210,$BE$2:$BE$596,"&gt;"&amp;$BE210)+COUNTIFS($C$2:$C210,$C210,$BE$2:$BE210,$BE210))</f>
        <v>163</v>
      </c>
    </row>
    <row r="211" spans="1:59" x14ac:dyDescent="0.25">
      <c r="A211" t="str">
        <f>Player_Analysis!A211</f>
        <v>George Shepherd</v>
      </c>
      <c r="B211">
        <f>Player_Analysis!C211</f>
        <v>7</v>
      </c>
      <c r="C211" t="str">
        <f>Player_Analysis!B211</f>
        <v>MID</v>
      </c>
      <c r="D211" s="13">
        <f>Player_Analysis!E211</f>
        <v>4.5</v>
      </c>
      <c r="E211">
        <f>Player_Analysis!I211</f>
        <v>0</v>
      </c>
      <c r="F211" s="8">
        <f>Player_Analysis!Z211</f>
        <v>0</v>
      </c>
      <c r="G211" s="17">
        <f t="shared" si="79"/>
        <v>0</v>
      </c>
      <c r="H211">
        <f t="shared" si="80"/>
        <v>0</v>
      </c>
      <c r="I211" s="8">
        <f>Player_Analysis!AF211</f>
        <v>0</v>
      </c>
      <c r="J211" s="8">
        <f>Player_Analysis!AG211</f>
        <v>0</v>
      </c>
      <c r="K211">
        <f>Player_Analysis!O211</f>
        <v>0</v>
      </c>
      <c r="L211">
        <f>Player_Analysis!P211</f>
        <v>0</v>
      </c>
      <c r="M211" t="str">
        <f t="shared" si="81"/>
        <v/>
      </c>
      <c r="N211" t="str">
        <f t="shared" si="82"/>
        <v/>
      </c>
      <c r="O211" s="2" t="str">
        <f>IF(E211=0,"",Player_Analysis!L211/E211*90)</f>
        <v/>
      </c>
      <c r="P211" t="str">
        <f>IF(E211=0,"",Player_Analysis!Q211/E211*90)</f>
        <v/>
      </c>
      <c r="Q211" t="str">
        <f>IF(E211=0,"",(Player_Analysis!AD211/E211)*90)</f>
        <v/>
      </c>
      <c r="R211" t="str">
        <f>IF(E211=0,"",Player_Analysis!AA211/E211*90)</f>
        <v/>
      </c>
      <c r="S211" t="str">
        <f t="array" ref="S211">IFERROR(INDEX('2023_24'!$O:$O,MATCH($A211,'2023_24'!$A:$A,0)),"")</f>
        <v/>
      </c>
      <c r="T211" t="str">
        <f>IFERROR(INDEX('2024_25'!$P:$P,MATCH($A211,'2024_25'!$A:$A,0)),"")</f>
        <v/>
      </c>
      <c r="U211" t="str">
        <f>IFERROR(INDEX('2025_26'!$P:$P,MATCH($A211,'2025_26'!$A:$A,0)),"")</f>
        <v/>
      </c>
      <c r="V211" t="str">
        <f>IFERROR(INDEX('2023_24'!$P:$P,MATCH($A211,'2023_24'!$A:$A,0)),"")</f>
        <v/>
      </c>
      <c r="W211" t="str">
        <f>IFERROR(INDEX('2024_25'!$Q:$Q,MATCH($A211,'2024_25'!$A:$A,0)),"")</f>
        <v/>
      </c>
      <c r="X211" t="str">
        <f>IFERROR(INDEX('2025_26'!$Q:$Q,MATCH($A211,'2025_26'!$A:$A,0)),"")</f>
        <v/>
      </c>
      <c r="Y211" t="str">
        <f>IFERROR(INDEX('2023_24'!$M:$M,MATCH($A211,'2023_24'!$A:$A,0))/INDEX('2023_24'!$G:$G,MATCH($A211,'2023_24'!$A:$A,0))*90,"")</f>
        <v/>
      </c>
      <c r="Z211" t="str">
        <f>IFERROR(INDEX('2024_25'!$M:$M,MATCH($A211,'2024_25'!$A:$A,0))/INDEX('2024_25'!$G:$G,MATCH($A211,'2024_25'!$A:$A,0))*90,"")</f>
        <v/>
      </c>
      <c r="AA211" t="str">
        <f>IFERROR(INDEX('2025_26'!$M:$M,MATCH($A211,'2025_26'!$A:$A,0))/INDEX('2025_26'!$G:$G,MATCH($A211,'2025_26'!$A:$A,0))*90,"")</f>
        <v/>
      </c>
      <c r="AB211" t="str">
        <f>IFERROR(SUMPRODUCT(S211:U211,{0.2,0.3,0.5})/SUMPRODUCT(--(S211:U211&lt;&gt;""),{0.2,0.3,0.5}),"")</f>
        <v/>
      </c>
      <c r="AC211" t="str">
        <f>IFERROR(SUMPRODUCT(V211:X211,{0.2,0.3,0.5})/SUMPRODUCT(--(V211:X211&lt;&gt;""),{0.2,0.3,0.5}),"")</f>
        <v/>
      </c>
      <c r="AD211" t="str">
        <f>IFERROR(SUMPRODUCT(Y211:AA211,{0.2,0.3,0.5})/SUMPRODUCT((Y211:AA211&lt;&gt;"")*{0.2,0.3,0.5}),O211)</f>
        <v/>
      </c>
      <c r="AE211">
        <f t="shared" si="83"/>
        <v>0</v>
      </c>
      <c r="AF211" t="str">
        <f t="shared" si="84"/>
        <v/>
      </c>
      <c r="AG211">
        <f t="shared" si="85"/>
        <v>0</v>
      </c>
      <c r="AH211">
        <f t="shared" si="86"/>
        <v>0</v>
      </c>
      <c r="AI211" s="2">
        <f t="shared" si="87"/>
        <v>0</v>
      </c>
      <c r="AJ211">
        <f t="shared" si="88"/>
        <v>0</v>
      </c>
      <c r="AK211" t="str">
        <f t="shared" si="89"/>
        <v>YES</v>
      </c>
      <c r="AL211">
        <f t="shared" si="90"/>
        <v>0</v>
      </c>
      <c r="AM211">
        <f t="shared" si="91"/>
        <v>0</v>
      </c>
      <c r="AN211">
        <f t="shared" si="92"/>
        <v>0</v>
      </c>
      <c r="AO211">
        <f t="shared" si="93"/>
        <v>0</v>
      </c>
      <c r="AP211">
        <f t="array" ref="AP211">AL211*IF($C211="GKP",10,IF($C211="DEF",6,IF($C211="MID",5,4)))</f>
        <v>0</v>
      </c>
      <c r="AQ211">
        <f t="shared" si="94"/>
        <v>0</v>
      </c>
      <c r="AR211">
        <f t="shared" si="95"/>
        <v>0</v>
      </c>
      <c r="AS211" s="2">
        <f>IF($H211=0,0,Player_Analysis!$AM211*$H211/90)</f>
        <v>0</v>
      </c>
      <c r="AT211">
        <f t="shared" si="96"/>
        <v>0</v>
      </c>
      <c r="AU211" s="2">
        <f>0</f>
        <v>0</v>
      </c>
      <c r="AV211" s="2" t="str">
        <f>IF(INDEX(FPL_Raw_Data!K:K,MATCH(A211,FPL_Raw_Data!AA:AA,0))=0,"",INDEX(FPL_Raw_Data!P:P,MATCH(A211,FPL_Raw_Data!AA:AA,0))/INDEX(FPL_Raw_Data!K:K,MATCH(A211,FPL_Raw_Data!AA:AA,0))*90)</f>
        <v/>
      </c>
      <c r="AW211" s="2">
        <f t="shared" si="97"/>
        <v>0</v>
      </c>
      <c r="AX211" s="2">
        <f>IFERROR(INDEX(TEAM_ANALYSIS!$H$2:$H$21,MATCH($B211,TEAM_ANALYSIS!$A$2:$A$21,0)),0)</f>
        <v>1.6666666666666667</v>
      </c>
      <c r="AY211" s="2">
        <f t="shared" si="98"/>
        <v>0</v>
      </c>
      <c r="AZ211" s="2">
        <f t="shared" si="99"/>
        <v>0</v>
      </c>
      <c r="BA211">
        <f t="shared" si="100"/>
        <v>0</v>
      </c>
      <c r="BB211">
        <f>IFERROR(Player_Analysis!$Y211,1)</f>
        <v>0.8</v>
      </c>
      <c r="BC211">
        <f t="shared" si="101"/>
        <v>0</v>
      </c>
      <c r="BD211">
        <f t="shared" si="102"/>
        <v>0</v>
      </c>
      <c r="BE211">
        <f t="shared" si="103"/>
        <v>0</v>
      </c>
      <c r="BF211">
        <f t="shared" si="104"/>
        <v>253</v>
      </c>
      <c r="BG211">
        <f>IF($BE211="","",COUNTIFS($C$2:$C$596,$C211,$BE$2:$BE$596,"&gt;"&amp;$BE211)+COUNTIFS($C$2:$C211,$C211,$BE$2:$BE211,$BE211))</f>
        <v>164</v>
      </c>
    </row>
    <row r="212" spans="1:59" x14ac:dyDescent="0.25">
      <c r="A212" t="str">
        <f>Player_Analysis!A212</f>
        <v>Loum Tchaouna</v>
      </c>
      <c r="B212">
        <f>Player_Analysis!C212</f>
        <v>7</v>
      </c>
      <c r="C212" t="str">
        <f>Player_Analysis!B212</f>
        <v>MID</v>
      </c>
      <c r="D212" s="13">
        <f>Player_Analysis!E212</f>
        <v>5.5</v>
      </c>
      <c r="E212">
        <f>Player_Analysis!I212</f>
        <v>166</v>
      </c>
      <c r="F212" s="8">
        <f>Player_Analysis!Z212</f>
        <v>2</v>
      </c>
      <c r="G212" s="17">
        <f t="shared" si="79"/>
        <v>1</v>
      </c>
      <c r="H212">
        <f t="shared" si="80"/>
        <v>90</v>
      </c>
      <c r="I212" s="8">
        <f>Player_Analysis!AF212</f>
        <v>0</v>
      </c>
      <c r="J212" s="8">
        <f>Player_Analysis!AG212</f>
        <v>0</v>
      </c>
      <c r="K212">
        <f>Player_Analysis!O212</f>
        <v>0.19</v>
      </c>
      <c r="L212">
        <f>Player_Analysis!P212</f>
        <v>0.18</v>
      </c>
      <c r="M212">
        <f t="shared" si="81"/>
        <v>0.10301204819277109</v>
      </c>
      <c r="N212">
        <f t="shared" si="82"/>
        <v>9.7590361445783133E-2</v>
      </c>
      <c r="O212" s="2">
        <f>IF(E212=0,"",Player_Analysis!L212/E212*90)</f>
        <v>2.168674698795181</v>
      </c>
      <c r="P212">
        <f>IF(E212=0,"",Player_Analysis!Q212/E212*90)</f>
        <v>0.20060240963855422</v>
      </c>
      <c r="Q212">
        <f>IF(E212=0,"",(Player_Analysis!AD212/E212)*90)</f>
        <v>14.638554216867469</v>
      </c>
      <c r="R212">
        <f>IF(E212=0,"",Player_Analysis!AA212/E212*90)</f>
        <v>8.1325301204819276</v>
      </c>
      <c r="S212" t="str">
        <f t="array" ref="S212">IFERROR(INDEX('2023_24'!$O:$O,MATCH($A212,'2023_24'!$A:$A,0)),"")</f>
        <v/>
      </c>
      <c r="T212" t="str">
        <f>IFERROR(INDEX('2024_25'!$P:$P,MATCH($A212,'2024_25'!$A:$A,0)),"")</f>
        <v/>
      </c>
      <c r="U212">
        <f>IFERROR(INDEX('2025_26'!$P:$P,MATCH($A212,'2025_26'!$A:$A,0)),"")</f>
        <v>9.0786338363780777E-2</v>
      </c>
      <c r="V212" t="str">
        <f>IFERROR(INDEX('2023_24'!$P:$P,MATCH($A212,'2023_24'!$A:$A,0)),"")</f>
        <v/>
      </c>
      <c r="W212" t="str">
        <f>IFERROR(INDEX('2024_25'!$Q:$Q,MATCH($A212,'2024_25'!$A:$A,0)),"")</f>
        <v/>
      </c>
      <c r="X212">
        <f>IFERROR(INDEX('2025_26'!$Q:$Q,MATCH($A212,'2025_26'!$A:$A,0)),"")</f>
        <v>6.5051628276409854E-2</v>
      </c>
      <c r="Y212" t="str">
        <f>IFERROR(INDEX('2023_24'!$M:$M,MATCH($A212,'2023_24'!$A:$A,0))/INDEX('2023_24'!$G:$G,MATCH($A212,'2023_24'!$A:$A,0))*90,"")</f>
        <v/>
      </c>
      <c r="Z212" t="str">
        <f>IFERROR(INDEX('2024_25'!$M:$M,MATCH($A212,'2024_25'!$A:$A,0))/INDEX('2024_25'!$G:$G,MATCH($A212,'2024_25'!$A:$A,0))*90,"")</f>
        <v/>
      </c>
      <c r="AA212">
        <f>IFERROR(INDEX('2025_26'!$M:$M,MATCH($A212,'2025_26'!$A:$A,0))/INDEX('2025_26'!$G:$G,MATCH($A212,'2025_26'!$A:$A,0))*90,"")</f>
        <v>4.2176330420969022</v>
      </c>
      <c r="AB212">
        <f>IFERROR(SUMPRODUCT(S212:U212,{0.2,0.3,0.5})/SUMPRODUCT(--(S212:U212&lt;&gt;""),{0.2,0.3,0.5}),"")</f>
        <v>9.0786338363780777E-2</v>
      </c>
      <c r="AC212">
        <f>IFERROR(SUMPRODUCT(V212:X212,{0.2,0.3,0.5})/SUMPRODUCT(--(V212:X212&lt;&gt;""),{0.2,0.3,0.5}),"")</f>
        <v>6.5051628276409854E-2</v>
      </c>
      <c r="AD212">
        <f>IFERROR(SUMPRODUCT(Y212:AA212,{0.2,0.3,0.5})/SUMPRODUCT((Y212:AA212&lt;&gt;"")*{0.2,0.3,0.5}),O212)</f>
        <v>4.2176330420969022</v>
      </c>
      <c r="AE212">
        <f t="shared" si="83"/>
        <v>1</v>
      </c>
      <c r="AF212">
        <f t="shared" si="84"/>
        <v>83</v>
      </c>
      <c r="AG212">
        <f t="shared" si="85"/>
        <v>9.7551231135822092E-2</v>
      </c>
      <c r="AH212">
        <f t="shared" si="86"/>
        <v>8.3056393963463065E-2</v>
      </c>
      <c r="AI212" s="2">
        <f t="shared" si="87"/>
        <v>3.0838760921366166</v>
      </c>
      <c r="AJ212">
        <f t="shared" si="88"/>
        <v>0.55333333333333334</v>
      </c>
      <c r="AK212" t="str">
        <f t="shared" si="89"/>
        <v>NO</v>
      </c>
      <c r="AL212">
        <f t="shared" si="90"/>
        <v>9.7551231135822092E-2</v>
      </c>
      <c r="AM212">
        <f t="shared" si="91"/>
        <v>8.3056393963463065E-2</v>
      </c>
      <c r="AN212">
        <f t="shared" si="92"/>
        <v>9.7551231135822092E-2</v>
      </c>
      <c r="AO212">
        <f t="shared" si="93"/>
        <v>8.3056393963463065E-2</v>
      </c>
      <c r="AP212">
        <f t="array" ref="AP212">AL212*IF($C212="GKP",10,IF($C212="DEF",6,IF($C212="MID",5,4)))</f>
        <v>0.48775615567911046</v>
      </c>
      <c r="AQ212">
        <f t="shared" si="94"/>
        <v>0.2491691818903892</v>
      </c>
      <c r="AR212">
        <f t="shared" si="95"/>
        <v>2</v>
      </c>
      <c r="AS212" s="2">
        <f>IF($H212=0,0,Player_Analysis!$AM212*$H212/90)</f>
        <v>0</v>
      </c>
      <c r="AT212">
        <f t="shared" si="96"/>
        <v>1.3554216867469879</v>
      </c>
      <c r="AU212" s="2">
        <f>0</f>
        <v>0</v>
      </c>
      <c r="AV212" s="2">
        <f>IF(INDEX(FPL_Raw_Data!K:K,MATCH(A212,FPL_Raw_Data!AA:AA,0))=0,"",INDEX(FPL_Raw_Data!P:P,MATCH(A212,FPL_Raw_Data!AA:AA,0))/INDEX(FPL_Raw_Data!K:K,MATCH(A212,FPL_Raw_Data!AA:AA,0))*90)</f>
        <v>0</v>
      </c>
      <c r="AW212" s="2">
        <f t="shared" si="97"/>
        <v>0</v>
      </c>
      <c r="AX212" s="2">
        <f>IFERROR(INDEX(TEAM_ANALYSIS!$H$2:$H$21,MATCH($B212,TEAM_ANALYSIS!$A$2:$A$21,0)),0)</f>
        <v>1.6666666666666667</v>
      </c>
      <c r="AY212" s="2">
        <f t="shared" si="98"/>
        <v>0</v>
      </c>
      <c r="AZ212" s="2">
        <f t="shared" si="99"/>
        <v>4.0923470243164877</v>
      </c>
      <c r="BA212">
        <f t="shared" si="100"/>
        <v>0.74406309533027049</v>
      </c>
      <c r="BB212">
        <f>IFERROR(Player_Analysis!$Y212,1)</f>
        <v>0.8</v>
      </c>
      <c r="BC212">
        <f t="shared" si="101"/>
        <v>3.2738776194531902</v>
      </c>
      <c r="BD212">
        <f t="shared" si="102"/>
        <v>2.4359715152628381</v>
      </c>
      <c r="BE212">
        <f t="shared" si="103"/>
        <v>3.2738776194531902</v>
      </c>
      <c r="BF212">
        <f t="shared" si="104"/>
        <v>188</v>
      </c>
      <c r="BG212">
        <f>IF($BE212="","",COUNTIFS($C$2:$C$596,$C212,$BE$2:$BE$596,"&gt;"&amp;$BE212)+COUNTIFS($C$2:$C212,$C212,$BE$2:$BE212,$BE212))</f>
        <v>98</v>
      </c>
    </row>
    <row r="213" spans="1:59" x14ac:dyDescent="0.25">
      <c r="A213" t="str">
        <f>Player_Analysis!A213</f>
        <v>Raphael Borges Rodrigues</v>
      </c>
      <c r="B213">
        <f>Player_Analysis!C213</f>
        <v>7</v>
      </c>
      <c r="C213" t="str">
        <f>Player_Analysis!B213</f>
        <v>MID</v>
      </c>
      <c r="D213" s="13">
        <f>Player_Analysis!E213</f>
        <v>4.5</v>
      </c>
      <c r="E213">
        <f>Player_Analysis!I213</f>
        <v>0</v>
      </c>
      <c r="F213" s="8">
        <f>Player_Analysis!Z213</f>
        <v>0</v>
      </c>
      <c r="G213" s="17">
        <f t="shared" si="79"/>
        <v>0</v>
      </c>
      <c r="H213">
        <f t="shared" si="80"/>
        <v>0</v>
      </c>
      <c r="I213" s="8">
        <f>Player_Analysis!AF213</f>
        <v>0</v>
      </c>
      <c r="J213" s="8">
        <f>Player_Analysis!AG213</f>
        <v>0</v>
      </c>
      <c r="K213">
        <f>Player_Analysis!O213</f>
        <v>0</v>
      </c>
      <c r="L213">
        <f>Player_Analysis!P213</f>
        <v>0</v>
      </c>
      <c r="M213" t="str">
        <f t="shared" si="81"/>
        <v/>
      </c>
      <c r="N213" t="str">
        <f t="shared" si="82"/>
        <v/>
      </c>
      <c r="O213" s="2" t="str">
        <f>IF(E213=0,"",Player_Analysis!L213/E213*90)</f>
        <v/>
      </c>
      <c r="P213" t="str">
        <f>IF(E213=0,"",Player_Analysis!Q213/E213*90)</f>
        <v/>
      </c>
      <c r="Q213" t="str">
        <f>IF(E213=0,"",(Player_Analysis!AD213/E213)*90)</f>
        <v/>
      </c>
      <c r="R213" t="str">
        <f>IF(E213=0,"",Player_Analysis!AA213/E213*90)</f>
        <v/>
      </c>
      <c r="S213" t="str">
        <f t="array" ref="S213">IFERROR(INDEX('2023_24'!$O:$O,MATCH($A213,'2023_24'!$A:$A,0)),"")</f>
        <v/>
      </c>
      <c r="T213" t="str">
        <f>IFERROR(INDEX('2024_25'!$P:$P,MATCH($A213,'2024_25'!$A:$A,0)),"")</f>
        <v/>
      </c>
      <c r="U213" t="str">
        <f>IFERROR(INDEX('2025_26'!$P:$P,MATCH($A213,'2025_26'!$A:$A,0)),"")</f>
        <v/>
      </c>
      <c r="V213" t="str">
        <f>IFERROR(INDEX('2023_24'!$P:$P,MATCH($A213,'2023_24'!$A:$A,0)),"")</f>
        <v/>
      </c>
      <c r="W213" t="str">
        <f>IFERROR(INDEX('2024_25'!$Q:$Q,MATCH($A213,'2024_25'!$A:$A,0)),"")</f>
        <v/>
      </c>
      <c r="X213" t="str">
        <f>IFERROR(INDEX('2025_26'!$Q:$Q,MATCH($A213,'2025_26'!$A:$A,0)),"")</f>
        <v/>
      </c>
      <c r="Y213" t="str">
        <f>IFERROR(INDEX('2023_24'!$M:$M,MATCH($A213,'2023_24'!$A:$A,0))/INDEX('2023_24'!$G:$G,MATCH($A213,'2023_24'!$A:$A,0))*90,"")</f>
        <v/>
      </c>
      <c r="Z213" t="str">
        <f>IFERROR(INDEX('2024_25'!$M:$M,MATCH($A213,'2024_25'!$A:$A,0))/INDEX('2024_25'!$G:$G,MATCH($A213,'2024_25'!$A:$A,0))*90,"")</f>
        <v/>
      </c>
      <c r="AA213" t="str">
        <f>IFERROR(INDEX('2025_26'!$M:$M,MATCH($A213,'2025_26'!$A:$A,0))/INDEX('2025_26'!$G:$G,MATCH($A213,'2025_26'!$A:$A,0))*90,"")</f>
        <v/>
      </c>
      <c r="AB213" t="str">
        <f>IFERROR(SUMPRODUCT(S213:U213,{0.2,0.3,0.5})/SUMPRODUCT(--(S213:U213&lt;&gt;""),{0.2,0.3,0.5}),"")</f>
        <v/>
      </c>
      <c r="AC213" t="str">
        <f>IFERROR(SUMPRODUCT(V213:X213,{0.2,0.3,0.5})/SUMPRODUCT(--(V213:X213&lt;&gt;""),{0.2,0.3,0.5}),"")</f>
        <v/>
      </c>
      <c r="AD213" t="str">
        <f>IFERROR(SUMPRODUCT(Y213:AA213,{0.2,0.3,0.5})/SUMPRODUCT((Y213:AA213&lt;&gt;"")*{0.2,0.3,0.5}),O213)</f>
        <v/>
      </c>
      <c r="AE213">
        <f t="shared" si="83"/>
        <v>0</v>
      </c>
      <c r="AF213" t="str">
        <f t="shared" si="84"/>
        <v/>
      </c>
      <c r="AG213">
        <f t="shared" si="85"/>
        <v>0</v>
      </c>
      <c r="AH213">
        <f t="shared" si="86"/>
        <v>0</v>
      </c>
      <c r="AI213" s="2">
        <f t="shared" si="87"/>
        <v>0</v>
      </c>
      <c r="AJ213">
        <f t="shared" si="88"/>
        <v>0</v>
      </c>
      <c r="AK213" t="str">
        <f t="shared" si="89"/>
        <v>YES</v>
      </c>
      <c r="AL213">
        <f t="shared" si="90"/>
        <v>0</v>
      </c>
      <c r="AM213">
        <f t="shared" si="91"/>
        <v>0</v>
      </c>
      <c r="AN213">
        <f t="shared" si="92"/>
        <v>0</v>
      </c>
      <c r="AO213">
        <f t="shared" si="93"/>
        <v>0</v>
      </c>
      <c r="AP213">
        <f t="array" ref="AP213">AL213*IF($C213="GKP",10,IF($C213="DEF",6,IF($C213="MID",5,4)))</f>
        <v>0</v>
      </c>
      <c r="AQ213">
        <f t="shared" si="94"/>
        <v>0</v>
      </c>
      <c r="AR213">
        <f t="shared" si="95"/>
        <v>0</v>
      </c>
      <c r="AS213" s="2">
        <f>IF($H213=0,0,Player_Analysis!$AM213*$H213/90)</f>
        <v>0</v>
      </c>
      <c r="AT213">
        <f t="shared" si="96"/>
        <v>0</v>
      </c>
      <c r="AU213" s="2">
        <f>0</f>
        <v>0</v>
      </c>
      <c r="AV213" s="2" t="str">
        <f>IF(INDEX(FPL_Raw_Data!K:K,MATCH(A213,FPL_Raw_Data!AA:AA,0))=0,"",INDEX(FPL_Raw_Data!P:P,MATCH(A213,FPL_Raw_Data!AA:AA,0))/INDEX(FPL_Raw_Data!K:K,MATCH(A213,FPL_Raw_Data!AA:AA,0))*90)</f>
        <v/>
      </c>
      <c r="AW213" s="2">
        <f t="shared" si="97"/>
        <v>0</v>
      </c>
      <c r="AX213" s="2">
        <f>IFERROR(INDEX(TEAM_ANALYSIS!$H$2:$H$21,MATCH($B213,TEAM_ANALYSIS!$A$2:$A$21,0)),0)</f>
        <v>1.6666666666666667</v>
      </c>
      <c r="AY213" s="2">
        <f t="shared" si="98"/>
        <v>0</v>
      </c>
      <c r="AZ213" s="2">
        <f t="shared" si="99"/>
        <v>0</v>
      </c>
      <c r="BA213">
        <f t="shared" si="100"/>
        <v>0</v>
      </c>
      <c r="BB213">
        <f>IFERROR(Player_Analysis!$Y213,1)</f>
        <v>0.8</v>
      </c>
      <c r="BC213">
        <f t="shared" si="101"/>
        <v>0</v>
      </c>
      <c r="BD213">
        <f t="shared" si="102"/>
        <v>0</v>
      </c>
      <c r="BE213">
        <f t="shared" si="103"/>
        <v>0</v>
      </c>
      <c r="BF213">
        <f t="shared" si="104"/>
        <v>253</v>
      </c>
      <c r="BG213">
        <f>IF($BE213="","",COUNTIFS($C$2:$C$596,$C213,$BE$2:$BE$596,"&gt;"&amp;$BE213)+COUNTIFS($C$2:$C213,$C213,$BE$2:$BE213,$BE213))</f>
        <v>165</v>
      </c>
    </row>
    <row r="214" spans="1:59" x14ac:dyDescent="0.25">
      <c r="A214" t="str">
        <f>Player_Analysis!A214</f>
        <v>Kai Andrews</v>
      </c>
      <c r="B214">
        <f>Player_Analysis!C214</f>
        <v>7</v>
      </c>
      <c r="C214" t="str">
        <f>Player_Analysis!B214</f>
        <v>MID</v>
      </c>
      <c r="D214" s="13">
        <f>Player_Analysis!E214</f>
        <v>4.5</v>
      </c>
      <c r="E214">
        <f>Player_Analysis!I214</f>
        <v>0</v>
      </c>
      <c r="F214" s="8">
        <f>Player_Analysis!Z214</f>
        <v>0</v>
      </c>
      <c r="G214" s="17">
        <f t="shared" si="79"/>
        <v>0</v>
      </c>
      <c r="H214">
        <f t="shared" si="80"/>
        <v>0</v>
      </c>
      <c r="I214" s="8">
        <f>Player_Analysis!AF214</f>
        <v>0</v>
      </c>
      <c r="J214" s="8">
        <f>Player_Analysis!AG214</f>
        <v>0</v>
      </c>
      <c r="K214">
        <f>Player_Analysis!O214</f>
        <v>0</v>
      </c>
      <c r="L214">
        <f>Player_Analysis!P214</f>
        <v>0</v>
      </c>
      <c r="M214" t="str">
        <f t="shared" si="81"/>
        <v/>
      </c>
      <c r="N214" t="str">
        <f t="shared" si="82"/>
        <v/>
      </c>
      <c r="O214" s="2" t="str">
        <f>IF(E214=0,"",Player_Analysis!L214/E214*90)</f>
        <v/>
      </c>
      <c r="P214" t="str">
        <f>IF(E214=0,"",Player_Analysis!Q214/E214*90)</f>
        <v/>
      </c>
      <c r="Q214" t="str">
        <f>IF(E214=0,"",(Player_Analysis!AD214/E214)*90)</f>
        <v/>
      </c>
      <c r="R214" t="str">
        <f>IF(E214=0,"",Player_Analysis!AA214/E214*90)</f>
        <v/>
      </c>
      <c r="S214" t="str">
        <f t="array" ref="S214">IFERROR(INDEX('2023_24'!$O:$O,MATCH($A214,'2023_24'!$A:$A,0)),"")</f>
        <v/>
      </c>
      <c r="T214" t="str">
        <f>IFERROR(INDEX('2024_25'!$P:$P,MATCH($A214,'2024_25'!$A:$A,0)),"")</f>
        <v/>
      </c>
      <c r="U214" t="str">
        <f>IFERROR(INDEX('2025_26'!$P:$P,MATCH($A214,'2025_26'!$A:$A,0)),"")</f>
        <v/>
      </c>
      <c r="V214" t="str">
        <f>IFERROR(INDEX('2023_24'!$P:$P,MATCH($A214,'2023_24'!$A:$A,0)),"")</f>
        <v/>
      </c>
      <c r="W214" t="str">
        <f>IFERROR(INDEX('2024_25'!$Q:$Q,MATCH($A214,'2024_25'!$A:$A,0)),"")</f>
        <v/>
      </c>
      <c r="X214" t="str">
        <f>IFERROR(INDEX('2025_26'!$Q:$Q,MATCH($A214,'2025_26'!$A:$A,0)),"")</f>
        <v/>
      </c>
      <c r="Y214" t="str">
        <f>IFERROR(INDEX('2023_24'!$M:$M,MATCH($A214,'2023_24'!$A:$A,0))/INDEX('2023_24'!$G:$G,MATCH($A214,'2023_24'!$A:$A,0))*90,"")</f>
        <v/>
      </c>
      <c r="Z214" t="str">
        <f>IFERROR(INDEX('2024_25'!$M:$M,MATCH($A214,'2024_25'!$A:$A,0))/INDEX('2024_25'!$G:$G,MATCH($A214,'2024_25'!$A:$A,0))*90,"")</f>
        <v/>
      </c>
      <c r="AA214" t="str">
        <f>IFERROR(INDEX('2025_26'!$M:$M,MATCH($A214,'2025_26'!$A:$A,0))/INDEX('2025_26'!$G:$G,MATCH($A214,'2025_26'!$A:$A,0))*90,"")</f>
        <v/>
      </c>
      <c r="AB214" t="str">
        <f>IFERROR(SUMPRODUCT(S214:U214,{0.2,0.3,0.5})/SUMPRODUCT(--(S214:U214&lt;&gt;""),{0.2,0.3,0.5}),"")</f>
        <v/>
      </c>
      <c r="AC214" t="str">
        <f>IFERROR(SUMPRODUCT(V214:X214,{0.2,0.3,0.5})/SUMPRODUCT(--(V214:X214&lt;&gt;""),{0.2,0.3,0.5}),"")</f>
        <v/>
      </c>
      <c r="AD214" t="str">
        <f>IFERROR(SUMPRODUCT(Y214:AA214,{0.2,0.3,0.5})/SUMPRODUCT((Y214:AA214&lt;&gt;"")*{0.2,0.3,0.5}),O214)</f>
        <v/>
      </c>
      <c r="AE214">
        <f t="shared" si="83"/>
        <v>0</v>
      </c>
      <c r="AF214" t="str">
        <f t="shared" si="84"/>
        <v/>
      </c>
      <c r="AG214">
        <f t="shared" si="85"/>
        <v>0</v>
      </c>
      <c r="AH214">
        <f t="shared" si="86"/>
        <v>0</v>
      </c>
      <c r="AI214" s="2">
        <f t="shared" si="87"/>
        <v>0</v>
      </c>
      <c r="AJ214">
        <f t="shared" si="88"/>
        <v>0</v>
      </c>
      <c r="AK214" t="str">
        <f t="shared" si="89"/>
        <v>YES</v>
      </c>
      <c r="AL214">
        <f t="shared" si="90"/>
        <v>0</v>
      </c>
      <c r="AM214">
        <f t="shared" si="91"/>
        <v>0</v>
      </c>
      <c r="AN214">
        <f t="shared" si="92"/>
        <v>0</v>
      </c>
      <c r="AO214">
        <f t="shared" si="93"/>
        <v>0</v>
      </c>
      <c r="AP214">
        <f t="array" ref="AP214">AL214*IF($C214="GKP",10,IF($C214="DEF",6,IF($C214="MID",5,4)))</f>
        <v>0</v>
      </c>
      <c r="AQ214">
        <f t="shared" si="94"/>
        <v>0</v>
      </c>
      <c r="AR214">
        <f t="shared" si="95"/>
        <v>0</v>
      </c>
      <c r="AS214" s="2">
        <f>IF($H214=0,0,Player_Analysis!$AM214*$H214/90)</f>
        <v>0</v>
      </c>
      <c r="AT214">
        <f t="shared" si="96"/>
        <v>0</v>
      </c>
      <c r="AU214" s="2">
        <f>0</f>
        <v>0</v>
      </c>
      <c r="AV214" s="2" t="str">
        <f>IF(INDEX(FPL_Raw_Data!K:K,MATCH(A214,FPL_Raw_Data!AA:AA,0))=0,"",INDEX(FPL_Raw_Data!P:P,MATCH(A214,FPL_Raw_Data!AA:AA,0))/INDEX(FPL_Raw_Data!K:K,MATCH(A214,FPL_Raw_Data!AA:AA,0))*90)</f>
        <v/>
      </c>
      <c r="AW214" s="2">
        <f t="shared" si="97"/>
        <v>0</v>
      </c>
      <c r="AX214" s="2">
        <f>IFERROR(INDEX(TEAM_ANALYSIS!$H$2:$H$21,MATCH($B214,TEAM_ANALYSIS!$A$2:$A$21,0)),0)</f>
        <v>1.6666666666666667</v>
      </c>
      <c r="AY214" s="2">
        <f t="shared" si="98"/>
        <v>0</v>
      </c>
      <c r="AZ214" s="2">
        <f t="shared" si="99"/>
        <v>0</v>
      </c>
      <c r="BA214">
        <f t="shared" si="100"/>
        <v>0</v>
      </c>
      <c r="BB214">
        <f>IFERROR(Player_Analysis!$Y214,1)</f>
        <v>0.8</v>
      </c>
      <c r="BC214">
        <f t="shared" si="101"/>
        <v>0</v>
      </c>
      <c r="BD214">
        <f t="shared" si="102"/>
        <v>0</v>
      </c>
      <c r="BE214">
        <f t="shared" si="103"/>
        <v>0</v>
      </c>
      <c r="BF214">
        <f t="shared" si="104"/>
        <v>253</v>
      </c>
      <c r="BG214">
        <f>IF($BE214="","",COUNTIFS($C$2:$C$596,$C214,$BE$2:$BE$596,"&gt;"&amp;$BE214)+COUNTIFS($C$2:$C214,$C214,$BE$2:$BE214,$BE214))</f>
        <v>166</v>
      </c>
    </row>
    <row r="215" spans="1:59" x14ac:dyDescent="0.25">
      <c r="A215" t="str">
        <f>Player_Analysis!A215</f>
        <v>Haji Wright</v>
      </c>
      <c r="B215">
        <f>Player_Analysis!C215</f>
        <v>7</v>
      </c>
      <c r="C215" t="str">
        <f>Player_Analysis!B215</f>
        <v>FWD</v>
      </c>
      <c r="D215" s="13">
        <f>Player_Analysis!E215</f>
        <v>5.4</v>
      </c>
      <c r="E215">
        <f>Player_Analysis!I215</f>
        <v>0</v>
      </c>
      <c r="F215" s="8">
        <f>Player_Analysis!Z215</f>
        <v>0</v>
      </c>
      <c r="G215" s="17">
        <f t="shared" si="79"/>
        <v>0</v>
      </c>
      <c r="H215">
        <f t="shared" si="80"/>
        <v>0</v>
      </c>
      <c r="I215" s="8">
        <f>Player_Analysis!AF215</f>
        <v>0</v>
      </c>
      <c r="J215" s="8">
        <f>Player_Analysis!AG215</f>
        <v>0</v>
      </c>
      <c r="K215">
        <f>Player_Analysis!O215</f>
        <v>0</v>
      </c>
      <c r="L215">
        <f>Player_Analysis!P215</f>
        <v>0</v>
      </c>
      <c r="M215" t="str">
        <f t="shared" si="81"/>
        <v/>
      </c>
      <c r="N215" t="str">
        <f t="shared" si="82"/>
        <v/>
      </c>
      <c r="O215" s="2" t="str">
        <f>IF(E215=0,"",Player_Analysis!L215/E215*90)</f>
        <v/>
      </c>
      <c r="P215" t="str">
        <f>IF(E215=0,"",Player_Analysis!Q215/E215*90)</f>
        <v/>
      </c>
      <c r="Q215" t="str">
        <f>IF(E215=0,"",(Player_Analysis!AD215/E215)*90)</f>
        <v/>
      </c>
      <c r="R215" t="str">
        <f>IF(E215=0,"",Player_Analysis!AA215/E215*90)</f>
        <v/>
      </c>
      <c r="S215" t="str">
        <f t="array" ref="S215">IFERROR(INDEX('2023_24'!$O:$O,MATCH($A215,'2023_24'!$A:$A,0)),"")</f>
        <v/>
      </c>
      <c r="T215" t="str">
        <f>IFERROR(INDEX('2024_25'!$P:$P,MATCH($A215,'2024_25'!$A:$A,0)),"")</f>
        <v/>
      </c>
      <c r="U215" t="str">
        <f>IFERROR(INDEX('2025_26'!$P:$P,MATCH($A215,'2025_26'!$A:$A,0)),"")</f>
        <v/>
      </c>
      <c r="V215" t="str">
        <f>IFERROR(INDEX('2023_24'!$P:$P,MATCH($A215,'2023_24'!$A:$A,0)),"")</f>
        <v/>
      </c>
      <c r="W215" t="str">
        <f>IFERROR(INDEX('2024_25'!$Q:$Q,MATCH($A215,'2024_25'!$A:$A,0)),"")</f>
        <v/>
      </c>
      <c r="X215" t="str">
        <f>IFERROR(INDEX('2025_26'!$Q:$Q,MATCH($A215,'2025_26'!$A:$A,0)),"")</f>
        <v/>
      </c>
      <c r="Y215" t="str">
        <f>IFERROR(INDEX('2023_24'!$M:$M,MATCH($A215,'2023_24'!$A:$A,0))/INDEX('2023_24'!$G:$G,MATCH($A215,'2023_24'!$A:$A,0))*90,"")</f>
        <v/>
      </c>
      <c r="Z215" t="str">
        <f>IFERROR(INDEX('2024_25'!$M:$M,MATCH($A215,'2024_25'!$A:$A,0))/INDEX('2024_25'!$G:$G,MATCH($A215,'2024_25'!$A:$A,0))*90,"")</f>
        <v/>
      </c>
      <c r="AA215" t="str">
        <f>IFERROR(INDEX('2025_26'!$M:$M,MATCH($A215,'2025_26'!$A:$A,0))/INDEX('2025_26'!$G:$G,MATCH($A215,'2025_26'!$A:$A,0))*90,"")</f>
        <v/>
      </c>
      <c r="AB215" t="str">
        <f>IFERROR(SUMPRODUCT(S215:U215,{0.2,0.3,0.5})/SUMPRODUCT(--(S215:U215&lt;&gt;""),{0.2,0.3,0.5}),"")</f>
        <v/>
      </c>
      <c r="AC215" t="str">
        <f>IFERROR(SUMPRODUCT(V215:X215,{0.2,0.3,0.5})/SUMPRODUCT(--(V215:X215&lt;&gt;""),{0.2,0.3,0.5}),"")</f>
        <v/>
      </c>
      <c r="AD215" t="str">
        <f>IFERROR(SUMPRODUCT(Y215:AA215,{0.2,0.3,0.5})/SUMPRODUCT((Y215:AA215&lt;&gt;"")*{0.2,0.3,0.5}),O215)</f>
        <v/>
      </c>
      <c r="AE215">
        <f t="shared" si="83"/>
        <v>0</v>
      </c>
      <c r="AF215" t="str">
        <f t="shared" si="84"/>
        <v/>
      </c>
      <c r="AG215">
        <f t="shared" si="85"/>
        <v>0</v>
      </c>
      <c r="AH215">
        <f t="shared" si="86"/>
        <v>0</v>
      </c>
      <c r="AI215" s="2">
        <f t="shared" si="87"/>
        <v>0</v>
      </c>
      <c r="AJ215">
        <f t="shared" si="88"/>
        <v>0</v>
      </c>
      <c r="AK215" t="str">
        <f t="shared" si="89"/>
        <v>YES</v>
      </c>
      <c r="AL215">
        <f t="shared" si="90"/>
        <v>0</v>
      </c>
      <c r="AM215">
        <f t="shared" si="91"/>
        <v>0</v>
      </c>
      <c r="AN215">
        <f t="shared" si="92"/>
        <v>0</v>
      </c>
      <c r="AO215">
        <f t="shared" si="93"/>
        <v>0</v>
      </c>
      <c r="AP215">
        <f t="array" ref="AP215">AL215*IF($C215="GKP",10,IF($C215="DEF",6,IF($C215="MID",5,4)))</f>
        <v>0</v>
      </c>
      <c r="AQ215">
        <f t="shared" si="94"/>
        <v>0</v>
      </c>
      <c r="AR215">
        <f t="shared" si="95"/>
        <v>0</v>
      </c>
      <c r="AS215" s="2">
        <f>IF($H215=0,0,Player_Analysis!$AM215*$H215/90)</f>
        <v>0</v>
      </c>
      <c r="AT215">
        <f t="shared" si="96"/>
        <v>0</v>
      </c>
      <c r="AU215" s="2">
        <f>0</f>
        <v>0</v>
      </c>
      <c r="AV215" s="2" t="str">
        <f>IF(INDEX(FPL_Raw_Data!K:K,MATCH(A215,FPL_Raw_Data!AA:AA,0))=0,"",INDEX(FPL_Raw_Data!P:P,MATCH(A215,FPL_Raw_Data!AA:AA,0))/INDEX(FPL_Raw_Data!K:K,MATCH(A215,FPL_Raw_Data!AA:AA,0))*90)</f>
        <v/>
      </c>
      <c r="AW215" s="2">
        <f t="shared" si="97"/>
        <v>0</v>
      </c>
      <c r="AX215" s="2">
        <f>IFERROR(INDEX(TEAM_ANALYSIS!$H$2:$H$21,MATCH($B215,TEAM_ANALYSIS!$A$2:$A$21,0)),0)</f>
        <v>1.6666666666666667</v>
      </c>
      <c r="AY215" s="2">
        <f t="shared" si="98"/>
        <v>0</v>
      </c>
      <c r="AZ215" s="2">
        <f t="shared" si="99"/>
        <v>0</v>
      </c>
      <c r="BA215">
        <f t="shared" si="100"/>
        <v>0</v>
      </c>
      <c r="BB215">
        <f>IFERROR(Player_Analysis!$Y215,1)</f>
        <v>0.8</v>
      </c>
      <c r="BC215">
        <f t="shared" si="101"/>
        <v>0</v>
      </c>
      <c r="BD215">
        <f t="shared" si="102"/>
        <v>0</v>
      </c>
      <c r="BE215">
        <f t="shared" si="103"/>
        <v>0</v>
      </c>
      <c r="BF215">
        <f t="shared" si="104"/>
        <v>253</v>
      </c>
      <c r="BG215">
        <f>IF($BE215="","",COUNTIFS($C$2:$C$596,$C215,$BE$2:$BE$596,"&gt;"&amp;$BE215)+COUNTIFS($C$2:$C215,$C215,$BE$2:$BE215,$BE215))</f>
        <v>43</v>
      </c>
    </row>
    <row r="216" spans="1:59" x14ac:dyDescent="0.25">
      <c r="A216" t="str">
        <f>Player_Analysis!A216</f>
        <v>Brandon Thomas-Asante</v>
      </c>
      <c r="B216">
        <f>Player_Analysis!C216</f>
        <v>7</v>
      </c>
      <c r="C216" t="str">
        <f>Player_Analysis!B216</f>
        <v>FWD</v>
      </c>
      <c r="D216" s="13">
        <f>Player_Analysis!E216</f>
        <v>5</v>
      </c>
      <c r="E216">
        <f>Player_Analysis!I216</f>
        <v>120</v>
      </c>
      <c r="F216" s="8">
        <f>Player_Analysis!Z216</f>
        <v>1</v>
      </c>
      <c r="G216" s="17">
        <f t="shared" si="79"/>
        <v>0.75</v>
      </c>
      <c r="H216">
        <f t="shared" si="80"/>
        <v>67.5</v>
      </c>
      <c r="I216" s="8">
        <f>Player_Analysis!AF216</f>
        <v>0</v>
      </c>
      <c r="J216" s="8">
        <f>Player_Analysis!AG216</f>
        <v>0</v>
      </c>
      <c r="K216">
        <f>Player_Analysis!O216</f>
        <v>0</v>
      </c>
      <c r="L216">
        <f>Player_Analysis!P216</f>
        <v>0.02</v>
      </c>
      <c r="M216">
        <f t="shared" si="81"/>
        <v>0</v>
      </c>
      <c r="N216">
        <f t="shared" si="82"/>
        <v>1.4999999999999999E-2</v>
      </c>
      <c r="O216" s="2">
        <f>IF(E216=0,"",Player_Analysis!L216/E216*90)</f>
        <v>3</v>
      </c>
      <c r="P216">
        <f>IF(E216=0,"",Player_Analysis!Q216/E216*90)</f>
        <v>1.4999999999999999E-2</v>
      </c>
      <c r="Q216">
        <f>IF(E216=0,"",(Player_Analysis!AD216/E216)*90)</f>
        <v>15</v>
      </c>
      <c r="R216">
        <f>IF(E216=0,"",Player_Analysis!AA216/E216*90)</f>
        <v>8.25</v>
      </c>
      <c r="S216" t="str">
        <f t="array" ref="S216">IFERROR(INDEX('2023_24'!$O:$O,MATCH($A216,'2023_24'!$A:$A,0)),"")</f>
        <v/>
      </c>
      <c r="T216" t="str">
        <f>IFERROR(INDEX('2024_25'!$P:$P,MATCH($A216,'2024_25'!$A:$A,0)),"")</f>
        <v/>
      </c>
      <c r="U216" t="str">
        <f>IFERROR(INDEX('2025_26'!$P:$P,MATCH($A216,'2025_26'!$A:$A,0)),"")</f>
        <v/>
      </c>
      <c r="V216" t="str">
        <f>IFERROR(INDEX('2023_24'!$P:$P,MATCH($A216,'2023_24'!$A:$A,0)),"")</f>
        <v/>
      </c>
      <c r="W216" t="str">
        <f>IFERROR(INDEX('2024_25'!$Q:$Q,MATCH($A216,'2024_25'!$A:$A,0)),"")</f>
        <v/>
      </c>
      <c r="X216" t="str">
        <f>IFERROR(INDEX('2025_26'!$Q:$Q,MATCH($A216,'2025_26'!$A:$A,0)),"")</f>
        <v/>
      </c>
      <c r="Y216" t="str">
        <f>IFERROR(INDEX('2023_24'!$M:$M,MATCH($A216,'2023_24'!$A:$A,0))/INDEX('2023_24'!$G:$G,MATCH($A216,'2023_24'!$A:$A,0))*90,"")</f>
        <v/>
      </c>
      <c r="Z216" t="str">
        <f>IFERROR(INDEX('2024_25'!$M:$M,MATCH($A216,'2024_25'!$A:$A,0))/INDEX('2024_25'!$G:$G,MATCH($A216,'2024_25'!$A:$A,0))*90,"")</f>
        <v/>
      </c>
      <c r="AA216" t="str">
        <f>IFERROR(INDEX('2025_26'!$M:$M,MATCH($A216,'2025_26'!$A:$A,0))/INDEX('2025_26'!$G:$G,MATCH($A216,'2025_26'!$A:$A,0))*90,"")</f>
        <v/>
      </c>
      <c r="AB216" t="str">
        <f>IFERROR(SUMPRODUCT(S216:U216,{0.2,0.3,0.5})/SUMPRODUCT(--(S216:U216&lt;&gt;""),{0.2,0.3,0.5}),"")</f>
        <v/>
      </c>
      <c r="AC216" t="str">
        <f>IFERROR(SUMPRODUCT(V216:X216,{0.2,0.3,0.5})/SUMPRODUCT(--(V216:X216&lt;&gt;""),{0.2,0.3,0.5}),"")</f>
        <v/>
      </c>
      <c r="AD216">
        <f>IFERROR(SUMPRODUCT(Y216:AA216,{0.2,0.3,0.5})/SUMPRODUCT((Y216:AA216&lt;&gt;"")*{0.2,0.3,0.5}),O216)</f>
        <v>3</v>
      </c>
      <c r="AE216">
        <f t="shared" si="83"/>
        <v>0</v>
      </c>
      <c r="AF216">
        <f t="shared" si="84"/>
        <v>120</v>
      </c>
      <c r="AG216">
        <f t="shared" si="85"/>
        <v>0</v>
      </c>
      <c r="AH216">
        <f t="shared" si="86"/>
        <v>1.4999999999999999E-2</v>
      </c>
      <c r="AI216" s="2">
        <f t="shared" si="87"/>
        <v>3</v>
      </c>
      <c r="AJ216">
        <f t="shared" si="88"/>
        <v>0.4</v>
      </c>
      <c r="AK216" t="str">
        <f t="shared" si="89"/>
        <v>YES</v>
      </c>
      <c r="AL216">
        <f t="shared" si="90"/>
        <v>0</v>
      </c>
      <c r="AM216">
        <f t="shared" si="91"/>
        <v>1.125E-2</v>
      </c>
      <c r="AN216">
        <f t="shared" si="92"/>
        <v>0</v>
      </c>
      <c r="AO216">
        <f t="shared" si="93"/>
        <v>1.125E-2</v>
      </c>
      <c r="AP216">
        <f t="array" ref="AP216">AL216*IF($C216="GKP",10,IF($C216="DEF",6,IF($C216="MID",5,4)))</f>
        <v>0</v>
      </c>
      <c r="AQ216">
        <f t="shared" si="94"/>
        <v>3.3750000000000002E-2</v>
      </c>
      <c r="AR216">
        <f t="shared" si="95"/>
        <v>1.5</v>
      </c>
      <c r="AS216" s="2">
        <f>IF($H216=0,0,Player_Analysis!$AM216*$H216/90)</f>
        <v>0</v>
      </c>
      <c r="AT216">
        <f t="shared" si="96"/>
        <v>1.03125</v>
      </c>
      <c r="AU216" s="2">
        <f>0</f>
        <v>0</v>
      </c>
      <c r="AV216" s="2">
        <f>IF(INDEX(FPL_Raw_Data!K:K,MATCH(A216,FPL_Raw_Data!AA:AA,0))=0,"",INDEX(FPL_Raw_Data!P:P,MATCH(A216,FPL_Raw_Data!AA:AA,0))/INDEX(FPL_Raw_Data!K:K,MATCH(A216,FPL_Raw_Data!AA:AA,0))*90)</f>
        <v>0</v>
      </c>
      <c r="AW216" s="2">
        <f t="shared" si="97"/>
        <v>0</v>
      </c>
      <c r="AX216" s="2">
        <f>IFERROR(INDEX(TEAM_ANALYSIS!$H$2:$H$21,MATCH($B216,TEAM_ANALYSIS!$A$2:$A$21,0)),0)</f>
        <v>1.6666666666666667</v>
      </c>
      <c r="AY216" s="2">
        <f t="shared" si="98"/>
        <v>0</v>
      </c>
      <c r="AZ216" s="2">
        <f t="shared" si="99"/>
        <v>2.5649999999999999</v>
      </c>
      <c r="BA216">
        <f t="shared" si="100"/>
        <v>0.51300000000000001</v>
      </c>
      <c r="BB216">
        <f>IFERROR(Player_Analysis!$Y216,1)</f>
        <v>0.8</v>
      </c>
      <c r="BC216">
        <f t="shared" si="101"/>
        <v>2.052</v>
      </c>
      <c r="BD216">
        <f t="shared" si="102"/>
        <v>1.0526759999999999</v>
      </c>
      <c r="BE216">
        <f t="shared" si="103"/>
        <v>2.052</v>
      </c>
      <c r="BF216">
        <f t="shared" si="104"/>
        <v>243</v>
      </c>
      <c r="BG216">
        <f>IF($BE216="","",COUNTIFS($C$2:$C$596,$C216,$BE$2:$BE$596,"&gt;"&amp;$BE216)+COUNTIFS($C$2:$C216,$C216,$BE$2:$BE216,$BE216))</f>
        <v>25</v>
      </c>
    </row>
    <row r="217" spans="1:59" x14ac:dyDescent="0.25">
      <c r="A217" t="str">
        <f>Player_Analysis!A217</f>
        <v>Ellis Simms</v>
      </c>
      <c r="B217">
        <f>Player_Analysis!C217</f>
        <v>7</v>
      </c>
      <c r="C217" t="str">
        <f>Player_Analysis!B217</f>
        <v>FWD</v>
      </c>
      <c r="D217" s="13">
        <f>Player_Analysis!E217</f>
        <v>5</v>
      </c>
      <c r="E217">
        <f>Player_Analysis!I217</f>
        <v>88</v>
      </c>
      <c r="F217" s="8">
        <f>Player_Analysis!Z217</f>
        <v>1</v>
      </c>
      <c r="G217" s="17">
        <f t="shared" si="79"/>
        <v>1</v>
      </c>
      <c r="H217">
        <f t="shared" si="80"/>
        <v>90</v>
      </c>
      <c r="I217" s="8">
        <f>Player_Analysis!AF217</f>
        <v>0</v>
      </c>
      <c r="J217" s="8">
        <f>Player_Analysis!AG217</f>
        <v>0</v>
      </c>
      <c r="K217">
        <f>Player_Analysis!O217</f>
        <v>0.3</v>
      </c>
      <c r="L217">
        <f>Player_Analysis!P217</f>
        <v>0.01</v>
      </c>
      <c r="M217">
        <f t="shared" si="81"/>
        <v>0.30681818181818182</v>
      </c>
      <c r="N217">
        <f t="shared" si="82"/>
        <v>1.0227272727272727E-2</v>
      </c>
      <c r="O217" s="2">
        <f>IF(E217=0,"",Player_Analysis!L217/E217*90)</f>
        <v>3.0681818181818179</v>
      </c>
      <c r="P217">
        <f>IF(E217=0,"",Player_Analysis!Q217/E217*90)</f>
        <v>0.31704545454545457</v>
      </c>
      <c r="Q217">
        <f>IF(E217=0,"",(Player_Analysis!AD217/E217)*90)</f>
        <v>10.227272727272727</v>
      </c>
      <c r="R217">
        <f>IF(E217=0,"",Player_Analysis!AA217/E217*90)</f>
        <v>3.0681818181818179</v>
      </c>
      <c r="S217">
        <f t="array" ref="S217">IFERROR(INDEX('2023_24'!$O:$O,MATCH($A217,'2023_24'!$A:$A,0)),"")</f>
        <v>0</v>
      </c>
      <c r="T217" t="str">
        <f>IFERROR(INDEX('2024_25'!$P:$P,MATCH($A217,'2024_25'!$A:$A,0)),"")</f>
        <v/>
      </c>
      <c r="U217" t="str">
        <f>IFERROR(INDEX('2025_26'!$P:$P,MATCH($A217,'2025_26'!$A:$A,0)),"")</f>
        <v/>
      </c>
      <c r="V217">
        <f>IFERROR(INDEX('2023_24'!$P:$P,MATCH($A217,'2023_24'!$A:$A,0)),"")</f>
        <v>0</v>
      </c>
      <c r="W217" t="str">
        <f>IFERROR(INDEX('2024_25'!$Q:$Q,MATCH($A217,'2024_25'!$A:$A,0)),"")</f>
        <v/>
      </c>
      <c r="X217" t="str">
        <f>IFERROR(INDEX('2025_26'!$Q:$Q,MATCH($A217,'2025_26'!$A:$A,0)),"")</f>
        <v/>
      </c>
      <c r="Y217" t="str">
        <f>IFERROR(INDEX('2023_24'!$M:$M,MATCH($A217,'2023_24'!$A:$A,0))/INDEX('2023_24'!$G:$G,MATCH($A217,'2023_24'!$A:$A,0))*90,"")</f>
        <v/>
      </c>
      <c r="Z217" t="str">
        <f>IFERROR(INDEX('2024_25'!$M:$M,MATCH($A217,'2024_25'!$A:$A,0))/INDEX('2024_25'!$G:$G,MATCH($A217,'2024_25'!$A:$A,0))*90,"")</f>
        <v/>
      </c>
      <c r="AA217" t="str">
        <f>IFERROR(INDEX('2025_26'!$M:$M,MATCH($A217,'2025_26'!$A:$A,0))/INDEX('2025_26'!$G:$G,MATCH($A217,'2025_26'!$A:$A,0))*90,"")</f>
        <v/>
      </c>
      <c r="AB217">
        <f>IFERROR(SUMPRODUCT(S217:U217,{0.2,0.3,0.5})/SUMPRODUCT(--(S217:U217&lt;&gt;""),{0.2,0.3,0.5}),"")</f>
        <v>0</v>
      </c>
      <c r="AC217">
        <f>IFERROR(SUMPRODUCT(V217:X217,{0.2,0.3,0.5})/SUMPRODUCT(--(V217:X217&lt;&gt;""),{0.2,0.3,0.5}),"")</f>
        <v>0</v>
      </c>
      <c r="AD217">
        <f>IFERROR(SUMPRODUCT(Y217:AA217,{0.2,0.3,0.5})/SUMPRODUCT((Y217:AA217&lt;&gt;"")*{0.2,0.3,0.5}),O217)</f>
        <v>3.0681818181818179</v>
      </c>
      <c r="AE217">
        <f t="shared" si="83"/>
        <v>1</v>
      </c>
      <c r="AF217">
        <f t="shared" si="84"/>
        <v>88</v>
      </c>
      <c r="AG217">
        <f t="shared" si="85"/>
        <v>0.09</v>
      </c>
      <c r="AH217">
        <f t="shared" si="86"/>
        <v>3.0000000000000001E-3</v>
      </c>
      <c r="AI217" s="2">
        <f t="shared" si="87"/>
        <v>3.0681818181818179</v>
      </c>
      <c r="AJ217">
        <f t="shared" si="88"/>
        <v>0.29333333333333333</v>
      </c>
      <c r="AK217" t="str">
        <f t="shared" si="89"/>
        <v>NO</v>
      </c>
      <c r="AL217">
        <f t="shared" si="90"/>
        <v>0.09</v>
      </c>
      <c r="AM217">
        <f t="shared" si="91"/>
        <v>3.0000000000000001E-3</v>
      </c>
      <c r="AN217">
        <f t="shared" si="92"/>
        <v>0.09</v>
      </c>
      <c r="AO217">
        <f t="shared" si="93"/>
        <v>3.0000000000000001E-3</v>
      </c>
      <c r="AP217">
        <f t="array" ref="AP217">AL217*IF($C217="GKP",10,IF($C217="DEF",6,IF($C217="MID",5,4)))</f>
        <v>0.36</v>
      </c>
      <c r="AQ217">
        <f t="shared" si="94"/>
        <v>9.0000000000000011E-3</v>
      </c>
      <c r="AR217">
        <f t="shared" si="95"/>
        <v>2</v>
      </c>
      <c r="AS217" s="2">
        <f>IF($H217=0,0,Player_Analysis!$AM217*$H217/90)</f>
        <v>0</v>
      </c>
      <c r="AT217">
        <f t="shared" si="96"/>
        <v>0.51136363636363635</v>
      </c>
      <c r="AU217" s="2">
        <f>0</f>
        <v>0</v>
      </c>
      <c r="AV217" s="2">
        <f>IF(INDEX(FPL_Raw_Data!K:K,MATCH(A217,FPL_Raw_Data!AA:AA,0))=0,"",INDEX(FPL_Raw_Data!P:P,MATCH(A217,FPL_Raw_Data!AA:AA,0))/INDEX(FPL_Raw_Data!K:K,MATCH(A217,FPL_Raw_Data!AA:AA,0))*90)</f>
        <v>0</v>
      </c>
      <c r="AW217" s="2">
        <f t="shared" si="97"/>
        <v>0</v>
      </c>
      <c r="AX217" s="2">
        <f>IFERROR(INDEX(TEAM_ANALYSIS!$H$2:$H$21,MATCH($B217,TEAM_ANALYSIS!$A$2:$A$21,0)),0)</f>
        <v>1.6666666666666667</v>
      </c>
      <c r="AY217" s="2">
        <f t="shared" si="98"/>
        <v>0</v>
      </c>
      <c r="AZ217" s="2">
        <f t="shared" si="99"/>
        <v>2.880363636363636</v>
      </c>
      <c r="BA217">
        <f t="shared" si="100"/>
        <v>0.57607272727272718</v>
      </c>
      <c r="BB217">
        <f>IFERROR(Player_Analysis!$Y217,1)</f>
        <v>0.8</v>
      </c>
      <c r="BC217">
        <f t="shared" si="101"/>
        <v>2.3042909090909087</v>
      </c>
      <c r="BD217">
        <f t="shared" si="102"/>
        <v>1.3274391484297516</v>
      </c>
      <c r="BE217">
        <f t="shared" si="103"/>
        <v>2.3042909090909087</v>
      </c>
      <c r="BF217">
        <f t="shared" si="104"/>
        <v>233</v>
      </c>
      <c r="BG217">
        <f>IF($BE217="","",COUNTIFS($C$2:$C$596,$C217,$BE$2:$BE$596,"&gt;"&amp;$BE217)+COUNTIFS($C$2:$C217,$C217,$BE$2:$BE217,$BE217))</f>
        <v>24</v>
      </c>
    </row>
    <row r="218" spans="1:59" x14ac:dyDescent="0.25">
      <c r="A218" t="str">
        <f>Player_Analysis!A218</f>
        <v>Jahnoah Markelo</v>
      </c>
      <c r="B218">
        <f>Player_Analysis!C218</f>
        <v>7</v>
      </c>
      <c r="C218" t="str">
        <f>Player_Analysis!B218</f>
        <v>FWD</v>
      </c>
      <c r="D218" s="13">
        <f>Player_Analysis!E218</f>
        <v>5</v>
      </c>
      <c r="E218">
        <f>Player_Analysis!I218</f>
        <v>0</v>
      </c>
      <c r="F218" s="8">
        <f>Player_Analysis!Z218</f>
        <v>0</v>
      </c>
      <c r="G218" s="17">
        <f t="shared" si="79"/>
        <v>0</v>
      </c>
      <c r="H218">
        <f t="shared" si="80"/>
        <v>0</v>
      </c>
      <c r="I218" s="8">
        <f>Player_Analysis!AF218</f>
        <v>0</v>
      </c>
      <c r="J218" s="8">
        <f>Player_Analysis!AG218</f>
        <v>0</v>
      </c>
      <c r="K218">
        <f>Player_Analysis!O218</f>
        <v>0</v>
      </c>
      <c r="L218">
        <f>Player_Analysis!P218</f>
        <v>0</v>
      </c>
      <c r="M218" t="str">
        <f t="shared" si="81"/>
        <v/>
      </c>
      <c r="N218" t="str">
        <f t="shared" si="82"/>
        <v/>
      </c>
      <c r="O218" s="2" t="str">
        <f>IF(E218=0,"",Player_Analysis!L218/E218*90)</f>
        <v/>
      </c>
      <c r="P218" t="str">
        <f>IF(E218=0,"",Player_Analysis!Q218/E218*90)</f>
        <v/>
      </c>
      <c r="Q218" t="str">
        <f>IF(E218=0,"",(Player_Analysis!AD218/E218)*90)</f>
        <v/>
      </c>
      <c r="R218" t="str">
        <f>IF(E218=0,"",Player_Analysis!AA218/E218*90)</f>
        <v/>
      </c>
      <c r="S218" t="str">
        <f t="array" ref="S218">IFERROR(INDEX('2023_24'!$O:$O,MATCH($A218,'2023_24'!$A:$A,0)),"")</f>
        <v/>
      </c>
      <c r="T218" t="str">
        <f>IFERROR(INDEX('2024_25'!$P:$P,MATCH($A218,'2024_25'!$A:$A,0)),"")</f>
        <v/>
      </c>
      <c r="U218" t="str">
        <f>IFERROR(INDEX('2025_26'!$P:$P,MATCH($A218,'2025_26'!$A:$A,0)),"")</f>
        <v/>
      </c>
      <c r="V218" t="str">
        <f>IFERROR(INDEX('2023_24'!$P:$P,MATCH($A218,'2023_24'!$A:$A,0)),"")</f>
        <v/>
      </c>
      <c r="W218" t="str">
        <f>IFERROR(INDEX('2024_25'!$Q:$Q,MATCH($A218,'2024_25'!$A:$A,0)),"")</f>
        <v/>
      </c>
      <c r="X218" t="str">
        <f>IFERROR(INDEX('2025_26'!$Q:$Q,MATCH($A218,'2025_26'!$A:$A,0)),"")</f>
        <v/>
      </c>
      <c r="Y218" t="str">
        <f>IFERROR(INDEX('2023_24'!$M:$M,MATCH($A218,'2023_24'!$A:$A,0))/INDEX('2023_24'!$G:$G,MATCH($A218,'2023_24'!$A:$A,0))*90,"")</f>
        <v/>
      </c>
      <c r="Z218" t="str">
        <f>IFERROR(INDEX('2024_25'!$M:$M,MATCH($A218,'2024_25'!$A:$A,0))/INDEX('2024_25'!$G:$G,MATCH($A218,'2024_25'!$A:$A,0))*90,"")</f>
        <v/>
      </c>
      <c r="AA218" t="str">
        <f>IFERROR(INDEX('2025_26'!$M:$M,MATCH($A218,'2025_26'!$A:$A,0))/INDEX('2025_26'!$G:$G,MATCH($A218,'2025_26'!$A:$A,0))*90,"")</f>
        <v/>
      </c>
      <c r="AB218" t="str">
        <f>IFERROR(SUMPRODUCT(S218:U218,{0.2,0.3,0.5})/SUMPRODUCT(--(S218:U218&lt;&gt;""),{0.2,0.3,0.5}),"")</f>
        <v/>
      </c>
      <c r="AC218" t="str">
        <f>IFERROR(SUMPRODUCT(V218:X218,{0.2,0.3,0.5})/SUMPRODUCT(--(V218:X218&lt;&gt;""),{0.2,0.3,0.5}),"")</f>
        <v/>
      </c>
      <c r="AD218" t="str">
        <f>IFERROR(SUMPRODUCT(Y218:AA218,{0.2,0.3,0.5})/SUMPRODUCT((Y218:AA218&lt;&gt;"")*{0.2,0.3,0.5}),O218)</f>
        <v/>
      </c>
      <c r="AE218">
        <f t="shared" si="83"/>
        <v>0</v>
      </c>
      <c r="AF218" t="str">
        <f t="shared" si="84"/>
        <v/>
      </c>
      <c r="AG218">
        <f t="shared" si="85"/>
        <v>0</v>
      </c>
      <c r="AH218">
        <f t="shared" si="86"/>
        <v>0</v>
      </c>
      <c r="AI218" s="2">
        <f t="shared" si="87"/>
        <v>0</v>
      </c>
      <c r="AJ218">
        <f t="shared" si="88"/>
        <v>0</v>
      </c>
      <c r="AK218" t="str">
        <f t="shared" si="89"/>
        <v>YES</v>
      </c>
      <c r="AL218">
        <f t="shared" si="90"/>
        <v>0</v>
      </c>
      <c r="AM218">
        <f t="shared" si="91"/>
        <v>0</v>
      </c>
      <c r="AN218">
        <f t="shared" si="92"/>
        <v>0</v>
      </c>
      <c r="AO218">
        <f t="shared" si="93"/>
        <v>0</v>
      </c>
      <c r="AP218">
        <f t="array" ref="AP218">AL218*IF($C218="GKP",10,IF($C218="DEF",6,IF($C218="MID",5,4)))</f>
        <v>0</v>
      </c>
      <c r="AQ218">
        <f t="shared" si="94"/>
        <v>0</v>
      </c>
      <c r="AR218">
        <f t="shared" si="95"/>
        <v>0</v>
      </c>
      <c r="AS218" s="2">
        <f>IF($H218=0,0,Player_Analysis!$AM218*$H218/90)</f>
        <v>0</v>
      </c>
      <c r="AT218">
        <f t="shared" si="96"/>
        <v>0</v>
      </c>
      <c r="AU218" s="2">
        <f>0</f>
        <v>0</v>
      </c>
      <c r="AV218" s="2" t="str">
        <f>IF(INDEX(FPL_Raw_Data!K:K,MATCH(A218,FPL_Raw_Data!AA:AA,0))=0,"",INDEX(FPL_Raw_Data!P:P,MATCH(A218,FPL_Raw_Data!AA:AA,0))/INDEX(FPL_Raw_Data!K:K,MATCH(A218,FPL_Raw_Data!AA:AA,0))*90)</f>
        <v/>
      </c>
      <c r="AW218" s="2">
        <f t="shared" si="97"/>
        <v>0</v>
      </c>
      <c r="AX218" s="2">
        <f>IFERROR(INDEX(TEAM_ANALYSIS!$H$2:$H$21,MATCH($B218,TEAM_ANALYSIS!$A$2:$A$21,0)),0)</f>
        <v>1.6666666666666667</v>
      </c>
      <c r="AY218" s="2">
        <f t="shared" si="98"/>
        <v>0</v>
      </c>
      <c r="AZ218" s="2">
        <f t="shared" si="99"/>
        <v>0</v>
      </c>
      <c r="BA218">
        <f t="shared" si="100"/>
        <v>0</v>
      </c>
      <c r="BB218">
        <f>IFERROR(Player_Analysis!$Y218,1)</f>
        <v>0.8</v>
      </c>
      <c r="BC218">
        <f t="shared" si="101"/>
        <v>0</v>
      </c>
      <c r="BD218">
        <f t="shared" si="102"/>
        <v>0</v>
      </c>
      <c r="BE218">
        <f t="shared" si="103"/>
        <v>0</v>
      </c>
      <c r="BF218">
        <f t="shared" si="104"/>
        <v>253</v>
      </c>
      <c r="BG218">
        <f>IF($BE218="","",COUNTIFS($C$2:$C$596,$C218,$BE$2:$BE$596,"&gt;"&amp;$BE218)+COUNTIFS($C$2:$C218,$C218,$BE$2:$BE218,$BE218))</f>
        <v>44</v>
      </c>
    </row>
    <row r="219" spans="1:59" x14ac:dyDescent="0.25">
      <c r="A219" t="str">
        <f>Player_Analysis!A219</f>
        <v>Norman Bassette</v>
      </c>
      <c r="B219">
        <f>Player_Analysis!C219</f>
        <v>7</v>
      </c>
      <c r="C219" t="str">
        <f>Player_Analysis!B219</f>
        <v>FWD</v>
      </c>
      <c r="D219" s="13">
        <f>Player_Analysis!E219</f>
        <v>4.5</v>
      </c>
      <c r="E219">
        <f>Player_Analysis!I219</f>
        <v>0</v>
      </c>
      <c r="F219" s="8">
        <f>Player_Analysis!Z219</f>
        <v>0</v>
      </c>
      <c r="G219" s="17">
        <f t="shared" si="79"/>
        <v>0</v>
      </c>
      <c r="H219">
        <f t="shared" si="80"/>
        <v>0</v>
      </c>
      <c r="I219" s="8">
        <f>Player_Analysis!AF219</f>
        <v>0</v>
      </c>
      <c r="J219" s="8">
        <f>Player_Analysis!AG219</f>
        <v>0</v>
      </c>
      <c r="K219">
        <f>Player_Analysis!O219</f>
        <v>0</v>
      </c>
      <c r="L219">
        <f>Player_Analysis!P219</f>
        <v>0</v>
      </c>
      <c r="M219" t="str">
        <f t="shared" si="81"/>
        <v/>
      </c>
      <c r="N219" t="str">
        <f t="shared" si="82"/>
        <v/>
      </c>
      <c r="O219" s="2" t="str">
        <f>IF(E219=0,"",Player_Analysis!L219/E219*90)</f>
        <v/>
      </c>
      <c r="P219" t="str">
        <f>IF(E219=0,"",Player_Analysis!Q219/E219*90)</f>
        <v/>
      </c>
      <c r="Q219" t="str">
        <f>IF(E219=0,"",(Player_Analysis!AD219/E219)*90)</f>
        <v/>
      </c>
      <c r="R219" t="str">
        <f>IF(E219=0,"",Player_Analysis!AA219/E219*90)</f>
        <v/>
      </c>
      <c r="S219" t="str">
        <f t="array" ref="S219">IFERROR(INDEX('2023_24'!$O:$O,MATCH($A219,'2023_24'!$A:$A,0)),"")</f>
        <v/>
      </c>
      <c r="T219" t="str">
        <f>IFERROR(INDEX('2024_25'!$P:$P,MATCH($A219,'2024_25'!$A:$A,0)),"")</f>
        <v/>
      </c>
      <c r="U219" t="str">
        <f>IFERROR(INDEX('2025_26'!$P:$P,MATCH($A219,'2025_26'!$A:$A,0)),"")</f>
        <v/>
      </c>
      <c r="V219" t="str">
        <f>IFERROR(INDEX('2023_24'!$P:$P,MATCH($A219,'2023_24'!$A:$A,0)),"")</f>
        <v/>
      </c>
      <c r="W219" t="str">
        <f>IFERROR(INDEX('2024_25'!$Q:$Q,MATCH($A219,'2024_25'!$A:$A,0)),"")</f>
        <v/>
      </c>
      <c r="X219" t="str">
        <f>IFERROR(INDEX('2025_26'!$Q:$Q,MATCH($A219,'2025_26'!$A:$A,0)),"")</f>
        <v/>
      </c>
      <c r="Y219" t="str">
        <f>IFERROR(INDEX('2023_24'!$M:$M,MATCH($A219,'2023_24'!$A:$A,0))/INDEX('2023_24'!$G:$G,MATCH($A219,'2023_24'!$A:$A,0))*90,"")</f>
        <v/>
      </c>
      <c r="Z219" t="str">
        <f>IFERROR(INDEX('2024_25'!$M:$M,MATCH($A219,'2024_25'!$A:$A,0))/INDEX('2024_25'!$G:$G,MATCH($A219,'2024_25'!$A:$A,0))*90,"")</f>
        <v/>
      </c>
      <c r="AA219" t="str">
        <f>IFERROR(INDEX('2025_26'!$M:$M,MATCH($A219,'2025_26'!$A:$A,0))/INDEX('2025_26'!$G:$G,MATCH($A219,'2025_26'!$A:$A,0))*90,"")</f>
        <v/>
      </c>
      <c r="AB219" t="str">
        <f>IFERROR(SUMPRODUCT(S219:U219,{0.2,0.3,0.5})/SUMPRODUCT(--(S219:U219&lt;&gt;""),{0.2,0.3,0.5}),"")</f>
        <v/>
      </c>
      <c r="AC219" t="str">
        <f>IFERROR(SUMPRODUCT(V219:X219,{0.2,0.3,0.5})/SUMPRODUCT(--(V219:X219&lt;&gt;""),{0.2,0.3,0.5}),"")</f>
        <v/>
      </c>
      <c r="AD219" t="str">
        <f>IFERROR(SUMPRODUCT(Y219:AA219,{0.2,0.3,0.5})/SUMPRODUCT((Y219:AA219&lt;&gt;"")*{0.2,0.3,0.5}),O219)</f>
        <v/>
      </c>
      <c r="AE219">
        <f t="shared" si="83"/>
        <v>0</v>
      </c>
      <c r="AF219" t="str">
        <f t="shared" si="84"/>
        <v/>
      </c>
      <c r="AG219">
        <f t="shared" si="85"/>
        <v>0</v>
      </c>
      <c r="AH219">
        <f t="shared" si="86"/>
        <v>0</v>
      </c>
      <c r="AI219" s="2">
        <f t="shared" si="87"/>
        <v>0</v>
      </c>
      <c r="AJ219">
        <f t="shared" si="88"/>
        <v>0</v>
      </c>
      <c r="AK219" t="str">
        <f t="shared" si="89"/>
        <v>YES</v>
      </c>
      <c r="AL219">
        <f t="shared" si="90"/>
        <v>0</v>
      </c>
      <c r="AM219">
        <f t="shared" si="91"/>
        <v>0</v>
      </c>
      <c r="AN219">
        <f t="shared" si="92"/>
        <v>0</v>
      </c>
      <c r="AO219">
        <f t="shared" si="93"/>
        <v>0</v>
      </c>
      <c r="AP219">
        <f t="array" ref="AP219">AL219*IF($C219="GKP",10,IF($C219="DEF",6,IF($C219="MID",5,4)))</f>
        <v>0</v>
      </c>
      <c r="AQ219">
        <f t="shared" si="94"/>
        <v>0</v>
      </c>
      <c r="AR219">
        <f t="shared" si="95"/>
        <v>0</v>
      </c>
      <c r="AS219" s="2">
        <f>IF($H219=0,0,Player_Analysis!$AM219*$H219/90)</f>
        <v>0</v>
      </c>
      <c r="AT219">
        <f t="shared" si="96"/>
        <v>0</v>
      </c>
      <c r="AU219" s="2">
        <f>0</f>
        <v>0</v>
      </c>
      <c r="AV219" s="2" t="str">
        <f>IF(INDEX(FPL_Raw_Data!K:K,MATCH(A219,FPL_Raw_Data!AA:AA,0))=0,"",INDEX(FPL_Raw_Data!P:P,MATCH(A219,FPL_Raw_Data!AA:AA,0))/INDEX(FPL_Raw_Data!K:K,MATCH(A219,FPL_Raw_Data!AA:AA,0))*90)</f>
        <v/>
      </c>
      <c r="AW219" s="2">
        <f t="shared" si="97"/>
        <v>0</v>
      </c>
      <c r="AX219" s="2">
        <f>IFERROR(INDEX(TEAM_ANALYSIS!$H$2:$H$21,MATCH($B219,TEAM_ANALYSIS!$A$2:$A$21,0)),0)</f>
        <v>1.6666666666666667</v>
      </c>
      <c r="AY219" s="2">
        <f t="shared" si="98"/>
        <v>0</v>
      </c>
      <c r="AZ219" s="2">
        <f t="shared" si="99"/>
        <v>0</v>
      </c>
      <c r="BA219">
        <f t="shared" si="100"/>
        <v>0</v>
      </c>
      <c r="BB219">
        <f>IFERROR(Player_Analysis!$Y219,1)</f>
        <v>0.8</v>
      </c>
      <c r="BC219">
        <f t="shared" si="101"/>
        <v>0</v>
      </c>
      <c r="BD219">
        <f t="shared" si="102"/>
        <v>0</v>
      </c>
      <c r="BE219">
        <f t="shared" si="103"/>
        <v>0</v>
      </c>
      <c r="BF219">
        <f t="shared" si="104"/>
        <v>253</v>
      </c>
      <c r="BG219">
        <f>IF($BE219="","",COUNTIFS($C$2:$C$596,$C219,$BE$2:$BE$596,"&gt;"&amp;$BE219)+COUNTIFS($C$2:$C219,$C219,$BE$2:$BE219,$BE219))</f>
        <v>45</v>
      </c>
    </row>
    <row r="220" spans="1:59" x14ac:dyDescent="0.25">
      <c r="A220" t="str">
        <f>Player_Analysis!A220</f>
        <v>Taiwo Awoniyi</v>
      </c>
      <c r="B220">
        <f>Player_Analysis!C220</f>
        <v>7</v>
      </c>
      <c r="C220" t="str">
        <f>Player_Analysis!B220</f>
        <v>FWD</v>
      </c>
      <c r="D220" s="13">
        <f>Player_Analysis!E220</f>
        <v>5.5</v>
      </c>
      <c r="E220">
        <f>Player_Analysis!I220</f>
        <v>180</v>
      </c>
      <c r="F220" s="8">
        <f>Player_Analysis!Z220</f>
        <v>2</v>
      </c>
      <c r="G220" s="17">
        <f t="shared" si="79"/>
        <v>1</v>
      </c>
      <c r="H220">
        <f t="shared" si="80"/>
        <v>90</v>
      </c>
      <c r="I220" s="8">
        <f>Player_Analysis!AF220</f>
        <v>0</v>
      </c>
      <c r="J220" s="8">
        <f>Player_Analysis!AG220</f>
        <v>0</v>
      </c>
      <c r="K220">
        <f>Player_Analysis!O220</f>
        <v>1.24</v>
      </c>
      <c r="L220">
        <f>Player_Analysis!P220</f>
        <v>0.03</v>
      </c>
      <c r="M220">
        <f t="shared" si="81"/>
        <v>0.62</v>
      </c>
      <c r="N220">
        <f t="shared" si="82"/>
        <v>1.4999999999999999E-2</v>
      </c>
      <c r="O220" s="2">
        <f>IF(E220=0,"",Player_Analysis!L220/E220*90)</f>
        <v>2.5</v>
      </c>
      <c r="P220">
        <f>IF(E220=0,"",Player_Analysis!Q220/E220*90)</f>
        <v>0.63500000000000001</v>
      </c>
      <c r="Q220">
        <f>IF(E220=0,"",(Player_Analysis!AD220/E220)*90)</f>
        <v>8</v>
      </c>
      <c r="R220">
        <f>IF(E220=0,"",Player_Analysis!AA220/E220*90)</f>
        <v>4.5</v>
      </c>
      <c r="S220">
        <f t="array" ref="S220">IFERROR(INDEX('2023_24'!$O:$O,MATCH($A220,'2023_24'!$A:$A,0)),"")</f>
        <v>0.42133204633204635</v>
      </c>
      <c r="T220">
        <f>IFERROR(INDEX('2024_25'!$P:$P,MATCH($A220,'2024_25'!$A:$A,0)),"")</f>
        <v>0.48618090452261303</v>
      </c>
      <c r="U220">
        <f>IFERROR(INDEX('2025_26'!$P:$P,MATCH($A220,'2025_26'!$A:$A,0)),"")</f>
        <v>0.69000000000000006</v>
      </c>
      <c r="V220">
        <f>IFERROR(INDEX('2023_24'!$P:$P,MATCH($A220,'2023_24'!$A:$A,0)),"")</f>
        <v>7.8185328185328196E-2</v>
      </c>
      <c r="W220">
        <f>IFERROR(INDEX('2024_25'!$Q:$Q,MATCH($A220,'2024_25'!$A:$A,0)),"")</f>
        <v>2.7135678391959794E-2</v>
      </c>
      <c r="X220">
        <f>IFERROR(INDEX('2025_26'!$Q:$Q,MATCH($A220,'2025_26'!$A:$A,0)),"")</f>
        <v>0.144375</v>
      </c>
      <c r="Y220">
        <f>IFERROR(INDEX('2023_24'!$M:$M,MATCH($A220,'2023_24'!$A:$A,0))/INDEX('2023_24'!$G:$G,MATCH($A220,'2023_24'!$A:$A,0))*90,"")</f>
        <v>5.82046332046332</v>
      </c>
      <c r="Z220">
        <f>IFERROR(INDEX('2024_25'!$M:$M,MATCH($A220,'2024_25'!$A:$A,0))/INDEX('2024_25'!$G:$G,MATCH($A220,'2024_25'!$A:$A,0))*90,"")</f>
        <v>7.2361809045226133</v>
      </c>
      <c r="AA220">
        <f>IFERROR(INDEX('2025_26'!$M:$M,MATCH($A220,'2025_26'!$A:$A,0))/INDEX('2025_26'!$G:$G,MATCH($A220,'2025_26'!$A:$A,0))*90,"")</f>
        <v>8.0625</v>
      </c>
      <c r="AB220">
        <f>IFERROR(SUMPRODUCT(S220:U220,{0.2,0.3,0.5})/SUMPRODUCT(--(S220:U220&lt;&gt;""),{0.2,0.3,0.5}),"")</f>
        <v>0.57512068062319321</v>
      </c>
      <c r="AC220">
        <f>IFERROR(SUMPRODUCT(V220:X220,{0.2,0.3,0.5})/SUMPRODUCT(--(V220:X220&lt;&gt;""),{0.2,0.3,0.5}),"")</f>
        <v>9.5965269154653587E-2</v>
      </c>
      <c r="AD220">
        <f>IFERROR(SUMPRODUCT(Y220:AA220,{0.2,0.3,0.5})/SUMPRODUCT((Y220:AA220&lt;&gt;"")*{0.2,0.3,0.5}),O220)</f>
        <v>7.3661969354494481</v>
      </c>
      <c r="AE220">
        <f t="shared" si="83"/>
        <v>3</v>
      </c>
      <c r="AF220">
        <f t="shared" si="84"/>
        <v>90</v>
      </c>
      <c r="AG220">
        <f t="shared" si="85"/>
        <v>0.60204827224927726</v>
      </c>
      <c r="AH220">
        <f t="shared" si="86"/>
        <v>4.7386107661861437E-2</v>
      </c>
      <c r="AI220" s="2">
        <f t="shared" si="87"/>
        <v>4.4464787741797789</v>
      </c>
      <c r="AJ220">
        <f t="shared" si="88"/>
        <v>0.6</v>
      </c>
      <c r="AK220" t="str">
        <f t="shared" si="89"/>
        <v>NO</v>
      </c>
      <c r="AL220">
        <f t="shared" si="90"/>
        <v>0.60204827224927726</v>
      </c>
      <c r="AM220">
        <f t="shared" si="91"/>
        <v>4.7386107661861437E-2</v>
      </c>
      <c r="AN220">
        <f t="shared" si="92"/>
        <v>0.60204827224927726</v>
      </c>
      <c r="AO220">
        <f t="shared" si="93"/>
        <v>4.7386107661861437E-2</v>
      </c>
      <c r="AP220">
        <f t="array" ref="AP220">AL220*IF($C220="GKP",10,IF($C220="DEF",6,IF($C220="MID",5,4)))</f>
        <v>2.408193088997109</v>
      </c>
      <c r="AQ220">
        <f t="shared" si="94"/>
        <v>0.14215832298558431</v>
      </c>
      <c r="AR220">
        <f t="shared" si="95"/>
        <v>2</v>
      </c>
      <c r="AS220" s="2">
        <f>IF($H220=0,0,Player_Analysis!$AM220*$H220/90)</f>
        <v>0</v>
      </c>
      <c r="AT220">
        <f t="shared" si="96"/>
        <v>0.75</v>
      </c>
      <c r="AU220" s="2">
        <f>0</f>
        <v>0</v>
      </c>
      <c r="AV220" s="2">
        <f>IF(INDEX(FPL_Raw_Data!K:K,MATCH(A220,FPL_Raw_Data!AA:AA,0))=0,"",INDEX(FPL_Raw_Data!P:P,MATCH(A220,FPL_Raw_Data!AA:AA,0))/INDEX(FPL_Raw_Data!K:K,MATCH(A220,FPL_Raw_Data!AA:AA,0))*90)</f>
        <v>0</v>
      </c>
      <c r="AW220" s="2">
        <f t="shared" si="97"/>
        <v>0</v>
      </c>
      <c r="AX220" s="2">
        <f>IFERROR(INDEX(TEAM_ANALYSIS!$H$2:$H$21,MATCH($B220,TEAM_ANALYSIS!$A$2:$A$21,0)),0)</f>
        <v>1.6666666666666667</v>
      </c>
      <c r="AY220" s="2">
        <f t="shared" si="98"/>
        <v>0</v>
      </c>
      <c r="AZ220" s="2">
        <f t="shared" si="99"/>
        <v>5.3003514119826933</v>
      </c>
      <c r="BA220">
        <f t="shared" si="100"/>
        <v>0.96370025672412607</v>
      </c>
      <c r="BB220">
        <f>IFERROR(Player_Analysis!$Y220,1)</f>
        <v>0.8</v>
      </c>
      <c r="BC220">
        <f t="shared" si="101"/>
        <v>4.2402811295861547</v>
      </c>
      <c r="BD220">
        <f t="shared" si="102"/>
        <v>4.0863600131646445</v>
      </c>
      <c r="BE220">
        <f t="shared" si="103"/>
        <v>4.2402811295861547</v>
      </c>
      <c r="BF220">
        <f t="shared" si="104"/>
        <v>141</v>
      </c>
      <c r="BG220">
        <f>IF($BE220="","",COUNTIFS($C$2:$C$596,$C220,$BE$2:$BE$596,"&gt;"&amp;$BE220)+COUNTIFS($C$2:$C220,$C220,$BE$2:$BE220,$BE220))</f>
        <v>16</v>
      </c>
    </row>
    <row r="221" spans="1:59" x14ac:dyDescent="0.25">
      <c r="A221" t="str">
        <f>Player_Analysis!A221</f>
        <v>Caleb Yirenkyi</v>
      </c>
      <c r="B221">
        <f>Player_Analysis!C221</f>
        <v>7</v>
      </c>
      <c r="C221" t="str">
        <f>Player_Analysis!B221</f>
        <v>MID</v>
      </c>
      <c r="D221" s="13">
        <f>Player_Analysis!E221</f>
        <v>4.9000000000000004</v>
      </c>
      <c r="E221">
        <f>Player_Analysis!I221</f>
        <v>158</v>
      </c>
      <c r="F221" s="8">
        <f>Player_Analysis!Z221</f>
        <v>2</v>
      </c>
      <c r="G221" s="17">
        <f t="shared" si="79"/>
        <v>1</v>
      </c>
      <c r="H221">
        <f t="shared" si="80"/>
        <v>90</v>
      </c>
      <c r="I221" s="8">
        <f>Player_Analysis!AF221</f>
        <v>0</v>
      </c>
      <c r="J221" s="8">
        <f>Player_Analysis!AG221</f>
        <v>0</v>
      </c>
      <c r="K221">
        <f>Player_Analysis!O221</f>
        <v>0.03</v>
      </c>
      <c r="L221">
        <f>Player_Analysis!P221</f>
        <v>0.13</v>
      </c>
      <c r="M221">
        <f t="shared" si="81"/>
        <v>1.708860759493671E-2</v>
      </c>
      <c r="N221">
        <f t="shared" si="82"/>
        <v>7.4050632911392397E-2</v>
      </c>
      <c r="O221" s="2">
        <f>IF(E221=0,"",Player_Analysis!L221/E221*90)</f>
        <v>2.8481012658227849</v>
      </c>
      <c r="P221">
        <f>IF(E221=0,"",Player_Analysis!Q221/E221*90)</f>
        <v>9.1139240506329114E-2</v>
      </c>
      <c r="Q221">
        <f>IF(E221=0,"",(Player_Analysis!AD221/E221)*90)</f>
        <v>13.101265822784811</v>
      </c>
      <c r="R221">
        <f>IF(E221=0,"",Player_Analysis!AA221/E221*90)</f>
        <v>9.113924050632912</v>
      </c>
      <c r="S221" t="str">
        <f t="array" ref="S221">IFERROR(INDEX('2023_24'!$O:$O,MATCH($A221,'2023_24'!$A:$A,0)),"")</f>
        <v/>
      </c>
      <c r="T221" t="str">
        <f>IFERROR(INDEX('2024_25'!$P:$P,MATCH($A221,'2024_25'!$A:$A,0)),"")</f>
        <v/>
      </c>
      <c r="U221" t="str">
        <f>IFERROR(INDEX('2025_26'!$P:$P,MATCH($A221,'2025_26'!$A:$A,0)),"")</f>
        <v/>
      </c>
      <c r="V221" t="str">
        <f>IFERROR(INDEX('2023_24'!$P:$P,MATCH($A221,'2023_24'!$A:$A,0)),"")</f>
        <v/>
      </c>
      <c r="W221" t="str">
        <f>IFERROR(INDEX('2024_25'!$Q:$Q,MATCH($A221,'2024_25'!$A:$A,0)),"")</f>
        <v/>
      </c>
      <c r="X221" t="str">
        <f>IFERROR(INDEX('2025_26'!$Q:$Q,MATCH($A221,'2025_26'!$A:$A,0)),"")</f>
        <v/>
      </c>
      <c r="Y221" t="str">
        <f>IFERROR(INDEX('2023_24'!$M:$M,MATCH($A221,'2023_24'!$A:$A,0))/INDEX('2023_24'!$G:$G,MATCH($A221,'2023_24'!$A:$A,0))*90,"")</f>
        <v/>
      </c>
      <c r="Z221" t="str">
        <f>IFERROR(INDEX('2024_25'!$M:$M,MATCH($A221,'2024_25'!$A:$A,0))/INDEX('2024_25'!$G:$G,MATCH($A221,'2024_25'!$A:$A,0))*90,"")</f>
        <v/>
      </c>
      <c r="AA221" t="str">
        <f>IFERROR(INDEX('2025_26'!$M:$M,MATCH($A221,'2025_26'!$A:$A,0))/INDEX('2025_26'!$G:$G,MATCH($A221,'2025_26'!$A:$A,0))*90,"")</f>
        <v/>
      </c>
      <c r="AB221" t="str">
        <f>IFERROR(SUMPRODUCT(S221:U221,{0.2,0.3,0.5})/SUMPRODUCT(--(S221:U221&lt;&gt;""),{0.2,0.3,0.5}),"")</f>
        <v/>
      </c>
      <c r="AC221" t="str">
        <f>IFERROR(SUMPRODUCT(V221:X221,{0.2,0.3,0.5})/SUMPRODUCT(--(V221:X221&lt;&gt;""),{0.2,0.3,0.5}),"")</f>
        <v/>
      </c>
      <c r="AD221">
        <f>IFERROR(SUMPRODUCT(Y221:AA221,{0.2,0.3,0.5})/SUMPRODUCT((Y221:AA221&lt;&gt;"")*{0.2,0.3,0.5}),O221)</f>
        <v>2.8481012658227849</v>
      </c>
      <c r="AE221">
        <f t="shared" si="83"/>
        <v>0</v>
      </c>
      <c r="AF221">
        <f t="shared" si="84"/>
        <v>79</v>
      </c>
      <c r="AG221">
        <f t="shared" si="85"/>
        <v>1.708860759493671E-2</v>
      </c>
      <c r="AH221">
        <f t="shared" si="86"/>
        <v>7.4050632911392397E-2</v>
      </c>
      <c r="AI221" s="2">
        <f t="shared" si="87"/>
        <v>2.8481012658227849</v>
      </c>
      <c r="AJ221">
        <f t="shared" si="88"/>
        <v>0.52666666666666662</v>
      </c>
      <c r="AK221" t="str">
        <f t="shared" si="89"/>
        <v>YES</v>
      </c>
      <c r="AL221">
        <f t="shared" si="90"/>
        <v>1.708860759493671E-2</v>
      </c>
      <c r="AM221">
        <f t="shared" si="91"/>
        <v>7.4050632911392397E-2</v>
      </c>
      <c r="AN221">
        <f t="shared" si="92"/>
        <v>1.708860759493671E-2</v>
      </c>
      <c r="AO221">
        <f t="shared" si="93"/>
        <v>7.4050632911392397E-2</v>
      </c>
      <c r="AP221">
        <f t="array" ref="AP221">AL221*IF($C221="GKP",10,IF($C221="DEF",6,IF($C221="MID",5,4)))</f>
        <v>8.5443037974683556E-2</v>
      </c>
      <c r="AQ221">
        <f t="shared" si="94"/>
        <v>0.22215189873417718</v>
      </c>
      <c r="AR221">
        <f t="shared" si="95"/>
        <v>2</v>
      </c>
      <c r="AS221" s="2">
        <f>IF($H221=0,0,Player_Analysis!$AM221*$H221/90)</f>
        <v>0.5</v>
      </c>
      <c r="AT221">
        <f t="shared" si="96"/>
        <v>1.518987341772152</v>
      </c>
      <c r="AU221" s="2">
        <f>0</f>
        <v>0</v>
      </c>
      <c r="AV221" s="2">
        <f>IF(INDEX(FPL_Raw_Data!K:K,MATCH(A221,FPL_Raw_Data!AA:AA,0))=0,"",INDEX(FPL_Raw_Data!P:P,MATCH(A221,FPL_Raw_Data!AA:AA,0))/INDEX(FPL_Raw_Data!K:K,MATCH(A221,FPL_Raw_Data!AA:AA,0))*90)</f>
        <v>0</v>
      </c>
      <c r="AW221" s="2">
        <f t="shared" si="97"/>
        <v>0</v>
      </c>
      <c r="AX221" s="2">
        <f>IFERROR(INDEX(TEAM_ANALYSIS!$H$2:$H$21,MATCH($B221,TEAM_ANALYSIS!$A$2:$A$21,0)),0)</f>
        <v>1.6666666666666667</v>
      </c>
      <c r="AY221" s="2">
        <f t="shared" si="98"/>
        <v>0</v>
      </c>
      <c r="AZ221" s="2">
        <f t="shared" si="99"/>
        <v>4.3265822784810126</v>
      </c>
      <c r="BA221">
        <f t="shared" si="100"/>
        <v>0.88297597520020654</v>
      </c>
      <c r="BB221">
        <f>IFERROR(Player_Analysis!$Y221,1)</f>
        <v>0.8</v>
      </c>
      <c r="BC221">
        <f t="shared" si="101"/>
        <v>3.4612658227848101</v>
      </c>
      <c r="BD221">
        <f t="shared" si="102"/>
        <v>3.056214565300563</v>
      </c>
      <c r="BE221">
        <f t="shared" si="103"/>
        <v>3.4612658227848101</v>
      </c>
      <c r="BF221">
        <f t="shared" si="104"/>
        <v>179</v>
      </c>
      <c r="BG221">
        <f>IF($BE221="","",COUNTIFS($C$2:$C$596,$C221,$BE$2:$BE$596,"&gt;"&amp;$BE221)+COUNTIFS($C$2:$C221,$C221,$BE$2:$BE221,$BE221))</f>
        <v>92</v>
      </c>
    </row>
    <row r="222" spans="1:59" x14ac:dyDescent="0.25">
      <c r="A222" t="str">
        <f>Player_Analysis!A222</f>
        <v>Gustavo Hamer</v>
      </c>
      <c r="B222">
        <f>Player_Analysis!C222</f>
        <v>7</v>
      </c>
      <c r="C222" t="str">
        <f>Player_Analysis!B222</f>
        <v>MID</v>
      </c>
      <c r="D222" s="13">
        <f>Player_Analysis!E222</f>
        <v>5.4</v>
      </c>
      <c r="E222">
        <f>Player_Analysis!I222</f>
        <v>32</v>
      </c>
      <c r="F222" s="8">
        <f>Player_Analysis!Z222</f>
        <v>0</v>
      </c>
      <c r="G222" s="17">
        <f t="shared" si="79"/>
        <v>0</v>
      </c>
      <c r="H222">
        <f t="shared" si="80"/>
        <v>0</v>
      </c>
      <c r="I222" s="8">
        <f>Player_Analysis!AF222</f>
        <v>0</v>
      </c>
      <c r="J222" s="8">
        <f>Player_Analysis!AG222</f>
        <v>0</v>
      </c>
      <c r="K222">
        <f>Player_Analysis!O222</f>
        <v>0</v>
      </c>
      <c r="L222">
        <f>Player_Analysis!P222</f>
        <v>0.02</v>
      </c>
      <c r="M222">
        <f t="shared" si="81"/>
        <v>0</v>
      </c>
      <c r="N222">
        <f t="shared" si="82"/>
        <v>5.6250000000000001E-2</v>
      </c>
      <c r="O222" s="2">
        <f>IF(E222=0,"",Player_Analysis!L222/E222*90)</f>
        <v>8.4375</v>
      </c>
      <c r="P222">
        <f>IF(E222=0,"",Player_Analysis!Q222/E222*90)</f>
        <v>5.6250000000000001E-2</v>
      </c>
      <c r="Q222">
        <f>IF(E222=0,"",(Player_Analysis!AD222/E222)*90)</f>
        <v>16.875</v>
      </c>
      <c r="R222">
        <f>IF(E222=0,"",Player_Analysis!AA222/E222*90)</f>
        <v>8.4375</v>
      </c>
      <c r="S222">
        <f t="array" ref="S222">IFERROR(INDEX('2023_24'!$O:$O,MATCH($A222,'2023_24'!$A:$A,0)),"")</f>
        <v>9.2847317744154043E-2</v>
      </c>
      <c r="T222" t="str">
        <f>IFERROR(INDEX('2024_25'!$P:$P,MATCH($A222,'2024_25'!$A:$A,0)),"")</f>
        <v/>
      </c>
      <c r="U222" t="str">
        <f>IFERROR(INDEX('2025_26'!$P:$P,MATCH($A222,'2025_26'!$A:$A,0)),"")</f>
        <v/>
      </c>
      <c r="V222">
        <f>IFERROR(INDEX('2023_24'!$P:$P,MATCH($A222,'2023_24'!$A:$A,0)),"")</f>
        <v>0.1420563961485557</v>
      </c>
      <c r="W222" t="str">
        <f>IFERROR(INDEX('2024_25'!$Q:$Q,MATCH($A222,'2024_25'!$A:$A,0)),"")</f>
        <v/>
      </c>
      <c r="X222" t="str">
        <f>IFERROR(INDEX('2025_26'!$Q:$Q,MATCH($A222,'2025_26'!$A:$A,0)),"")</f>
        <v/>
      </c>
      <c r="Y222">
        <f>IFERROR(INDEX('2023_24'!$M:$M,MATCH($A222,'2023_24'!$A:$A,0))/INDEX('2023_24'!$G:$G,MATCH($A222,'2023_24'!$A:$A,0))*90,"")</f>
        <v>3.3425034387895463</v>
      </c>
      <c r="Z222" t="str">
        <f>IFERROR(INDEX('2024_25'!$M:$M,MATCH($A222,'2024_25'!$A:$A,0))/INDEX('2024_25'!$G:$G,MATCH($A222,'2024_25'!$A:$A,0))*90,"")</f>
        <v/>
      </c>
      <c r="AA222" t="str">
        <f>IFERROR(INDEX('2025_26'!$M:$M,MATCH($A222,'2025_26'!$A:$A,0))/INDEX('2025_26'!$G:$G,MATCH($A222,'2025_26'!$A:$A,0))*90,"")</f>
        <v/>
      </c>
      <c r="AB222">
        <f>IFERROR(SUMPRODUCT(S222:U222,{0.2,0.3,0.5})/SUMPRODUCT(--(S222:U222&lt;&gt;""),{0.2,0.3,0.5}),"")</f>
        <v>9.2847317744154043E-2</v>
      </c>
      <c r="AC222">
        <f>IFERROR(SUMPRODUCT(V222:X222,{0.2,0.3,0.5})/SUMPRODUCT(--(V222:X222&lt;&gt;""),{0.2,0.3,0.5}),"")</f>
        <v>0.1420563961485557</v>
      </c>
      <c r="AD222">
        <f>IFERROR(SUMPRODUCT(Y222:AA222,{0.2,0.3,0.5})/SUMPRODUCT((Y222:AA222&lt;&gt;"")*{0.2,0.3,0.5}),O222)</f>
        <v>3.3425034387895463</v>
      </c>
      <c r="AE222">
        <f t="shared" si="83"/>
        <v>1</v>
      </c>
      <c r="AF222" t="str">
        <f t="shared" si="84"/>
        <v/>
      </c>
      <c r="AG222">
        <f t="shared" si="85"/>
        <v>8.2943603851444281E-2</v>
      </c>
      <c r="AH222">
        <f t="shared" si="86"/>
        <v>0.13290371389270975</v>
      </c>
      <c r="AI222" s="2">
        <f t="shared" si="87"/>
        <v>3.8859697386519945</v>
      </c>
      <c r="AJ222">
        <f t="shared" si="88"/>
        <v>0.10666666666666667</v>
      </c>
      <c r="AK222" t="str">
        <f t="shared" si="89"/>
        <v>NO</v>
      </c>
      <c r="AL222">
        <f t="shared" si="90"/>
        <v>0</v>
      </c>
      <c r="AM222">
        <f t="shared" si="91"/>
        <v>0</v>
      </c>
      <c r="AN222">
        <f t="shared" si="92"/>
        <v>0</v>
      </c>
      <c r="AO222">
        <f t="shared" si="93"/>
        <v>0</v>
      </c>
      <c r="AP222">
        <f t="array" ref="AP222">AL222*IF($C222="GKP",10,IF($C222="DEF",6,IF($C222="MID",5,4)))</f>
        <v>0</v>
      </c>
      <c r="AQ222">
        <f t="shared" si="94"/>
        <v>0</v>
      </c>
      <c r="AR222">
        <f t="shared" si="95"/>
        <v>0</v>
      </c>
      <c r="AS222" s="2">
        <f>IF($H222=0,0,Player_Analysis!$AM222*$H222/90)</f>
        <v>0</v>
      </c>
      <c r="AT222">
        <f t="shared" si="96"/>
        <v>0</v>
      </c>
      <c r="AU222" s="2">
        <f>0</f>
        <v>0</v>
      </c>
      <c r="AV222" s="2">
        <f>IF(INDEX(FPL_Raw_Data!K:K,MATCH(A222,FPL_Raw_Data!AA:AA,0))=0,"",INDEX(FPL_Raw_Data!P:P,MATCH(A222,FPL_Raw_Data!AA:AA,0))/INDEX(FPL_Raw_Data!K:K,MATCH(A222,FPL_Raw_Data!AA:AA,0))*90)</f>
        <v>0</v>
      </c>
      <c r="AW222" s="2">
        <f t="shared" si="97"/>
        <v>0</v>
      </c>
      <c r="AX222" s="2">
        <f>IFERROR(INDEX(TEAM_ANALYSIS!$H$2:$H$21,MATCH($B222,TEAM_ANALYSIS!$A$2:$A$21,0)),0)</f>
        <v>1.6666666666666667</v>
      </c>
      <c r="AY222" s="2">
        <f t="shared" si="98"/>
        <v>0</v>
      </c>
      <c r="AZ222" s="2">
        <f t="shared" si="99"/>
        <v>0</v>
      </c>
      <c r="BA222">
        <f t="shared" si="100"/>
        <v>0</v>
      </c>
      <c r="BB222">
        <f>IFERROR(Player_Analysis!$Y222,1)</f>
        <v>0.8</v>
      </c>
      <c r="BC222">
        <f t="shared" si="101"/>
        <v>0</v>
      </c>
      <c r="BD222">
        <f t="shared" si="102"/>
        <v>0</v>
      </c>
      <c r="BE222">
        <f t="shared" si="103"/>
        <v>0</v>
      </c>
      <c r="BF222">
        <f t="shared" si="104"/>
        <v>253</v>
      </c>
      <c r="BG222">
        <f>IF($BE222="","",COUNTIFS($C$2:$C$596,$C222,$BE$2:$BE$596,"&gt;"&amp;$BE222)+COUNTIFS($C$2:$C222,$C222,$BE$2:$BE222,$BE222))</f>
        <v>167</v>
      </c>
    </row>
    <row r="223" spans="1:59" x14ac:dyDescent="0.25">
      <c r="A223" t="str">
        <f>Player_Analysis!A223</f>
        <v>Sidiki Cherif</v>
      </c>
      <c r="B223">
        <f>Player_Analysis!C223</f>
        <v>7</v>
      </c>
      <c r="C223" t="str">
        <f>Player_Analysis!B223</f>
        <v>FWD</v>
      </c>
      <c r="D223" s="13">
        <f>Player_Analysis!E223</f>
        <v>5</v>
      </c>
      <c r="E223">
        <f>Player_Analysis!I223</f>
        <v>0</v>
      </c>
      <c r="F223" s="8">
        <f>Player_Analysis!Z223</f>
        <v>0</v>
      </c>
      <c r="G223" s="17">
        <f t="shared" si="79"/>
        <v>0</v>
      </c>
      <c r="H223">
        <f t="shared" si="80"/>
        <v>0</v>
      </c>
      <c r="I223" s="8">
        <f>Player_Analysis!AF223</f>
        <v>0</v>
      </c>
      <c r="J223" s="8">
        <f>Player_Analysis!AG223</f>
        <v>0</v>
      </c>
      <c r="K223">
        <f>Player_Analysis!O223</f>
        <v>0</v>
      </c>
      <c r="L223">
        <f>Player_Analysis!P223</f>
        <v>0</v>
      </c>
      <c r="M223" t="str">
        <f t="shared" si="81"/>
        <v/>
      </c>
      <c r="N223" t="str">
        <f t="shared" si="82"/>
        <v/>
      </c>
      <c r="O223" s="2" t="str">
        <f>IF(E223=0,"",Player_Analysis!L223/E223*90)</f>
        <v/>
      </c>
      <c r="P223" t="str">
        <f>IF(E223=0,"",Player_Analysis!Q223/E223*90)</f>
        <v/>
      </c>
      <c r="Q223" t="str">
        <f>IF(E223=0,"",(Player_Analysis!AD223/E223)*90)</f>
        <v/>
      </c>
      <c r="R223" t="str">
        <f>IF(E223=0,"",Player_Analysis!AA223/E223*90)</f>
        <v/>
      </c>
      <c r="S223" t="str">
        <f t="array" ref="S223">IFERROR(INDEX('2023_24'!$O:$O,MATCH($A223,'2023_24'!$A:$A,0)),"")</f>
        <v/>
      </c>
      <c r="T223" t="str">
        <f>IFERROR(INDEX('2024_25'!$P:$P,MATCH($A223,'2024_25'!$A:$A,0)),"")</f>
        <v/>
      </c>
      <c r="U223" t="str">
        <f>IFERROR(INDEX('2025_26'!$P:$P,MATCH($A223,'2025_26'!$A:$A,0)),"")</f>
        <v/>
      </c>
      <c r="V223" t="str">
        <f>IFERROR(INDEX('2023_24'!$P:$P,MATCH($A223,'2023_24'!$A:$A,0)),"")</f>
        <v/>
      </c>
      <c r="W223" t="str">
        <f>IFERROR(INDEX('2024_25'!$Q:$Q,MATCH($A223,'2024_25'!$A:$A,0)),"")</f>
        <v/>
      </c>
      <c r="X223" t="str">
        <f>IFERROR(INDEX('2025_26'!$Q:$Q,MATCH($A223,'2025_26'!$A:$A,0)),"")</f>
        <v/>
      </c>
      <c r="Y223" t="str">
        <f>IFERROR(INDEX('2023_24'!$M:$M,MATCH($A223,'2023_24'!$A:$A,0))/INDEX('2023_24'!$G:$G,MATCH($A223,'2023_24'!$A:$A,0))*90,"")</f>
        <v/>
      </c>
      <c r="Z223" t="str">
        <f>IFERROR(INDEX('2024_25'!$M:$M,MATCH($A223,'2024_25'!$A:$A,0))/INDEX('2024_25'!$G:$G,MATCH($A223,'2024_25'!$A:$A,0))*90,"")</f>
        <v/>
      </c>
      <c r="AA223" t="str">
        <f>IFERROR(INDEX('2025_26'!$M:$M,MATCH($A223,'2025_26'!$A:$A,0))/INDEX('2025_26'!$G:$G,MATCH($A223,'2025_26'!$A:$A,0))*90,"")</f>
        <v/>
      </c>
      <c r="AB223" t="str">
        <f>IFERROR(SUMPRODUCT(S223:U223,{0.2,0.3,0.5})/SUMPRODUCT(--(S223:U223&lt;&gt;""),{0.2,0.3,0.5}),"")</f>
        <v/>
      </c>
      <c r="AC223" t="str">
        <f>IFERROR(SUMPRODUCT(V223:X223,{0.2,0.3,0.5})/SUMPRODUCT(--(V223:X223&lt;&gt;""),{0.2,0.3,0.5}),"")</f>
        <v/>
      </c>
      <c r="AD223" t="str">
        <f>IFERROR(SUMPRODUCT(Y223:AA223,{0.2,0.3,0.5})/SUMPRODUCT((Y223:AA223&lt;&gt;"")*{0.2,0.3,0.5}),O223)</f>
        <v/>
      </c>
      <c r="AE223">
        <f t="shared" si="83"/>
        <v>0</v>
      </c>
      <c r="AF223" t="str">
        <f t="shared" si="84"/>
        <v/>
      </c>
      <c r="AG223">
        <f t="shared" si="85"/>
        <v>0</v>
      </c>
      <c r="AH223">
        <f t="shared" si="86"/>
        <v>0</v>
      </c>
      <c r="AI223" s="2">
        <f t="shared" si="87"/>
        <v>0</v>
      </c>
      <c r="AJ223">
        <f t="shared" si="88"/>
        <v>0</v>
      </c>
      <c r="AK223" t="str">
        <f t="shared" si="89"/>
        <v>YES</v>
      </c>
      <c r="AL223">
        <f t="shared" si="90"/>
        <v>0</v>
      </c>
      <c r="AM223">
        <f t="shared" si="91"/>
        <v>0</v>
      </c>
      <c r="AN223">
        <f t="shared" si="92"/>
        <v>0</v>
      </c>
      <c r="AO223">
        <f t="shared" si="93"/>
        <v>0</v>
      </c>
      <c r="AP223">
        <f t="array" ref="AP223">AL223*IF($C223="GKP",10,IF($C223="DEF",6,IF($C223="MID",5,4)))</f>
        <v>0</v>
      </c>
      <c r="AQ223">
        <f t="shared" si="94"/>
        <v>0</v>
      </c>
      <c r="AR223">
        <f t="shared" si="95"/>
        <v>0</v>
      </c>
      <c r="AS223" s="2">
        <f>IF($H223=0,0,Player_Analysis!$AM223*$H223/90)</f>
        <v>0</v>
      </c>
      <c r="AT223">
        <f t="shared" si="96"/>
        <v>0</v>
      </c>
      <c r="AU223" s="2">
        <f>0</f>
        <v>0</v>
      </c>
      <c r="AV223" s="2" t="str">
        <f>IF(INDEX(FPL_Raw_Data!K:K,MATCH(A223,FPL_Raw_Data!AA:AA,0))=0,"",INDEX(FPL_Raw_Data!P:P,MATCH(A223,FPL_Raw_Data!AA:AA,0))/INDEX(FPL_Raw_Data!K:K,MATCH(A223,FPL_Raw_Data!AA:AA,0))*90)</f>
        <v/>
      </c>
      <c r="AW223" s="2">
        <f t="shared" si="97"/>
        <v>0</v>
      </c>
      <c r="AX223" s="2">
        <f>IFERROR(INDEX(TEAM_ANALYSIS!$H$2:$H$21,MATCH($B223,TEAM_ANALYSIS!$A$2:$A$21,0)),0)</f>
        <v>1.6666666666666667</v>
      </c>
      <c r="AY223" s="2">
        <f t="shared" si="98"/>
        <v>0</v>
      </c>
      <c r="AZ223" s="2">
        <f t="shared" si="99"/>
        <v>0</v>
      </c>
      <c r="BA223">
        <f t="shared" si="100"/>
        <v>0</v>
      </c>
      <c r="BB223">
        <f>IFERROR(Player_Analysis!$Y223,1)</f>
        <v>0.8</v>
      </c>
      <c r="BC223">
        <f t="shared" si="101"/>
        <v>0</v>
      </c>
      <c r="BD223">
        <f t="shared" si="102"/>
        <v>0</v>
      </c>
      <c r="BE223">
        <f t="shared" si="103"/>
        <v>0</v>
      </c>
      <c r="BF223">
        <f t="shared" si="104"/>
        <v>253</v>
      </c>
      <c r="BG223">
        <f>IF($BE223="","",COUNTIFS($C$2:$C$596,$C223,$BE$2:$BE$596,"&gt;"&amp;$BE223)+COUNTIFS($C$2:$C223,$C223,$BE$2:$BE223,$BE223))</f>
        <v>46</v>
      </c>
    </row>
    <row r="224" spans="1:59" x14ac:dyDescent="0.25">
      <c r="A224" t="str">
        <f>Player_Analysis!A224</f>
        <v>Dan Bentley</v>
      </c>
      <c r="B224">
        <f>Player_Analysis!C224</f>
        <v>7</v>
      </c>
      <c r="C224" t="str">
        <f>Player_Analysis!B224</f>
        <v>GK</v>
      </c>
      <c r="D224" s="13">
        <f>Player_Analysis!E224</f>
        <v>4</v>
      </c>
      <c r="E224">
        <f>Player_Analysis!I224</f>
        <v>0</v>
      </c>
      <c r="F224" s="8">
        <f>Player_Analysis!Z224</f>
        <v>0</v>
      </c>
      <c r="G224" s="17">
        <f t="shared" si="79"/>
        <v>0</v>
      </c>
      <c r="H224">
        <f t="shared" si="80"/>
        <v>0</v>
      </c>
      <c r="I224" s="8">
        <f>Player_Analysis!AF224</f>
        <v>0</v>
      </c>
      <c r="J224" s="8">
        <f>Player_Analysis!AG224</f>
        <v>0</v>
      </c>
      <c r="K224">
        <f>Player_Analysis!O224</f>
        <v>0</v>
      </c>
      <c r="L224">
        <f>Player_Analysis!P224</f>
        <v>0</v>
      </c>
      <c r="M224" t="str">
        <f t="shared" si="81"/>
        <v/>
      </c>
      <c r="N224" t="str">
        <f t="shared" si="82"/>
        <v/>
      </c>
      <c r="O224" s="2" t="str">
        <f>IF(E224=0,"",Player_Analysis!L224/E224*90)</f>
        <v/>
      </c>
      <c r="P224" t="str">
        <f>IF(E224=0,"",Player_Analysis!Q224/E224*90)</f>
        <v/>
      </c>
      <c r="Q224" t="str">
        <f>IF(E224=0,"",(Player_Analysis!AD224/E224)*90)</f>
        <v/>
      </c>
      <c r="R224" t="str">
        <f>IF(E224=0,"",Player_Analysis!AA224/E224*90)</f>
        <v/>
      </c>
      <c r="S224" t="str">
        <f t="array" ref="S224">IFERROR(INDEX('2023_24'!$O:$O,MATCH($A224,'2023_24'!$A:$A,0)),"")</f>
        <v/>
      </c>
      <c r="T224" t="str">
        <f>IFERROR(INDEX('2024_25'!$P:$P,MATCH($A224,'2024_25'!$A:$A,0)),"")</f>
        <v/>
      </c>
      <c r="U224" t="str">
        <f>IFERROR(INDEX('2025_26'!$P:$P,MATCH($A224,'2025_26'!$A:$A,0)),"")</f>
        <v/>
      </c>
      <c r="V224" t="str">
        <f>IFERROR(INDEX('2023_24'!$P:$P,MATCH($A224,'2023_24'!$A:$A,0)),"")</f>
        <v/>
      </c>
      <c r="W224" t="str">
        <f>IFERROR(INDEX('2024_25'!$Q:$Q,MATCH($A224,'2024_25'!$A:$A,0)),"")</f>
        <v/>
      </c>
      <c r="X224" t="str">
        <f>IFERROR(INDEX('2025_26'!$Q:$Q,MATCH($A224,'2025_26'!$A:$A,0)),"")</f>
        <v/>
      </c>
      <c r="Y224" t="str">
        <f>IFERROR(INDEX('2023_24'!$M:$M,MATCH($A224,'2023_24'!$A:$A,0))/INDEX('2023_24'!$G:$G,MATCH($A224,'2023_24'!$A:$A,0))*90,"")</f>
        <v/>
      </c>
      <c r="Z224" t="str">
        <f>IFERROR(INDEX('2024_25'!$M:$M,MATCH($A224,'2024_25'!$A:$A,0))/INDEX('2024_25'!$G:$G,MATCH($A224,'2024_25'!$A:$A,0))*90,"")</f>
        <v/>
      </c>
      <c r="AA224" t="str">
        <f>IFERROR(INDEX('2025_26'!$M:$M,MATCH($A224,'2025_26'!$A:$A,0))/INDEX('2025_26'!$G:$G,MATCH($A224,'2025_26'!$A:$A,0))*90,"")</f>
        <v/>
      </c>
      <c r="AB224" t="str">
        <f>IFERROR(SUMPRODUCT(S224:U224,{0.2,0.3,0.5})/SUMPRODUCT(--(S224:U224&lt;&gt;""),{0.2,0.3,0.5}),"")</f>
        <v/>
      </c>
      <c r="AC224" t="str">
        <f>IFERROR(SUMPRODUCT(V224:X224,{0.2,0.3,0.5})/SUMPRODUCT(--(V224:X224&lt;&gt;""),{0.2,0.3,0.5}),"")</f>
        <v/>
      </c>
      <c r="AD224" t="str">
        <f>IFERROR(SUMPRODUCT(Y224:AA224,{0.2,0.3,0.5})/SUMPRODUCT((Y224:AA224&lt;&gt;"")*{0.2,0.3,0.5}),O224)</f>
        <v/>
      </c>
      <c r="AE224">
        <f t="shared" si="83"/>
        <v>0</v>
      </c>
      <c r="AF224" t="str">
        <f t="shared" si="84"/>
        <v/>
      </c>
      <c r="AG224">
        <f t="shared" si="85"/>
        <v>0</v>
      </c>
      <c r="AH224">
        <f t="shared" si="86"/>
        <v>0</v>
      </c>
      <c r="AI224" s="2">
        <f t="shared" si="87"/>
        <v>0</v>
      </c>
      <c r="AJ224">
        <f t="shared" si="88"/>
        <v>0</v>
      </c>
      <c r="AK224" t="str">
        <f t="shared" si="89"/>
        <v>YES</v>
      </c>
      <c r="AL224">
        <f t="shared" si="90"/>
        <v>0</v>
      </c>
      <c r="AM224">
        <f t="shared" si="91"/>
        <v>0</v>
      </c>
      <c r="AN224">
        <f t="shared" si="92"/>
        <v>0</v>
      </c>
      <c r="AO224">
        <f t="shared" si="93"/>
        <v>0</v>
      </c>
      <c r="AP224">
        <f t="array" ref="AP224">AL224*IF($C224="GKP",10,IF($C224="DEF",6,IF($C224="MID",5,4)))</f>
        <v>0</v>
      </c>
      <c r="AQ224">
        <f t="shared" si="94"/>
        <v>0</v>
      </c>
      <c r="AR224">
        <f t="shared" si="95"/>
        <v>0</v>
      </c>
      <c r="AS224" s="2">
        <f>IF($H224=0,0,Player_Analysis!$AM224*$H224/90)</f>
        <v>0</v>
      </c>
      <c r="AT224">
        <f t="shared" si="96"/>
        <v>0</v>
      </c>
      <c r="AU224" s="2">
        <f>0</f>
        <v>0</v>
      </c>
      <c r="AV224" s="2" t="str">
        <f>IF(INDEX(FPL_Raw_Data!K:K,MATCH(A224,FPL_Raw_Data!AA:AA,0))=0,"",INDEX(FPL_Raw_Data!P:P,MATCH(A224,FPL_Raw_Data!AA:AA,0))/INDEX(FPL_Raw_Data!K:K,MATCH(A224,FPL_Raw_Data!AA:AA,0))*90)</f>
        <v/>
      </c>
      <c r="AW224" s="2">
        <f t="shared" si="97"/>
        <v>0</v>
      </c>
      <c r="AX224" s="2">
        <f>IFERROR(INDEX(TEAM_ANALYSIS!$H$2:$H$21,MATCH($B224,TEAM_ANALYSIS!$A$2:$A$21,0)),0)</f>
        <v>1.6666666666666667</v>
      </c>
      <c r="AY224" s="2">
        <f t="shared" si="98"/>
        <v>0</v>
      </c>
      <c r="AZ224" s="2">
        <f t="shared" si="99"/>
        <v>0</v>
      </c>
      <c r="BA224">
        <f t="shared" si="100"/>
        <v>0</v>
      </c>
      <c r="BB224">
        <f>IFERROR(Player_Analysis!$Y224,1)</f>
        <v>0.97467649467649475</v>
      </c>
      <c r="BC224">
        <f t="shared" si="101"/>
        <v>0</v>
      </c>
      <c r="BD224">
        <f t="shared" si="102"/>
        <v>0</v>
      </c>
      <c r="BE224">
        <f t="shared" si="103"/>
        <v>0</v>
      </c>
      <c r="BF224">
        <f t="shared" si="104"/>
        <v>253</v>
      </c>
      <c r="BG224">
        <f>IF($BE224="","",COUNTIFS($C$2:$C$596,$C224,$BE$2:$BE$596,"&gt;"&amp;$BE224)+COUNTIFS($C$2:$C224,$C224,$BE$2:$BE224,$BE224))</f>
        <v>33</v>
      </c>
    </row>
    <row r="225" spans="1:59" x14ac:dyDescent="0.25">
      <c r="A225" t="str">
        <f>Player_Analysis!A225</f>
        <v>Evann Guessand</v>
      </c>
      <c r="B225">
        <f>Player_Analysis!C225</f>
        <v>8</v>
      </c>
      <c r="C225" t="str">
        <f>Player_Analysis!B225</f>
        <v>MID</v>
      </c>
      <c r="D225" s="13">
        <f>Player_Analysis!E225</f>
        <v>5.5</v>
      </c>
      <c r="E225">
        <f>Player_Analysis!I225</f>
        <v>54</v>
      </c>
      <c r="F225" s="8">
        <f>Player_Analysis!Z225</f>
        <v>0</v>
      </c>
      <c r="G225" s="17">
        <f t="shared" si="79"/>
        <v>0</v>
      </c>
      <c r="H225">
        <f t="shared" si="80"/>
        <v>0</v>
      </c>
      <c r="I225" s="8">
        <f>Player_Analysis!AF225</f>
        <v>0</v>
      </c>
      <c r="J225" s="8">
        <f>Player_Analysis!AG225</f>
        <v>0</v>
      </c>
      <c r="K225">
        <f>Player_Analysis!O225</f>
        <v>0.03</v>
      </c>
      <c r="L225">
        <f>Player_Analysis!P225</f>
        <v>0.03</v>
      </c>
      <c r="M225">
        <f t="shared" si="81"/>
        <v>0.05</v>
      </c>
      <c r="N225">
        <f t="shared" si="82"/>
        <v>0.05</v>
      </c>
      <c r="O225" s="2">
        <f>IF(E225=0,"",Player_Analysis!L225/E225*90)</f>
        <v>3.333333333333333</v>
      </c>
      <c r="P225">
        <f>IF(E225=0,"",Player_Analysis!Q225/E225*90)</f>
        <v>0.1</v>
      </c>
      <c r="Q225">
        <f>IF(E225=0,"",(Player_Analysis!AD225/E225)*90)</f>
        <v>10</v>
      </c>
      <c r="R225">
        <f>IF(E225=0,"",Player_Analysis!AA225/E225*90)</f>
        <v>3.333333333333333</v>
      </c>
      <c r="S225" t="str">
        <f t="array" ref="S225">IFERROR(INDEX('2023_24'!$O:$O,MATCH($A225,'2023_24'!$A:$A,0)),"")</f>
        <v/>
      </c>
      <c r="T225" t="str">
        <f>IFERROR(INDEX('2024_25'!$P:$P,MATCH($A225,'2024_25'!$A:$A,0)),"")</f>
        <v/>
      </c>
      <c r="U225">
        <f>IFERROR(INDEX('2025_26'!$P:$P,MATCH($A225,'2025_26'!$A:$A,0)),"")</f>
        <v>0.15445544554455448</v>
      </c>
      <c r="V225" t="str">
        <f>IFERROR(INDEX('2023_24'!$P:$P,MATCH($A225,'2023_24'!$A:$A,0)),"")</f>
        <v/>
      </c>
      <c r="W225" t="str">
        <f>IFERROR(INDEX('2024_25'!$Q:$Q,MATCH($A225,'2024_25'!$A:$A,0)),"")</f>
        <v/>
      </c>
      <c r="X225">
        <f>IFERROR(INDEX('2025_26'!$Q:$Q,MATCH($A225,'2025_26'!$A:$A,0)),"")</f>
        <v>8.415841584158415E-2</v>
      </c>
      <c r="Y225" t="str">
        <f>IFERROR(INDEX('2023_24'!$M:$M,MATCH($A225,'2023_24'!$A:$A,0))/INDEX('2023_24'!$G:$G,MATCH($A225,'2023_24'!$A:$A,0))*90,"")</f>
        <v/>
      </c>
      <c r="Z225" t="str">
        <f>IFERROR(INDEX('2024_25'!$M:$M,MATCH($A225,'2024_25'!$A:$A,0))/INDEX('2024_25'!$G:$G,MATCH($A225,'2024_25'!$A:$A,0))*90,"")</f>
        <v/>
      </c>
      <c r="AA225">
        <f>IFERROR(INDEX('2025_26'!$M:$M,MATCH($A225,'2025_26'!$A:$A,0))/INDEX('2025_26'!$G:$G,MATCH($A225,'2025_26'!$A:$A,0))*90,"")</f>
        <v>4.3564356435643559</v>
      </c>
      <c r="AB225">
        <f>IFERROR(SUMPRODUCT(S225:U225,{0.2,0.3,0.5})/SUMPRODUCT(--(S225:U225&lt;&gt;""),{0.2,0.3,0.5}),"")</f>
        <v>0.15445544554455448</v>
      </c>
      <c r="AC225">
        <f>IFERROR(SUMPRODUCT(V225:X225,{0.2,0.3,0.5})/SUMPRODUCT(--(V225:X225&lt;&gt;""),{0.2,0.3,0.5}),"")</f>
        <v>8.415841584158415E-2</v>
      </c>
      <c r="AD225">
        <f>IFERROR(SUMPRODUCT(Y225:AA225,{0.2,0.3,0.5})/SUMPRODUCT((Y225:AA225&lt;&gt;"")*{0.2,0.3,0.5}),O225)</f>
        <v>4.3564356435643559</v>
      </c>
      <c r="AE225">
        <f t="shared" si="83"/>
        <v>1</v>
      </c>
      <c r="AF225" t="str">
        <f t="shared" si="84"/>
        <v/>
      </c>
      <c r="AG225">
        <f t="shared" si="85"/>
        <v>0.13565346534653469</v>
      </c>
      <c r="AH225">
        <f t="shared" si="86"/>
        <v>7.8009900990098996E-2</v>
      </c>
      <c r="AI225" s="2">
        <f t="shared" si="87"/>
        <v>4.1722772277227715</v>
      </c>
      <c r="AJ225">
        <f t="shared" si="88"/>
        <v>0.18</v>
      </c>
      <c r="AK225" t="str">
        <f t="shared" si="89"/>
        <v>NO</v>
      </c>
      <c r="AL225">
        <f t="shared" si="90"/>
        <v>0</v>
      </c>
      <c r="AM225">
        <f t="shared" si="91"/>
        <v>0</v>
      </c>
      <c r="AN225">
        <f t="shared" si="92"/>
        <v>0</v>
      </c>
      <c r="AO225">
        <f t="shared" si="93"/>
        <v>0</v>
      </c>
      <c r="AP225">
        <f t="array" ref="AP225">AL225*IF($C225="GKP",10,IF($C225="DEF",6,IF($C225="MID",5,4)))</f>
        <v>0</v>
      </c>
      <c r="AQ225">
        <f t="shared" si="94"/>
        <v>0</v>
      </c>
      <c r="AR225">
        <f t="shared" si="95"/>
        <v>0</v>
      </c>
      <c r="AS225" s="2">
        <f>IF($H225=0,0,Player_Analysis!$AM225*$H225/90)</f>
        <v>0</v>
      </c>
      <c r="AT225">
        <f t="shared" si="96"/>
        <v>0</v>
      </c>
      <c r="AU225" s="2">
        <f>0</f>
        <v>0</v>
      </c>
      <c r="AV225" s="2">
        <f>IF(INDEX(FPL_Raw_Data!K:K,MATCH(A225,FPL_Raw_Data!AA:AA,0))=0,"",INDEX(FPL_Raw_Data!P:P,MATCH(A225,FPL_Raw_Data!AA:AA,0))/INDEX(FPL_Raw_Data!K:K,MATCH(A225,FPL_Raw_Data!AA:AA,0))*90)</f>
        <v>0</v>
      </c>
      <c r="AW225" s="2">
        <f t="shared" si="97"/>
        <v>0</v>
      </c>
      <c r="AX225" s="2">
        <f>IFERROR(INDEX(TEAM_ANALYSIS!$H$2:$H$21,MATCH($B225,TEAM_ANALYSIS!$A$2:$A$21,0)),0)</f>
        <v>2.6666666666666665</v>
      </c>
      <c r="AY225" s="2">
        <f t="shared" si="98"/>
        <v>0</v>
      </c>
      <c r="AZ225" s="2">
        <f t="shared" si="99"/>
        <v>0</v>
      </c>
      <c r="BA225">
        <f t="shared" si="100"/>
        <v>0</v>
      </c>
      <c r="BB225">
        <f>IFERROR(Player_Analysis!$Y225,1)</f>
        <v>0.9782093425605537</v>
      </c>
      <c r="BC225">
        <f t="shared" si="101"/>
        <v>0</v>
      </c>
      <c r="BD225">
        <f t="shared" si="102"/>
        <v>0</v>
      </c>
      <c r="BE225">
        <f t="shared" si="103"/>
        <v>0</v>
      </c>
      <c r="BF225">
        <f t="shared" si="104"/>
        <v>253</v>
      </c>
      <c r="BG225">
        <f>IF($BE225="","",COUNTIFS($C$2:$C$596,$C225,$BE$2:$BE$596,"&gt;"&amp;$BE225)+COUNTIFS($C$2:$C225,$C225,$BE$2:$BE225,$BE225))</f>
        <v>168</v>
      </c>
    </row>
    <row r="226" spans="1:59" x14ac:dyDescent="0.25">
      <c r="A226" t="str">
        <f>Player_Analysis!A226</f>
        <v>Axel Disasi</v>
      </c>
      <c r="B226">
        <f>Player_Analysis!C226</f>
        <v>8</v>
      </c>
      <c r="C226" t="str">
        <f>Player_Analysis!B226</f>
        <v>DEF</v>
      </c>
      <c r="D226" s="13">
        <f>Player_Analysis!E226</f>
        <v>4.5</v>
      </c>
      <c r="E226">
        <f>Player_Analysis!I226</f>
        <v>106</v>
      </c>
      <c r="F226" s="8">
        <f>Player_Analysis!Z226</f>
        <v>1</v>
      </c>
      <c r="G226" s="17">
        <f t="shared" si="79"/>
        <v>0.84905660377358483</v>
      </c>
      <c r="H226">
        <f t="shared" si="80"/>
        <v>76.415094339622641</v>
      </c>
      <c r="I226" s="8">
        <f>Player_Analysis!AF226</f>
        <v>0</v>
      </c>
      <c r="J226" s="8">
        <f>Player_Analysis!AG226</f>
        <v>0</v>
      </c>
      <c r="K226">
        <f>Player_Analysis!O226</f>
        <v>0</v>
      </c>
      <c r="L226">
        <f>Player_Analysis!P226</f>
        <v>0.04</v>
      </c>
      <c r="M226">
        <f t="shared" si="81"/>
        <v>0</v>
      </c>
      <c r="N226">
        <f t="shared" si="82"/>
        <v>3.3962264150943396E-2</v>
      </c>
      <c r="O226" s="2">
        <f>IF(E226=0,"",Player_Analysis!L226/E226*90)</f>
        <v>3.3962264150943393</v>
      </c>
      <c r="P226">
        <f>IF(E226=0,"",Player_Analysis!Q226/E226*90)</f>
        <v>3.3962264150943396E-2</v>
      </c>
      <c r="Q226">
        <f>IF(E226=0,"",(Player_Analysis!AD226/E226)*90)</f>
        <v>10.188679245283019</v>
      </c>
      <c r="R226">
        <f>IF(E226=0,"",Player_Analysis!AA226/E226*90)</f>
        <v>11.886792452830189</v>
      </c>
      <c r="S226">
        <f t="array" ref="S226">IFERROR(INDEX('2023_24'!$O:$O,MATCH($A226,'2023_24'!$A:$A,0)),"")</f>
        <v>8.2008530438154328E-2</v>
      </c>
      <c r="T226">
        <f>IFERROR(INDEX('2024_25'!$P:$P,MATCH($A226,'2024_25'!$A:$A,0)),"")</f>
        <v>3.9130434782608699E-2</v>
      </c>
      <c r="U226">
        <f>IFERROR(INDEX('2025_26'!$P:$P,MATCH($A226,'2025_26'!$A:$A,0)),"")</f>
        <v>7.8947368421052641E-2</v>
      </c>
      <c r="V226">
        <f>IFERROR(INDEX('2023_24'!$P:$P,MATCH($A226,'2023_24'!$A:$A,0)),"")</f>
        <v>5.0949980612640555E-2</v>
      </c>
      <c r="W226">
        <f>IFERROR(INDEX('2024_25'!$Q:$Q,MATCH($A226,'2024_25'!$A:$A,0)),"")</f>
        <v>3.9130434782608699E-2</v>
      </c>
      <c r="X226">
        <f>IFERROR(INDEX('2025_26'!$Q:$Q,MATCH($A226,'2025_26'!$A:$A,0)),"")</f>
        <v>2.1531100478468898E-3</v>
      </c>
      <c r="Y226">
        <f>IFERROR(INDEX('2023_24'!$M:$M,MATCH($A226,'2023_24'!$A:$A,0))/INDEX('2023_24'!$G:$G,MATCH($A226,'2023_24'!$A:$A,0))*90,"")</f>
        <v>2.4777045366421095</v>
      </c>
      <c r="Z226">
        <f>IFERROR(INDEX('2024_25'!$M:$M,MATCH($A226,'2024_25'!$A:$A,0))/INDEX('2024_25'!$G:$G,MATCH($A226,'2024_25'!$A:$A,0))*90,"")</f>
        <v>3.4900117508813162</v>
      </c>
      <c r="AA226">
        <f>IFERROR(INDEX('2025_26'!$M:$M,MATCH($A226,'2025_26'!$A:$A,0))/INDEX('2025_26'!$G:$G,MATCH($A226,'2025_26'!$A:$A,0))*90,"")</f>
        <v>3.5167464114832536</v>
      </c>
      <c r="AB226">
        <f>IFERROR(SUMPRODUCT(S226:U226,{0.2,0.3,0.5})/SUMPRODUCT(--(S226:U226&lt;&gt;""),{0.2,0.3,0.5}),"")</f>
        <v>6.7614520732939803E-2</v>
      </c>
      <c r="AC226">
        <f>IFERROR(SUMPRODUCT(V226:X226,{0.2,0.3,0.5})/SUMPRODUCT(--(V226:X226&lt;&gt;""),{0.2,0.3,0.5}),"")</f>
        <v>2.3005681581234168E-2</v>
      </c>
      <c r="AD226">
        <f>IFERROR(SUMPRODUCT(Y226:AA226,{0.2,0.3,0.5})/SUMPRODUCT((Y226:AA226&lt;&gt;"")*{0.2,0.3,0.5}),O226)</f>
        <v>3.3009176383344432</v>
      </c>
      <c r="AE226">
        <f t="shared" si="83"/>
        <v>3</v>
      </c>
      <c r="AF226">
        <f t="shared" si="84"/>
        <v>106</v>
      </c>
      <c r="AG226">
        <f t="shared" si="85"/>
        <v>4.3724056740634412E-2</v>
      </c>
      <c r="AH226">
        <f t="shared" si="86"/>
        <v>2.6877007422531431E-2</v>
      </c>
      <c r="AI226" s="2">
        <f t="shared" si="87"/>
        <v>3.3345934061229396</v>
      </c>
      <c r="AJ226">
        <f t="shared" si="88"/>
        <v>0.35333333333333333</v>
      </c>
      <c r="AK226" t="str">
        <f t="shared" si="89"/>
        <v>NO</v>
      </c>
      <c r="AL226">
        <f t="shared" si="90"/>
        <v>3.7124199119406578E-2</v>
      </c>
      <c r="AM226">
        <f t="shared" si="91"/>
        <v>2.2820100641771972E-2</v>
      </c>
      <c r="AN226">
        <f t="shared" si="92"/>
        <v>3.7124199119406578E-2</v>
      </c>
      <c r="AO226">
        <f t="shared" si="93"/>
        <v>2.2820100641771972E-2</v>
      </c>
      <c r="AP226">
        <f t="array" ref="AP226">AL226*IF($C226="GKP",10,IF($C226="DEF",6,IF($C226="MID",5,4)))</f>
        <v>0.22274519471643947</v>
      </c>
      <c r="AQ226">
        <f t="shared" si="94"/>
        <v>6.8460301925315908E-2</v>
      </c>
      <c r="AR226">
        <f t="shared" si="95"/>
        <v>1.6981132075471697</v>
      </c>
      <c r="AS226" s="2">
        <f>IF($H226=0,0,Player_Analysis!$AM226*$H226/90)</f>
        <v>0</v>
      </c>
      <c r="AT226">
        <f t="shared" si="96"/>
        <v>2.0185119259522963</v>
      </c>
      <c r="AU226" s="2">
        <f>0</f>
        <v>0</v>
      </c>
      <c r="AV226" s="2">
        <f>IF(INDEX(FPL_Raw_Data!K:K,MATCH(A226,FPL_Raw_Data!AA:AA,0))=0,"",INDEX(FPL_Raw_Data!P:P,MATCH(A226,FPL_Raw_Data!AA:AA,0))/INDEX(FPL_Raw_Data!K:K,MATCH(A226,FPL_Raw_Data!AA:AA,0))*90)</f>
        <v>0</v>
      </c>
      <c r="AW226" s="2">
        <f t="shared" si="97"/>
        <v>0</v>
      </c>
      <c r="AX226" s="2">
        <f>IFERROR(INDEX(TEAM_ANALYSIS!$H$2:$H$21,MATCH($B226,TEAM_ANALYSIS!$A$2:$A$21,0)),0)</f>
        <v>2.6666666666666665</v>
      </c>
      <c r="AY226" s="2">
        <f t="shared" si="98"/>
        <v>-1.3333333333333333</v>
      </c>
      <c r="AZ226" s="2">
        <f t="shared" si="99"/>
        <v>2.6744972968078882</v>
      </c>
      <c r="BA226">
        <f t="shared" si="100"/>
        <v>0.59433273262397512</v>
      </c>
      <c r="BB226">
        <f>IFERROR(Player_Analysis!$Y226,1)</f>
        <v>0.8321125967628431</v>
      </c>
      <c r="BC226">
        <f t="shared" si="101"/>
        <v>2.2254828906820161</v>
      </c>
      <c r="BD226">
        <f t="shared" si="102"/>
        <v>1.3226773278269459</v>
      </c>
      <c r="BE226">
        <f t="shared" si="103"/>
        <v>2.2254828906820161</v>
      </c>
      <c r="BF226">
        <f t="shared" si="104"/>
        <v>235</v>
      </c>
      <c r="BG226">
        <f>IF($BE226="","",COUNTIFS($C$2:$C$596,$C226,$BE$2:$BE$596,"&gt;"&amp;$BE226)+COUNTIFS($C$2:$C226,$C226,$BE$2:$BE226,$BE226))</f>
        <v>80</v>
      </c>
    </row>
    <row r="227" spans="1:59" x14ac:dyDescent="0.25">
      <c r="A227" t="str">
        <f>Player_Analysis!A227</f>
        <v>Dean Henderson</v>
      </c>
      <c r="B227">
        <f>Player_Analysis!C227</f>
        <v>8</v>
      </c>
      <c r="C227" t="str">
        <f>Player_Analysis!B227</f>
        <v>GK</v>
      </c>
      <c r="D227" s="13">
        <f>Player_Analysis!E227</f>
        <v>5</v>
      </c>
      <c r="E227">
        <f>Player_Analysis!I227</f>
        <v>270</v>
      </c>
      <c r="F227" s="8">
        <f>Player_Analysis!Z227</f>
        <v>3</v>
      </c>
      <c r="G227" s="17">
        <f t="shared" si="79"/>
        <v>1</v>
      </c>
      <c r="H227">
        <f t="shared" si="80"/>
        <v>90</v>
      </c>
      <c r="I227" s="8">
        <f>Player_Analysis!AF227</f>
        <v>0</v>
      </c>
      <c r="J227" s="8">
        <f>Player_Analysis!AG227</f>
        <v>0</v>
      </c>
      <c r="K227">
        <f>Player_Analysis!O227</f>
        <v>0</v>
      </c>
      <c r="L227">
        <f>Player_Analysis!P227</f>
        <v>0</v>
      </c>
      <c r="M227">
        <f t="shared" si="81"/>
        <v>0</v>
      </c>
      <c r="N227">
        <f t="shared" si="82"/>
        <v>0</v>
      </c>
      <c r="O227" s="2">
        <f>IF(E227=0,"",Player_Analysis!L227/E227*90)</f>
        <v>1.6666666666666665</v>
      </c>
      <c r="P227">
        <f>IF(E227=0,"",Player_Analysis!Q227/E227*90)</f>
        <v>0</v>
      </c>
      <c r="Q227">
        <f>IF(E227=0,"",(Player_Analysis!AD227/E227)*90)</f>
        <v>12.333333333333334</v>
      </c>
      <c r="R227">
        <f>IF(E227=0,"",Player_Analysis!AA227/E227*90)</f>
        <v>0</v>
      </c>
      <c r="S227">
        <f t="array" ref="S227">IFERROR(INDEX('2023_24'!$O:$O,MATCH($A227,'2023_24'!$A:$A,0)),"")</f>
        <v>0</v>
      </c>
      <c r="T227">
        <f>IFERROR(INDEX('2024_25'!$P:$P,MATCH($A227,'2024_25'!$A:$A,0)),"")</f>
        <v>2.631578947368421E-4</v>
      </c>
      <c r="U227">
        <f>IFERROR(INDEX('2025_26'!$P:$P,MATCH($A227,'2025_26'!$A:$A,0)),"")</f>
        <v>0</v>
      </c>
      <c r="V227">
        <f>IFERROR(INDEX('2023_24'!$P:$P,MATCH($A227,'2023_24'!$A:$A,0)),"")</f>
        <v>5.5555555555555556E-4</v>
      </c>
      <c r="W227">
        <f>IFERROR(INDEX('2024_25'!$Q:$Q,MATCH($A227,'2024_25'!$A:$A,0)),"")</f>
        <v>5.263157894736842E-4</v>
      </c>
      <c r="X227">
        <f>IFERROR(INDEX('2025_26'!$Q:$Q,MATCH($A227,'2025_26'!$A:$A,0)),"")</f>
        <v>2.972972972972973E-3</v>
      </c>
      <c r="Y227">
        <f>IFERROR(INDEX('2023_24'!$M:$M,MATCH($A227,'2023_24'!$A:$A,0))/INDEX('2023_24'!$G:$G,MATCH($A227,'2023_24'!$A:$A,0))*90,"")</f>
        <v>2.666666666666667</v>
      </c>
      <c r="Z227">
        <f>IFERROR(INDEX('2024_25'!$M:$M,MATCH($A227,'2024_25'!$A:$A,0))/INDEX('2024_25'!$G:$G,MATCH($A227,'2024_25'!$A:$A,0))*90,"")</f>
        <v>3.5526315789473681</v>
      </c>
      <c r="AA227">
        <f>IFERROR(INDEX('2025_26'!$M:$M,MATCH($A227,'2025_26'!$A:$A,0))/INDEX('2025_26'!$G:$G,MATCH($A227,'2025_26'!$A:$A,0))*90,"")</f>
        <v>3.5405405405405408</v>
      </c>
      <c r="AB227">
        <f>IFERROR(SUMPRODUCT(S227:U227,{0.2,0.3,0.5})/SUMPRODUCT(--(S227:U227&lt;&gt;""),{0.2,0.3,0.5}),"")</f>
        <v>7.8947368421052633E-5</v>
      </c>
      <c r="AC227">
        <f>IFERROR(SUMPRODUCT(V227:X227,{0.2,0.3,0.5})/SUMPRODUCT(--(V227:X227&lt;&gt;""),{0.2,0.3,0.5}),"")</f>
        <v>1.7554923344397029E-3</v>
      </c>
      <c r="AD227">
        <f>IFERROR(SUMPRODUCT(Y227:AA227,{0.2,0.3,0.5})/SUMPRODUCT((Y227:AA227&lt;&gt;"")*{0.2,0.3,0.5}),O227)</f>
        <v>3.369393077287814</v>
      </c>
      <c r="AE227">
        <f t="shared" si="83"/>
        <v>3</v>
      </c>
      <c r="AF227">
        <f t="shared" si="84"/>
        <v>90</v>
      </c>
      <c r="AG227">
        <f t="shared" si="85"/>
        <v>7.8947368421052612E-6</v>
      </c>
      <c r="AH227">
        <f t="shared" si="86"/>
        <v>1.7554923344397026E-4</v>
      </c>
      <c r="AI227" s="2">
        <f t="shared" si="87"/>
        <v>1.8369393077287812</v>
      </c>
      <c r="AJ227">
        <f t="shared" si="88"/>
        <v>0.9</v>
      </c>
      <c r="AK227" t="str">
        <f t="shared" si="89"/>
        <v>NO</v>
      </c>
      <c r="AL227">
        <f t="shared" si="90"/>
        <v>7.8947368421052612E-6</v>
      </c>
      <c r="AM227">
        <f t="shared" si="91"/>
        <v>1.7554923344397026E-4</v>
      </c>
      <c r="AN227">
        <f t="shared" si="92"/>
        <v>7.8947368421052612E-6</v>
      </c>
      <c r="AO227">
        <f t="shared" si="93"/>
        <v>1.7554923344397026E-4</v>
      </c>
      <c r="AP227">
        <f t="array" ref="AP227">AL227*IF($C227="GKP",10,IF($C227="DEF",6,IF($C227="MID",5,4)))</f>
        <v>3.1578947368421045E-5</v>
      </c>
      <c r="AQ227">
        <f t="shared" si="94"/>
        <v>5.2664770033191083E-4</v>
      </c>
      <c r="AR227">
        <f t="shared" si="95"/>
        <v>2</v>
      </c>
      <c r="AS227" s="2">
        <f>IF($H227=0,0,Player_Analysis!$AM227*$H227/90)</f>
        <v>0</v>
      </c>
      <c r="AT227">
        <f t="shared" si="96"/>
        <v>0</v>
      </c>
      <c r="AU227" s="2">
        <f>0</f>
        <v>0</v>
      </c>
      <c r="AV227" s="2">
        <f>IF(INDEX(FPL_Raw_Data!K:K,MATCH(A227,FPL_Raw_Data!AA:AA,0))=0,"",INDEX(FPL_Raw_Data!P:P,MATCH(A227,FPL_Raw_Data!AA:AA,0))/INDEX(FPL_Raw_Data!K:K,MATCH(A227,FPL_Raw_Data!AA:AA,0))*90)</f>
        <v>4</v>
      </c>
      <c r="AW227" s="2">
        <f t="shared" si="97"/>
        <v>1.3333333333333333</v>
      </c>
      <c r="AX227" s="2">
        <f>IFERROR(INDEX(TEAM_ANALYSIS!$H$2:$H$21,MATCH($B227,TEAM_ANALYSIS!$A$2:$A$21,0)),0)</f>
        <v>2.6666666666666665</v>
      </c>
      <c r="AY227" s="2">
        <f t="shared" si="98"/>
        <v>0</v>
      </c>
      <c r="AZ227" s="2">
        <f t="shared" si="99"/>
        <v>3.3338915599810335</v>
      </c>
      <c r="BA227">
        <f t="shared" si="100"/>
        <v>0.66677831199620674</v>
      </c>
      <c r="BB227">
        <f>IFERROR(Player_Analysis!$Y227,1)</f>
        <v>0.8321125967628431</v>
      </c>
      <c r="BC227">
        <f t="shared" si="101"/>
        <v>2.7741731633015436</v>
      </c>
      <c r="BD227">
        <f t="shared" si="102"/>
        <v>1.8497584990113805</v>
      </c>
      <c r="BE227">
        <f t="shared" si="103"/>
        <v>2.7741731633015436</v>
      </c>
      <c r="BF227">
        <f t="shared" si="104"/>
        <v>213</v>
      </c>
      <c r="BG227">
        <f>IF($BE227="","",COUNTIFS($C$2:$C$596,$C227,$BE$2:$BE$596,"&gt;"&amp;$BE227)+COUNTIFS($C$2:$C227,$C227,$BE$2:$BE227,$BE227))</f>
        <v>18</v>
      </c>
    </row>
    <row r="228" spans="1:59" x14ac:dyDescent="0.25">
      <c r="A228" t="str">
        <f>Player_Analysis!A228</f>
        <v>Walter Benítez</v>
      </c>
      <c r="B228">
        <f>Player_Analysis!C228</f>
        <v>8</v>
      </c>
      <c r="C228" t="str">
        <f>Player_Analysis!B228</f>
        <v>GK</v>
      </c>
      <c r="D228" s="13">
        <f>Player_Analysis!E228</f>
        <v>4.5</v>
      </c>
      <c r="E228">
        <f>Player_Analysis!I228</f>
        <v>0</v>
      </c>
      <c r="F228" s="8">
        <f>Player_Analysis!Z228</f>
        <v>0</v>
      </c>
      <c r="G228" s="17">
        <f t="shared" si="79"/>
        <v>0</v>
      </c>
      <c r="H228">
        <f t="shared" si="80"/>
        <v>0</v>
      </c>
      <c r="I228" s="8">
        <f>Player_Analysis!AF228</f>
        <v>0</v>
      </c>
      <c r="J228" s="8">
        <f>Player_Analysis!AG228</f>
        <v>0</v>
      </c>
      <c r="K228">
        <f>Player_Analysis!O228</f>
        <v>0</v>
      </c>
      <c r="L228">
        <f>Player_Analysis!P228</f>
        <v>0</v>
      </c>
      <c r="M228" t="str">
        <f t="shared" si="81"/>
        <v/>
      </c>
      <c r="N228" t="str">
        <f t="shared" si="82"/>
        <v/>
      </c>
      <c r="O228" s="2" t="str">
        <f>IF(E228=0,"",Player_Analysis!L228/E228*90)</f>
        <v/>
      </c>
      <c r="P228" t="str">
        <f>IF(E228=0,"",Player_Analysis!Q228/E228*90)</f>
        <v/>
      </c>
      <c r="Q228" t="str">
        <f>IF(E228=0,"",(Player_Analysis!AD228/E228)*90)</f>
        <v/>
      </c>
      <c r="R228" t="str">
        <f>IF(E228=0,"",Player_Analysis!AA228/E228*90)</f>
        <v/>
      </c>
      <c r="S228" t="str">
        <f t="array" ref="S228">IFERROR(INDEX('2023_24'!$O:$O,MATCH($A228,'2023_24'!$A:$A,0)),"")</f>
        <v/>
      </c>
      <c r="T228" t="str">
        <f>IFERROR(INDEX('2024_25'!$P:$P,MATCH($A228,'2024_25'!$A:$A,0)),"")</f>
        <v/>
      </c>
      <c r="U228">
        <f>IFERROR(INDEX('2025_26'!$P:$P,MATCH($A228,'2025_26'!$A:$A,0)),"")</f>
        <v>0</v>
      </c>
      <c r="V228" t="str">
        <f>IFERROR(INDEX('2023_24'!$P:$P,MATCH($A228,'2023_24'!$A:$A,0)),"")</f>
        <v/>
      </c>
      <c r="W228" t="str">
        <f>IFERROR(INDEX('2024_25'!$Q:$Q,MATCH($A228,'2024_25'!$A:$A,0)),"")</f>
        <v/>
      </c>
      <c r="X228">
        <f>IFERROR(INDEX('2025_26'!$Q:$Q,MATCH($A228,'2025_26'!$A:$A,0)),"")</f>
        <v>0</v>
      </c>
      <c r="Y228" t="str">
        <f>IFERROR(INDEX('2023_24'!$M:$M,MATCH($A228,'2023_24'!$A:$A,0))/INDEX('2023_24'!$G:$G,MATCH($A228,'2023_24'!$A:$A,0))*90,"")</f>
        <v/>
      </c>
      <c r="Z228" t="str">
        <f>IFERROR(INDEX('2024_25'!$M:$M,MATCH($A228,'2024_25'!$A:$A,0))/INDEX('2024_25'!$G:$G,MATCH($A228,'2024_25'!$A:$A,0))*90,"")</f>
        <v/>
      </c>
      <c r="AA228">
        <f>IFERROR(INDEX('2025_26'!$M:$M,MATCH($A228,'2025_26'!$A:$A,0))/INDEX('2025_26'!$G:$G,MATCH($A228,'2025_26'!$A:$A,0))*90,"")</f>
        <v>7</v>
      </c>
      <c r="AB228">
        <f>IFERROR(SUMPRODUCT(S228:U228,{0.2,0.3,0.5})/SUMPRODUCT(--(S228:U228&lt;&gt;""),{0.2,0.3,0.5}),"")</f>
        <v>0</v>
      </c>
      <c r="AC228">
        <f>IFERROR(SUMPRODUCT(V228:X228,{0.2,0.3,0.5})/SUMPRODUCT(--(V228:X228&lt;&gt;""),{0.2,0.3,0.5}),"")</f>
        <v>0</v>
      </c>
      <c r="AD228">
        <f>IFERROR(SUMPRODUCT(Y228:AA228,{0.2,0.3,0.5})/SUMPRODUCT((Y228:AA228&lt;&gt;"")*{0.2,0.3,0.5}),O228)</f>
        <v>7</v>
      </c>
      <c r="AE228">
        <f t="shared" si="83"/>
        <v>1</v>
      </c>
      <c r="AF228" t="str">
        <f t="shared" si="84"/>
        <v/>
      </c>
      <c r="AG228">
        <f t="shared" si="85"/>
        <v>0</v>
      </c>
      <c r="AH228">
        <f t="shared" si="86"/>
        <v>0</v>
      </c>
      <c r="AI228" s="2">
        <f t="shared" si="87"/>
        <v>7</v>
      </c>
      <c r="AJ228">
        <f t="shared" si="88"/>
        <v>0</v>
      </c>
      <c r="AK228" t="str">
        <f t="shared" si="89"/>
        <v>NO</v>
      </c>
      <c r="AL228">
        <f t="shared" si="90"/>
        <v>0</v>
      </c>
      <c r="AM228">
        <f t="shared" si="91"/>
        <v>0</v>
      </c>
      <c r="AN228">
        <f t="shared" si="92"/>
        <v>0</v>
      </c>
      <c r="AO228">
        <f t="shared" si="93"/>
        <v>0</v>
      </c>
      <c r="AP228">
        <f t="array" ref="AP228">AL228*IF($C228="GKP",10,IF($C228="DEF",6,IF($C228="MID",5,4)))</f>
        <v>0</v>
      </c>
      <c r="AQ228">
        <f t="shared" si="94"/>
        <v>0</v>
      </c>
      <c r="AR228">
        <f t="shared" si="95"/>
        <v>0</v>
      </c>
      <c r="AS228" s="2">
        <f>IF($H228=0,0,Player_Analysis!$AM228*$H228/90)</f>
        <v>0</v>
      </c>
      <c r="AT228">
        <f t="shared" si="96"/>
        <v>0</v>
      </c>
      <c r="AU228" s="2">
        <f>0</f>
        <v>0</v>
      </c>
      <c r="AV228" s="2" t="str">
        <f>IF(INDEX(FPL_Raw_Data!K:K,MATCH(A228,FPL_Raw_Data!AA:AA,0))=0,"",INDEX(FPL_Raw_Data!P:P,MATCH(A228,FPL_Raw_Data!AA:AA,0))/INDEX(FPL_Raw_Data!K:K,MATCH(A228,FPL_Raw_Data!AA:AA,0))*90)</f>
        <v/>
      </c>
      <c r="AW228" s="2">
        <f t="shared" si="97"/>
        <v>0</v>
      </c>
      <c r="AX228" s="2">
        <f>IFERROR(INDEX(TEAM_ANALYSIS!$H$2:$H$21,MATCH($B228,TEAM_ANALYSIS!$A$2:$A$21,0)),0)</f>
        <v>2.6666666666666665</v>
      </c>
      <c r="AY228" s="2">
        <f t="shared" si="98"/>
        <v>0</v>
      </c>
      <c r="AZ228" s="2">
        <f t="shared" si="99"/>
        <v>0</v>
      </c>
      <c r="BA228">
        <f t="shared" si="100"/>
        <v>0</v>
      </c>
      <c r="BB228">
        <f>IFERROR(Player_Analysis!$Y228,1)</f>
        <v>0.8321125967628431</v>
      </c>
      <c r="BC228">
        <f t="shared" si="101"/>
        <v>0</v>
      </c>
      <c r="BD228">
        <f t="shared" si="102"/>
        <v>0</v>
      </c>
      <c r="BE228">
        <f t="shared" si="103"/>
        <v>0</v>
      </c>
      <c r="BF228">
        <f t="shared" si="104"/>
        <v>253</v>
      </c>
      <c r="BG228">
        <f>IF($BE228="","",COUNTIFS($C$2:$C$596,$C228,$BE$2:$BE$596,"&gt;"&amp;$BE228)+COUNTIFS($C$2:$C228,$C228,$BE$2:$BE228,$BE228))</f>
        <v>34</v>
      </c>
    </row>
    <row r="229" spans="1:59" x14ac:dyDescent="0.25">
      <c r="A229" t="str">
        <f>Player_Analysis!A229</f>
        <v>Chris Richards</v>
      </c>
      <c r="B229">
        <f>Player_Analysis!C229</f>
        <v>8</v>
      </c>
      <c r="C229" t="str">
        <f>Player_Analysis!B229</f>
        <v>DEF</v>
      </c>
      <c r="D229" s="13">
        <f>Player_Analysis!E229</f>
        <v>5</v>
      </c>
      <c r="E229">
        <f>Player_Analysis!I229</f>
        <v>270</v>
      </c>
      <c r="F229" s="8">
        <f>Player_Analysis!Z229</f>
        <v>3</v>
      </c>
      <c r="G229" s="17">
        <f t="shared" si="79"/>
        <v>1</v>
      </c>
      <c r="H229">
        <f t="shared" si="80"/>
        <v>90</v>
      </c>
      <c r="I229" s="8">
        <f>Player_Analysis!AF229</f>
        <v>0</v>
      </c>
      <c r="J229" s="8">
        <f>Player_Analysis!AG229</f>
        <v>0</v>
      </c>
      <c r="K229">
        <f>Player_Analysis!O229</f>
        <v>0.08</v>
      </c>
      <c r="L229">
        <f>Player_Analysis!P229</f>
        <v>0</v>
      </c>
      <c r="M229">
        <f t="shared" si="81"/>
        <v>2.6666666666666665E-2</v>
      </c>
      <c r="N229">
        <f t="shared" si="82"/>
        <v>0</v>
      </c>
      <c r="O229" s="2">
        <f>IF(E229=0,"",Player_Analysis!L229/E229*90)</f>
        <v>1.3333333333333335</v>
      </c>
      <c r="P229">
        <f>IF(E229=0,"",Player_Analysis!Q229/E229*90)</f>
        <v>2.6666666666666665E-2</v>
      </c>
      <c r="Q229">
        <f>IF(E229=0,"",(Player_Analysis!AD229/E229)*90)</f>
        <v>5.6666666666666661</v>
      </c>
      <c r="R229">
        <f>IF(E229=0,"",Player_Analysis!AA229/E229*90)</f>
        <v>10.333333333333334</v>
      </c>
      <c r="S229">
        <f t="array" ref="S229">IFERROR(INDEX('2023_24'!$O:$O,MATCH($A229,'2023_24'!$A:$A,0)),"")</f>
        <v>2.5824964131994262E-2</v>
      </c>
      <c r="T229">
        <f>IFERROR(INDEX('2024_25'!$P:$P,MATCH($A229,'2024_25'!$A:$A,0)),"")</f>
        <v>6.2311296199895894E-2</v>
      </c>
      <c r="U229">
        <f>IFERROR(INDEX('2025_26'!$P:$P,MATCH($A229,'2025_26'!$A:$A,0)),"")</f>
        <v>7.709734513274337E-2</v>
      </c>
      <c r="V229">
        <f>IFERROR(INDEX('2023_24'!$P:$P,MATCH($A229,'2023_24'!$A:$A,0)),"")</f>
        <v>7.3170731707317069E-3</v>
      </c>
      <c r="W229">
        <f>IFERROR(INDEX('2024_25'!$Q:$Q,MATCH($A229,'2024_25'!$A:$A,0)),"")</f>
        <v>2.8110359187922956E-2</v>
      </c>
      <c r="X229">
        <f>IFERROR(INDEX('2025_26'!$Q:$Q,MATCH($A229,'2025_26'!$A:$A,0)),"")</f>
        <v>4.9699115044247795E-2</v>
      </c>
      <c r="Y229">
        <f>IFERROR(INDEX('2023_24'!$M:$M,MATCH($A229,'2023_24'!$A:$A,0))/INDEX('2023_24'!$G:$G,MATCH($A229,'2023_24'!$A:$A,0))*90,"")</f>
        <v>2.6685796269727402</v>
      </c>
      <c r="Z229">
        <f>IFERROR(INDEX('2024_25'!$M:$M,MATCH($A229,'2024_25'!$A:$A,0))/INDEX('2024_25'!$G:$G,MATCH($A229,'2024_25'!$A:$A,0))*90,"")</f>
        <v>3.1858407079646018</v>
      </c>
      <c r="AA229">
        <f>IFERROR(INDEX('2025_26'!$M:$M,MATCH($A229,'2025_26'!$A:$A,0))/INDEX('2025_26'!$G:$G,MATCH($A229,'2025_26'!$A:$A,0))*90,"")</f>
        <v>4.0778761061946902</v>
      </c>
      <c r="AB229">
        <f>IFERROR(SUMPRODUCT(S229:U229,{0.2,0.3,0.5})/SUMPRODUCT(--(S229:U229&lt;&gt;""),{0.2,0.3,0.5}),"")</f>
        <v>6.2407054252739305E-2</v>
      </c>
      <c r="AC229">
        <f>IFERROR(SUMPRODUCT(V229:X229,{0.2,0.3,0.5})/SUMPRODUCT(--(V229:X229&lt;&gt;""),{0.2,0.3,0.5}),"")</f>
        <v>3.4746079912647124E-2</v>
      </c>
      <c r="AD229">
        <f>IFERROR(SUMPRODUCT(Y229:AA229,{0.2,0.3,0.5})/SUMPRODUCT((Y229:AA229&lt;&gt;"")*{0.2,0.3,0.5}),O229)</f>
        <v>3.5284061908812738</v>
      </c>
      <c r="AE229">
        <f t="shared" si="83"/>
        <v>3</v>
      </c>
      <c r="AF229">
        <f t="shared" si="84"/>
        <v>90</v>
      </c>
      <c r="AG229">
        <f t="shared" si="85"/>
        <v>3.024070542527393E-2</v>
      </c>
      <c r="AH229">
        <f t="shared" si="86"/>
        <v>3.4746079912647116E-3</v>
      </c>
      <c r="AI229" s="2">
        <f t="shared" si="87"/>
        <v>1.5528406190881274</v>
      </c>
      <c r="AJ229">
        <f t="shared" si="88"/>
        <v>0.9</v>
      </c>
      <c r="AK229" t="str">
        <f t="shared" si="89"/>
        <v>NO</v>
      </c>
      <c r="AL229">
        <f t="shared" si="90"/>
        <v>3.0240705425273927E-2</v>
      </c>
      <c r="AM229">
        <f t="shared" si="91"/>
        <v>3.4746079912647116E-3</v>
      </c>
      <c r="AN229">
        <f t="shared" si="92"/>
        <v>3.0240705425273927E-2</v>
      </c>
      <c r="AO229">
        <f t="shared" si="93"/>
        <v>3.4746079912647116E-3</v>
      </c>
      <c r="AP229">
        <f t="array" ref="AP229">AL229*IF($C229="GKP",10,IF($C229="DEF",6,IF($C229="MID",5,4)))</f>
        <v>0.18144423255164355</v>
      </c>
      <c r="AQ229">
        <f t="shared" si="94"/>
        <v>1.0423823973794134E-2</v>
      </c>
      <c r="AR229">
        <f t="shared" si="95"/>
        <v>2</v>
      </c>
      <c r="AS229" s="2">
        <f>IF($H229=0,0,Player_Analysis!$AM229*$H229/90)</f>
        <v>0</v>
      </c>
      <c r="AT229">
        <f t="shared" si="96"/>
        <v>2.0666666666666669</v>
      </c>
      <c r="AU229" s="2">
        <f>0</f>
        <v>0</v>
      </c>
      <c r="AV229" s="2">
        <f>IF(INDEX(FPL_Raw_Data!K:K,MATCH(A229,FPL_Raw_Data!AA:AA,0))=0,"",INDEX(FPL_Raw_Data!P:P,MATCH(A229,FPL_Raw_Data!AA:AA,0))/INDEX(FPL_Raw_Data!K:K,MATCH(A229,FPL_Raw_Data!AA:AA,0))*90)</f>
        <v>0</v>
      </c>
      <c r="AW229" s="2">
        <f t="shared" si="97"/>
        <v>0</v>
      </c>
      <c r="AX229" s="2">
        <f>IFERROR(INDEX(TEAM_ANALYSIS!$H$2:$H$21,MATCH($B229,TEAM_ANALYSIS!$A$2:$A$21,0)),0)</f>
        <v>2.6666666666666665</v>
      </c>
      <c r="AY229" s="2">
        <f t="shared" si="98"/>
        <v>-1.3333333333333333</v>
      </c>
      <c r="AZ229" s="2">
        <f t="shared" si="99"/>
        <v>2.9252013898587714</v>
      </c>
      <c r="BA229">
        <f t="shared" si="100"/>
        <v>0.58504027797175429</v>
      </c>
      <c r="BB229">
        <f>IFERROR(Player_Analysis!$Y229,1)</f>
        <v>0.8321125967628431</v>
      </c>
      <c r="BC229">
        <f t="shared" si="101"/>
        <v>2.4340969245696602</v>
      </c>
      <c r="BD229">
        <f t="shared" si="102"/>
        <v>1.4240447413604262</v>
      </c>
      <c r="BE229">
        <f t="shared" si="103"/>
        <v>2.4340969245696602</v>
      </c>
      <c r="BF229">
        <f t="shared" si="104"/>
        <v>229</v>
      </c>
      <c r="BG229">
        <f>IF($BE229="","",COUNTIFS($C$2:$C$596,$C229,$BE$2:$BE$596,"&gt;"&amp;$BE229)+COUNTIFS($C$2:$C229,$C229,$BE$2:$BE229,$BE229))</f>
        <v>75</v>
      </c>
    </row>
    <row r="230" spans="1:59" x14ac:dyDescent="0.25">
      <c r="A230" t="str">
        <f>Player_Analysis!A230</f>
        <v>Jaydee Canvot</v>
      </c>
      <c r="B230">
        <f>Player_Analysis!C230</f>
        <v>8</v>
      </c>
      <c r="C230" t="str">
        <f>Player_Analysis!B230</f>
        <v>DEF</v>
      </c>
      <c r="D230" s="13">
        <f>Player_Analysis!E230</f>
        <v>4.9000000000000004</v>
      </c>
      <c r="E230">
        <f>Player_Analysis!I230</f>
        <v>270</v>
      </c>
      <c r="F230" s="8">
        <f>Player_Analysis!Z230</f>
        <v>3</v>
      </c>
      <c r="G230" s="17">
        <f t="shared" si="79"/>
        <v>1</v>
      </c>
      <c r="H230">
        <f t="shared" si="80"/>
        <v>90</v>
      </c>
      <c r="I230" s="8">
        <f>Player_Analysis!AF230</f>
        <v>0</v>
      </c>
      <c r="J230" s="8">
        <f>Player_Analysis!AG230</f>
        <v>0</v>
      </c>
      <c r="K230">
        <f>Player_Analysis!O230</f>
        <v>0.05</v>
      </c>
      <c r="L230">
        <f>Player_Analysis!P230</f>
        <v>0.01</v>
      </c>
      <c r="M230">
        <f t="shared" si="81"/>
        <v>1.666666666666667E-2</v>
      </c>
      <c r="N230">
        <f t="shared" si="82"/>
        <v>3.3333333333333331E-3</v>
      </c>
      <c r="O230" s="2">
        <f>IF(E230=0,"",Player_Analysis!L230/E230*90)</f>
        <v>0.66666666666666674</v>
      </c>
      <c r="P230">
        <f>IF(E230=0,"",Player_Analysis!Q230/E230*90)</f>
        <v>1.9999999999999997E-2</v>
      </c>
      <c r="Q230">
        <f>IF(E230=0,"",(Player_Analysis!AD230/E230)*90)</f>
        <v>4</v>
      </c>
      <c r="R230">
        <f>IF(E230=0,"",Player_Analysis!AA230/E230*90)</f>
        <v>8</v>
      </c>
      <c r="S230" t="str">
        <f t="array" ref="S230">IFERROR(INDEX('2023_24'!$O:$O,MATCH($A230,'2023_24'!$A:$A,0)),"")</f>
        <v/>
      </c>
      <c r="T230" t="str">
        <f>IFERROR(INDEX('2024_25'!$P:$P,MATCH($A230,'2024_25'!$A:$A,0)),"")</f>
        <v/>
      </c>
      <c r="U230">
        <f>IFERROR(INDEX('2025_26'!$P:$P,MATCH($A230,'2025_26'!$A:$A,0)),"")</f>
        <v>0.10007513148009016</v>
      </c>
      <c r="V230" t="str">
        <f>IFERROR(INDEX('2023_24'!$P:$P,MATCH($A230,'2023_24'!$A:$A,0)),"")</f>
        <v/>
      </c>
      <c r="W230" t="str">
        <f>IFERROR(INDEX('2024_25'!$Q:$Q,MATCH($A230,'2024_25'!$A:$A,0)),"")</f>
        <v/>
      </c>
      <c r="X230">
        <f>IFERROR(INDEX('2025_26'!$Q:$Q,MATCH($A230,'2025_26'!$A:$A,0)),"")</f>
        <v>2.2314049586776859E-2</v>
      </c>
      <c r="Y230" t="str">
        <f>IFERROR(INDEX('2023_24'!$M:$M,MATCH($A230,'2023_24'!$A:$A,0))/INDEX('2023_24'!$G:$G,MATCH($A230,'2023_24'!$A:$A,0))*90,"")</f>
        <v/>
      </c>
      <c r="Z230" t="str">
        <f>IFERROR(INDEX('2024_25'!$M:$M,MATCH($A230,'2024_25'!$A:$A,0))/INDEX('2024_25'!$G:$G,MATCH($A230,'2024_25'!$A:$A,0))*90,"")</f>
        <v/>
      </c>
      <c r="AA230">
        <f>IFERROR(INDEX('2025_26'!$M:$M,MATCH($A230,'2025_26'!$A:$A,0))/INDEX('2025_26'!$G:$G,MATCH($A230,'2025_26'!$A:$A,0))*90,"")</f>
        <v>4.8685199098422238</v>
      </c>
      <c r="AB230">
        <f>IFERROR(SUMPRODUCT(S230:U230,{0.2,0.3,0.5})/SUMPRODUCT(--(S230:U230&lt;&gt;""),{0.2,0.3,0.5}),"")</f>
        <v>0.10007513148009016</v>
      </c>
      <c r="AC230">
        <f>IFERROR(SUMPRODUCT(V230:X230,{0.2,0.3,0.5})/SUMPRODUCT(--(V230:X230&lt;&gt;""),{0.2,0.3,0.5}),"")</f>
        <v>2.2314049586776859E-2</v>
      </c>
      <c r="AD230">
        <f>IFERROR(SUMPRODUCT(Y230:AA230,{0.2,0.3,0.5})/SUMPRODUCT((Y230:AA230&lt;&gt;"")*{0.2,0.3,0.5}),O230)</f>
        <v>4.8685199098422238</v>
      </c>
      <c r="AE230">
        <f t="shared" si="83"/>
        <v>1</v>
      </c>
      <c r="AF230">
        <f t="shared" si="84"/>
        <v>90</v>
      </c>
      <c r="AG230">
        <f t="shared" si="85"/>
        <v>2.5007513148009017E-2</v>
      </c>
      <c r="AH230">
        <f t="shared" si="86"/>
        <v>5.2314049586776852E-3</v>
      </c>
      <c r="AI230" s="2">
        <f t="shared" si="87"/>
        <v>1.0868519909842225</v>
      </c>
      <c r="AJ230">
        <f t="shared" si="88"/>
        <v>0.9</v>
      </c>
      <c r="AK230" t="str">
        <f t="shared" si="89"/>
        <v>NO</v>
      </c>
      <c r="AL230">
        <f t="shared" si="90"/>
        <v>2.5007513148009013E-2</v>
      </c>
      <c r="AM230">
        <f t="shared" si="91"/>
        <v>5.2314049586776852E-3</v>
      </c>
      <c r="AN230">
        <f t="shared" si="92"/>
        <v>2.5007513148009013E-2</v>
      </c>
      <c r="AO230">
        <f t="shared" si="93"/>
        <v>5.2314049586776852E-3</v>
      </c>
      <c r="AP230">
        <f t="array" ref="AP230">AL230*IF($C230="GKP",10,IF($C230="DEF",6,IF($C230="MID",5,4)))</f>
        <v>0.15004507888805407</v>
      </c>
      <c r="AQ230">
        <f t="shared" si="94"/>
        <v>1.5694214876033057E-2</v>
      </c>
      <c r="AR230">
        <f t="shared" si="95"/>
        <v>2</v>
      </c>
      <c r="AS230" s="2">
        <f>IF($H230=0,0,Player_Analysis!$AM230*$H230/90)</f>
        <v>0</v>
      </c>
      <c r="AT230">
        <f t="shared" si="96"/>
        <v>1.6</v>
      </c>
      <c r="AU230" s="2">
        <f>0</f>
        <v>0</v>
      </c>
      <c r="AV230" s="2">
        <f>IF(INDEX(FPL_Raw_Data!K:K,MATCH(A230,FPL_Raw_Data!AA:AA,0))=0,"",INDEX(FPL_Raw_Data!P:P,MATCH(A230,FPL_Raw_Data!AA:AA,0))/INDEX(FPL_Raw_Data!K:K,MATCH(A230,FPL_Raw_Data!AA:AA,0))*90)</f>
        <v>0</v>
      </c>
      <c r="AW230" s="2">
        <f t="shared" si="97"/>
        <v>0</v>
      </c>
      <c r="AX230" s="2">
        <f>IFERROR(INDEX(TEAM_ANALYSIS!$H$2:$H$21,MATCH($B230,TEAM_ANALYSIS!$A$2:$A$21,0)),0)</f>
        <v>2.6666666666666665</v>
      </c>
      <c r="AY230" s="2">
        <f t="shared" si="98"/>
        <v>-1.3333333333333333</v>
      </c>
      <c r="AZ230" s="2">
        <f t="shared" si="99"/>
        <v>2.4324059604307537</v>
      </c>
      <c r="BA230">
        <f t="shared" si="100"/>
        <v>0.49640937967974563</v>
      </c>
      <c r="BB230">
        <f>IFERROR(Player_Analysis!$Y230,1)</f>
        <v>0.8321125967628431</v>
      </c>
      <c r="BC230">
        <f t="shared" si="101"/>
        <v>2.0240356401154518</v>
      </c>
      <c r="BD230">
        <f t="shared" si="102"/>
        <v>1.0047502765594083</v>
      </c>
      <c r="BE230">
        <f t="shared" si="103"/>
        <v>2.0240356401154518</v>
      </c>
      <c r="BF230">
        <f t="shared" si="104"/>
        <v>244</v>
      </c>
      <c r="BG230">
        <f>IF($BE230="","",COUNTIFS($C$2:$C$596,$C230,$BE$2:$BE$596,"&gt;"&amp;$BE230)+COUNTIFS($C$2:$C230,$C230,$BE$2:$BE230,$BE230))</f>
        <v>88</v>
      </c>
    </row>
    <row r="231" spans="1:59" x14ac:dyDescent="0.25">
      <c r="A231" t="str">
        <f>Player_Analysis!A231</f>
        <v>Tyrick Mitchell</v>
      </c>
      <c r="B231">
        <f>Player_Analysis!C231</f>
        <v>8</v>
      </c>
      <c r="C231" t="str">
        <f>Player_Analysis!B231</f>
        <v>DEF</v>
      </c>
      <c r="D231" s="13">
        <f>Player_Analysis!E231</f>
        <v>4.5</v>
      </c>
      <c r="E231">
        <f>Player_Analysis!I231</f>
        <v>253</v>
      </c>
      <c r="F231" s="8">
        <f>Player_Analysis!Z231</f>
        <v>3</v>
      </c>
      <c r="G231" s="17">
        <f t="shared" si="79"/>
        <v>1</v>
      </c>
      <c r="H231">
        <f t="shared" si="80"/>
        <v>90</v>
      </c>
      <c r="I231" s="8">
        <f>Player_Analysis!AF231</f>
        <v>2</v>
      </c>
      <c r="J231" s="8">
        <f>Player_Analysis!AG231</f>
        <v>0</v>
      </c>
      <c r="K231">
        <f>Player_Analysis!O231</f>
        <v>0.77</v>
      </c>
      <c r="L231">
        <f>Player_Analysis!P231</f>
        <v>0.18</v>
      </c>
      <c r="M231">
        <f t="shared" si="81"/>
        <v>0.27391304347826084</v>
      </c>
      <c r="N231">
        <f t="shared" si="82"/>
        <v>6.4031620553359675E-2</v>
      </c>
      <c r="O231" s="2">
        <f>IF(E231=0,"",Player_Analysis!L231/E231*90)</f>
        <v>5.691699604743083</v>
      </c>
      <c r="P231">
        <f>IF(E231=0,"",Player_Analysis!Q231/E231*90)</f>
        <v>0.33794466403162055</v>
      </c>
      <c r="Q231">
        <f>IF(E231=0,"",(Player_Analysis!AD231/E231)*90)</f>
        <v>11.383399209486166</v>
      </c>
      <c r="R231">
        <f>IF(E231=0,"",Player_Analysis!AA231/E231*90)</f>
        <v>5.691699604743083</v>
      </c>
      <c r="S231">
        <f t="array" ref="S231">IFERROR(INDEX('2023_24'!$O:$O,MATCH($A231,'2023_24'!$A:$A,0)),"")</f>
        <v>3.5674157303370792E-2</v>
      </c>
      <c r="T231">
        <f>IFERROR(INDEX('2024_25'!$P:$P,MATCH($A231,'2024_25'!$A:$A,0)),"")</f>
        <v>3.8155339805825243E-2</v>
      </c>
      <c r="U231">
        <f>IFERROR(INDEX('2025_26'!$P:$P,MATCH($A231,'2025_26'!$A:$A,0)),"")</f>
        <v>4.3990162926529353E-2</v>
      </c>
      <c r="V231">
        <f>IFERROR(INDEX('2023_24'!$P:$P,MATCH($A231,'2023_24'!$A:$A,0)),"")</f>
        <v>6.7134831460674158E-2</v>
      </c>
      <c r="W231">
        <f>IFERROR(INDEX('2024_25'!$Q:$Q,MATCH($A231,'2024_25'!$A:$A,0)),"")</f>
        <v>0.10689320388349516</v>
      </c>
      <c r="X231">
        <f>IFERROR(INDEX('2025_26'!$Q:$Q,MATCH($A231,'2025_26'!$A:$A,0)),"")</f>
        <v>6.9996925914540417E-2</v>
      </c>
      <c r="Y231">
        <f>IFERROR(INDEX('2023_24'!$M:$M,MATCH($A231,'2023_24'!$A:$A,0))/INDEX('2023_24'!$G:$G,MATCH($A231,'2023_24'!$A:$A,0))*90,"")</f>
        <v>3.3426966292134832</v>
      </c>
      <c r="Z231">
        <f>IFERROR(INDEX('2024_25'!$M:$M,MATCH($A231,'2024_25'!$A:$A,0))/INDEX('2024_25'!$G:$G,MATCH($A231,'2024_25'!$A:$A,0))*90,"")</f>
        <v>3.5825242718446599</v>
      </c>
      <c r="AA231">
        <f>IFERROR(INDEX('2025_26'!$M:$M,MATCH($A231,'2025_26'!$A:$A,0))/INDEX('2025_26'!$G:$G,MATCH($A231,'2025_26'!$A:$A,0))*90,"")</f>
        <v>3.7350138333845679</v>
      </c>
      <c r="AB231">
        <f>IFERROR(SUMPRODUCT(S231:U231,{0.2,0.3,0.5})/SUMPRODUCT(--(S231:U231&lt;&gt;""),{0.2,0.3,0.5}),"")</f>
        <v>4.0576514865686406E-2</v>
      </c>
      <c r="AC231">
        <f>IFERROR(SUMPRODUCT(V231:X231,{0.2,0.3,0.5})/SUMPRODUCT(--(V231:X231&lt;&gt;""),{0.2,0.3,0.5}),"")</f>
        <v>8.0493390414453581E-2</v>
      </c>
      <c r="AD231">
        <f>IFERROR(SUMPRODUCT(Y231:AA231,{0.2,0.3,0.5})/SUMPRODUCT((Y231:AA231&lt;&gt;"")*{0.2,0.3,0.5}),O231)</f>
        <v>3.6108035240883787</v>
      </c>
      <c r="AE231">
        <f t="shared" si="83"/>
        <v>3</v>
      </c>
      <c r="AF231">
        <f t="shared" si="84"/>
        <v>84.333333333333329</v>
      </c>
      <c r="AG231">
        <f t="shared" si="85"/>
        <v>0.23735698732895752</v>
      </c>
      <c r="AH231">
        <f t="shared" si="86"/>
        <v>6.6610631164931045E-2</v>
      </c>
      <c r="AI231" s="2">
        <f t="shared" si="87"/>
        <v>5.3656925521071788</v>
      </c>
      <c r="AJ231">
        <f t="shared" si="88"/>
        <v>0.84333333333333338</v>
      </c>
      <c r="AK231" t="str">
        <f t="shared" si="89"/>
        <v>NO</v>
      </c>
      <c r="AL231">
        <f t="shared" si="90"/>
        <v>0.23735698732895752</v>
      </c>
      <c r="AM231">
        <f t="shared" si="91"/>
        <v>6.6610631164931045E-2</v>
      </c>
      <c r="AN231">
        <f t="shared" si="92"/>
        <v>0.23735698732895752</v>
      </c>
      <c r="AO231">
        <f t="shared" si="93"/>
        <v>6.6610631164931045E-2</v>
      </c>
      <c r="AP231">
        <f t="array" ref="AP231">AL231*IF($C231="GKP",10,IF($C231="DEF",6,IF($C231="MID",5,4)))</f>
        <v>1.4241419239737452</v>
      </c>
      <c r="AQ231">
        <f t="shared" si="94"/>
        <v>0.19983189349479313</v>
      </c>
      <c r="AR231">
        <f t="shared" si="95"/>
        <v>2</v>
      </c>
      <c r="AS231" s="2">
        <f>IF($H231=0,0,Player_Analysis!$AM231*$H231/90)</f>
        <v>0</v>
      </c>
      <c r="AT231">
        <f t="shared" si="96"/>
        <v>1.1383399209486167</v>
      </c>
      <c r="AU231" s="2">
        <f>0</f>
        <v>0</v>
      </c>
      <c r="AV231" s="2">
        <f>IF(INDEX(FPL_Raw_Data!K:K,MATCH(A231,FPL_Raw_Data!AA:AA,0))=0,"",INDEX(FPL_Raw_Data!P:P,MATCH(A231,FPL_Raw_Data!AA:AA,0))/INDEX(FPL_Raw_Data!K:K,MATCH(A231,FPL_Raw_Data!AA:AA,0))*90)</f>
        <v>0</v>
      </c>
      <c r="AW231" s="2">
        <f t="shared" si="97"/>
        <v>0</v>
      </c>
      <c r="AX231" s="2">
        <f>IFERROR(INDEX(TEAM_ANALYSIS!$H$2:$H$21,MATCH($B231,TEAM_ANALYSIS!$A$2:$A$21,0)),0)</f>
        <v>2.6666666666666665</v>
      </c>
      <c r="AY231" s="2">
        <f t="shared" si="98"/>
        <v>-1.3333333333333333</v>
      </c>
      <c r="AZ231" s="2">
        <f t="shared" si="99"/>
        <v>3.4289804050838226</v>
      </c>
      <c r="BA231">
        <f t="shared" si="100"/>
        <v>0.76199564557418276</v>
      </c>
      <c r="BB231">
        <f>IFERROR(Player_Analysis!$Y231,1)</f>
        <v>0.8321125967628431</v>
      </c>
      <c r="BC231">
        <f t="shared" si="101"/>
        <v>2.8532977891232054</v>
      </c>
      <c r="BD231">
        <f t="shared" si="102"/>
        <v>2.1742004908383255</v>
      </c>
      <c r="BE231">
        <f t="shared" si="103"/>
        <v>2.8532977891232054</v>
      </c>
      <c r="BF231">
        <f t="shared" si="104"/>
        <v>208</v>
      </c>
      <c r="BG231">
        <f>IF($BE231="","",COUNTIFS($C$2:$C$596,$C231,$BE$2:$BE$596,"&gt;"&amp;$BE231)+COUNTIFS($C$2:$C231,$C231,$BE$2:$BE231,$BE231))</f>
        <v>63</v>
      </c>
    </row>
    <row r="232" spans="1:59" x14ac:dyDescent="0.25">
      <c r="A232" t="str">
        <f>Player_Analysis!A232</f>
        <v>Borna Sosa</v>
      </c>
      <c r="B232">
        <f>Player_Analysis!C232</f>
        <v>8</v>
      </c>
      <c r="C232" t="str">
        <f>Player_Analysis!B232</f>
        <v>DEF</v>
      </c>
      <c r="D232" s="13">
        <f>Player_Analysis!E232</f>
        <v>4.5</v>
      </c>
      <c r="E232">
        <f>Player_Analysis!I232</f>
        <v>0</v>
      </c>
      <c r="F232" s="8">
        <f>Player_Analysis!Z232</f>
        <v>0</v>
      </c>
      <c r="G232" s="17">
        <f t="shared" si="79"/>
        <v>0</v>
      </c>
      <c r="H232">
        <f t="shared" si="80"/>
        <v>0</v>
      </c>
      <c r="I232" s="8">
        <f>Player_Analysis!AF232</f>
        <v>0</v>
      </c>
      <c r="J232" s="8">
        <f>Player_Analysis!AG232</f>
        <v>0</v>
      </c>
      <c r="K232">
        <f>Player_Analysis!O232</f>
        <v>0</v>
      </c>
      <c r="L232">
        <f>Player_Analysis!P232</f>
        <v>0</v>
      </c>
      <c r="M232" t="str">
        <f t="shared" si="81"/>
        <v/>
      </c>
      <c r="N232" t="str">
        <f t="shared" si="82"/>
        <v/>
      </c>
      <c r="O232" s="2" t="str">
        <f>IF(E232=0,"",Player_Analysis!L232/E232*90)</f>
        <v/>
      </c>
      <c r="P232" t="str">
        <f>IF(E232=0,"",Player_Analysis!Q232/E232*90)</f>
        <v/>
      </c>
      <c r="Q232" t="str">
        <f>IF(E232=0,"",(Player_Analysis!AD232/E232)*90)</f>
        <v/>
      </c>
      <c r="R232" t="str">
        <f>IF(E232=0,"",Player_Analysis!AA232/E232*90)</f>
        <v/>
      </c>
      <c r="S232" t="str">
        <f t="array" ref="S232">IFERROR(INDEX('2023_24'!$O:$O,MATCH($A232,'2023_24'!$A:$A,0)),"")</f>
        <v/>
      </c>
      <c r="T232" t="str">
        <f>IFERROR(INDEX('2024_25'!$P:$P,MATCH($A232,'2024_25'!$A:$A,0)),"")</f>
        <v/>
      </c>
      <c r="U232">
        <f>IFERROR(INDEX('2025_26'!$P:$P,MATCH($A232,'2025_26'!$A:$A,0)),"")</f>
        <v>3.6363636363636362E-2</v>
      </c>
      <c r="V232" t="str">
        <f>IFERROR(INDEX('2023_24'!$P:$P,MATCH($A232,'2023_24'!$A:$A,0)),"")</f>
        <v/>
      </c>
      <c r="W232" t="str">
        <f>IFERROR(INDEX('2024_25'!$Q:$Q,MATCH($A232,'2024_25'!$A:$A,0)),"")</f>
        <v/>
      </c>
      <c r="X232">
        <f>IFERROR(INDEX('2025_26'!$Q:$Q,MATCH($A232,'2025_26'!$A:$A,0)),"")</f>
        <v>6.3636363636363644E-2</v>
      </c>
      <c r="Y232" t="str">
        <f>IFERROR(INDEX('2023_24'!$M:$M,MATCH($A232,'2023_24'!$A:$A,0))/INDEX('2023_24'!$G:$G,MATCH($A232,'2023_24'!$A:$A,0))*90,"")</f>
        <v/>
      </c>
      <c r="Z232" t="str">
        <f>IFERROR(INDEX('2024_25'!$M:$M,MATCH($A232,'2024_25'!$A:$A,0))/INDEX('2024_25'!$G:$G,MATCH($A232,'2024_25'!$A:$A,0))*90,"")</f>
        <v/>
      </c>
      <c r="AA232">
        <f>IFERROR(INDEX('2025_26'!$M:$M,MATCH($A232,'2025_26'!$A:$A,0))/INDEX('2025_26'!$G:$G,MATCH($A232,'2025_26'!$A:$A,0))*90,"")</f>
        <v>5.454545454545455</v>
      </c>
      <c r="AB232">
        <f>IFERROR(SUMPRODUCT(S232:U232,{0.2,0.3,0.5})/SUMPRODUCT(--(S232:U232&lt;&gt;""),{0.2,0.3,0.5}),"")</f>
        <v>3.6363636363636362E-2</v>
      </c>
      <c r="AC232">
        <f>IFERROR(SUMPRODUCT(V232:X232,{0.2,0.3,0.5})/SUMPRODUCT(--(V232:X232&lt;&gt;""),{0.2,0.3,0.5}),"")</f>
        <v>6.3636363636363644E-2</v>
      </c>
      <c r="AD232">
        <f>IFERROR(SUMPRODUCT(Y232:AA232,{0.2,0.3,0.5})/SUMPRODUCT((Y232:AA232&lt;&gt;"")*{0.2,0.3,0.5}),O232)</f>
        <v>5.454545454545455</v>
      </c>
      <c r="AE232">
        <f t="shared" si="83"/>
        <v>1</v>
      </c>
      <c r="AF232" t="str">
        <f t="shared" si="84"/>
        <v/>
      </c>
      <c r="AG232">
        <f t="shared" si="85"/>
        <v>3.6363636363636362E-2</v>
      </c>
      <c r="AH232">
        <f t="shared" si="86"/>
        <v>6.3636363636363644E-2</v>
      </c>
      <c r="AI232" s="2">
        <f t="shared" si="87"/>
        <v>5.454545454545455</v>
      </c>
      <c r="AJ232">
        <f t="shared" si="88"/>
        <v>0</v>
      </c>
      <c r="AK232" t="str">
        <f t="shared" si="89"/>
        <v>NO</v>
      </c>
      <c r="AL232">
        <f t="shared" si="90"/>
        <v>0</v>
      </c>
      <c r="AM232">
        <f t="shared" si="91"/>
        <v>0</v>
      </c>
      <c r="AN232">
        <f t="shared" si="92"/>
        <v>0</v>
      </c>
      <c r="AO232">
        <f t="shared" si="93"/>
        <v>0</v>
      </c>
      <c r="AP232">
        <f t="array" ref="AP232">AL232*IF($C232="GKP",10,IF($C232="DEF",6,IF($C232="MID",5,4)))</f>
        <v>0</v>
      </c>
      <c r="AQ232">
        <f t="shared" si="94"/>
        <v>0</v>
      </c>
      <c r="AR232">
        <f t="shared" si="95"/>
        <v>0</v>
      </c>
      <c r="AS232" s="2">
        <f>IF($H232=0,0,Player_Analysis!$AM232*$H232/90)</f>
        <v>0</v>
      </c>
      <c r="AT232">
        <f t="shared" si="96"/>
        <v>0</v>
      </c>
      <c r="AU232" s="2">
        <f>0</f>
        <v>0</v>
      </c>
      <c r="AV232" s="2" t="str">
        <f>IF(INDEX(FPL_Raw_Data!K:K,MATCH(A232,FPL_Raw_Data!AA:AA,0))=0,"",INDEX(FPL_Raw_Data!P:P,MATCH(A232,FPL_Raw_Data!AA:AA,0))/INDEX(FPL_Raw_Data!K:K,MATCH(A232,FPL_Raw_Data!AA:AA,0))*90)</f>
        <v/>
      </c>
      <c r="AW232" s="2">
        <f t="shared" si="97"/>
        <v>0</v>
      </c>
      <c r="AX232" s="2">
        <f>IFERROR(INDEX(TEAM_ANALYSIS!$H$2:$H$21,MATCH($B232,TEAM_ANALYSIS!$A$2:$A$21,0)),0)</f>
        <v>2.6666666666666665</v>
      </c>
      <c r="AY232" s="2">
        <f t="shared" si="98"/>
        <v>-1.3333333333333333</v>
      </c>
      <c r="AZ232" s="2">
        <f t="shared" si="99"/>
        <v>-1.3333333333333333</v>
      </c>
      <c r="BA232">
        <f t="shared" si="100"/>
        <v>-0.29629629629629628</v>
      </c>
      <c r="BB232">
        <f>IFERROR(Player_Analysis!$Y232,1)</f>
        <v>0.8321125967628431</v>
      </c>
      <c r="BC232">
        <f t="shared" si="101"/>
        <v>-1.1094834623504575</v>
      </c>
      <c r="BD232">
        <f t="shared" si="102"/>
        <v>0.3287358406964318</v>
      </c>
      <c r="BE232">
        <f t="shared" si="103"/>
        <v>-1.1094834623504575</v>
      </c>
      <c r="BF232">
        <f t="shared" si="104"/>
        <v>591</v>
      </c>
      <c r="BG232">
        <f>IF($BE232="","",COUNTIFS($C$2:$C$596,$C232,$BE$2:$BE$596,"&gt;"&amp;$BE232)+COUNTIFS($C$2:$C232,$C232,$BE$2:$BE232,$BE232))</f>
        <v>188</v>
      </c>
    </row>
    <row r="233" spans="1:59" x14ac:dyDescent="0.25">
      <c r="A233" t="str">
        <f>Player_Analysis!A233</f>
        <v>Chadi Riad Dnanou</v>
      </c>
      <c r="B233">
        <f>Player_Analysis!C233</f>
        <v>8</v>
      </c>
      <c r="C233" t="str">
        <f>Player_Analysis!B233</f>
        <v>DEF</v>
      </c>
      <c r="D233" s="13">
        <f>Player_Analysis!E233</f>
        <v>4.4000000000000004</v>
      </c>
      <c r="E233">
        <f>Player_Analysis!I233</f>
        <v>72</v>
      </c>
      <c r="F233" s="8">
        <f>Player_Analysis!Z233</f>
        <v>1</v>
      </c>
      <c r="G233" s="17">
        <f t="shared" si="79"/>
        <v>1</v>
      </c>
      <c r="H233">
        <f t="shared" si="80"/>
        <v>90</v>
      </c>
      <c r="I233" s="8">
        <f>Player_Analysis!AF233</f>
        <v>0</v>
      </c>
      <c r="J233" s="8">
        <f>Player_Analysis!AG233</f>
        <v>0</v>
      </c>
      <c r="K233">
        <f>Player_Analysis!O233</f>
        <v>0</v>
      </c>
      <c r="L233">
        <f>Player_Analysis!P233</f>
        <v>0.01</v>
      </c>
      <c r="M233">
        <f t="shared" si="81"/>
        <v>0</v>
      </c>
      <c r="N233">
        <f t="shared" si="82"/>
        <v>1.2500000000000001E-2</v>
      </c>
      <c r="O233" s="2">
        <f>IF(E233=0,"",Player_Analysis!L233/E233*90)</f>
        <v>1.25</v>
      </c>
      <c r="P233">
        <f>IF(E233=0,"",Player_Analysis!Q233/E233*90)</f>
        <v>1.2500000000000001E-2</v>
      </c>
      <c r="Q233">
        <f>IF(E233=0,"",(Player_Analysis!AD233/E233)*90)</f>
        <v>8.75</v>
      </c>
      <c r="R233">
        <f>IF(E233=0,"",Player_Analysis!AA233/E233*90)</f>
        <v>8.75</v>
      </c>
      <c r="S233" t="str">
        <f t="array" ref="S233">IFERROR(INDEX('2023_24'!$O:$O,MATCH($A233,'2023_24'!$A:$A,0)),"")</f>
        <v/>
      </c>
      <c r="T233">
        <f>IFERROR(INDEX('2024_25'!$P:$P,MATCH($A233,'2024_25'!$A:$A,0)),"")</f>
        <v>0</v>
      </c>
      <c r="U233">
        <f>IFERROR(INDEX('2025_26'!$P:$P,MATCH($A233,'2025_26'!$A:$A,0)),"")</f>
        <v>5.4000000000000006E-2</v>
      </c>
      <c r="V233" t="str">
        <f>IFERROR(INDEX('2023_24'!$P:$P,MATCH($A233,'2023_24'!$A:$A,0)),"")</f>
        <v/>
      </c>
      <c r="W233">
        <f>IFERROR(INDEX('2024_25'!$Q:$Q,MATCH($A233,'2024_25'!$A:$A,0)),"")</f>
        <v>0.02</v>
      </c>
      <c r="X233">
        <f>IFERROR(INDEX('2025_26'!$Q:$Q,MATCH($A233,'2025_26'!$A:$A,0)),"")</f>
        <v>2.1272727272727273E-2</v>
      </c>
      <c r="Y233" t="str">
        <f>IFERROR(INDEX('2023_24'!$M:$M,MATCH($A233,'2023_24'!$A:$A,0))/INDEX('2023_24'!$G:$G,MATCH($A233,'2023_24'!$A:$A,0))*90,"")</f>
        <v/>
      </c>
      <c r="Z233">
        <f>IFERROR(INDEX('2024_25'!$M:$M,MATCH($A233,'2024_25'!$A:$A,0))/INDEX('2024_25'!$G:$G,MATCH($A233,'2024_25'!$A:$A,0))*90,"")</f>
        <v>1</v>
      </c>
      <c r="AA233">
        <f>IFERROR(INDEX('2025_26'!$M:$M,MATCH($A233,'2025_26'!$A:$A,0))/INDEX('2025_26'!$G:$G,MATCH($A233,'2025_26'!$A:$A,0))*90,"")</f>
        <v>3.2727272727272725</v>
      </c>
      <c r="AB233">
        <f>IFERROR(SUMPRODUCT(S233:U233,{0.2,0.3,0.5})/SUMPRODUCT(--(S233:U233&lt;&gt;""),{0.2,0.3,0.5}),"")</f>
        <v>3.3750000000000002E-2</v>
      </c>
      <c r="AC233">
        <f>IFERROR(SUMPRODUCT(V233:X233,{0.2,0.3,0.5})/SUMPRODUCT(--(V233:X233&lt;&gt;""),{0.2,0.3,0.5}),"")</f>
        <v>2.0795454545454544E-2</v>
      </c>
      <c r="AD233">
        <f>IFERROR(SUMPRODUCT(Y233:AA233,{0.2,0.3,0.5})/SUMPRODUCT((Y233:AA233&lt;&gt;"")*{0.2,0.3,0.5}),O233)</f>
        <v>2.4204545454545454</v>
      </c>
      <c r="AE233">
        <f t="shared" si="83"/>
        <v>2</v>
      </c>
      <c r="AF233">
        <f t="shared" si="84"/>
        <v>72</v>
      </c>
      <c r="AG233">
        <f t="shared" si="85"/>
        <v>2.5650000000000003E-2</v>
      </c>
      <c r="AH233">
        <f t="shared" si="86"/>
        <v>1.8804545454545452E-2</v>
      </c>
      <c r="AI233" s="2">
        <f t="shared" si="87"/>
        <v>2.1395454545454546</v>
      </c>
      <c r="AJ233">
        <f t="shared" si="88"/>
        <v>0.24</v>
      </c>
      <c r="AK233" t="str">
        <f t="shared" si="89"/>
        <v>NO</v>
      </c>
      <c r="AL233">
        <f t="shared" si="90"/>
        <v>2.5650000000000006E-2</v>
      </c>
      <c r="AM233">
        <f t="shared" si="91"/>
        <v>1.8804545454545452E-2</v>
      </c>
      <c r="AN233">
        <f t="shared" si="92"/>
        <v>2.5650000000000006E-2</v>
      </c>
      <c r="AO233">
        <f t="shared" si="93"/>
        <v>1.8804545454545452E-2</v>
      </c>
      <c r="AP233">
        <f t="array" ref="AP233">AL233*IF($C233="GKP",10,IF($C233="DEF",6,IF($C233="MID",5,4)))</f>
        <v>0.15390000000000004</v>
      </c>
      <c r="AQ233">
        <f t="shared" si="94"/>
        <v>5.641363636363636E-2</v>
      </c>
      <c r="AR233">
        <f t="shared" si="95"/>
        <v>2</v>
      </c>
      <c r="AS233" s="2">
        <f>IF($H233=0,0,Player_Analysis!$AM233*$H233/90)</f>
        <v>0</v>
      </c>
      <c r="AT233">
        <f t="shared" si="96"/>
        <v>1.75</v>
      </c>
      <c r="AU233" s="2">
        <f>0</f>
        <v>0</v>
      </c>
      <c r="AV233" s="2">
        <f>IF(INDEX(FPL_Raw_Data!K:K,MATCH(A233,FPL_Raw_Data!AA:AA,0))=0,"",INDEX(FPL_Raw_Data!P:P,MATCH(A233,FPL_Raw_Data!AA:AA,0))/INDEX(FPL_Raw_Data!K:K,MATCH(A233,FPL_Raw_Data!AA:AA,0))*90)</f>
        <v>0</v>
      </c>
      <c r="AW233" s="2">
        <f t="shared" si="97"/>
        <v>0</v>
      </c>
      <c r="AX233" s="2">
        <f>IFERROR(INDEX(TEAM_ANALYSIS!$H$2:$H$21,MATCH($B233,TEAM_ANALYSIS!$A$2:$A$21,0)),0)</f>
        <v>2.6666666666666665</v>
      </c>
      <c r="AY233" s="2">
        <f t="shared" si="98"/>
        <v>-1.3333333333333333</v>
      </c>
      <c r="AZ233" s="2">
        <f t="shared" si="99"/>
        <v>2.6269803030303027</v>
      </c>
      <c r="BA233">
        <f t="shared" si="100"/>
        <v>0.59704097796143241</v>
      </c>
      <c r="BB233">
        <f>IFERROR(Player_Analysis!$Y233,1)</f>
        <v>0.8321125967628431</v>
      </c>
      <c r="BC233">
        <f t="shared" si="101"/>
        <v>2.1859434015993857</v>
      </c>
      <c r="BD233">
        <f t="shared" si="102"/>
        <v>1.3050977862592374</v>
      </c>
      <c r="BE233">
        <f t="shared" si="103"/>
        <v>2.1859434015993857</v>
      </c>
      <c r="BF233">
        <f t="shared" si="104"/>
        <v>237</v>
      </c>
      <c r="BG233">
        <f>IF($BE233="","",COUNTIFS($C$2:$C$596,$C233,$BE$2:$BE$596,"&gt;"&amp;$BE233)+COUNTIFS($C$2:$C233,$C233,$BE$2:$BE233,$BE233))</f>
        <v>82</v>
      </c>
    </row>
    <row r="234" spans="1:59" x14ac:dyDescent="0.25">
      <c r="A234" t="str">
        <f>Player_Analysis!A234</f>
        <v>Oscar Mingueza</v>
      </c>
      <c r="B234">
        <f>Player_Analysis!C234</f>
        <v>8</v>
      </c>
      <c r="C234" t="str">
        <f>Player_Analysis!B234</f>
        <v>DEF</v>
      </c>
      <c r="D234" s="13">
        <f>Player_Analysis!E234</f>
        <v>4.4000000000000004</v>
      </c>
      <c r="E234">
        <f>Player_Analysis!I234</f>
        <v>16</v>
      </c>
      <c r="F234" s="8">
        <f>Player_Analysis!Z234</f>
        <v>0</v>
      </c>
      <c r="G234" s="17">
        <f t="shared" si="79"/>
        <v>0</v>
      </c>
      <c r="H234">
        <f t="shared" si="80"/>
        <v>0</v>
      </c>
      <c r="I234" s="8">
        <f>Player_Analysis!AF234</f>
        <v>0</v>
      </c>
      <c r="J234" s="8">
        <f>Player_Analysis!AG234</f>
        <v>0</v>
      </c>
      <c r="K234">
        <f>Player_Analysis!O234</f>
        <v>0</v>
      </c>
      <c r="L234">
        <f>Player_Analysis!P234</f>
        <v>0</v>
      </c>
      <c r="M234">
        <f t="shared" si="81"/>
        <v>0</v>
      </c>
      <c r="N234">
        <f t="shared" si="82"/>
        <v>0</v>
      </c>
      <c r="O234" s="2">
        <f>IF(E234=0,"",Player_Analysis!L234/E234*90)</f>
        <v>11.25</v>
      </c>
      <c r="P234">
        <f>IF(E234=0,"",Player_Analysis!Q234/E234*90)</f>
        <v>0</v>
      </c>
      <c r="Q234">
        <f>IF(E234=0,"",(Player_Analysis!AD234/E234)*90)</f>
        <v>28.125</v>
      </c>
      <c r="R234">
        <f>IF(E234=0,"",Player_Analysis!AA234/E234*90)</f>
        <v>11.25</v>
      </c>
      <c r="S234" t="str">
        <f t="array" ref="S234">IFERROR(INDEX('2023_24'!$O:$O,MATCH($A234,'2023_24'!$A:$A,0)),"")</f>
        <v/>
      </c>
      <c r="T234" t="str">
        <f>IFERROR(INDEX('2024_25'!$P:$P,MATCH($A234,'2024_25'!$A:$A,0)),"")</f>
        <v/>
      </c>
      <c r="U234" t="str">
        <f>IFERROR(INDEX('2025_26'!$P:$P,MATCH($A234,'2025_26'!$A:$A,0)),"")</f>
        <v/>
      </c>
      <c r="V234" t="str">
        <f>IFERROR(INDEX('2023_24'!$P:$P,MATCH($A234,'2023_24'!$A:$A,0)),"")</f>
        <v/>
      </c>
      <c r="W234" t="str">
        <f>IFERROR(INDEX('2024_25'!$Q:$Q,MATCH($A234,'2024_25'!$A:$A,0)),"")</f>
        <v/>
      </c>
      <c r="X234" t="str">
        <f>IFERROR(INDEX('2025_26'!$Q:$Q,MATCH($A234,'2025_26'!$A:$A,0)),"")</f>
        <v/>
      </c>
      <c r="Y234" t="str">
        <f>IFERROR(INDEX('2023_24'!$M:$M,MATCH($A234,'2023_24'!$A:$A,0))/INDEX('2023_24'!$G:$G,MATCH($A234,'2023_24'!$A:$A,0))*90,"")</f>
        <v/>
      </c>
      <c r="Z234" t="str">
        <f>IFERROR(INDEX('2024_25'!$M:$M,MATCH($A234,'2024_25'!$A:$A,0))/INDEX('2024_25'!$G:$G,MATCH($A234,'2024_25'!$A:$A,0))*90,"")</f>
        <v/>
      </c>
      <c r="AA234" t="str">
        <f>IFERROR(INDEX('2025_26'!$M:$M,MATCH($A234,'2025_26'!$A:$A,0))/INDEX('2025_26'!$G:$G,MATCH($A234,'2025_26'!$A:$A,0))*90,"")</f>
        <v/>
      </c>
      <c r="AB234" t="str">
        <f>IFERROR(SUMPRODUCT(S234:U234,{0.2,0.3,0.5})/SUMPRODUCT(--(S234:U234&lt;&gt;""),{0.2,0.3,0.5}),"")</f>
        <v/>
      </c>
      <c r="AC234" t="str">
        <f>IFERROR(SUMPRODUCT(V234:X234,{0.2,0.3,0.5})/SUMPRODUCT(--(V234:X234&lt;&gt;""),{0.2,0.3,0.5}),"")</f>
        <v/>
      </c>
      <c r="AD234">
        <f>IFERROR(SUMPRODUCT(Y234:AA234,{0.2,0.3,0.5})/SUMPRODUCT((Y234:AA234&lt;&gt;"")*{0.2,0.3,0.5}),O234)</f>
        <v>11.25</v>
      </c>
      <c r="AE234">
        <f t="shared" si="83"/>
        <v>0</v>
      </c>
      <c r="AF234" t="str">
        <f t="shared" si="84"/>
        <v/>
      </c>
      <c r="AG234">
        <f t="shared" si="85"/>
        <v>0</v>
      </c>
      <c r="AH234">
        <f t="shared" si="86"/>
        <v>0</v>
      </c>
      <c r="AI234" s="2">
        <f t="shared" si="87"/>
        <v>11.25</v>
      </c>
      <c r="AJ234">
        <f t="shared" si="88"/>
        <v>5.3333333333333337E-2</v>
      </c>
      <c r="AK234" t="str">
        <f t="shared" si="89"/>
        <v>YES</v>
      </c>
      <c r="AL234">
        <f t="shared" si="90"/>
        <v>0</v>
      </c>
      <c r="AM234">
        <f t="shared" si="91"/>
        <v>0</v>
      </c>
      <c r="AN234">
        <f t="shared" si="92"/>
        <v>0</v>
      </c>
      <c r="AO234">
        <f t="shared" si="93"/>
        <v>0</v>
      </c>
      <c r="AP234">
        <f t="array" ref="AP234">AL234*IF($C234="GKP",10,IF($C234="DEF",6,IF($C234="MID",5,4)))</f>
        <v>0</v>
      </c>
      <c r="AQ234">
        <f t="shared" si="94"/>
        <v>0</v>
      </c>
      <c r="AR234">
        <f t="shared" si="95"/>
        <v>0</v>
      </c>
      <c r="AS234" s="2">
        <f>IF($H234=0,0,Player_Analysis!$AM234*$H234/90)</f>
        <v>0</v>
      </c>
      <c r="AT234">
        <f t="shared" si="96"/>
        <v>0</v>
      </c>
      <c r="AU234" s="2">
        <f>0</f>
        <v>0</v>
      </c>
      <c r="AV234" s="2">
        <f>IF(INDEX(FPL_Raw_Data!K:K,MATCH(A234,FPL_Raw_Data!AA:AA,0))=0,"",INDEX(FPL_Raw_Data!P:P,MATCH(A234,FPL_Raw_Data!AA:AA,0))/INDEX(FPL_Raw_Data!K:K,MATCH(A234,FPL_Raw_Data!AA:AA,0))*90)</f>
        <v>0</v>
      </c>
      <c r="AW234" s="2">
        <f t="shared" si="97"/>
        <v>0</v>
      </c>
      <c r="AX234" s="2">
        <f>IFERROR(INDEX(TEAM_ANALYSIS!$H$2:$H$21,MATCH($B234,TEAM_ANALYSIS!$A$2:$A$21,0)),0)</f>
        <v>2.6666666666666665</v>
      </c>
      <c r="AY234" s="2">
        <f t="shared" si="98"/>
        <v>-1.3333333333333333</v>
      </c>
      <c r="AZ234" s="2">
        <f t="shared" si="99"/>
        <v>-1.3333333333333333</v>
      </c>
      <c r="BA234">
        <f t="shared" si="100"/>
        <v>-0.30303030303030298</v>
      </c>
      <c r="BB234">
        <f>IFERROR(Player_Analysis!$Y234,1)</f>
        <v>0.8321125967628431</v>
      </c>
      <c r="BC234">
        <f t="shared" si="101"/>
        <v>-1.1094834623504575</v>
      </c>
      <c r="BD234">
        <f t="shared" si="102"/>
        <v>0.33620710980316887</v>
      </c>
      <c r="BE234">
        <f t="shared" si="103"/>
        <v>-1.1094834623504575</v>
      </c>
      <c r="BF234">
        <f t="shared" si="104"/>
        <v>591</v>
      </c>
      <c r="BG234">
        <f>IF($BE234="","",COUNTIFS($C$2:$C$596,$C234,$BE$2:$BE$596,"&gt;"&amp;$BE234)+COUNTIFS($C$2:$C234,$C234,$BE$2:$BE234,$BE234))</f>
        <v>189</v>
      </c>
    </row>
    <row r="235" spans="1:59" x14ac:dyDescent="0.25">
      <c r="A235" t="str">
        <f>Player_Analysis!A235</f>
        <v>Ismaïla Sarr</v>
      </c>
      <c r="B235">
        <f>Player_Analysis!C235</f>
        <v>8</v>
      </c>
      <c r="C235" t="str">
        <f>Player_Analysis!B235</f>
        <v>MID</v>
      </c>
      <c r="D235" s="13">
        <f>Player_Analysis!E235</f>
        <v>6.3</v>
      </c>
      <c r="E235">
        <f>Player_Analysis!I235</f>
        <v>0</v>
      </c>
      <c r="F235" s="8">
        <f>Player_Analysis!Z235</f>
        <v>0</v>
      </c>
      <c r="G235" s="17">
        <f t="shared" si="79"/>
        <v>0</v>
      </c>
      <c r="H235">
        <f t="shared" si="80"/>
        <v>0</v>
      </c>
      <c r="I235" s="8">
        <f>Player_Analysis!AF235</f>
        <v>0</v>
      </c>
      <c r="J235" s="8">
        <f>Player_Analysis!AG235</f>
        <v>0</v>
      </c>
      <c r="K235">
        <f>Player_Analysis!O235</f>
        <v>0</v>
      </c>
      <c r="L235">
        <f>Player_Analysis!P235</f>
        <v>0</v>
      </c>
      <c r="M235" t="str">
        <f t="shared" si="81"/>
        <v/>
      </c>
      <c r="N235" t="str">
        <f t="shared" si="82"/>
        <v/>
      </c>
      <c r="O235" s="2" t="str">
        <f>IF(E235=0,"",Player_Analysis!L235/E235*90)</f>
        <v/>
      </c>
      <c r="P235" t="str">
        <f>IF(E235=0,"",Player_Analysis!Q235/E235*90)</f>
        <v/>
      </c>
      <c r="Q235" t="str">
        <f>IF(E235=0,"",(Player_Analysis!AD235/E235)*90)</f>
        <v/>
      </c>
      <c r="R235" t="str">
        <f>IF(E235=0,"",Player_Analysis!AA235/E235*90)</f>
        <v/>
      </c>
      <c r="S235" t="str">
        <f t="array" ref="S235">IFERROR(INDEX('2023_24'!$O:$O,MATCH($A235,'2023_24'!$A:$A,0)),"")</f>
        <v/>
      </c>
      <c r="T235">
        <f>IFERROR(INDEX('2024_25'!$P:$P,MATCH($A235,'2024_25'!$A:$A,0)),"")</f>
        <v>0.3596011816838996</v>
      </c>
      <c r="U235">
        <f>IFERROR(INDEX('2025_26'!$P:$P,MATCH($A235,'2025_26'!$A:$A,0)),"")</f>
        <v>0.45269213069489178</v>
      </c>
      <c r="V235" t="str">
        <f>IFERROR(INDEX('2023_24'!$P:$P,MATCH($A235,'2023_24'!$A:$A,0)),"")</f>
        <v/>
      </c>
      <c r="W235">
        <f>IFERROR(INDEX('2024_25'!$Q:$Q,MATCH($A235,'2024_25'!$A:$A,0)),"")</f>
        <v>0.22666174298375183</v>
      </c>
      <c r="X235">
        <f>IFERROR(INDEX('2025_26'!$Q:$Q,MATCH($A235,'2025_26'!$A:$A,0)),"")</f>
        <v>4.845835250805338E-2</v>
      </c>
      <c r="Y235" t="str">
        <f>IFERROR(INDEX('2023_24'!$M:$M,MATCH($A235,'2023_24'!$A:$A,0))/INDEX('2023_24'!$G:$G,MATCH($A235,'2023_24'!$A:$A,0))*90,"")</f>
        <v/>
      </c>
      <c r="Z235">
        <f>IFERROR(INDEX('2024_25'!$M:$M,MATCH($A235,'2024_25'!$A:$A,0))/INDEX('2024_25'!$G:$G,MATCH($A235,'2024_25'!$A:$A,0))*90,"")</f>
        <v>4.9519940915805023</v>
      </c>
      <c r="AA235">
        <f>IFERROR(INDEX('2025_26'!$M:$M,MATCH($A235,'2025_26'!$A:$A,0))/INDEX('2025_26'!$G:$G,MATCH($A235,'2025_26'!$A:$A,0))*90,"")</f>
        <v>4.8458352508053384</v>
      </c>
      <c r="AB235">
        <f>IFERROR(SUMPRODUCT(S235:U235,{0.2,0.3,0.5})/SUMPRODUCT(--(S235:U235&lt;&gt;""),{0.2,0.3,0.5}),"")</f>
        <v>0.41778302481576968</v>
      </c>
      <c r="AC235">
        <f>IFERROR(SUMPRODUCT(V235:X235,{0.2,0.3,0.5})/SUMPRODUCT(--(V235:X235&lt;&gt;""),{0.2,0.3,0.5}),"")</f>
        <v>0.1152846239364403</v>
      </c>
      <c r="AD235">
        <f>IFERROR(SUMPRODUCT(Y235:AA235,{0.2,0.3,0.5})/SUMPRODUCT((Y235:AA235&lt;&gt;"")*{0.2,0.3,0.5}),O235)</f>
        <v>4.8856448160960246</v>
      </c>
      <c r="AE235">
        <f t="shared" si="83"/>
        <v>2</v>
      </c>
      <c r="AF235" t="str">
        <f t="shared" si="84"/>
        <v/>
      </c>
      <c r="AG235">
        <f t="shared" si="85"/>
        <v>0.41778302481576968</v>
      </c>
      <c r="AH235">
        <f t="shared" si="86"/>
        <v>0.1152846239364403</v>
      </c>
      <c r="AI235" s="2">
        <f t="shared" si="87"/>
        <v>4.8856448160960246</v>
      </c>
      <c r="AJ235">
        <f t="shared" si="88"/>
        <v>0</v>
      </c>
      <c r="AK235" t="str">
        <f t="shared" si="89"/>
        <v>NO</v>
      </c>
      <c r="AL235">
        <f t="shared" si="90"/>
        <v>0</v>
      </c>
      <c r="AM235">
        <f t="shared" si="91"/>
        <v>0</v>
      </c>
      <c r="AN235">
        <f t="shared" si="92"/>
        <v>0</v>
      </c>
      <c r="AO235">
        <f t="shared" si="93"/>
        <v>0</v>
      </c>
      <c r="AP235">
        <f t="array" ref="AP235">AL235*IF($C235="GKP",10,IF($C235="DEF",6,IF($C235="MID",5,4)))</f>
        <v>0</v>
      </c>
      <c r="AQ235">
        <f t="shared" si="94"/>
        <v>0</v>
      </c>
      <c r="AR235">
        <f t="shared" si="95"/>
        <v>0</v>
      </c>
      <c r="AS235" s="2">
        <f>IF($H235=0,0,Player_Analysis!$AM235*$H235/90)</f>
        <v>0</v>
      </c>
      <c r="AT235">
        <f t="shared" si="96"/>
        <v>0</v>
      </c>
      <c r="AU235" s="2">
        <f>0</f>
        <v>0</v>
      </c>
      <c r="AV235" s="2" t="str">
        <f>IF(INDEX(FPL_Raw_Data!K:K,MATCH(A235,FPL_Raw_Data!AA:AA,0))=0,"",INDEX(FPL_Raw_Data!P:P,MATCH(A235,FPL_Raw_Data!AA:AA,0))/INDEX(FPL_Raw_Data!K:K,MATCH(A235,FPL_Raw_Data!AA:AA,0))*90)</f>
        <v/>
      </c>
      <c r="AW235" s="2">
        <f t="shared" si="97"/>
        <v>0</v>
      </c>
      <c r="AX235" s="2">
        <f>IFERROR(INDEX(TEAM_ANALYSIS!$H$2:$H$21,MATCH($B235,TEAM_ANALYSIS!$A$2:$A$21,0)),0)</f>
        <v>2.6666666666666665</v>
      </c>
      <c r="AY235" s="2">
        <f t="shared" si="98"/>
        <v>0</v>
      </c>
      <c r="AZ235" s="2">
        <f t="shared" si="99"/>
        <v>0</v>
      </c>
      <c r="BA235">
        <f t="shared" si="100"/>
        <v>0</v>
      </c>
      <c r="BB235">
        <f>IFERROR(Player_Analysis!$Y235,1)</f>
        <v>0.9782093425605537</v>
      </c>
      <c r="BC235">
        <f t="shared" si="101"/>
        <v>0</v>
      </c>
      <c r="BD235">
        <f t="shared" si="102"/>
        <v>0</v>
      </c>
      <c r="BE235">
        <f t="shared" si="103"/>
        <v>0</v>
      </c>
      <c r="BF235">
        <f t="shared" si="104"/>
        <v>253</v>
      </c>
      <c r="BG235">
        <f>IF($BE235="","",COUNTIFS($C$2:$C$596,$C235,$BE$2:$BE$596,"&gt;"&amp;$BE235)+COUNTIFS($C$2:$C235,$C235,$BE$2:$BE235,$BE235))</f>
        <v>169</v>
      </c>
    </row>
    <row r="236" spans="1:59" x14ac:dyDescent="0.25">
      <c r="A236" t="str">
        <f>Player_Analysis!A236</f>
        <v>Adam Wharton</v>
      </c>
      <c r="B236">
        <f>Player_Analysis!C236</f>
        <v>8</v>
      </c>
      <c r="C236" t="str">
        <f>Player_Analysis!B236</f>
        <v>MID</v>
      </c>
      <c r="D236" s="13">
        <f>Player_Analysis!E236</f>
        <v>5.5</v>
      </c>
      <c r="E236">
        <f>Player_Analysis!I236</f>
        <v>270</v>
      </c>
      <c r="F236" s="8">
        <f>Player_Analysis!Z236</f>
        <v>3</v>
      </c>
      <c r="G236" s="17">
        <f t="shared" si="79"/>
        <v>1</v>
      </c>
      <c r="H236">
        <f t="shared" si="80"/>
        <v>90</v>
      </c>
      <c r="I236" s="8">
        <f>Player_Analysis!AF236</f>
        <v>0</v>
      </c>
      <c r="J236" s="8">
        <f>Player_Analysis!AG236</f>
        <v>0</v>
      </c>
      <c r="K236">
        <f>Player_Analysis!O236</f>
        <v>0</v>
      </c>
      <c r="L236">
        <f>Player_Analysis!P236</f>
        <v>0.32</v>
      </c>
      <c r="M236">
        <f t="shared" si="81"/>
        <v>0</v>
      </c>
      <c r="N236">
        <f t="shared" si="82"/>
        <v>0.10666666666666666</v>
      </c>
      <c r="O236" s="2">
        <f>IF(E236=0,"",Player_Analysis!L236/E236*90)</f>
        <v>2.666666666666667</v>
      </c>
      <c r="P236">
        <f>IF(E236=0,"",Player_Analysis!Q236/E236*90)</f>
        <v>0.10666666666666666</v>
      </c>
      <c r="Q236">
        <f>IF(E236=0,"",(Player_Analysis!AD236/E236)*90)</f>
        <v>17</v>
      </c>
      <c r="R236">
        <f>IF(E236=0,"",Player_Analysis!AA236/E236*90)</f>
        <v>9.6666666666666661</v>
      </c>
      <c r="S236">
        <f t="array" ref="S236">IFERROR(INDEX('2023_24'!$O:$O,MATCH($A236,'2023_24'!$A:$A,0)),"")</f>
        <v>2.6388888888888889E-2</v>
      </c>
      <c r="T236">
        <f>IFERROR(INDEX('2024_25'!$P:$P,MATCH($A236,'2024_25'!$A:$A,0)),"")</f>
        <v>2.6027397260273973E-2</v>
      </c>
      <c r="U236">
        <f>IFERROR(INDEX('2025_26'!$P:$P,MATCH($A236,'2025_26'!$A:$A,0)),"")</f>
        <v>5.3605015673981196E-2</v>
      </c>
      <c r="V236">
        <f>IFERROR(INDEX('2023_24'!$P:$P,MATCH($A236,'2023_24'!$A:$A,0)),"")</f>
        <v>0.10416666666666666</v>
      </c>
      <c r="W236">
        <f>IFERROR(INDEX('2024_25'!$Q:$Q,MATCH($A236,'2024_25'!$A:$A,0)),"")</f>
        <v>0.14863013698630137</v>
      </c>
      <c r="X236">
        <f>IFERROR(INDEX('2025_26'!$Q:$Q,MATCH($A236,'2025_26'!$A:$A,0)),"")</f>
        <v>0.26344043887147334</v>
      </c>
      <c r="Y236">
        <f>IFERROR(INDEX('2023_24'!$M:$M,MATCH($A236,'2023_24'!$A:$A,0))/INDEX('2023_24'!$G:$G,MATCH($A236,'2023_24'!$A:$A,0))*90,"")</f>
        <v>3.4722222222222219</v>
      </c>
      <c r="Z236">
        <f>IFERROR(INDEX('2024_25'!$M:$M,MATCH($A236,'2024_25'!$A:$A,0))/INDEX('2024_25'!$G:$G,MATCH($A236,'2024_25'!$A:$A,0))*90,"")</f>
        <v>2.8767123287671232</v>
      </c>
      <c r="AA236">
        <f>IFERROR(INDEX('2025_26'!$M:$M,MATCH($A236,'2025_26'!$A:$A,0))/INDEX('2025_26'!$G:$G,MATCH($A236,'2025_26'!$A:$A,0))*90,"")</f>
        <v>3.949843260188088</v>
      </c>
      <c r="AB236">
        <f>IFERROR(SUMPRODUCT(S236:U236,{0.2,0.3,0.5})/SUMPRODUCT(--(S236:U236&lt;&gt;""),{0.2,0.3,0.5}),"")</f>
        <v>3.9888504792850568E-2</v>
      </c>
      <c r="AC236">
        <f>IFERROR(SUMPRODUCT(V236:X236,{0.2,0.3,0.5})/SUMPRODUCT(--(V236:X236&lt;&gt;""),{0.2,0.3,0.5}),"")</f>
        <v>0.19714259386496041</v>
      </c>
      <c r="AD236">
        <f>IFERROR(SUMPRODUCT(Y236:AA236,{0.2,0.3,0.5})/SUMPRODUCT((Y236:AA236&lt;&gt;"")*{0.2,0.3,0.5}),O236)</f>
        <v>3.5323797731686257</v>
      </c>
      <c r="AE236">
        <f t="shared" si="83"/>
        <v>3</v>
      </c>
      <c r="AF236">
        <f t="shared" si="84"/>
        <v>90</v>
      </c>
      <c r="AG236">
        <f t="shared" si="85"/>
        <v>3.9888504792850556E-3</v>
      </c>
      <c r="AH236">
        <f t="shared" si="86"/>
        <v>0.11571425938649604</v>
      </c>
      <c r="AI236" s="2">
        <f t="shared" si="87"/>
        <v>2.7532379773168629</v>
      </c>
      <c r="AJ236">
        <f t="shared" si="88"/>
        <v>0.9</v>
      </c>
      <c r="AK236" t="str">
        <f t="shared" si="89"/>
        <v>NO</v>
      </c>
      <c r="AL236">
        <f t="shared" si="90"/>
        <v>3.9888504792850556E-3</v>
      </c>
      <c r="AM236">
        <f t="shared" si="91"/>
        <v>0.11571425938649606</v>
      </c>
      <c r="AN236">
        <f t="shared" si="92"/>
        <v>3.9888504792850556E-3</v>
      </c>
      <c r="AO236">
        <f t="shared" si="93"/>
        <v>0.11571425938649606</v>
      </c>
      <c r="AP236">
        <f t="array" ref="AP236">AL236*IF($C236="GKP",10,IF($C236="DEF",6,IF($C236="MID",5,4)))</f>
        <v>1.9944252396425277E-2</v>
      </c>
      <c r="AQ236">
        <f t="shared" si="94"/>
        <v>0.34714277815948819</v>
      </c>
      <c r="AR236">
        <f t="shared" si="95"/>
        <v>2</v>
      </c>
      <c r="AS236" s="2">
        <f>IF($H236=0,0,Player_Analysis!$AM236*$H236/90)</f>
        <v>0</v>
      </c>
      <c r="AT236">
        <f t="shared" si="96"/>
        <v>1.6111111111111109</v>
      </c>
      <c r="AU236" s="2">
        <f>0</f>
        <v>0</v>
      </c>
      <c r="AV236" s="2">
        <f>IF(INDEX(FPL_Raw_Data!K:K,MATCH(A236,FPL_Raw_Data!AA:AA,0))=0,"",INDEX(FPL_Raw_Data!P:P,MATCH(A236,FPL_Raw_Data!AA:AA,0))/INDEX(FPL_Raw_Data!K:K,MATCH(A236,FPL_Raw_Data!AA:AA,0))*90)</f>
        <v>0</v>
      </c>
      <c r="AW236" s="2">
        <f t="shared" si="97"/>
        <v>0</v>
      </c>
      <c r="AX236" s="2">
        <f>IFERROR(INDEX(TEAM_ANALYSIS!$H$2:$H$21,MATCH($B236,TEAM_ANALYSIS!$A$2:$A$21,0)),0)</f>
        <v>2.6666666666666665</v>
      </c>
      <c r="AY236" s="2">
        <f t="shared" si="98"/>
        <v>0</v>
      </c>
      <c r="AZ236" s="2">
        <f t="shared" si="99"/>
        <v>3.9781981416670247</v>
      </c>
      <c r="BA236">
        <f t="shared" si="100"/>
        <v>0.72330875303036812</v>
      </c>
      <c r="BB236">
        <f>IFERROR(Player_Analysis!$Y236,1)</f>
        <v>0.9782093425605537</v>
      </c>
      <c r="BC236">
        <f t="shared" si="101"/>
        <v>3.8915105887357169</v>
      </c>
      <c r="BD236">
        <f t="shared" si="102"/>
        <v>2.8147636713429049</v>
      </c>
      <c r="BE236">
        <f t="shared" si="103"/>
        <v>3.8915105887357169</v>
      </c>
      <c r="BF236">
        <f t="shared" si="104"/>
        <v>161</v>
      </c>
      <c r="BG236">
        <f>IF($BE236="","",COUNTIFS($C$2:$C$596,$C236,$BE$2:$BE$596,"&gt;"&amp;$BE236)+COUNTIFS($C$2:$C236,$C236,$BE$2:$BE236,$BE236))</f>
        <v>80</v>
      </c>
    </row>
    <row r="237" spans="1:59" x14ac:dyDescent="0.25">
      <c r="A237" t="str">
        <f>Player_Analysis!A237</f>
        <v>Yéremy Pino Santos</v>
      </c>
      <c r="B237">
        <f>Player_Analysis!C237</f>
        <v>8</v>
      </c>
      <c r="C237" t="str">
        <f>Player_Analysis!B237</f>
        <v>MID</v>
      </c>
      <c r="D237" s="13">
        <f>Player_Analysis!E237</f>
        <v>5.5</v>
      </c>
      <c r="E237">
        <f>Player_Analysis!I237</f>
        <v>190</v>
      </c>
      <c r="F237" s="8">
        <f>Player_Analysis!Z237</f>
        <v>2</v>
      </c>
      <c r="G237" s="17">
        <f t="shared" si="79"/>
        <v>0.94736842105263153</v>
      </c>
      <c r="H237">
        <f t="shared" si="80"/>
        <v>85.263157894736835</v>
      </c>
      <c r="I237" s="8">
        <f>Player_Analysis!AF237</f>
        <v>0</v>
      </c>
      <c r="J237" s="8">
        <f>Player_Analysis!AG237</f>
        <v>2</v>
      </c>
      <c r="K237">
        <f>Player_Analysis!O237</f>
        <v>0.36</v>
      </c>
      <c r="L237">
        <f>Player_Analysis!P237</f>
        <v>0.39</v>
      </c>
      <c r="M237">
        <f t="shared" si="81"/>
        <v>0.17052631578947366</v>
      </c>
      <c r="N237">
        <f t="shared" si="82"/>
        <v>0.18473684210526314</v>
      </c>
      <c r="O237" s="2">
        <f>IF(E237=0,"",Player_Analysis!L237/E237*90)</f>
        <v>5.2105263157894735</v>
      </c>
      <c r="P237">
        <f>IF(E237=0,"",Player_Analysis!Q237/E237*90)</f>
        <v>0.35526315789473684</v>
      </c>
      <c r="Q237">
        <f>IF(E237=0,"",(Player_Analysis!AD237/E237)*90)</f>
        <v>26.526315789473681</v>
      </c>
      <c r="R237">
        <f>IF(E237=0,"",Player_Analysis!AA237/E237*90)</f>
        <v>9.473684210526315</v>
      </c>
      <c r="S237" t="str">
        <f t="array" ref="S237">IFERROR(INDEX('2023_24'!$O:$O,MATCH($A237,'2023_24'!$A:$A,0)),"")</f>
        <v/>
      </c>
      <c r="T237" t="str">
        <f>IFERROR(INDEX('2024_25'!$P:$P,MATCH($A237,'2024_25'!$A:$A,0)),"")</f>
        <v/>
      </c>
      <c r="U237">
        <f>IFERROR(INDEX('2025_26'!$P:$P,MATCH($A237,'2025_26'!$A:$A,0)),"")</f>
        <v>0.19657666345226618</v>
      </c>
      <c r="V237" t="str">
        <f>IFERROR(INDEX('2023_24'!$P:$P,MATCH($A237,'2023_24'!$A:$A,0)),"")</f>
        <v/>
      </c>
      <c r="W237" t="str">
        <f>IFERROR(INDEX('2024_25'!$Q:$Q,MATCH($A237,'2024_25'!$A:$A,0)),"")</f>
        <v/>
      </c>
      <c r="X237">
        <f>IFERROR(INDEX('2025_26'!$Q:$Q,MATCH($A237,'2025_26'!$A:$A,0)),"")</f>
        <v>0.26557377049180325</v>
      </c>
      <c r="Y237" t="str">
        <f>IFERROR(INDEX('2023_24'!$M:$M,MATCH($A237,'2023_24'!$A:$A,0))/INDEX('2023_24'!$G:$G,MATCH($A237,'2023_24'!$A:$A,0))*90,"")</f>
        <v/>
      </c>
      <c r="Z237" t="str">
        <f>IFERROR(INDEX('2024_25'!$M:$M,MATCH($A237,'2024_25'!$A:$A,0))/INDEX('2024_25'!$G:$G,MATCH($A237,'2024_25'!$A:$A,0))*90,"")</f>
        <v/>
      </c>
      <c r="AA237">
        <f>IFERROR(INDEX('2025_26'!$M:$M,MATCH($A237,'2025_26'!$A:$A,0))/INDEX('2025_26'!$G:$G,MATCH($A237,'2025_26'!$A:$A,0))*90,"")</f>
        <v>3.3413693346190936</v>
      </c>
      <c r="AB237">
        <f>IFERROR(SUMPRODUCT(S237:U237,{0.2,0.3,0.5})/SUMPRODUCT(--(S237:U237&lt;&gt;""),{0.2,0.3,0.5}),"")</f>
        <v>0.19657666345226618</v>
      </c>
      <c r="AC237">
        <f>IFERROR(SUMPRODUCT(V237:X237,{0.2,0.3,0.5})/SUMPRODUCT(--(V237:X237&lt;&gt;""),{0.2,0.3,0.5}),"")</f>
        <v>0.26557377049180325</v>
      </c>
      <c r="AD237">
        <f>IFERROR(SUMPRODUCT(Y237:AA237,{0.2,0.3,0.5})/SUMPRODUCT((Y237:AA237&lt;&gt;"")*{0.2,0.3,0.5}),O237)</f>
        <v>3.3413693346190936</v>
      </c>
      <c r="AE237">
        <f t="shared" si="83"/>
        <v>1</v>
      </c>
      <c r="AF237">
        <f t="shared" si="84"/>
        <v>95</v>
      </c>
      <c r="AG237">
        <f t="shared" si="85"/>
        <v>0.18007810993249759</v>
      </c>
      <c r="AH237">
        <f t="shared" si="86"/>
        <v>0.21437704918032785</v>
      </c>
      <c r="AI237" s="2">
        <f t="shared" si="87"/>
        <v>4.5251687560270009</v>
      </c>
      <c r="AJ237">
        <f t="shared" si="88"/>
        <v>0.6333333333333333</v>
      </c>
      <c r="AK237" t="str">
        <f t="shared" si="89"/>
        <v>NO</v>
      </c>
      <c r="AL237">
        <f t="shared" si="90"/>
        <v>0.17060031467289244</v>
      </c>
      <c r="AM237">
        <f t="shared" si="91"/>
        <v>0.20309404659188954</v>
      </c>
      <c r="AN237">
        <f t="shared" si="92"/>
        <v>0.17060031467289244</v>
      </c>
      <c r="AO237">
        <f t="shared" si="93"/>
        <v>0.20309404659188954</v>
      </c>
      <c r="AP237">
        <f t="array" ref="AP237">AL237*IF($C237="GKP",10,IF($C237="DEF",6,IF($C237="MID",5,4)))</f>
        <v>0.85300157336446225</v>
      </c>
      <c r="AQ237">
        <f t="shared" si="94"/>
        <v>0.60928213977566859</v>
      </c>
      <c r="AR237">
        <f t="shared" si="95"/>
        <v>1.8947368421052631</v>
      </c>
      <c r="AS237" s="2">
        <f>IF($H237=0,0,Player_Analysis!$AM237*$H237/90)</f>
        <v>0</v>
      </c>
      <c r="AT237">
        <f t="shared" si="96"/>
        <v>1.4958448753462603</v>
      </c>
      <c r="AU237" s="2">
        <f>0</f>
        <v>0</v>
      </c>
      <c r="AV237" s="2">
        <f>IF(INDEX(FPL_Raw_Data!K:K,MATCH(A237,FPL_Raw_Data!AA:AA,0))=0,"",INDEX(FPL_Raw_Data!P:P,MATCH(A237,FPL_Raw_Data!AA:AA,0))/INDEX(FPL_Raw_Data!K:K,MATCH(A237,FPL_Raw_Data!AA:AA,0))*90)</f>
        <v>0</v>
      </c>
      <c r="AW237" s="2">
        <f t="shared" si="97"/>
        <v>0</v>
      </c>
      <c r="AX237" s="2">
        <f>IFERROR(INDEX(TEAM_ANALYSIS!$H$2:$H$21,MATCH($B237,TEAM_ANALYSIS!$A$2:$A$21,0)),0)</f>
        <v>2.6666666666666665</v>
      </c>
      <c r="AY237" s="2">
        <f t="shared" si="98"/>
        <v>0</v>
      </c>
      <c r="AZ237" s="2">
        <f t="shared" si="99"/>
        <v>4.8528654305916543</v>
      </c>
      <c r="BA237">
        <f t="shared" si="100"/>
        <v>0.88233916919848265</v>
      </c>
      <c r="BB237">
        <f>IFERROR(Player_Analysis!$Y237,1)</f>
        <v>0.9782093425605537</v>
      </c>
      <c r="BC237">
        <f t="shared" si="101"/>
        <v>4.7471183023939005</v>
      </c>
      <c r="BD237">
        <f t="shared" si="102"/>
        <v>4.1885684190211458</v>
      </c>
      <c r="BE237">
        <f t="shared" si="103"/>
        <v>4.7471183023939005</v>
      </c>
      <c r="BF237">
        <f t="shared" si="104"/>
        <v>110</v>
      </c>
      <c r="BG237">
        <f>IF($BE237="","",COUNTIFS($C$2:$C$596,$C237,$BE$2:$BE$596,"&gt;"&amp;$BE237)+COUNTIFS($C$2:$C237,$C237,$BE$2:$BE237,$BE237))</f>
        <v>52</v>
      </c>
    </row>
    <row r="238" spans="1:59" x14ac:dyDescent="0.25">
      <c r="A238" t="str">
        <f>Player_Analysis!A238</f>
        <v>Will Hughes</v>
      </c>
      <c r="B238">
        <f>Player_Analysis!C238</f>
        <v>8</v>
      </c>
      <c r="C238" t="str">
        <f>Player_Analysis!B238</f>
        <v>MID</v>
      </c>
      <c r="D238" s="13">
        <f>Player_Analysis!E238</f>
        <v>4.5</v>
      </c>
      <c r="E238">
        <f>Player_Analysis!I238</f>
        <v>16</v>
      </c>
      <c r="F238" s="8">
        <f>Player_Analysis!Z238</f>
        <v>0</v>
      </c>
      <c r="G238" s="17">
        <f t="shared" si="79"/>
        <v>0</v>
      </c>
      <c r="H238">
        <f t="shared" si="80"/>
        <v>0</v>
      </c>
      <c r="I238" s="8">
        <f>Player_Analysis!AF238</f>
        <v>0</v>
      </c>
      <c r="J238" s="8">
        <f>Player_Analysis!AG238</f>
        <v>0</v>
      </c>
      <c r="K238">
        <f>Player_Analysis!O238</f>
        <v>0</v>
      </c>
      <c r="L238">
        <f>Player_Analysis!P238</f>
        <v>0</v>
      </c>
      <c r="M238">
        <f t="shared" si="81"/>
        <v>0</v>
      </c>
      <c r="N238">
        <f t="shared" si="82"/>
        <v>0</v>
      </c>
      <c r="O238" s="2">
        <f>IF(E238=0,"",Player_Analysis!L238/E238*90)</f>
        <v>5.625</v>
      </c>
      <c r="P238">
        <f>IF(E238=0,"",Player_Analysis!Q238/E238*90)</f>
        <v>0</v>
      </c>
      <c r="Q238">
        <f>IF(E238=0,"",(Player_Analysis!AD238/E238)*90)</f>
        <v>16.875</v>
      </c>
      <c r="R238">
        <f>IF(E238=0,"",Player_Analysis!AA238/E238*90)</f>
        <v>16.875</v>
      </c>
      <c r="S238">
        <f t="array" ref="S238">IFERROR(INDEX('2023_24'!$O:$O,MATCH($A238,'2023_24'!$A:$A,0)),"")</f>
        <v>1.47932131495228E-2</v>
      </c>
      <c r="T238">
        <f>IFERROR(INDEX('2024_25'!$P:$P,MATCH($A238,'2024_25'!$A:$A,0)),"")</f>
        <v>4.6714285714285715E-2</v>
      </c>
      <c r="U238">
        <f>IFERROR(INDEX('2025_26'!$P:$P,MATCH($A238,'2025_26'!$A:$A,0)),"")</f>
        <v>6.4038461538461544E-2</v>
      </c>
      <c r="V238">
        <f>IFERROR(INDEX('2023_24'!$P:$P,MATCH($A238,'2023_24'!$A:$A,0)),"")</f>
        <v>8.1124072110286313E-2</v>
      </c>
      <c r="W238">
        <f>IFERROR(INDEX('2024_25'!$Q:$Q,MATCH($A238,'2024_25'!$A:$A,0)),"")</f>
        <v>0.11314285714285716</v>
      </c>
      <c r="X238">
        <f>IFERROR(INDEX('2025_26'!$Q:$Q,MATCH($A238,'2025_26'!$A:$A,0)),"")</f>
        <v>0.11192307692307693</v>
      </c>
      <c r="Y238">
        <f>IFERROR(INDEX('2023_24'!$M:$M,MATCH($A238,'2023_24'!$A:$A,0))/INDEX('2023_24'!$G:$G,MATCH($A238,'2023_24'!$A:$A,0))*90,"")</f>
        <v>2.9109225874867444</v>
      </c>
      <c r="Z238">
        <f>IFERROR(INDEX('2024_25'!$M:$M,MATCH($A238,'2024_25'!$A:$A,0))/INDEX('2024_25'!$G:$G,MATCH($A238,'2024_25'!$A:$A,0))*90,"")</f>
        <v>2.8714285714285719</v>
      </c>
      <c r="AA238">
        <f>IFERROR(INDEX('2025_26'!$M:$M,MATCH($A238,'2025_26'!$A:$A,0))/INDEX('2025_26'!$G:$G,MATCH($A238,'2025_26'!$A:$A,0))*90,"")</f>
        <v>2.5961538461538463</v>
      </c>
      <c r="AB238">
        <f>IFERROR(SUMPRODUCT(S238:U238,{0.2,0.3,0.5})/SUMPRODUCT(--(S238:U238&lt;&gt;""),{0.2,0.3,0.5}),"")</f>
        <v>4.8992159113421044E-2</v>
      </c>
      <c r="AC238">
        <f>IFERROR(SUMPRODUCT(V238:X238,{0.2,0.3,0.5})/SUMPRODUCT(--(V238:X238&lt;&gt;""),{0.2,0.3,0.5}),"")</f>
        <v>0.10612921002645287</v>
      </c>
      <c r="AD238">
        <f>IFERROR(SUMPRODUCT(Y238:AA238,{0.2,0.3,0.5})/SUMPRODUCT((Y238:AA238&lt;&gt;"")*{0.2,0.3,0.5}),O238)</f>
        <v>2.7416900120028433</v>
      </c>
      <c r="AE238">
        <f t="shared" si="83"/>
        <v>3</v>
      </c>
      <c r="AF238" t="str">
        <f t="shared" si="84"/>
        <v/>
      </c>
      <c r="AG238">
        <f t="shared" si="85"/>
        <v>4.6379243960705252E-2</v>
      </c>
      <c r="AH238">
        <f t="shared" si="86"/>
        <v>0.10046898549170871</v>
      </c>
      <c r="AI238" s="2">
        <f t="shared" si="87"/>
        <v>2.895466544696025</v>
      </c>
      <c r="AJ238">
        <f t="shared" si="88"/>
        <v>5.3333333333333337E-2</v>
      </c>
      <c r="AK238" t="str">
        <f t="shared" si="89"/>
        <v>NO</v>
      </c>
      <c r="AL238">
        <f t="shared" si="90"/>
        <v>0</v>
      </c>
      <c r="AM238">
        <f t="shared" si="91"/>
        <v>0</v>
      </c>
      <c r="AN238">
        <f t="shared" si="92"/>
        <v>0</v>
      </c>
      <c r="AO238">
        <f t="shared" si="93"/>
        <v>0</v>
      </c>
      <c r="AP238">
        <f t="array" ref="AP238">AL238*IF($C238="GKP",10,IF($C238="DEF",6,IF($C238="MID",5,4)))</f>
        <v>0</v>
      </c>
      <c r="AQ238">
        <f t="shared" si="94"/>
        <v>0</v>
      </c>
      <c r="AR238">
        <f t="shared" si="95"/>
        <v>0</v>
      </c>
      <c r="AS238" s="2">
        <f>IF($H238=0,0,Player_Analysis!$AM238*$H238/90)</f>
        <v>0</v>
      </c>
      <c r="AT238">
        <f t="shared" si="96"/>
        <v>0</v>
      </c>
      <c r="AU238" s="2">
        <f>0</f>
        <v>0</v>
      </c>
      <c r="AV238" s="2">
        <f>IF(INDEX(FPL_Raw_Data!K:K,MATCH(A238,FPL_Raw_Data!AA:AA,0))=0,"",INDEX(FPL_Raw_Data!P:P,MATCH(A238,FPL_Raw_Data!AA:AA,0))/INDEX(FPL_Raw_Data!K:K,MATCH(A238,FPL_Raw_Data!AA:AA,0))*90)</f>
        <v>0</v>
      </c>
      <c r="AW238" s="2">
        <f t="shared" si="97"/>
        <v>0</v>
      </c>
      <c r="AX238" s="2">
        <f>IFERROR(INDEX(TEAM_ANALYSIS!$H$2:$H$21,MATCH($B238,TEAM_ANALYSIS!$A$2:$A$21,0)),0)</f>
        <v>2.6666666666666665</v>
      </c>
      <c r="AY238" s="2">
        <f t="shared" si="98"/>
        <v>0</v>
      </c>
      <c r="AZ238" s="2">
        <f t="shared" si="99"/>
        <v>0</v>
      </c>
      <c r="BA238">
        <f t="shared" si="100"/>
        <v>0</v>
      </c>
      <c r="BB238">
        <f>IFERROR(Player_Analysis!$Y238,1)</f>
        <v>0.9782093425605537</v>
      </c>
      <c r="BC238">
        <f t="shared" si="101"/>
        <v>0</v>
      </c>
      <c r="BD238">
        <f t="shared" si="102"/>
        <v>0</v>
      </c>
      <c r="BE238">
        <f t="shared" si="103"/>
        <v>0</v>
      </c>
      <c r="BF238">
        <f t="shared" si="104"/>
        <v>253</v>
      </c>
      <c r="BG238">
        <f>IF($BE238="","",COUNTIFS($C$2:$C$596,$C238,$BE$2:$BE$596,"&gt;"&amp;$BE238)+COUNTIFS($C$2:$C238,$C238,$BE$2:$BE238,$BE238))</f>
        <v>170</v>
      </c>
    </row>
    <row r="239" spans="1:59" x14ac:dyDescent="0.25">
      <c r="A239" t="str">
        <f>Player_Analysis!A239</f>
        <v>Jefferson Lerma Solís</v>
      </c>
      <c r="B239">
        <f>Player_Analysis!C239</f>
        <v>8</v>
      </c>
      <c r="C239" t="str">
        <f>Player_Analysis!B239</f>
        <v>MID</v>
      </c>
      <c r="D239" s="13">
        <f>Player_Analysis!E239</f>
        <v>4.9000000000000004</v>
      </c>
      <c r="E239">
        <f>Player_Analysis!I239</f>
        <v>0</v>
      </c>
      <c r="F239" s="8">
        <f>Player_Analysis!Z239</f>
        <v>0</v>
      </c>
      <c r="G239" s="17">
        <f t="shared" si="79"/>
        <v>0</v>
      </c>
      <c r="H239">
        <f t="shared" si="80"/>
        <v>0</v>
      </c>
      <c r="I239" s="8">
        <f>Player_Analysis!AF239</f>
        <v>0</v>
      </c>
      <c r="J239" s="8">
        <f>Player_Analysis!AG239</f>
        <v>0</v>
      </c>
      <c r="K239">
        <f>Player_Analysis!O239</f>
        <v>0</v>
      </c>
      <c r="L239">
        <f>Player_Analysis!P239</f>
        <v>0</v>
      </c>
      <c r="M239" t="str">
        <f t="shared" si="81"/>
        <v/>
      </c>
      <c r="N239" t="str">
        <f t="shared" si="82"/>
        <v/>
      </c>
      <c r="O239" s="2" t="str">
        <f>IF(E239=0,"",Player_Analysis!L239/E239*90)</f>
        <v/>
      </c>
      <c r="P239" t="str">
        <f>IF(E239=0,"",Player_Analysis!Q239/E239*90)</f>
        <v/>
      </c>
      <c r="Q239" t="str">
        <f>IF(E239=0,"",(Player_Analysis!AD239/E239)*90)</f>
        <v/>
      </c>
      <c r="R239" t="str">
        <f>IF(E239=0,"",Player_Analysis!AA239/E239*90)</f>
        <v/>
      </c>
      <c r="S239">
        <f t="array" ref="S239">IFERROR(INDEX('2023_24'!$O:$O,MATCH($A239,'2023_24'!$A:$A,0)),"")</f>
        <v>9.7915798249270519E-2</v>
      </c>
      <c r="T239">
        <f>IFERROR(INDEX('2024_25'!$P:$P,MATCH($A239,'2024_25'!$A:$A,0)),"")</f>
        <v>4.2422907488986784E-2</v>
      </c>
      <c r="U239">
        <f>IFERROR(INDEX('2025_26'!$P:$P,MATCH($A239,'2025_26'!$A:$A,0)),"")</f>
        <v>9.616724738675958E-2</v>
      </c>
      <c r="V239">
        <f>IFERROR(INDEX('2023_24'!$P:$P,MATCH($A239,'2023_24'!$A:$A,0)),"")</f>
        <v>6.677782409337224E-2</v>
      </c>
      <c r="W239">
        <f>IFERROR(INDEX('2024_25'!$Q:$Q,MATCH($A239,'2024_25'!$A:$A,0)),"")</f>
        <v>6.9383259911894271E-2</v>
      </c>
      <c r="X239">
        <f>IFERROR(INDEX('2025_26'!$Q:$Q,MATCH($A239,'2025_26'!$A:$A,0)),"")</f>
        <v>7.7351916376306618E-2</v>
      </c>
      <c r="Y239">
        <f>IFERROR(INDEX('2023_24'!$M:$M,MATCH($A239,'2023_24'!$A:$A,0))/INDEX('2023_24'!$G:$G,MATCH($A239,'2023_24'!$A:$A,0))*90,"")</f>
        <v>2.40100041684035</v>
      </c>
      <c r="Z239">
        <f>IFERROR(INDEX('2024_25'!$M:$M,MATCH($A239,'2024_25'!$A:$A,0))/INDEX('2024_25'!$G:$G,MATCH($A239,'2024_25'!$A:$A,0))*90,"")</f>
        <v>2.2995594713656384</v>
      </c>
      <c r="AA239">
        <f>IFERROR(INDEX('2025_26'!$M:$M,MATCH($A239,'2025_26'!$A:$A,0))/INDEX('2025_26'!$G:$G,MATCH($A239,'2025_26'!$A:$A,0))*90,"")</f>
        <v>3.6062717770034842</v>
      </c>
      <c r="AB239">
        <f>IFERROR(SUMPRODUCT(S239:U239,{0.2,0.3,0.5})/SUMPRODUCT(--(S239:U239&lt;&gt;""),{0.2,0.3,0.5}),"")</f>
        <v>8.0393655589929933E-2</v>
      </c>
      <c r="AC239">
        <f>IFERROR(SUMPRODUCT(V239:X239,{0.2,0.3,0.5})/SUMPRODUCT(--(V239:X239&lt;&gt;""),{0.2,0.3,0.5}),"")</f>
        <v>7.2846500980396037E-2</v>
      </c>
      <c r="AD239">
        <f>IFERROR(SUMPRODUCT(Y239:AA239,{0.2,0.3,0.5})/SUMPRODUCT((Y239:AA239&lt;&gt;"")*{0.2,0.3,0.5}),O239)</f>
        <v>2.9732038132795036</v>
      </c>
      <c r="AE239">
        <f t="shared" si="83"/>
        <v>3</v>
      </c>
      <c r="AF239" t="str">
        <f t="shared" si="84"/>
        <v/>
      </c>
      <c r="AG239">
        <f t="shared" si="85"/>
        <v>8.0393655589929933E-2</v>
      </c>
      <c r="AH239">
        <f t="shared" si="86"/>
        <v>7.2846500980396037E-2</v>
      </c>
      <c r="AI239" s="2">
        <f t="shared" si="87"/>
        <v>2.9732038132795036</v>
      </c>
      <c r="AJ239">
        <f t="shared" si="88"/>
        <v>0</v>
      </c>
      <c r="AK239" t="str">
        <f t="shared" si="89"/>
        <v>NO</v>
      </c>
      <c r="AL239">
        <f t="shared" si="90"/>
        <v>0</v>
      </c>
      <c r="AM239">
        <f t="shared" si="91"/>
        <v>0</v>
      </c>
      <c r="AN239">
        <f t="shared" si="92"/>
        <v>0</v>
      </c>
      <c r="AO239">
        <f t="shared" si="93"/>
        <v>0</v>
      </c>
      <c r="AP239">
        <f t="array" ref="AP239">AL239*IF($C239="GKP",10,IF($C239="DEF",6,IF($C239="MID",5,4)))</f>
        <v>0</v>
      </c>
      <c r="AQ239">
        <f t="shared" si="94"/>
        <v>0</v>
      </c>
      <c r="AR239">
        <f t="shared" si="95"/>
        <v>0</v>
      </c>
      <c r="AS239" s="2">
        <f>IF($H239=0,0,Player_Analysis!$AM239*$H239/90)</f>
        <v>0</v>
      </c>
      <c r="AT239">
        <f t="shared" si="96"/>
        <v>0</v>
      </c>
      <c r="AU239" s="2">
        <f>0</f>
        <v>0</v>
      </c>
      <c r="AV239" s="2" t="str">
        <f>IF(INDEX(FPL_Raw_Data!K:K,MATCH(A239,FPL_Raw_Data!AA:AA,0))=0,"",INDEX(FPL_Raw_Data!P:P,MATCH(A239,FPL_Raw_Data!AA:AA,0))/INDEX(FPL_Raw_Data!K:K,MATCH(A239,FPL_Raw_Data!AA:AA,0))*90)</f>
        <v/>
      </c>
      <c r="AW239" s="2">
        <f t="shared" si="97"/>
        <v>0</v>
      </c>
      <c r="AX239" s="2">
        <f>IFERROR(INDEX(TEAM_ANALYSIS!$H$2:$H$21,MATCH($B239,TEAM_ANALYSIS!$A$2:$A$21,0)),0)</f>
        <v>2.6666666666666665</v>
      </c>
      <c r="AY239" s="2">
        <f t="shared" si="98"/>
        <v>0</v>
      </c>
      <c r="AZ239" s="2">
        <f t="shared" si="99"/>
        <v>0</v>
      </c>
      <c r="BA239">
        <f t="shared" si="100"/>
        <v>0</v>
      </c>
      <c r="BB239">
        <f>IFERROR(Player_Analysis!$Y239,1)</f>
        <v>0.9782093425605537</v>
      </c>
      <c r="BC239">
        <f t="shared" si="101"/>
        <v>0</v>
      </c>
      <c r="BD239">
        <f t="shared" si="102"/>
        <v>0</v>
      </c>
      <c r="BE239">
        <f t="shared" si="103"/>
        <v>0</v>
      </c>
      <c r="BF239">
        <f t="shared" si="104"/>
        <v>253</v>
      </c>
      <c r="BG239">
        <f>IF($BE239="","",COUNTIFS($C$2:$C$596,$C239,$BE$2:$BE$596,"&gt;"&amp;$BE239)+COUNTIFS($C$2:$C239,$C239,$BE$2:$BE239,$BE239))</f>
        <v>171</v>
      </c>
    </row>
    <row r="240" spans="1:59" x14ac:dyDescent="0.25">
      <c r="A240" t="str">
        <f>Player_Analysis!A240</f>
        <v>Daichi Kamada</v>
      </c>
      <c r="B240">
        <f>Player_Analysis!C240</f>
        <v>8</v>
      </c>
      <c r="C240" t="str">
        <f>Player_Analysis!B240</f>
        <v>MID</v>
      </c>
      <c r="D240" s="13">
        <f>Player_Analysis!E240</f>
        <v>5</v>
      </c>
      <c r="E240">
        <f>Player_Analysis!I240</f>
        <v>268</v>
      </c>
      <c r="F240" s="8">
        <f>Player_Analysis!Z240</f>
        <v>3</v>
      </c>
      <c r="G240" s="17">
        <f t="shared" si="79"/>
        <v>1</v>
      </c>
      <c r="H240">
        <f t="shared" si="80"/>
        <v>90</v>
      </c>
      <c r="I240" s="8">
        <f>Player_Analysis!AF240</f>
        <v>0</v>
      </c>
      <c r="J240" s="8">
        <f>Player_Analysis!AG240</f>
        <v>1</v>
      </c>
      <c r="K240">
        <f>Player_Analysis!O240</f>
        <v>0.05</v>
      </c>
      <c r="L240">
        <f>Player_Analysis!P240</f>
        <v>0.3</v>
      </c>
      <c r="M240">
        <f t="shared" si="81"/>
        <v>1.6791044776119403E-2</v>
      </c>
      <c r="N240">
        <f t="shared" si="82"/>
        <v>0.10074626865671642</v>
      </c>
      <c r="O240" s="2">
        <f>IF(E240=0,"",Player_Analysis!L240/E240*90)</f>
        <v>3.3582089552238803</v>
      </c>
      <c r="P240">
        <f>IF(E240=0,"",Player_Analysis!Q240/E240*90)</f>
        <v>0.1175373134328358</v>
      </c>
      <c r="Q240">
        <f>IF(E240=0,"",(Player_Analysis!AD240/E240)*90)</f>
        <v>22.5</v>
      </c>
      <c r="R240">
        <f>IF(E240=0,"",Player_Analysis!AA240/E240*90)</f>
        <v>9.067164179104477</v>
      </c>
      <c r="S240" t="str">
        <f t="array" ref="S240">IFERROR(INDEX('2023_24'!$O:$O,MATCH($A240,'2023_24'!$A:$A,0)),"")</f>
        <v/>
      </c>
      <c r="T240">
        <f>IFERROR(INDEX('2024_25'!$P:$P,MATCH($A240,'2024_25'!$A:$A,0)),"")</f>
        <v>6.5242718446601955E-2</v>
      </c>
      <c r="U240">
        <f>IFERROR(INDEX('2025_26'!$P:$P,MATCH($A240,'2025_26'!$A:$A,0)),"")</f>
        <v>7.772511848341232E-2</v>
      </c>
      <c r="V240" t="str">
        <f>IFERROR(INDEX('2023_24'!$P:$P,MATCH($A240,'2023_24'!$A:$A,0)),"")</f>
        <v/>
      </c>
      <c r="W240">
        <f>IFERROR(INDEX('2024_25'!$Q:$Q,MATCH($A240,'2024_25'!$A:$A,0)),"")</f>
        <v>9.029126213592234E-2</v>
      </c>
      <c r="X240">
        <f>IFERROR(INDEX('2025_26'!$Q:$Q,MATCH($A240,'2025_26'!$A:$A,0)),"")</f>
        <v>0.15355450236966825</v>
      </c>
      <c r="Y240" t="str">
        <f>IFERROR(INDEX('2023_24'!$M:$M,MATCH($A240,'2023_24'!$A:$A,0))/INDEX('2023_24'!$G:$G,MATCH($A240,'2023_24'!$A:$A,0))*90,"")</f>
        <v/>
      </c>
      <c r="Z240">
        <f>IFERROR(INDEX('2024_25'!$M:$M,MATCH($A240,'2024_25'!$A:$A,0))/INDEX('2024_25'!$G:$G,MATCH($A240,'2024_25'!$A:$A,0))*90,"")</f>
        <v>2.621359223300971</v>
      </c>
      <c r="AA240">
        <f>IFERROR(INDEX('2025_26'!$M:$M,MATCH($A240,'2025_26'!$A:$A,0))/INDEX('2025_26'!$G:$G,MATCH($A240,'2025_26'!$A:$A,0))*90,"")</f>
        <v>3.175355450236967</v>
      </c>
      <c r="AB240">
        <f>IFERROR(SUMPRODUCT(S240:U240,{0.2,0.3,0.5})/SUMPRODUCT(--(S240:U240&lt;&gt;""),{0.2,0.3,0.5}),"")</f>
        <v>7.304421846960843E-2</v>
      </c>
      <c r="AC240">
        <f>IFERROR(SUMPRODUCT(V240:X240,{0.2,0.3,0.5})/SUMPRODUCT(--(V240:X240&lt;&gt;""),{0.2,0.3,0.5}),"")</f>
        <v>0.12983078728201353</v>
      </c>
      <c r="AD240">
        <f>IFERROR(SUMPRODUCT(Y240:AA240,{0.2,0.3,0.5})/SUMPRODUCT((Y240:AA240&lt;&gt;"")*{0.2,0.3,0.5}),O240)</f>
        <v>2.9676068651359682</v>
      </c>
      <c r="AE240">
        <f t="shared" si="83"/>
        <v>2</v>
      </c>
      <c r="AF240">
        <f t="shared" si="84"/>
        <v>89.333333333333329</v>
      </c>
      <c r="AG240">
        <f t="shared" si="85"/>
        <v>2.2791383303424902E-2</v>
      </c>
      <c r="AH240">
        <f t="shared" si="86"/>
        <v>0.10384861731008144</v>
      </c>
      <c r="AI240" s="2">
        <f t="shared" si="87"/>
        <v>3.3165447322811694</v>
      </c>
      <c r="AJ240">
        <f t="shared" si="88"/>
        <v>0.89333333333333331</v>
      </c>
      <c r="AK240" t="str">
        <f t="shared" si="89"/>
        <v>NO</v>
      </c>
      <c r="AL240">
        <f t="shared" si="90"/>
        <v>2.2791383303424902E-2</v>
      </c>
      <c r="AM240">
        <f t="shared" si="91"/>
        <v>0.10384861731008144</v>
      </c>
      <c r="AN240">
        <f t="shared" si="92"/>
        <v>2.2791383303424902E-2</v>
      </c>
      <c r="AO240">
        <f t="shared" si="93"/>
        <v>0.10384861731008144</v>
      </c>
      <c r="AP240">
        <f t="array" ref="AP240">AL240*IF($C240="GKP",10,IF($C240="DEF",6,IF($C240="MID",5,4)))</f>
        <v>0.1139569165171245</v>
      </c>
      <c r="AQ240">
        <f t="shared" si="94"/>
        <v>0.31154585193024431</v>
      </c>
      <c r="AR240">
        <f t="shared" si="95"/>
        <v>2</v>
      </c>
      <c r="AS240" s="2">
        <f>IF($H240=0,0,Player_Analysis!$AM240*$H240/90)</f>
        <v>0</v>
      </c>
      <c r="AT240">
        <f t="shared" si="96"/>
        <v>1.5111940298507462</v>
      </c>
      <c r="AU240" s="2">
        <f>0</f>
        <v>0</v>
      </c>
      <c r="AV240" s="2">
        <f>IF(INDEX(FPL_Raw_Data!K:K,MATCH(A240,FPL_Raw_Data!AA:AA,0))=0,"",INDEX(FPL_Raw_Data!P:P,MATCH(A240,FPL_Raw_Data!AA:AA,0))/INDEX(FPL_Raw_Data!K:K,MATCH(A240,FPL_Raw_Data!AA:AA,0))*90)</f>
        <v>0</v>
      </c>
      <c r="AW240" s="2">
        <f t="shared" si="97"/>
        <v>0</v>
      </c>
      <c r="AX240" s="2">
        <f>IFERROR(INDEX(TEAM_ANALYSIS!$H$2:$H$21,MATCH($B240,TEAM_ANALYSIS!$A$2:$A$21,0)),0)</f>
        <v>2.6666666666666665</v>
      </c>
      <c r="AY240" s="2">
        <f t="shared" si="98"/>
        <v>0</v>
      </c>
      <c r="AZ240" s="2">
        <f t="shared" si="99"/>
        <v>3.9366967982981151</v>
      </c>
      <c r="BA240">
        <f t="shared" si="100"/>
        <v>0.78733935965962298</v>
      </c>
      <c r="BB240">
        <f>IFERROR(Player_Analysis!$Y240,1)</f>
        <v>0.9782093425605537</v>
      </c>
      <c r="BC240">
        <f t="shared" si="101"/>
        <v>3.8509135869234359</v>
      </c>
      <c r="BD240">
        <f t="shared" si="102"/>
        <v>3.0319758376328401</v>
      </c>
      <c r="BE240">
        <f t="shared" si="103"/>
        <v>3.8509135869234359</v>
      </c>
      <c r="BF240">
        <f t="shared" si="104"/>
        <v>164</v>
      </c>
      <c r="BG240">
        <f>IF($BE240="","",COUNTIFS($C$2:$C$596,$C240,$BE$2:$BE$596,"&gt;"&amp;$BE240)+COUNTIFS($C$2:$C240,$C240,$BE$2:$BE240,$BE240))</f>
        <v>83</v>
      </c>
    </row>
    <row r="241" spans="1:59" x14ac:dyDescent="0.25">
      <c r="A241" t="str">
        <f>Player_Analysis!A241</f>
        <v>Justin Devenny</v>
      </c>
      <c r="B241">
        <f>Player_Analysis!C241</f>
        <v>8</v>
      </c>
      <c r="C241" t="str">
        <f>Player_Analysis!B241</f>
        <v>MID</v>
      </c>
      <c r="D241" s="13">
        <f>Player_Analysis!E241</f>
        <v>5</v>
      </c>
      <c r="E241">
        <f>Player_Analysis!I241</f>
        <v>0</v>
      </c>
      <c r="F241" s="8">
        <f>Player_Analysis!Z241</f>
        <v>0</v>
      </c>
      <c r="G241" s="17">
        <f t="shared" si="79"/>
        <v>0</v>
      </c>
      <c r="H241">
        <f t="shared" si="80"/>
        <v>0</v>
      </c>
      <c r="I241" s="8">
        <f>Player_Analysis!AF241</f>
        <v>0</v>
      </c>
      <c r="J241" s="8">
        <f>Player_Analysis!AG241</f>
        <v>0</v>
      </c>
      <c r="K241">
        <f>Player_Analysis!O241</f>
        <v>0</v>
      </c>
      <c r="L241">
        <f>Player_Analysis!P241</f>
        <v>0</v>
      </c>
      <c r="M241" t="str">
        <f t="shared" si="81"/>
        <v/>
      </c>
      <c r="N241" t="str">
        <f t="shared" si="82"/>
        <v/>
      </c>
      <c r="O241" s="2" t="str">
        <f>IF(E241=0,"",Player_Analysis!L241/E241*90)</f>
        <v/>
      </c>
      <c r="P241" t="str">
        <f>IF(E241=0,"",Player_Analysis!Q241/E241*90)</f>
        <v/>
      </c>
      <c r="Q241" t="str">
        <f>IF(E241=0,"",(Player_Analysis!AD241/E241)*90)</f>
        <v/>
      </c>
      <c r="R241" t="str">
        <f>IF(E241=0,"",Player_Analysis!AA241/E241*90)</f>
        <v/>
      </c>
      <c r="S241" t="str">
        <f t="array" ref="S241">IFERROR(INDEX('2023_24'!$O:$O,MATCH($A241,'2023_24'!$A:$A,0)),"")</f>
        <v/>
      </c>
      <c r="T241">
        <f>IFERROR(INDEX('2024_25'!$P:$P,MATCH($A241,'2024_25'!$A:$A,0)),"")</f>
        <v>0.1402834008097166</v>
      </c>
      <c r="U241">
        <f>IFERROR(INDEX('2025_26'!$P:$P,MATCH($A241,'2025_26'!$A:$A,0)),"")</f>
        <v>0.27286624203821652</v>
      </c>
      <c r="V241" t="str">
        <f>IFERROR(INDEX('2023_24'!$P:$P,MATCH($A241,'2023_24'!$A:$A,0)),"")</f>
        <v/>
      </c>
      <c r="W241">
        <f>IFERROR(INDEX('2024_25'!$Q:$Q,MATCH($A241,'2024_25'!$A:$A,0)),"")</f>
        <v>7.4696356275303633E-2</v>
      </c>
      <c r="X241">
        <f>IFERROR(INDEX('2025_26'!$Q:$Q,MATCH($A241,'2025_26'!$A:$A,0)),"")</f>
        <v>4.4713375796178345E-2</v>
      </c>
      <c r="Y241" t="str">
        <f>IFERROR(INDEX('2023_24'!$M:$M,MATCH($A241,'2023_24'!$A:$A,0))/INDEX('2023_24'!$G:$G,MATCH($A241,'2023_24'!$A:$A,0))*90,"")</f>
        <v/>
      </c>
      <c r="Z241">
        <f>IFERROR(INDEX('2024_25'!$M:$M,MATCH($A241,'2024_25'!$A:$A,0))/INDEX('2024_25'!$G:$G,MATCH($A241,'2024_25'!$A:$A,0))*90,"")</f>
        <v>6.1943319838056681</v>
      </c>
      <c r="AA241">
        <f>IFERROR(INDEX('2025_26'!$M:$M,MATCH($A241,'2025_26'!$A:$A,0))/INDEX('2025_26'!$G:$G,MATCH($A241,'2025_26'!$A:$A,0))*90,"")</f>
        <v>4.1273885350318471</v>
      </c>
      <c r="AB241">
        <f>IFERROR(SUMPRODUCT(S241:U241,{0.2,0.3,0.5})/SUMPRODUCT(--(S241:U241&lt;&gt;""),{0.2,0.3,0.5}),"")</f>
        <v>0.22314767657752907</v>
      </c>
      <c r="AC241">
        <f>IFERROR(SUMPRODUCT(V241:X241,{0.2,0.3,0.5})/SUMPRODUCT(--(V241:X241&lt;&gt;""),{0.2,0.3,0.5}),"")</f>
        <v>5.5956993475850328E-2</v>
      </c>
      <c r="AD241">
        <f>IFERROR(SUMPRODUCT(Y241:AA241,{0.2,0.3,0.5})/SUMPRODUCT((Y241:AA241&lt;&gt;"")*{0.2,0.3,0.5}),O241)</f>
        <v>4.9024923283220296</v>
      </c>
      <c r="AE241">
        <f t="shared" si="83"/>
        <v>2</v>
      </c>
      <c r="AF241" t="str">
        <f t="shared" si="84"/>
        <v/>
      </c>
      <c r="AG241">
        <f t="shared" si="85"/>
        <v>0.22314767657752907</v>
      </c>
      <c r="AH241">
        <f t="shared" si="86"/>
        <v>5.5956993475850328E-2</v>
      </c>
      <c r="AI241" s="2">
        <f t="shared" si="87"/>
        <v>4.9024923283220296</v>
      </c>
      <c r="AJ241">
        <f t="shared" si="88"/>
        <v>0</v>
      </c>
      <c r="AK241" t="str">
        <f t="shared" si="89"/>
        <v>NO</v>
      </c>
      <c r="AL241">
        <f t="shared" si="90"/>
        <v>0</v>
      </c>
      <c r="AM241">
        <f t="shared" si="91"/>
        <v>0</v>
      </c>
      <c r="AN241">
        <f t="shared" si="92"/>
        <v>0</v>
      </c>
      <c r="AO241">
        <f t="shared" si="93"/>
        <v>0</v>
      </c>
      <c r="AP241">
        <f t="array" ref="AP241">AL241*IF($C241="GKP",10,IF($C241="DEF",6,IF($C241="MID",5,4)))</f>
        <v>0</v>
      </c>
      <c r="AQ241">
        <f t="shared" si="94"/>
        <v>0</v>
      </c>
      <c r="AR241">
        <f t="shared" si="95"/>
        <v>0</v>
      </c>
      <c r="AS241" s="2">
        <f>IF($H241=0,0,Player_Analysis!$AM241*$H241/90)</f>
        <v>0</v>
      </c>
      <c r="AT241">
        <f t="shared" si="96"/>
        <v>0</v>
      </c>
      <c r="AU241" s="2">
        <f>0</f>
        <v>0</v>
      </c>
      <c r="AV241" s="2" t="str">
        <f>IF(INDEX(FPL_Raw_Data!K:K,MATCH(A241,FPL_Raw_Data!AA:AA,0))=0,"",INDEX(FPL_Raw_Data!P:P,MATCH(A241,FPL_Raw_Data!AA:AA,0))/INDEX(FPL_Raw_Data!K:K,MATCH(A241,FPL_Raw_Data!AA:AA,0))*90)</f>
        <v/>
      </c>
      <c r="AW241" s="2">
        <f t="shared" si="97"/>
        <v>0</v>
      </c>
      <c r="AX241" s="2">
        <f>IFERROR(INDEX(TEAM_ANALYSIS!$H$2:$H$21,MATCH($B241,TEAM_ANALYSIS!$A$2:$A$21,0)),0)</f>
        <v>2.6666666666666665</v>
      </c>
      <c r="AY241" s="2">
        <f t="shared" si="98"/>
        <v>0</v>
      </c>
      <c r="AZ241" s="2">
        <f t="shared" si="99"/>
        <v>0</v>
      </c>
      <c r="BA241">
        <f t="shared" si="100"/>
        <v>0</v>
      </c>
      <c r="BB241">
        <f>IFERROR(Player_Analysis!$Y241,1)</f>
        <v>0.9782093425605537</v>
      </c>
      <c r="BC241">
        <f t="shared" si="101"/>
        <v>0</v>
      </c>
      <c r="BD241">
        <f t="shared" si="102"/>
        <v>0</v>
      </c>
      <c r="BE241">
        <f t="shared" si="103"/>
        <v>0</v>
      </c>
      <c r="BF241">
        <f t="shared" si="104"/>
        <v>253</v>
      </c>
      <c r="BG241">
        <f>IF($BE241="","",COUNTIFS($C$2:$C$596,$C241,$BE$2:$BE$596,"&gt;"&amp;$BE241)+COUNTIFS($C$2:$C241,$C241,$BE$2:$BE241,$BE241))</f>
        <v>172</v>
      </c>
    </row>
    <row r="242" spans="1:59" x14ac:dyDescent="0.25">
      <c r="A242" t="str">
        <f>Player_Analysis!A242</f>
        <v>Romain Esse</v>
      </c>
      <c r="B242">
        <f>Player_Analysis!C242</f>
        <v>8</v>
      </c>
      <c r="C242" t="str">
        <f>Player_Analysis!B242</f>
        <v>MID</v>
      </c>
      <c r="D242" s="13">
        <f>Player_Analysis!E242</f>
        <v>5</v>
      </c>
      <c r="E242">
        <f>Player_Analysis!I242</f>
        <v>0</v>
      </c>
      <c r="F242" s="8">
        <f>Player_Analysis!Z242</f>
        <v>0</v>
      </c>
      <c r="G242" s="17">
        <f t="shared" si="79"/>
        <v>0</v>
      </c>
      <c r="H242">
        <f t="shared" si="80"/>
        <v>0</v>
      </c>
      <c r="I242" s="8">
        <f>Player_Analysis!AF242</f>
        <v>0</v>
      </c>
      <c r="J242" s="8">
        <f>Player_Analysis!AG242</f>
        <v>0</v>
      </c>
      <c r="K242">
        <f>Player_Analysis!O242</f>
        <v>0</v>
      </c>
      <c r="L242">
        <f>Player_Analysis!P242</f>
        <v>0</v>
      </c>
      <c r="M242" t="str">
        <f t="shared" si="81"/>
        <v/>
      </c>
      <c r="N242" t="str">
        <f t="shared" si="82"/>
        <v/>
      </c>
      <c r="O242" s="2" t="str">
        <f>IF(E242=0,"",Player_Analysis!L242/E242*90)</f>
        <v/>
      </c>
      <c r="P242" t="str">
        <f>IF(E242=0,"",Player_Analysis!Q242/E242*90)</f>
        <v/>
      </c>
      <c r="Q242" t="str">
        <f>IF(E242=0,"",(Player_Analysis!AD242/E242)*90)</f>
        <v/>
      </c>
      <c r="R242" t="str">
        <f>IF(E242=0,"",Player_Analysis!AA242/E242*90)</f>
        <v/>
      </c>
      <c r="S242" t="str">
        <f t="array" ref="S242">IFERROR(INDEX('2023_24'!$O:$O,MATCH($A242,'2023_24'!$A:$A,0)),"")</f>
        <v/>
      </c>
      <c r="T242">
        <f>IFERROR(INDEX('2024_25'!$P:$P,MATCH($A242,'2024_25'!$A:$A,0)),"")</f>
        <v>0.20869565217391303</v>
      </c>
      <c r="U242">
        <f>IFERROR(INDEX('2025_26'!$P:$P,MATCH($A242,'2025_26'!$A:$A,0)),"")</f>
        <v>0</v>
      </c>
      <c r="V242" t="str">
        <f>IFERROR(INDEX('2023_24'!$P:$P,MATCH($A242,'2023_24'!$A:$A,0)),"")</f>
        <v/>
      </c>
      <c r="W242">
        <f>IFERROR(INDEX('2024_25'!$Q:$Q,MATCH($A242,'2024_25'!$A:$A,0)),"")</f>
        <v>0.25434782608695655</v>
      </c>
      <c r="X242">
        <f>IFERROR(INDEX('2025_26'!$Q:$Q,MATCH($A242,'2025_26'!$A:$A,0)),"")</f>
        <v>0.09</v>
      </c>
      <c r="Y242" t="str">
        <f>IFERROR(INDEX('2023_24'!$M:$M,MATCH($A242,'2023_24'!$A:$A,0))/INDEX('2023_24'!$G:$G,MATCH($A242,'2023_24'!$A:$A,0))*90,"")</f>
        <v/>
      </c>
      <c r="Z242">
        <f>IFERROR(INDEX('2024_25'!$M:$M,MATCH($A242,'2024_25'!$A:$A,0))/INDEX('2024_25'!$G:$G,MATCH($A242,'2024_25'!$A:$A,0))*90,"")</f>
        <v>14.34782608695652</v>
      </c>
      <c r="AA242">
        <f>IFERROR(INDEX('2025_26'!$M:$M,MATCH($A242,'2025_26'!$A:$A,0))/INDEX('2025_26'!$G:$G,MATCH($A242,'2025_26'!$A:$A,0))*90,"")</f>
        <v>9</v>
      </c>
      <c r="AB242">
        <f>IFERROR(SUMPRODUCT(S242:U242,{0.2,0.3,0.5})/SUMPRODUCT(--(S242:U242&lt;&gt;""),{0.2,0.3,0.5}),"")</f>
        <v>7.826086956521737E-2</v>
      </c>
      <c r="AC242">
        <f>IFERROR(SUMPRODUCT(V242:X242,{0.2,0.3,0.5})/SUMPRODUCT(--(V242:X242&lt;&gt;""),{0.2,0.3,0.5}),"")</f>
        <v>0.15163043478260868</v>
      </c>
      <c r="AD242">
        <f>IFERROR(SUMPRODUCT(Y242:AA242,{0.2,0.3,0.5})/SUMPRODUCT((Y242:AA242&lt;&gt;"")*{0.2,0.3,0.5}),O242)</f>
        <v>11.005434782608695</v>
      </c>
      <c r="AE242">
        <f t="shared" si="83"/>
        <v>2</v>
      </c>
      <c r="AF242" t="str">
        <f t="shared" si="84"/>
        <v/>
      </c>
      <c r="AG242">
        <f t="shared" si="85"/>
        <v>7.826086956521737E-2</v>
      </c>
      <c r="AH242">
        <f t="shared" si="86"/>
        <v>0.15163043478260868</v>
      </c>
      <c r="AI242" s="2">
        <f t="shared" si="87"/>
        <v>11.005434782608695</v>
      </c>
      <c r="AJ242">
        <f t="shared" si="88"/>
        <v>0</v>
      </c>
      <c r="AK242" t="str">
        <f t="shared" si="89"/>
        <v>NO</v>
      </c>
      <c r="AL242">
        <f t="shared" si="90"/>
        <v>0</v>
      </c>
      <c r="AM242">
        <f t="shared" si="91"/>
        <v>0</v>
      </c>
      <c r="AN242">
        <f t="shared" si="92"/>
        <v>0</v>
      </c>
      <c r="AO242">
        <f t="shared" si="93"/>
        <v>0</v>
      </c>
      <c r="AP242">
        <f t="array" ref="AP242">AL242*IF($C242="GKP",10,IF($C242="DEF",6,IF($C242="MID",5,4)))</f>
        <v>0</v>
      </c>
      <c r="AQ242">
        <f t="shared" si="94"/>
        <v>0</v>
      </c>
      <c r="AR242">
        <f t="shared" si="95"/>
        <v>0</v>
      </c>
      <c r="AS242" s="2">
        <f>IF($H242=0,0,Player_Analysis!$AM242*$H242/90)</f>
        <v>0</v>
      </c>
      <c r="AT242">
        <f t="shared" si="96"/>
        <v>0</v>
      </c>
      <c r="AU242" s="2">
        <f>0</f>
        <v>0</v>
      </c>
      <c r="AV242" s="2" t="str">
        <f>IF(INDEX(FPL_Raw_Data!K:K,MATCH(A242,FPL_Raw_Data!AA:AA,0))=0,"",INDEX(FPL_Raw_Data!P:P,MATCH(A242,FPL_Raw_Data!AA:AA,0))/INDEX(FPL_Raw_Data!K:K,MATCH(A242,FPL_Raw_Data!AA:AA,0))*90)</f>
        <v/>
      </c>
      <c r="AW242" s="2">
        <f t="shared" si="97"/>
        <v>0</v>
      </c>
      <c r="AX242" s="2">
        <f>IFERROR(INDEX(TEAM_ANALYSIS!$H$2:$H$21,MATCH($B242,TEAM_ANALYSIS!$A$2:$A$21,0)),0)</f>
        <v>2.6666666666666665</v>
      </c>
      <c r="AY242" s="2">
        <f t="shared" si="98"/>
        <v>0</v>
      </c>
      <c r="AZ242" s="2">
        <f t="shared" si="99"/>
        <v>0</v>
      </c>
      <c r="BA242">
        <f t="shared" si="100"/>
        <v>0</v>
      </c>
      <c r="BB242">
        <f>IFERROR(Player_Analysis!$Y242,1)</f>
        <v>0.9782093425605537</v>
      </c>
      <c r="BC242">
        <f t="shared" si="101"/>
        <v>0</v>
      </c>
      <c r="BD242">
        <f t="shared" si="102"/>
        <v>0</v>
      </c>
      <c r="BE242">
        <f t="shared" si="103"/>
        <v>0</v>
      </c>
      <c r="BF242">
        <f t="shared" si="104"/>
        <v>253</v>
      </c>
      <c r="BG242">
        <f>IF($BE242="","",COUNTIFS($C$2:$C$596,$C242,$BE$2:$BE$596,"&gt;"&amp;$BE242)+COUNTIFS($C$2:$C242,$C242,$BE$2:$BE242,$BE242))</f>
        <v>173</v>
      </c>
    </row>
    <row r="243" spans="1:59" x14ac:dyDescent="0.25">
      <c r="A243" t="str">
        <f>Player_Analysis!A243</f>
        <v>Matheus França de Oliveira</v>
      </c>
      <c r="B243">
        <f>Player_Analysis!C243</f>
        <v>8</v>
      </c>
      <c r="C243" t="str">
        <f>Player_Analysis!B243</f>
        <v>MID</v>
      </c>
      <c r="D243" s="13">
        <f>Player_Analysis!E243</f>
        <v>4.9000000000000004</v>
      </c>
      <c r="E243">
        <f>Player_Analysis!I243</f>
        <v>0</v>
      </c>
      <c r="F243" s="8">
        <f>Player_Analysis!Z243</f>
        <v>0</v>
      </c>
      <c r="G243" s="17">
        <f t="shared" si="79"/>
        <v>0</v>
      </c>
      <c r="H243">
        <f t="shared" si="80"/>
        <v>0</v>
      </c>
      <c r="I243" s="8">
        <f>Player_Analysis!AF243</f>
        <v>0</v>
      </c>
      <c r="J243" s="8">
        <f>Player_Analysis!AG243</f>
        <v>0</v>
      </c>
      <c r="K243">
        <f>Player_Analysis!O243</f>
        <v>0</v>
      </c>
      <c r="L243">
        <f>Player_Analysis!P243</f>
        <v>0</v>
      </c>
      <c r="M243" t="str">
        <f t="shared" si="81"/>
        <v/>
      </c>
      <c r="N243" t="str">
        <f t="shared" si="82"/>
        <v/>
      </c>
      <c r="O243" s="2" t="str">
        <f>IF(E243=0,"",Player_Analysis!L243/E243*90)</f>
        <v/>
      </c>
      <c r="P243" t="str">
        <f>IF(E243=0,"",Player_Analysis!Q243/E243*90)</f>
        <v/>
      </c>
      <c r="Q243" t="str">
        <f>IF(E243=0,"",(Player_Analysis!AD243/E243)*90)</f>
        <v/>
      </c>
      <c r="R243" t="str">
        <f>IF(E243=0,"",Player_Analysis!AA243/E243*90)</f>
        <v/>
      </c>
      <c r="S243">
        <f t="array" ref="S243">IFERROR(INDEX('2023_24'!$O:$O,MATCH($A243,'2023_24'!$A:$A,0)),"")</f>
        <v>0.13258928571428572</v>
      </c>
      <c r="T243">
        <f>IFERROR(INDEX('2024_25'!$P:$P,MATCH($A243,'2024_25'!$A:$A,0)),"")</f>
        <v>0.48461538461538467</v>
      </c>
      <c r="U243">
        <f>IFERROR(INDEX('2025_26'!$P:$P,MATCH($A243,'2025_26'!$A:$A,0)),"")</f>
        <v>0</v>
      </c>
      <c r="V243">
        <f>IFERROR(INDEX('2023_24'!$P:$P,MATCH($A243,'2023_24'!$A:$A,0)),"")</f>
        <v>0.18482142857142855</v>
      </c>
      <c r="W243">
        <f>IFERROR(INDEX('2024_25'!$Q:$Q,MATCH($A243,'2024_25'!$A:$A,0)),"")</f>
        <v>0.31153846153846149</v>
      </c>
      <c r="X243">
        <f>IFERROR(INDEX('2025_26'!$Q:$Q,MATCH($A243,'2025_26'!$A:$A,0)),"")</f>
        <v>0</v>
      </c>
      <c r="Y243">
        <f>IFERROR(INDEX('2023_24'!$M:$M,MATCH($A243,'2023_24'!$A:$A,0))/INDEX('2023_24'!$G:$G,MATCH($A243,'2023_24'!$A:$A,0))*90,"")</f>
        <v>6.4285714285714279</v>
      </c>
      <c r="Z243">
        <f>IFERROR(INDEX('2024_25'!$M:$M,MATCH($A243,'2024_25'!$A:$A,0))/INDEX('2024_25'!$G:$G,MATCH($A243,'2024_25'!$A:$A,0))*90,"")</f>
        <v>15.576923076923077</v>
      </c>
      <c r="AA243" t="str">
        <f>IFERROR(INDEX('2025_26'!$M:$M,MATCH($A243,'2025_26'!$A:$A,0))/INDEX('2025_26'!$G:$G,MATCH($A243,'2025_26'!$A:$A,0))*90,"")</f>
        <v/>
      </c>
      <c r="AB243">
        <f>IFERROR(SUMPRODUCT(S243:U243,{0.2,0.3,0.5})/SUMPRODUCT(--(S243:U243&lt;&gt;""),{0.2,0.3,0.5}),"")</f>
        <v>0.17190247252747254</v>
      </c>
      <c r="AC243">
        <f>IFERROR(SUMPRODUCT(V243:X243,{0.2,0.3,0.5})/SUMPRODUCT(--(V243:X243&lt;&gt;""),{0.2,0.3,0.5}),"")</f>
        <v>0.13042582417582416</v>
      </c>
      <c r="AD243">
        <f>IFERROR(SUMPRODUCT(Y243:AA243,{0.2,0.3,0.5})/SUMPRODUCT((Y243:AA243&lt;&gt;"")*{0.2,0.3,0.5}),O243)</f>
        <v>11.917582417582416</v>
      </c>
      <c r="AE243">
        <f t="shared" si="83"/>
        <v>3</v>
      </c>
      <c r="AF243" t="str">
        <f t="shared" si="84"/>
        <v/>
      </c>
      <c r="AG243">
        <f t="shared" si="85"/>
        <v>0.17190247252747254</v>
      </c>
      <c r="AH243">
        <f t="shared" si="86"/>
        <v>0.13042582417582416</v>
      </c>
      <c r="AI243" s="2">
        <f t="shared" si="87"/>
        <v>11.917582417582416</v>
      </c>
      <c r="AJ243">
        <f t="shared" si="88"/>
        <v>0</v>
      </c>
      <c r="AK243" t="str">
        <f t="shared" si="89"/>
        <v>NO</v>
      </c>
      <c r="AL243">
        <f t="shared" si="90"/>
        <v>0</v>
      </c>
      <c r="AM243">
        <f t="shared" si="91"/>
        <v>0</v>
      </c>
      <c r="AN243">
        <f t="shared" si="92"/>
        <v>0</v>
      </c>
      <c r="AO243">
        <f t="shared" si="93"/>
        <v>0</v>
      </c>
      <c r="AP243">
        <f t="array" ref="AP243">AL243*IF($C243="GKP",10,IF($C243="DEF",6,IF($C243="MID",5,4)))</f>
        <v>0</v>
      </c>
      <c r="AQ243">
        <f t="shared" si="94"/>
        <v>0</v>
      </c>
      <c r="AR243">
        <f t="shared" si="95"/>
        <v>0</v>
      </c>
      <c r="AS243" s="2">
        <f>IF($H243=0,0,Player_Analysis!$AM243*$H243/90)</f>
        <v>0</v>
      </c>
      <c r="AT243">
        <f t="shared" si="96"/>
        <v>0</v>
      </c>
      <c r="AU243" s="2">
        <f>0</f>
        <v>0</v>
      </c>
      <c r="AV243" s="2" t="str">
        <f>IF(INDEX(FPL_Raw_Data!K:K,MATCH(A243,FPL_Raw_Data!AA:AA,0))=0,"",INDEX(FPL_Raw_Data!P:P,MATCH(A243,FPL_Raw_Data!AA:AA,0))/INDEX(FPL_Raw_Data!K:K,MATCH(A243,FPL_Raw_Data!AA:AA,0))*90)</f>
        <v/>
      </c>
      <c r="AW243" s="2">
        <f t="shared" si="97"/>
        <v>0</v>
      </c>
      <c r="AX243" s="2">
        <f>IFERROR(INDEX(TEAM_ANALYSIS!$H$2:$H$21,MATCH($B243,TEAM_ANALYSIS!$A$2:$A$21,0)),0)</f>
        <v>2.6666666666666665</v>
      </c>
      <c r="AY243" s="2">
        <f t="shared" si="98"/>
        <v>0</v>
      </c>
      <c r="AZ243" s="2">
        <f t="shared" si="99"/>
        <v>0</v>
      </c>
      <c r="BA243">
        <f t="shared" si="100"/>
        <v>0</v>
      </c>
      <c r="BB243">
        <f>IFERROR(Player_Analysis!$Y243,1)</f>
        <v>0.9782093425605537</v>
      </c>
      <c r="BC243">
        <f t="shared" si="101"/>
        <v>0</v>
      </c>
      <c r="BD243">
        <f t="shared" si="102"/>
        <v>0</v>
      </c>
      <c r="BE243">
        <f t="shared" si="103"/>
        <v>0</v>
      </c>
      <c r="BF243">
        <f t="shared" si="104"/>
        <v>253</v>
      </c>
      <c r="BG243">
        <f>IF($BE243="","",COUNTIFS($C$2:$C$596,$C243,$BE$2:$BE$596,"&gt;"&amp;$BE243)+COUNTIFS($C$2:$C243,$C243,$BE$2:$BE243,$BE243))</f>
        <v>174</v>
      </c>
    </row>
    <row r="244" spans="1:59" x14ac:dyDescent="0.25">
      <c r="A244" t="str">
        <f>Player_Analysis!A244</f>
        <v>Cheick Doucouré</v>
      </c>
      <c r="B244">
        <f>Player_Analysis!C244</f>
        <v>8</v>
      </c>
      <c r="C244" t="str">
        <f>Player_Analysis!B244</f>
        <v>MID</v>
      </c>
      <c r="D244" s="13">
        <f>Player_Analysis!E244</f>
        <v>4.9000000000000004</v>
      </c>
      <c r="E244">
        <f>Player_Analysis!I244</f>
        <v>0</v>
      </c>
      <c r="F244" s="8">
        <f>Player_Analysis!Z244</f>
        <v>0</v>
      </c>
      <c r="G244" s="17">
        <f t="shared" si="79"/>
        <v>0</v>
      </c>
      <c r="H244">
        <f t="shared" si="80"/>
        <v>0</v>
      </c>
      <c r="I244" s="8">
        <f>Player_Analysis!AF244</f>
        <v>0</v>
      </c>
      <c r="J244" s="8">
        <f>Player_Analysis!AG244</f>
        <v>0</v>
      </c>
      <c r="K244">
        <f>Player_Analysis!O244</f>
        <v>0</v>
      </c>
      <c r="L244">
        <f>Player_Analysis!P244</f>
        <v>0</v>
      </c>
      <c r="M244" t="str">
        <f t="shared" si="81"/>
        <v/>
      </c>
      <c r="N244" t="str">
        <f t="shared" si="82"/>
        <v/>
      </c>
      <c r="O244" s="2" t="str">
        <f>IF(E244=0,"",Player_Analysis!L244/E244*90)</f>
        <v/>
      </c>
      <c r="P244" t="str">
        <f>IF(E244=0,"",Player_Analysis!Q244/E244*90)</f>
        <v/>
      </c>
      <c r="Q244" t="str">
        <f>IF(E244=0,"",(Player_Analysis!AD244/E244)*90)</f>
        <v/>
      </c>
      <c r="R244" t="str">
        <f>IF(E244=0,"",Player_Analysis!AA244/E244*90)</f>
        <v/>
      </c>
      <c r="S244">
        <f t="array" ref="S244">IFERROR(INDEX('2023_24'!$O:$O,MATCH($A244,'2023_24'!$A:$A,0)),"")</f>
        <v>2.7391304347826089E-2</v>
      </c>
      <c r="T244">
        <f>IFERROR(INDEX('2024_25'!$P:$P,MATCH($A244,'2024_25'!$A:$A,0)),"")</f>
        <v>8.1264108352144468E-2</v>
      </c>
      <c r="U244">
        <f>IFERROR(INDEX('2025_26'!$P:$P,MATCH($A244,'2025_26'!$A:$A,0)),"")</f>
        <v>0</v>
      </c>
      <c r="V244">
        <f>IFERROR(INDEX('2023_24'!$P:$P,MATCH($A244,'2023_24'!$A:$A,0)),"")</f>
        <v>7.4347826086956531E-2</v>
      </c>
      <c r="W244">
        <f>IFERROR(INDEX('2024_25'!$Q:$Q,MATCH($A244,'2024_25'!$A:$A,0)),"")</f>
        <v>2.234762979683973E-2</v>
      </c>
      <c r="X244">
        <f>IFERROR(INDEX('2025_26'!$Q:$Q,MATCH($A244,'2025_26'!$A:$A,0)),"")</f>
        <v>0</v>
      </c>
      <c r="Y244">
        <f>IFERROR(INDEX('2023_24'!$M:$M,MATCH($A244,'2023_24'!$A:$A,0))/INDEX('2023_24'!$G:$G,MATCH($A244,'2023_24'!$A:$A,0))*90,"")</f>
        <v>2.0543478260869565</v>
      </c>
      <c r="Z244">
        <f>IFERROR(INDEX('2024_25'!$M:$M,MATCH($A244,'2024_25'!$A:$A,0))/INDEX('2024_25'!$G:$G,MATCH($A244,'2024_25'!$A:$A,0))*90,"")</f>
        <v>3.8600451467268622</v>
      </c>
      <c r="AA244" t="str">
        <f>IFERROR(INDEX('2025_26'!$M:$M,MATCH($A244,'2025_26'!$A:$A,0))/INDEX('2025_26'!$G:$G,MATCH($A244,'2025_26'!$A:$A,0))*90,"")</f>
        <v/>
      </c>
      <c r="AB244">
        <f>IFERROR(SUMPRODUCT(S244:U244,{0.2,0.3,0.5})/SUMPRODUCT(--(S244:U244&lt;&gt;""),{0.2,0.3,0.5}),"")</f>
        <v>2.9857493375208558E-2</v>
      </c>
      <c r="AC244">
        <f>IFERROR(SUMPRODUCT(V244:X244,{0.2,0.3,0.5})/SUMPRODUCT(--(V244:X244&lt;&gt;""),{0.2,0.3,0.5}),"")</f>
        <v>2.1573854156443226E-2</v>
      </c>
      <c r="AD244">
        <f>IFERROR(SUMPRODUCT(Y244:AA244,{0.2,0.3,0.5})/SUMPRODUCT((Y244:AA244&lt;&gt;"")*{0.2,0.3,0.5}),O244)</f>
        <v>3.1377662184708996</v>
      </c>
      <c r="AE244">
        <f t="shared" si="83"/>
        <v>3</v>
      </c>
      <c r="AF244" t="str">
        <f t="shared" si="84"/>
        <v/>
      </c>
      <c r="AG244">
        <f t="shared" si="85"/>
        <v>2.9857493375208558E-2</v>
      </c>
      <c r="AH244">
        <f t="shared" si="86"/>
        <v>2.1573854156443226E-2</v>
      </c>
      <c r="AI244" s="2">
        <f t="shared" si="87"/>
        <v>3.1377662184708996</v>
      </c>
      <c r="AJ244">
        <f t="shared" si="88"/>
        <v>0</v>
      </c>
      <c r="AK244" t="str">
        <f t="shared" si="89"/>
        <v>NO</v>
      </c>
      <c r="AL244">
        <f t="shared" si="90"/>
        <v>0</v>
      </c>
      <c r="AM244">
        <f t="shared" si="91"/>
        <v>0</v>
      </c>
      <c r="AN244">
        <f t="shared" si="92"/>
        <v>0</v>
      </c>
      <c r="AO244">
        <f t="shared" si="93"/>
        <v>0</v>
      </c>
      <c r="AP244">
        <f t="array" ref="AP244">AL244*IF($C244="GKP",10,IF($C244="DEF",6,IF($C244="MID",5,4)))</f>
        <v>0</v>
      </c>
      <c r="AQ244">
        <f t="shared" si="94"/>
        <v>0</v>
      </c>
      <c r="AR244">
        <f t="shared" si="95"/>
        <v>0</v>
      </c>
      <c r="AS244" s="2">
        <f>IF($H244=0,0,Player_Analysis!$AM244*$H244/90)</f>
        <v>0</v>
      </c>
      <c r="AT244">
        <f t="shared" si="96"/>
        <v>0</v>
      </c>
      <c r="AU244" s="2">
        <f>0</f>
        <v>0</v>
      </c>
      <c r="AV244" s="2" t="str">
        <f>IF(INDEX(FPL_Raw_Data!K:K,MATCH(A244,FPL_Raw_Data!AA:AA,0))=0,"",INDEX(FPL_Raw_Data!P:P,MATCH(A244,FPL_Raw_Data!AA:AA,0))/INDEX(FPL_Raw_Data!K:K,MATCH(A244,FPL_Raw_Data!AA:AA,0))*90)</f>
        <v/>
      </c>
      <c r="AW244" s="2">
        <f t="shared" si="97"/>
        <v>0</v>
      </c>
      <c r="AX244" s="2">
        <f>IFERROR(INDEX(TEAM_ANALYSIS!$H$2:$H$21,MATCH($B244,TEAM_ANALYSIS!$A$2:$A$21,0)),0)</f>
        <v>2.6666666666666665</v>
      </c>
      <c r="AY244" s="2">
        <f t="shared" si="98"/>
        <v>0</v>
      </c>
      <c r="AZ244" s="2">
        <f t="shared" si="99"/>
        <v>0</v>
      </c>
      <c r="BA244">
        <f t="shared" si="100"/>
        <v>0</v>
      </c>
      <c r="BB244">
        <f>IFERROR(Player_Analysis!$Y244,1)</f>
        <v>0.9782093425605537</v>
      </c>
      <c r="BC244">
        <f t="shared" si="101"/>
        <v>0</v>
      </c>
      <c r="BD244">
        <f t="shared" si="102"/>
        <v>0</v>
      </c>
      <c r="BE244">
        <f t="shared" si="103"/>
        <v>0</v>
      </c>
      <c r="BF244">
        <f t="shared" si="104"/>
        <v>253</v>
      </c>
      <c r="BG244">
        <f>IF($BE244="","",COUNTIFS($C$2:$C$596,$C244,$BE$2:$BE$596,"&gt;"&amp;$BE244)+COUNTIFS($C$2:$C244,$C244,$BE$2:$BE244,$BE244))</f>
        <v>175</v>
      </c>
    </row>
    <row r="245" spans="1:59" x14ac:dyDescent="0.25">
      <c r="A245" t="str">
        <f>Player_Analysis!A245</f>
        <v>Jesurun Rak-Sakyi</v>
      </c>
      <c r="B245">
        <f>Player_Analysis!C245</f>
        <v>8</v>
      </c>
      <c r="C245" t="str">
        <f>Player_Analysis!B245</f>
        <v>MID</v>
      </c>
      <c r="D245" s="13">
        <f>Player_Analysis!E245</f>
        <v>5</v>
      </c>
      <c r="E245">
        <f>Player_Analysis!I245</f>
        <v>0</v>
      </c>
      <c r="F245" s="8">
        <f>Player_Analysis!Z245</f>
        <v>0</v>
      </c>
      <c r="G245" s="17">
        <f t="shared" si="79"/>
        <v>0</v>
      </c>
      <c r="H245">
        <f t="shared" si="80"/>
        <v>0</v>
      </c>
      <c r="I245" s="8">
        <f>Player_Analysis!AF245</f>
        <v>0</v>
      </c>
      <c r="J245" s="8">
        <f>Player_Analysis!AG245</f>
        <v>0</v>
      </c>
      <c r="K245">
        <f>Player_Analysis!O245</f>
        <v>0</v>
      </c>
      <c r="L245">
        <f>Player_Analysis!P245</f>
        <v>0</v>
      </c>
      <c r="M245" t="str">
        <f t="shared" si="81"/>
        <v/>
      </c>
      <c r="N245" t="str">
        <f t="shared" si="82"/>
        <v/>
      </c>
      <c r="O245" s="2" t="str">
        <f>IF(E245=0,"",Player_Analysis!L245/E245*90)</f>
        <v/>
      </c>
      <c r="P245" t="str">
        <f>IF(E245=0,"",Player_Analysis!Q245/E245*90)</f>
        <v/>
      </c>
      <c r="Q245" t="str">
        <f>IF(E245=0,"",(Player_Analysis!AD245/E245)*90)</f>
        <v/>
      </c>
      <c r="R245" t="str">
        <f>IF(E245=0,"",Player_Analysis!AA245/E245*90)</f>
        <v/>
      </c>
      <c r="S245">
        <f t="array" ref="S245">IFERROR(INDEX('2023_24'!$O:$O,MATCH($A245,'2023_24'!$A:$A,0)),"")</f>
        <v>0.27954545454545449</v>
      </c>
      <c r="T245">
        <f>IFERROR(INDEX('2024_25'!$P:$P,MATCH($A245,'2024_25'!$A:$A,0)),"")</f>
        <v>0</v>
      </c>
      <c r="U245">
        <f>IFERROR(INDEX('2025_26'!$P:$P,MATCH($A245,'2025_26'!$A:$A,0)),"")</f>
        <v>0</v>
      </c>
      <c r="V245">
        <f>IFERROR(INDEX('2023_24'!$P:$P,MATCH($A245,'2023_24'!$A:$A,0)),"")</f>
        <v>9.5454545454545459E-2</v>
      </c>
      <c r="W245">
        <f>IFERROR(INDEX('2024_25'!$Q:$Q,MATCH($A245,'2024_25'!$A:$A,0)),"")</f>
        <v>0</v>
      </c>
      <c r="X245">
        <f>IFERROR(INDEX('2025_26'!$Q:$Q,MATCH($A245,'2025_26'!$A:$A,0)),"")</f>
        <v>0</v>
      </c>
      <c r="Y245">
        <f>IFERROR(INDEX('2023_24'!$M:$M,MATCH($A245,'2023_24'!$A:$A,0))/INDEX('2023_24'!$G:$G,MATCH($A245,'2023_24'!$A:$A,0))*90,"")</f>
        <v>5.454545454545455</v>
      </c>
      <c r="Z245" t="str">
        <f>IFERROR(INDEX('2024_25'!$M:$M,MATCH($A245,'2024_25'!$A:$A,0))/INDEX('2024_25'!$G:$G,MATCH($A245,'2024_25'!$A:$A,0))*90,"")</f>
        <v/>
      </c>
      <c r="AA245" t="str">
        <f>IFERROR(INDEX('2025_26'!$M:$M,MATCH($A245,'2025_26'!$A:$A,0))/INDEX('2025_26'!$G:$G,MATCH($A245,'2025_26'!$A:$A,0))*90,"")</f>
        <v/>
      </c>
      <c r="AB245">
        <f>IFERROR(SUMPRODUCT(S245:U245,{0.2,0.3,0.5})/SUMPRODUCT(--(S245:U245&lt;&gt;""),{0.2,0.3,0.5}),"")</f>
        <v>5.5909090909090901E-2</v>
      </c>
      <c r="AC245">
        <f>IFERROR(SUMPRODUCT(V245:X245,{0.2,0.3,0.5})/SUMPRODUCT(--(V245:X245&lt;&gt;""),{0.2,0.3,0.5}),"")</f>
        <v>1.9090909090909092E-2</v>
      </c>
      <c r="AD245">
        <f>IFERROR(SUMPRODUCT(Y245:AA245,{0.2,0.3,0.5})/SUMPRODUCT((Y245:AA245&lt;&gt;"")*{0.2,0.3,0.5}),O245)</f>
        <v>5.454545454545455</v>
      </c>
      <c r="AE245">
        <f t="shared" si="83"/>
        <v>3</v>
      </c>
      <c r="AF245" t="str">
        <f t="shared" si="84"/>
        <v/>
      </c>
      <c r="AG245">
        <f t="shared" si="85"/>
        <v>5.5909090909090901E-2</v>
      </c>
      <c r="AH245">
        <f t="shared" si="86"/>
        <v>1.9090909090909092E-2</v>
      </c>
      <c r="AI245" s="2">
        <f t="shared" si="87"/>
        <v>5.454545454545455</v>
      </c>
      <c r="AJ245">
        <f t="shared" si="88"/>
        <v>0</v>
      </c>
      <c r="AK245" t="str">
        <f t="shared" si="89"/>
        <v>NO</v>
      </c>
      <c r="AL245">
        <f t="shared" si="90"/>
        <v>0</v>
      </c>
      <c r="AM245">
        <f t="shared" si="91"/>
        <v>0</v>
      </c>
      <c r="AN245">
        <f t="shared" si="92"/>
        <v>0</v>
      </c>
      <c r="AO245">
        <f t="shared" si="93"/>
        <v>0</v>
      </c>
      <c r="AP245">
        <f t="array" ref="AP245">AL245*IF($C245="GKP",10,IF($C245="DEF",6,IF($C245="MID",5,4)))</f>
        <v>0</v>
      </c>
      <c r="AQ245">
        <f t="shared" si="94"/>
        <v>0</v>
      </c>
      <c r="AR245">
        <f t="shared" si="95"/>
        <v>0</v>
      </c>
      <c r="AS245" s="2">
        <f>IF($H245=0,0,Player_Analysis!$AM245*$H245/90)</f>
        <v>0</v>
      </c>
      <c r="AT245">
        <f t="shared" si="96"/>
        <v>0</v>
      </c>
      <c r="AU245" s="2">
        <f>0</f>
        <v>0</v>
      </c>
      <c r="AV245" s="2" t="str">
        <f>IF(INDEX(FPL_Raw_Data!K:K,MATCH(A245,FPL_Raw_Data!AA:AA,0))=0,"",INDEX(FPL_Raw_Data!P:P,MATCH(A245,FPL_Raw_Data!AA:AA,0))/INDEX(FPL_Raw_Data!K:K,MATCH(A245,FPL_Raw_Data!AA:AA,0))*90)</f>
        <v/>
      </c>
      <c r="AW245" s="2">
        <f t="shared" si="97"/>
        <v>0</v>
      </c>
      <c r="AX245" s="2">
        <f>IFERROR(INDEX(TEAM_ANALYSIS!$H$2:$H$21,MATCH($B245,TEAM_ANALYSIS!$A$2:$A$21,0)),0)</f>
        <v>2.6666666666666665</v>
      </c>
      <c r="AY245" s="2">
        <f t="shared" si="98"/>
        <v>0</v>
      </c>
      <c r="AZ245" s="2">
        <f t="shared" si="99"/>
        <v>0</v>
      </c>
      <c r="BA245">
        <f t="shared" si="100"/>
        <v>0</v>
      </c>
      <c r="BB245">
        <f>IFERROR(Player_Analysis!$Y245,1)</f>
        <v>0.9782093425605537</v>
      </c>
      <c r="BC245">
        <f t="shared" si="101"/>
        <v>0</v>
      </c>
      <c r="BD245">
        <f t="shared" si="102"/>
        <v>0</v>
      </c>
      <c r="BE245">
        <f t="shared" si="103"/>
        <v>0</v>
      </c>
      <c r="BF245">
        <f t="shared" si="104"/>
        <v>253</v>
      </c>
      <c r="BG245">
        <f>IF($BE245="","",COUNTIFS($C$2:$C$596,$C245,$BE$2:$BE$596,"&gt;"&amp;$BE245)+COUNTIFS($C$2:$C245,$C245,$BE$2:$BE245,$BE245))</f>
        <v>176</v>
      </c>
    </row>
    <row r="246" spans="1:59" x14ac:dyDescent="0.25">
      <c r="A246" t="str">
        <f>Player_Analysis!A246</f>
        <v>Rio Cardines</v>
      </c>
      <c r="B246">
        <f>Player_Analysis!C246</f>
        <v>8</v>
      </c>
      <c r="C246" t="str">
        <f>Player_Analysis!B246</f>
        <v>DEF</v>
      </c>
      <c r="D246" s="13">
        <f>Player_Analysis!E246</f>
        <v>4.5</v>
      </c>
      <c r="E246">
        <f>Player_Analysis!I246</f>
        <v>0</v>
      </c>
      <c r="F246" s="8">
        <f>Player_Analysis!Z246</f>
        <v>0</v>
      </c>
      <c r="G246" s="17">
        <f t="shared" si="79"/>
        <v>0</v>
      </c>
      <c r="H246">
        <f t="shared" si="80"/>
        <v>0</v>
      </c>
      <c r="I246" s="8">
        <f>Player_Analysis!AF246</f>
        <v>0</v>
      </c>
      <c r="J246" s="8">
        <f>Player_Analysis!AG246</f>
        <v>0</v>
      </c>
      <c r="K246">
        <f>Player_Analysis!O246</f>
        <v>0</v>
      </c>
      <c r="L246">
        <f>Player_Analysis!P246</f>
        <v>0</v>
      </c>
      <c r="M246" t="str">
        <f t="shared" si="81"/>
        <v/>
      </c>
      <c r="N246" t="str">
        <f t="shared" si="82"/>
        <v/>
      </c>
      <c r="O246" s="2" t="str">
        <f>IF(E246=0,"",Player_Analysis!L246/E246*90)</f>
        <v/>
      </c>
      <c r="P246" t="str">
        <f>IF(E246=0,"",Player_Analysis!Q246/E246*90)</f>
        <v/>
      </c>
      <c r="Q246" t="str">
        <f>IF(E246=0,"",(Player_Analysis!AD246/E246)*90)</f>
        <v/>
      </c>
      <c r="R246" t="str">
        <f>IF(E246=0,"",Player_Analysis!AA246/E246*90)</f>
        <v/>
      </c>
      <c r="S246" t="str">
        <f t="array" ref="S246">IFERROR(INDEX('2023_24'!$O:$O,MATCH($A246,'2023_24'!$A:$A,0)),"")</f>
        <v/>
      </c>
      <c r="T246" t="str">
        <f>IFERROR(INDEX('2024_25'!$P:$P,MATCH($A246,'2024_25'!$A:$A,0)),"")</f>
        <v/>
      </c>
      <c r="U246">
        <f>IFERROR(INDEX('2025_26'!$P:$P,MATCH($A246,'2025_26'!$A:$A,0)),"")</f>
        <v>0.02</v>
      </c>
      <c r="V246" t="str">
        <f>IFERROR(INDEX('2023_24'!$P:$P,MATCH($A246,'2023_24'!$A:$A,0)),"")</f>
        <v/>
      </c>
      <c r="W246" t="str">
        <f>IFERROR(INDEX('2024_25'!$Q:$Q,MATCH($A246,'2024_25'!$A:$A,0)),"")</f>
        <v/>
      </c>
      <c r="X246">
        <f>IFERROR(INDEX('2025_26'!$Q:$Q,MATCH($A246,'2025_26'!$A:$A,0)),"")</f>
        <v>0.16</v>
      </c>
      <c r="Y246" t="str">
        <f>IFERROR(INDEX('2023_24'!$M:$M,MATCH($A246,'2023_24'!$A:$A,0))/INDEX('2023_24'!$G:$G,MATCH($A246,'2023_24'!$A:$A,0))*90,"")</f>
        <v/>
      </c>
      <c r="Z246" t="str">
        <f>IFERROR(INDEX('2024_25'!$M:$M,MATCH($A246,'2024_25'!$A:$A,0))/INDEX('2024_25'!$G:$G,MATCH($A246,'2024_25'!$A:$A,0))*90,"")</f>
        <v/>
      </c>
      <c r="AA246">
        <f>IFERROR(INDEX('2025_26'!$M:$M,MATCH($A246,'2025_26'!$A:$A,0))/INDEX('2025_26'!$G:$G,MATCH($A246,'2025_26'!$A:$A,0))*90,"")</f>
        <v>2</v>
      </c>
      <c r="AB246">
        <f>IFERROR(SUMPRODUCT(S246:U246,{0.2,0.3,0.5})/SUMPRODUCT(--(S246:U246&lt;&gt;""),{0.2,0.3,0.5}),"")</f>
        <v>0.02</v>
      </c>
      <c r="AC246">
        <f>IFERROR(SUMPRODUCT(V246:X246,{0.2,0.3,0.5})/SUMPRODUCT(--(V246:X246&lt;&gt;""),{0.2,0.3,0.5}),"")</f>
        <v>0.16</v>
      </c>
      <c r="AD246">
        <f>IFERROR(SUMPRODUCT(Y246:AA246,{0.2,0.3,0.5})/SUMPRODUCT((Y246:AA246&lt;&gt;"")*{0.2,0.3,0.5}),O246)</f>
        <v>2</v>
      </c>
      <c r="AE246">
        <f t="shared" si="83"/>
        <v>1</v>
      </c>
      <c r="AF246" t="str">
        <f t="shared" si="84"/>
        <v/>
      </c>
      <c r="AG246">
        <f t="shared" si="85"/>
        <v>0.02</v>
      </c>
      <c r="AH246">
        <f t="shared" si="86"/>
        <v>0.16</v>
      </c>
      <c r="AI246" s="2">
        <f t="shared" si="87"/>
        <v>2</v>
      </c>
      <c r="AJ246">
        <f t="shared" si="88"/>
        <v>0</v>
      </c>
      <c r="AK246" t="str">
        <f t="shared" si="89"/>
        <v>NO</v>
      </c>
      <c r="AL246">
        <f t="shared" si="90"/>
        <v>0</v>
      </c>
      <c r="AM246">
        <f t="shared" si="91"/>
        <v>0</v>
      </c>
      <c r="AN246">
        <f t="shared" si="92"/>
        <v>0</v>
      </c>
      <c r="AO246">
        <f t="shared" si="93"/>
        <v>0</v>
      </c>
      <c r="AP246">
        <f t="array" ref="AP246">AL246*IF($C246="GKP",10,IF($C246="DEF",6,IF($C246="MID",5,4)))</f>
        <v>0</v>
      </c>
      <c r="AQ246">
        <f t="shared" si="94"/>
        <v>0</v>
      </c>
      <c r="AR246">
        <f t="shared" si="95"/>
        <v>0</v>
      </c>
      <c r="AS246" s="2">
        <f>IF($H246=0,0,Player_Analysis!$AM246*$H246/90)</f>
        <v>0</v>
      </c>
      <c r="AT246">
        <f t="shared" si="96"/>
        <v>0</v>
      </c>
      <c r="AU246" s="2">
        <f>0</f>
        <v>0</v>
      </c>
      <c r="AV246" s="2" t="str">
        <f>IF(INDEX(FPL_Raw_Data!K:K,MATCH(A246,FPL_Raw_Data!AA:AA,0))=0,"",INDEX(FPL_Raw_Data!P:P,MATCH(A246,FPL_Raw_Data!AA:AA,0))/INDEX(FPL_Raw_Data!K:K,MATCH(A246,FPL_Raw_Data!AA:AA,0))*90)</f>
        <v/>
      </c>
      <c r="AW246" s="2">
        <f t="shared" si="97"/>
        <v>0</v>
      </c>
      <c r="AX246" s="2">
        <f>IFERROR(INDEX(TEAM_ANALYSIS!$H$2:$H$21,MATCH($B246,TEAM_ANALYSIS!$A$2:$A$21,0)),0)</f>
        <v>2.6666666666666665</v>
      </c>
      <c r="AY246" s="2">
        <f t="shared" si="98"/>
        <v>-1.3333333333333333</v>
      </c>
      <c r="AZ246" s="2">
        <f t="shared" si="99"/>
        <v>-1.3333333333333333</v>
      </c>
      <c r="BA246">
        <f t="shared" si="100"/>
        <v>-0.29629629629629628</v>
      </c>
      <c r="BB246">
        <f>IFERROR(Player_Analysis!$Y246,1)</f>
        <v>0.8321125967628431</v>
      </c>
      <c r="BC246">
        <f t="shared" si="101"/>
        <v>-1.1094834623504575</v>
      </c>
      <c r="BD246">
        <f t="shared" si="102"/>
        <v>0.3287358406964318</v>
      </c>
      <c r="BE246">
        <f t="shared" si="103"/>
        <v>-1.1094834623504575</v>
      </c>
      <c r="BF246">
        <f t="shared" si="104"/>
        <v>591</v>
      </c>
      <c r="BG246">
        <f>IF($BE246="","",COUNTIFS($C$2:$C$596,$C246,$BE$2:$BE$596,"&gt;"&amp;$BE246)+COUNTIFS($C$2:$C246,$C246,$BE$2:$BE246,$BE246))</f>
        <v>190</v>
      </c>
    </row>
    <row r="247" spans="1:59" x14ac:dyDescent="0.25">
      <c r="A247" t="str">
        <f>Player_Analysis!A247</f>
        <v>Joél Drakes-Thomas</v>
      </c>
      <c r="B247">
        <f>Player_Analysis!C247</f>
        <v>8</v>
      </c>
      <c r="C247" t="str">
        <f>Player_Analysis!B247</f>
        <v>MID</v>
      </c>
      <c r="D247" s="13">
        <f>Player_Analysis!E247</f>
        <v>4.5</v>
      </c>
      <c r="E247">
        <f>Player_Analysis!I247</f>
        <v>0</v>
      </c>
      <c r="F247" s="8">
        <f>Player_Analysis!Z247</f>
        <v>0</v>
      </c>
      <c r="G247" s="17">
        <f t="shared" si="79"/>
        <v>0</v>
      </c>
      <c r="H247">
        <f t="shared" si="80"/>
        <v>0</v>
      </c>
      <c r="I247" s="8">
        <f>Player_Analysis!AF247</f>
        <v>0</v>
      </c>
      <c r="J247" s="8">
        <f>Player_Analysis!AG247</f>
        <v>0</v>
      </c>
      <c r="K247">
        <f>Player_Analysis!O247</f>
        <v>0</v>
      </c>
      <c r="L247">
        <f>Player_Analysis!P247</f>
        <v>0</v>
      </c>
      <c r="M247" t="str">
        <f t="shared" si="81"/>
        <v/>
      </c>
      <c r="N247" t="str">
        <f t="shared" si="82"/>
        <v/>
      </c>
      <c r="O247" s="2" t="str">
        <f>IF(E247=0,"",Player_Analysis!L247/E247*90)</f>
        <v/>
      </c>
      <c r="P247" t="str">
        <f>IF(E247=0,"",Player_Analysis!Q247/E247*90)</f>
        <v/>
      </c>
      <c r="Q247" t="str">
        <f>IF(E247=0,"",(Player_Analysis!AD247/E247)*90)</f>
        <v/>
      </c>
      <c r="R247" t="str">
        <f>IF(E247=0,"",Player_Analysis!AA247/E247*90)</f>
        <v/>
      </c>
      <c r="S247" t="str">
        <f t="array" ref="S247">IFERROR(INDEX('2023_24'!$O:$O,MATCH($A247,'2023_24'!$A:$A,0)),"")</f>
        <v/>
      </c>
      <c r="T247" t="str">
        <f>IFERROR(INDEX('2024_25'!$P:$P,MATCH($A247,'2024_25'!$A:$A,0)),"")</f>
        <v/>
      </c>
      <c r="U247">
        <f>IFERROR(INDEX('2025_26'!$P:$P,MATCH($A247,'2025_26'!$A:$A,0)),"")</f>
        <v>0</v>
      </c>
      <c r="V247" t="str">
        <f>IFERROR(INDEX('2023_24'!$P:$P,MATCH($A247,'2023_24'!$A:$A,0)),"")</f>
        <v/>
      </c>
      <c r="W247" t="str">
        <f>IFERROR(INDEX('2024_25'!$Q:$Q,MATCH($A247,'2024_25'!$A:$A,0)),"")</f>
        <v/>
      </c>
      <c r="X247">
        <f>IFERROR(INDEX('2025_26'!$Q:$Q,MATCH($A247,'2025_26'!$A:$A,0)),"")</f>
        <v>0</v>
      </c>
      <c r="Y247" t="str">
        <f>IFERROR(INDEX('2023_24'!$M:$M,MATCH($A247,'2023_24'!$A:$A,0))/INDEX('2023_24'!$G:$G,MATCH($A247,'2023_24'!$A:$A,0))*90,"")</f>
        <v/>
      </c>
      <c r="Z247" t="str">
        <f>IFERROR(INDEX('2024_25'!$M:$M,MATCH($A247,'2024_25'!$A:$A,0))/INDEX('2024_25'!$G:$G,MATCH($A247,'2024_25'!$A:$A,0))*90,"")</f>
        <v/>
      </c>
      <c r="AA247">
        <f>IFERROR(INDEX('2025_26'!$M:$M,MATCH($A247,'2025_26'!$A:$A,0))/INDEX('2025_26'!$G:$G,MATCH($A247,'2025_26'!$A:$A,0))*90,"")</f>
        <v>25.714285714285712</v>
      </c>
      <c r="AB247">
        <f>IFERROR(SUMPRODUCT(S247:U247,{0.2,0.3,0.5})/SUMPRODUCT(--(S247:U247&lt;&gt;""),{0.2,0.3,0.5}),"")</f>
        <v>0</v>
      </c>
      <c r="AC247">
        <f>IFERROR(SUMPRODUCT(V247:X247,{0.2,0.3,0.5})/SUMPRODUCT(--(V247:X247&lt;&gt;""),{0.2,0.3,0.5}),"")</f>
        <v>0</v>
      </c>
      <c r="AD247">
        <f>IFERROR(SUMPRODUCT(Y247:AA247,{0.2,0.3,0.5})/SUMPRODUCT((Y247:AA247&lt;&gt;"")*{0.2,0.3,0.5}),O247)</f>
        <v>25.714285714285712</v>
      </c>
      <c r="AE247">
        <f t="shared" si="83"/>
        <v>1</v>
      </c>
      <c r="AF247" t="str">
        <f t="shared" si="84"/>
        <v/>
      </c>
      <c r="AG247">
        <f t="shared" si="85"/>
        <v>0</v>
      </c>
      <c r="AH247">
        <f t="shared" si="86"/>
        <v>0</v>
      </c>
      <c r="AI247" s="2">
        <f t="shared" si="87"/>
        <v>25.714285714285712</v>
      </c>
      <c r="AJ247">
        <f t="shared" si="88"/>
        <v>0</v>
      </c>
      <c r="AK247" t="str">
        <f t="shared" si="89"/>
        <v>NO</v>
      </c>
      <c r="AL247">
        <f t="shared" si="90"/>
        <v>0</v>
      </c>
      <c r="AM247">
        <f t="shared" si="91"/>
        <v>0</v>
      </c>
      <c r="AN247">
        <f t="shared" si="92"/>
        <v>0</v>
      </c>
      <c r="AO247">
        <f t="shared" si="93"/>
        <v>0</v>
      </c>
      <c r="AP247">
        <f t="array" ref="AP247">AL247*IF($C247="GKP",10,IF($C247="DEF",6,IF($C247="MID",5,4)))</f>
        <v>0</v>
      </c>
      <c r="AQ247">
        <f t="shared" si="94"/>
        <v>0</v>
      </c>
      <c r="AR247">
        <f t="shared" si="95"/>
        <v>0</v>
      </c>
      <c r="AS247" s="2">
        <f>IF($H247=0,0,Player_Analysis!$AM247*$H247/90)</f>
        <v>0</v>
      </c>
      <c r="AT247">
        <f t="shared" si="96"/>
        <v>0</v>
      </c>
      <c r="AU247" s="2">
        <f>0</f>
        <v>0</v>
      </c>
      <c r="AV247" s="2" t="str">
        <f>IF(INDEX(FPL_Raw_Data!K:K,MATCH(A247,FPL_Raw_Data!AA:AA,0))=0,"",INDEX(FPL_Raw_Data!P:P,MATCH(A247,FPL_Raw_Data!AA:AA,0))/INDEX(FPL_Raw_Data!K:K,MATCH(A247,FPL_Raw_Data!AA:AA,0))*90)</f>
        <v/>
      </c>
      <c r="AW247" s="2">
        <f t="shared" si="97"/>
        <v>0</v>
      </c>
      <c r="AX247" s="2">
        <f>IFERROR(INDEX(TEAM_ANALYSIS!$H$2:$H$21,MATCH($B247,TEAM_ANALYSIS!$A$2:$A$21,0)),0)</f>
        <v>2.6666666666666665</v>
      </c>
      <c r="AY247" s="2">
        <f t="shared" si="98"/>
        <v>0</v>
      </c>
      <c r="AZ247" s="2">
        <f t="shared" si="99"/>
        <v>0</v>
      </c>
      <c r="BA247">
        <f t="shared" si="100"/>
        <v>0</v>
      </c>
      <c r="BB247">
        <f>IFERROR(Player_Analysis!$Y247,1)</f>
        <v>0.9782093425605537</v>
      </c>
      <c r="BC247">
        <f t="shared" si="101"/>
        <v>0</v>
      </c>
      <c r="BD247">
        <f t="shared" si="102"/>
        <v>0</v>
      </c>
      <c r="BE247">
        <f t="shared" si="103"/>
        <v>0</v>
      </c>
      <c r="BF247">
        <f t="shared" si="104"/>
        <v>253</v>
      </c>
      <c r="BG247">
        <f>IF($BE247="","",COUNTIFS($C$2:$C$596,$C247,$BE$2:$BE$596,"&gt;"&amp;$BE247)+COUNTIFS($C$2:$C247,$C247,$BE$2:$BE247,$BE247))</f>
        <v>177</v>
      </c>
    </row>
    <row r="248" spans="1:59" x14ac:dyDescent="0.25">
      <c r="A248" t="str">
        <f>Player_Analysis!A248</f>
        <v>Jørgen Strand Larsen</v>
      </c>
      <c r="B248">
        <f>Player_Analysis!C248</f>
        <v>8</v>
      </c>
      <c r="C248" t="str">
        <f>Player_Analysis!B248</f>
        <v>FWD</v>
      </c>
      <c r="D248" s="13">
        <f>Player_Analysis!E248</f>
        <v>6</v>
      </c>
      <c r="E248">
        <f>Player_Analysis!I248</f>
        <v>134</v>
      </c>
      <c r="F248" s="8">
        <f>Player_Analysis!Z248</f>
        <v>1</v>
      </c>
      <c r="G248" s="17">
        <f t="shared" si="79"/>
        <v>0.67164179104477606</v>
      </c>
      <c r="H248">
        <f t="shared" si="80"/>
        <v>60.447761194029844</v>
      </c>
      <c r="I248" s="8">
        <f>Player_Analysis!AF248</f>
        <v>0</v>
      </c>
      <c r="J248" s="8">
        <f>Player_Analysis!AG248</f>
        <v>0</v>
      </c>
      <c r="K248">
        <f>Player_Analysis!O248</f>
        <v>0.3</v>
      </c>
      <c r="L248">
        <f>Player_Analysis!P248</f>
        <v>0.01</v>
      </c>
      <c r="M248">
        <f t="shared" si="81"/>
        <v>0.20149253731343283</v>
      </c>
      <c r="N248">
        <f t="shared" si="82"/>
        <v>6.7164179104477612E-3</v>
      </c>
      <c r="O248" s="2">
        <f>IF(E248=0,"",Player_Analysis!L248/E248*90)</f>
        <v>2.6865671641791042</v>
      </c>
      <c r="P248">
        <f>IF(E248=0,"",Player_Analysis!Q248/E248*90)</f>
        <v>0.20820895522388058</v>
      </c>
      <c r="Q248">
        <f>IF(E248=0,"",(Player_Analysis!AD248/E248)*90)</f>
        <v>13.432835820895521</v>
      </c>
      <c r="R248">
        <f>IF(E248=0,"",Player_Analysis!AA248/E248*90)</f>
        <v>5.3731343283582085</v>
      </c>
      <c r="S248" t="str">
        <f t="array" ref="S248">IFERROR(INDEX('2023_24'!$O:$O,MATCH($A248,'2023_24'!$A:$A,0)),"")</f>
        <v/>
      </c>
      <c r="T248">
        <f>IFERROR(INDEX('2024_25'!$P:$P,MATCH($A248,'2024_25'!$A:$A,0)),"")</f>
        <v>0.35276381909547744</v>
      </c>
      <c r="U248">
        <f>IFERROR(INDEX('2025_26'!$P:$P,MATCH($A248,'2025_26'!$A:$A,0)),"")</f>
        <v>0.20730117340286833</v>
      </c>
      <c r="V248" t="str">
        <f>IFERROR(INDEX('2023_24'!$P:$P,MATCH($A248,'2023_24'!$A:$A,0)),"")</f>
        <v/>
      </c>
      <c r="W248">
        <f>IFERROR(INDEX('2024_25'!$Q:$Q,MATCH($A248,'2024_25'!$A:$A,0)),"")</f>
        <v>3.4789331271743329E-2</v>
      </c>
      <c r="X248">
        <f>IFERROR(INDEX('2025_26'!$Q:$Q,MATCH($A248,'2025_26'!$A:$A,0)),"")</f>
        <v>4.3807040417209911E-2</v>
      </c>
      <c r="Y248" t="str">
        <f>IFERROR(INDEX('2023_24'!$M:$M,MATCH($A248,'2023_24'!$A:$A,0))/INDEX('2023_24'!$G:$G,MATCH($A248,'2023_24'!$A:$A,0))*90,"")</f>
        <v/>
      </c>
      <c r="Z248">
        <f>IFERROR(INDEX('2024_25'!$M:$M,MATCH($A248,'2024_25'!$A:$A,0))/INDEX('2024_25'!$G:$G,MATCH($A248,'2024_25'!$A:$A,0))*90,"")</f>
        <v>5.0444530344027836</v>
      </c>
      <c r="AA248">
        <f>IFERROR(INDEX('2025_26'!$M:$M,MATCH($A248,'2025_26'!$A:$A,0))/INDEX('2025_26'!$G:$G,MATCH($A248,'2025_26'!$A:$A,0))*90,"")</f>
        <v>2.9335071707953064</v>
      </c>
      <c r="AB248">
        <f>IFERROR(SUMPRODUCT(S248:U248,{0.2,0.3,0.5})/SUMPRODUCT(--(S248:U248&lt;&gt;""),{0.2,0.3,0.5}),"")</f>
        <v>0.2618496655375967</v>
      </c>
      <c r="AC248">
        <f>IFERROR(SUMPRODUCT(V248:X248,{0.2,0.3,0.5})/SUMPRODUCT(--(V248:X248&lt;&gt;""),{0.2,0.3,0.5}),"")</f>
        <v>4.0425399487659941E-2</v>
      </c>
      <c r="AD248">
        <f>IFERROR(SUMPRODUCT(Y248:AA248,{0.2,0.3,0.5})/SUMPRODUCT((Y248:AA248&lt;&gt;"")*{0.2,0.3,0.5}),O248)</f>
        <v>3.72511186964811</v>
      </c>
      <c r="AE248">
        <f t="shared" si="83"/>
        <v>2</v>
      </c>
      <c r="AF248">
        <f t="shared" si="84"/>
        <v>134</v>
      </c>
      <c r="AG248">
        <f t="shared" si="85"/>
        <v>0.23489014826413684</v>
      </c>
      <c r="AH248">
        <f t="shared" si="86"/>
        <v>2.5368721049838502E-2</v>
      </c>
      <c r="AI248" s="2">
        <f t="shared" si="87"/>
        <v>3.2612285678719539</v>
      </c>
      <c r="AJ248">
        <f t="shared" si="88"/>
        <v>0.44666666666666666</v>
      </c>
      <c r="AK248" t="str">
        <f t="shared" si="89"/>
        <v>NO</v>
      </c>
      <c r="AL248">
        <f t="shared" si="90"/>
        <v>0.15776203987889786</v>
      </c>
      <c r="AM248">
        <f t="shared" si="91"/>
        <v>1.7038693242428841E-2</v>
      </c>
      <c r="AN248">
        <f t="shared" si="92"/>
        <v>0.15776203987889786</v>
      </c>
      <c r="AO248">
        <f t="shared" si="93"/>
        <v>1.7038693242428841E-2</v>
      </c>
      <c r="AP248">
        <f t="array" ref="AP248">AL248*IF($C248="GKP",10,IF($C248="DEF",6,IF($C248="MID",5,4)))</f>
        <v>0.63104815951559146</v>
      </c>
      <c r="AQ248">
        <f t="shared" si="94"/>
        <v>5.1116079727286524E-2</v>
      </c>
      <c r="AR248">
        <f t="shared" si="95"/>
        <v>1.3432835820895521</v>
      </c>
      <c r="AS248" s="2">
        <f>IF($H248=0,0,Player_Analysis!$AM248*$H248/90)</f>
        <v>0</v>
      </c>
      <c r="AT248">
        <f t="shared" si="96"/>
        <v>0.60147026063711284</v>
      </c>
      <c r="AU248" s="2">
        <f>0</f>
        <v>0</v>
      </c>
      <c r="AV248" s="2">
        <f>IF(INDEX(FPL_Raw_Data!K:K,MATCH(A248,FPL_Raw_Data!AA:AA,0))=0,"",INDEX(FPL_Raw_Data!P:P,MATCH(A248,FPL_Raw_Data!AA:AA,0))/INDEX(FPL_Raw_Data!K:K,MATCH(A248,FPL_Raw_Data!AA:AA,0))*90)</f>
        <v>0</v>
      </c>
      <c r="AW248" s="2">
        <f t="shared" si="97"/>
        <v>0</v>
      </c>
      <c r="AX248" s="2">
        <f>IFERROR(INDEX(TEAM_ANALYSIS!$H$2:$H$21,MATCH($B248,TEAM_ANALYSIS!$A$2:$A$21,0)),0)</f>
        <v>2.6666666666666665</v>
      </c>
      <c r="AY248" s="2">
        <f t="shared" si="98"/>
        <v>0</v>
      </c>
      <c r="AZ248" s="2">
        <f t="shared" si="99"/>
        <v>2.626918081969543</v>
      </c>
      <c r="BA248">
        <f t="shared" si="100"/>
        <v>0.43781968032825719</v>
      </c>
      <c r="BB248">
        <f>IFERROR(Player_Analysis!$Y248,1)</f>
        <v>0.9782093425605537</v>
      </c>
      <c r="BC248">
        <f t="shared" si="101"/>
        <v>2.5696758099238575</v>
      </c>
      <c r="BD248">
        <f t="shared" si="102"/>
        <v>1.1250546416481186</v>
      </c>
      <c r="BE248">
        <f t="shared" si="103"/>
        <v>2.5696758099238575</v>
      </c>
      <c r="BF248">
        <f t="shared" si="104"/>
        <v>223</v>
      </c>
      <c r="BG248">
        <f>IF($BE248="","",COUNTIFS($C$2:$C$596,$C248,$BE$2:$BE$596,"&gt;"&amp;$BE248)+COUNTIFS($C$2:$C248,$C248,$BE$2:$BE248,$BE248))</f>
        <v>23</v>
      </c>
    </row>
    <row r="249" spans="1:59" x14ac:dyDescent="0.25">
      <c r="A249" t="str">
        <f>Player_Analysis!A249</f>
        <v>Jean-Philippe Mateta</v>
      </c>
      <c r="B249">
        <f>Player_Analysis!C249</f>
        <v>8</v>
      </c>
      <c r="C249" t="str">
        <f>Player_Analysis!B249</f>
        <v>FWD</v>
      </c>
      <c r="D249" s="13">
        <f>Player_Analysis!E249</f>
        <v>6.4</v>
      </c>
      <c r="E249">
        <f>Player_Analysis!I249</f>
        <v>62</v>
      </c>
      <c r="F249" s="8">
        <f>Player_Analysis!Z249</f>
        <v>1</v>
      </c>
      <c r="G249" s="17">
        <f t="shared" si="79"/>
        <v>1</v>
      </c>
      <c r="H249">
        <f t="shared" si="80"/>
        <v>90</v>
      </c>
      <c r="I249" s="8">
        <f>Player_Analysis!AF249</f>
        <v>0</v>
      </c>
      <c r="J249" s="8">
        <f>Player_Analysis!AG249</f>
        <v>0</v>
      </c>
      <c r="K249">
        <f>Player_Analysis!O249</f>
        <v>0.7</v>
      </c>
      <c r="L249">
        <f>Player_Analysis!P249</f>
        <v>0.02</v>
      </c>
      <c r="M249">
        <f t="shared" si="81"/>
        <v>1.0161290322580645</v>
      </c>
      <c r="N249">
        <f t="shared" si="82"/>
        <v>2.903225806451613E-2</v>
      </c>
      <c r="O249" s="2">
        <f>IF(E249=0,"",Player_Analysis!L249/E249*90)</f>
        <v>2.903225806451613</v>
      </c>
      <c r="P249">
        <f>IF(E249=0,"",Player_Analysis!Q249/E249*90)</f>
        <v>1.0451612903225806</v>
      </c>
      <c r="Q249">
        <f>IF(E249=0,"",(Player_Analysis!AD249/E249)*90)</f>
        <v>-4.354838709677419</v>
      </c>
      <c r="R249">
        <f>IF(E249=0,"",Player_Analysis!AA249/E249*90)</f>
        <v>7.258064516129032</v>
      </c>
      <c r="S249">
        <f t="array" ref="S249">IFERROR(INDEX('2023_24'!$O:$O,MATCH($A249,'2023_24'!$A:$A,0)),"")</f>
        <v>0.42902374670184701</v>
      </c>
      <c r="T249">
        <f>IFERROR(INDEX('2024_25'!$P:$P,MATCH($A249,'2024_25'!$A:$A,0)),"")</f>
        <v>0.46907645722937169</v>
      </c>
      <c r="U249">
        <f>IFERROR(INDEX('2025_26'!$P:$P,MATCH($A249,'2025_26'!$A:$A,0)),"")</f>
        <v>0.58723981900452482</v>
      </c>
      <c r="V249">
        <f>IFERROR(INDEX('2023_24'!$P:$P,MATCH($A249,'2023_24'!$A:$A,0)),"")</f>
        <v>5.1451187335092352E-2</v>
      </c>
      <c r="W249">
        <f>IFERROR(INDEX('2024_25'!$Q:$Q,MATCH($A249,'2024_25'!$A:$A,0)),"")</f>
        <v>7.7668433005299006E-2</v>
      </c>
      <c r="X249">
        <f>IFERROR(INDEX('2025_26'!$Q:$Q,MATCH($A249,'2025_26'!$A:$A,0)),"")</f>
        <v>5.375565610859729E-2</v>
      </c>
      <c r="Y249">
        <f>IFERROR(INDEX('2023_24'!$M:$M,MATCH($A249,'2023_24'!$A:$A,0))/INDEX('2023_24'!$G:$G,MATCH($A249,'2023_24'!$A:$A,0))*90,"")</f>
        <v>6.5303430079155671</v>
      </c>
      <c r="Z249">
        <f>IFERROR(INDEX('2024_25'!$M:$M,MATCH($A249,'2024_25'!$A:$A,0))/INDEX('2024_25'!$G:$G,MATCH($A249,'2024_25'!$A:$A,0))*90,"")</f>
        <v>5.1097653292959881</v>
      </c>
      <c r="AA249">
        <f>IFERROR(INDEX('2025_26'!$M:$M,MATCH($A249,'2025_26'!$A:$A,0))/INDEX('2025_26'!$G:$G,MATCH($A249,'2025_26'!$A:$A,0))*90,"")</f>
        <v>4.6425339366515832</v>
      </c>
      <c r="AB249">
        <f>IFERROR(SUMPRODUCT(S249:U249,{0.2,0.3,0.5})/SUMPRODUCT(--(S249:U249&lt;&gt;""),{0.2,0.3,0.5}),"")</f>
        <v>0.52014759601144334</v>
      </c>
      <c r="AC249">
        <f>IFERROR(SUMPRODUCT(V249:X249,{0.2,0.3,0.5})/SUMPRODUCT(--(V249:X249&lt;&gt;""),{0.2,0.3,0.5}),"")</f>
        <v>6.0468595422906821E-2</v>
      </c>
      <c r="AD249">
        <f>IFERROR(SUMPRODUCT(Y249:AA249,{0.2,0.3,0.5})/SUMPRODUCT((Y249:AA249&lt;&gt;"")*{0.2,0.3,0.5}),O249)</f>
        <v>5.1602651686977019</v>
      </c>
      <c r="AE249">
        <f t="shared" si="83"/>
        <v>3</v>
      </c>
      <c r="AF249">
        <f t="shared" si="84"/>
        <v>62</v>
      </c>
      <c r="AG249">
        <f t="shared" si="85"/>
        <v>0.6226504261690784</v>
      </c>
      <c r="AH249">
        <f t="shared" si="86"/>
        <v>5.3971752368839408E-2</v>
      </c>
      <c r="AI249" s="2">
        <f t="shared" si="87"/>
        <v>4.6938103671668427</v>
      </c>
      <c r="AJ249">
        <f t="shared" si="88"/>
        <v>0.20666666666666667</v>
      </c>
      <c r="AK249" t="str">
        <f t="shared" si="89"/>
        <v>NO</v>
      </c>
      <c r="AL249">
        <f t="shared" si="90"/>
        <v>0.6226504261690784</v>
      </c>
      <c r="AM249">
        <f t="shared" si="91"/>
        <v>5.3971752368839401E-2</v>
      </c>
      <c r="AN249">
        <f t="shared" si="92"/>
        <v>0.6226504261690784</v>
      </c>
      <c r="AO249">
        <f t="shared" si="93"/>
        <v>5.3971752368839401E-2</v>
      </c>
      <c r="AP249">
        <f t="array" ref="AP249">AL249*IF($C249="GKP",10,IF($C249="DEF",6,IF($C249="MID",5,4)))</f>
        <v>2.4906017046763136</v>
      </c>
      <c r="AQ249">
        <f t="shared" si="94"/>
        <v>0.16191525710651822</v>
      </c>
      <c r="AR249">
        <f t="shared" si="95"/>
        <v>2</v>
      </c>
      <c r="AS249" s="2">
        <f>IF($H249=0,0,Player_Analysis!$AM249*$H249/90)</f>
        <v>0</v>
      </c>
      <c r="AT249">
        <f t="shared" si="96"/>
        <v>1.2096774193548387</v>
      </c>
      <c r="AU249" s="2">
        <f>0</f>
        <v>0</v>
      </c>
      <c r="AV249" s="2">
        <f>IF(INDEX(FPL_Raw_Data!K:K,MATCH(A249,FPL_Raw_Data!AA:AA,0))=0,"",INDEX(FPL_Raw_Data!P:P,MATCH(A249,FPL_Raw_Data!AA:AA,0))/INDEX(FPL_Raw_Data!K:K,MATCH(A249,FPL_Raw_Data!AA:AA,0))*90)</f>
        <v>0</v>
      </c>
      <c r="AW249" s="2">
        <f t="shared" si="97"/>
        <v>0</v>
      </c>
      <c r="AX249" s="2">
        <f>IFERROR(INDEX(TEAM_ANALYSIS!$H$2:$H$21,MATCH($B249,TEAM_ANALYSIS!$A$2:$A$21,0)),0)</f>
        <v>2.6666666666666665</v>
      </c>
      <c r="AY249" s="2">
        <f t="shared" si="98"/>
        <v>0</v>
      </c>
      <c r="AZ249" s="2">
        <f t="shared" si="99"/>
        <v>5.8621943811376704</v>
      </c>
      <c r="BA249">
        <f t="shared" si="100"/>
        <v>0.91596787205276098</v>
      </c>
      <c r="BB249">
        <f>IFERROR(Player_Analysis!$Y249,1)</f>
        <v>0.9782093425605537</v>
      </c>
      <c r="BC249">
        <f t="shared" si="101"/>
        <v>5.7344533115348524</v>
      </c>
      <c r="BD249">
        <f t="shared" si="102"/>
        <v>5.2525749971524869</v>
      </c>
      <c r="BE249">
        <f t="shared" si="103"/>
        <v>5.7344533115348524</v>
      </c>
      <c r="BF249">
        <f t="shared" si="104"/>
        <v>55</v>
      </c>
      <c r="BG249">
        <f>IF($BE249="","",COUNTIFS($C$2:$C$596,$C249,$BE$2:$BE$596,"&gt;"&amp;$BE249)+COUNTIFS($C$2:$C249,$C249,$BE$2:$BE249,$BE249))</f>
        <v>5</v>
      </c>
    </row>
    <row r="250" spans="1:59" x14ac:dyDescent="0.25">
      <c r="A250" t="str">
        <f>Player_Analysis!A250</f>
        <v>Eddie Nketiah</v>
      </c>
      <c r="B250">
        <f>Player_Analysis!C250</f>
        <v>8</v>
      </c>
      <c r="C250" t="str">
        <f>Player_Analysis!B250</f>
        <v>FWD</v>
      </c>
      <c r="D250" s="13">
        <f>Player_Analysis!E250</f>
        <v>5.5</v>
      </c>
      <c r="E250">
        <f>Player_Analysis!I250</f>
        <v>167</v>
      </c>
      <c r="F250" s="8">
        <f>Player_Analysis!Z250</f>
        <v>3</v>
      </c>
      <c r="G250" s="17">
        <f t="shared" si="79"/>
        <v>1</v>
      </c>
      <c r="H250">
        <f t="shared" si="80"/>
        <v>90</v>
      </c>
      <c r="I250" s="8">
        <f>Player_Analysis!AF250</f>
        <v>0</v>
      </c>
      <c r="J250" s="8">
        <f>Player_Analysis!AG250</f>
        <v>1</v>
      </c>
      <c r="K250">
        <f>Player_Analysis!O250</f>
        <v>1.1000000000000001</v>
      </c>
      <c r="L250">
        <f>Player_Analysis!P250</f>
        <v>0.57999999999999996</v>
      </c>
      <c r="M250">
        <f t="shared" si="81"/>
        <v>0.59281437125748504</v>
      </c>
      <c r="N250">
        <f t="shared" si="82"/>
        <v>0.31257485029940119</v>
      </c>
      <c r="O250" s="2">
        <f>IF(E250=0,"",Player_Analysis!L250/E250*90)</f>
        <v>3.772455089820359</v>
      </c>
      <c r="P250">
        <f>IF(E250=0,"",Player_Analysis!Q250/E250*90)</f>
        <v>0.90538922155688617</v>
      </c>
      <c r="Q250">
        <f>IF(E250=0,"",(Player_Analysis!AD250/E250)*90)</f>
        <v>19.401197604790418</v>
      </c>
      <c r="R250">
        <f>IF(E250=0,"",Player_Analysis!AA250/E250*90)</f>
        <v>5.9281437125748511</v>
      </c>
      <c r="S250">
        <f t="array" ref="S250">IFERROR(INDEX('2023_24'!$O:$O,MATCH($A250,'2023_24'!$A:$A,0)),"")</f>
        <v>0.39295774647887322</v>
      </c>
      <c r="T250">
        <f>IFERROR(INDEX('2024_25'!$P:$P,MATCH($A250,'2024_25'!$A:$A,0)),"")</f>
        <v>0.52514734774066796</v>
      </c>
      <c r="U250">
        <f>IFERROR(INDEX('2025_26'!$P:$P,MATCH($A250,'2025_26'!$A:$A,0)),"")</f>
        <v>0.38478260869565212</v>
      </c>
      <c r="V250">
        <f>IFERROR(INDEX('2023_24'!$P:$P,MATCH($A250,'2023_24'!$A:$A,0)),"")</f>
        <v>4.4788732394366197E-2</v>
      </c>
      <c r="W250">
        <f>IFERROR(INDEX('2024_25'!$Q:$Q,MATCH($A250,'2024_25'!$A:$A,0)),"")</f>
        <v>7.337917485265226E-2</v>
      </c>
      <c r="X250">
        <f>IFERROR(INDEX('2025_26'!$Q:$Q,MATCH($A250,'2025_26'!$A:$A,0)),"")</f>
        <v>0.1</v>
      </c>
      <c r="Y250">
        <f>IFERROR(INDEX('2023_24'!$M:$M,MATCH($A250,'2023_24'!$A:$A,0))/INDEX('2023_24'!$G:$G,MATCH($A250,'2023_24'!$A:$A,0))*90,"")</f>
        <v>6</v>
      </c>
      <c r="Z250">
        <f>IFERROR(INDEX('2024_25'!$M:$M,MATCH($A250,'2024_25'!$A:$A,0))/INDEX('2024_25'!$G:$G,MATCH($A250,'2024_25'!$A:$A,0))*90,"")</f>
        <v>4.6856581532416506</v>
      </c>
      <c r="AA250">
        <f>IFERROR(INDEX('2025_26'!$M:$M,MATCH($A250,'2025_26'!$A:$A,0))/INDEX('2025_26'!$G:$G,MATCH($A250,'2025_26'!$A:$A,0))*90,"")</f>
        <v>5</v>
      </c>
      <c r="AB250">
        <f>IFERROR(SUMPRODUCT(S250:U250,{0.2,0.3,0.5})/SUMPRODUCT(--(S250:U250&lt;&gt;""),{0.2,0.3,0.5}),"")</f>
        <v>0.42852705796580104</v>
      </c>
      <c r="AC250">
        <f>IFERROR(SUMPRODUCT(V250:X250,{0.2,0.3,0.5})/SUMPRODUCT(--(V250:X250&lt;&gt;""),{0.2,0.3,0.5}),"")</f>
        <v>8.0971498934668928E-2</v>
      </c>
      <c r="AD250">
        <f>IFERROR(SUMPRODUCT(Y250:AA250,{0.2,0.3,0.5})/SUMPRODUCT((Y250:AA250&lt;&gt;"")*{0.2,0.3,0.5}),O250)</f>
        <v>5.1056974459724955</v>
      </c>
      <c r="AE250">
        <f t="shared" si="83"/>
        <v>3</v>
      </c>
      <c r="AF250">
        <f t="shared" si="84"/>
        <v>55.666666666666664</v>
      </c>
      <c r="AG250">
        <f t="shared" si="85"/>
        <v>0.51998032903150515</v>
      </c>
      <c r="AH250">
        <f t="shared" si="86"/>
        <v>0.20989736452770322</v>
      </c>
      <c r="AI250" s="2">
        <f t="shared" si="87"/>
        <v>4.3635258677144728</v>
      </c>
      <c r="AJ250">
        <f t="shared" si="88"/>
        <v>0.55666666666666664</v>
      </c>
      <c r="AK250" t="str">
        <f t="shared" si="89"/>
        <v>NO</v>
      </c>
      <c r="AL250">
        <f t="shared" si="90"/>
        <v>0.51998032903150515</v>
      </c>
      <c r="AM250">
        <f t="shared" si="91"/>
        <v>0.20989736452770322</v>
      </c>
      <c r="AN250">
        <f t="shared" si="92"/>
        <v>0.51998032903150515</v>
      </c>
      <c r="AO250">
        <f t="shared" si="93"/>
        <v>0.20989736452770322</v>
      </c>
      <c r="AP250">
        <f t="array" ref="AP250">AL250*IF($C250="GKP",10,IF($C250="DEF",6,IF($C250="MID",5,4)))</f>
        <v>2.0799213161260206</v>
      </c>
      <c r="AQ250">
        <f t="shared" si="94"/>
        <v>0.62969209358310962</v>
      </c>
      <c r="AR250">
        <f t="shared" si="95"/>
        <v>2</v>
      </c>
      <c r="AS250" s="2">
        <f>IF($H250=0,0,Player_Analysis!$AM250*$H250/90)</f>
        <v>0</v>
      </c>
      <c r="AT250">
        <f t="shared" si="96"/>
        <v>0.98802395209580851</v>
      </c>
      <c r="AU250" s="2">
        <f>0</f>
        <v>0</v>
      </c>
      <c r="AV250" s="2">
        <f>IF(INDEX(FPL_Raw_Data!K:K,MATCH(A250,FPL_Raw_Data!AA:AA,0))=0,"",INDEX(FPL_Raw_Data!P:P,MATCH(A250,FPL_Raw_Data!AA:AA,0))/INDEX(FPL_Raw_Data!K:K,MATCH(A250,FPL_Raw_Data!AA:AA,0))*90)</f>
        <v>0</v>
      </c>
      <c r="AW250" s="2">
        <f t="shared" si="97"/>
        <v>0</v>
      </c>
      <c r="AX250" s="2">
        <f>IFERROR(INDEX(TEAM_ANALYSIS!$H$2:$H$21,MATCH($B250,TEAM_ANALYSIS!$A$2:$A$21,0)),0)</f>
        <v>2.6666666666666665</v>
      </c>
      <c r="AY250" s="2">
        <f t="shared" si="98"/>
        <v>0</v>
      </c>
      <c r="AZ250" s="2">
        <f t="shared" si="99"/>
        <v>5.6976373618049383</v>
      </c>
      <c r="BA250">
        <f t="shared" si="100"/>
        <v>1.0359340657827161</v>
      </c>
      <c r="BB250">
        <f>IFERROR(Player_Analysis!$Y250,1)</f>
        <v>0.9782093425605537</v>
      </c>
      <c r="BC250">
        <f t="shared" si="101"/>
        <v>5.5734820978396566</v>
      </c>
      <c r="BD250">
        <f t="shared" si="102"/>
        <v>5.7737599701822173</v>
      </c>
      <c r="BE250">
        <f t="shared" si="103"/>
        <v>5.5734820978396566</v>
      </c>
      <c r="BF250">
        <f t="shared" si="104"/>
        <v>64</v>
      </c>
      <c r="BG250">
        <f>IF($BE250="","",COUNTIFS($C$2:$C$596,$C250,$BE$2:$BE$596,"&gt;"&amp;$BE250)+COUNTIFS($C$2:$C250,$C250,$BE$2:$BE250,$BE250))</f>
        <v>6</v>
      </c>
    </row>
    <row r="251" spans="1:59" x14ac:dyDescent="0.25">
      <c r="A251" t="str">
        <f>Player_Analysis!A251</f>
        <v>Christantus Uche</v>
      </c>
      <c r="B251">
        <f>Player_Analysis!C251</f>
        <v>8</v>
      </c>
      <c r="C251" t="str">
        <f>Player_Analysis!B251</f>
        <v>FWD</v>
      </c>
      <c r="D251" s="13">
        <f>Player_Analysis!E251</f>
        <v>5</v>
      </c>
      <c r="E251">
        <f>Player_Analysis!I251</f>
        <v>0</v>
      </c>
      <c r="F251" s="8">
        <f>Player_Analysis!Z251</f>
        <v>0</v>
      </c>
      <c r="G251" s="17">
        <f t="shared" si="79"/>
        <v>0</v>
      </c>
      <c r="H251">
        <f t="shared" si="80"/>
        <v>0</v>
      </c>
      <c r="I251" s="8">
        <f>Player_Analysis!AF251</f>
        <v>0</v>
      </c>
      <c r="J251" s="8">
        <f>Player_Analysis!AG251</f>
        <v>0</v>
      </c>
      <c r="K251">
        <f>Player_Analysis!O251</f>
        <v>0</v>
      </c>
      <c r="L251">
        <f>Player_Analysis!P251</f>
        <v>0</v>
      </c>
      <c r="M251" t="str">
        <f t="shared" si="81"/>
        <v/>
      </c>
      <c r="N251" t="str">
        <f t="shared" si="82"/>
        <v/>
      </c>
      <c r="O251" s="2" t="str">
        <f>IF(E251=0,"",Player_Analysis!L251/E251*90)</f>
        <v/>
      </c>
      <c r="P251" t="str">
        <f>IF(E251=0,"",Player_Analysis!Q251/E251*90)</f>
        <v/>
      </c>
      <c r="Q251" t="str">
        <f>IF(E251=0,"",(Player_Analysis!AD251/E251)*90)</f>
        <v/>
      </c>
      <c r="R251" t="str">
        <f>IF(E251=0,"",Player_Analysis!AA251/E251*90)</f>
        <v/>
      </c>
      <c r="S251" t="str">
        <f t="array" ref="S251">IFERROR(INDEX('2023_24'!$O:$O,MATCH($A251,'2023_24'!$A:$A,0)),"")</f>
        <v/>
      </c>
      <c r="T251" t="str">
        <f>IFERROR(INDEX('2024_25'!$P:$P,MATCH($A251,'2024_25'!$A:$A,0)),"")</f>
        <v/>
      </c>
      <c r="U251">
        <f>IFERROR(INDEX('2025_26'!$P:$P,MATCH($A251,'2025_26'!$A:$A,0)),"")</f>
        <v>0.27735849056603773</v>
      </c>
      <c r="V251" t="str">
        <f>IFERROR(INDEX('2023_24'!$P:$P,MATCH($A251,'2023_24'!$A:$A,0)),"")</f>
        <v/>
      </c>
      <c r="W251" t="str">
        <f>IFERROR(INDEX('2024_25'!$Q:$Q,MATCH($A251,'2024_25'!$A:$A,0)),"")</f>
        <v/>
      </c>
      <c r="X251">
        <f>IFERROR(INDEX('2025_26'!$Q:$Q,MATCH($A251,'2025_26'!$A:$A,0)),"")</f>
        <v>5.6603773584905656E-3</v>
      </c>
      <c r="Y251" t="str">
        <f>IFERROR(INDEX('2023_24'!$M:$M,MATCH($A251,'2023_24'!$A:$A,0))/INDEX('2023_24'!$G:$G,MATCH($A251,'2023_24'!$A:$A,0))*90,"")</f>
        <v/>
      </c>
      <c r="Z251" t="str">
        <f>IFERROR(INDEX('2024_25'!$M:$M,MATCH($A251,'2024_25'!$A:$A,0))/INDEX('2024_25'!$G:$G,MATCH($A251,'2024_25'!$A:$A,0))*90,"")</f>
        <v/>
      </c>
      <c r="AA251">
        <f>IFERROR(INDEX('2025_26'!$M:$M,MATCH($A251,'2025_26'!$A:$A,0))/INDEX('2025_26'!$G:$G,MATCH($A251,'2025_26'!$A:$A,0))*90,"")</f>
        <v>9.6226415094339632</v>
      </c>
      <c r="AB251">
        <f>IFERROR(SUMPRODUCT(S251:U251,{0.2,0.3,0.5})/SUMPRODUCT(--(S251:U251&lt;&gt;""),{0.2,0.3,0.5}),"")</f>
        <v>0.27735849056603773</v>
      </c>
      <c r="AC251">
        <f>IFERROR(SUMPRODUCT(V251:X251,{0.2,0.3,0.5})/SUMPRODUCT(--(V251:X251&lt;&gt;""),{0.2,0.3,0.5}),"")</f>
        <v>5.6603773584905656E-3</v>
      </c>
      <c r="AD251">
        <f>IFERROR(SUMPRODUCT(Y251:AA251,{0.2,0.3,0.5})/SUMPRODUCT((Y251:AA251&lt;&gt;"")*{0.2,0.3,0.5}),O251)</f>
        <v>9.6226415094339632</v>
      </c>
      <c r="AE251">
        <f t="shared" si="83"/>
        <v>1</v>
      </c>
      <c r="AF251" t="str">
        <f t="shared" si="84"/>
        <v/>
      </c>
      <c r="AG251">
        <f t="shared" si="85"/>
        <v>0.27735849056603773</v>
      </c>
      <c r="AH251">
        <f t="shared" si="86"/>
        <v>5.6603773584905656E-3</v>
      </c>
      <c r="AI251" s="2">
        <f t="shared" si="87"/>
        <v>9.6226415094339632</v>
      </c>
      <c r="AJ251">
        <f t="shared" si="88"/>
        <v>0</v>
      </c>
      <c r="AK251" t="str">
        <f t="shared" si="89"/>
        <v>NO</v>
      </c>
      <c r="AL251">
        <f t="shared" si="90"/>
        <v>0</v>
      </c>
      <c r="AM251">
        <f t="shared" si="91"/>
        <v>0</v>
      </c>
      <c r="AN251">
        <f t="shared" si="92"/>
        <v>0</v>
      </c>
      <c r="AO251">
        <f t="shared" si="93"/>
        <v>0</v>
      </c>
      <c r="AP251">
        <f t="array" ref="AP251">AL251*IF($C251="GKP",10,IF($C251="DEF",6,IF($C251="MID",5,4)))</f>
        <v>0</v>
      </c>
      <c r="AQ251">
        <f t="shared" si="94"/>
        <v>0</v>
      </c>
      <c r="AR251">
        <f t="shared" si="95"/>
        <v>0</v>
      </c>
      <c r="AS251" s="2">
        <f>IF($H251=0,0,Player_Analysis!$AM251*$H251/90)</f>
        <v>0</v>
      </c>
      <c r="AT251">
        <f t="shared" si="96"/>
        <v>0</v>
      </c>
      <c r="AU251" s="2">
        <f>0</f>
        <v>0</v>
      </c>
      <c r="AV251" s="2" t="str">
        <f>IF(INDEX(FPL_Raw_Data!K:K,MATCH(A251,FPL_Raw_Data!AA:AA,0))=0,"",INDEX(FPL_Raw_Data!P:P,MATCH(A251,FPL_Raw_Data!AA:AA,0))/INDEX(FPL_Raw_Data!K:K,MATCH(A251,FPL_Raw_Data!AA:AA,0))*90)</f>
        <v/>
      </c>
      <c r="AW251" s="2">
        <f t="shared" si="97"/>
        <v>0</v>
      </c>
      <c r="AX251" s="2">
        <f>IFERROR(INDEX(TEAM_ANALYSIS!$H$2:$H$21,MATCH($B251,TEAM_ANALYSIS!$A$2:$A$21,0)),0)</f>
        <v>2.6666666666666665</v>
      </c>
      <c r="AY251" s="2">
        <f t="shared" si="98"/>
        <v>0</v>
      </c>
      <c r="AZ251" s="2">
        <f t="shared" si="99"/>
        <v>0</v>
      </c>
      <c r="BA251">
        <f t="shared" si="100"/>
        <v>0</v>
      </c>
      <c r="BB251">
        <f>IFERROR(Player_Analysis!$Y251,1)</f>
        <v>0.9782093425605537</v>
      </c>
      <c r="BC251">
        <f t="shared" si="101"/>
        <v>0</v>
      </c>
      <c r="BD251">
        <f t="shared" si="102"/>
        <v>0</v>
      </c>
      <c r="BE251">
        <f t="shared" si="103"/>
        <v>0</v>
      </c>
      <c r="BF251">
        <f t="shared" si="104"/>
        <v>253</v>
      </c>
      <c r="BG251">
        <f>IF($BE251="","",COUNTIFS($C$2:$C$596,$C251,$BE$2:$BE$596,"&gt;"&amp;$BE251)+COUNTIFS($C$2:$C251,$C251,$BE$2:$BE251,$BE251))</f>
        <v>47</v>
      </c>
    </row>
    <row r="252" spans="1:59" x14ac:dyDescent="0.25">
      <c r="A252" t="str">
        <f>Player_Analysis!A252</f>
        <v>Dwight McNeil</v>
      </c>
      <c r="B252">
        <f>Player_Analysis!C252</f>
        <v>8</v>
      </c>
      <c r="C252" t="str">
        <f>Player_Analysis!B252</f>
        <v>MID</v>
      </c>
      <c r="D252" s="13">
        <f>Player_Analysis!E252</f>
        <v>5.4</v>
      </c>
      <c r="E252">
        <f>Player_Analysis!I252</f>
        <v>84</v>
      </c>
      <c r="F252" s="8">
        <f>Player_Analysis!Z252</f>
        <v>1</v>
      </c>
      <c r="G252" s="17">
        <f t="shared" si="79"/>
        <v>1</v>
      </c>
      <c r="H252">
        <f t="shared" si="80"/>
        <v>90</v>
      </c>
      <c r="I252" s="8">
        <f>Player_Analysis!AF252</f>
        <v>0</v>
      </c>
      <c r="J252" s="8">
        <f>Player_Analysis!AG252</f>
        <v>0</v>
      </c>
      <c r="K252">
        <f>Player_Analysis!O252</f>
        <v>0.05</v>
      </c>
      <c r="L252">
        <f>Player_Analysis!P252</f>
        <v>0.02</v>
      </c>
      <c r="M252">
        <f t="shared" si="81"/>
        <v>5.3571428571428575E-2</v>
      </c>
      <c r="N252">
        <f t="shared" si="82"/>
        <v>2.1428571428571429E-2</v>
      </c>
      <c r="O252" s="2">
        <f>IF(E252=0,"",Player_Analysis!L252/E252*90)</f>
        <v>3.214285714285714</v>
      </c>
      <c r="P252">
        <f>IF(E252=0,"",Player_Analysis!Q252/E252*90)</f>
        <v>7.5000000000000011E-2</v>
      </c>
      <c r="Q252">
        <f>IF(E252=0,"",(Player_Analysis!AD252/E252)*90)</f>
        <v>13.928571428571429</v>
      </c>
      <c r="R252">
        <f>IF(E252=0,"",Player_Analysis!AA252/E252*90)</f>
        <v>7.5</v>
      </c>
      <c r="S252">
        <f t="array" ref="S252">IFERROR(INDEX('2023_24'!$O:$O,MATCH($A252,'2023_24'!$A:$A,0)),"")</f>
        <v>0.10148737461086128</v>
      </c>
      <c r="T252">
        <f>IFERROR(INDEX('2024_25'!$P:$P,MATCH($A252,'2024_25'!$A:$A,0)),"")</f>
        <v>6.9180087847730595E-2</v>
      </c>
      <c r="U252">
        <f>IFERROR(INDEX('2025_26'!$P:$P,MATCH($A252,'2025_26'!$A:$A,0)),"")</f>
        <v>0.1062015503875969</v>
      </c>
      <c r="V252">
        <f>IFERROR(INDEX('2023_24'!$P:$P,MATCH($A252,'2023_24'!$A:$A,0)),"")</f>
        <v>0.24593566240055345</v>
      </c>
      <c r="W252">
        <f>IFERROR(INDEX('2024_25'!$Q:$Q,MATCH($A252,'2024_25'!$A:$A,0)),"")</f>
        <v>0.29582723279648609</v>
      </c>
      <c r="X252">
        <f>IFERROR(INDEX('2025_26'!$Q:$Q,MATCH($A252,'2025_26'!$A:$A,0)),"")</f>
        <v>0.14806201550387596</v>
      </c>
      <c r="Y252">
        <f>IFERROR(INDEX('2023_24'!$M:$M,MATCH($A252,'2023_24'!$A:$A,0))/INDEX('2023_24'!$G:$G,MATCH($A252,'2023_24'!$A:$A,0))*90,"")</f>
        <v>3.8602559667934968</v>
      </c>
      <c r="Z252">
        <f>IFERROR(INDEX('2024_25'!$M:$M,MATCH($A252,'2024_25'!$A:$A,0))/INDEX('2024_25'!$G:$G,MATCH($A252,'2024_25'!$A:$A,0))*90,"")</f>
        <v>6.1273792093704245</v>
      </c>
      <c r="AA252">
        <f>IFERROR(INDEX('2025_26'!$M:$M,MATCH($A252,'2025_26'!$A:$A,0))/INDEX('2025_26'!$G:$G,MATCH($A252,'2025_26'!$A:$A,0))*90,"")</f>
        <v>4.1085271317829459</v>
      </c>
      <c r="AB252">
        <f>IFERROR(SUMPRODUCT(S252:U252,{0.2,0.3,0.5})/SUMPRODUCT(--(S252:U252&lt;&gt;""),{0.2,0.3,0.5}),"")</f>
        <v>9.4152276470289883E-2</v>
      </c>
      <c r="AC252">
        <f>IFERROR(SUMPRODUCT(V252:X252,{0.2,0.3,0.5})/SUMPRODUCT(--(V252:X252&lt;&gt;""),{0.2,0.3,0.5}),"")</f>
        <v>0.21196631007099453</v>
      </c>
      <c r="AD252">
        <f>IFERROR(SUMPRODUCT(Y252:AA252,{0.2,0.3,0.5})/SUMPRODUCT((Y252:AA252&lt;&gt;"")*{0.2,0.3,0.5}),O252)</f>
        <v>4.6645285220612998</v>
      </c>
      <c r="AE252">
        <f t="shared" si="83"/>
        <v>3</v>
      </c>
      <c r="AF252">
        <f t="shared" si="84"/>
        <v>84</v>
      </c>
      <c r="AG252">
        <f t="shared" si="85"/>
        <v>8.2789639058608713E-2</v>
      </c>
      <c r="AH252">
        <f t="shared" si="86"/>
        <v>0.15861574325111608</v>
      </c>
      <c r="AI252" s="2">
        <f t="shared" si="87"/>
        <v>4.2584605358841356</v>
      </c>
      <c r="AJ252">
        <f t="shared" si="88"/>
        <v>0.28000000000000003</v>
      </c>
      <c r="AK252" t="str">
        <f t="shared" si="89"/>
        <v>NO</v>
      </c>
      <c r="AL252">
        <f t="shared" si="90"/>
        <v>8.2789639058608713E-2</v>
      </c>
      <c r="AM252">
        <f t="shared" si="91"/>
        <v>0.15861574325111608</v>
      </c>
      <c r="AN252">
        <f t="shared" si="92"/>
        <v>8.2789639058608713E-2</v>
      </c>
      <c r="AO252">
        <f t="shared" si="93"/>
        <v>0.15861574325111608</v>
      </c>
      <c r="AP252">
        <f t="array" ref="AP252">AL252*IF($C252="GKP",10,IF($C252="DEF",6,IF($C252="MID",5,4)))</f>
        <v>0.41394819529304355</v>
      </c>
      <c r="AQ252">
        <f t="shared" si="94"/>
        <v>0.47584722975334826</v>
      </c>
      <c r="AR252">
        <f t="shared" si="95"/>
        <v>2</v>
      </c>
      <c r="AS252" s="2">
        <f>IF($H252=0,0,Player_Analysis!$AM252*$H252/90)</f>
        <v>0</v>
      </c>
      <c r="AT252">
        <f t="shared" si="96"/>
        <v>1.25</v>
      </c>
      <c r="AU252" s="2">
        <f>0</f>
        <v>0</v>
      </c>
      <c r="AV252" s="2">
        <f>IF(INDEX(FPL_Raw_Data!K:K,MATCH(A252,FPL_Raw_Data!AA:AA,0))=0,"",INDEX(FPL_Raw_Data!P:P,MATCH(A252,FPL_Raw_Data!AA:AA,0))/INDEX(FPL_Raw_Data!K:K,MATCH(A252,FPL_Raw_Data!AA:AA,0))*90)</f>
        <v>0</v>
      </c>
      <c r="AW252" s="2">
        <f t="shared" si="97"/>
        <v>0</v>
      </c>
      <c r="AX252" s="2">
        <f>IFERROR(INDEX(TEAM_ANALYSIS!$H$2:$H$21,MATCH($B252,TEAM_ANALYSIS!$A$2:$A$21,0)),0)</f>
        <v>2.6666666666666665</v>
      </c>
      <c r="AY252" s="2">
        <f t="shared" si="98"/>
        <v>0</v>
      </c>
      <c r="AZ252" s="2">
        <f t="shared" si="99"/>
        <v>4.1397954250463922</v>
      </c>
      <c r="BA252">
        <f t="shared" si="100"/>
        <v>0.76662878241599852</v>
      </c>
      <c r="BB252">
        <f>IFERROR(Player_Analysis!$Y252,1)</f>
        <v>0.9782093425605537</v>
      </c>
      <c r="BC252">
        <f t="shared" si="101"/>
        <v>4.0495865610698196</v>
      </c>
      <c r="BD252">
        <f t="shared" si="102"/>
        <v>3.1045296146011463</v>
      </c>
      <c r="BE252">
        <f t="shared" si="103"/>
        <v>4.0495865610698196</v>
      </c>
      <c r="BF252">
        <f t="shared" si="104"/>
        <v>151</v>
      </c>
      <c r="BG252">
        <f>IF($BE252="","",COUNTIFS($C$2:$C$596,$C252,$BE$2:$BE$596,"&gt;"&amp;$BE252)+COUNTIFS($C$2:$C252,$C252,$BE$2:$BE252,$BE252))</f>
        <v>75</v>
      </c>
    </row>
    <row r="253" spans="1:59" x14ac:dyDescent="0.25">
      <c r="A253" t="str">
        <f>Player_Analysis!A253</f>
        <v>Remi Matthews</v>
      </c>
      <c r="B253">
        <f>Player_Analysis!C253</f>
        <v>8</v>
      </c>
      <c r="C253" t="str">
        <f>Player_Analysis!B253</f>
        <v>GK</v>
      </c>
      <c r="D253" s="13">
        <f>Player_Analysis!E253</f>
        <v>4</v>
      </c>
      <c r="E253">
        <f>Player_Analysis!I253</f>
        <v>0</v>
      </c>
      <c r="F253" s="8">
        <f>Player_Analysis!Z253</f>
        <v>0</v>
      </c>
      <c r="G253" s="17">
        <f t="shared" si="79"/>
        <v>0</v>
      </c>
      <c r="H253">
        <f t="shared" si="80"/>
        <v>0</v>
      </c>
      <c r="I253" s="8">
        <f>Player_Analysis!AF253</f>
        <v>0</v>
      </c>
      <c r="J253" s="8">
        <f>Player_Analysis!AG253</f>
        <v>0</v>
      </c>
      <c r="K253">
        <f>Player_Analysis!O253</f>
        <v>0</v>
      </c>
      <c r="L253">
        <f>Player_Analysis!P253</f>
        <v>0</v>
      </c>
      <c r="M253" t="str">
        <f t="shared" si="81"/>
        <v/>
      </c>
      <c r="N253" t="str">
        <f t="shared" si="82"/>
        <v/>
      </c>
      <c r="O253" s="2" t="str">
        <f>IF(E253=0,"",Player_Analysis!L253/E253*90)</f>
        <v/>
      </c>
      <c r="P253" t="str">
        <f>IF(E253=0,"",Player_Analysis!Q253/E253*90)</f>
        <v/>
      </c>
      <c r="Q253" t="str">
        <f>IF(E253=0,"",(Player_Analysis!AD253/E253)*90)</f>
        <v/>
      </c>
      <c r="R253" t="str">
        <f>IF(E253=0,"",Player_Analysis!AA253/E253*90)</f>
        <v/>
      </c>
      <c r="S253">
        <f t="array" ref="S253">IFERROR(INDEX('2023_24'!$O:$O,MATCH($A253,'2023_24'!$A:$A,0)),"")</f>
        <v>0</v>
      </c>
      <c r="T253">
        <f>IFERROR(INDEX('2024_25'!$P:$P,MATCH($A253,'2024_25'!$A:$A,0)),"")</f>
        <v>0</v>
      </c>
      <c r="U253">
        <f>IFERROR(INDEX('2025_26'!$P:$P,MATCH($A253,'2025_26'!$A:$A,0)),"")</f>
        <v>0</v>
      </c>
      <c r="V253">
        <f>IFERROR(INDEX('2023_24'!$P:$P,MATCH($A253,'2023_24'!$A:$A,0)),"")</f>
        <v>0</v>
      </c>
      <c r="W253">
        <f>IFERROR(INDEX('2024_25'!$Q:$Q,MATCH($A253,'2024_25'!$A:$A,0)),"")</f>
        <v>0</v>
      </c>
      <c r="X253">
        <f>IFERROR(INDEX('2025_26'!$Q:$Q,MATCH($A253,'2025_26'!$A:$A,0)),"")</f>
        <v>0</v>
      </c>
      <c r="Y253">
        <f>IFERROR(INDEX('2023_24'!$M:$M,MATCH($A253,'2023_24'!$A:$A,0))/INDEX('2023_24'!$G:$G,MATCH($A253,'2023_24'!$A:$A,0))*90,"")</f>
        <v>30</v>
      </c>
      <c r="Z253" t="str">
        <f>IFERROR(INDEX('2024_25'!$M:$M,MATCH($A253,'2024_25'!$A:$A,0))/INDEX('2024_25'!$G:$G,MATCH($A253,'2024_25'!$A:$A,0))*90,"")</f>
        <v/>
      </c>
      <c r="AA253" t="str">
        <f>IFERROR(INDEX('2025_26'!$M:$M,MATCH($A253,'2025_26'!$A:$A,0))/INDEX('2025_26'!$G:$G,MATCH($A253,'2025_26'!$A:$A,0))*90,"")</f>
        <v/>
      </c>
      <c r="AB253">
        <f>IFERROR(SUMPRODUCT(S253:U253,{0.2,0.3,0.5})/SUMPRODUCT(--(S253:U253&lt;&gt;""),{0.2,0.3,0.5}),"")</f>
        <v>0</v>
      </c>
      <c r="AC253">
        <f>IFERROR(SUMPRODUCT(V253:X253,{0.2,0.3,0.5})/SUMPRODUCT(--(V253:X253&lt;&gt;""),{0.2,0.3,0.5}),"")</f>
        <v>0</v>
      </c>
      <c r="AD253">
        <f>IFERROR(SUMPRODUCT(Y253:AA253,{0.2,0.3,0.5})/SUMPRODUCT((Y253:AA253&lt;&gt;"")*{0.2,0.3,0.5}),O253)</f>
        <v>30</v>
      </c>
      <c r="AE253">
        <f t="shared" si="83"/>
        <v>3</v>
      </c>
      <c r="AF253" t="str">
        <f t="shared" si="84"/>
        <v/>
      </c>
      <c r="AG253">
        <f t="shared" si="85"/>
        <v>0</v>
      </c>
      <c r="AH253">
        <f t="shared" si="86"/>
        <v>0</v>
      </c>
      <c r="AI253" s="2">
        <f t="shared" si="87"/>
        <v>30</v>
      </c>
      <c r="AJ253">
        <f t="shared" si="88"/>
        <v>0</v>
      </c>
      <c r="AK253" t="str">
        <f t="shared" si="89"/>
        <v>NO</v>
      </c>
      <c r="AL253">
        <f t="shared" si="90"/>
        <v>0</v>
      </c>
      <c r="AM253">
        <f t="shared" si="91"/>
        <v>0</v>
      </c>
      <c r="AN253">
        <f t="shared" si="92"/>
        <v>0</v>
      </c>
      <c r="AO253">
        <f t="shared" si="93"/>
        <v>0</v>
      </c>
      <c r="AP253">
        <f t="array" ref="AP253">AL253*IF($C253="GKP",10,IF($C253="DEF",6,IF($C253="MID",5,4)))</f>
        <v>0</v>
      </c>
      <c r="AQ253">
        <f t="shared" si="94"/>
        <v>0</v>
      </c>
      <c r="AR253">
        <f t="shared" si="95"/>
        <v>0</v>
      </c>
      <c r="AS253" s="2">
        <f>IF($H253=0,0,Player_Analysis!$AM253*$H253/90)</f>
        <v>0</v>
      </c>
      <c r="AT253">
        <f t="shared" si="96"/>
        <v>0</v>
      </c>
      <c r="AU253" s="2">
        <f>0</f>
        <v>0</v>
      </c>
      <c r="AV253" s="2" t="str">
        <f>IF(INDEX(FPL_Raw_Data!K:K,MATCH(A253,FPL_Raw_Data!AA:AA,0))=0,"",INDEX(FPL_Raw_Data!P:P,MATCH(A253,FPL_Raw_Data!AA:AA,0))/INDEX(FPL_Raw_Data!K:K,MATCH(A253,FPL_Raw_Data!AA:AA,0))*90)</f>
        <v/>
      </c>
      <c r="AW253" s="2">
        <f t="shared" si="97"/>
        <v>0</v>
      </c>
      <c r="AX253" s="2">
        <f>IFERROR(INDEX(TEAM_ANALYSIS!$H$2:$H$21,MATCH($B253,TEAM_ANALYSIS!$A$2:$A$21,0)),0)</f>
        <v>2.6666666666666665</v>
      </c>
      <c r="AY253" s="2">
        <f t="shared" si="98"/>
        <v>0</v>
      </c>
      <c r="AZ253" s="2">
        <f t="shared" si="99"/>
        <v>0</v>
      </c>
      <c r="BA253">
        <f t="shared" si="100"/>
        <v>0</v>
      </c>
      <c r="BB253">
        <f>IFERROR(Player_Analysis!$Y253,1)</f>
        <v>0.8321125967628431</v>
      </c>
      <c r="BC253">
        <f t="shared" si="101"/>
        <v>0</v>
      </c>
      <c r="BD253">
        <f t="shared" si="102"/>
        <v>0</v>
      </c>
      <c r="BE253">
        <f t="shared" si="103"/>
        <v>0</v>
      </c>
      <c r="BF253">
        <f t="shared" si="104"/>
        <v>253</v>
      </c>
      <c r="BG253">
        <f>IF($BE253="","",COUNTIFS($C$2:$C$596,$C253,$BE$2:$BE$596,"&gt;"&amp;$BE253)+COUNTIFS($C$2:$C253,$C253,$BE$2:$BE253,$BE253))</f>
        <v>35</v>
      </c>
    </row>
    <row r="254" spans="1:59" x14ac:dyDescent="0.25">
      <c r="A254" t="str">
        <f>Player_Analysis!A254</f>
        <v>Takehiro Tomiyasu</v>
      </c>
      <c r="B254">
        <f>Player_Analysis!C254</f>
        <v>8</v>
      </c>
      <c r="C254" t="str">
        <f>Player_Analysis!B254</f>
        <v>DEF</v>
      </c>
      <c r="D254" s="13">
        <f>Player_Analysis!E254</f>
        <v>4.5</v>
      </c>
      <c r="E254">
        <f>Player_Analysis!I254</f>
        <v>91</v>
      </c>
      <c r="F254" s="8">
        <f>Player_Analysis!Z254</f>
        <v>1</v>
      </c>
      <c r="G254" s="17">
        <f t="shared" si="79"/>
        <v>0.98901098901098905</v>
      </c>
      <c r="H254">
        <f t="shared" si="80"/>
        <v>89.010989010989022</v>
      </c>
      <c r="I254" s="8">
        <f>Player_Analysis!AF254</f>
        <v>0</v>
      </c>
      <c r="J254" s="8">
        <f>Player_Analysis!AG254</f>
        <v>0</v>
      </c>
      <c r="K254">
        <f>Player_Analysis!O254</f>
        <v>0</v>
      </c>
      <c r="L254">
        <f>Player_Analysis!P254</f>
        <v>0.01</v>
      </c>
      <c r="M254">
        <f t="shared" si="81"/>
        <v>0</v>
      </c>
      <c r="N254">
        <f t="shared" si="82"/>
        <v>9.8901098901098897E-3</v>
      </c>
      <c r="O254" s="2">
        <f>IF(E254=0,"",Player_Analysis!L254/E254*90)</f>
        <v>1.9780219780219781</v>
      </c>
      <c r="P254">
        <f>IF(E254=0,"",Player_Analysis!Q254/E254*90)</f>
        <v>9.8901098901098897E-3</v>
      </c>
      <c r="Q254">
        <f>IF(E254=0,"",(Player_Analysis!AD254/E254)*90)</f>
        <v>0</v>
      </c>
      <c r="R254">
        <f>IF(E254=0,"",Player_Analysis!AA254/E254*90)</f>
        <v>8.9010989010989015</v>
      </c>
      <c r="S254">
        <f t="array" ref="S254">IFERROR(INDEX('2023_24'!$O:$O,MATCH($A254,'2023_24'!$A:$A,0)),"")</f>
        <v>0.13736842105263158</v>
      </c>
      <c r="T254" t="str">
        <f>IFERROR(INDEX('2024_25'!$P:$P,MATCH($A254,'2024_25'!$A:$A,0)),"")</f>
        <v/>
      </c>
      <c r="U254" t="str">
        <f>IFERROR(INDEX('2025_26'!$P:$P,MATCH($A254,'2025_26'!$A:$A,0)),"")</f>
        <v/>
      </c>
      <c r="V254">
        <f>IFERROR(INDEX('2023_24'!$P:$P,MATCH($A254,'2023_24'!$A:$A,0)),"")</f>
        <v>5.3684210526315793E-2</v>
      </c>
      <c r="W254" t="str">
        <f>IFERROR(INDEX('2024_25'!$Q:$Q,MATCH($A254,'2024_25'!$A:$A,0)),"")</f>
        <v/>
      </c>
      <c r="X254" t="str">
        <f>IFERROR(INDEX('2025_26'!$Q:$Q,MATCH($A254,'2025_26'!$A:$A,0)),"")</f>
        <v/>
      </c>
      <c r="Y254">
        <f>IFERROR(INDEX('2023_24'!$M:$M,MATCH($A254,'2023_24'!$A:$A,0))/INDEX('2023_24'!$G:$G,MATCH($A254,'2023_24'!$A:$A,0))*90,"")</f>
        <v>5.5263157894736841</v>
      </c>
      <c r="Z254" t="str">
        <f>IFERROR(INDEX('2024_25'!$M:$M,MATCH($A254,'2024_25'!$A:$A,0))/INDEX('2024_25'!$G:$G,MATCH($A254,'2024_25'!$A:$A,0))*90,"")</f>
        <v/>
      </c>
      <c r="AA254" t="str">
        <f>IFERROR(INDEX('2025_26'!$M:$M,MATCH($A254,'2025_26'!$A:$A,0))/INDEX('2025_26'!$G:$G,MATCH($A254,'2025_26'!$A:$A,0))*90,"")</f>
        <v/>
      </c>
      <c r="AB254">
        <f>IFERROR(SUMPRODUCT(S254:U254,{0.2,0.3,0.5})/SUMPRODUCT(--(S254:U254&lt;&gt;""),{0.2,0.3,0.5}),"")</f>
        <v>0.13736842105263158</v>
      </c>
      <c r="AC254">
        <f>IFERROR(SUMPRODUCT(V254:X254,{0.2,0.3,0.5})/SUMPRODUCT(--(V254:X254&lt;&gt;""),{0.2,0.3,0.5}),"")</f>
        <v>5.3684210526315793E-2</v>
      </c>
      <c r="AD254">
        <f>IFERROR(SUMPRODUCT(Y254:AA254,{0.2,0.3,0.5})/SUMPRODUCT((Y254:AA254&lt;&gt;"")*{0.2,0.3,0.5}),O254)</f>
        <v>5.5263157894736841</v>
      </c>
      <c r="AE254">
        <f t="shared" si="83"/>
        <v>1</v>
      </c>
      <c r="AF254">
        <f t="shared" si="84"/>
        <v>91</v>
      </c>
      <c r="AG254">
        <f t="shared" si="85"/>
        <v>9.5700000000000007E-2</v>
      </c>
      <c r="AH254">
        <f t="shared" si="86"/>
        <v>4.0400000000000005E-2</v>
      </c>
      <c r="AI254" s="2">
        <f t="shared" si="87"/>
        <v>4.4499999999999993</v>
      </c>
      <c r="AJ254">
        <f t="shared" si="88"/>
        <v>0.30333333333333334</v>
      </c>
      <c r="AK254" t="str">
        <f t="shared" si="89"/>
        <v>NO</v>
      </c>
      <c r="AL254">
        <f t="shared" si="90"/>
        <v>9.464835164835167E-2</v>
      </c>
      <c r="AM254">
        <f t="shared" si="91"/>
        <v>3.9956043956043963E-2</v>
      </c>
      <c r="AN254">
        <f t="shared" si="92"/>
        <v>9.464835164835167E-2</v>
      </c>
      <c r="AO254">
        <f t="shared" si="93"/>
        <v>3.9956043956043963E-2</v>
      </c>
      <c r="AP254">
        <f t="array" ref="AP254">AL254*IF($C254="GKP",10,IF($C254="DEF",6,IF($C254="MID",5,4)))</f>
        <v>0.56789010989011002</v>
      </c>
      <c r="AQ254">
        <f t="shared" si="94"/>
        <v>0.11986813186813189</v>
      </c>
      <c r="AR254">
        <f t="shared" si="95"/>
        <v>1.9780219780219781</v>
      </c>
      <c r="AS254" s="2">
        <f>IF($H254=0,0,Player_Analysis!$AM254*$H254/90)</f>
        <v>0</v>
      </c>
      <c r="AT254">
        <f t="shared" si="96"/>
        <v>1.7606569254920905</v>
      </c>
      <c r="AU254" s="2">
        <f>0</f>
        <v>0</v>
      </c>
      <c r="AV254" s="2">
        <f>IF(INDEX(FPL_Raw_Data!K:K,MATCH(A254,FPL_Raw_Data!AA:AA,0))=0,"",INDEX(FPL_Raw_Data!P:P,MATCH(A254,FPL_Raw_Data!AA:AA,0))/INDEX(FPL_Raw_Data!K:K,MATCH(A254,FPL_Raw_Data!AA:AA,0))*90)</f>
        <v>0</v>
      </c>
      <c r="AW254" s="2">
        <f t="shared" si="97"/>
        <v>0</v>
      </c>
      <c r="AX254" s="2">
        <f>IFERROR(INDEX(TEAM_ANALYSIS!$H$2:$H$21,MATCH($B254,TEAM_ANALYSIS!$A$2:$A$21,0)),0)</f>
        <v>2.6666666666666665</v>
      </c>
      <c r="AY254" s="2">
        <f t="shared" si="98"/>
        <v>-1.3333333333333333</v>
      </c>
      <c r="AZ254" s="2">
        <f t="shared" si="99"/>
        <v>3.0931038119389775</v>
      </c>
      <c r="BA254">
        <f t="shared" si="100"/>
        <v>0.68735640265310616</v>
      </c>
      <c r="BB254">
        <f>IFERROR(Player_Analysis!$Y254,1)</f>
        <v>0.8321125967628431</v>
      </c>
      <c r="BC254">
        <f t="shared" si="101"/>
        <v>2.5738106450095914</v>
      </c>
      <c r="BD254">
        <f t="shared" si="102"/>
        <v>1.7691252260640635</v>
      </c>
      <c r="BE254">
        <f t="shared" si="103"/>
        <v>2.5738106450095914</v>
      </c>
      <c r="BF254">
        <f t="shared" si="104"/>
        <v>221</v>
      </c>
      <c r="BG254">
        <f>IF($BE254="","",COUNTIFS($C$2:$C$596,$C254,$BE$2:$BE$596,"&gt;"&amp;$BE254)+COUNTIFS($C$2:$C254,$C254,$BE$2:$BE254,$BE254))</f>
        <v>72</v>
      </c>
    </row>
    <row r="255" spans="1:59" x14ac:dyDescent="0.25">
      <c r="A255" t="str">
        <f>Player_Analysis!A255</f>
        <v>Anan Khalaili</v>
      </c>
      <c r="B255">
        <f>Player_Analysis!C255</f>
        <v>8</v>
      </c>
      <c r="C255" t="str">
        <f>Player_Analysis!B255</f>
        <v>DEF</v>
      </c>
      <c r="D255" s="13">
        <f>Player_Analysis!E255</f>
        <v>5</v>
      </c>
      <c r="E255">
        <f>Player_Analysis!I255</f>
        <v>199</v>
      </c>
      <c r="F255" s="8">
        <f>Player_Analysis!Z255</f>
        <v>2</v>
      </c>
      <c r="G255" s="17">
        <f t="shared" si="79"/>
        <v>0.90452261306532655</v>
      </c>
      <c r="H255">
        <f t="shared" si="80"/>
        <v>81.407035175879386</v>
      </c>
      <c r="I255" s="8">
        <f>Player_Analysis!AF255</f>
        <v>0</v>
      </c>
      <c r="J255" s="8">
        <f>Player_Analysis!AG255</f>
        <v>0</v>
      </c>
      <c r="K255">
        <f>Player_Analysis!O255</f>
        <v>0.74</v>
      </c>
      <c r="L255">
        <f>Player_Analysis!P255</f>
        <v>0.17</v>
      </c>
      <c r="M255">
        <f t="shared" si="81"/>
        <v>0.33467336683417087</v>
      </c>
      <c r="N255">
        <f t="shared" si="82"/>
        <v>7.6884422110552769E-2</v>
      </c>
      <c r="O255" s="2">
        <f>IF(E255=0,"",Player_Analysis!L255/E255*90)</f>
        <v>2.7135678391959797</v>
      </c>
      <c r="P255">
        <f>IF(E255=0,"",Player_Analysis!Q255/E255*90)</f>
        <v>0.41155778894472361</v>
      </c>
      <c r="Q255">
        <f>IF(E255=0,"",(Player_Analysis!AD255/E255)*90)</f>
        <v>12.211055276381909</v>
      </c>
      <c r="R255">
        <f>IF(E255=0,"",Player_Analysis!AA255/E255*90)</f>
        <v>14.924623115577889</v>
      </c>
      <c r="S255" t="str">
        <f t="array" ref="S255">IFERROR(INDEX('2023_24'!$O:$O,MATCH($A255,'2023_24'!$A:$A,0)),"")</f>
        <v/>
      </c>
      <c r="T255" t="str">
        <f>IFERROR(INDEX('2024_25'!$P:$P,MATCH($A255,'2024_25'!$A:$A,0)),"")</f>
        <v/>
      </c>
      <c r="U255" t="str">
        <f>IFERROR(INDEX('2025_26'!$P:$P,MATCH($A255,'2025_26'!$A:$A,0)),"")</f>
        <v/>
      </c>
      <c r="V255" t="str">
        <f>IFERROR(INDEX('2023_24'!$P:$P,MATCH($A255,'2023_24'!$A:$A,0)),"")</f>
        <v/>
      </c>
      <c r="W255" t="str">
        <f>IFERROR(INDEX('2024_25'!$Q:$Q,MATCH($A255,'2024_25'!$A:$A,0)),"")</f>
        <v/>
      </c>
      <c r="X255" t="str">
        <f>IFERROR(INDEX('2025_26'!$Q:$Q,MATCH($A255,'2025_26'!$A:$A,0)),"")</f>
        <v/>
      </c>
      <c r="Y255" t="str">
        <f>IFERROR(INDEX('2023_24'!$M:$M,MATCH($A255,'2023_24'!$A:$A,0))/INDEX('2023_24'!$G:$G,MATCH($A255,'2023_24'!$A:$A,0))*90,"")</f>
        <v/>
      </c>
      <c r="Z255" t="str">
        <f>IFERROR(INDEX('2024_25'!$M:$M,MATCH($A255,'2024_25'!$A:$A,0))/INDEX('2024_25'!$G:$G,MATCH($A255,'2024_25'!$A:$A,0))*90,"")</f>
        <v/>
      </c>
      <c r="AA255" t="str">
        <f>IFERROR(INDEX('2025_26'!$M:$M,MATCH($A255,'2025_26'!$A:$A,0))/INDEX('2025_26'!$G:$G,MATCH($A255,'2025_26'!$A:$A,0))*90,"")</f>
        <v/>
      </c>
      <c r="AB255" t="str">
        <f>IFERROR(SUMPRODUCT(S255:U255,{0.2,0.3,0.5})/SUMPRODUCT(--(S255:U255&lt;&gt;""),{0.2,0.3,0.5}),"")</f>
        <v/>
      </c>
      <c r="AC255" t="str">
        <f>IFERROR(SUMPRODUCT(V255:X255,{0.2,0.3,0.5})/SUMPRODUCT(--(V255:X255&lt;&gt;""),{0.2,0.3,0.5}),"")</f>
        <v/>
      </c>
      <c r="AD255">
        <f>IFERROR(SUMPRODUCT(Y255:AA255,{0.2,0.3,0.5})/SUMPRODUCT((Y255:AA255&lt;&gt;"")*{0.2,0.3,0.5}),O255)</f>
        <v>2.7135678391959797</v>
      </c>
      <c r="AE255">
        <f t="shared" si="83"/>
        <v>0</v>
      </c>
      <c r="AF255">
        <f t="shared" si="84"/>
        <v>99.5</v>
      </c>
      <c r="AG255">
        <f t="shared" si="85"/>
        <v>0.33467336683417087</v>
      </c>
      <c r="AH255">
        <f t="shared" si="86"/>
        <v>7.6884422110552769E-2</v>
      </c>
      <c r="AI255" s="2">
        <f t="shared" si="87"/>
        <v>2.7135678391959797</v>
      </c>
      <c r="AJ255">
        <f t="shared" si="88"/>
        <v>0.66333333333333333</v>
      </c>
      <c r="AK255" t="str">
        <f t="shared" si="89"/>
        <v>YES</v>
      </c>
      <c r="AL255">
        <f t="shared" si="90"/>
        <v>0.30271962829221483</v>
      </c>
      <c r="AM255">
        <f t="shared" si="91"/>
        <v>6.9543698391454759E-2</v>
      </c>
      <c r="AN255">
        <f t="shared" si="92"/>
        <v>0.30271962829221483</v>
      </c>
      <c r="AO255">
        <f t="shared" si="93"/>
        <v>6.9543698391454759E-2</v>
      </c>
      <c r="AP255">
        <f t="array" ref="AP255">AL255*IF($C255="GKP",10,IF($C255="DEF",6,IF($C255="MID",5,4)))</f>
        <v>1.8163177697532888</v>
      </c>
      <c r="AQ255">
        <f t="shared" si="94"/>
        <v>0.20863109517436429</v>
      </c>
      <c r="AR255">
        <f t="shared" si="95"/>
        <v>1.8090452261306531</v>
      </c>
      <c r="AS255" s="2">
        <f>IF($H255=0,0,Player_Analysis!$AM255*$H255/90)</f>
        <v>0</v>
      </c>
      <c r="AT255">
        <f t="shared" si="96"/>
        <v>2.6999318199035374</v>
      </c>
      <c r="AU255" s="2">
        <f>0</f>
        <v>0</v>
      </c>
      <c r="AV255" s="2">
        <f>IF(INDEX(FPL_Raw_Data!K:K,MATCH(A255,FPL_Raw_Data!AA:AA,0))=0,"",INDEX(FPL_Raw_Data!P:P,MATCH(A255,FPL_Raw_Data!AA:AA,0))/INDEX(FPL_Raw_Data!K:K,MATCH(A255,FPL_Raw_Data!AA:AA,0))*90)</f>
        <v>0</v>
      </c>
      <c r="AW255" s="2">
        <f t="shared" si="97"/>
        <v>0</v>
      </c>
      <c r="AX255" s="2">
        <f>IFERROR(INDEX(TEAM_ANALYSIS!$H$2:$H$21,MATCH($B255,TEAM_ANALYSIS!$A$2:$A$21,0)),0)</f>
        <v>2.6666666666666665</v>
      </c>
      <c r="AY255" s="2">
        <f t="shared" si="98"/>
        <v>-1.3333333333333333</v>
      </c>
      <c r="AZ255" s="2">
        <f t="shared" si="99"/>
        <v>5.2005925776285107</v>
      </c>
      <c r="BA255">
        <f t="shared" si="100"/>
        <v>1.0401185155257022</v>
      </c>
      <c r="BB255">
        <f>IFERROR(Player_Analysis!$Y255,1)</f>
        <v>0.8321125967628431</v>
      </c>
      <c r="BC255">
        <f t="shared" si="101"/>
        <v>4.3274785944760277</v>
      </c>
      <c r="BD255">
        <f t="shared" si="102"/>
        <v>4.5010906116556582</v>
      </c>
      <c r="BE255">
        <f t="shared" si="103"/>
        <v>4.3274785944760277</v>
      </c>
      <c r="BF255">
        <f t="shared" si="104"/>
        <v>135</v>
      </c>
      <c r="BG255">
        <f>IF($BE255="","",COUNTIFS($C$2:$C$596,$C255,$BE$2:$BE$596,"&gt;"&amp;$BE255)+COUNTIFS($C$2:$C255,$C255,$BE$2:$BE255,$BE255))</f>
        <v>46</v>
      </c>
    </row>
    <row r="256" spans="1:59" x14ac:dyDescent="0.25">
      <c r="A256" t="str">
        <f>Player_Analysis!A256</f>
        <v>Zavier Gozo</v>
      </c>
      <c r="B256">
        <f>Player_Analysis!C256</f>
        <v>8</v>
      </c>
      <c r="C256" t="str">
        <f>Player_Analysis!B256</f>
        <v>MID</v>
      </c>
      <c r="D256" s="13">
        <f>Player_Analysis!E256</f>
        <v>5</v>
      </c>
      <c r="E256">
        <f>Player_Analysis!I256</f>
        <v>22</v>
      </c>
      <c r="F256" s="8">
        <f>Player_Analysis!Z256</f>
        <v>0</v>
      </c>
      <c r="G256" s="17">
        <f t="shared" si="79"/>
        <v>0</v>
      </c>
      <c r="H256">
        <f t="shared" si="80"/>
        <v>0</v>
      </c>
      <c r="I256" s="8">
        <f>Player_Analysis!AF256</f>
        <v>0</v>
      </c>
      <c r="J256" s="8">
        <f>Player_Analysis!AG256</f>
        <v>0</v>
      </c>
      <c r="K256">
        <f>Player_Analysis!O256</f>
        <v>0</v>
      </c>
      <c r="L256">
        <f>Player_Analysis!P256</f>
        <v>0</v>
      </c>
      <c r="M256">
        <f t="shared" si="81"/>
        <v>0</v>
      </c>
      <c r="N256">
        <f t="shared" si="82"/>
        <v>0</v>
      </c>
      <c r="O256" s="2">
        <f>IF(E256=0,"",Player_Analysis!L256/E256*90)</f>
        <v>4.0909090909090908</v>
      </c>
      <c r="P256">
        <f>IF(E256=0,"",Player_Analysis!Q256/E256*90)</f>
        <v>0</v>
      </c>
      <c r="Q256">
        <f>IF(E256=0,"",(Player_Analysis!AD256/E256)*90)</f>
        <v>12.272727272727272</v>
      </c>
      <c r="R256">
        <f>IF(E256=0,"",Player_Analysis!AA256/E256*90)</f>
        <v>4.0909090909090908</v>
      </c>
      <c r="S256" t="str">
        <f t="array" ref="S256">IFERROR(INDEX('2023_24'!$O:$O,MATCH($A256,'2023_24'!$A:$A,0)),"")</f>
        <v/>
      </c>
      <c r="T256" t="str">
        <f>IFERROR(INDEX('2024_25'!$P:$P,MATCH($A256,'2024_25'!$A:$A,0)),"")</f>
        <v/>
      </c>
      <c r="U256" t="str">
        <f>IFERROR(INDEX('2025_26'!$P:$P,MATCH($A256,'2025_26'!$A:$A,0)),"")</f>
        <v/>
      </c>
      <c r="V256" t="str">
        <f>IFERROR(INDEX('2023_24'!$P:$P,MATCH($A256,'2023_24'!$A:$A,0)),"")</f>
        <v/>
      </c>
      <c r="W256" t="str">
        <f>IFERROR(INDEX('2024_25'!$Q:$Q,MATCH($A256,'2024_25'!$A:$A,0)),"")</f>
        <v/>
      </c>
      <c r="X256" t="str">
        <f>IFERROR(INDEX('2025_26'!$Q:$Q,MATCH($A256,'2025_26'!$A:$A,0)),"")</f>
        <v/>
      </c>
      <c r="Y256" t="str">
        <f>IFERROR(INDEX('2023_24'!$M:$M,MATCH($A256,'2023_24'!$A:$A,0))/INDEX('2023_24'!$G:$G,MATCH($A256,'2023_24'!$A:$A,0))*90,"")</f>
        <v/>
      </c>
      <c r="Z256" t="str">
        <f>IFERROR(INDEX('2024_25'!$M:$M,MATCH($A256,'2024_25'!$A:$A,0))/INDEX('2024_25'!$G:$G,MATCH($A256,'2024_25'!$A:$A,0))*90,"")</f>
        <v/>
      </c>
      <c r="AA256" t="str">
        <f>IFERROR(INDEX('2025_26'!$M:$M,MATCH($A256,'2025_26'!$A:$A,0))/INDEX('2025_26'!$G:$G,MATCH($A256,'2025_26'!$A:$A,0))*90,"")</f>
        <v/>
      </c>
      <c r="AB256" t="str">
        <f>IFERROR(SUMPRODUCT(S256:U256,{0.2,0.3,0.5})/SUMPRODUCT(--(S256:U256&lt;&gt;""),{0.2,0.3,0.5}),"")</f>
        <v/>
      </c>
      <c r="AC256" t="str">
        <f>IFERROR(SUMPRODUCT(V256:X256,{0.2,0.3,0.5})/SUMPRODUCT(--(V256:X256&lt;&gt;""),{0.2,0.3,0.5}),"")</f>
        <v/>
      </c>
      <c r="AD256">
        <f>IFERROR(SUMPRODUCT(Y256:AA256,{0.2,0.3,0.5})/SUMPRODUCT((Y256:AA256&lt;&gt;"")*{0.2,0.3,0.5}),O256)</f>
        <v>4.0909090909090908</v>
      </c>
      <c r="AE256">
        <f t="shared" si="83"/>
        <v>0</v>
      </c>
      <c r="AF256" t="str">
        <f t="shared" si="84"/>
        <v/>
      </c>
      <c r="AG256">
        <f t="shared" si="85"/>
        <v>0</v>
      </c>
      <c r="AH256">
        <f t="shared" si="86"/>
        <v>0</v>
      </c>
      <c r="AI256" s="2">
        <f t="shared" si="87"/>
        <v>4.0909090909090908</v>
      </c>
      <c r="AJ256">
        <f t="shared" si="88"/>
        <v>7.3333333333333334E-2</v>
      </c>
      <c r="AK256" t="str">
        <f t="shared" si="89"/>
        <v>YES</v>
      </c>
      <c r="AL256">
        <f t="shared" si="90"/>
        <v>0</v>
      </c>
      <c r="AM256">
        <f t="shared" si="91"/>
        <v>0</v>
      </c>
      <c r="AN256">
        <f t="shared" si="92"/>
        <v>0</v>
      </c>
      <c r="AO256">
        <f t="shared" si="93"/>
        <v>0</v>
      </c>
      <c r="AP256">
        <f t="array" ref="AP256">AL256*IF($C256="GKP",10,IF($C256="DEF",6,IF($C256="MID",5,4)))</f>
        <v>0</v>
      </c>
      <c r="AQ256">
        <f t="shared" si="94"/>
        <v>0</v>
      </c>
      <c r="AR256">
        <f t="shared" si="95"/>
        <v>0</v>
      </c>
      <c r="AS256" s="2">
        <f>IF($H256=0,0,Player_Analysis!$AM256*$H256/90)</f>
        <v>0</v>
      </c>
      <c r="AT256">
        <f t="shared" si="96"/>
        <v>0</v>
      </c>
      <c r="AU256" s="2">
        <f>0</f>
        <v>0</v>
      </c>
      <c r="AV256" s="2">
        <f>IF(INDEX(FPL_Raw_Data!K:K,MATCH(A256,FPL_Raw_Data!AA:AA,0))=0,"",INDEX(FPL_Raw_Data!P:P,MATCH(A256,FPL_Raw_Data!AA:AA,0))/INDEX(FPL_Raw_Data!K:K,MATCH(A256,FPL_Raw_Data!AA:AA,0))*90)</f>
        <v>0</v>
      </c>
      <c r="AW256" s="2">
        <f t="shared" si="97"/>
        <v>0</v>
      </c>
      <c r="AX256" s="2">
        <f>IFERROR(INDEX(TEAM_ANALYSIS!$H$2:$H$21,MATCH($B256,TEAM_ANALYSIS!$A$2:$A$21,0)),0)</f>
        <v>2.6666666666666665</v>
      </c>
      <c r="AY256" s="2">
        <f t="shared" si="98"/>
        <v>0</v>
      </c>
      <c r="AZ256" s="2">
        <f t="shared" si="99"/>
        <v>0</v>
      </c>
      <c r="BA256">
        <f t="shared" si="100"/>
        <v>0</v>
      </c>
      <c r="BB256">
        <f>IFERROR(Player_Analysis!$Y256,1)</f>
        <v>0.9782093425605537</v>
      </c>
      <c r="BC256">
        <f t="shared" si="101"/>
        <v>0</v>
      </c>
      <c r="BD256">
        <f t="shared" si="102"/>
        <v>0</v>
      </c>
      <c r="BE256">
        <f t="shared" si="103"/>
        <v>0</v>
      </c>
      <c r="BF256">
        <f t="shared" si="104"/>
        <v>253</v>
      </c>
      <c r="BG256">
        <f>IF($BE256="","",COUNTIFS($C$2:$C$596,$C256,$BE$2:$BE$596,"&gt;"&amp;$BE256)+COUNTIFS($C$2:$C256,$C256,$BE$2:$BE256,$BE256))</f>
        <v>178</v>
      </c>
    </row>
    <row r="257" spans="1:59" x14ac:dyDescent="0.25">
      <c r="A257" t="str">
        <f>Player_Analysis!A257</f>
        <v>Honest Ahanor</v>
      </c>
      <c r="B257">
        <f>Player_Analysis!C257</f>
        <v>8</v>
      </c>
      <c r="C257" t="str">
        <f>Player_Analysis!B257</f>
        <v>DEF</v>
      </c>
      <c r="D257" s="13">
        <f>Player_Analysis!E257</f>
        <v>4.5</v>
      </c>
      <c r="E257">
        <f>Player_Analysis!I257</f>
        <v>0</v>
      </c>
      <c r="F257" s="8">
        <f>Player_Analysis!Z257</f>
        <v>0</v>
      </c>
      <c r="G257" s="17">
        <f t="shared" si="79"/>
        <v>0</v>
      </c>
      <c r="H257">
        <f t="shared" si="80"/>
        <v>0</v>
      </c>
      <c r="I257" s="8">
        <f>Player_Analysis!AF257</f>
        <v>0</v>
      </c>
      <c r="J257" s="8">
        <f>Player_Analysis!AG257</f>
        <v>0</v>
      </c>
      <c r="K257">
        <f>Player_Analysis!O257</f>
        <v>0</v>
      </c>
      <c r="L257">
        <f>Player_Analysis!P257</f>
        <v>0</v>
      </c>
      <c r="M257" t="str">
        <f t="shared" si="81"/>
        <v/>
      </c>
      <c r="N257" t="str">
        <f t="shared" si="82"/>
        <v/>
      </c>
      <c r="O257" s="2" t="str">
        <f>IF(E257=0,"",Player_Analysis!L257/E257*90)</f>
        <v/>
      </c>
      <c r="P257" t="str">
        <f>IF(E257=0,"",Player_Analysis!Q257/E257*90)</f>
        <v/>
      </c>
      <c r="Q257" t="str">
        <f>IF(E257=0,"",(Player_Analysis!AD257/E257)*90)</f>
        <v/>
      </c>
      <c r="R257" t="str">
        <f>IF(E257=0,"",Player_Analysis!AA257/E257*90)</f>
        <v/>
      </c>
      <c r="S257" t="str">
        <f t="array" ref="S257">IFERROR(INDEX('2023_24'!$O:$O,MATCH($A257,'2023_24'!$A:$A,0)),"")</f>
        <v/>
      </c>
      <c r="T257" t="str">
        <f>IFERROR(INDEX('2024_25'!$P:$P,MATCH($A257,'2024_25'!$A:$A,0)),"")</f>
        <v/>
      </c>
      <c r="U257" t="str">
        <f>IFERROR(INDEX('2025_26'!$P:$P,MATCH($A257,'2025_26'!$A:$A,0)),"")</f>
        <v/>
      </c>
      <c r="V257" t="str">
        <f>IFERROR(INDEX('2023_24'!$P:$P,MATCH($A257,'2023_24'!$A:$A,0)),"")</f>
        <v/>
      </c>
      <c r="W257" t="str">
        <f>IFERROR(INDEX('2024_25'!$Q:$Q,MATCH($A257,'2024_25'!$A:$A,0)),"")</f>
        <v/>
      </c>
      <c r="X257" t="str">
        <f>IFERROR(INDEX('2025_26'!$Q:$Q,MATCH($A257,'2025_26'!$A:$A,0)),"")</f>
        <v/>
      </c>
      <c r="Y257" t="str">
        <f>IFERROR(INDEX('2023_24'!$M:$M,MATCH($A257,'2023_24'!$A:$A,0))/INDEX('2023_24'!$G:$G,MATCH($A257,'2023_24'!$A:$A,0))*90,"")</f>
        <v/>
      </c>
      <c r="Z257" t="str">
        <f>IFERROR(INDEX('2024_25'!$M:$M,MATCH($A257,'2024_25'!$A:$A,0))/INDEX('2024_25'!$G:$G,MATCH($A257,'2024_25'!$A:$A,0))*90,"")</f>
        <v/>
      </c>
      <c r="AA257" t="str">
        <f>IFERROR(INDEX('2025_26'!$M:$M,MATCH($A257,'2025_26'!$A:$A,0))/INDEX('2025_26'!$G:$G,MATCH($A257,'2025_26'!$A:$A,0))*90,"")</f>
        <v/>
      </c>
      <c r="AB257" t="str">
        <f>IFERROR(SUMPRODUCT(S257:U257,{0.2,0.3,0.5})/SUMPRODUCT(--(S257:U257&lt;&gt;""),{0.2,0.3,0.5}),"")</f>
        <v/>
      </c>
      <c r="AC257" t="str">
        <f>IFERROR(SUMPRODUCT(V257:X257,{0.2,0.3,0.5})/SUMPRODUCT(--(V257:X257&lt;&gt;""),{0.2,0.3,0.5}),"")</f>
        <v/>
      </c>
      <c r="AD257" t="str">
        <f>IFERROR(SUMPRODUCT(Y257:AA257,{0.2,0.3,0.5})/SUMPRODUCT((Y257:AA257&lt;&gt;"")*{0.2,0.3,0.5}),O257)</f>
        <v/>
      </c>
      <c r="AE257">
        <f t="shared" si="83"/>
        <v>0</v>
      </c>
      <c r="AF257" t="str">
        <f t="shared" si="84"/>
        <v/>
      </c>
      <c r="AG257">
        <f t="shared" si="85"/>
        <v>0</v>
      </c>
      <c r="AH257">
        <f t="shared" si="86"/>
        <v>0</v>
      </c>
      <c r="AI257" s="2">
        <f t="shared" si="87"/>
        <v>0</v>
      </c>
      <c r="AJ257">
        <f t="shared" si="88"/>
        <v>0</v>
      </c>
      <c r="AK257" t="str">
        <f t="shared" si="89"/>
        <v>YES</v>
      </c>
      <c r="AL257">
        <f t="shared" si="90"/>
        <v>0</v>
      </c>
      <c r="AM257">
        <f t="shared" si="91"/>
        <v>0</v>
      </c>
      <c r="AN257">
        <f t="shared" si="92"/>
        <v>0</v>
      </c>
      <c r="AO257">
        <f t="shared" si="93"/>
        <v>0</v>
      </c>
      <c r="AP257">
        <f t="array" ref="AP257">AL257*IF($C257="GKP",10,IF($C257="DEF",6,IF($C257="MID",5,4)))</f>
        <v>0</v>
      </c>
      <c r="AQ257">
        <f t="shared" si="94"/>
        <v>0</v>
      </c>
      <c r="AR257">
        <f t="shared" si="95"/>
        <v>0</v>
      </c>
      <c r="AS257" s="2">
        <f>IF($H257=0,0,Player_Analysis!$AM257*$H257/90)</f>
        <v>0</v>
      </c>
      <c r="AT257">
        <f t="shared" si="96"/>
        <v>0</v>
      </c>
      <c r="AU257" s="2">
        <f>0</f>
        <v>0</v>
      </c>
      <c r="AV257" s="2" t="str">
        <f>IF(INDEX(FPL_Raw_Data!K:K,MATCH(A257,FPL_Raw_Data!AA:AA,0))=0,"",INDEX(FPL_Raw_Data!P:P,MATCH(A257,FPL_Raw_Data!AA:AA,0))/INDEX(FPL_Raw_Data!K:K,MATCH(A257,FPL_Raw_Data!AA:AA,0))*90)</f>
        <v/>
      </c>
      <c r="AW257" s="2">
        <f t="shared" si="97"/>
        <v>0</v>
      </c>
      <c r="AX257" s="2">
        <f>IFERROR(INDEX(TEAM_ANALYSIS!$H$2:$H$21,MATCH($B257,TEAM_ANALYSIS!$A$2:$A$21,0)),0)</f>
        <v>2.6666666666666665</v>
      </c>
      <c r="AY257" s="2">
        <f t="shared" si="98"/>
        <v>-1.3333333333333333</v>
      </c>
      <c r="AZ257" s="2">
        <f t="shared" si="99"/>
        <v>-1.3333333333333333</v>
      </c>
      <c r="BA257">
        <f t="shared" si="100"/>
        <v>-0.29629629629629628</v>
      </c>
      <c r="BB257">
        <f>IFERROR(Player_Analysis!$Y257,1)</f>
        <v>0.8321125967628431</v>
      </c>
      <c r="BC257">
        <f t="shared" si="101"/>
        <v>-1.1094834623504575</v>
      </c>
      <c r="BD257">
        <f t="shared" si="102"/>
        <v>0.3287358406964318</v>
      </c>
      <c r="BE257">
        <f t="shared" si="103"/>
        <v>-1.1094834623504575</v>
      </c>
      <c r="BF257">
        <f t="shared" si="104"/>
        <v>591</v>
      </c>
      <c r="BG257">
        <f>IF($BE257="","",COUNTIFS($C$2:$C$596,$C257,$BE$2:$BE$596,"&gt;"&amp;$BE257)+COUNTIFS($C$2:$C257,$C257,$BE$2:$BE257,$BE257))</f>
        <v>191</v>
      </c>
    </row>
    <row r="258" spans="1:59" x14ac:dyDescent="0.25">
      <c r="A258" t="str">
        <f>Player_Analysis!A258</f>
        <v>Ben Chilwell</v>
      </c>
      <c r="B258">
        <f>Player_Analysis!C258</f>
        <v>8</v>
      </c>
      <c r="C258" t="str">
        <f>Player_Analysis!B258</f>
        <v>DEF</v>
      </c>
      <c r="D258" s="13">
        <f>Player_Analysis!E258</f>
        <v>4.5</v>
      </c>
      <c r="E258">
        <f>Player_Analysis!I258</f>
        <v>16</v>
      </c>
      <c r="F258" s="8">
        <f>Player_Analysis!Z258</f>
        <v>0</v>
      </c>
      <c r="G258" s="17">
        <f t="shared" ref="G258:G321" si="105">IF(E258=0,0,MIN(1,F258/(E258/90)))</f>
        <v>0</v>
      </c>
      <c r="H258">
        <f t="shared" ref="H258:H321" si="106">IF($E258=0,0,MIN(90,$G258*90))</f>
        <v>0</v>
      </c>
      <c r="I258" s="8">
        <f>Player_Analysis!AF258</f>
        <v>1</v>
      </c>
      <c r="J258" s="8">
        <f>Player_Analysis!AG258</f>
        <v>0</v>
      </c>
      <c r="K258">
        <f>Player_Analysis!O258</f>
        <v>0.15</v>
      </c>
      <c r="L258">
        <f>Player_Analysis!P258</f>
        <v>0</v>
      </c>
      <c r="M258">
        <f t="shared" ref="M258:M321" si="107">IF(E258=0,"",K258/E258*90)</f>
        <v>0.84375</v>
      </c>
      <c r="N258">
        <f t="shared" ref="N258:N321" si="108">IF(E258=0,"",L258/E258*90)</f>
        <v>0</v>
      </c>
      <c r="O258" s="2">
        <f>IF(E258=0,"",Player_Analysis!L258/E258*90)</f>
        <v>39.375</v>
      </c>
      <c r="P258">
        <f>IF(E258=0,"",Player_Analysis!Q258/E258*90)</f>
        <v>0.84375</v>
      </c>
      <c r="Q258">
        <f>IF(E258=0,"",(Player_Analysis!AD258/E258)*90)</f>
        <v>112.5</v>
      </c>
      <c r="R258">
        <f>IF(E258=0,"",Player_Analysis!AA258/E258*90)</f>
        <v>0</v>
      </c>
      <c r="S258">
        <f t="array" ref="S258">IFERROR(INDEX('2023_24'!$O:$O,MATCH($A258,'2023_24'!$A:$A,0)),"")</f>
        <v>0.13284574468085109</v>
      </c>
      <c r="T258">
        <f>IFERROR(INDEX('2024_25'!$P:$P,MATCH($A258,'2024_25'!$A:$A,0)),"")</f>
        <v>8.8582677165354326E-2</v>
      </c>
      <c r="U258" t="str">
        <f>IFERROR(INDEX('2025_26'!$P:$P,MATCH($A258,'2025_26'!$A:$A,0)),"")</f>
        <v/>
      </c>
      <c r="V258">
        <f>IFERROR(INDEX('2023_24'!$P:$P,MATCH($A258,'2023_24'!$A:$A,0)),"")</f>
        <v>0.19388297872340426</v>
      </c>
      <c r="W258">
        <f>IFERROR(INDEX('2024_25'!$Q:$Q,MATCH($A258,'2024_25'!$A:$A,0)),"")</f>
        <v>0.31181102362204727</v>
      </c>
      <c r="X258" t="str">
        <f>IFERROR(INDEX('2025_26'!$Q:$Q,MATCH($A258,'2025_26'!$A:$A,0)),"")</f>
        <v/>
      </c>
      <c r="Y258">
        <f>IFERROR(INDEX('2023_24'!$M:$M,MATCH($A258,'2023_24'!$A:$A,0))/INDEX('2023_24'!$G:$G,MATCH($A258,'2023_24'!$A:$A,0))*90,"")</f>
        <v>2.8723404255319145</v>
      </c>
      <c r="Z258">
        <f>IFERROR(INDEX('2024_25'!$M:$M,MATCH($A258,'2024_25'!$A:$A,0))/INDEX('2024_25'!$G:$G,MATCH($A258,'2024_25'!$A:$A,0))*90,"")</f>
        <v>4.606299212598425</v>
      </c>
      <c r="AA258" t="str">
        <f>IFERROR(INDEX('2025_26'!$M:$M,MATCH($A258,'2025_26'!$A:$A,0))/INDEX('2025_26'!$G:$G,MATCH($A258,'2025_26'!$A:$A,0))*90,"")</f>
        <v/>
      </c>
      <c r="AB258">
        <f>IFERROR(SUMPRODUCT(S258:U258,{0.2,0.3,0.5})/SUMPRODUCT(--(S258:U258&lt;&gt;""),{0.2,0.3,0.5}),"")</f>
        <v>0.10628790417155304</v>
      </c>
      <c r="AC258">
        <f>IFERROR(SUMPRODUCT(V258:X258,{0.2,0.3,0.5})/SUMPRODUCT(--(V258:X258&lt;&gt;""),{0.2,0.3,0.5}),"")</f>
        <v>0.26463980566259004</v>
      </c>
      <c r="AD258">
        <f>IFERROR(SUMPRODUCT(Y258:AA258,{0.2,0.3,0.5})/SUMPRODUCT((Y258:AA258&lt;&gt;"")*{0.2,0.3,0.5}),O258)</f>
        <v>3.9127156977718212</v>
      </c>
      <c r="AE258">
        <f t="shared" ref="AE258:AE321" si="109">COUNT(S258:U258)</f>
        <v>2</v>
      </c>
      <c r="AF258" t="str">
        <f t="shared" ref="AF258:AF321" si="110">IF(F258=0,"",E258/F258)</f>
        <v/>
      </c>
      <c r="AG258">
        <f t="shared" ref="AG258:AG321" si="111">IF(AND(M258="",AB258=""),0,IF(M258="",AB258,IF(AB258="",M258,M258*AJ258+AB258*(1-AJ258))))</f>
        <v>0.14561921594907021</v>
      </c>
      <c r="AH258">
        <f t="shared" ref="AH258:AH321" si="112">IF(AND(N258="",AC258=""),0,IF(N258="",AC258,IF(AC258="",N258,N258*AJ258+AC258*(1-AJ258))))</f>
        <v>0.25052568269391856</v>
      </c>
      <c r="AI258" s="2">
        <f t="shared" ref="AI258:AI321" si="113">IF(AND(O258="",AD258=""),0,IF(O258="",AD258,IF(AD258="",O258,O258*AJ258+AD258*(1-AJ258))))</f>
        <v>5.8040375272239908</v>
      </c>
      <c r="AJ258">
        <f t="shared" ref="AJ258:AJ321" si="114">IF($E258=0,0,MIN(0.9,$E258/300))</f>
        <v>5.3333333333333337E-2</v>
      </c>
      <c r="AK258" t="str">
        <f t="shared" ref="AK258:AK321" si="115">IF(AE258=0,"YES","NO")</f>
        <v>NO</v>
      </c>
      <c r="AL258">
        <f t="shared" ref="AL258:AL321" si="116">IF($H258=0,0,$AG258*$H258/90)</f>
        <v>0</v>
      </c>
      <c r="AM258">
        <f t="shared" ref="AM258:AM321" si="117">IF($H258=0,0,$AH258*$H258/90)</f>
        <v>0</v>
      </c>
      <c r="AN258">
        <f t="shared" ref="AN258:AN321" si="118">AL258</f>
        <v>0</v>
      </c>
      <c r="AO258">
        <f t="shared" ref="AO258:AO321" si="119">AM258</f>
        <v>0</v>
      </c>
      <c r="AP258">
        <f t="array" ref="AP258">AL258*IF($C258="GKP",10,IF($C258="DEF",6,IF($C258="MID",5,4)))</f>
        <v>0</v>
      </c>
      <c r="AQ258">
        <f t="shared" ref="AQ258:AQ321" si="120">AM258*3</f>
        <v>0</v>
      </c>
      <c r="AR258">
        <f t="shared" ref="AR258:AR321" si="121">$G258*2</f>
        <v>0</v>
      </c>
      <c r="AS258" s="2">
        <f>IF($H258=0,0,Player_Analysis!$AM258*$H258/90)</f>
        <v>0</v>
      </c>
      <c r="AT258">
        <f t="shared" ref="AT258:AT321" si="122">IF($H258=0,0,$R258*$H258/90*2/IF(OR($C258="GKP",$C258="DEF"),10,12))</f>
        <v>0</v>
      </c>
      <c r="AU258" s="2">
        <f>0</f>
        <v>0</v>
      </c>
      <c r="AV258" s="2">
        <f>IF(INDEX(FPL_Raw_Data!K:K,MATCH(A258,FPL_Raw_Data!AA:AA,0))=0,"",INDEX(FPL_Raw_Data!P:P,MATCH(A258,FPL_Raw_Data!AA:AA,0))/INDEX(FPL_Raw_Data!K:K,MATCH(A258,FPL_Raw_Data!AA:AA,0))*90)</f>
        <v>0</v>
      </c>
      <c r="AW258" s="2">
        <f t="shared" ref="AW258:AW321" si="123">IF(AV258="",0,AV258/3)</f>
        <v>0</v>
      </c>
      <c r="AX258" s="2">
        <f>IFERROR(INDEX(TEAM_ANALYSIS!$H$2:$H$21,MATCH($B258,TEAM_ANALYSIS!$A$2:$A$21,0)),0)</f>
        <v>2.6666666666666665</v>
      </c>
      <c r="AY258" s="2">
        <f t="shared" ref="AY258:AY321" si="124">IF(OR($C258="GKP",$C258="DEF"),-($AX258/2),0)</f>
        <v>-1.3333333333333333</v>
      </c>
      <c r="AZ258" s="2">
        <f t="shared" ref="AZ258:AZ321" si="125">SUM(AP258:AU258)+AW258+AY258</f>
        <v>-1.3333333333333333</v>
      </c>
      <c r="BA258">
        <f t="shared" ref="BA258:BA321" si="126">IF($D258=0,0,$AZ258/$D258)</f>
        <v>-0.29629629629629628</v>
      </c>
      <c r="BB258">
        <f>IFERROR(Player_Analysis!$Y258,1)</f>
        <v>0.8321125967628431</v>
      </c>
      <c r="BC258">
        <f t="shared" ref="BC258:BC321" si="127">BB258*AZ258</f>
        <v>-1.1094834623504575</v>
      </c>
      <c r="BD258">
        <f t="shared" ref="BD258:BD321" si="128">BA258*BC258</f>
        <v>0.3287358406964318</v>
      </c>
      <c r="BE258">
        <f t="shared" ref="BE258:BE321" si="129">BC258</f>
        <v>-1.1094834623504575</v>
      </c>
      <c r="BF258">
        <f t="shared" ref="BF258:BF321" si="130">IF($BE258="","",_xlfn.RANK.EQ($BE258,$BE$2:$BE$596,0))</f>
        <v>591</v>
      </c>
      <c r="BG258">
        <f>IF($BE258="","",COUNTIFS($C$2:$C$596,$C258,$BE$2:$BE$596,"&gt;"&amp;$BE258)+COUNTIFS($C$2:$C258,$C258,$BE$2:$BE258,$BE258))</f>
        <v>192</v>
      </c>
    </row>
    <row r="259" spans="1:59" x14ac:dyDescent="0.25">
      <c r="A259" t="str">
        <f>Player_Analysis!A259</f>
        <v>Quinten Timber</v>
      </c>
      <c r="B259">
        <f>Player_Analysis!C259</f>
        <v>8</v>
      </c>
      <c r="C259" t="str">
        <f>Player_Analysis!B259</f>
        <v>MID</v>
      </c>
      <c r="D259" s="13">
        <f>Player_Analysis!E259</f>
        <v>5</v>
      </c>
      <c r="E259">
        <f>Player_Analysis!I259</f>
        <v>73</v>
      </c>
      <c r="F259" s="8">
        <f>Player_Analysis!Z259</f>
        <v>1</v>
      </c>
      <c r="G259" s="17">
        <f t="shared" si="105"/>
        <v>1</v>
      </c>
      <c r="H259">
        <f t="shared" si="106"/>
        <v>90</v>
      </c>
      <c r="I259" s="8">
        <f>Player_Analysis!AF259</f>
        <v>0</v>
      </c>
      <c r="J259" s="8">
        <f>Player_Analysis!AG259</f>
        <v>0</v>
      </c>
      <c r="K259">
        <f>Player_Analysis!O259</f>
        <v>0.02</v>
      </c>
      <c r="L259">
        <f>Player_Analysis!P259</f>
        <v>0</v>
      </c>
      <c r="M259">
        <f t="shared" si="107"/>
        <v>2.4657534246575342E-2</v>
      </c>
      <c r="N259">
        <f t="shared" si="108"/>
        <v>0</v>
      </c>
      <c r="O259" s="2">
        <f>IF(E259=0,"",Player_Analysis!L259/E259*90)</f>
        <v>2.4657534246575343</v>
      </c>
      <c r="P259">
        <f>IF(E259=0,"",Player_Analysis!Q259/E259*90)</f>
        <v>2.4657534246575342E-2</v>
      </c>
      <c r="Q259">
        <f>IF(E259=0,"",(Player_Analysis!AD259/E259)*90)</f>
        <v>9.8630136986301373</v>
      </c>
      <c r="R259">
        <f>IF(E259=0,"",Player_Analysis!AA259/E259*90)</f>
        <v>7.3972602739726021</v>
      </c>
      <c r="S259" t="str">
        <f t="array" ref="S259">IFERROR(INDEX('2023_24'!$O:$O,MATCH($A259,'2023_24'!$A:$A,0)),"")</f>
        <v/>
      </c>
      <c r="T259" t="str">
        <f>IFERROR(INDEX('2024_25'!$P:$P,MATCH($A259,'2024_25'!$A:$A,0)),"")</f>
        <v/>
      </c>
      <c r="U259" t="str">
        <f>IFERROR(INDEX('2025_26'!$P:$P,MATCH($A259,'2025_26'!$A:$A,0)),"")</f>
        <v/>
      </c>
      <c r="V259" t="str">
        <f>IFERROR(INDEX('2023_24'!$P:$P,MATCH($A259,'2023_24'!$A:$A,0)),"")</f>
        <v/>
      </c>
      <c r="W259" t="str">
        <f>IFERROR(INDEX('2024_25'!$Q:$Q,MATCH($A259,'2024_25'!$A:$A,0)),"")</f>
        <v/>
      </c>
      <c r="X259" t="str">
        <f>IFERROR(INDEX('2025_26'!$Q:$Q,MATCH($A259,'2025_26'!$A:$A,0)),"")</f>
        <v/>
      </c>
      <c r="Y259" t="str">
        <f>IFERROR(INDEX('2023_24'!$M:$M,MATCH($A259,'2023_24'!$A:$A,0))/INDEX('2023_24'!$G:$G,MATCH($A259,'2023_24'!$A:$A,0))*90,"")</f>
        <v/>
      </c>
      <c r="Z259" t="str">
        <f>IFERROR(INDEX('2024_25'!$M:$M,MATCH($A259,'2024_25'!$A:$A,0))/INDEX('2024_25'!$G:$G,MATCH($A259,'2024_25'!$A:$A,0))*90,"")</f>
        <v/>
      </c>
      <c r="AA259" t="str">
        <f>IFERROR(INDEX('2025_26'!$M:$M,MATCH($A259,'2025_26'!$A:$A,0))/INDEX('2025_26'!$G:$G,MATCH($A259,'2025_26'!$A:$A,0))*90,"")</f>
        <v/>
      </c>
      <c r="AB259" t="str">
        <f>IFERROR(SUMPRODUCT(S259:U259,{0.2,0.3,0.5})/SUMPRODUCT(--(S259:U259&lt;&gt;""),{0.2,0.3,0.5}),"")</f>
        <v/>
      </c>
      <c r="AC259" t="str">
        <f>IFERROR(SUMPRODUCT(V259:X259,{0.2,0.3,0.5})/SUMPRODUCT(--(V259:X259&lt;&gt;""),{0.2,0.3,0.5}),"")</f>
        <v/>
      </c>
      <c r="AD259">
        <f>IFERROR(SUMPRODUCT(Y259:AA259,{0.2,0.3,0.5})/SUMPRODUCT((Y259:AA259&lt;&gt;"")*{0.2,0.3,0.5}),O259)</f>
        <v>2.4657534246575343</v>
      </c>
      <c r="AE259">
        <f t="shared" si="109"/>
        <v>0</v>
      </c>
      <c r="AF259">
        <f t="shared" si="110"/>
        <v>73</v>
      </c>
      <c r="AG259">
        <f t="shared" si="111"/>
        <v>2.4657534246575342E-2</v>
      </c>
      <c r="AH259">
        <f t="shared" si="112"/>
        <v>0</v>
      </c>
      <c r="AI259" s="2">
        <f t="shared" si="113"/>
        <v>2.4657534246575343</v>
      </c>
      <c r="AJ259">
        <f t="shared" si="114"/>
        <v>0.24333333333333335</v>
      </c>
      <c r="AK259" t="str">
        <f t="shared" si="115"/>
        <v>YES</v>
      </c>
      <c r="AL259">
        <f t="shared" si="116"/>
        <v>2.4657534246575342E-2</v>
      </c>
      <c r="AM259">
        <f t="shared" si="117"/>
        <v>0</v>
      </c>
      <c r="AN259">
        <f t="shared" si="118"/>
        <v>2.4657534246575342E-2</v>
      </c>
      <c r="AO259">
        <f t="shared" si="119"/>
        <v>0</v>
      </c>
      <c r="AP259">
        <f t="array" ref="AP259">AL259*IF($C259="GKP",10,IF($C259="DEF",6,IF($C259="MID",5,4)))</f>
        <v>0.12328767123287671</v>
      </c>
      <c r="AQ259">
        <f t="shared" si="120"/>
        <v>0</v>
      </c>
      <c r="AR259">
        <f t="shared" si="121"/>
        <v>2</v>
      </c>
      <c r="AS259" s="2">
        <f>IF($H259=0,0,Player_Analysis!$AM259*$H259/90)</f>
        <v>0</v>
      </c>
      <c r="AT259">
        <f t="shared" si="122"/>
        <v>1.2328767123287669</v>
      </c>
      <c r="AU259" s="2">
        <f>0</f>
        <v>0</v>
      </c>
      <c r="AV259" s="2">
        <f>IF(INDEX(FPL_Raw_Data!K:K,MATCH(A259,FPL_Raw_Data!AA:AA,0))=0,"",INDEX(FPL_Raw_Data!P:P,MATCH(A259,FPL_Raw_Data!AA:AA,0))/INDEX(FPL_Raw_Data!K:K,MATCH(A259,FPL_Raw_Data!AA:AA,0))*90)</f>
        <v>0</v>
      </c>
      <c r="AW259" s="2">
        <f t="shared" si="123"/>
        <v>0</v>
      </c>
      <c r="AX259" s="2">
        <f>IFERROR(INDEX(TEAM_ANALYSIS!$H$2:$H$21,MATCH($B259,TEAM_ANALYSIS!$A$2:$A$21,0)),0)</f>
        <v>2.6666666666666665</v>
      </c>
      <c r="AY259" s="2">
        <f t="shared" si="124"/>
        <v>0</v>
      </c>
      <c r="AZ259" s="2">
        <f t="shared" si="125"/>
        <v>3.3561643835616435</v>
      </c>
      <c r="BA259">
        <f t="shared" si="126"/>
        <v>0.67123287671232867</v>
      </c>
      <c r="BB259">
        <f>IFERROR(Player_Analysis!$Y259,1)</f>
        <v>0.9782093425605537</v>
      </c>
      <c r="BC259">
        <f t="shared" si="127"/>
        <v>3.2830313551689811</v>
      </c>
      <c r="BD259">
        <f t="shared" si="128"/>
        <v>2.2036785808668502</v>
      </c>
      <c r="BE259">
        <f t="shared" si="129"/>
        <v>3.2830313551689811</v>
      </c>
      <c r="BF259">
        <f t="shared" si="130"/>
        <v>187</v>
      </c>
      <c r="BG259">
        <f>IF($BE259="","",COUNTIFS($C$2:$C$596,$C259,$BE$2:$BE$596,"&gt;"&amp;$BE259)+COUNTIFS($C$2:$C259,$C259,$BE$2:$BE259,$BE259))</f>
        <v>97</v>
      </c>
    </row>
    <row r="260" spans="1:59" x14ac:dyDescent="0.25">
      <c r="A260" t="str">
        <f>Player_Analysis!A260</f>
        <v>Darío Osorio</v>
      </c>
      <c r="B260">
        <f>Player_Analysis!C260</f>
        <v>8</v>
      </c>
      <c r="C260" t="str">
        <f>Player_Analysis!B260</f>
        <v>MID</v>
      </c>
      <c r="D260" s="13">
        <f>Player_Analysis!E260</f>
        <v>5.5</v>
      </c>
      <c r="E260">
        <f>Player_Analysis!I260</f>
        <v>1</v>
      </c>
      <c r="F260" s="8">
        <f>Player_Analysis!Z260</f>
        <v>0</v>
      </c>
      <c r="G260" s="17">
        <f t="shared" si="105"/>
        <v>0</v>
      </c>
      <c r="H260">
        <f t="shared" si="106"/>
        <v>0</v>
      </c>
      <c r="I260" s="8">
        <f>Player_Analysis!AF260</f>
        <v>0</v>
      </c>
      <c r="J260" s="8">
        <f>Player_Analysis!AG260</f>
        <v>0</v>
      </c>
      <c r="K260">
        <f>Player_Analysis!O260</f>
        <v>0</v>
      </c>
      <c r="L260">
        <f>Player_Analysis!P260</f>
        <v>0</v>
      </c>
      <c r="M260">
        <f t="shared" si="107"/>
        <v>0</v>
      </c>
      <c r="N260">
        <f t="shared" si="108"/>
        <v>0</v>
      </c>
      <c r="O260" s="2">
        <f>IF(E260=0,"",Player_Analysis!L260/E260*90)</f>
        <v>90</v>
      </c>
      <c r="P260">
        <f>IF(E260=0,"",Player_Analysis!Q260/E260*90)</f>
        <v>0</v>
      </c>
      <c r="Q260">
        <f>IF(E260=0,"",(Player_Analysis!AD260/E260)*90)</f>
        <v>180</v>
      </c>
      <c r="R260">
        <f>IF(E260=0,"",Player_Analysis!AA260/E260*90)</f>
        <v>90</v>
      </c>
      <c r="S260" t="str">
        <f t="array" ref="S260">IFERROR(INDEX('2023_24'!$O:$O,MATCH($A260,'2023_24'!$A:$A,0)),"")</f>
        <v/>
      </c>
      <c r="T260" t="str">
        <f>IFERROR(INDEX('2024_25'!$P:$P,MATCH($A260,'2024_25'!$A:$A,0)),"")</f>
        <v/>
      </c>
      <c r="U260" t="str">
        <f>IFERROR(INDEX('2025_26'!$P:$P,MATCH($A260,'2025_26'!$A:$A,0)),"")</f>
        <v/>
      </c>
      <c r="V260" t="str">
        <f>IFERROR(INDEX('2023_24'!$P:$P,MATCH($A260,'2023_24'!$A:$A,0)),"")</f>
        <v/>
      </c>
      <c r="W260" t="str">
        <f>IFERROR(INDEX('2024_25'!$Q:$Q,MATCH($A260,'2024_25'!$A:$A,0)),"")</f>
        <v/>
      </c>
      <c r="X260" t="str">
        <f>IFERROR(INDEX('2025_26'!$Q:$Q,MATCH($A260,'2025_26'!$A:$A,0)),"")</f>
        <v/>
      </c>
      <c r="Y260" t="str">
        <f>IFERROR(INDEX('2023_24'!$M:$M,MATCH($A260,'2023_24'!$A:$A,0))/INDEX('2023_24'!$G:$G,MATCH($A260,'2023_24'!$A:$A,0))*90,"")</f>
        <v/>
      </c>
      <c r="Z260" t="str">
        <f>IFERROR(INDEX('2024_25'!$M:$M,MATCH($A260,'2024_25'!$A:$A,0))/INDEX('2024_25'!$G:$G,MATCH($A260,'2024_25'!$A:$A,0))*90,"")</f>
        <v/>
      </c>
      <c r="AA260" t="str">
        <f>IFERROR(INDEX('2025_26'!$M:$M,MATCH($A260,'2025_26'!$A:$A,0))/INDEX('2025_26'!$G:$G,MATCH($A260,'2025_26'!$A:$A,0))*90,"")</f>
        <v/>
      </c>
      <c r="AB260" t="str">
        <f>IFERROR(SUMPRODUCT(S260:U260,{0.2,0.3,0.5})/SUMPRODUCT(--(S260:U260&lt;&gt;""),{0.2,0.3,0.5}),"")</f>
        <v/>
      </c>
      <c r="AC260" t="str">
        <f>IFERROR(SUMPRODUCT(V260:X260,{0.2,0.3,0.5})/SUMPRODUCT(--(V260:X260&lt;&gt;""),{0.2,0.3,0.5}),"")</f>
        <v/>
      </c>
      <c r="AD260">
        <f>IFERROR(SUMPRODUCT(Y260:AA260,{0.2,0.3,0.5})/SUMPRODUCT((Y260:AA260&lt;&gt;"")*{0.2,0.3,0.5}),O260)</f>
        <v>90</v>
      </c>
      <c r="AE260">
        <f t="shared" si="109"/>
        <v>0</v>
      </c>
      <c r="AF260" t="str">
        <f t="shared" si="110"/>
        <v/>
      </c>
      <c r="AG260">
        <f t="shared" si="111"/>
        <v>0</v>
      </c>
      <c r="AH260">
        <f t="shared" si="112"/>
        <v>0</v>
      </c>
      <c r="AI260" s="2">
        <f t="shared" si="113"/>
        <v>90</v>
      </c>
      <c r="AJ260">
        <f t="shared" si="114"/>
        <v>3.3333333333333335E-3</v>
      </c>
      <c r="AK260" t="str">
        <f t="shared" si="115"/>
        <v>YES</v>
      </c>
      <c r="AL260">
        <f t="shared" si="116"/>
        <v>0</v>
      </c>
      <c r="AM260">
        <f t="shared" si="117"/>
        <v>0</v>
      </c>
      <c r="AN260">
        <f t="shared" si="118"/>
        <v>0</v>
      </c>
      <c r="AO260">
        <f t="shared" si="119"/>
        <v>0</v>
      </c>
      <c r="AP260">
        <f t="array" ref="AP260">AL260*IF($C260="GKP",10,IF($C260="DEF",6,IF($C260="MID",5,4)))</f>
        <v>0</v>
      </c>
      <c r="AQ260">
        <f t="shared" si="120"/>
        <v>0</v>
      </c>
      <c r="AR260">
        <f t="shared" si="121"/>
        <v>0</v>
      </c>
      <c r="AS260" s="2">
        <f>IF($H260=0,0,Player_Analysis!$AM260*$H260/90)</f>
        <v>0</v>
      </c>
      <c r="AT260">
        <f t="shared" si="122"/>
        <v>0</v>
      </c>
      <c r="AU260" s="2">
        <f>0</f>
        <v>0</v>
      </c>
      <c r="AV260" s="2">
        <f>IF(INDEX(FPL_Raw_Data!K:K,MATCH(A260,FPL_Raw_Data!AA:AA,0))=0,"",INDEX(FPL_Raw_Data!P:P,MATCH(A260,FPL_Raw_Data!AA:AA,0))/INDEX(FPL_Raw_Data!K:K,MATCH(A260,FPL_Raw_Data!AA:AA,0))*90)</f>
        <v>0</v>
      </c>
      <c r="AW260" s="2">
        <f t="shared" si="123"/>
        <v>0</v>
      </c>
      <c r="AX260" s="2">
        <f>IFERROR(INDEX(TEAM_ANALYSIS!$H$2:$H$21,MATCH($B260,TEAM_ANALYSIS!$A$2:$A$21,0)),0)</f>
        <v>2.6666666666666665</v>
      </c>
      <c r="AY260" s="2">
        <f t="shared" si="124"/>
        <v>0</v>
      </c>
      <c r="AZ260" s="2">
        <f t="shared" si="125"/>
        <v>0</v>
      </c>
      <c r="BA260">
        <f t="shared" si="126"/>
        <v>0</v>
      </c>
      <c r="BB260">
        <f>IFERROR(Player_Analysis!$Y260,1)</f>
        <v>0.9782093425605537</v>
      </c>
      <c r="BC260">
        <f t="shared" si="127"/>
        <v>0</v>
      </c>
      <c r="BD260">
        <f t="shared" si="128"/>
        <v>0</v>
      </c>
      <c r="BE260">
        <f t="shared" si="129"/>
        <v>0</v>
      </c>
      <c r="BF260">
        <f t="shared" si="130"/>
        <v>253</v>
      </c>
      <c r="BG260">
        <f>IF($BE260="","",COUNTIFS($C$2:$C$596,$C260,$BE$2:$BE$596,"&gt;"&amp;$BE260)+COUNTIFS($C$2:$C260,$C260,$BE$2:$BE260,$BE260))</f>
        <v>179</v>
      </c>
    </row>
    <row r="261" spans="1:59" x14ac:dyDescent="0.25">
      <c r="A261" t="str">
        <f>Player_Analysis!A261</f>
        <v>Christian Nørgaard</v>
      </c>
      <c r="B261">
        <f>Player_Analysis!C261</f>
        <v>9</v>
      </c>
      <c r="C261" t="str">
        <f>Player_Analysis!B261</f>
        <v>MID</v>
      </c>
      <c r="D261" s="13">
        <f>Player_Analysis!E261</f>
        <v>4.9000000000000004</v>
      </c>
      <c r="E261">
        <f>Player_Analysis!I261</f>
        <v>0</v>
      </c>
      <c r="F261" s="8">
        <f>Player_Analysis!Z261</f>
        <v>0</v>
      </c>
      <c r="G261" s="17">
        <f t="shared" si="105"/>
        <v>0</v>
      </c>
      <c r="H261">
        <f t="shared" si="106"/>
        <v>0</v>
      </c>
      <c r="I261" s="8">
        <f>Player_Analysis!AF261</f>
        <v>0</v>
      </c>
      <c r="J261" s="8">
        <f>Player_Analysis!AG261</f>
        <v>0</v>
      </c>
      <c r="K261">
        <f>Player_Analysis!O261</f>
        <v>0</v>
      </c>
      <c r="L261">
        <f>Player_Analysis!P261</f>
        <v>0</v>
      </c>
      <c r="M261" t="str">
        <f t="shared" si="107"/>
        <v/>
      </c>
      <c r="N261" t="str">
        <f t="shared" si="108"/>
        <v/>
      </c>
      <c r="O261" s="2" t="str">
        <f>IF(E261=0,"",Player_Analysis!L261/E261*90)</f>
        <v/>
      </c>
      <c r="P261" t="str">
        <f>IF(E261=0,"",Player_Analysis!Q261/E261*90)</f>
        <v/>
      </c>
      <c r="Q261" t="str">
        <f>IF(E261=0,"",(Player_Analysis!AD261/E261)*90)</f>
        <v/>
      </c>
      <c r="R261" t="str">
        <f>IF(E261=0,"",Player_Analysis!AA261/E261*90)</f>
        <v/>
      </c>
      <c r="S261">
        <f t="array" ref="S261">IFERROR(INDEX('2023_24'!$O:$O,MATCH($A261,'2023_24'!$A:$A,0)),"")</f>
        <v>0.12975239616613418</v>
      </c>
      <c r="T261">
        <f>IFERROR(INDEX('2024_25'!$P:$P,MATCH($A261,'2024_25'!$A:$A,0)),"")</f>
        <v>0.13500000000000001</v>
      </c>
      <c r="U261">
        <f>IFERROR(INDEX('2025_26'!$P:$P,MATCH($A261,'2025_26'!$A:$A,0)),"")</f>
        <v>7.1287128712871295E-2</v>
      </c>
      <c r="V261">
        <f>IFERROR(INDEX('2023_24'!$P:$P,MATCH($A261,'2023_24'!$A:$A,0)),"")</f>
        <v>8.7699680511182113E-2</v>
      </c>
      <c r="W261">
        <f>IFERROR(INDEX('2024_25'!$Q:$Q,MATCH($A261,'2024_25'!$A:$A,0)),"")</f>
        <v>4.4042553191489357E-2</v>
      </c>
      <c r="X261">
        <f>IFERROR(INDEX('2025_26'!$Q:$Q,MATCH($A261,'2025_26'!$A:$A,0)),"")</f>
        <v>3.5643564356435647E-2</v>
      </c>
      <c r="Y261">
        <f>IFERROR(INDEX('2023_24'!$M:$M,MATCH($A261,'2023_24'!$A:$A,0))/INDEX('2023_24'!$G:$G,MATCH($A261,'2023_24'!$A:$A,0))*90,"")</f>
        <v>2.659744408945687</v>
      </c>
      <c r="Z261">
        <f>IFERROR(INDEX('2024_25'!$M:$M,MATCH($A261,'2024_25'!$A:$A,0))/INDEX('2024_25'!$G:$G,MATCH($A261,'2024_25'!$A:$A,0))*90,"")</f>
        <v>3.4148936170212765</v>
      </c>
      <c r="AA261">
        <f>IFERROR(INDEX('2025_26'!$M:$M,MATCH($A261,'2025_26'!$A:$A,0))/INDEX('2025_26'!$G:$G,MATCH($A261,'2025_26'!$A:$A,0))*90,"")</f>
        <v>6.2376237623762378</v>
      </c>
      <c r="AB261">
        <f>IFERROR(SUMPRODUCT(S261:U261,{0.2,0.3,0.5})/SUMPRODUCT(--(S261:U261&lt;&gt;""),{0.2,0.3,0.5}),"")</f>
        <v>0.10209404358966248</v>
      </c>
      <c r="AC261">
        <f>IFERROR(SUMPRODUCT(V261:X261,{0.2,0.3,0.5})/SUMPRODUCT(--(V261:X261&lt;&gt;""),{0.2,0.3,0.5}),"")</f>
        <v>4.8574484237901054E-2</v>
      </c>
      <c r="AD261">
        <f>IFERROR(SUMPRODUCT(Y261:AA261,{0.2,0.3,0.5})/SUMPRODUCT((Y261:AA261&lt;&gt;"")*{0.2,0.3,0.5}),O261)</f>
        <v>4.6752288480836395</v>
      </c>
      <c r="AE261">
        <f t="shared" si="109"/>
        <v>3</v>
      </c>
      <c r="AF261" t="str">
        <f t="shared" si="110"/>
        <v/>
      </c>
      <c r="AG261">
        <f t="shared" si="111"/>
        <v>0.10209404358966248</v>
      </c>
      <c r="AH261">
        <f t="shared" si="112"/>
        <v>4.8574484237901054E-2</v>
      </c>
      <c r="AI261" s="2">
        <f t="shared" si="113"/>
        <v>4.6752288480836395</v>
      </c>
      <c r="AJ261">
        <f t="shared" si="114"/>
        <v>0</v>
      </c>
      <c r="AK261" t="str">
        <f t="shared" si="115"/>
        <v>NO</v>
      </c>
      <c r="AL261">
        <f t="shared" si="116"/>
        <v>0</v>
      </c>
      <c r="AM261">
        <f t="shared" si="117"/>
        <v>0</v>
      </c>
      <c r="AN261">
        <f t="shared" si="118"/>
        <v>0</v>
      </c>
      <c r="AO261">
        <f t="shared" si="119"/>
        <v>0</v>
      </c>
      <c r="AP261">
        <f t="array" ref="AP261">AL261*IF($C261="GKP",10,IF($C261="DEF",6,IF($C261="MID",5,4)))</f>
        <v>0</v>
      </c>
      <c r="AQ261">
        <f t="shared" si="120"/>
        <v>0</v>
      </c>
      <c r="AR261">
        <f t="shared" si="121"/>
        <v>0</v>
      </c>
      <c r="AS261" s="2">
        <f>IF($H261=0,0,Player_Analysis!$AM261*$H261/90)</f>
        <v>0</v>
      </c>
      <c r="AT261">
        <f t="shared" si="122"/>
        <v>0</v>
      </c>
      <c r="AU261" s="2">
        <f>0</f>
        <v>0</v>
      </c>
      <c r="AV261" s="2" t="str">
        <f>IF(INDEX(FPL_Raw_Data!K:K,MATCH(A261,FPL_Raw_Data!AA:AA,0))=0,"",INDEX(FPL_Raw_Data!P:P,MATCH(A261,FPL_Raw_Data!AA:AA,0))/INDEX(FPL_Raw_Data!K:K,MATCH(A261,FPL_Raw_Data!AA:AA,0))*90)</f>
        <v/>
      </c>
      <c r="AW261" s="2">
        <f t="shared" si="123"/>
        <v>0</v>
      </c>
      <c r="AX261" s="2">
        <f>IFERROR(INDEX(TEAM_ANALYSIS!$H$2:$H$21,MATCH($B261,TEAM_ANALYSIS!$A$2:$A$21,0)),0)</f>
        <v>1</v>
      </c>
      <c r="AY261" s="2">
        <f t="shared" si="124"/>
        <v>0</v>
      </c>
      <c r="AZ261" s="2">
        <f t="shared" si="125"/>
        <v>0</v>
      </c>
      <c r="BA261">
        <f t="shared" si="126"/>
        <v>0</v>
      </c>
      <c r="BB261">
        <f>IFERROR(Player_Analysis!$Y261,1)</f>
        <v>1.0752768166089965</v>
      </c>
      <c r="BC261">
        <f t="shared" si="127"/>
        <v>0</v>
      </c>
      <c r="BD261">
        <f t="shared" si="128"/>
        <v>0</v>
      </c>
      <c r="BE261">
        <f t="shared" si="129"/>
        <v>0</v>
      </c>
      <c r="BF261">
        <f t="shared" si="130"/>
        <v>253</v>
      </c>
      <c r="BG261">
        <f>IF($BE261="","",COUNTIFS($C$2:$C$596,$C261,$BE$2:$BE$596,"&gt;"&amp;$BE261)+COUNTIFS($C$2:$C261,$C261,$BE$2:$BE261,$BE261))</f>
        <v>180</v>
      </c>
    </row>
    <row r="262" spans="1:59" x14ac:dyDescent="0.25">
      <c r="A262" t="str">
        <f>Player_Analysis!A262</f>
        <v>Brennan Johnson</v>
      </c>
      <c r="B262">
        <f>Player_Analysis!C262</f>
        <v>9</v>
      </c>
      <c r="C262" t="str">
        <f>Player_Analysis!B262</f>
        <v>MID</v>
      </c>
      <c r="D262" s="13">
        <f>Player_Analysis!E262</f>
        <v>5.9</v>
      </c>
      <c r="E262">
        <f>Player_Analysis!I262</f>
        <v>99</v>
      </c>
      <c r="F262" s="8">
        <f>Player_Analysis!Z262</f>
        <v>1</v>
      </c>
      <c r="G262" s="17">
        <f t="shared" si="105"/>
        <v>0.90909090909090906</v>
      </c>
      <c r="H262">
        <f t="shared" si="106"/>
        <v>81.818181818181813</v>
      </c>
      <c r="I262" s="8">
        <f>Player_Analysis!AF262</f>
        <v>0</v>
      </c>
      <c r="J262" s="8">
        <f>Player_Analysis!AG262</f>
        <v>0</v>
      </c>
      <c r="K262">
        <f>Player_Analysis!O262</f>
        <v>0.05</v>
      </c>
      <c r="L262">
        <f>Player_Analysis!P262</f>
        <v>0.04</v>
      </c>
      <c r="M262">
        <f t="shared" si="107"/>
        <v>4.5454545454545456E-2</v>
      </c>
      <c r="N262">
        <f t="shared" si="108"/>
        <v>3.6363636363636362E-2</v>
      </c>
      <c r="O262" s="2">
        <f>IF(E262=0,"",Player_Analysis!L262/E262*90)</f>
        <v>2.7272727272727275</v>
      </c>
      <c r="P262">
        <f>IF(E262=0,"",Player_Analysis!Q262/E262*90)</f>
        <v>8.1818181818181818E-2</v>
      </c>
      <c r="Q262">
        <f>IF(E262=0,"",(Player_Analysis!AD262/E262)*90)</f>
        <v>6.3636363636363633</v>
      </c>
      <c r="R262">
        <f>IF(E262=0,"",Player_Analysis!AA262/E262*90)</f>
        <v>10.90909090909091</v>
      </c>
      <c r="S262">
        <f t="array" ref="S262">IFERROR(INDEX('2023_24'!$O:$O,MATCH($A262,'2023_24'!$A:$A,0)),"")</f>
        <v>0.40241691842900301</v>
      </c>
      <c r="T262">
        <f>IFERROR(INDEX('2024_25'!$P:$P,MATCH($A262,'2024_25'!$A:$A,0)),"")</f>
        <v>0.44564716720405345</v>
      </c>
      <c r="U262">
        <f>IFERROR(INDEX('2025_26'!$P:$P,MATCH($A262,'2025_26'!$A:$A,0)),"")</f>
        <v>0.12894736842105264</v>
      </c>
      <c r="V262">
        <f>IFERROR(INDEX('2023_24'!$P:$P,MATCH($A262,'2023_24'!$A:$A,0)),"")</f>
        <v>0.16702632714717308</v>
      </c>
      <c r="W262">
        <f>IFERROR(INDEX('2024_25'!$Q:$Q,MATCH($A262,'2024_25'!$A:$A,0)),"")</f>
        <v>8.249654537079687E-2</v>
      </c>
      <c r="X262">
        <f>IFERROR(INDEX('2025_26'!$Q:$Q,MATCH($A262,'2025_26'!$A:$A,0)),"")</f>
        <v>6.8947368421052632E-2</v>
      </c>
      <c r="Y262">
        <f>IFERROR(INDEX('2023_24'!$M:$M,MATCH($A262,'2023_24'!$A:$A,0))/INDEX('2023_24'!$G:$G,MATCH($A262,'2023_24'!$A:$A,0))*90,"")</f>
        <v>5.0884764782045746</v>
      </c>
      <c r="Z262">
        <f>IFERROR(INDEX('2024_25'!$M:$M,MATCH($A262,'2024_25'!$A:$A,0))/INDEX('2024_25'!$G:$G,MATCH($A262,'2024_25'!$A:$A,0))*90,"")</f>
        <v>5.6794104099493321</v>
      </c>
      <c r="AA262">
        <f>IFERROR(INDEX('2025_26'!$M:$M,MATCH($A262,'2025_26'!$A:$A,0))/INDEX('2025_26'!$G:$G,MATCH($A262,'2025_26'!$A:$A,0))*90,"")</f>
        <v>3.4210526315789473</v>
      </c>
      <c r="AB262">
        <f>IFERROR(SUMPRODUCT(S262:U262,{0.2,0.3,0.5})/SUMPRODUCT(--(S262:U262&lt;&gt;""),{0.2,0.3,0.5}),"")</f>
        <v>0.27865121805754295</v>
      </c>
      <c r="AC262">
        <f>IFERROR(SUMPRODUCT(V262:X262,{0.2,0.3,0.5})/SUMPRODUCT(--(V262:X262&lt;&gt;""),{0.2,0.3,0.5}),"")</f>
        <v>9.2627913251199984E-2</v>
      </c>
      <c r="AD262">
        <f>IFERROR(SUMPRODUCT(Y262:AA262,{0.2,0.3,0.5})/SUMPRODUCT((Y262:AA262&lt;&gt;"")*{0.2,0.3,0.5}),O262)</f>
        <v>4.4320447344151876</v>
      </c>
      <c r="AE262">
        <f t="shared" si="109"/>
        <v>3</v>
      </c>
      <c r="AF262">
        <f t="shared" si="110"/>
        <v>99</v>
      </c>
      <c r="AG262">
        <f t="shared" si="111"/>
        <v>0.20169631609855376</v>
      </c>
      <c r="AH262">
        <f t="shared" si="112"/>
        <v>7.4060701878303978E-2</v>
      </c>
      <c r="AI262" s="2">
        <f t="shared" si="113"/>
        <v>3.8694699720581758</v>
      </c>
      <c r="AJ262">
        <f t="shared" si="114"/>
        <v>0.33</v>
      </c>
      <c r="AK262" t="str">
        <f t="shared" si="115"/>
        <v>NO</v>
      </c>
      <c r="AL262">
        <f t="shared" si="116"/>
        <v>0.1833602873623216</v>
      </c>
      <c r="AM262">
        <f t="shared" si="117"/>
        <v>6.7327910798458152E-2</v>
      </c>
      <c r="AN262">
        <f t="shared" si="118"/>
        <v>0.1833602873623216</v>
      </c>
      <c r="AO262">
        <f t="shared" si="119"/>
        <v>6.7327910798458152E-2</v>
      </c>
      <c r="AP262">
        <f t="array" ref="AP262">AL262*IF($C262="GKP",10,IF($C262="DEF",6,IF($C262="MID",5,4)))</f>
        <v>0.91680143681160797</v>
      </c>
      <c r="AQ262">
        <f t="shared" si="120"/>
        <v>0.20198373239537445</v>
      </c>
      <c r="AR262">
        <f t="shared" si="121"/>
        <v>1.8181818181818181</v>
      </c>
      <c r="AS262" s="2">
        <f>IF($H262=0,0,Player_Analysis!$AM262*$H262/90)</f>
        <v>0</v>
      </c>
      <c r="AT262">
        <f t="shared" si="122"/>
        <v>1.6528925619834711</v>
      </c>
      <c r="AU262" s="2">
        <f>0</f>
        <v>0</v>
      </c>
      <c r="AV262" s="2">
        <f>IF(INDEX(FPL_Raw_Data!K:K,MATCH(A262,FPL_Raw_Data!AA:AA,0))=0,"",INDEX(FPL_Raw_Data!P:P,MATCH(A262,FPL_Raw_Data!AA:AA,0))/INDEX(FPL_Raw_Data!K:K,MATCH(A262,FPL_Raw_Data!AA:AA,0))*90)</f>
        <v>0</v>
      </c>
      <c r="AW262" s="2">
        <f t="shared" si="123"/>
        <v>0</v>
      </c>
      <c r="AX262" s="2">
        <f>IFERROR(INDEX(TEAM_ANALYSIS!$H$2:$H$21,MATCH($B262,TEAM_ANALYSIS!$A$2:$A$21,0)),0)</f>
        <v>1</v>
      </c>
      <c r="AY262" s="2">
        <f t="shared" si="124"/>
        <v>0</v>
      </c>
      <c r="AZ262" s="2">
        <f t="shared" si="125"/>
        <v>4.5898595493722718</v>
      </c>
      <c r="BA262">
        <f t="shared" si="126"/>
        <v>0.77794229650377489</v>
      </c>
      <c r="BB262">
        <f>IFERROR(Player_Analysis!$Y262,1)</f>
        <v>1.0752768166089965</v>
      </c>
      <c r="BC262">
        <f t="shared" si="127"/>
        <v>4.9353695649314195</v>
      </c>
      <c r="BD262">
        <f t="shared" si="128"/>
        <v>3.8394327334375848</v>
      </c>
      <c r="BE262">
        <f t="shared" si="129"/>
        <v>4.9353695649314195</v>
      </c>
      <c r="BF262">
        <f t="shared" si="130"/>
        <v>98</v>
      </c>
      <c r="BG262">
        <f>IF($BE262="","",COUNTIFS($C$2:$C$596,$C262,$BE$2:$BE$596,"&gt;"&amp;$BE262)+COUNTIFS($C$2:$C262,$C262,$BE$2:$BE262,$BE262))</f>
        <v>46</v>
      </c>
    </row>
    <row r="263" spans="1:59" x14ac:dyDescent="0.25">
      <c r="A263" t="str">
        <f>Player_Analysis!A263</f>
        <v>Jordan Pickford</v>
      </c>
      <c r="B263">
        <f>Player_Analysis!C263</f>
        <v>9</v>
      </c>
      <c r="C263" t="str">
        <f>Player_Analysis!B263</f>
        <v>GK</v>
      </c>
      <c r="D263" s="13">
        <f>Player_Analysis!E263</f>
        <v>5.5</v>
      </c>
      <c r="E263">
        <f>Player_Analysis!I263</f>
        <v>270</v>
      </c>
      <c r="F263" s="8">
        <f>Player_Analysis!Z263</f>
        <v>3</v>
      </c>
      <c r="G263" s="17">
        <f t="shared" si="105"/>
        <v>1</v>
      </c>
      <c r="H263">
        <f t="shared" si="106"/>
        <v>90</v>
      </c>
      <c r="I263" s="8">
        <f>Player_Analysis!AF263</f>
        <v>0</v>
      </c>
      <c r="J263" s="8">
        <f>Player_Analysis!AG263</f>
        <v>0</v>
      </c>
      <c r="K263">
        <f>Player_Analysis!O263</f>
        <v>0</v>
      </c>
      <c r="L263">
        <f>Player_Analysis!P263</f>
        <v>0.02</v>
      </c>
      <c r="M263">
        <f t="shared" si="107"/>
        <v>0</v>
      </c>
      <c r="N263">
        <f t="shared" si="108"/>
        <v>6.6666666666666662E-3</v>
      </c>
      <c r="O263" s="2">
        <f>IF(E263=0,"",Player_Analysis!L263/E263*90)</f>
        <v>3.666666666666667</v>
      </c>
      <c r="P263">
        <f>IF(E263=0,"",Player_Analysis!Q263/E263*90)</f>
        <v>6.6666666666666662E-3</v>
      </c>
      <c r="Q263">
        <f>IF(E263=0,"",(Player_Analysis!AD263/E263)*90)</f>
        <v>20.666666666666668</v>
      </c>
      <c r="R263">
        <f>IF(E263=0,"",Player_Analysis!AA263/E263*90)</f>
        <v>0</v>
      </c>
      <c r="S263">
        <f t="array" ref="S263">IFERROR(INDEX('2023_24'!$O:$O,MATCH($A263,'2023_24'!$A:$A,0)),"")</f>
        <v>0</v>
      </c>
      <c r="T263">
        <f>IFERROR(INDEX('2024_25'!$P:$P,MATCH($A263,'2024_25'!$A:$A,0)),"")</f>
        <v>0</v>
      </c>
      <c r="U263">
        <f>IFERROR(INDEX('2025_26'!$P:$P,MATCH($A263,'2025_26'!$A:$A,0)),"")</f>
        <v>0</v>
      </c>
      <c r="V263">
        <f>IFERROR(INDEX('2023_24'!$P:$P,MATCH($A263,'2023_24'!$A:$A,0)),"")</f>
        <v>1.2105263157894737E-2</v>
      </c>
      <c r="W263">
        <f>IFERROR(INDEX('2024_25'!$Q:$Q,MATCH($A263,'2024_25'!$A:$A,0)),"")</f>
        <v>5.7894736842105258E-3</v>
      </c>
      <c r="X263">
        <f>IFERROR(INDEX('2025_26'!$Q:$Q,MATCH($A263,'2025_26'!$A:$A,0)),"")</f>
        <v>5.263157894736842E-3</v>
      </c>
      <c r="Y263">
        <f>IFERROR(INDEX('2023_24'!$M:$M,MATCH($A263,'2023_24'!$A:$A,0))/INDEX('2023_24'!$G:$G,MATCH($A263,'2023_24'!$A:$A,0))*90,"")</f>
        <v>4.0263157894736841</v>
      </c>
      <c r="Z263">
        <f>IFERROR(INDEX('2024_25'!$M:$M,MATCH($A263,'2024_25'!$A:$A,0))/INDEX('2024_25'!$G:$G,MATCH($A263,'2024_25'!$A:$A,0))*90,"")</f>
        <v>4.1578947368421053</v>
      </c>
      <c r="AA263">
        <f>IFERROR(INDEX('2025_26'!$M:$M,MATCH($A263,'2025_26'!$A:$A,0))/INDEX('2025_26'!$G:$G,MATCH($A263,'2025_26'!$A:$A,0))*90,"")</f>
        <v>3.5526315789473681</v>
      </c>
      <c r="AB263">
        <f>IFERROR(SUMPRODUCT(S263:U263,{0.2,0.3,0.5})/SUMPRODUCT(--(S263:U263&lt;&gt;""),{0.2,0.3,0.5}),"")</f>
        <v>0</v>
      </c>
      <c r="AC263">
        <f>IFERROR(SUMPRODUCT(V263:X263,{0.2,0.3,0.5})/SUMPRODUCT(--(V263:X263&lt;&gt;""),{0.2,0.3,0.5}),"")</f>
        <v>6.7894736842105258E-3</v>
      </c>
      <c r="AD263">
        <f>IFERROR(SUMPRODUCT(Y263:AA263,{0.2,0.3,0.5})/SUMPRODUCT((Y263:AA263&lt;&gt;"")*{0.2,0.3,0.5}),O263)</f>
        <v>3.8289473684210522</v>
      </c>
      <c r="AE263">
        <f t="shared" si="109"/>
        <v>3</v>
      </c>
      <c r="AF263">
        <f t="shared" si="110"/>
        <v>90</v>
      </c>
      <c r="AG263">
        <f t="shared" si="111"/>
        <v>0</v>
      </c>
      <c r="AH263">
        <f t="shared" si="112"/>
        <v>6.6789473684210525E-3</v>
      </c>
      <c r="AI263" s="2">
        <f t="shared" si="113"/>
        <v>3.6828947368421052</v>
      </c>
      <c r="AJ263">
        <f t="shared" si="114"/>
        <v>0.9</v>
      </c>
      <c r="AK263" t="str">
        <f t="shared" si="115"/>
        <v>NO</v>
      </c>
      <c r="AL263">
        <f t="shared" si="116"/>
        <v>0</v>
      </c>
      <c r="AM263">
        <f t="shared" si="117"/>
        <v>6.6789473684210525E-3</v>
      </c>
      <c r="AN263">
        <f t="shared" si="118"/>
        <v>0</v>
      </c>
      <c r="AO263">
        <f t="shared" si="119"/>
        <v>6.6789473684210525E-3</v>
      </c>
      <c r="AP263">
        <f t="array" ref="AP263">AL263*IF($C263="GKP",10,IF($C263="DEF",6,IF($C263="MID",5,4)))</f>
        <v>0</v>
      </c>
      <c r="AQ263">
        <f t="shared" si="120"/>
        <v>2.0036842105263158E-2</v>
      </c>
      <c r="AR263">
        <f t="shared" si="121"/>
        <v>2</v>
      </c>
      <c r="AS263" s="2">
        <f>IF($H263=0,0,Player_Analysis!$AM263*$H263/90)</f>
        <v>1.3333333333333333</v>
      </c>
      <c r="AT263">
        <f t="shared" si="122"/>
        <v>0</v>
      </c>
      <c r="AU263" s="2">
        <f>0</f>
        <v>0</v>
      </c>
      <c r="AV263" s="2">
        <f>IF(INDEX(FPL_Raw_Data!K:K,MATCH(A263,FPL_Raw_Data!AA:AA,0))=0,"",INDEX(FPL_Raw_Data!P:P,MATCH(A263,FPL_Raw_Data!AA:AA,0))/INDEX(FPL_Raw_Data!K:K,MATCH(A263,FPL_Raw_Data!AA:AA,0))*90)</f>
        <v>3</v>
      </c>
      <c r="AW263" s="2">
        <f t="shared" si="123"/>
        <v>1</v>
      </c>
      <c r="AX263" s="2">
        <f>IFERROR(INDEX(TEAM_ANALYSIS!$H$2:$H$21,MATCH($B263,TEAM_ANALYSIS!$A$2:$A$21,0)),0)</f>
        <v>1</v>
      </c>
      <c r="AY263" s="2">
        <f t="shared" si="124"/>
        <v>0</v>
      </c>
      <c r="AZ263" s="2">
        <f t="shared" si="125"/>
        <v>4.3533701754385961</v>
      </c>
      <c r="BA263">
        <f t="shared" si="126"/>
        <v>0.79152185007974474</v>
      </c>
      <c r="BB263">
        <f>IFERROR(Player_Analysis!$Y263,1)</f>
        <v>1.1192513001836562</v>
      </c>
      <c r="BC263">
        <f t="shared" si="127"/>
        <v>4.8725152290403999</v>
      </c>
      <c r="BD263">
        <f t="shared" si="128"/>
        <v>3.8567022686317887</v>
      </c>
      <c r="BE263">
        <f t="shared" si="129"/>
        <v>4.8725152290403999</v>
      </c>
      <c r="BF263">
        <f t="shared" si="130"/>
        <v>104</v>
      </c>
      <c r="BG263">
        <f>IF($BE263="","",COUNTIFS($C$2:$C$596,$C263,$BE$2:$BE$596,"&gt;"&amp;$BE263)+COUNTIFS($C$2:$C263,$C263,$BE$2:$BE263,$BE263))</f>
        <v>6</v>
      </c>
    </row>
    <row r="264" spans="1:59" x14ac:dyDescent="0.25">
      <c r="A264" t="str">
        <f>Player_Analysis!A264</f>
        <v>Mark Travers</v>
      </c>
      <c r="B264">
        <f>Player_Analysis!C264</f>
        <v>9</v>
      </c>
      <c r="C264" t="str">
        <f>Player_Analysis!B264</f>
        <v>GK</v>
      </c>
      <c r="D264" s="13">
        <f>Player_Analysis!E264</f>
        <v>5</v>
      </c>
      <c r="E264">
        <f>Player_Analysis!I264</f>
        <v>0</v>
      </c>
      <c r="F264" s="8">
        <f>Player_Analysis!Z264</f>
        <v>0</v>
      </c>
      <c r="G264" s="17">
        <f t="shared" si="105"/>
        <v>0</v>
      </c>
      <c r="H264">
        <f t="shared" si="106"/>
        <v>0</v>
      </c>
      <c r="I264" s="8">
        <f>Player_Analysis!AF264</f>
        <v>0</v>
      </c>
      <c r="J264" s="8">
        <f>Player_Analysis!AG264</f>
        <v>0</v>
      </c>
      <c r="K264">
        <f>Player_Analysis!O264</f>
        <v>0</v>
      </c>
      <c r="L264">
        <f>Player_Analysis!P264</f>
        <v>0</v>
      </c>
      <c r="M264" t="str">
        <f t="shared" si="107"/>
        <v/>
      </c>
      <c r="N264" t="str">
        <f t="shared" si="108"/>
        <v/>
      </c>
      <c r="O264" s="2" t="str">
        <f>IF(E264=0,"",Player_Analysis!L264/E264*90)</f>
        <v/>
      </c>
      <c r="P264" t="str">
        <f>IF(E264=0,"",Player_Analysis!Q264/E264*90)</f>
        <v/>
      </c>
      <c r="Q264" t="str">
        <f>IF(E264=0,"",(Player_Analysis!AD264/E264)*90)</f>
        <v/>
      </c>
      <c r="R264" t="str">
        <f>IF(E264=0,"",Player_Analysis!AA264/E264*90)</f>
        <v/>
      </c>
      <c r="S264">
        <f t="array" ref="S264">IFERROR(INDEX('2023_24'!$O:$O,MATCH($A264,'2023_24'!$A:$A,0)),"")</f>
        <v>0</v>
      </c>
      <c r="T264">
        <f>IFERROR(INDEX('2024_25'!$P:$P,MATCH($A264,'2024_25'!$A:$A,0)),"")</f>
        <v>0</v>
      </c>
      <c r="U264">
        <f>IFERROR(INDEX('2025_26'!$P:$P,MATCH($A264,'2025_26'!$A:$A,0)),"")</f>
        <v>0</v>
      </c>
      <c r="V264">
        <f>IFERROR(INDEX('2023_24'!$P:$P,MATCH($A264,'2023_24'!$A:$A,0)),"")</f>
        <v>0</v>
      </c>
      <c r="W264">
        <f>IFERROR(INDEX('2024_25'!$Q:$Q,MATCH($A264,'2024_25'!$A:$A,0)),"")</f>
        <v>2E-3</v>
      </c>
      <c r="X264">
        <f>IFERROR(INDEX('2025_26'!$Q:$Q,MATCH($A264,'2025_26'!$A:$A,0)),"")</f>
        <v>0</v>
      </c>
      <c r="Y264">
        <f>IFERROR(INDEX('2023_24'!$M:$M,MATCH($A264,'2023_24'!$A:$A,0))/INDEX('2023_24'!$G:$G,MATCH($A264,'2023_24'!$A:$A,0))*90,"")</f>
        <v>4.75</v>
      </c>
      <c r="Z264">
        <f>IFERROR(INDEX('2024_25'!$M:$M,MATCH($A264,'2024_25'!$A:$A,0))/INDEX('2024_25'!$G:$G,MATCH($A264,'2024_25'!$A:$A,0))*90,"")</f>
        <v>3.8000000000000003</v>
      </c>
      <c r="AA264" t="str">
        <f>IFERROR(INDEX('2025_26'!$M:$M,MATCH($A264,'2025_26'!$A:$A,0))/INDEX('2025_26'!$G:$G,MATCH($A264,'2025_26'!$A:$A,0))*90,"")</f>
        <v/>
      </c>
      <c r="AB264">
        <f>IFERROR(SUMPRODUCT(S264:U264,{0.2,0.3,0.5})/SUMPRODUCT(--(S264:U264&lt;&gt;""),{0.2,0.3,0.5}),"")</f>
        <v>0</v>
      </c>
      <c r="AC264">
        <f>IFERROR(SUMPRODUCT(V264:X264,{0.2,0.3,0.5})/SUMPRODUCT(--(V264:X264&lt;&gt;""),{0.2,0.3,0.5}),"")</f>
        <v>5.9999999999999995E-4</v>
      </c>
      <c r="AD264">
        <f>IFERROR(SUMPRODUCT(Y264:AA264,{0.2,0.3,0.5})/SUMPRODUCT((Y264:AA264&lt;&gt;"")*{0.2,0.3,0.5}),O264)</f>
        <v>4.1800000000000006</v>
      </c>
      <c r="AE264">
        <f t="shared" si="109"/>
        <v>3</v>
      </c>
      <c r="AF264" t="str">
        <f t="shared" si="110"/>
        <v/>
      </c>
      <c r="AG264">
        <f t="shared" si="111"/>
        <v>0</v>
      </c>
      <c r="AH264">
        <f t="shared" si="112"/>
        <v>5.9999999999999995E-4</v>
      </c>
      <c r="AI264" s="2">
        <f t="shared" si="113"/>
        <v>4.1800000000000006</v>
      </c>
      <c r="AJ264">
        <f t="shared" si="114"/>
        <v>0</v>
      </c>
      <c r="AK264" t="str">
        <f t="shared" si="115"/>
        <v>NO</v>
      </c>
      <c r="AL264">
        <f t="shared" si="116"/>
        <v>0</v>
      </c>
      <c r="AM264">
        <f t="shared" si="117"/>
        <v>0</v>
      </c>
      <c r="AN264">
        <f t="shared" si="118"/>
        <v>0</v>
      </c>
      <c r="AO264">
        <f t="shared" si="119"/>
        <v>0</v>
      </c>
      <c r="AP264">
        <f t="array" ref="AP264">AL264*IF($C264="GKP",10,IF($C264="DEF",6,IF($C264="MID",5,4)))</f>
        <v>0</v>
      </c>
      <c r="AQ264">
        <f t="shared" si="120"/>
        <v>0</v>
      </c>
      <c r="AR264">
        <f t="shared" si="121"/>
        <v>0</v>
      </c>
      <c r="AS264" s="2">
        <f>IF($H264=0,0,Player_Analysis!$AM264*$H264/90)</f>
        <v>0</v>
      </c>
      <c r="AT264">
        <f t="shared" si="122"/>
        <v>0</v>
      </c>
      <c r="AU264" s="2">
        <f>0</f>
        <v>0</v>
      </c>
      <c r="AV264" s="2" t="str">
        <f>IF(INDEX(FPL_Raw_Data!K:K,MATCH(A264,FPL_Raw_Data!AA:AA,0))=0,"",INDEX(FPL_Raw_Data!P:P,MATCH(A264,FPL_Raw_Data!AA:AA,0))/INDEX(FPL_Raw_Data!K:K,MATCH(A264,FPL_Raw_Data!AA:AA,0))*90)</f>
        <v/>
      </c>
      <c r="AW264" s="2">
        <f t="shared" si="123"/>
        <v>0</v>
      </c>
      <c r="AX264" s="2">
        <f>IFERROR(INDEX(TEAM_ANALYSIS!$H$2:$H$21,MATCH($B264,TEAM_ANALYSIS!$A$2:$A$21,0)),0)</f>
        <v>1</v>
      </c>
      <c r="AY264" s="2">
        <f t="shared" si="124"/>
        <v>0</v>
      </c>
      <c r="AZ264" s="2">
        <f t="shared" si="125"/>
        <v>0</v>
      </c>
      <c r="BA264">
        <f t="shared" si="126"/>
        <v>0</v>
      </c>
      <c r="BB264">
        <f>IFERROR(Player_Analysis!$Y264,1)</f>
        <v>1.1192513001836562</v>
      </c>
      <c r="BC264">
        <f t="shared" si="127"/>
        <v>0</v>
      </c>
      <c r="BD264">
        <f t="shared" si="128"/>
        <v>0</v>
      </c>
      <c r="BE264">
        <f t="shared" si="129"/>
        <v>0</v>
      </c>
      <c r="BF264">
        <f t="shared" si="130"/>
        <v>253</v>
      </c>
      <c r="BG264">
        <f>IF($BE264="","",COUNTIFS($C$2:$C$596,$C264,$BE$2:$BE$596,"&gt;"&amp;$BE264)+COUNTIFS($C$2:$C264,$C264,$BE$2:$BE264,$BE264))</f>
        <v>36</v>
      </c>
    </row>
    <row r="265" spans="1:59" x14ac:dyDescent="0.25">
      <c r="A265" t="str">
        <f>Player_Analysis!A265</f>
        <v>Tom King</v>
      </c>
      <c r="B265">
        <f>Player_Analysis!C265</f>
        <v>9</v>
      </c>
      <c r="C265" t="str">
        <f>Player_Analysis!B265</f>
        <v>GK</v>
      </c>
      <c r="D265" s="13">
        <f>Player_Analysis!E265</f>
        <v>4.5</v>
      </c>
      <c r="E265">
        <f>Player_Analysis!I265</f>
        <v>0</v>
      </c>
      <c r="F265" s="8">
        <f>Player_Analysis!Z265</f>
        <v>0</v>
      </c>
      <c r="G265" s="17">
        <f t="shared" si="105"/>
        <v>0</v>
      </c>
      <c r="H265">
        <f t="shared" si="106"/>
        <v>0</v>
      </c>
      <c r="I265" s="8">
        <f>Player_Analysis!AF265</f>
        <v>0</v>
      </c>
      <c r="J265" s="8">
        <f>Player_Analysis!AG265</f>
        <v>0</v>
      </c>
      <c r="K265">
        <f>Player_Analysis!O265</f>
        <v>0</v>
      </c>
      <c r="L265">
        <f>Player_Analysis!P265</f>
        <v>0</v>
      </c>
      <c r="M265" t="str">
        <f t="shared" si="107"/>
        <v/>
      </c>
      <c r="N265" t="str">
        <f t="shared" si="108"/>
        <v/>
      </c>
      <c r="O265" s="2" t="str">
        <f>IF(E265=0,"",Player_Analysis!L265/E265*90)</f>
        <v/>
      </c>
      <c r="P265" t="str">
        <f>IF(E265=0,"",Player_Analysis!Q265/E265*90)</f>
        <v/>
      </c>
      <c r="Q265" t="str">
        <f>IF(E265=0,"",(Player_Analysis!AD265/E265)*90)</f>
        <v/>
      </c>
      <c r="R265" t="str">
        <f>IF(E265=0,"",Player_Analysis!AA265/E265*90)</f>
        <v/>
      </c>
      <c r="S265">
        <f t="array" ref="S265">IFERROR(INDEX('2023_24'!$O:$O,MATCH($A265,'2023_24'!$A:$A,0)),"")</f>
        <v>0</v>
      </c>
      <c r="T265">
        <f>IFERROR(INDEX('2024_25'!$P:$P,MATCH($A265,'2024_25'!$A:$A,0)),"")</f>
        <v>0</v>
      </c>
      <c r="U265">
        <f>IFERROR(INDEX('2025_26'!$P:$P,MATCH($A265,'2025_26'!$A:$A,0)),"")</f>
        <v>0</v>
      </c>
      <c r="V265">
        <f>IFERROR(INDEX('2023_24'!$P:$P,MATCH($A265,'2023_24'!$A:$A,0)),"")</f>
        <v>0</v>
      </c>
      <c r="W265">
        <f>IFERROR(INDEX('2024_25'!$Q:$Q,MATCH($A265,'2024_25'!$A:$A,0)),"")</f>
        <v>0</v>
      </c>
      <c r="X265">
        <f>IFERROR(INDEX('2025_26'!$Q:$Q,MATCH($A265,'2025_26'!$A:$A,0)),"")</f>
        <v>0</v>
      </c>
      <c r="Y265" t="str">
        <f>IFERROR(INDEX('2023_24'!$M:$M,MATCH($A265,'2023_24'!$A:$A,0))/INDEX('2023_24'!$G:$G,MATCH($A265,'2023_24'!$A:$A,0))*90,"")</f>
        <v/>
      </c>
      <c r="Z265">
        <f>IFERROR(INDEX('2024_25'!$M:$M,MATCH($A265,'2024_25'!$A:$A,0))/INDEX('2024_25'!$G:$G,MATCH($A265,'2024_25'!$A:$A,0))*90,"")</f>
        <v>90</v>
      </c>
      <c r="AA265" t="str">
        <f>IFERROR(INDEX('2025_26'!$M:$M,MATCH($A265,'2025_26'!$A:$A,0))/INDEX('2025_26'!$G:$G,MATCH($A265,'2025_26'!$A:$A,0))*90,"")</f>
        <v/>
      </c>
      <c r="AB265">
        <f>IFERROR(SUMPRODUCT(S265:U265,{0.2,0.3,0.5})/SUMPRODUCT(--(S265:U265&lt;&gt;""),{0.2,0.3,0.5}),"")</f>
        <v>0</v>
      </c>
      <c r="AC265">
        <f>IFERROR(SUMPRODUCT(V265:X265,{0.2,0.3,0.5})/SUMPRODUCT(--(V265:X265&lt;&gt;""),{0.2,0.3,0.5}),"")</f>
        <v>0</v>
      </c>
      <c r="AD265">
        <f>IFERROR(SUMPRODUCT(Y265:AA265,{0.2,0.3,0.5})/SUMPRODUCT((Y265:AA265&lt;&gt;"")*{0.2,0.3,0.5}),O265)</f>
        <v>90</v>
      </c>
      <c r="AE265">
        <f t="shared" si="109"/>
        <v>3</v>
      </c>
      <c r="AF265" t="str">
        <f t="shared" si="110"/>
        <v/>
      </c>
      <c r="AG265">
        <f t="shared" si="111"/>
        <v>0</v>
      </c>
      <c r="AH265">
        <f t="shared" si="112"/>
        <v>0</v>
      </c>
      <c r="AI265" s="2">
        <f t="shared" si="113"/>
        <v>90</v>
      </c>
      <c r="AJ265">
        <f t="shared" si="114"/>
        <v>0</v>
      </c>
      <c r="AK265" t="str">
        <f t="shared" si="115"/>
        <v>NO</v>
      </c>
      <c r="AL265">
        <f t="shared" si="116"/>
        <v>0</v>
      </c>
      <c r="AM265">
        <f t="shared" si="117"/>
        <v>0</v>
      </c>
      <c r="AN265">
        <f t="shared" si="118"/>
        <v>0</v>
      </c>
      <c r="AO265">
        <f t="shared" si="119"/>
        <v>0</v>
      </c>
      <c r="AP265">
        <f t="array" ref="AP265">AL265*IF($C265="GKP",10,IF($C265="DEF",6,IF($C265="MID",5,4)))</f>
        <v>0</v>
      </c>
      <c r="AQ265">
        <f t="shared" si="120"/>
        <v>0</v>
      </c>
      <c r="AR265">
        <f t="shared" si="121"/>
        <v>0</v>
      </c>
      <c r="AS265" s="2">
        <f>IF($H265=0,0,Player_Analysis!$AM265*$H265/90)</f>
        <v>0</v>
      </c>
      <c r="AT265">
        <f t="shared" si="122"/>
        <v>0</v>
      </c>
      <c r="AU265" s="2">
        <f>0</f>
        <v>0</v>
      </c>
      <c r="AV265" s="2" t="str">
        <f>IF(INDEX(FPL_Raw_Data!K:K,MATCH(A265,FPL_Raw_Data!AA:AA,0))=0,"",INDEX(FPL_Raw_Data!P:P,MATCH(A265,FPL_Raw_Data!AA:AA,0))/INDEX(FPL_Raw_Data!K:K,MATCH(A265,FPL_Raw_Data!AA:AA,0))*90)</f>
        <v/>
      </c>
      <c r="AW265" s="2">
        <f t="shared" si="123"/>
        <v>0</v>
      </c>
      <c r="AX265" s="2">
        <f>IFERROR(INDEX(TEAM_ANALYSIS!$H$2:$H$21,MATCH($B265,TEAM_ANALYSIS!$A$2:$A$21,0)),0)</f>
        <v>1</v>
      </c>
      <c r="AY265" s="2">
        <f t="shared" si="124"/>
        <v>0</v>
      </c>
      <c r="AZ265" s="2">
        <f t="shared" si="125"/>
        <v>0</v>
      </c>
      <c r="BA265">
        <f t="shared" si="126"/>
        <v>0</v>
      </c>
      <c r="BB265">
        <f>IFERROR(Player_Analysis!$Y265,1)</f>
        <v>1.1192513001836562</v>
      </c>
      <c r="BC265">
        <f t="shared" si="127"/>
        <v>0</v>
      </c>
      <c r="BD265">
        <f t="shared" si="128"/>
        <v>0</v>
      </c>
      <c r="BE265">
        <f t="shared" si="129"/>
        <v>0</v>
      </c>
      <c r="BF265">
        <f t="shared" si="130"/>
        <v>253</v>
      </c>
      <c r="BG265">
        <f>IF($BE265="","",COUNTIFS($C$2:$C$596,$C265,$BE$2:$BE$596,"&gt;"&amp;$BE265)+COUNTIFS($C$2:$C265,$C265,$BE$2:$BE265,$BE265))</f>
        <v>37</v>
      </c>
    </row>
    <row r="266" spans="1:59" x14ac:dyDescent="0.25">
      <c r="A266" t="str">
        <f>Player_Analysis!A266</f>
        <v>James Tarkowski</v>
      </c>
      <c r="B266">
        <f>Player_Analysis!C266</f>
        <v>9</v>
      </c>
      <c r="C266" t="str">
        <f>Player_Analysis!B266</f>
        <v>DEF</v>
      </c>
      <c r="D266" s="13">
        <f>Player_Analysis!E266</f>
        <v>6</v>
      </c>
      <c r="E266">
        <f>Player_Analysis!I266</f>
        <v>270</v>
      </c>
      <c r="F266" s="8">
        <f>Player_Analysis!Z266</f>
        <v>3</v>
      </c>
      <c r="G266" s="17">
        <f t="shared" si="105"/>
        <v>1</v>
      </c>
      <c r="H266">
        <f t="shared" si="106"/>
        <v>90</v>
      </c>
      <c r="I266" s="8">
        <f>Player_Analysis!AF266</f>
        <v>1</v>
      </c>
      <c r="J266" s="8">
        <f>Player_Analysis!AG266</f>
        <v>0</v>
      </c>
      <c r="K266">
        <f>Player_Analysis!O266</f>
        <v>0.17</v>
      </c>
      <c r="L266">
        <f>Player_Analysis!P266</f>
        <v>0.02</v>
      </c>
      <c r="M266">
        <f t="shared" si="107"/>
        <v>5.6666666666666678E-2</v>
      </c>
      <c r="N266">
        <f t="shared" si="108"/>
        <v>6.6666666666666662E-3</v>
      </c>
      <c r="O266" s="2">
        <f>IF(E266=0,"",Player_Analysis!L266/E266*90)</f>
        <v>7</v>
      </c>
      <c r="P266">
        <f>IF(E266=0,"",Player_Analysis!Q266/E266*90)</f>
        <v>6.3333333333333325E-2</v>
      </c>
      <c r="Q266">
        <f>IF(E266=0,"",(Player_Analysis!AD266/E266)*90)</f>
        <v>21</v>
      </c>
      <c r="R266">
        <f>IF(E266=0,"",Player_Analysis!AA266/E266*90)</f>
        <v>10.333333333333334</v>
      </c>
      <c r="S266">
        <f t="array" ref="S266">IFERROR(INDEX('2023_24'!$O:$O,MATCH($A266,'2023_24'!$A:$A,0)),"")</f>
        <v>6.7105263157894723E-2</v>
      </c>
      <c r="T266">
        <f>IFERROR(INDEX('2024_25'!$P:$P,MATCH($A266,'2024_25'!$A:$A,0)),"")</f>
        <v>4.0657084188911702E-2</v>
      </c>
      <c r="U266">
        <f>IFERROR(INDEX('2025_26'!$P:$P,MATCH($A266,'2025_26'!$A:$A,0)),"")</f>
        <v>6.8378378378378374E-2</v>
      </c>
      <c r="V266">
        <f>IFERROR(INDEX('2023_24'!$P:$P,MATCH($A266,'2023_24'!$A:$A,0)),"")</f>
        <v>7.0000000000000007E-2</v>
      </c>
      <c r="W266">
        <f>IFERROR(INDEX('2024_25'!$Q:$Q,MATCH($A266,'2024_25'!$A:$A,0)),"")</f>
        <v>7.1765913757700209E-2</v>
      </c>
      <c r="X266">
        <f>IFERROR(INDEX('2025_26'!$Q:$Q,MATCH($A266,'2025_26'!$A:$A,0)),"")</f>
        <v>5.675675675675676E-2</v>
      </c>
      <c r="Y266">
        <f>IFERROR(INDEX('2023_24'!$M:$M,MATCH($A266,'2023_24'!$A:$A,0))/INDEX('2023_24'!$G:$G,MATCH($A266,'2023_24'!$A:$A,0))*90,"")</f>
        <v>3.0789473684210527</v>
      </c>
      <c r="Z266">
        <f>IFERROR(INDEX('2024_25'!$M:$M,MATCH($A266,'2024_25'!$A:$A,0))/INDEX('2024_25'!$G:$G,MATCH($A266,'2024_25'!$A:$A,0))*90,"")</f>
        <v>3.2340862422997945</v>
      </c>
      <c r="AA266">
        <f>IFERROR(INDEX('2025_26'!$M:$M,MATCH($A266,'2025_26'!$A:$A,0))/INDEX('2025_26'!$G:$G,MATCH($A266,'2025_26'!$A:$A,0))*90,"")</f>
        <v>4.5945945945945947</v>
      </c>
      <c r="AB266">
        <f>IFERROR(SUMPRODUCT(S266:U266,{0.2,0.3,0.5})/SUMPRODUCT(--(S266:U266&lt;&gt;""),{0.2,0.3,0.5}),"")</f>
        <v>5.9807367077441644E-2</v>
      </c>
      <c r="AC266">
        <f>IFERROR(SUMPRODUCT(V266:X266,{0.2,0.3,0.5})/SUMPRODUCT(--(V266:X266&lt;&gt;""),{0.2,0.3,0.5}),"")</f>
        <v>6.3908152505688445E-2</v>
      </c>
      <c r="AD266">
        <f>IFERROR(SUMPRODUCT(Y266:AA266,{0.2,0.3,0.5})/SUMPRODUCT((Y266:AA266&lt;&gt;"")*{0.2,0.3,0.5}),O266)</f>
        <v>3.883312643671446</v>
      </c>
      <c r="AE266">
        <f t="shared" si="109"/>
        <v>3</v>
      </c>
      <c r="AF266">
        <f t="shared" si="110"/>
        <v>90</v>
      </c>
      <c r="AG266">
        <f t="shared" si="111"/>
        <v>5.6980736707744173E-2</v>
      </c>
      <c r="AH266">
        <f t="shared" si="112"/>
        <v>1.2390815250568843E-2</v>
      </c>
      <c r="AI266" s="2">
        <f t="shared" si="113"/>
        <v>6.688331264367144</v>
      </c>
      <c r="AJ266">
        <f t="shared" si="114"/>
        <v>0.9</v>
      </c>
      <c r="AK266" t="str">
        <f t="shared" si="115"/>
        <v>NO</v>
      </c>
      <c r="AL266">
        <f t="shared" si="116"/>
        <v>5.6980736707744166E-2</v>
      </c>
      <c r="AM266">
        <f t="shared" si="117"/>
        <v>1.2390815250568843E-2</v>
      </c>
      <c r="AN266">
        <f t="shared" si="118"/>
        <v>5.6980736707744166E-2</v>
      </c>
      <c r="AO266">
        <f t="shared" si="119"/>
        <v>1.2390815250568843E-2</v>
      </c>
      <c r="AP266">
        <f t="array" ref="AP266">AL266*IF($C266="GKP",10,IF($C266="DEF",6,IF($C266="MID",5,4)))</f>
        <v>0.34188442024646498</v>
      </c>
      <c r="AQ266">
        <f t="shared" si="120"/>
        <v>3.7172445751706529E-2</v>
      </c>
      <c r="AR266">
        <f t="shared" si="121"/>
        <v>2</v>
      </c>
      <c r="AS266" s="2">
        <f>IF($H266=0,0,Player_Analysis!$AM266*$H266/90)</f>
        <v>1.3333333333333333</v>
      </c>
      <c r="AT266">
        <f t="shared" si="122"/>
        <v>2.0666666666666669</v>
      </c>
      <c r="AU266" s="2">
        <f>0</f>
        <v>0</v>
      </c>
      <c r="AV266" s="2">
        <f>IF(INDEX(FPL_Raw_Data!K:K,MATCH(A266,FPL_Raw_Data!AA:AA,0))=0,"",INDEX(FPL_Raw_Data!P:P,MATCH(A266,FPL_Raw_Data!AA:AA,0))/INDEX(FPL_Raw_Data!K:K,MATCH(A266,FPL_Raw_Data!AA:AA,0))*90)</f>
        <v>0</v>
      </c>
      <c r="AW266" s="2">
        <f t="shared" si="123"/>
        <v>0</v>
      </c>
      <c r="AX266" s="2">
        <f>IFERROR(INDEX(TEAM_ANALYSIS!$H$2:$H$21,MATCH($B266,TEAM_ANALYSIS!$A$2:$A$21,0)),0)</f>
        <v>1</v>
      </c>
      <c r="AY266" s="2">
        <f t="shared" si="124"/>
        <v>-0.5</v>
      </c>
      <c r="AZ266" s="2">
        <f t="shared" si="125"/>
        <v>5.2790568659981716</v>
      </c>
      <c r="BA266">
        <f t="shared" si="126"/>
        <v>0.8798428109996953</v>
      </c>
      <c r="BB266">
        <f>IFERROR(Player_Analysis!$Y266,1)</f>
        <v>1.1192513001836562</v>
      </c>
      <c r="BC266">
        <f t="shared" si="127"/>
        <v>5.9085912610119102</v>
      </c>
      <c r="BD266">
        <f t="shared" si="128"/>
        <v>5.1986315441369531</v>
      </c>
      <c r="BE266">
        <f t="shared" si="129"/>
        <v>5.9085912610119102</v>
      </c>
      <c r="BF266">
        <f t="shared" si="130"/>
        <v>48</v>
      </c>
      <c r="BG266">
        <f>IF($BE266="","",COUNTIFS($C$2:$C$596,$C266,$BE$2:$BE$596,"&gt;"&amp;$BE266)+COUNTIFS($C$2:$C266,$C266,$BE$2:$BE266,$BE266))</f>
        <v>23</v>
      </c>
    </row>
    <row r="267" spans="1:59" x14ac:dyDescent="0.25">
      <c r="A267" t="str">
        <f>Player_Analysis!A267</f>
        <v>Jarrad Branthwaite</v>
      </c>
      <c r="B267">
        <f>Player_Analysis!C267</f>
        <v>9</v>
      </c>
      <c r="C267" t="str">
        <f>Player_Analysis!B267</f>
        <v>DEF</v>
      </c>
      <c r="D267" s="13">
        <f>Player_Analysis!E267</f>
        <v>5.5</v>
      </c>
      <c r="E267">
        <f>Player_Analysis!I267</f>
        <v>270</v>
      </c>
      <c r="F267" s="8">
        <f>Player_Analysis!Z267</f>
        <v>3</v>
      </c>
      <c r="G267" s="17">
        <f t="shared" si="105"/>
        <v>1</v>
      </c>
      <c r="H267">
        <f t="shared" si="106"/>
        <v>90</v>
      </c>
      <c r="I267" s="8">
        <f>Player_Analysis!AF267</f>
        <v>0</v>
      </c>
      <c r="J267" s="8">
        <f>Player_Analysis!AG267</f>
        <v>0</v>
      </c>
      <c r="K267">
        <f>Player_Analysis!O267</f>
        <v>0.17</v>
      </c>
      <c r="L267">
        <f>Player_Analysis!P267</f>
        <v>0.02</v>
      </c>
      <c r="M267">
        <f t="shared" si="107"/>
        <v>5.6666666666666678E-2</v>
      </c>
      <c r="N267">
        <f t="shared" si="108"/>
        <v>6.6666666666666662E-3</v>
      </c>
      <c r="O267" s="2">
        <f>IF(E267=0,"",Player_Analysis!L267/E267*90)</f>
        <v>4.333333333333333</v>
      </c>
      <c r="P267">
        <f>IF(E267=0,"",Player_Analysis!Q267/E267*90)</f>
        <v>6.3333333333333325E-2</v>
      </c>
      <c r="Q267">
        <f>IF(E267=0,"",(Player_Analysis!AD267/E267)*90)</f>
        <v>14.333333333333334</v>
      </c>
      <c r="R267">
        <f>IF(E267=0,"",Player_Analysis!AA267/E267*90)</f>
        <v>10.333333333333334</v>
      </c>
      <c r="S267">
        <f t="array" ref="S267">IFERROR(INDEX('2023_24'!$O:$O,MATCH($A267,'2023_24'!$A:$A,0)),"")</f>
        <v>4.6790757381258027E-2</v>
      </c>
      <c r="T267">
        <f>IFERROR(INDEX('2024_25'!$P:$P,MATCH($A267,'2024_25'!$A:$A,0)),"")</f>
        <v>4.3045037863690711E-2</v>
      </c>
      <c r="U267">
        <f>IFERROR(INDEX('2025_26'!$P:$P,MATCH($A267,'2025_26'!$A:$A,0)),"")</f>
        <v>4.5132743362831865E-2</v>
      </c>
      <c r="V267">
        <f>IFERROR(INDEX('2023_24'!$P:$P,MATCH($A267,'2023_24'!$A:$A,0)),"")</f>
        <v>3.725930680359435E-2</v>
      </c>
      <c r="W267">
        <f>IFERROR(INDEX('2024_25'!$Q:$Q,MATCH($A267,'2024_25'!$A:$A,0)),"")</f>
        <v>2.1881227580709445E-2</v>
      </c>
      <c r="X267">
        <f>IFERROR(INDEX('2025_26'!$Q:$Q,MATCH($A267,'2025_26'!$A:$A,0)),"")</f>
        <v>1.4601769911504426E-2</v>
      </c>
      <c r="Y267">
        <f>IFERROR(INDEX('2023_24'!$M:$M,MATCH($A267,'2023_24'!$A:$A,0))/INDEX('2023_24'!$G:$G,MATCH($A267,'2023_24'!$A:$A,0))*90,"")</f>
        <v>3.5815147625160466</v>
      </c>
      <c r="Z267">
        <f>IFERROR(INDEX('2024_25'!$M:$M,MATCH($A267,'2024_25'!$A:$A,0))/INDEX('2024_25'!$G:$G,MATCH($A267,'2024_25'!$A:$A,0))*90,"")</f>
        <v>3.1566361100039857</v>
      </c>
      <c r="AA267">
        <f>IFERROR(INDEX('2025_26'!$M:$M,MATCH($A267,'2025_26'!$A:$A,0))/INDEX('2025_26'!$G:$G,MATCH($A267,'2025_26'!$A:$A,0))*90,"")</f>
        <v>4.2477876106194685</v>
      </c>
      <c r="AB267">
        <f>IFERROR(SUMPRODUCT(S267:U267,{0.2,0.3,0.5})/SUMPRODUCT(--(S267:U267&lt;&gt;""),{0.2,0.3,0.5}),"")</f>
        <v>4.4838034516774754E-2</v>
      </c>
      <c r="AC267">
        <f>IFERROR(SUMPRODUCT(V267:X267,{0.2,0.3,0.5})/SUMPRODUCT(--(V267:X267&lt;&gt;""),{0.2,0.3,0.5}),"")</f>
        <v>2.1317114590683917E-2</v>
      </c>
      <c r="AD267">
        <f>IFERROR(SUMPRODUCT(Y267:AA267,{0.2,0.3,0.5})/SUMPRODUCT((Y267:AA267&lt;&gt;"")*{0.2,0.3,0.5}),O267)</f>
        <v>3.7871875908141392</v>
      </c>
      <c r="AE267">
        <f t="shared" si="109"/>
        <v>3</v>
      </c>
      <c r="AF267">
        <f t="shared" si="110"/>
        <v>90</v>
      </c>
      <c r="AG267">
        <f t="shared" si="111"/>
        <v>5.5483803451677485E-2</v>
      </c>
      <c r="AH267">
        <f t="shared" si="112"/>
        <v>8.1317114590683907E-3</v>
      </c>
      <c r="AI267" s="2">
        <f t="shared" si="113"/>
        <v>4.2787187590814142</v>
      </c>
      <c r="AJ267">
        <f t="shared" si="114"/>
        <v>0.9</v>
      </c>
      <c r="AK267" t="str">
        <f t="shared" si="115"/>
        <v>NO</v>
      </c>
      <c r="AL267">
        <f t="shared" si="116"/>
        <v>5.5483803451677485E-2</v>
      </c>
      <c r="AM267">
        <f t="shared" si="117"/>
        <v>8.1317114590683907E-3</v>
      </c>
      <c r="AN267">
        <f t="shared" si="118"/>
        <v>5.5483803451677485E-2</v>
      </c>
      <c r="AO267">
        <f t="shared" si="119"/>
        <v>8.1317114590683907E-3</v>
      </c>
      <c r="AP267">
        <f t="array" ref="AP267">AL267*IF($C267="GKP",10,IF($C267="DEF",6,IF($C267="MID",5,4)))</f>
        <v>0.33290282071006494</v>
      </c>
      <c r="AQ267">
        <f t="shared" si="120"/>
        <v>2.4395134377205172E-2</v>
      </c>
      <c r="AR267">
        <f t="shared" si="121"/>
        <v>2</v>
      </c>
      <c r="AS267" s="2">
        <f>IF($H267=0,0,Player_Analysis!$AM267*$H267/90)</f>
        <v>1.3333333333333333</v>
      </c>
      <c r="AT267">
        <f t="shared" si="122"/>
        <v>2.0666666666666669</v>
      </c>
      <c r="AU267" s="2">
        <f>0</f>
        <v>0</v>
      </c>
      <c r="AV267" s="2">
        <f>IF(INDEX(FPL_Raw_Data!K:K,MATCH(A267,FPL_Raw_Data!AA:AA,0))=0,"",INDEX(FPL_Raw_Data!P:P,MATCH(A267,FPL_Raw_Data!AA:AA,0))/INDEX(FPL_Raw_Data!K:K,MATCH(A267,FPL_Raw_Data!AA:AA,0))*90)</f>
        <v>0</v>
      </c>
      <c r="AW267" s="2">
        <f t="shared" si="123"/>
        <v>0</v>
      </c>
      <c r="AX267" s="2">
        <f>IFERROR(INDEX(TEAM_ANALYSIS!$H$2:$H$21,MATCH($B267,TEAM_ANALYSIS!$A$2:$A$21,0)),0)</f>
        <v>1</v>
      </c>
      <c r="AY267" s="2">
        <f t="shared" si="124"/>
        <v>-0.5</v>
      </c>
      <c r="AZ267" s="2">
        <f t="shared" si="125"/>
        <v>5.2572979550872709</v>
      </c>
      <c r="BA267">
        <f t="shared" si="126"/>
        <v>0.95587235547041294</v>
      </c>
      <c r="BB267">
        <f>IFERROR(Player_Analysis!$Y267,1)</f>
        <v>1.1192513001836562</v>
      </c>
      <c r="BC267">
        <f t="shared" si="127"/>
        <v>5.8842375716843049</v>
      </c>
      <c r="BD267">
        <f t="shared" si="128"/>
        <v>5.6245800277933791</v>
      </c>
      <c r="BE267">
        <f t="shared" si="129"/>
        <v>5.8842375716843049</v>
      </c>
      <c r="BF267">
        <f t="shared" si="130"/>
        <v>51</v>
      </c>
      <c r="BG267">
        <f>IF($BE267="","",COUNTIFS($C$2:$C$596,$C267,$BE$2:$BE$596,"&gt;"&amp;$BE267)+COUNTIFS($C$2:$C267,$C267,$BE$2:$BE267,$BE267))</f>
        <v>25</v>
      </c>
    </row>
    <row r="268" spans="1:59" x14ac:dyDescent="0.25">
      <c r="A268" t="str">
        <f>Player_Analysis!A268</f>
        <v>Michael Keane</v>
      </c>
      <c r="B268">
        <f>Player_Analysis!C268</f>
        <v>9</v>
      </c>
      <c r="C268" t="str">
        <f>Player_Analysis!B268</f>
        <v>DEF</v>
      </c>
      <c r="D268" s="13">
        <f>Player_Analysis!E268</f>
        <v>4.9000000000000004</v>
      </c>
      <c r="E268">
        <f>Player_Analysis!I268</f>
        <v>0</v>
      </c>
      <c r="F268" s="8">
        <f>Player_Analysis!Z268</f>
        <v>0</v>
      </c>
      <c r="G268" s="17">
        <f t="shared" si="105"/>
        <v>0</v>
      </c>
      <c r="H268">
        <f t="shared" si="106"/>
        <v>0</v>
      </c>
      <c r="I268" s="8">
        <f>Player_Analysis!AF268</f>
        <v>0</v>
      </c>
      <c r="J268" s="8">
        <f>Player_Analysis!AG268</f>
        <v>0</v>
      </c>
      <c r="K268">
        <f>Player_Analysis!O268</f>
        <v>0</v>
      </c>
      <c r="L268">
        <f>Player_Analysis!P268</f>
        <v>0</v>
      </c>
      <c r="M268" t="str">
        <f t="shared" si="107"/>
        <v/>
      </c>
      <c r="N268" t="str">
        <f t="shared" si="108"/>
        <v/>
      </c>
      <c r="O268" s="2" t="str">
        <f>IF(E268=0,"",Player_Analysis!L268/E268*90)</f>
        <v/>
      </c>
      <c r="P268" t="str">
        <f>IF(E268=0,"",Player_Analysis!Q268/E268*90)</f>
        <v/>
      </c>
      <c r="Q268" t="str">
        <f>IF(E268=0,"",(Player_Analysis!AD268/E268)*90)</f>
        <v/>
      </c>
      <c r="R268" t="str">
        <f>IF(E268=0,"",Player_Analysis!AA268/E268*90)</f>
        <v/>
      </c>
      <c r="S268">
        <f t="array" ref="S268">IFERROR(INDEX('2023_24'!$O:$O,MATCH($A268,'2023_24'!$A:$A,0)),"")</f>
        <v>0.11533180778032039</v>
      </c>
      <c r="T268">
        <f>IFERROR(INDEX('2024_25'!$P:$P,MATCH($A268,'2024_25'!$A:$A,0)),"")</f>
        <v>5.248565965583174E-2</v>
      </c>
      <c r="U268">
        <f>IFERROR(INDEX('2025_26'!$P:$P,MATCH($A268,'2025_26'!$A:$A,0)),"")</f>
        <v>7.9984544049459039E-2</v>
      </c>
      <c r="V268">
        <f>IFERROR(INDEX('2023_24'!$P:$P,MATCH($A268,'2023_24'!$A:$A,0)),"")</f>
        <v>1.2356979405034324E-2</v>
      </c>
      <c r="W268">
        <f>IFERROR(INDEX('2024_25'!$Q:$Q,MATCH($A268,'2024_25'!$A:$A,0)),"")</f>
        <v>1.7208413001912047E-3</v>
      </c>
      <c r="X268">
        <f>IFERROR(INDEX('2025_26'!$Q:$Q,MATCH($A268,'2025_26'!$A:$A,0)),"")</f>
        <v>1.704018547140649E-2</v>
      </c>
      <c r="Y268">
        <f>IFERROR(INDEX('2023_24'!$M:$M,MATCH($A268,'2023_24'!$A:$A,0))/INDEX('2023_24'!$G:$G,MATCH($A268,'2023_24'!$A:$A,0))*90,"")</f>
        <v>3.7070938215102975</v>
      </c>
      <c r="Z268">
        <f>IFERROR(INDEX('2024_25'!$M:$M,MATCH($A268,'2024_25'!$A:$A,0))/INDEX('2024_25'!$G:$G,MATCH($A268,'2024_25'!$A:$A,0))*90,"")</f>
        <v>4.1300191204588907</v>
      </c>
      <c r="AA268">
        <f>IFERROR(INDEX('2025_26'!$M:$M,MATCH($A268,'2025_26'!$A:$A,0))/INDEX('2025_26'!$G:$G,MATCH($A268,'2025_26'!$A:$A,0))*90,"")</f>
        <v>4.5556414219474499</v>
      </c>
      <c r="AB268">
        <f>IFERROR(SUMPRODUCT(S268:U268,{0.2,0.3,0.5})/SUMPRODUCT(--(S268:U268&lt;&gt;""),{0.2,0.3,0.5}),"")</f>
        <v>7.8804331477543121E-2</v>
      </c>
      <c r="AC268">
        <f>IFERROR(SUMPRODUCT(V268:X268,{0.2,0.3,0.5})/SUMPRODUCT(--(V268:X268&lt;&gt;""),{0.2,0.3,0.5}),"")</f>
        <v>1.150774100676747E-2</v>
      </c>
      <c r="AD268">
        <f>IFERROR(SUMPRODUCT(Y268:AA268,{0.2,0.3,0.5})/SUMPRODUCT((Y268:AA268&lt;&gt;"")*{0.2,0.3,0.5}),O268)</f>
        <v>4.2582452114134517</v>
      </c>
      <c r="AE268">
        <f t="shared" si="109"/>
        <v>3</v>
      </c>
      <c r="AF268" t="str">
        <f t="shared" si="110"/>
        <v/>
      </c>
      <c r="AG268">
        <f t="shared" si="111"/>
        <v>7.8804331477543121E-2</v>
      </c>
      <c r="AH268">
        <f t="shared" si="112"/>
        <v>1.150774100676747E-2</v>
      </c>
      <c r="AI268" s="2">
        <f t="shared" si="113"/>
        <v>4.2582452114134517</v>
      </c>
      <c r="AJ268">
        <f t="shared" si="114"/>
        <v>0</v>
      </c>
      <c r="AK268" t="str">
        <f t="shared" si="115"/>
        <v>NO</v>
      </c>
      <c r="AL268">
        <f t="shared" si="116"/>
        <v>0</v>
      </c>
      <c r="AM268">
        <f t="shared" si="117"/>
        <v>0</v>
      </c>
      <c r="AN268">
        <f t="shared" si="118"/>
        <v>0</v>
      </c>
      <c r="AO268">
        <f t="shared" si="119"/>
        <v>0</v>
      </c>
      <c r="AP268">
        <f t="array" ref="AP268">AL268*IF($C268="GKP",10,IF($C268="DEF",6,IF($C268="MID",5,4)))</f>
        <v>0</v>
      </c>
      <c r="AQ268">
        <f t="shared" si="120"/>
        <v>0</v>
      </c>
      <c r="AR268">
        <f t="shared" si="121"/>
        <v>0</v>
      </c>
      <c r="AS268" s="2">
        <f>IF($H268=0,0,Player_Analysis!$AM268*$H268/90)</f>
        <v>0</v>
      </c>
      <c r="AT268">
        <f t="shared" si="122"/>
        <v>0</v>
      </c>
      <c r="AU268" s="2">
        <f>0</f>
        <v>0</v>
      </c>
      <c r="AV268" s="2" t="str">
        <f>IF(INDEX(FPL_Raw_Data!K:K,MATCH(A268,FPL_Raw_Data!AA:AA,0))=0,"",INDEX(FPL_Raw_Data!P:P,MATCH(A268,FPL_Raw_Data!AA:AA,0))/INDEX(FPL_Raw_Data!K:K,MATCH(A268,FPL_Raw_Data!AA:AA,0))*90)</f>
        <v/>
      </c>
      <c r="AW268" s="2">
        <f t="shared" si="123"/>
        <v>0</v>
      </c>
      <c r="AX268" s="2">
        <f>IFERROR(INDEX(TEAM_ANALYSIS!$H$2:$H$21,MATCH($B268,TEAM_ANALYSIS!$A$2:$A$21,0)),0)</f>
        <v>1</v>
      </c>
      <c r="AY268" s="2">
        <f t="shared" si="124"/>
        <v>-0.5</v>
      </c>
      <c r="AZ268" s="2">
        <f t="shared" si="125"/>
        <v>-0.5</v>
      </c>
      <c r="BA268">
        <f t="shared" si="126"/>
        <v>-0.1020408163265306</v>
      </c>
      <c r="BB268">
        <f>IFERROR(Player_Analysis!$Y268,1)</f>
        <v>1.1192513001836562</v>
      </c>
      <c r="BC268">
        <f t="shared" si="127"/>
        <v>-0.55962565009182808</v>
      </c>
      <c r="BD268">
        <f t="shared" si="128"/>
        <v>5.7104658172635513E-2</v>
      </c>
      <c r="BE268">
        <f t="shared" si="129"/>
        <v>-0.55962565009182808</v>
      </c>
      <c r="BF268">
        <f t="shared" si="130"/>
        <v>525</v>
      </c>
      <c r="BG268">
        <f>IF($BE268="","",COUNTIFS($C$2:$C$596,$C268,$BE$2:$BE$596,"&gt;"&amp;$BE268)+COUNTIFS($C$2:$C268,$C268,$BE$2:$BE268,$BE268))</f>
        <v>122</v>
      </c>
    </row>
    <row r="269" spans="1:59" x14ac:dyDescent="0.25">
      <c r="A269" t="str">
        <f>Player_Analysis!A269</f>
        <v>Jake O'Brien</v>
      </c>
      <c r="B269">
        <f>Player_Analysis!C269</f>
        <v>9</v>
      </c>
      <c r="C269" t="str">
        <f>Player_Analysis!B269</f>
        <v>DEF</v>
      </c>
      <c r="D269" s="13">
        <f>Player_Analysis!E269</f>
        <v>4.9000000000000004</v>
      </c>
      <c r="E269">
        <f>Player_Analysis!I269</f>
        <v>0</v>
      </c>
      <c r="F269" s="8">
        <f>Player_Analysis!Z269</f>
        <v>0</v>
      </c>
      <c r="G269" s="17">
        <f t="shared" si="105"/>
        <v>0</v>
      </c>
      <c r="H269">
        <f t="shared" si="106"/>
        <v>0</v>
      </c>
      <c r="I269" s="8">
        <f>Player_Analysis!AF269</f>
        <v>0</v>
      </c>
      <c r="J269" s="8">
        <f>Player_Analysis!AG269</f>
        <v>0</v>
      </c>
      <c r="K269">
        <f>Player_Analysis!O269</f>
        <v>0</v>
      </c>
      <c r="L269">
        <f>Player_Analysis!P269</f>
        <v>0</v>
      </c>
      <c r="M269" t="str">
        <f t="shared" si="107"/>
        <v/>
      </c>
      <c r="N269" t="str">
        <f t="shared" si="108"/>
        <v/>
      </c>
      <c r="O269" s="2" t="str">
        <f>IF(E269=0,"",Player_Analysis!L269/E269*90)</f>
        <v/>
      </c>
      <c r="P269" t="str">
        <f>IF(E269=0,"",Player_Analysis!Q269/E269*90)</f>
        <v/>
      </c>
      <c r="Q269" t="str">
        <f>IF(E269=0,"",(Player_Analysis!AD269/E269)*90)</f>
        <v/>
      </c>
      <c r="R269" t="str">
        <f>IF(E269=0,"",Player_Analysis!AA269/E269*90)</f>
        <v/>
      </c>
      <c r="S269">
        <f t="array" ref="S269">IFERROR(INDEX('2023_24'!$O:$O,MATCH($A269,'2023_24'!$A:$A,0)),"")</f>
        <v>0</v>
      </c>
      <c r="T269">
        <f>IFERROR(INDEX('2024_25'!$P:$P,MATCH($A269,'2024_25'!$A:$A,0)),"")</f>
        <v>4.4196428571428574E-2</v>
      </c>
      <c r="U269">
        <f>IFERROR(INDEX('2025_26'!$P:$P,MATCH($A269,'2025_26'!$A:$A,0)),"")</f>
        <v>4.8203976908274535E-2</v>
      </c>
      <c r="V269">
        <f>IFERROR(INDEX('2023_24'!$P:$P,MATCH($A269,'2023_24'!$A:$A,0)),"")</f>
        <v>0</v>
      </c>
      <c r="W269">
        <f>IFERROR(INDEX('2024_25'!$Q:$Q,MATCH($A269,'2024_25'!$A:$A,0)),"")</f>
        <v>1.7793367346938774E-2</v>
      </c>
      <c r="X269">
        <f>IFERROR(INDEX('2025_26'!$Q:$Q,MATCH($A269,'2025_26'!$A:$A,0)),"")</f>
        <v>2.8864656831302116E-2</v>
      </c>
      <c r="Y269" t="str">
        <f>IFERROR(INDEX('2023_24'!$M:$M,MATCH($A269,'2023_24'!$A:$A,0))/INDEX('2023_24'!$G:$G,MATCH($A269,'2023_24'!$A:$A,0))*90,"")</f>
        <v/>
      </c>
      <c r="Z269">
        <f>IFERROR(INDEX('2024_25'!$M:$M,MATCH($A269,'2024_25'!$A:$A,0))/INDEX('2024_25'!$G:$G,MATCH($A269,'2024_25'!$A:$A,0))*90,"")</f>
        <v>3.7308673469387754</v>
      </c>
      <c r="AA269">
        <f>IFERROR(INDEX('2025_26'!$M:$M,MATCH($A269,'2025_26'!$A:$A,0))/INDEX('2025_26'!$G:$G,MATCH($A269,'2025_26'!$A:$A,0))*90,"")</f>
        <v>3.3483001924310454</v>
      </c>
      <c r="AB269">
        <f>IFERROR(SUMPRODUCT(S269:U269,{0.2,0.3,0.5})/SUMPRODUCT(--(S269:U269&lt;&gt;""),{0.2,0.3,0.5}),"")</f>
        <v>3.7360917025565842E-2</v>
      </c>
      <c r="AC269">
        <f>IFERROR(SUMPRODUCT(V269:X269,{0.2,0.3,0.5})/SUMPRODUCT(--(V269:X269&lt;&gt;""),{0.2,0.3,0.5}),"")</f>
        <v>1.9770338619732691E-2</v>
      </c>
      <c r="AD269">
        <f>IFERROR(SUMPRODUCT(Y269:AA269,{0.2,0.3,0.5})/SUMPRODUCT((Y269:AA269&lt;&gt;"")*{0.2,0.3,0.5}),O269)</f>
        <v>3.4917628753714438</v>
      </c>
      <c r="AE269">
        <f t="shared" si="109"/>
        <v>3</v>
      </c>
      <c r="AF269" t="str">
        <f t="shared" si="110"/>
        <v/>
      </c>
      <c r="AG269">
        <f t="shared" si="111"/>
        <v>3.7360917025565842E-2</v>
      </c>
      <c r="AH269">
        <f t="shared" si="112"/>
        <v>1.9770338619732691E-2</v>
      </c>
      <c r="AI269" s="2">
        <f t="shared" si="113"/>
        <v>3.4917628753714438</v>
      </c>
      <c r="AJ269">
        <f t="shared" si="114"/>
        <v>0</v>
      </c>
      <c r="AK269" t="str">
        <f t="shared" si="115"/>
        <v>NO</v>
      </c>
      <c r="AL269">
        <f t="shared" si="116"/>
        <v>0</v>
      </c>
      <c r="AM269">
        <f t="shared" si="117"/>
        <v>0</v>
      </c>
      <c r="AN269">
        <f t="shared" si="118"/>
        <v>0</v>
      </c>
      <c r="AO269">
        <f t="shared" si="119"/>
        <v>0</v>
      </c>
      <c r="AP269">
        <f t="array" ref="AP269">AL269*IF($C269="GKP",10,IF($C269="DEF",6,IF($C269="MID",5,4)))</f>
        <v>0</v>
      </c>
      <c r="AQ269">
        <f t="shared" si="120"/>
        <v>0</v>
      </c>
      <c r="AR269">
        <f t="shared" si="121"/>
        <v>0</v>
      </c>
      <c r="AS269" s="2">
        <f>IF($H269=0,0,Player_Analysis!$AM269*$H269/90)</f>
        <v>0</v>
      </c>
      <c r="AT269">
        <f t="shared" si="122"/>
        <v>0</v>
      </c>
      <c r="AU269" s="2">
        <f>0</f>
        <v>0</v>
      </c>
      <c r="AV269" s="2" t="str">
        <f>IF(INDEX(FPL_Raw_Data!K:K,MATCH(A269,FPL_Raw_Data!AA:AA,0))=0,"",INDEX(FPL_Raw_Data!P:P,MATCH(A269,FPL_Raw_Data!AA:AA,0))/INDEX(FPL_Raw_Data!K:K,MATCH(A269,FPL_Raw_Data!AA:AA,0))*90)</f>
        <v/>
      </c>
      <c r="AW269" s="2">
        <f t="shared" si="123"/>
        <v>0</v>
      </c>
      <c r="AX269" s="2">
        <f>IFERROR(INDEX(TEAM_ANALYSIS!$H$2:$H$21,MATCH($B269,TEAM_ANALYSIS!$A$2:$A$21,0)),0)</f>
        <v>1</v>
      </c>
      <c r="AY269" s="2">
        <f t="shared" si="124"/>
        <v>-0.5</v>
      </c>
      <c r="AZ269" s="2">
        <f t="shared" si="125"/>
        <v>-0.5</v>
      </c>
      <c r="BA269">
        <f t="shared" si="126"/>
        <v>-0.1020408163265306</v>
      </c>
      <c r="BB269">
        <f>IFERROR(Player_Analysis!$Y269,1)</f>
        <v>1.1192513001836562</v>
      </c>
      <c r="BC269">
        <f t="shared" si="127"/>
        <v>-0.55962565009182808</v>
      </c>
      <c r="BD269">
        <f t="shared" si="128"/>
        <v>5.7104658172635513E-2</v>
      </c>
      <c r="BE269">
        <f t="shared" si="129"/>
        <v>-0.55962565009182808</v>
      </c>
      <c r="BF269">
        <f t="shared" si="130"/>
        <v>525</v>
      </c>
      <c r="BG269">
        <f>IF($BE269="","",COUNTIFS($C$2:$C$596,$C269,$BE$2:$BE$596,"&gt;"&amp;$BE269)+COUNTIFS($C$2:$C269,$C269,$BE$2:$BE269,$BE269))</f>
        <v>123</v>
      </c>
    </row>
    <row r="270" spans="1:59" x14ac:dyDescent="0.25">
      <c r="A270" t="str">
        <f>Player_Analysis!A270</f>
        <v>Vitalii Mykolenko</v>
      </c>
      <c r="B270">
        <f>Player_Analysis!C270</f>
        <v>9</v>
      </c>
      <c r="C270" t="str">
        <f>Player_Analysis!B270</f>
        <v>DEF</v>
      </c>
      <c r="D270" s="13">
        <f>Player_Analysis!E270</f>
        <v>4.5</v>
      </c>
      <c r="E270">
        <f>Player_Analysis!I270</f>
        <v>270</v>
      </c>
      <c r="F270" s="8">
        <f>Player_Analysis!Z270</f>
        <v>3</v>
      </c>
      <c r="G270" s="17">
        <f t="shared" si="105"/>
        <v>1</v>
      </c>
      <c r="H270">
        <f t="shared" si="106"/>
        <v>90</v>
      </c>
      <c r="I270" s="8">
        <f>Player_Analysis!AF270</f>
        <v>0</v>
      </c>
      <c r="J270" s="8">
        <f>Player_Analysis!AG270</f>
        <v>0</v>
      </c>
      <c r="K270">
        <f>Player_Analysis!O270</f>
        <v>0</v>
      </c>
      <c r="L270">
        <f>Player_Analysis!P270</f>
        <v>7.0000000000000007E-2</v>
      </c>
      <c r="M270">
        <f t="shared" si="107"/>
        <v>0</v>
      </c>
      <c r="N270">
        <f t="shared" si="108"/>
        <v>2.3333333333333334E-2</v>
      </c>
      <c r="O270" s="2">
        <f>IF(E270=0,"",Player_Analysis!L270/E270*90)</f>
        <v>3.666666666666667</v>
      </c>
      <c r="P270">
        <f>IF(E270=0,"",Player_Analysis!Q270/E270*90)</f>
        <v>2.3333333333333334E-2</v>
      </c>
      <c r="Q270">
        <f>IF(E270=0,"",(Player_Analysis!AD270/E270)*90)</f>
        <v>14</v>
      </c>
      <c r="R270">
        <f>IF(E270=0,"",Player_Analysis!AA270/E270*90)</f>
        <v>7.3333333333333339</v>
      </c>
      <c r="S270">
        <f t="array" ref="S270">IFERROR(INDEX('2023_24'!$O:$O,MATCH($A270,'2023_24'!$A:$A,0)),"")</f>
        <v>5.4313487241798297E-2</v>
      </c>
      <c r="T270">
        <f>IFERROR(INDEX('2024_25'!$P:$P,MATCH($A270,'2024_25'!$A:$A,0)),"")</f>
        <v>1.4016872160934458E-2</v>
      </c>
      <c r="U270">
        <f>IFERROR(INDEX('2025_26'!$P:$P,MATCH($A270,'2025_26'!$A:$A,0)),"")</f>
        <v>8.5163906725245035E-3</v>
      </c>
      <c r="V270">
        <f>IFERROR(INDEX('2023_24'!$P:$P,MATCH($A270,'2023_24'!$A:$A,0)),"")</f>
        <v>3.9003645200486034E-2</v>
      </c>
      <c r="W270">
        <f>IFERROR(INDEX('2024_25'!$Q:$Q,MATCH($A270,'2024_25'!$A:$A,0)),"")</f>
        <v>6.1907852044127201E-2</v>
      </c>
      <c r="X270">
        <f>IFERROR(INDEX('2025_26'!$Q:$Q,MATCH($A270,'2025_26'!$A:$A,0)),"")</f>
        <v>7.4822575194322408E-2</v>
      </c>
      <c r="Y270">
        <f>IFERROR(INDEX('2023_24'!$M:$M,MATCH($A270,'2023_24'!$A:$A,0))/INDEX('2023_24'!$G:$G,MATCH($A270,'2023_24'!$A:$A,0))*90,"")</f>
        <v>3.6816524908869988</v>
      </c>
      <c r="Z270">
        <f>IFERROR(INDEX('2024_25'!$M:$M,MATCH($A270,'2024_25'!$A:$A,0))/INDEX('2024_25'!$G:$G,MATCH($A270,'2024_25'!$A:$A,0))*90,"")</f>
        <v>3.5334198572355611</v>
      </c>
      <c r="AA270">
        <f>IFERROR(INDEX('2025_26'!$M:$M,MATCH($A270,'2025_26'!$A:$A,0))/INDEX('2025_26'!$G:$G,MATCH($A270,'2025_26'!$A:$A,0))*90,"")</f>
        <v>2.8894896924636706</v>
      </c>
      <c r="AB270">
        <f>IFERROR(SUMPRODUCT(S270:U270,{0.2,0.3,0.5})/SUMPRODUCT(--(S270:U270&lt;&gt;""),{0.2,0.3,0.5}),"")</f>
        <v>1.9325954432902248E-2</v>
      </c>
      <c r="AC270">
        <f>IFERROR(SUMPRODUCT(V270:X270,{0.2,0.3,0.5})/SUMPRODUCT(--(V270:X270&lt;&gt;""),{0.2,0.3,0.5}),"")</f>
        <v>6.3784372250496574E-2</v>
      </c>
      <c r="AD270">
        <f>IFERROR(SUMPRODUCT(Y270:AA270,{0.2,0.3,0.5})/SUMPRODUCT((Y270:AA270&lt;&gt;"")*{0.2,0.3,0.5}),O270)</f>
        <v>3.2411013015799033</v>
      </c>
      <c r="AE270">
        <f t="shared" si="109"/>
        <v>3</v>
      </c>
      <c r="AF270">
        <f t="shared" si="110"/>
        <v>90</v>
      </c>
      <c r="AG270">
        <f t="shared" si="111"/>
        <v>1.9325954432902245E-3</v>
      </c>
      <c r="AH270">
        <f t="shared" si="112"/>
        <v>2.7378437225049658E-2</v>
      </c>
      <c r="AI270" s="2">
        <f t="shared" si="113"/>
        <v>3.6241101301579906</v>
      </c>
      <c r="AJ270">
        <f t="shared" si="114"/>
        <v>0.9</v>
      </c>
      <c r="AK270" t="str">
        <f t="shared" si="115"/>
        <v>NO</v>
      </c>
      <c r="AL270">
        <f t="shared" si="116"/>
        <v>1.9325954432902245E-3</v>
      </c>
      <c r="AM270">
        <f t="shared" si="117"/>
        <v>2.7378437225049658E-2</v>
      </c>
      <c r="AN270">
        <f t="shared" si="118"/>
        <v>1.9325954432902245E-3</v>
      </c>
      <c r="AO270">
        <f t="shared" si="119"/>
        <v>2.7378437225049658E-2</v>
      </c>
      <c r="AP270">
        <f t="array" ref="AP270">AL270*IF($C270="GKP",10,IF($C270="DEF",6,IF($C270="MID",5,4)))</f>
        <v>1.1595572659741347E-2</v>
      </c>
      <c r="AQ270">
        <f t="shared" si="120"/>
        <v>8.2135311675148981E-2</v>
      </c>
      <c r="AR270">
        <f t="shared" si="121"/>
        <v>2</v>
      </c>
      <c r="AS270" s="2">
        <f>IF($H270=0,0,Player_Analysis!$AM270*$H270/90)</f>
        <v>1.3333333333333333</v>
      </c>
      <c r="AT270">
        <f t="shared" si="122"/>
        <v>1.4666666666666666</v>
      </c>
      <c r="AU270" s="2">
        <f>0</f>
        <v>0</v>
      </c>
      <c r="AV270" s="2">
        <f>IF(INDEX(FPL_Raw_Data!K:K,MATCH(A270,FPL_Raw_Data!AA:AA,0))=0,"",INDEX(FPL_Raw_Data!P:P,MATCH(A270,FPL_Raw_Data!AA:AA,0))/INDEX(FPL_Raw_Data!K:K,MATCH(A270,FPL_Raw_Data!AA:AA,0))*90)</f>
        <v>0</v>
      </c>
      <c r="AW270" s="2">
        <f t="shared" si="123"/>
        <v>0</v>
      </c>
      <c r="AX270" s="2">
        <f>IFERROR(INDEX(TEAM_ANALYSIS!$H$2:$H$21,MATCH($B270,TEAM_ANALYSIS!$A$2:$A$21,0)),0)</f>
        <v>1</v>
      </c>
      <c r="AY270" s="2">
        <f t="shared" si="124"/>
        <v>-0.5</v>
      </c>
      <c r="AZ270" s="2">
        <f t="shared" si="125"/>
        <v>4.3937308843348903</v>
      </c>
      <c r="BA270">
        <f t="shared" si="126"/>
        <v>0.97638464096330901</v>
      </c>
      <c r="BB270">
        <f>IFERROR(Player_Analysis!$Y270,1)</f>
        <v>1.1192513001836562</v>
      </c>
      <c r="BC270">
        <f t="shared" si="127"/>
        <v>4.9176890049489117</v>
      </c>
      <c r="BD270">
        <f t="shared" si="128"/>
        <v>4.8015560134662554</v>
      </c>
      <c r="BE270">
        <f t="shared" si="129"/>
        <v>4.9176890049489117</v>
      </c>
      <c r="BF270">
        <f t="shared" si="130"/>
        <v>99</v>
      </c>
      <c r="BG270">
        <f>IF($BE270="","",COUNTIFS($C$2:$C$596,$C270,$BE$2:$BE$596,"&gt;"&amp;$BE270)+COUNTIFS($C$2:$C270,$C270,$BE$2:$BE270,$BE270))</f>
        <v>37</v>
      </c>
    </row>
    <row r="271" spans="1:59" x14ac:dyDescent="0.25">
      <c r="A271" t="str">
        <f>Player_Analysis!A271</f>
        <v>Nathan Patterson</v>
      </c>
      <c r="B271">
        <f>Player_Analysis!C271</f>
        <v>9</v>
      </c>
      <c r="C271" t="str">
        <f>Player_Analysis!B271</f>
        <v>DEF</v>
      </c>
      <c r="D271" s="13">
        <f>Player_Analysis!E271</f>
        <v>4.5</v>
      </c>
      <c r="E271">
        <f>Player_Analysis!I271</f>
        <v>0</v>
      </c>
      <c r="F271" s="8">
        <f>Player_Analysis!Z271</f>
        <v>0</v>
      </c>
      <c r="G271" s="17">
        <f t="shared" si="105"/>
        <v>0</v>
      </c>
      <c r="H271">
        <f t="shared" si="106"/>
        <v>0</v>
      </c>
      <c r="I271" s="8">
        <f>Player_Analysis!AF271</f>
        <v>0</v>
      </c>
      <c r="J271" s="8">
        <f>Player_Analysis!AG271</f>
        <v>0</v>
      </c>
      <c r="K271">
        <f>Player_Analysis!O271</f>
        <v>0</v>
      </c>
      <c r="L271">
        <f>Player_Analysis!P271</f>
        <v>0</v>
      </c>
      <c r="M271" t="str">
        <f t="shared" si="107"/>
        <v/>
      </c>
      <c r="N271" t="str">
        <f t="shared" si="108"/>
        <v/>
      </c>
      <c r="O271" s="2" t="str">
        <f>IF(E271=0,"",Player_Analysis!L271/E271*90)</f>
        <v/>
      </c>
      <c r="P271" t="str">
        <f>IF(E271=0,"",Player_Analysis!Q271/E271*90)</f>
        <v/>
      </c>
      <c r="Q271" t="str">
        <f>IF(E271=0,"",(Player_Analysis!AD271/E271)*90)</f>
        <v/>
      </c>
      <c r="R271" t="str">
        <f>IF(E271=0,"",Player_Analysis!AA271/E271*90)</f>
        <v/>
      </c>
      <c r="S271">
        <f t="array" ref="S271">IFERROR(INDEX('2023_24'!$O:$O,MATCH($A271,'2023_24'!$A:$A,0)),"")</f>
        <v>3.0600000000000002E-2</v>
      </c>
      <c r="T271">
        <f>IFERROR(INDEX('2024_25'!$P:$P,MATCH($A271,'2024_25'!$A:$A,0)),"")</f>
        <v>1.8421052631578949E-2</v>
      </c>
      <c r="U271">
        <f>IFERROR(INDEX('2025_26'!$P:$P,MATCH($A271,'2025_26'!$A:$A,0)),"")</f>
        <v>1.134453781512605E-2</v>
      </c>
      <c r="V271">
        <f>IFERROR(INDEX('2023_24'!$P:$P,MATCH($A271,'2023_24'!$A:$A,0)),"")</f>
        <v>9.2700000000000005E-2</v>
      </c>
      <c r="W271">
        <f>IFERROR(INDEX('2024_25'!$Q:$Q,MATCH($A271,'2024_25'!$A:$A,0)),"")</f>
        <v>0.1</v>
      </c>
      <c r="X271">
        <f>IFERROR(INDEX('2025_26'!$Q:$Q,MATCH($A271,'2025_26'!$A:$A,0)),"")</f>
        <v>1.5126050420168067E-2</v>
      </c>
      <c r="Y271">
        <f>IFERROR(INDEX('2023_24'!$M:$M,MATCH($A271,'2023_24'!$A:$A,0))/INDEX('2023_24'!$G:$G,MATCH($A271,'2023_24'!$A:$A,0))*90,"")</f>
        <v>3.06</v>
      </c>
      <c r="Z271">
        <f>IFERROR(INDEX('2024_25'!$M:$M,MATCH($A271,'2024_25'!$A:$A,0))/INDEX('2024_25'!$G:$G,MATCH($A271,'2024_25'!$A:$A,0))*90,"")</f>
        <v>3.6842105263157894</v>
      </c>
      <c r="AA271">
        <f>IFERROR(INDEX('2025_26'!$M:$M,MATCH($A271,'2025_26'!$A:$A,0))/INDEX('2025_26'!$G:$G,MATCH($A271,'2025_26'!$A:$A,0))*90,"")</f>
        <v>8.3193277310924376</v>
      </c>
      <c r="AB271">
        <f>IFERROR(SUMPRODUCT(S271:U271,{0.2,0.3,0.5})/SUMPRODUCT(--(S271:U271&lt;&gt;""),{0.2,0.3,0.5}),"")</f>
        <v>1.7318584697036711E-2</v>
      </c>
      <c r="AC271">
        <f>IFERROR(SUMPRODUCT(V271:X271,{0.2,0.3,0.5})/SUMPRODUCT(--(V271:X271&lt;&gt;""),{0.2,0.3,0.5}),"")</f>
        <v>5.6103025210084034E-2</v>
      </c>
      <c r="AD271">
        <f>IFERROR(SUMPRODUCT(Y271:AA271,{0.2,0.3,0.5})/SUMPRODUCT((Y271:AA271&lt;&gt;"")*{0.2,0.3,0.5}),O271)</f>
        <v>5.8769270234409561</v>
      </c>
      <c r="AE271">
        <f t="shared" si="109"/>
        <v>3</v>
      </c>
      <c r="AF271" t="str">
        <f t="shared" si="110"/>
        <v/>
      </c>
      <c r="AG271">
        <f t="shared" si="111"/>
        <v>1.7318584697036711E-2</v>
      </c>
      <c r="AH271">
        <f t="shared" si="112"/>
        <v>5.6103025210084034E-2</v>
      </c>
      <c r="AI271" s="2">
        <f t="shared" si="113"/>
        <v>5.8769270234409561</v>
      </c>
      <c r="AJ271">
        <f t="shared" si="114"/>
        <v>0</v>
      </c>
      <c r="AK271" t="str">
        <f t="shared" si="115"/>
        <v>NO</v>
      </c>
      <c r="AL271">
        <f t="shared" si="116"/>
        <v>0</v>
      </c>
      <c r="AM271">
        <f t="shared" si="117"/>
        <v>0</v>
      </c>
      <c r="AN271">
        <f t="shared" si="118"/>
        <v>0</v>
      </c>
      <c r="AO271">
        <f t="shared" si="119"/>
        <v>0</v>
      </c>
      <c r="AP271">
        <f t="array" ref="AP271">AL271*IF($C271="GKP",10,IF($C271="DEF",6,IF($C271="MID",5,4)))</f>
        <v>0</v>
      </c>
      <c r="AQ271">
        <f t="shared" si="120"/>
        <v>0</v>
      </c>
      <c r="AR271">
        <f t="shared" si="121"/>
        <v>0</v>
      </c>
      <c r="AS271" s="2">
        <f>IF($H271=0,0,Player_Analysis!$AM271*$H271/90)</f>
        <v>0</v>
      </c>
      <c r="AT271">
        <f t="shared" si="122"/>
        <v>0</v>
      </c>
      <c r="AU271" s="2">
        <f>0</f>
        <v>0</v>
      </c>
      <c r="AV271" s="2" t="str">
        <f>IF(INDEX(FPL_Raw_Data!K:K,MATCH(A271,FPL_Raw_Data!AA:AA,0))=0,"",INDEX(FPL_Raw_Data!P:P,MATCH(A271,FPL_Raw_Data!AA:AA,0))/INDEX(FPL_Raw_Data!K:K,MATCH(A271,FPL_Raw_Data!AA:AA,0))*90)</f>
        <v/>
      </c>
      <c r="AW271" s="2">
        <f t="shared" si="123"/>
        <v>0</v>
      </c>
      <c r="AX271" s="2">
        <f>IFERROR(INDEX(TEAM_ANALYSIS!$H$2:$H$21,MATCH($B271,TEAM_ANALYSIS!$A$2:$A$21,0)),0)</f>
        <v>1</v>
      </c>
      <c r="AY271" s="2">
        <f t="shared" si="124"/>
        <v>-0.5</v>
      </c>
      <c r="AZ271" s="2">
        <f t="shared" si="125"/>
        <v>-0.5</v>
      </c>
      <c r="BA271">
        <f t="shared" si="126"/>
        <v>-0.1111111111111111</v>
      </c>
      <c r="BB271">
        <f>IFERROR(Player_Analysis!$Y271,1)</f>
        <v>1.1192513001836562</v>
      </c>
      <c r="BC271">
        <f t="shared" si="127"/>
        <v>-0.55962565009182808</v>
      </c>
      <c r="BD271">
        <f t="shared" si="128"/>
        <v>6.2180627787980891E-2</v>
      </c>
      <c r="BE271">
        <f t="shared" si="129"/>
        <v>-0.55962565009182808</v>
      </c>
      <c r="BF271">
        <f t="shared" si="130"/>
        <v>525</v>
      </c>
      <c r="BG271">
        <f>IF($BE271="","",COUNTIFS($C$2:$C$596,$C271,$BE$2:$BE$596,"&gt;"&amp;$BE271)+COUNTIFS($C$2:$C271,$C271,$BE$2:$BE271,$BE271))</f>
        <v>124</v>
      </c>
    </row>
    <row r="272" spans="1:59" x14ac:dyDescent="0.25">
      <c r="A272" t="str">
        <f>Player_Analysis!A272</f>
        <v>Adam Aznou</v>
      </c>
      <c r="B272">
        <f>Player_Analysis!C272</f>
        <v>9</v>
      </c>
      <c r="C272" t="str">
        <f>Player_Analysis!B272</f>
        <v>DEF</v>
      </c>
      <c r="D272" s="13">
        <f>Player_Analysis!E272</f>
        <v>4</v>
      </c>
      <c r="E272">
        <f>Player_Analysis!I272</f>
        <v>0</v>
      </c>
      <c r="F272" s="8">
        <f>Player_Analysis!Z272</f>
        <v>0</v>
      </c>
      <c r="G272" s="17">
        <f t="shared" si="105"/>
        <v>0</v>
      </c>
      <c r="H272">
        <f t="shared" si="106"/>
        <v>0</v>
      </c>
      <c r="I272" s="8">
        <f>Player_Analysis!AF272</f>
        <v>0</v>
      </c>
      <c r="J272" s="8">
        <f>Player_Analysis!AG272</f>
        <v>0</v>
      </c>
      <c r="K272">
        <f>Player_Analysis!O272</f>
        <v>0</v>
      </c>
      <c r="L272">
        <f>Player_Analysis!P272</f>
        <v>0</v>
      </c>
      <c r="M272" t="str">
        <f t="shared" si="107"/>
        <v/>
      </c>
      <c r="N272" t="str">
        <f t="shared" si="108"/>
        <v/>
      </c>
      <c r="O272" s="2" t="str">
        <f>IF(E272=0,"",Player_Analysis!L272/E272*90)</f>
        <v/>
      </c>
      <c r="P272" t="str">
        <f>IF(E272=0,"",Player_Analysis!Q272/E272*90)</f>
        <v/>
      </c>
      <c r="Q272" t="str">
        <f>IF(E272=0,"",(Player_Analysis!AD272/E272)*90)</f>
        <v/>
      </c>
      <c r="R272" t="str">
        <f>IF(E272=0,"",Player_Analysis!AA272/E272*90)</f>
        <v/>
      </c>
      <c r="S272" t="str">
        <f t="array" ref="S272">IFERROR(INDEX('2023_24'!$O:$O,MATCH($A272,'2023_24'!$A:$A,0)),"")</f>
        <v/>
      </c>
      <c r="T272" t="str">
        <f>IFERROR(INDEX('2024_25'!$P:$P,MATCH($A272,'2024_25'!$A:$A,0)),"")</f>
        <v/>
      </c>
      <c r="U272">
        <f>IFERROR(INDEX('2025_26'!$P:$P,MATCH($A272,'2025_26'!$A:$A,0)),"")</f>
        <v>0</v>
      </c>
      <c r="V272" t="str">
        <f>IFERROR(INDEX('2023_24'!$P:$P,MATCH($A272,'2023_24'!$A:$A,0)),"")</f>
        <v/>
      </c>
      <c r="W272" t="str">
        <f>IFERROR(INDEX('2024_25'!$Q:$Q,MATCH($A272,'2024_25'!$A:$A,0)),"")</f>
        <v/>
      </c>
      <c r="X272">
        <f>IFERROR(INDEX('2025_26'!$Q:$Q,MATCH($A272,'2025_26'!$A:$A,0)),"")</f>
        <v>0</v>
      </c>
      <c r="Y272" t="str">
        <f>IFERROR(INDEX('2023_24'!$M:$M,MATCH($A272,'2023_24'!$A:$A,0))/INDEX('2023_24'!$G:$G,MATCH($A272,'2023_24'!$A:$A,0))*90,"")</f>
        <v/>
      </c>
      <c r="Z272" t="str">
        <f>IFERROR(INDEX('2024_25'!$M:$M,MATCH($A272,'2024_25'!$A:$A,0))/INDEX('2024_25'!$G:$G,MATCH($A272,'2024_25'!$A:$A,0))*90,"")</f>
        <v/>
      </c>
      <c r="AA272" t="str">
        <f>IFERROR(INDEX('2025_26'!$M:$M,MATCH($A272,'2025_26'!$A:$A,0))/INDEX('2025_26'!$G:$G,MATCH($A272,'2025_26'!$A:$A,0))*90,"")</f>
        <v/>
      </c>
      <c r="AB272">
        <f>IFERROR(SUMPRODUCT(S272:U272,{0.2,0.3,0.5})/SUMPRODUCT(--(S272:U272&lt;&gt;""),{0.2,0.3,0.5}),"")</f>
        <v>0</v>
      </c>
      <c r="AC272">
        <f>IFERROR(SUMPRODUCT(V272:X272,{0.2,0.3,0.5})/SUMPRODUCT(--(V272:X272&lt;&gt;""),{0.2,0.3,0.5}),"")</f>
        <v>0</v>
      </c>
      <c r="AD272" t="str">
        <f>IFERROR(SUMPRODUCT(Y272:AA272,{0.2,0.3,0.5})/SUMPRODUCT((Y272:AA272&lt;&gt;"")*{0.2,0.3,0.5}),O272)</f>
        <v/>
      </c>
      <c r="AE272">
        <f t="shared" si="109"/>
        <v>1</v>
      </c>
      <c r="AF272" t="str">
        <f t="shared" si="110"/>
        <v/>
      </c>
      <c r="AG272">
        <f t="shared" si="111"/>
        <v>0</v>
      </c>
      <c r="AH272">
        <f t="shared" si="112"/>
        <v>0</v>
      </c>
      <c r="AI272" s="2">
        <f t="shared" si="113"/>
        <v>0</v>
      </c>
      <c r="AJ272">
        <f t="shared" si="114"/>
        <v>0</v>
      </c>
      <c r="AK272" t="str">
        <f t="shared" si="115"/>
        <v>NO</v>
      </c>
      <c r="AL272">
        <f t="shared" si="116"/>
        <v>0</v>
      </c>
      <c r="AM272">
        <f t="shared" si="117"/>
        <v>0</v>
      </c>
      <c r="AN272">
        <f t="shared" si="118"/>
        <v>0</v>
      </c>
      <c r="AO272">
        <f t="shared" si="119"/>
        <v>0</v>
      </c>
      <c r="AP272">
        <f t="array" ref="AP272">AL272*IF($C272="GKP",10,IF($C272="DEF",6,IF($C272="MID",5,4)))</f>
        <v>0</v>
      </c>
      <c r="AQ272">
        <f t="shared" si="120"/>
        <v>0</v>
      </c>
      <c r="AR272">
        <f t="shared" si="121"/>
        <v>0</v>
      </c>
      <c r="AS272" s="2">
        <f>IF($H272=0,0,Player_Analysis!$AM272*$H272/90)</f>
        <v>0</v>
      </c>
      <c r="AT272">
        <f t="shared" si="122"/>
        <v>0</v>
      </c>
      <c r="AU272" s="2">
        <f>0</f>
        <v>0</v>
      </c>
      <c r="AV272" s="2" t="str">
        <f>IF(INDEX(FPL_Raw_Data!K:K,MATCH(A272,FPL_Raw_Data!AA:AA,0))=0,"",INDEX(FPL_Raw_Data!P:P,MATCH(A272,FPL_Raw_Data!AA:AA,0))/INDEX(FPL_Raw_Data!K:K,MATCH(A272,FPL_Raw_Data!AA:AA,0))*90)</f>
        <v/>
      </c>
      <c r="AW272" s="2">
        <f t="shared" si="123"/>
        <v>0</v>
      </c>
      <c r="AX272" s="2">
        <f>IFERROR(INDEX(TEAM_ANALYSIS!$H$2:$H$21,MATCH($B272,TEAM_ANALYSIS!$A$2:$A$21,0)),0)</f>
        <v>1</v>
      </c>
      <c r="AY272" s="2">
        <f t="shared" si="124"/>
        <v>-0.5</v>
      </c>
      <c r="AZ272" s="2">
        <f t="shared" si="125"/>
        <v>-0.5</v>
      </c>
      <c r="BA272">
        <f t="shared" si="126"/>
        <v>-0.125</v>
      </c>
      <c r="BB272">
        <f>IFERROR(Player_Analysis!$Y272,1)</f>
        <v>1.1192513001836562</v>
      </c>
      <c r="BC272">
        <f t="shared" si="127"/>
        <v>-0.55962565009182808</v>
      </c>
      <c r="BD272">
        <f t="shared" si="128"/>
        <v>6.9953206261478509E-2</v>
      </c>
      <c r="BE272">
        <f t="shared" si="129"/>
        <v>-0.55962565009182808</v>
      </c>
      <c r="BF272">
        <f t="shared" si="130"/>
        <v>525</v>
      </c>
      <c r="BG272">
        <f>IF($BE272="","",COUNTIFS($C$2:$C$596,$C272,$BE$2:$BE$596,"&gt;"&amp;$BE272)+COUNTIFS($C$2:$C272,$C272,$BE$2:$BE272,$BE272))</f>
        <v>125</v>
      </c>
    </row>
    <row r="273" spans="1:59" x14ac:dyDescent="0.25">
      <c r="A273" t="str">
        <f>Player_Analysis!A273</f>
        <v>Kiernan Dewsbury-Hall</v>
      </c>
      <c r="B273">
        <f>Player_Analysis!C273</f>
        <v>9</v>
      </c>
      <c r="C273" t="str">
        <f>Player_Analysis!B273</f>
        <v>MID</v>
      </c>
      <c r="D273" s="13">
        <f>Player_Analysis!E273</f>
        <v>6.5</v>
      </c>
      <c r="E273">
        <f>Player_Analysis!I273</f>
        <v>270</v>
      </c>
      <c r="F273" s="8">
        <f>Player_Analysis!Z273</f>
        <v>3</v>
      </c>
      <c r="G273" s="17">
        <f t="shared" si="105"/>
        <v>1</v>
      </c>
      <c r="H273">
        <f t="shared" si="106"/>
        <v>90</v>
      </c>
      <c r="I273" s="8">
        <f>Player_Analysis!AF273</f>
        <v>1</v>
      </c>
      <c r="J273" s="8">
        <f>Player_Analysis!AG273</f>
        <v>0</v>
      </c>
      <c r="K273">
        <f>Player_Analysis!O273</f>
        <v>0.45</v>
      </c>
      <c r="L273">
        <f>Player_Analysis!P273</f>
        <v>0.4</v>
      </c>
      <c r="M273">
        <f t="shared" si="107"/>
        <v>0.15000000000000002</v>
      </c>
      <c r="N273">
        <f t="shared" si="108"/>
        <v>0.13333333333333336</v>
      </c>
      <c r="O273" s="2">
        <f>IF(E273=0,"",Player_Analysis!L273/E273*90)</f>
        <v>5</v>
      </c>
      <c r="P273">
        <f>IF(E273=0,"",Player_Analysis!Q273/E273*90)</f>
        <v>0.28333333333333333</v>
      </c>
      <c r="Q273">
        <f>IF(E273=0,"",(Player_Analysis!AD273/E273)*90)</f>
        <v>28</v>
      </c>
      <c r="R273">
        <f>IF(E273=0,"",Player_Analysis!AA273/E273*90)</f>
        <v>9.6666666666666661</v>
      </c>
      <c r="S273" t="str">
        <f t="array" ref="S273">IFERROR(INDEX('2023_24'!$O:$O,MATCH($A273,'2023_24'!$A:$A,0)),"")</f>
        <v/>
      </c>
      <c r="T273">
        <f>IFERROR(INDEX('2024_25'!$P:$P,MATCH($A273,'2024_25'!$A:$A,0)),"")</f>
        <v>7.7042801556420223E-2</v>
      </c>
      <c r="U273">
        <f>IFERROR(INDEX('2025_26'!$P:$P,MATCH($A273,'2025_26'!$A:$A,0)),"")</f>
        <v>0.14891593761886648</v>
      </c>
      <c r="V273" t="str">
        <f>IFERROR(INDEX('2023_24'!$P:$P,MATCH($A273,'2023_24'!$A:$A,0)),"")</f>
        <v/>
      </c>
      <c r="W273">
        <f>IFERROR(INDEX('2024_25'!$Q:$Q,MATCH($A273,'2024_25'!$A:$A,0)),"")</f>
        <v>7.7042801556420223E-2</v>
      </c>
      <c r="X273">
        <f>IFERROR(INDEX('2025_26'!$Q:$Q,MATCH($A273,'2025_26'!$A:$A,0)),"")</f>
        <v>0.18280715100798783</v>
      </c>
      <c r="Y273" t="str">
        <f>IFERROR(INDEX('2023_24'!$M:$M,MATCH($A273,'2023_24'!$A:$A,0))/INDEX('2023_24'!$G:$G,MATCH($A273,'2023_24'!$A:$A,0))*90,"")</f>
        <v/>
      </c>
      <c r="Z273">
        <f>IFERROR(INDEX('2024_25'!$M:$M,MATCH($A273,'2024_25'!$A:$A,0))/INDEX('2024_25'!$G:$G,MATCH($A273,'2024_25'!$A:$A,0))*90,"")</f>
        <v>6.3035019455252916</v>
      </c>
      <c r="AA273">
        <f>IFERROR(INDEX('2025_26'!$M:$M,MATCH($A273,'2025_26'!$A:$A,0))/INDEX('2025_26'!$G:$G,MATCH($A273,'2025_26'!$A:$A,0))*90,"")</f>
        <v>5.1692658805629517</v>
      </c>
      <c r="AB273">
        <f>IFERROR(SUMPRODUCT(S273:U273,{0.2,0.3,0.5})/SUMPRODUCT(--(S273:U273&lt;&gt;""),{0.2,0.3,0.5}),"")</f>
        <v>0.12196351159544913</v>
      </c>
      <c r="AC273">
        <f>IFERROR(SUMPRODUCT(V273:X273,{0.2,0.3,0.5})/SUMPRODUCT(--(V273:X273&lt;&gt;""),{0.2,0.3,0.5}),"")</f>
        <v>0.14314551996364996</v>
      </c>
      <c r="AD273">
        <f>IFERROR(SUMPRODUCT(Y273:AA273,{0.2,0.3,0.5})/SUMPRODUCT((Y273:AA273&lt;&gt;"")*{0.2,0.3,0.5}),O273)</f>
        <v>5.5946044049238282</v>
      </c>
      <c r="AE273">
        <f t="shared" si="109"/>
        <v>2</v>
      </c>
      <c r="AF273">
        <f t="shared" si="110"/>
        <v>90</v>
      </c>
      <c r="AG273">
        <f t="shared" si="111"/>
        <v>0.14719635115954494</v>
      </c>
      <c r="AH273">
        <f t="shared" si="112"/>
        <v>0.13431455199636502</v>
      </c>
      <c r="AI273" s="2">
        <f t="shared" si="113"/>
        <v>5.0594604404923826</v>
      </c>
      <c r="AJ273">
        <f t="shared" si="114"/>
        <v>0.9</v>
      </c>
      <c r="AK273" t="str">
        <f t="shared" si="115"/>
        <v>NO</v>
      </c>
      <c r="AL273">
        <f t="shared" si="116"/>
        <v>0.14719635115954494</v>
      </c>
      <c r="AM273">
        <f t="shared" si="117"/>
        <v>0.13431455199636502</v>
      </c>
      <c r="AN273">
        <f t="shared" si="118"/>
        <v>0.14719635115954494</v>
      </c>
      <c r="AO273">
        <f t="shared" si="119"/>
        <v>0.13431455199636502</v>
      </c>
      <c r="AP273">
        <f t="array" ref="AP273">AL273*IF($C273="GKP",10,IF($C273="DEF",6,IF($C273="MID",5,4)))</f>
        <v>0.73598175579772462</v>
      </c>
      <c r="AQ273">
        <f t="shared" si="120"/>
        <v>0.4029436559890951</v>
      </c>
      <c r="AR273">
        <f t="shared" si="121"/>
        <v>2</v>
      </c>
      <c r="AS273" s="2">
        <f>IF($H273=0,0,Player_Analysis!$AM273*$H273/90)</f>
        <v>0.33333333333333331</v>
      </c>
      <c r="AT273">
        <f t="shared" si="122"/>
        <v>1.6111111111111109</v>
      </c>
      <c r="AU273" s="2">
        <f>0</f>
        <v>0</v>
      </c>
      <c r="AV273" s="2">
        <f>IF(INDEX(FPL_Raw_Data!K:K,MATCH(A273,FPL_Raw_Data!AA:AA,0))=0,"",INDEX(FPL_Raw_Data!P:P,MATCH(A273,FPL_Raw_Data!AA:AA,0))/INDEX(FPL_Raw_Data!K:K,MATCH(A273,FPL_Raw_Data!AA:AA,0))*90)</f>
        <v>0</v>
      </c>
      <c r="AW273" s="2">
        <f t="shared" si="123"/>
        <v>0</v>
      </c>
      <c r="AX273" s="2">
        <f>IFERROR(INDEX(TEAM_ANALYSIS!$H$2:$H$21,MATCH($B273,TEAM_ANALYSIS!$A$2:$A$21,0)),0)</f>
        <v>1</v>
      </c>
      <c r="AY273" s="2">
        <f t="shared" si="124"/>
        <v>0</v>
      </c>
      <c r="AZ273" s="2">
        <f t="shared" si="125"/>
        <v>5.0833698562312639</v>
      </c>
      <c r="BA273">
        <f t="shared" si="126"/>
        <v>0.78205690095865599</v>
      </c>
      <c r="BB273">
        <f>IFERROR(Player_Analysis!$Y273,1)</f>
        <v>1.0752768166089965</v>
      </c>
      <c r="BC273">
        <f t="shared" si="127"/>
        <v>5.4660297566544855</v>
      </c>
      <c r="BD273">
        <f t="shared" si="128"/>
        <v>4.2747462920370038</v>
      </c>
      <c r="BE273">
        <f t="shared" si="129"/>
        <v>5.4660297566544855</v>
      </c>
      <c r="BF273">
        <f t="shared" si="130"/>
        <v>68</v>
      </c>
      <c r="BG273">
        <f>IF($BE273="","",COUNTIFS($C$2:$C$596,$C273,$BE$2:$BE$596,"&gt;"&amp;$BE273)+COUNTIFS($C$2:$C273,$C273,$BE$2:$BE273,$BE273))</f>
        <v>30</v>
      </c>
    </row>
    <row r="274" spans="1:59" x14ac:dyDescent="0.25">
      <c r="A274" t="str">
        <f>Player_Analysis!A274</f>
        <v>Jack Grealish</v>
      </c>
      <c r="B274">
        <f>Player_Analysis!C274</f>
        <v>9</v>
      </c>
      <c r="C274" t="str">
        <f>Player_Analysis!B274</f>
        <v>MID</v>
      </c>
      <c r="D274" s="13">
        <f>Player_Analysis!E274</f>
        <v>6.5</v>
      </c>
      <c r="E274">
        <f>Player_Analysis!I274</f>
        <v>32</v>
      </c>
      <c r="F274" s="8">
        <f>Player_Analysis!Z274</f>
        <v>0</v>
      </c>
      <c r="G274" s="17">
        <f t="shared" si="105"/>
        <v>0</v>
      </c>
      <c r="H274">
        <f t="shared" si="106"/>
        <v>0</v>
      </c>
      <c r="I274" s="8">
        <f>Player_Analysis!AF274</f>
        <v>0</v>
      </c>
      <c r="J274" s="8">
        <f>Player_Analysis!AG274</f>
        <v>0</v>
      </c>
      <c r="K274">
        <f>Player_Analysis!O274</f>
        <v>0.02</v>
      </c>
      <c r="L274">
        <f>Player_Analysis!P274</f>
        <v>0.13</v>
      </c>
      <c r="M274">
        <f t="shared" si="107"/>
        <v>5.6250000000000001E-2</v>
      </c>
      <c r="N274">
        <f t="shared" si="108"/>
        <v>0.36562500000000003</v>
      </c>
      <c r="O274" s="2">
        <f>IF(E274=0,"",Player_Analysis!L274/E274*90)</f>
        <v>5.625</v>
      </c>
      <c r="P274">
        <f>IF(E274=0,"",Player_Analysis!Q274/E274*90)</f>
        <v>0.421875</v>
      </c>
      <c r="Q274">
        <f>IF(E274=0,"",(Player_Analysis!AD274/E274)*90)</f>
        <v>28.125</v>
      </c>
      <c r="R274">
        <f>IF(E274=0,"",Player_Analysis!AA274/E274*90)</f>
        <v>5.625</v>
      </c>
      <c r="S274">
        <f t="array" ref="S274">IFERROR(INDEX('2023_24'!$O:$O,MATCH($A274,'2023_24'!$A:$A,0)),"")</f>
        <v>0.19569138276553105</v>
      </c>
      <c r="T274">
        <f>IFERROR(INDEX('2024_25'!$P:$P,MATCH($A274,'2024_25'!$A:$A,0)),"")</f>
        <v>0.1432394366197183</v>
      </c>
      <c r="U274">
        <f>IFERROR(INDEX('2025_26'!$P:$P,MATCH($A274,'2025_26'!$A:$A,0)),"")</f>
        <v>0.11339889366933004</v>
      </c>
      <c r="V274">
        <f>IFERROR(INDEX('2023_24'!$P:$P,MATCH($A274,'2023_24'!$A:$A,0)),"")</f>
        <v>0.24258517034068133</v>
      </c>
      <c r="W274">
        <f>IFERROR(INDEX('2024_25'!$Q:$Q,MATCH($A274,'2024_25'!$A:$A,0)),"")</f>
        <v>0.21169014084507043</v>
      </c>
      <c r="X274">
        <f>IFERROR(INDEX('2025_26'!$Q:$Q,MATCH($A274,'2025_26'!$A:$A,0)),"")</f>
        <v>0.18641671788567918</v>
      </c>
      <c r="Y274">
        <f>IFERROR(INDEX('2023_24'!$M:$M,MATCH($A274,'2023_24'!$A:$A,0))/INDEX('2023_24'!$G:$G,MATCH($A274,'2023_24'!$A:$A,0))*90,"")</f>
        <v>4.5090180360721446</v>
      </c>
      <c r="Z274">
        <f>IFERROR(INDEX('2024_25'!$M:$M,MATCH($A274,'2024_25'!$A:$A,0))/INDEX('2024_25'!$G:$G,MATCH($A274,'2024_25'!$A:$A,0))*90,"")</f>
        <v>4.816901408450704</v>
      </c>
      <c r="AA274">
        <f>IFERROR(INDEX('2025_26'!$M:$M,MATCH($A274,'2025_26'!$A:$A,0))/INDEX('2025_26'!$G:$G,MATCH($A274,'2025_26'!$A:$A,0))*90,"")</f>
        <v>4.3700061462814999</v>
      </c>
      <c r="AB274">
        <f>IFERROR(SUMPRODUCT(S274:U274,{0.2,0.3,0.5})/SUMPRODUCT(--(S274:U274&lt;&gt;""),{0.2,0.3,0.5}),"")</f>
        <v>0.13880955437368672</v>
      </c>
      <c r="AC274">
        <f>IFERROR(SUMPRODUCT(V274:X274,{0.2,0.3,0.5})/SUMPRODUCT(--(V274:X274&lt;&gt;""),{0.2,0.3,0.5}),"")</f>
        <v>0.20523243526449697</v>
      </c>
      <c r="AD274">
        <f>IFERROR(SUMPRODUCT(Y274:AA274,{0.2,0.3,0.5})/SUMPRODUCT((Y274:AA274&lt;&gt;"")*{0.2,0.3,0.5}),O274)</f>
        <v>4.5318771028903901</v>
      </c>
      <c r="AE274">
        <f t="shared" si="109"/>
        <v>3</v>
      </c>
      <c r="AF274" t="str">
        <f t="shared" si="110"/>
        <v/>
      </c>
      <c r="AG274">
        <f t="shared" si="111"/>
        <v>0.13000320190716014</v>
      </c>
      <c r="AH274">
        <f t="shared" si="112"/>
        <v>0.22234097550295062</v>
      </c>
      <c r="AI274" s="2">
        <f t="shared" si="113"/>
        <v>4.6484768785820823</v>
      </c>
      <c r="AJ274">
        <f t="shared" si="114"/>
        <v>0.10666666666666667</v>
      </c>
      <c r="AK274" t="str">
        <f t="shared" si="115"/>
        <v>NO</v>
      </c>
      <c r="AL274">
        <f t="shared" si="116"/>
        <v>0</v>
      </c>
      <c r="AM274">
        <f t="shared" si="117"/>
        <v>0</v>
      </c>
      <c r="AN274">
        <f t="shared" si="118"/>
        <v>0</v>
      </c>
      <c r="AO274">
        <f t="shared" si="119"/>
        <v>0</v>
      </c>
      <c r="AP274">
        <f t="array" ref="AP274">AL274*IF($C274="GKP",10,IF($C274="DEF",6,IF($C274="MID",5,4)))</f>
        <v>0</v>
      </c>
      <c r="AQ274">
        <f t="shared" si="120"/>
        <v>0</v>
      </c>
      <c r="AR274">
        <f t="shared" si="121"/>
        <v>0</v>
      </c>
      <c r="AS274" s="2">
        <f>IF($H274=0,0,Player_Analysis!$AM274*$H274/90)</f>
        <v>0</v>
      </c>
      <c r="AT274">
        <f t="shared" si="122"/>
        <v>0</v>
      </c>
      <c r="AU274" s="2">
        <f>0</f>
        <v>0</v>
      </c>
      <c r="AV274" s="2">
        <f>IF(INDEX(FPL_Raw_Data!K:K,MATCH(A274,FPL_Raw_Data!AA:AA,0))=0,"",INDEX(FPL_Raw_Data!P:P,MATCH(A274,FPL_Raw_Data!AA:AA,0))/INDEX(FPL_Raw_Data!K:K,MATCH(A274,FPL_Raw_Data!AA:AA,0))*90)</f>
        <v>0</v>
      </c>
      <c r="AW274" s="2">
        <f t="shared" si="123"/>
        <v>0</v>
      </c>
      <c r="AX274" s="2">
        <f>IFERROR(INDEX(TEAM_ANALYSIS!$H$2:$H$21,MATCH($B274,TEAM_ANALYSIS!$A$2:$A$21,0)),0)</f>
        <v>1</v>
      </c>
      <c r="AY274" s="2">
        <f t="shared" si="124"/>
        <v>0</v>
      </c>
      <c r="AZ274" s="2">
        <f t="shared" si="125"/>
        <v>0</v>
      </c>
      <c r="BA274">
        <f t="shared" si="126"/>
        <v>0</v>
      </c>
      <c r="BB274">
        <f>IFERROR(Player_Analysis!$Y274,1)</f>
        <v>1.0752768166089965</v>
      </c>
      <c r="BC274">
        <f t="shared" si="127"/>
        <v>0</v>
      </c>
      <c r="BD274">
        <f t="shared" si="128"/>
        <v>0</v>
      </c>
      <c r="BE274">
        <f t="shared" si="129"/>
        <v>0</v>
      </c>
      <c r="BF274">
        <f t="shared" si="130"/>
        <v>253</v>
      </c>
      <c r="BG274">
        <f>IF($BE274="","",COUNTIFS($C$2:$C$596,$C274,$BE$2:$BE$596,"&gt;"&amp;$BE274)+COUNTIFS($C$2:$C274,$C274,$BE$2:$BE274,$BE274))</f>
        <v>181</v>
      </c>
    </row>
    <row r="275" spans="1:59" x14ac:dyDescent="0.25">
      <c r="A275" t="str">
        <f>Player_Analysis!A275</f>
        <v>James Garner</v>
      </c>
      <c r="B275">
        <f>Player_Analysis!C275</f>
        <v>9</v>
      </c>
      <c r="C275" t="str">
        <f>Player_Analysis!B275</f>
        <v>MID</v>
      </c>
      <c r="D275" s="13">
        <f>Player_Analysis!E275</f>
        <v>6</v>
      </c>
      <c r="E275">
        <f>Player_Analysis!I275</f>
        <v>148</v>
      </c>
      <c r="F275" s="8">
        <f>Player_Analysis!Z275</f>
        <v>2</v>
      </c>
      <c r="G275" s="17">
        <f t="shared" si="105"/>
        <v>1</v>
      </c>
      <c r="H275">
        <f t="shared" si="106"/>
        <v>90</v>
      </c>
      <c r="I275" s="8">
        <f>Player_Analysis!AF275</f>
        <v>0</v>
      </c>
      <c r="J275" s="8">
        <f>Player_Analysis!AG275</f>
        <v>0</v>
      </c>
      <c r="K275">
        <f>Player_Analysis!O275</f>
        <v>0</v>
      </c>
      <c r="L275">
        <f>Player_Analysis!P275</f>
        <v>0.11</v>
      </c>
      <c r="M275">
        <f t="shared" si="107"/>
        <v>0</v>
      </c>
      <c r="N275">
        <f t="shared" si="108"/>
        <v>6.6891891891891889E-2</v>
      </c>
      <c r="O275" s="2">
        <f>IF(E275=0,"",Player_Analysis!L275/E275*90)</f>
        <v>2.4324324324324325</v>
      </c>
      <c r="P275">
        <f>IF(E275=0,"",Player_Analysis!Q275/E275*90)</f>
        <v>6.6891891891891889E-2</v>
      </c>
      <c r="Q275">
        <f>IF(E275=0,"",(Player_Analysis!AD275/E275)*90)</f>
        <v>20.675675675675677</v>
      </c>
      <c r="R275">
        <f>IF(E275=0,"",Player_Analysis!AA275/E275*90)</f>
        <v>11.554054054054053</v>
      </c>
      <c r="S275">
        <f t="array" ref="S275">IFERROR(INDEX('2023_24'!$O:$O,MATCH($A275,'2023_24'!$A:$A,0)),"")</f>
        <v>7.8573808730423189E-2</v>
      </c>
      <c r="T275">
        <f>IFERROR(INDEX('2024_25'!$P:$P,MATCH($A275,'2024_25'!$A:$A,0)),"")</f>
        <v>3.7924528301886792E-2</v>
      </c>
      <c r="U275">
        <f>IFERROR(INDEX('2025_26'!$P:$P,MATCH($A275,'2025_26'!$A:$A,0)),"")</f>
        <v>5.5376501611485503E-2</v>
      </c>
      <c r="V275">
        <f>IFERROR(INDEX('2023_24'!$P:$P,MATCH($A275,'2023_24'!$A:$A,0)),"")</f>
        <v>0.11246251249583473</v>
      </c>
      <c r="W275">
        <f>IFERROR(INDEX('2024_25'!$Q:$Q,MATCH($A275,'2024_25'!$A:$A,0)),"")</f>
        <v>7.754716981132076E-2</v>
      </c>
      <c r="X275">
        <f>IFERROR(INDEX('2025_26'!$Q:$Q,MATCH($A275,'2025_26'!$A:$A,0)),"")</f>
        <v>0.16296513331380016</v>
      </c>
      <c r="Y275">
        <f>IFERROR(INDEX('2023_24'!$M:$M,MATCH($A275,'2023_24'!$A:$A,0))/INDEX('2023_24'!$G:$G,MATCH($A275,'2023_24'!$A:$A,0))*90,"")</f>
        <v>2.6091302899033657</v>
      </c>
      <c r="Z275">
        <f>IFERROR(INDEX('2024_25'!$M:$M,MATCH($A275,'2024_25'!$A:$A,0))/INDEX('2024_25'!$G:$G,MATCH($A275,'2024_25'!$A:$A,0))*90,"")</f>
        <v>2.3773584905660377</v>
      </c>
      <c r="AA275">
        <f>IFERROR(INDEX('2025_26'!$M:$M,MATCH($A275,'2025_26'!$A:$A,0))/INDEX('2025_26'!$G:$G,MATCH($A275,'2025_26'!$A:$A,0))*90,"")</f>
        <v>4.1927922648696159</v>
      </c>
      <c r="AB275">
        <f>IFERROR(SUMPRODUCT(S275:U275,{0.2,0.3,0.5})/SUMPRODUCT(--(S275:U275&lt;&gt;""),{0.2,0.3,0.5}),"")</f>
        <v>5.478037104239343E-2</v>
      </c>
      <c r="AC275">
        <f>IFERROR(SUMPRODUCT(V275:X275,{0.2,0.3,0.5})/SUMPRODUCT(--(V275:X275&lt;&gt;""),{0.2,0.3,0.5}),"")</f>
        <v>0.12723922009946326</v>
      </c>
      <c r="AD275">
        <f>IFERROR(SUMPRODUCT(Y275:AA275,{0.2,0.3,0.5})/SUMPRODUCT((Y275:AA275&lt;&gt;"")*{0.2,0.3,0.5}),O275)</f>
        <v>3.3314297375852924</v>
      </c>
      <c r="AE275">
        <f t="shared" si="109"/>
        <v>3</v>
      </c>
      <c r="AF275">
        <f t="shared" si="110"/>
        <v>74</v>
      </c>
      <c r="AG275">
        <f t="shared" si="111"/>
        <v>2.7755387994812669E-2</v>
      </c>
      <c r="AH275">
        <f t="shared" si="112"/>
        <v>9.7467871517061377E-2</v>
      </c>
      <c r="AI275" s="2">
        <f t="shared" si="113"/>
        <v>2.8879244003765479</v>
      </c>
      <c r="AJ275">
        <f t="shared" si="114"/>
        <v>0.49333333333333335</v>
      </c>
      <c r="AK275" t="str">
        <f t="shared" si="115"/>
        <v>NO</v>
      </c>
      <c r="AL275">
        <f t="shared" si="116"/>
        <v>2.7755387994812666E-2</v>
      </c>
      <c r="AM275">
        <f t="shared" si="117"/>
        <v>9.7467871517061377E-2</v>
      </c>
      <c r="AN275">
        <f t="shared" si="118"/>
        <v>2.7755387994812666E-2</v>
      </c>
      <c r="AO275">
        <f t="shared" si="119"/>
        <v>9.7467871517061377E-2</v>
      </c>
      <c r="AP275">
        <f t="array" ref="AP275">AL275*IF($C275="GKP",10,IF($C275="DEF",6,IF($C275="MID",5,4)))</f>
        <v>0.13877693997406332</v>
      </c>
      <c r="AQ275">
        <f t="shared" si="120"/>
        <v>0.29240361455118413</v>
      </c>
      <c r="AR275">
        <f t="shared" si="121"/>
        <v>2</v>
      </c>
      <c r="AS275" s="2">
        <f>IF($H275=0,0,Player_Analysis!$AM275*$H275/90)</f>
        <v>0</v>
      </c>
      <c r="AT275">
        <f t="shared" si="122"/>
        <v>1.9256756756756754</v>
      </c>
      <c r="AU275" s="2">
        <f>0</f>
        <v>0</v>
      </c>
      <c r="AV275" s="2">
        <f>IF(INDEX(FPL_Raw_Data!K:K,MATCH(A275,FPL_Raw_Data!AA:AA,0))=0,"",INDEX(FPL_Raw_Data!P:P,MATCH(A275,FPL_Raw_Data!AA:AA,0))/INDEX(FPL_Raw_Data!K:K,MATCH(A275,FPL_Raw_Data!AA:AA,0))*90)</f>
        <v>0</v>
      </c>
      <c r="AW275" s="2">
        <f t="shared" si="123"/>
        <v>0</v>
      </c>
      <c r="AX275" s="2">
        <f>IFERROR(INDEX(TEAM_ANALYSIS!$H$2:$H$21,MATCH($B275,TEAM_ANALYSIS!$A$2:$A$21,0)),0)</f>
        <v>1</v>
      </c>
      <c r="AY275" s="2">
        <f t="shared" si="124"/>
        <v>0</v>
      </c>
      <c r="AZ275" s="2">
        <f t="shared" si="125"/>
        <v>4.3568562302009228</v>
      </c>
      <c r="BA275">
        <f t="shared" si="126"/>
        <v>0.7261427050334871</v>
      </c>
      <c r="BB275">
        <f>IFERROR(Player_Analysis!$Y275,1)</f>
        <v>1.0752768166089965</v>
      </c>
      <c r="BC275">
        <f t="shared" si="127"/>
        <v>4.6848264976335221</v>
      </c>
      <c r="BD275">
        <f t="shared" si="128"/>
        <v>3.4018525856041633</v>
      </c>
      <c r="BE275">
        <f t="shared" si="129"/>
        <v>4.6848264976335221</v>
      </c>
      <c r="BF275">
        <f t="shared" si="130"/>
        <v>115</v>
      </c>
      <c r="BG275">
        <f>IF($BE275="","",COUNTIFS($C$2:$C$596,$C275,$BE$2:$BE$596,"&gt;"&amp;$BE275)+COUNTIFS($C$2:$C275,$C275,$BE$2:$BE275,$BE275))</f>
        <v>54</v>
      </c>
    </row>
    <row r="276" spans="1:59" x14ac:dyDescent="0.25">
      <c r="A276" t="str">
        <f>Player_Analysis!A276</f>
        <v>Tyrique George</v>
      </c>
      <c r="B276">
        <f>Player_Analysis!C276</f>
        <v>9</v>
      </c>
      <c r="C276" t="str">
        <f>Player_Analysis!B276</f>
        <v>MID</v>
      </c>
      <c r="D276" s="13">
        <f>Player_Analysis!E276</f>
        <v>5.5</v>
      </c>
      <c r="E276">
        <f>Player_Analysis!I276</f>
        <v>234</v>
      </c>
      <c r="F276" s="8">
        <f>Player_Analysis!Z276</f>
        <v>3</v>
      </c>
      <c r="G276" s="17">
        <f t="shared" si="105"/>
        <v>1</v>
      </c>
      <c r="H276">
        <f t="shared" si="106"/>
        <v>90</v>
      </c>
      <c r="I276" s="8">
        <f>Player_Analysis!AF276</f>
        <v>1</v>
      </c>
      <c r="J276" s="8">
        <f>Player_Analysis!AG276</f>
        <v>0</v>
      </c>
      <c r="K276">
        <f>Player_Analysis!O276</f>
        <v>0.27</v>
      </c>
      <c r="L276">
        <f>Player_Analysis!P276</f>
        <v>0.16</v>
      </c>
      <c r="M276">
        <f t="shared" si="107"/>
        <v>0.10384615384615385</v>
      </c>
      <c r="N276">
        <f t="shared" si="108"/>
        <v>6.1538461538461542E-2</v>
      </c>
      <c r="O276" s="2">
        <f>IF(E276=0,"",Player_Analysis!L276/E276*90)</f>
        <v>5.7692307692307683</v>
      </c>
      <c r="P276">
        <f>IF(E276=0,"",Player_Analysis!Q276/E276*90)</f>
        <v>0.16538461538461538</v>
      </c>
      <c r="Q276">
        <f>IF(E276=0,"",(Player_Analysis!AD276/E276)*90)</f>
        <v>23.076923076923073</v>
      </c>
      <c r="R276">
        <f>IF(E276=0,"",Player_Analysis!AA276/E276*90)</f>
        <v>5</v>
      </c>
      <c r="S276">
        <f t="array" ref="S276">IFERROR(INDEX('2023_24'!$O:$O,MATCH($A276,'2023_24'!$A:$A,0)),"")</f>
        <v>0</v>
      </c>
      <c r="T276">
        <f>IFERROR(INDEX('2024_25'!$P:$P,MATCH($A276,'2024_25'!$A:$A,0)),"")</f>
        <v>0.10169491525423729</v>
      </c>
      <c r="U276">
        <f>IFERROR(INDEX('2025_26'!$P:$P,MATCH($A276,'2025_26'!$A:$A,0)),"")</f>
        <v>0.1641025641025641</v>
      </c>
      <c r="V276">
        <f>IFERROR(INDEX('2023_24'!$P:$P,MATCH($A276,'2023_24'!$A:$A,0)),"")</f>
        <v>0</v>
      </c>
      <c r="W276">
        <f>IFERROR(INDEX('2024_25'!$Q:$Q,MATCH($A276,'2024_25'!$A:$A,0)),"")</f>
        <v>0.13220338983050847</v>
      </c>
      <c r="X276">
        <f>IFERROR(INDEX('2025_26'!$Q:$Q,MATCH($A276,'2025_26'!$A:$A,0)),"")</f>
        <v>0.3051282051282051</v>
      </c>
      <c r="Y276" t="str">
        <f>IFERROR(INDEX('2023_24'!$M:$M,MATCH($A276,'2023_24'!$A:$A,0))/INDEX('2023_24'!$G:$G,MATCH($A276,'2023_24'!$A:$A,0))*90,"")</f>
        <v/>
      </c>
      <c r="Z276">
        <f>IFERROR(INDEX('2024_25'!$M:$M,MATCH($A276,'2024_25'!$A:$A,0))/INDEX('2024_25'!$G:$G,MATCH($A276,'2024_25'!$A:$A,0))*90,"")</f>
        <v>8.6440677966101696</v>
      </c>
      <c r="AA276">
        <f>IFERROR(INDEX('2025_26'!$M:$M,MATCH($A276,'2025_26'!$A:$A,0))/INDEX('2025_26'!$G:$G,MATCH($A276,'2025_26'!$A:$A,0))*90,"")</f>
        <v>4.1025641025641031</v>
      </c>
      <c r="AB276">
        <f>IFERROR(SUMPRODUCT(S276:U276,{0.2,0.3,0.5})/SUMPRODUCT(--(S276:U276&lt;&gt;""),{0.2,0.3,0.5}),"")</f>
        <v>0.11255975662755324</v>
      </c>
      <c r="AC276">
        <f>IFERROR(SUMPRODUCT(V276:X276,{0.2,0.3,0.5})/SUMPRODUCT(--(V276:X276&lt;&gt;""),{0.2,0.3,0.5}),"")</f>
        <v>0.1922251195132551</v>
      </c>
      <c r="AD276">
        <f>IFERROR(SUMPRODUCT(Y276:AA276,{0.2,0.3,0.5})/SUMPRODUCT((Y276:AA276&lt;&gt;"")*{0.2,0.3,0.5}),O276)</f>
        <v>5.805627987831377</v>
      </c>
      <c r="AE276">
        <f t="shared" si="109"/>
        <v>3</v>
      </c>
      <c r="AF276">
        <f t="shared" si="110"/>
        <v>78</v>
      </c>
      <c r="AG276">
        <f t="shared" si="111"/>
        <v>0.10576314645806172</v>
      </c>
      <c r="AH276">
        <f t="shared" si="112"/>
        <v>9.0289526292916117E-2</v>
      </c>
      <c r="AI276" s="2">
        <f t="shared" si="113"/>
        <v>5.7772381573229019</v>
      </c>
      <c r="AJ276">
        <f t="shared" si="114"/>
        <v>0.78</v>
      </c>
      <c r="AK276" t="str">
        <f t="shared" si="115"/>
        <v>NO</v>
      </c>
      <c r="AL276">
        <f t="shared" si="116"/>
        <v>0.10576314645806172</v>
      </c>
      <c r="AM276">
        <f t="shared" si="117"/>
        <v>9.0289526292916117E-2</v>
      </c>
      <c r="AN276">
        <f t="shared" si="118"/>
        <v>0.10576314645806172</v>
      </c>
      <c r="AO276">
        <f t="shared" si="119"/>
        <v>9.0289526292916117E-2</v>
      </c>
      <c r="AP276">
        <f t="array" ref="AP276">AL276*IF($C276="GKP",10,IF($C276="DEF",6,IF($C276="MID",5,4)))</f>
        <v>0.52881573229030854</v>
      </c>
      <c r="AQ276">
        <f t="shared" si="120"/>
        <v>0.27086857887874838</v>
      </c>
      <c r="AR276">
        <f t="shared" si="121"/>
        <v>2</v>
      </c>
      <c r="AS276" s="2">
        <f>IF($H276=0,0,Player_Analysis!$AM276*$H276/90)</f>
        <v>0.33333333333333331</v>
      </c>
      <c r="AT276">
        <f t="shared" si="122"/>
        <v>0.83333333333333337</v>
      </c>
      <c r="AU276" s="2">
        <f>0</f>
        <v>0</v>
      </c>
      <c r="AV276" s="2">
        <f>IF(INDEX(FPL_Raw_Data!K:K,MATCH(A276,FPL_Raw_Data!AA:AA,0))=0,"",INDEX(FPL_Raw_Data!P:P,MATCH(A276,FPL_Raw_Data!AA:AA,0))/INDEX(FPL_Raw_Data!K:K,MATCH(A276,FPL_Raw_Data!AA:AA,0))*90)</f>
        <v>0</v>
      </c>
      <c r="AW276" s="2">
        <f t="shared" si="123"/>
        <v>0</v>
      </c>
      <c r="AX276" s="2">
        <f>IFERROR(INDEX(TEAM_ANALYSIS!$H$2:$H$21,MATCH($B276,TEAM_ANALYSIS!$A$2:$A$21,0)),0)</f>
        <v>1</v>
      </c>
      <c r="AY276" s="2">
        <f t="shared" si="124"/>
        <v>0</v>
      </c>
      <c r="AZ276" s="2">
        <f t="shared" si="125"/>
        <v>3.9663509778357238</v>
      </c>
      <c r="BA276">
        <f t="shared" si="126"/>
        <v>0.7211547232428589</v>
      </c>
      <c r="BB276">
        <f>IFERROR(Player_Analysis!$Y276,1)</f>
        <v>1.0752768166089965</v>
      </c>
      <c r="BC276">
        <f t="shared" si="127"/>
        <v>4.2649252530011781</v>
      </c>
      <c r="BD276">
        <f t="shared" si="128"/>
        <v>3.0756709904795447</v>
      </c>
      <c r="BE276">
        <f t="shared" si="129"/>
        <v>4.2649252530011781</v>
      </c>
      <c r="BF276">
        <f t="shared" si="130"/>
        <v>138</v>
      </c>
      <c r="BG276">
        <f>IF($BE276="","",COUNTIFS($C$2:$C$596,$C276,$BE$2:$BE$596,"&gt;"&amp;$BE276)+COUNTIFS($C$2:$C276,$C276,$BE$2:$BE276,$BE276))</f>
        <v>68</v>
      </c>
    </row>
    <row r="277" spans="1:59" x14ac:dyDescent="0.25">
      <c r="A277" t="str">
        <f>Player_Analysis!A277</f>
        <v>Carlos Alcaraz Durán</v>
      </c>
      <c r="B277">
        <f>Player_Analysis!C277</f>
        <v>9</v>
      </c>
      <c r="C277" t="str">
        <f>Player_Analysis!B277</f>
        <v>MID</v>
      </c>
      <c r="D277" s="13">
        <f>Player_Analysis!E277</f>
        <v>5</v>
      </c>
      <c r="E277">
        <f>Player_Analysis!I277</f>
        <v>5</v>
      </c>
      <c r="F277" s="8">
        <f>Player_Analysis!Z277</f>
        <v>0</v>
      </c>
      <c r="G277" s="17">
        <f t="shared" si="105"/>
        <v>0</v>
      </c>
      <c r="H277">
        <f t="shared" si="106"/>
        <v>0</v>
      </c>
      <c r="I277" s="8">
        <f>Player_Analysis!AF277</f>
        <v>0</v>
      </c>
      <c r="J277" s="8">
        <f>Player_Analysis!AG277</f>
        <v>0</v>
      </c>
      <c r="K277">
        <f>Player_Analysis!O277</f>
        <v>0.05</v>
      </c>
      <c r="L277">
        <f>Player_Analysis!P277</f>
        <v>0.02</v>
      </c>
      <c r="M277">
        <f t="shared" si="107"/>
        <v>0.9</v>
      </c>
      <c r="N277">
        <f t="shared" si="108"/>
        <v>0.36</v>
      </c>
      <c r="O277" s="2">
        <f>IF(E277=0,"",Player_Analysis!L277/E277*90)</f>
        <v>18</v>
      </c>
      <c r="P277">
        <f>IF(E277=0,"",Player_Analysis!Q277/E277*90)</f>
        <v>1.2600000000000002</v>
      </c>
      <c r="Q277">
        <f>IF(E277=0,"",(Player_Analysis!AD277/E277)*90)</f>
        <v>90</v>
      </c>
      <c r="R277">
        <f>IF(E277=0,"",Player_Analysis!AA277/E277*90)</f>
        <v>54</v>
      </c>
      <c r="S277" t="str">
        <f t="array" ref="S277">IFERROR(INDEX('2023_24'!$O:$O,MATCH($A277,'2023_24'!$A:$A,0)),"")</f>
        <v/>
      </c>
      <c r="T277">
        <f>IFERROR(INDEX('2024_25'!$P:$P,MATCH($A277,'2024_25'!$A:$A,0)),"")</f>
        <v>0.20913838120104439</v>
      </c>
      <c r="U277">
        <f>IFERROR(INDEX('2025_26'!$P:$P,MATCH($A277,'2025_26'!$A:$A,0)),"")</f>
        <v>0.15508100147275403</v>
      </c>
      <c r="V277" t="str">
        <f>IFERROR(INDEX('2023_24'!$P:$P,MATCH($A277,'2023_24'!$A:$A,0)),"")</f>
        <v/>
      </c>
      <c r="W277">
        <f>IFERROR(INDEX('2024_25'!$Q:$Q,MATCH($A277,'2024_25'!$A:$A,0)),"")</f>
        <v>7.9895561357702358E-2</v>
      </c>
      <c r="X277">
        <f>IFERROR(INDEX('2025_26'!$Q:$Q,MATCH($A277,'2025_26'!$A:$A,0)),"")</f>
        <v>7.1575846833578802E-2</v>
      </c>
      <c r="Y277" t="str">
        <f>IFERROR(INDEX('2023_24'!$M:$M,MATCH($A277,'2023_24'!$A:$A,0))/INDEX('2023_24'!$G:$G,MATCH($A277,'2023_24'!$A:$A,0))*90,"")</f>
        <v/>
      </c>
      <c r="Z277">
        <f>IFERROR(INDEX('2024_25'!$M:$M,MATCH($A277,'2024_25'!$A:$A,0))/INDEX('2024_25'!$G:$G,MATCH($A277,'2024_25'!$A:$A,0))*90,"")</f>
        <v>5.169712793733682</v>
      </c>
      <c r="AA277">
        <f>IFERROR(INDEX('2025_26'!$M:$M,MATCH($A277,'2025_26'!$A:$A,0))/INDEX('2025_26'!$G:$G,MATCH($A277,'2025_26'!$A:$A,0))*90,"")</f>
        <v>3.8438880706921945</v>
      </c>
      <c r="AB277">
        <f>IFERROR(SUMPRODUCT(S277:U277,{0.2,0.3,0.5})/SUMPRODUCT(--(S277:U277&lt;&gt;""),{0.2,0.3,0.5}),"")</f>
        <v>0.17535251887086289</v>
      </c>
      <c r="AC277">
        <f>IFERROR(SUMPRODUCT(V277:X277,{0.2,0.3,0.5})/SUMPRODUCT(--(V277:X277&lt;&gt;""),{0.2,0.3,0.5}),"")</f>
        <v>7.4695739780125128E-2</v>
      </c>
      <c r="AD277">
        <f>IFERROR(SUMPRODUCT(Y277:AA277,{0.2,0.3,0.5})/SUMPRODUCT((Y277:AA277&lt;&gt;"")*{0.2,0.3,0.5}),O277)</f>
        <v>4.3410723418327519</v>
      </c>
      <c r="AE277">
        <f t="shared" si="109"/>
        <v>2</v>
      </c>
      <c r="AF277" t="str">
        <f t="shared" si="110"/>
        <v/>
      </c>
      <c r="AG277">
        <f t="shared" si="111"/>
        <v>0.18742997688968183</v>
      </c>
      <c r="AH277">
        <f t="shared" si="112"/>
        <v>7.945081078378971E-2</v>
      </c>
      <c r="AI277" s="2">
        <f t="shared" si="113"/>
        <v>4.5687211361355393</v>
      </c>
      <c r="AJ277">
        <f t="shared" si="114"/>
        <v>1.6666666666666666E-2</v>
      </c>
      <c r="AK277" t="str">
        <f t="shared" si="115"/>
        <v>NO</v>
      </c>
      <c r="AL277">
        <f t="shared" si="116"/>
        <v>0</v>
      </c>
      <c r="AM277">
        <f t="shared" si="117"/>
        <v>0</v>
      </c>
      <c r="AN277">
        <f t="shared" si="118"/>
        <v>0</v>
      </c>
      <c r="AO277">
        <f t="shared" si="119"/>
        <v>0</v>
      </c>
      <c r="AP277">
        <f t="array" ref="AP277">AL277*IF($C277="GKP",10,IF($C277="DEF",6,IF($C277="MID",5,4)))</f>
        <v>0</v>
      </c>
      <c r="AQ277">
        <f t="shared" si="120"/>
        <v>0</v>
      </c>
      <c r="AR277">
        <f t="shared" si="121"/>
        <v>0</v>
      </c>
      <c r="AS277" s="2">
        <f>IF($H277=0,0,Player_Analysis!$AM277*$H277/90)</f>
        <v>0</v>
      </c>
      <c r="AT277">
        <f t="shared" si="122"/>
        <v>0</v>
      </c>
      <c r="AU277" s="2">
        <f>0</f>
        <v>0</v>
      </c>
      <c r="AV277" s="2">
        <f>IF(INDEX(FPL_Raw_Data!K:K,MATCH(A277,FPL_Raw_Data!AA:AA,0))=0,"",INDEX(FPL_Raw_Data!P:P,MATCH(A277,FPL_Raw_Data!AA:AA,0))/INDEX(FPL_Raw_Data!K:K,MATCH(A277,FPL_Raw_Data!AA:AA,0))*90)</f>
        <v>0</v>
      </c>
      <c r="AW277" s="2">
        <f t="shared" si="123"/>
        <v>0</v>
      </c>
      <c r="AX277" s="2">
        <f>IFERROR(INDEX(TEAM_ANALYSIS!$H$2:$H$21,MATCH($B277,TEAM_ANALYSIS!$A$2:$A$21,0)),0)</f>
        <v>1</v>
      </c>
      <c r="AY277" s="2">
        <f t="shared" si="124"/>
        <v>0</v>
      </c>
      <c r="AZ277" s="2">
        <f t="shared" si="125"/>
        <v>0</v>
      </c>
      <c r="BA277">
        <f t="shared" si="126"/>
        <v>0</v>
      </c>
      <c r="BB277">
        <f>IFERROR(Player_Analysis!$Y277,1)</f>
        <v>1.0752768166089965</v>
      </c>
      <c r="BC277">
        <f t="shared" si="127"/>
        <v>0</v>
      </c>
      <c r="BD277">
        <f t="shared" si="128"/>
        <v>0</v>
      </c>
      <c r="BE277">
        <f t="shared" si="129"/>
        <v>0</v>
      </c>
      <c r="BF277">
        <f t="shared" si="130"/>
        <v>253</v>
      </c>
      <c r="BG277">
        <f>IF($BE277="","",COUNTIFS($C$2:$C$596,$C277,$BE$2:$BE$596,"&gt;"&amp;$BE277)+COUNTIFS($C$2:$C277,$C277,$BE$2:$BE277,$BE277))</f>
        <v>182</v>
      </c>
    </row>
    <row r="278" spans="1:59" x14ac:dyDescent="0.25">
      <c r="A278" t="str">
        <f>Player_Analysis!A278</f>
        <v>Harrison Armstrong</v>
      </c>
      <c r="B278">
        <f>Player_Analysis!C278</f>
        <v>9</v>
      </c>
      <c r="C278" t="str">
        <f>Player_Analysis!B278</f>
        <v>MID</v>
      </c>
      <c r="D278" s="13">
        <f>Player_Analysis!E278</f>
        <v>5</v>
      </c>
      <c r="E278">
        <f>Player_Analysis!I278</f>
        <v>266</v>
      </c>
      <c r="F278" s="8">
        <f>Player_Analysis!Z278</f>
        <v>3</v>
      </c>
      <c r="G278" s="17">
        <f t="shared" si="105"/>
        <v>1</v>
      </c>
      <c r="H278">
        <f t="shared" si="106"/>
        <v>90</v>
      </c>
      <c r="I278" s="8">
        <f>Player_Analysis!AF278</f>
        <v>0</v>
      </c>
      <c r="J278" s="8">
        <f>Player_Analysis!AG278</f>
        <v>1</v>
      </c>
      <c r="K278">
        <f>Player_Analysis!O278</f>
        <v>0.09</v>
      </c>
      <c r="L278">
        <f>Player_Analysis!P278</f>
        <v>0.1</v>
      </c>
      <c r="M278">
        <f t="shared" si="107"/>
        <v>3.0451127819548871E-2</v>
      </c>
      <c r="N278">
        <f t="shared" si="108"/>
        <v>3.3834586466165419E-2</v>
      </c>
      <c r="O278" s="2">
        <f>IF(E278=0,"",Player_Analysis!L278/E278*90)</f>
        <v>3.7218045112781954</v>
      </c>
      <c r="P278">
        <f>IF(E278=0,"",Player_Analysis!Q278/E278*90)</f>
        <v>6.4285714285714279E-2</v>
      </c>
      <c r="Q278">
        <f>IF(E278=0,"",(Player_Analysis!AD278/E278)*90)</f>
        <v>14.210526315789473</v>
      </c>
      <c r="R278">
        <f>IF(E278=0,"",Player_Analysis!AA278/E278*90)</f>
        <v>10.150375939849624</v>
      </c>
      <c r="S278" t="str">
        <f t="array" ref="S278">IFERROR(INDEX('2023_24'!$O:$O,MATCH($A278,'2023_24'!$A:$A,0)),"")</f>
        <v/>
      </c>
      <c r="T278">
        <f>IFERROR(INDEX('2024_25'!$P:$P,MATCH($A278,'2024_25'!$A:$A,0)),"")</f>
        <v>0.70851063829787242</v>
      </c>
      <c r="U278">
        <f>IFERROR(INDEX('2025_26'!$P:$P,MATCH($A278,'2025_26'!$A:$A,0)),"")</f>
        <v>0.13568702290076337</v>
      </c>
      <c r="V278" t="str">
        <f>IFERROR(INDEX('2023_24'!$P:$P,MATCH($A278,'2023_24'!$A:$A,0)),"")</f>
        <v/>
      </c>
      <c r="W278">
        <f>IFERROR(INDEX('2024_25'!$Q:$Q,MATCH($A278,'2024_25'!$A:$A,0)),"")</f>
        <v>0</v>
      </c>
      <c r="X278">
        <f>IFERROR(INDEX('2025_26'!$Q:$Q,MATCH($A278,'2025_26'!$A:$A,0)),"")</f>
        <v>3.7786259541984731E-2</v>
      </c>
      <c r="Y278" t="str">
        <f>IFERROR(INDEX('2023_24'!$M:$M,MATCH($A278,'2023_24'!$A:$A,0))/INDEX('2023_24'!$G:$G,MATCH($A278,'2023_24'!$A:$A,0))*90,"")</f>
        <v/>
      </c>
      <c r="Z278">
        <f>IFERROR(INDEX('2024_25'!$M:$M,MATCH($A278,'2024_25'!$A:$A,0))/INDEX('2024_25'!$G:$G,MATCH($A278,'2024_25'!$A:$A,0))*90,"")</f>
        <v>3.8297872340425529</v>
      </c>
      <c r="AA278">
        <f>IFERROR(INDEX('2025_26'!$M:$M,MATCH($A278,'2025_26'!$A:$A,0))/INDEX('2025_26'!$G:$G,MATCH($A278,'2025_26'!$A:$A,0))*90,"")</f>
        <v>3.6068702290076335</v>
      </c>
      <c r="AB278">
        <f>IFERROR(SUMPRODUCT(S278:U278,{0.2,0.3,0.5})/SUMPRODUCT(--(S278:U278&lt;&gt;""),{0.2,0.3,0.5}),"")</f>
        <v>0.35049587867467924</v>
      </c>
      <c r="AC278">
        <f>IFERROR(SUMPRODUCT(V278:X278,{0.2,0.3,0.5})/SUMPRODUCT(--(V278:X278&lt;&gt;""),{0.2,0.3,0.5}),"")</f>
        <v>2.3616412213740456E-2</v>
      </c>
      <c r="AD278">
        <f>IFERROR(SUMPRODUCT(Y278:AA278,{0.2,0.3,0.5})/SUMPRODUCT((Y278:AA278&lt;&gt;"")*{0.2,0.3,0.5}),O278)</f>
        <v>3.6904641058957282</v>
      </c>
      <c r="AE278">
        <f t="shared" si="109"/>
        <v>2</v>
      </c>
      <c r="AF278">
        <f t="shared" si="110"/>
        <v>88.666666666666671</v>
      </c>
      <c r="AG278">
        <f t="shared" si="111"/>
        <v>6.6722866249796967E-2</v>
      </c>
      <c r="AH278">
        <f t="shared" si="112"/>
        <v>3.2676526717557254E-2</v>
      </c>
      <c r="AI278" s="2">
        <f t="shared" si="113"/>
        <v>3.7182525986681827</v>
      </c>
      <c r="AJ278">
        <f t="shared" si="114"/>
        <v>0.88666666666666671</v>
      </c>
      <c r="AK278" t="str">
        <f t="shared" si="115"/>
        <v>NO</v>
      </c>
      <c r="AL278">
        <f t="shared" si="116"/>
        <v>6.6722866249796967E-2</v>
      </c>
      <c r="AM278">
        <f t="shared" si="117"/>
        <v>3.2676526717557254E-2</v>
      </c>
      <c r="AN278">
        <f t="shared" si="118"/>
        <v>6.6722866249796967E-2</v>
      </c>
      <c r="AO278">
        <f t="shared" si="119"/>
        <v>3.2676526717557254E-2</v>
      </c>
      <c r="AP278">
        <f t="array" ref="AP278">AL278*IF($C278="GKP",10,IF($C278="DEF",6,IF($C278="MID",5,4)))</f>
        <v>0.33361433124898482</v>
      </c>
      <c r="AQ278">
        <f t="shared" si="120"/>
        <v>9.8029580152671769E-2</v>
      </c>
      <c r="AR278">
        <f t="shared" si="121"/>
        <v>2</v>
      </c>
      <c r="AS278" s="2">
        <f>IF($H278=0,0,Player_Analysis!$AM278*$H278/90)</f>
        <v>0.33333333333333331</v>
      </c>
      <c r="AT278">
        <f t="shared" si="122"/>
        <v>1.6917293233082706</v>
      </c>
      <c r="AU278" s="2">
        <f>0</f>
        <v>0</v>
      </c>
      <c r="AV278" s="2">
        <f>IF(INDEX(FPL_Raw_Data!K:K,MATCH(A278,FPL_Raw_Data!AA:AA,0))=0,"",INDEX(FPL_Raw_Data!P:P,MATCH(A278,FPL_Raw_Data!AA:AA,0))/INDEX(FPL_Raw_Data!K:K,MATCH(A278,FPL_Raw_Data!AA:AA,0))*90)</f>
        <v>0</v>
      </c>
      <c r="AW278" s="2">
        <f t="shared" si="123"/>
        <v>0</v>
      </c>
      <c r="AX278" s="2">
        <f>IFERROR(INDEX(TEAM_ANALYSIS!$H$2:$H$21,MATCH($B278,TEAM_ANALYSIS!$A$2:$A$21,0)),0)</f>
        <v>1</v>
      </c>
      <c r="AY278" s="2">
        <f t="shared" si="124"/>
        <v>0</v>
      </c>
      <c r="AZ278" s="2">
        <f t="shared" si="125"/>
        <v>4.4567065680432609</v>
      </c>
      <c r="BA278">
        <f t="shared" si="126"/>
        <v>0.89134131360865221</v>
      </c>
      <c r="BB278">
        <f>IFERROR(Player_Analysis!$Y278,1)</f>
        <v>1.0752768166089965</v>
      </c>
      <c r="BC278">
        <f t="shared" si="127"/>
        <v>4.7921932510459637</v>
      </c>
      <c r="BD278">
        <f t="shared" si="128"/>
        <v>4.2714798274538266</v>
      </c>
      <c r="BE278">
        <f t="shared" si="129"/>
        <v>4.7921932510459637</v>
      </c>
      <c r="BF278">
        <f t="shared" si="130"/>
        <v>109</v>
      </c>
      <c r="BG278">
        <f>IF($BE278="","",COUNTIFS($C$2:$C$596,$C278,$BE$2:$BE$596,"&gt;"&amp;$BE278)+COUNTIFS($C$2:$C278,$C278,$BE$2:$BE278,$BE278))</f>
        <v>51</v>
      </c>
    </row>
    <row r="279" spans="1:59" x14ac:dyDescent="0.25">
      <c r="A279" t="str">
        <f>Player_Analysis!A279</f>
        <v>Tyler Dibling</v>
      </c>
      <c r="B279">
        <f>Player_Analysis!C279</f>
        <v>9</v>
      </c>
      <c r="C279" t="str">
        <f>Player_Analysis!B279</f>
        <v>MID</v>
      </c>
      <c r="D279" s="13">
        <f>Player_Analysis!E279</f>
        <v>5.4</v>
      </c>
      <c r="E279">
        <f>Player_Analysis!I279</f>
        <v>0</v>
      </c>
      <c r="F279" s="8">
        <f>Player_Analysis!Z279</f>
        <v>0</v>
      </c>
      <c r="G279" s="17">
        <f t="shared" si="105"/>
        <v>0</v>
      </c>
      <c r="H279">
        <f t="shared" si="106"/>
        <v>0</v>
      </c>
      <c r="I279" s="8">
        <f>Player_Analysis!AF279</f>
        <v>0</v>
      </c>
      <c r="J279" s="8">
        <f>Player_Analysis!AG279</f>
        <v>0</v>
      </c>
      <c r="K279">
        <f>Player_Analysis!O279</f>
        <v>0</v>
      </c>
      <c r="L279">
        <f>Player_Analysis!P279</f>
        <v>0</v>
      </c>
      <c r="M279" t="str">
        <f t="shared" si="107"/>
        <v/>
      </c>
      <c r="N279" t="str">
        <f t="shared" si="108"/>
        <v/>
      </c>
      <c r="O279" s="2" t="str">
        <f>IF(E279=0,"",Player_Analysis!L279/E279*90)</f>
        <v/>
      </c>
      <c r="P279" t="str">
        <f>IF(E279=0,"",Player_Analysis!Q279/E279*90)</f>
        <v/>
      </c>
      <c r="Q279" t="str">
        <f>IF(E279=0,"",(Player_Analysis!AD279/E279)*90)</f>
        <v/>
      </c>
      <c r="R279" t="str">
        <f>IF(E279=0,"",Player_Analysis!AA279/E279*90)</f>
        <v/>
      </c>
      <c r="S279" t="str">
        <f t="array" ref="S279">IFERROR(INDEX('2023_24'!$O:$O,MATCH($A279,'2023_24'!$A:$A,0)),"")</f>
        <v/>
      </c>
      <c r="T279">
        <f>IFERROR(INDEX('2024_25'!$P:$P,MATCH($A279,'2024_25'!$A:$A,0)),"")</f>
        <v>0.12560386473429952</v>
      </c>
      <c r="U279">
        <f>IFERROR(INDEX('2025_26'!$P:$P,MATCH($A279,'2025_26'!$A:$A,0)),"")</f>
        <v>5.1575931232091698E-2</v>
      </c>
      <c r="V279" t="str">
        <f>IFERROR(INDEX('2023_24'!$P:$P,MATCH($A279,'2023_24'!$A:$A,0)),"")</f>
        <v/>
      </c>
      <c r="W279">
        <f>IFERROR(INDEX('2024_25'!$Q:$Q,MATCH($A279,'2024_25'!$A:$A,0)),"")</f>
        <v>7.1014492753623176E-2</v>
      </c>
      <c r="X279">
        <f>IFERROR(INDEX('2025_26'!$Q:$Q,MATCH($A279,'2025_26'!$A:$A,0)),"")</f>
        <v>3.6103151862464183E-2</v>
      </c>
      <c r="Y279" t="str">
        <f>IFERROR(INDEX('2023_24'!$M:$M,MATCH($A279,'2023_24'!$A:$A,0))/INDEX('2023_24'!$G:$G,MATCH($A279,'2023_24'!$A:$A,0))*90,"")</f>
        <v/>
      </c>
      <c r="Z279">
        <f>IFERROR(INDEX('2024_25'!$M:$M,MATCH($A279,'2024_25'!$A:$A,0))/INDEX('2024_25'!$G:$G,MATCH($A279,'2024_25'!$A:$A,0))*90,"")</f>
        <v>3.2850241545893724</v>
      </c>
      <c r="AA279">
        <f>IFERROR(INDEX('2025_26'!$M:$M,MATCH($A279,'2025_26'!$A:$A,0))/INDEX('2025_26'!$G:$G,MATCH($A279,'2025_26'!$A:$A,0))*90,"")</f>
        <v>4.6418338108882526</v>
      </c>
      <c r="AB279">
        <f>IFERROR(SUMPRODUCT(S279:U279,{0.2,0.3,0.5})/SUMPRODUCT(--(S279:U279&lt;&gt;""),{0.2,0.3,0.5}),"")</f>
        <v>7.9336406295419618E-2</v>
      </c>
      <c r="AC279">
        <f>IFERROR(SUMPRODUCT(V279:X279,{0.2,0.3,0.5})/SUMPRODUCT(--(V279:X279&lt;&gt;""),{0.2,0.3,0.5}),"")</f>
        <v>4.9194904696648799E-2</v>
      </c>
      <c r="AD279">
        <f>IFERROR(SUMPRODUCT(Y279:AA279,{0.2,0.3,0.5})/SUMPRODUCT((Y279:AA279&lt;&gt;"")*{0.2,0.3,0.5}),O279)</f>
        <v>4.1330301897761723</v>
      </c>
      <c r="AE279">
        <f t="shared" si="109"/>
        <v>2</v>
      </c>
      <c r="AF279" t="str">
        <f t="shared" si="110"/>
        <v/>
      </c>
      <c r="AG279">
        <f t="shared" si="111"/>
        <v>7.9336406295419618E-2</v>
      </c>
      <c r="AH279">
        <f t="shared" si="112"/>
        <v>4.9194904696648799E-2</v>
      </c>
      <c r="AI279" s="2">
        <f t="shared" si="113"/>
        <v>4.1330301897761723</v>
      </c>
      <c r="AJ279">
        <f t="shared" si="114"/>
        <v>0</v>
      </c>
      <c r="AK279" t="str">
        <f t="shared" si="115"/>
        <v>NO</v>
      </c>
      <c r="AL279">
        <f t="shared" si="116"/>
        <v>0</v>
      </c>
      <c r="AM279">
        <f t="shared" si="117"/>
        <v>0</v>
      </c>
      <c r="AN279">
        <f t="shared" si="118"/>
        <v>0</v>
      </c>
      <c r="AO279">
        <f t="shared" si="119"/>
        <v>0</v>
      </c>
      <c r="AP279">
        <f t="array" ref="AP279">AL279*IF($C279="GKP",10,IF($C279="DEF",6,IF($C279="MID",5,4)))</f>
        <v>0</v>
      </c>
      <c r="AQ279">
        <f t="shared" si="120"/>
        <v>0</v>
      </c>
      <c r="AR279">
        <f t="shared" si="121"/>
        <v>0</v>
      </c>
      <c r="AS279" s="2">
        <f>IF($H279=0,0,Player_Analysis!$AM279*$H279/90)</f>
        <v>0</v>
      </c>
      <c r="AT279">
        <f t="shared" si="122"/>
        <v>0</v>
      </c>
      <c r="AU279" s="2">
        <f>0</f>
        <v>0</v>
      </c>
      <c r="AV279" s="2" t="str">
        <f>IF(INDEX(FPL_Raw_Data!K:K,MATCH(A279,FPL_Raw_Data!AA:AA,0))=0,"",INDEX(FPL_Raw_Data!P:P,MATCH(A279,FPL_Raw_Data!AA:AA,0))/INDEX(FPL_Raw_Data!K:K,MATCH(A279,FPL_Raw_Data!AA:AA,0))*90)</f>
        <v/>
      </c>
      <c r="AW279" s="2">
        <f t="shared" si="123"/>
        <v>0</v>
      </c>
      <c r="AX279" s="2">
        <f>IFERROR(INDEX(TEAM_ANALYSIS!$H$2:$H$21,MATCH($B279,TEAM_ANALYSIS!$A$2:$A$21,0)),0)</f>
        <v>1</v>
      </c>
      <c r="AY279" s="2">
        <f t="shared" si="124"/>
        <v>0</v>
      </c>
      <c r="AZ279" s="2">
        <f t="shared" si="125"/>
        <v>0</v>
      </c>
      <c r="BA279">
        <f t="shared" si="126"/>
        <v>0</v>
      </c>
      <c r="BB279">
        <f>IFERROR(Player_Analysis!$Y279,1)</f>
        <v>1.0752768166089965</v>
      </c>
      <c r="BC279">
        <f t="shared" si="127"/>
        <v>0</v>
      </c>
      <c r="BD279">
        <f t="shared" si="128"/>
        <v>0</v>
      </c>
      <c r="BE279">
        <f t="shared" si="129"/>
        <v>0</v>
      </c>
      <c r="BF279">
        <f t="shared" si="130"/>
        <v>253</v>
      </c>
      <c r="BG279">
        <f>IF($BE279="","",COUNTIFS($C$2:$C$596,$C279,$BE$2:$BE$596,"&gt;"&amp;$BE279)+COUNTIFS($C$2:$C279,$C279,$BE$2:$BE279,$BE279))</f>
        <v>183</v>
      </c>
    </row>
    <row r="280" spans="1:59" x14ac:dyDescent="0.25">
      <c r="A280" t="str">
        <f>Player_Analysis!A280</f>
        <v>Merlin Röhl</v>
      </c>
      <c r="B280">
        <f>Player_Analysis!C280</f>
        <v>9</v>
      </c>
      <c r="C280" t="str">
        <f>Player_Analysis!B280</f>
        <v>MID</v>
      </c>
      <c r="D280" s="13">
        <f>Player_Analysis!E280</f>
        <v>5</v>
      </c>
      <c r="E280">
        <f>Player_Analysis!I280</f>
        <v>249</v>
      </c>
      <c r="F280" s="8">
        <f>Player_Analysis!Z280</f>
        <v>3</v>
      </c>
      <c r="G280" s="17">
        <f t="shared" si="105"/>
        <v>1</v>
      </c>
      <c r="H280">
        <f t="shared" si="106"/>
        <v>90</v>
      </c>
      <c r="I280" s="8">
        <f>Player_Analysis!AF280</f>
        <v>0</v>
      </c>
      <c r="J280" s="8">
        <f>Player_Analysis!AG280</f>
        <v>0</v>
      </c>
      <c r="K280">
        <f>Player_Analysis!O280</f>
        <v>0</v>
      </c>
      <c r="L280">
        <f>Player_Analysis!P280</f>
        <v>0.2</v>
      </c>
      <c r="M280">
        <f t="shared" si="107"/>
        <v>0</v>
      </c>
      <c r="N280">
        <f t="shared" si="108"/>
        <v>7.2289156626506021E-2</v>
      </c>
      <c r="O280" s="2">
        <f>IF(E280=0,"",Player_Analysis!L280/E280*90)</f>
        <v>2.168674698795181</v>
      </c>
      <c r="P280">
        <f>IF(E280=0,"",Player_Analysis!Q280/E280*90)</f>
        <v>7.2289156626506021E-2</v>
      </c>
      <c r="Q280">
        <f>IF(E280=0,"",(Player_Analysis!AD280/E280)*90)</f>
        <v>12.650602409638553</v>
      </c>
      <c r="R280">
        <f>IF(E280=0,"",Player_Analysis!AA280/E280*90)</f>
        <v>8.6746987951807242</v>
      </c>
      <c r="S280" t="str">
        <f t="array" ref="S280">IFERROR(INDEX('2023_24'!$O:$O,MATCH($A280,'2023_24'!$A:$A,0)),"")</f>
        <v/>
      </c>
      <c r="T280" t="str">
        <f>IFERROR(INDEX('2024_25'!$P:$P,MATCH($A280,'2024_25'!$A:$A,0)),"")</f>
        <v/>
      </c>
      <c r="U280">
        <f>IFERROR(INDEX('2025_26'!$P:$P,MATCH($A280,'2025_26'!$A:$A,0)),"")</f>
        <v>8.9333333333333334E-2</v>
      </c>
      <c r="V280" t="str">
        <f>IFERROR(INDEX('2023_24'!$P:$P,MATCH($A280,'2023_24'!$A:$A,0)),"")</f>
        <v/>
      </c>
      <c r="W280" t="str">
        <f>IFERROR(INDEX('2024_25'!$Q:$Q,MATCH($A280,'2024_25'!$A:$A,0)),"")</f>
        <v/>
      </c>
      <c r="X280">
        <f>IFERROR(INDEX('2025_26'!$Q:$Q,MATCH($A280,'2025_26'!$A:$A,0)),"")</f>
        <v>4.6666666666666669E-2</v>
      </c>
      <c r="Y280" t="str">
        <f>IFERROR(INDEX('2023_24'!$M:$M,MATCH($A280,'2023_24'!$A:$A,0))/INDEX('2023_24'!$G:$G,MATCH($A280,'2023_24'!$A:$A,0))*90,"")</f>
        <v/>
      </c>
      <c r="Z280" t="str">
        <f>IFERROR(INDEX('2024_25'!$M:$M,MATCH($A280,'2024_25'!$A:$A,0))/INDEX('2024_25'!$G:$G,MATCH($A280,'2024_25'!$A:$A,0))*90,"")</f>
        <v/>
      </c>
      <c r="AA280">
        <f>IFERROR(INDEX('2025_26'!$M:$M,MATCH($A280,'2025_26'!$A:$A,0))/INDEX('2025_26'!$G:$G,MATCH($A280,'2025_26'!$A:$A,0))*90,"")</f>
        <v>4.8000000000000007</v>
      </c>
      <c r="AB280">
        <f>IFERROR(SUMPRODUCT(S280:U280,{0.2,0.3,0.5})/SUMPRODUCT(--(S280:U280&lt;&gt;""),{0.2,0.3,0.5}),"")</f>
        <v>8.9333333333333334E-2</v>
      </c>
      <c r="AC280">
        <f>IFERROR(SUMPRODUCT(V280:X280,{0.2,0.3,0.5})/SUMPRODUCT(--(V280:X280&lt;&gt;""),{0.2,0.3,0.5}),"")</f>
        <v>4.6666666666666669E-2</v>
      </c>
      <c r="AD280">
        <f>IFERROR(SUMPRODUCT(Y280:AA280,{0.2,0.3,0.5})/SUMPRODUCT((Y280:AA280&lt;&gt;"")*{0.2,0.3,0.5}),O280)</f>
        <v>4.8000000000000007</v>
      </c>
      <c r="AE280">
        <f t="shared" si="109"/>
        <v>1</v>
      </c>
      <c r="AF280">
        <f t="shared" si="110"/>
        <v>83</v>
      </c>
      <c r="AG280">
        <f t="shared" si="111"/>
        <v>1.5186666666666669E-2</v>
      </c>
      <c r="AH280">
        <f t="shared" si="112"/>
        <v>6.7933333333333332E-2</v>
      </c>
      <c r="AI280" s="2">
        <f t="shared" si="113"/>
        <v>2.6160000000000005</v>
      </c>
      <c r="AJ280">
        <f t="shared" si="114"/>
        <v>0.83</v>
      </c>
      <c r="AK280" t="str">
        <f t="shared" si="115"/>
        <v>NO</v>
      </c>
      <c r="AL280">
        <f t="shared" si="116"/>
        <v>1.5186666666666669E-2</v>
      </c>
      <c r="AM280">
        <f t="shared" si="117"/>
        <v>6.7933333333333332E-2</v>
      </c>
      <c r="AN280">
        <f t="shared" si="118"/>
        <v>1.5186666666666669E-2</v>
      </c>
      <c r="AO280">
        <f t="shared" si="119"/>
        <v>6.7933333333333332E-2</v>
      </c>
      <c r="AP280">
        <f t="array" ref="AP280">AL280*IF($C280="GKP",10,IF($C280="DEF",6,IF($C280="MID",5,4)))</f>
        <v>7.5933333333333353E-2</v>
      </c>
      <c r="AQ280">
        <f t="shared" si="120"/>
        <v>0.20379999999999998</v>
      </c>
      <c r="AR280">
        <f t="shared" si="121"/>
        <v>2</v>
      </c>
      <c r="AS280" s="2">
        <f>IF($H280=0,0,Player_Analysis!$AM280*$H280/90)</f>
        <v>0.33333333333333331</v>
      </c>
      <c r="AT280">
        <f t="shared" si="122"/>
        <v>1.4457831325301207</v>
      </c>
      <c r="AU280" s="2">
        <f>0</f>
        <v>0</v>
      </c>
      <c r="AV280" s="2">
        <f>IF(INDEX(FPL_Raw_Data!K:K,MATCH(A280,FPL_Raw_Data!AA:AA,0))=0,"",INDEX(FPL_Raw_Data!P:P,MATCH(A280,FPL_Raw_Data!AA:AA,0))/INDEX(FPL_Raw_Data!K:K,MATCH(A280,FPL_Raw_Data!AA:AA,0))*90)</f>
        <v>0</v>
      </c>
      <c r="AW280" s="2">
        <f t="shared" si="123"/>
        <v>0</v>
      </c>
      <c r="AX280" s="2">
        <f>IFERROR(INDEX(TEAM_ANALYSIS!$H$2:$H$21,MATCH($B280,TEAM_ANALYSIS!$A$2:$A$21,0)),0)</f>
        <v>1</v>
      </c>
      <c r="AY280" s="2">
        <f t="shared" si="124"/>
        <v>0</v>
      </c>
      <c r="AZ280" s="2">
        <f t="shared" si="125"/>
        <v>4.0588497991967873</v>
      </c>
      <c r="BA280">
        <f t="shared" si="126"/>
        <v>0.81176995983935751</v>
      </c>
      <c r="BB280">
        <f>IFERROR(Player_Analysis!$Y280,1)</f>
        <v>1.0752768166089965</v>
      </c>
      <c r="BC280">
        <f t="shared" si="127"/>
        <v>4.3643870911743861</v>
      </c>
      <c r="BD280">
        <f t="shared" si="128"/>
        <v>3.5428783337260419</v>
      </c>
      <c r="BE280">
        <f t="shared" si="129"/>
        <v>4.3643870911743861</v>
      </c>
      <c r="BF280">
        <f t="shared" si="130"/>
        <v>134</v>
      </c>
      <c r="BG280">
        <f>IF($BE280="","",COUNTIFS($C$2:$C$596,$C280,$BE$2:$BE$596,"&gt;"&amp;$BE280)+COUNTIFS($C$2:$C280,$C280,$BE$2:$BE280,$BE280))</f>
        <v>66</v>
      </c>
    </row>
    <row r="281" spans="1:59" x14ac:dyDescent="0.25">
      <c r="A281" t="str">
        <f>Player_Analysis!A281</f>
        <v>Hayden Hackney</v>
      </c>
      <c r="B281">
        <f>Player_Analysis!C281</f>
        <v>9</v>
      </c>
      <c r="C281" t="str">
        <f>Player_Analysis!B281</f>
        <v>MID</v>
      </c>
      <c r="D281" s="13">
        <f>Player_Analysis!E281</f>
        <v>5.5</v>
      </c>
      <c r="E281">
        <f>Player_Analysis!I281</f>
        <v>121</v>
      </c>
      <c r="F281" s="8">
        <f>Player_Analysis!Z281</f>
        <v>1</v>
      </c>
      <c r="G281" s="17">
        <f t="shared" si="105"/>
        <v>0.74380165289256195</v>
      </c>
      <c r="H281">
        <f t="shared" si="106"/>
        <v>66.942148760330582</v>
      </c>
      <c r="I281" s="8">
        <f>Player_Analysis!AF281</f>
        <v>0</v>
      </c>
      <c r="J281" s="8">
        <f>Player_Analysis!AG281</f>
        <v>1</v>
      </c>
      <c r="K281">
        <f>Player_Analysis!O281</f>
        <v>0.05</v>
      </c>
      <c r="L281">
        <f>Player_Analysis!P281</f>
        <v>0.11</v>
      </c>
      <c r="M281">
        <f t="shared" si="107"/>
        <v>3.71900826446281E-2</v>
      </c>
      <c r="N281">
        <f t="shared" si="108"/>
        <v>8.1818181818181818E-2</v>
      </c>
      <c r="O281" s="2">
        <f>IF(E281=0,"",Player_Analysis!L281/E281*90)</f>
        <v>5.9504132231404956</v>
      </c>
      <c r="P281">
        <f>IF(E281=0,"",Player_Analysis!Q281/E281*90)</f>
        <v>0.11900826446280993</v>
      </c>
      <c r="Q281">
        <f>IF(E281=0,"",(Player_Analysis!AD281/E281)*90)</f>
        <v>24.545454545454543</v>
      </c>
      <c r="R281">
        <f>IF(E281=0,"",Player_Analysis!AA281/E281*90)</f>
        <v>8.1818181818181817</v>
      </c>
      <c r="S281" t="str">
        <f t="array" ref="S281">IFERROR(INDEX('2023_24'!$O:$O,MATCH($A281,'2023_24'!$A:$A,0)),"")</f>
        <v/>
      </c>
      <c r="T281" t="str">
        <f>IFERROR(INDEX('2024_25'!$P:$P,MATCH($A281,'2024_25'!$A:$A,0)),"")</f>
        <v/>
      </c>
      <c r="U281" t="str">
        <f>IFERROR(INDEX('2025_26'!$P:$P,MATCH($A281,'2025_26'!$A:$A,0)),"")</f>
        <v/>
      </c>
      <c r="V281" t="str">
        <f>IFERROR(INDEX('2023_24'!$P:$P,MATCH($A281,'2023_24'!$A:$A,0)),"")</f>
        <v/>
      </c>
      <c r="W281" t="str">
        <f>IFERROR(INDEX('2024_25'!$Q:$Q,MATCH($A281,'2024_25'!$A:$A,0)),"")</f>
        <v/>
      </c>
      <c r="X281" t="str">
        <f>IFERROR(INDEX('2025_26'!$Q:$Q,MATCH($A281,'2025_26'!$A:$A,0)),"")</f>
        <v/>
      </c>
      <c r="Y281" t="str">
        <f>IFERROR(INDEX('2023_24'!$M:$M,MATCH($A281,'2023_24'!$A:$A,0))/INDEX('2023_24'!$G:$G,MATCH($A281,'2023_24'!$A:$A,0))*90,"")</f>
        <v/>
      </c>
      <c r="Z281" t="str">
        <f>IFERROR(INDEX('2024_25'!$M:$M,MATCH($A281,'2024_25'!$A:$A,0))/INDEX('2024_25'!$G:$G,MATCH($A281,'2024_25'!$A:$A,0))*90,"")</f>
        <v/>
      </c>
      <c r="AA281" t="str">
        <f>IFERROR(INDEX('2025_26'!$M:$M,MATCH($A281,'2025_26'!$A:$A,0))/INDEX('2025_26'!$G:$G,MATCH($A281,'2025_26'!$A:$A,0))*90,"")</f>
        <v/>
      </c>
      <c r="AB281" t="str">
        <f>IFERROR(SUMPRODUCT(S281:U281,{0.2,0.3,0.5})/SUMPRODUCT(--(S281:U281&lt;&gt;""),{0.2,0.3,0.5}),"")</f>
        <v/>
      </c>
      <c r="AC281" t="str">
        <f>IFERROR(SUMPRODUCT(V281:X281,{0.2,0.3,0.5})/SUMPRODUCT(--(V281:X281&lt;&gt;""),{0.2,0.3,0.5}),"")</f>
        <v/>
      </c>
      <c r="AD281">
        <f>IFERROR(SUMPRODUCT(Y281:AA281,{0.2,0.3,0.5})/SUMPRODUCT((Y281:AA281&lt;&gt;"")*{0.2,0.3,0.5}),O281)</f>
        <v>5.9504132231404956</v>
      </c>
      <c r="AE281">
        <f t="shared" si="109"/>
        <v>0</v>
      </c>
      <c r="AF281">
        <f t="shared" si="110"/>
        <v>121</v>
      </c>
      <c r="AG281">
        <f t="shared" si="111"/>
        <v>3.71900826446281E-2</v>
      </c>
      <c r="AH281">
        <f t="shared" si="112"/>
        <v>8.1818181818181818E-2</v>
      </c>
      <c r="AI281" s="2">
        <f t="shared" si="113"/>
        <v>5.9504132231404956</v>
      </c>
      <c r="AJ281">
        <f t="shared" si="114"/>
        <v>0.40333333333333332</v>
      </c>
      <c r="AK281" t="str">
        <f t="shared" si="115"/>
        <v>YES</v>
      </c>
      <c r="AL281">
        <f t="shared" si="116"/>
        <v>2.7662044942285365E-2</v>
      </c>
      <c r="AM281">
        <f t="shared" si="117"/>
        <v>6.0856498873027805E-2</v>
      </c>
      <c r="AN281">
        <f t="shared" si="118"/>
        <v>2.7662044942285365E-2</v>
      </c>
      <c r="AO281">
        <f t="shared" si="119"/>
        <v>6.0856498873027805E-2</v>
      </c>
      <c r="AP281">
        <f t="array" ref="AP281">AL281*IF($C281="GKP",10,IF($C281="DEF",6,IF($C281="MID",5,4)))</f>
        <v>0.13831022471142682</v>
      </c>
      <c r="AQ281">
        <f t="shared" si="120"/>
        <v>0.18256949661908342</v>
      </c>
      <c r="AR281">
        <f t="shared" si="121"/>
        <v>1.4876033057851239</v>
      </c>
      <c r="AS281" s="2">
        <f>IF($H281=0,0,Player_Analysis!$AM281*$H281/90)</f>
        <v>0.74380165289256206</v>
      </c>
      <c r="AT281">
        <f t="shared" si="122"/>
        <v>1.0142749812171301</v>
      </c>
      <c r="AU281" s="2">
        <f>0</f>
        <v>0</v>
      </c>
      <c r="AV281" s="2">
        <f>IF(INDEX(FPL_Raw_Data!K:K,MATCH(A281,FPL_Raw_Data!AA:AA,0))=0,"",INDEX(FPL_Raw_Data!P:P,MATCH(A281,FPL_Raw_Data!AA:AA,0))/INDEX(FPL_Raw_Data!K:K,MATCH(A281,FPL_Raw_Data!AA:AA,0))*90)</f>
        <v>0</v>
      </c>
      <c r="AW281" s="2">
        <f t="shared" si="123"/>
        <v>0</v>
      </c>
      <c r="AX281" s="2">
        <f>IFERROR(INDEX(TEAM_ANALYSIS!$H$2:$H$21,MATCH($B281,TEAM_ANALYSIS!$A$2:$A$21,0)),0)</f>
        <v>1</v>
      </c>
      <c r="AY281" s="2">
        <f t="shared" si="124"/>
        <v>0</v>
      </c>
      <c r="AZ281" s="2">
        <f t="shared" si="125"/>
        <v>3.5665596612253263</v>
      </c>
      <c r="BA281">
        <f t="shared" si="126"/>
        <v>0.64846539295005934</v>
      </c>
      <c r="BB281">
        <f>IFERROR(Player_Analysis!$Y281,1)</f>
        <v>1.0752768166089965</v>
      </c>
      <c r="BC281">
        <f t="shared" si="127"/>
        <v>3.8350389187684302</v>
      </c>
      <c r="BD281">
        <f t="shared" si="128"/>
        <v>2.4868900194379409</v>
      </c>
      <c r="BE281">
        <f t="shared" si="129"/>
        <v>3.8350389187684302</v>
      </c>
      <c r="BF281">
        <f t="shared" si="130"/>
        <v>167</v>
      </c>
      <c r="BG281">
        <f>IF($BE281="","",COUNTIFS($C$2:$C$596,$C281,$BE$2:$BE$596,"&gt;"&amp;$BE281)+COUNTIFS($C$2:$C281,$C281,$BE$2:$BE281,$BE281))</f>
        <v>85</v>
      </c>
    </row>
    <row r="282" spans="1:59" x14ac:dyDescent="0.25">
      <c r="A282" t="str">
        <f>Player_Analysis!A282</f>
        <v>Norberto Bercique Gomes Betuncal</v>
      </c>
      <c r="B282">
        <f>Player_Analysis!C282</f>
        <v>9</v>
      </c>
      <c r="C282" t="str">
        <f>Player_Analysis!B282</f>
        <v>FWD</v>
      </c>
      <c r="D282" s="13">
        <f>Player_Analysis!E282</f>
        <v>5.4</v>
      </c>
      <c r="E282">
        <f>Player_Analysis!I282</f>
        <v>31</v>
      </c>
      <c r="F282" s="8">
        <f>Player_Analysis!Z282</f>
        <v>0</v>
      </c>
      <c r="G282" s="17">
        <f t="shared" si="105"/>
        <v>0</v>
      </c>
      <c r="H282">
        <f t="shared" si="106"/>
        <v>0</v>
      </c>
      <c r="I282" s="8">
        <f>Player_Analysis!AF282</f>
        <v>0</v>
      </c>
      <c r="J282" s="8">
        <f>Player_Analysis!AG282</f>
        <v>0</v>
      </c>
      <c r="K282">
        <f>Player_Analysis!O282</f>
        <v>0.09</v>
      </c>
      <c r="L282">
        <f>Player_Analysis!P282</f>
        <v>0</v>
      </c>
      <c r="M282">
        <f t="shared" si="107"/>
        <v>0.26129032258064516</v>
      </c>
      <c r="N282">
        <f t="shared" si="108"/>
        <v>0</v>
      </c>
      <c r="O282" s="2">
        <f>IF(E282=0,"",Player_Analysis!L282/E282*90)</f>
        <v>5.806451612903226</v>
      </c>
      <c r="P282">
        <f>IF(E282=0,"",Player_Analysis!Q282/E282*90)</f>
        <v>0.26129032258064516</v>
      </c>
      <c r="Q282">
        <f>IF(E282=0,"",(Player_Analysis!AD282/E282)*90)</f>
        <v>14.516129032258064</v>
      </c>
      <c r="R282">
        <f>IF(E282=0,"",Player_Analysis!AA282/E282*90)</f>
        <v>2.903225806451613</v>
      </c>
      <c r="S282">
        <f t="array" ref="S282">IFERROR(INDEX('2023_24'!$O:$O,MATCH($A282,'2023_24'!$A:$A,0)),"")</f>
        <v>0.616542948038176</v>
      </c>
      <c r="T282">
        <f>IFERROR(INDEX('2024_25'!$P:$P,MATCH($A282,'2024_25'!$A:$A,0)),"")</f>
        <v>0.46686390532544375</v>
      </c>
      <c r="U282">
        <f>IFERROR(INDEX('2025_26'!$P:$P,MATCH($A282,'2025_26'!$A:$A,0)),"")</f>
        <v>0.51644100580270791</v>
      </c>
      <c r="V282">
        <f>IFERROR(INDEX('2023_24'!$P:$P,MATCH($A282,'2023_24'!$A:$A,0)),"")</f>
        <v>2.863202545068929E-2</v>
      </c>
      <c r="W282">
        <f>IFERROR(INDEX('2024_25'!$Q:$Q,MATCH($A282,'2024_25'!$A:$A,0)),"")</f>
        <v>2.6035502958579884E-2</v>
      </c>
      <c r="X282">
        <f>IFERROR(INDEX('2025_26'!$Q:$Q,MATCH($A282,'2025_26'!$A:$A,0)),"")</f>
        <v>1.3346228239845262E-2</v>
      </c>
      <c r="Y282">
        <f>IFERROR(INDEX('2023_24'!$M:$M,MATCH($A282,'2023_24'!$A:$A,0))/INDEX('2023_24'!$G:$G,MATCH($A282,'2023_24'!$A:$A,0))*90,"")</f>
        <v>4.7720042417815485</v>
      </c>
      <c r="Z282">
        <f>IFERROR(INDEX('2024_25'!$M:$M,MATCH($A282,'2024_25'!$A:$A,0))/INDEX('2024_25'!$G:$G,MATCH($A282,'2024_25'!$A:$A,0))*90,"")</f>
        <v>5.1479289940828403</v>
      </c>
      <c r="AA282">
        <f>IFERROR(INDEX('2025_26'!$M:$M,MATCH($A282,'2025_26'!$A:$A,0))/INDEX('2025_26'!$G:$G,MATCH($A282,'2025_26'!$A:$A,0))*90,"")</f>
        <v>6.0348162475822056</v>
      </c>
      <c r="AB282">
        <f>IFERROR(SUMPRODUCT(S282:U282,{0.2,0.3,0.5})/SUMPRODUCT(--(S282:U282&lt;&gt;""),{0.2,0.3,0.5}),"")</f>
        <v>0.52158826410662229</v>
      </c>
      <c r="AC282">
        <f>IFERROR(SUMPRODUCT(V282:X282,{0.2,0.3,0.5})/SUMPRODUCT(--(V282:X282&lt;&gt;""),{0.2,0.3,0.5}),"")</f>
        <v>2.0210170097634456E-2</v>
      </c>
      <c r="AD282">
        <f>IFERROR(SUMPRODUCT(Y282:AA282,{0.2,0.3,0.5})/SUMPRODUCT((Y282:AA282&lt;&gt;"")*{0.2,0.3,0.5}),O282)</f>
        <v>5.5161876703722648</v>
      </c>
      <c r="AE282">
        <f t="shared" si="109"/>
        <v>3</v>
      </c>
      <c r="AF282" t="str">
        <f t="shared" si="110"/>
        <v/>
      </c>
      <c r="AG282">
        <f t="shared" si="111"/>
        <v>0.49469081014893806</v>
      </c>
      <c r="AH282">
        <f t="shared" si="112"/>
        <v>1.812178585421223E-2</v>
      </c>
      <c r="AI282" s="2">
        <f t="shared" si="113"/>
        <v>5.5461816111004643</v>
      </c>
      <c r="AJ282">
        <f t="shared" si="114"/>
        <v>0.10333333333333333</v>
      </c>
      <c r="AK282" t="str">
        <f t="shared" si="115"/>
        <v>NO</v>
      </c>
      <c r="AL282">
        <f t="shared" si="116"/>
        <v>0</v>
      </c>
      <c r="AM282">
        <f t="shared" si="117"/>
        <v>0</v>
      </c>
      <c r="AN282">
        <f t="shared" si="118"/>
        <v>0</v>
      </c>
      <c r="AO282">
        <f t="shared" si="119"/>
        <v>0</v>
      </c>
      <c r="AP282">
        <f t="array" ref="AP282">AL282*IF($C282="GKP",10,IF($C282="DEF",6,IF($C282="MID",5,4)))</f>
        <v>0</v>
      </c>
      <c r="AQ282">
        <f t="shared" si="120"/>
        <v>0</v>
      </c>
      <c r="AR282">
        <f t="shared" si="121"/>
        <v>0</v>
      </c>
      <c r="AS282" s="2">
        <f>IF($H282=0,0,Player_Analysis!$AM282*$H282/90)</f>
        <v>0</v>
      </c>
      <c r="AT282">
        <f t="shared" si="122"/>
        <v>0</v>
      </c>
      <c r="AU282" s="2">
        <f>0</f>
        <v>0</v>
      </c>
      <c r="AV282" s="2">
        <f>IF(INDEX(FPL_Raw_Data!K:K,MATCH(A282,FPL_Raw_Data!AA:AA,0))=0,"",INDEX(FPL_Raw_Data!P:P,MATCH(A282,FPL_Raw_Data!AA:AA,0))/INDEX(FPL_Raw_Data!K:K,MATCH(A282,FPL_Raw_Data!AA:AA,0))*90)</f>
        <v>0</v>
      </c>
      <c r="AW282" s="2">
        <f t="shared" si="123"/>
        <v>0</v>
      </c>
      <c r="AX282" s="2">
        <f>IFERROR(INDEX(TEAM_ANALYSIS!$H$2:$H$21,MATCH($B282,TEAM_ANALYSIS!$A$2:$A$21,0)),0)</f>
        <v>1</v>
      </c>
      <c r="AY282" s="2">
        <f t="shared" si="124"/>
        <v>0</v>
      </c>
      <c r="AZ282" s="2">
        <f t="shared" si="125"/>
        <v>0</v>
      </c>
      <c r="BA282">
        <f t="shared" si="126"/>
        <v>0</v>
      </c>
      <c r="BB282">
        <f>IFERROR(Player_Analysis!$Y282,1)</f>
        <v>1.0752768166089965</v>
      </c>
      <c r="BC282">
        <f t="shared" si="127"/>
        <v>0</v>
      </c>
      <c r="BD282">
        <f t="shared" si="128"/>
        <v>0</v>
      </c>
      <c r="BE282">
        <f t="shared" si="129"/>
        <v>0</v>
      </c>
      <c r="BF282">
        <f t="shared" si="130"/>
        <v>253</v>
      </c>
      <c r="BG282">
        <f>IF($BE282="","",COUNTIFS($C$2:$C$596,$C282,$BE$2:$BE$596,"&gt;"&amp;$BE282)+COUNTIFS($C$2:$C282,$C282,$BE$2:$BE282,$BE282))</f>
        <v>48</v>
      </c>
    </row>
    <row r="283" spans="1:59" x14ac:dyDescent="0.25">
      <c r="A283" t="str">
        <f>Player_Analysis!A283</f>
        <v>Thierno Barry</v>
      </c>
      <c r="B283">
        <f>Player_Analysis!C283</f>
        <v>9</v>
      </c>
      <c r="C283" t="str">
        <f>Player_Analysis!B283</f>
        <v>FWD</v>
      </c>
      <c r="D283" s="13">
        <f>Player_Analysis!E283</f>
        <v>5.6</v>
      </c>
      <c r="E283">
        <f>Player_Analysis!I283</f>
        <v>237</v>
      </c>
      <c r="F283" s="8">
        <f>Player_Analysis!Z283</f>
        <v>3</v>
      </c>
      <c r="G283" s="17">
        <f t="shared" si="105"/>
        <v>1</v>
      </c>
      <c r="H283">
        <f t="shared" si="106"/>
        <v>90</v>
      </c>
      <c r="I283" s="8">
        <f>Player_Analysis!AF283</f>
        <v>1</v>
      </c>
      <c r="J283" s="8">
        <f>Player_Analysis!AG283</f>
        <v>0</v>
      </c>
      <c r="K283">
        <f>Player_Analysis!O283</f>
        <v>2.31</v>
      </c>
      <c r="L283">
        <f>Player_Analysis!P283</f>
        <v>0.11</v>
      </c>
      <c r="M283">
        <f t="shared" si="107"/>
        <v>0.87721518987341773</v>
      </c>
      <c r="N283">
        <f t="shared" si="108"/>
        <v>4.1772151898734178E-2</v>
      </c>
      <c r="O283" s="2">
        <f>IF(E283=0,"",Player_Analysis!L283/E283*90)</f>
        <v>4.556962025316456</v>
      </c>
      <c r="P283">
        <f>IF(E283=0,"",Player_Analysis!Q283/E283*90)</f>
        <v>0.9189873417721518</v>
      </c>
      <c r="Q283">
        <f>IF(E283=0,"",(Player_Analysis!AD283/E283)*90)</f>
        <v>18.9873417721519</v>
      </c>
      <c r="R283">
        <f>IF(E283=0,"",Player_Analysis!AA283/E283*90)</f>
        <v>3.7974683544303796</v>
      </c>
      <c r="S283" t="str">
        <f t="array" ref="S283">IFERROR(INDEX('2023_24'!$O:$O,MATCH($A283,'2023_24'!$A:$A,0)),"")</f>
        <v/>
      </c>
      <c r="T283" t="str">
        <f>IFERROR(INDEX('2024_25'!$P:$P,MATCH($A283,'2024_25'!$A:$A,0)),"")</f>
        <v/>
      </c>
      <c r="U283">
        <f>IFERROR(INDEX('2025_26'!$P:$P,MATCH($A283,'2025_26'!$A:$A,0)),"")</f>
        <v>0.38740779768177025</v>
      </c>
      <c r="V283" t="str">
        <f>IFERROR(INDEX('2023_24'!$P:$P,MATCH($A283,'2023_24'!$A:$A,0)),"")</f>
        <v/>
      </c>
      <c r="W283" t="str">
        <f>IFERROR(INDEX('2024_25'!$Q:$Q,MATCH($A283,'2024_25'!$A:$A,0)),"")</f>
        <v/>
      </c>
      <c r="X283">
        <f>IFERROR(INDEX('2025_26'!$Q:$Q,MATCH($A283,'2025_26'!$A:$A,0)),"")</f>
        <v>2.0864067439409908E-2</v>
      </c>
      <c r="Y283" t="str">
        <f>IFERROR(INDEX('2023_24'!$M:$M,MATCH($A283,'2023_24'!$A:$A,0))/INDEX('2023_24'!$G:$G,MATCH($A283,'2023_24'!$A:$A,0))*90,"")</f>
        <v/>
      </c>
      <c r="Z283" t="str">
        <f>IFERROR(INDEX('2024_25'!$M:$M,MATCH($A283,'2024_25'!$A:$A,0))/INDEX('2024_25'!$G:$G,MATCH($A283,'2024_25'!$A:$A,0))*90,"")</f>
        <v/>
      </c>
      <c r="AA283">
        <f>IFERROR(INDEX('2025_26'!$M:$M,MATCH($A283,'2025_26'!$A:$A,0))/INDEX('2025_26'!$G:$G,MATCH($A283,'2025_26'!$A:$A,0))*90,"")</f>
        <v>4.5047418335089571</v>
      </c>
      <c r="AB283">
        <f>IFERROR(SUMPRODUCT(S283:U283,{0.2,0.3,0.5})/SUMPRODUCT(--(S283:U283&lt;&gt;""),{0.2,0.3,0.5}),"")</f>
        <v>0.38740779768177025</v>
      </c>
      <c r="AC283">
        <f>IFERROR(SUMPRODUCT(V283:X283,{0.2,0.3,0.5})/SUMPRODUCT(--(V283:X283&lt;&gt;""),{0.2,0.3,0.5}),"")</f>
        <v>2.0864067439409908E-2</v>
      </c>
      <c r="AD283">
        <f>IFERROR(SUMPRODUCT(Y283:AA283,{0.2,0.3,0.5})/SUMPRODUCT((Y283:AA283&lt;&gt;"")*{0.2,0.3,0.5}),O283)</f>
        <v>4.5047418335089571</v>
      </c>
      <c r="AE283">
        <f t="shared" si="109"/>
        <v>1</v>
      </c>
      <c r="AF283">
        <f t="shared" si="110"/>
        <v>79</v>
      </c>
      <c r="AG283">
        <f t="shared" si="111"/>
        <v>0.77435563751317182</v>
      </c>
      <c r="AH283">
        <f t="shared" si="112"/>
        <v>3.7381454162276083E-2</v>
      </c>
      <c r="AI283" s="2">
        <f t="shared" si="113"/>
        <v>4.5459957850368813</v>
      </c>
      <c r="AJ283">
        <f t="shared" si="114"/>
        <v>0.79</v>
      </c>
      <c r="AK283" t="str">
        <f t="shared" si="115"/>
        <v>NO</v>
      </c>
      <c r="AL283">
        <f t="shared" si="116"/>
        <v>0.77435563751317171</v>
      </c>
      <c r="AM283">
        <f t="shared" si="117"/>
        <v>3.7381454162276083E-2</v>
      </c>
      <c r="AN283">
        <f t="shared" si="118"/>
        <v>0.77435563751317171</v>
      </c>
      <c r="AO283">
        <f t="shared" si="119"/>
        <v>3.7381454162276083E-2</v>
      </c>
      <c r="AP283">
        <f t="array" ref="AP283">AL283*IF($C283="GKP",10,IF($C283="DEF",6,IF($C283="MID",5,4)))</f>
        <v>3.0974225500526869</v>
      </c>
      <c r="AQ283">
        <f t="shared" si="120"/>
        <v>0.11214436248682824</v>
      </c>
      <c r="AR283">
        <f t="shared" si="121"/>
        <v>2</v>
      </c>
      <c r="AS283" s="2">
        <f>IF($H283=0,0,Player_Analysis!$AM283*$H283/90)</f>
        <v>0</v>
      </c>
      <c r="AT283">
        <f t="shared" si="122"/>
        <v>0.63291139240506322</v>
      </c>
      <c r="AU283" s="2">
        <f>0</f>
        <v>0</v>
      </c>
      <c r="AV283" s="2">
        <f>IF(INDEX(FPL_Raw_Data!K:K,MATCH(A283,FPL_Raw_Data!AA:AA,0))=0,"",INDEX(FPL_Raw_Data!P:P,MATCH(A283,FPL_Raw_Data!AA:AA,0))/INDEX(FPL_Raw_Data!K:K,MATCH(A283,FPL_Raw_Data!AA:AA,0))*90)</f>
        <v>0</v>
      </c>
      <c r="AW283" s="2">
        <f t="shared" si="123"/>
        <v>0</v>
      </c>
      <c r="AX283" s="2">
        <f>IFERROR(INDEX(TEAM_ANALYSIS!$H$2:$H$21,MATCH($B283,TEAM_ANALYSIS!$A$2:$A$21,0)),0)</f>
        <v>1</v>
      </c>
      <c r="AY283" s="2">
        <f t="shared" si="124"/>
        <v>0</v>
      </c>
      <c r="AZ283" s="2">
        <f t="shared" si="125"/>
        <v>5.8424783049445779</v>
      </c>
      <c r="BA283">
        <f t="shared" si="126"/>
        <v>1.0432996973115318</v>
      </c>
      <c r="BB283">
        <f>IFERROR(Player_Analysis!$Y283,1)</f>
        <v>1.0752768166089965</v>
      </c>
      <c r="BC283">
        <f t="shared" si="127"/>
        <v>6.2822814728479317</v>
      </c>
      <c r="BD283">
        <f t="shared" si="128"/>
        <v>6.5543023590480916</v>
      </c>
      <c r="BE283">
        <f t="shared" si="129"/>
        <v>6.2822814728479317</v>
      </c>
      <c r="BF283">
        <f t="shared" si="130"/>
        <v>34</v>
      </c>
      <c r="BG283">
        <f>IF($BE283="","",COUNTIFS($C$2:$C$596,$C283,$BE$2:$BE$596,"&gt;"&amp;$BE283)+COUNTIFS($C$2:$C283,$C283,$BE$2:$BE283,$BE283))</f>
        <v>3</v>
      </c>
    </row>
    <row r="284" spans="1:59" x14ac:dyDescent="0.25">
      <c r="A284" t="str">
        <f>Player_Analysis!A284</f>
        <v>Ainsley Maitland-Niles</v>
      </c>
      <c r="B284">
        <f>Player_Analysis!C284</f>
        <v>9</v>
      </c>
      <c r="C284" t="str">
        <f>Player_Analysis!B284</f>
        <v>DEF</v>
      </c>
      <c r="D284" s="13">
        <f>Player_Analysis!E284</f>
        <v>4.5</v>
      </c>
      <c r="E284">
        <f>Player_Analysis!I284</f>
        <v>13</v>
      </c>
      <c r="F284" s="8">
        <f>Player_Analysis!Z284</f>
        <v>0</v>
      </c>
      <c r="G284" s="17">
        <f t="shared" si="105"/>
        <v>0</v>
      </c>
      <c r="H284">
        <f t="shared" si="106"/>
        <v>0</v>
      </c>
      <c r="I284" s="8">
        <f>Player_Analysis!AF284</f>
        <v>1</v>
      </c>
      <c r="J284" s="8">
        <f>Player_Analysis!AG284</f>
        <v>0</v>
      </c>
      <c r="K284">
        <f>Player_Analysis!O284</f>
        <v>0.03</v>
      </c>
      <c r="L284">
        <f>Player_Analysis!P284</f>
        <v>0</v>
      </c>
      <c r="M284">
        <f t="shared" si="107"/>
        <v>0.20769230769230768</v>
      </c>
      <c r="N284">
        <f t="shared" si="108"/>
        <v>0</v>
      </c>
      <c r="O284" s="2">
        <f>IF(E284=0,"",Player_Analysis!L284/E284*90)</f>
        <v>48.46153846153846</v>
      </c>
      <c r="P284">
        <f>IF(E284=0,"",Player_Analysis!Q284/E284*90)</f>
        <v>0.20769230769230768</v>
      </c>
      <c r="Q284">
        <f>IF(E284=0,"",(Player_Analysis!AD284/E284)*90)</f>
        <v>90</v>
      </c>
      <c r="R284">
        <f>IF(E284=0,"",Player_Analysis!AA284/E284*90)</f>
        <v>0</v>
      </c>
      <c r="S284" t="str">
        <f t="array" ref="S284">IFERROR(INDEX('2023_24'!$O:$O,MATCH($A284,'2023_24'!$A:$A,0)),"")</f>
        <v/>
      </c>
      <c r="T284" t="str">
        <f>IFERROR(INDEX('2024_25'!$P:$P,MATCH($A284,'2024_25'!$A:$A,0)),"")</f>
        <v/>
      </c>
      <c r="U284" t="str">
        <f>IFERROR(INDEX('2025_26'!$P:$P,MATCH($A284,'2025_26'!$A:$A,0)),"")</f>
        <v/>
      </c>
      <c r="V284" t="str">
        <f>IFERROR(INDEX('2023_24'!$P:$P,MATCH($A284,'2023_24'!$A:$A,0)),"")</f>
        <v/>
      </c>
      <c r="W284" t="str">
        <f>IFERROR(INDEX('2024_25'!$Q:$Q,MATCH($A284,'2024_25'!$A:$A,0)),"")</f>
        <v/>
      </c>
      <c r="X284" t="str">
        <f>IFERROR(INDEX('2025_26'!$Q:$Q,MATCH($A284,'2025_26'!$A:$A,0)),"")</f>
        <v/>
      </c>
      <c r="Y284" t="str">
        <f>IFERROR(INDEX('2023_24'!$M:$M,MATCH($A284,'2023_24'!$A:$A,0))/INDEX('2023_24'!$G:$G,MATCH($A284,'2023_24'!$A:$A,0))*90,"")</f>
        <v/>
      </c>
      <c r="Z284" t="str">
        <f>IFERROR(INDEX('2024_25'!$M:$M,MATCH($A284,'2024_25'!$A:$A,0))/INDEX('2024_25'!$G:$G,MATCH($A284,'2024_25'!$A:$A,0))*90,"")</f>
        <v/>
      </c>
      <c r="AA284" t="str">
        <f>IFERROR(INDEX('2025_26'!$M:$M,MATCH($A284,'2025_26'!$A:$A,0))/INDEX('2025_26'!$G:$G,MATCH($A284,'2025_26'!$A:$A,0))*90,"")</f>
        <v/>
      </c>
      <c r="AB284" t="str">
        <f>IFERROR(SUMPRODUCT(S284:U284,{0.2,0.3,0.5})/SUMPRODUCT(--(S284:U284&lt;&gt;""),{0.2,0.3,0.5}),"")</f>
        <v/>
      </c>
      <c r="AC284" t="str">
        <f>IFERROR(SUMPRODUCT(V284:X284,{0.2,0.3,0.5})/SUMPRODUCT(--(V284:X284&lt;&gt;""),{0.2,0.3,0.5}),"")</f>
        <v/>
      </c>
      <c r="AD284">
        <f>IFERROR(SUMPRODUCT(Y284:AA284,{0.2,0.3,0.5})/SUMPRODUCT((Y284:AA284&lt;&gt;"")*{0.2,0.3,0.5}),O284)</f>
        <v>48.46153846153846</v>
      </c>
      <c r="AE284">
        <f t="shared" si="109"/>
        <v>0</v>
      </c>
      <c r="AF284" t="str">
        <f t="shared" si="110"/>
        <v/>
      </c>
      <c r="AG284">
        <f t="shared" si="111"/>
        <v>0.20769230769230768</v>
      </c>
      <c r="AH284">
        <f t="shared" si="112"/>
        <v>0</v>
      </c>
      <c r="AI284" s="2">
        <f t="shared" si="113"/>
        <v>48.46153846153846</v>
      </c>
      <c r="AJ284">
        <f t="shared" si="114"/>
        <v>4.3333333333333335E-2</v>
      </c>
      <c r="AK284" t="str">
        <f t="shared" si="115"/>
        <v>YES</v>
      </c>
      <c r="AL284">
        <f t="shared" si="116"/>
        <v>0</v>
      </c>
      <c r="AM284">
        <f t="shared" si="117"/>
        <v>0</v>
      </c>
      <c r="AN284">
        <f t="shared" si="118"/>
        <v>0</v>
      </c>
      <c r="AO284">
        <f t="shared" si="119"/>
        <v>0</v>
      </c>
      <c r="AP284">
        <f t="array" ref="AP284">AL284*IF($C284="GKP",10,IF($C284="DEF",6,IF($C284="MID",5,4)))</f>
        <v>0</v>
      </c>
      <c r="AQ284">
        <f t="shared" si="120"/>
        <v>0</v>
      </c>
      <c r="AR284">
        <f t="shared" si="121"/>
        <v>0</v>
      </c>
      <c r="AS284" s="2">
        <f>IF($H284=0,0,Player_Analysis!$AM284*$H284/90)</f>
        <v>0</v>
      </c>
      <c r="AT284">
        <f t="shared" si="122"/>
        <v>0</v>
      </c>
      <c r="AU284" s="2">
        <f>0</f>
        <v>0</v>
      </c>
      <c r="AV284" s="2">
        <f>IF(INDEX(FPL_Raw_Data!K:K,MATCH(A284,FPL_Raw_Data!AA:AA,0))=0,"",INDEX(FPL_Raw_Data!P:P,MATCH(A284,FPL_Raw_Data!AA:AA,0))/INDEX(FPL_Raw_Data!K:K,MATCH(A284,FPL_Raw_Data!AA:AA,0))*90)</f>
        <v>0</v>
      </c>
      <c r="AW284" s="2">
        <f t="shared" si="123"/>
        <v>0</v>
      </c>
      <c r="AX284" s="2">
        <f>IFERROR(INDEX(TEAM_ANALYSIS!$H$2:$H$21,MATCH($B284,TEAM_ANALYSIS!$A$2:$A$21,0)),0)</f>
        <v>1</v>
      </c>
      <c r="AY284" s="2">
        <f t="shared" si="124"/>
        <v>-0.5</v>
      </c>
      <c r="AZ284" s="2">
        <f t="shared" si="125"/>
        <v>-0.5</v>
      </c>
      <c r="BA284">
        <f t="shared" si="126"/>
        <v>-0.1111111111111111</v>
      </c>
      <c r="BB284">
        <f>IFERROR(Player_Analysis!$Y284,1)</f>
        <v>1.1192513001836562</v>
      </c>
      <c r="BC284">
        <f t="shared" si="127"/>
        <v>-0.55962565009182808</v>
      </c>
      <c r="BD284">
        <f t="shared" si="128"/>
        <v>6.2180627787980891E-2</v>
      </c>
      <c r="BE284">
        <f t="shared" si="129"/>
        <v>-0.55962565009182808</v>
      </c>
      <c r="BF284">
        <f t="shared" si="130"/>
        <v>525</v>
      </c>
      <c r="BG284">
        <f>IF($BE284="","",COUNTIFS($C$2:$C$596,$C284,$BE$2:$BE$596,"&gt;"&amp;$BE284)+COUNTIFS($C$2:$C284,$C284,$BE$2:$BE284,$BE284))</f>
        <v>126</v>
      </c>
    </row>
    <row r="285" spans="1:59" x14ac:dyDescent="0.25">
      <c r="A285" t="str">
        <f>Player_Analysis!A285</f>
        <v>Braiden Graham</v>
      </c>
      <c r="B285">
        <f>Player_Analysis!C285</f>
        <v>9</v>
      </c>
      <c r="C285" t="str">
        <f>Player_Analysis!B285</f>
        <v>MID</v>
      </c>
      <c r="D285" s="13">
        <f>Player_Analysis!E285</f>
        <v>4.5</v>
      </c>
      <c r="E285">
        <f>Player_Analysis!I285</f>
        <v>0</v>
      </c>
      <c r="F285" s="8">
        <f>Player_Analysis!Z285</f>
        <v>0</v>
      </c>
      <c r="G285" s="17">
        <f t="shared" si="105"/>
        <v>0</v>
      </c>
      <c r="H285">
        <f t="shared" si="106"/>
        <v>0</v>
      </c>
      <c r="I285" s="8">
        <f>Player_Analysis!AF285</f>
        <v>0</v>
      </c>
      <c r="J285" s="8">
        <f>Player_Analysis!AG285</f>
        <v>0</v>
      </c>
      <c r="K285">
        <f>Player_Analysis!O285</f>
        <v>0</v>
      </c>
      <c r="L285">
        <f>Player_Analysis!P285</f>
        <v>0</v>
      </c>
      <c r="M285" t="str">
        <f t="shared" si="107"/>
        <v/>
      </c>
      <c r="N285" t="str">
        <f t="shared" si="108"/>
        <v/>
      </c>
      <c r="O285" s="2" t="str">
        <f>IF(E285=0,"",Player_Analysis!L285/E285*90)</f>
        <v/>
      </c>
      <c r="P285" t="str">
        <f>IF(E285=0,"",Player_Analysis!Q285/E285*90)</f>
        <v/>
      </c>
      <c r="Q285" t="str">
        <f>IF(E285=0,"",(Player_Analysis!AD285/E285)*90)</f>
        <v/>
      </c>
      <c r="R285" t="str">
        <f>IF(E285=0,"",Player_Analysis!AA285/E285*90)</f>
        <v/>
      </c>
      <c r="S285" t="str">
        <f t="array" ref="S285">IFERROR(INDEX('2023_24'!$O:$O,MATCH($A285,'2023_24'!$A:$A,0)),"")</f>
        <v/>
      </c>
      <c r="T285" t="str">
        <f>IFERROR(INDEX('2024_25'!$P:$P,MATCH($A285,'2024_25'!$A:$A,0)),"")</f>
        <v/>
      </c>
      <c r="U285">
        <f>IFERROR(INDEX('2025_26'!$P:$P,MATCH($A285,'2025_26'!$A:$A,0)),"")</f>
        <v>0</v>
      </c>
      <c r="V285" t="str">
        <f>IFERROR(INDEX('2023_24'!$P:$P,MATCH($A285,'2023_24'!$A:$A,0)),"")</f>
        <v/>
      </c>
      <c r="W285" t="str">
        <f>IFERROR(INDEX('2024_25'!$Q:$Q,MATCH($A285,'2024_25'!$A:$A,0)),"")</f>
        <v/>
      </c>
      <c r="X285">
        <f>IFERROR(INDEX('2025_26'!$Q:$Q,MATCH($A285,'2025_26'!$A:$A,0)),"")</f>
        <v>0</v>
      </c>
      <c r="Y285" t="str">
        <f>IFERROR(INDEX('2023_24'!$M:$M,MATCH($A285,'2023_24'!$A:$A,0))/INDEX('2023_24'!$G:$G,MATCH($A285,'2023_24'!$A:$A,0))*90,"")</f>
        <v/>
      </c>
      <c r="Z285" t="str">
        <f>IFERROR(INDEX('2024_25'!$M:$M,MATCH($A285,'2024_25'!$A:$A,0))/INDEX('2024_25'!$G:$G,MATCH($A285,'2024_25'!$A:$A,0))*90,"")</f>
        <v/>
      </c>
      <c r="AA285" t="str">
        <f>IFERROR(INDEX('2025_26'!$M:$M,MATCH($A285,'2025_26'!$A:$A,0))/INDEX('2025_26'!$G:$G,MATCH($A285,'2025_26'!$A:$A,0))*90,"")</f>
        <v/>
      </c>
      <c r="AB285">
        <f>IFERROR(SUMPRODUCT(S285:U285,{0.2,0.3,0.5})/SUMPRODUCT(--(S285:U285&lt;&gt;""),{0.2,0.3,0.5}),"")</f>
        <v>0</v>
      </c>
      <c r="AC285">
        <f>IFERROR(SUMPRODUCT(V285:X285,{0.2,0.3,0.5})/SUMPRODUCT(--(V285:X285&lt;&gt;""),{0.2,0.3,0.5}),"")</f>
        <v>0</v>
      </c>
      <c r="AD285" t="str">
        <f>IFERROR(SUMPRODUCT(Y285:AA285,{0.2,0.3,0.5})/SUMPRODUCT((Y285:AA285&lt;&gt;"")*{0.2,0.3,0.5}),O285)</f>
        <v/>
      </c>
      <c r="AE285">
        <f t="shared" si="109"/>
        <v>1</v>
      </c>
      <c r="AF285" t="str">
        <f t="shared" si="110"/>
        <v/>
      </c>
      <c r="AG285">
        <f t="shared" si="111"/>
        <v>0</v>
      </c>
      <c r="AH285">
        <f t="shared" si="112"/>
        <v>0</v>
      </c>
      <c r="AI285" s="2">
        <f t="shared" si="113"/>
        <v>0</v>
      </c>
      <c r="AJ285">
        <f t="shared" si="114"/>
        <v>0</v>
      </c>
      <c r="AK285" t="str">
        <f t="shared" si="115"/>
        <v>NO</v>
      </c>
      <c r="AL285">
        <f t="shared" si="116"/>
        <v>0</v>
      </c>
      <c r="AM285">
        <f t="shared" si="117"/>
        <v>0</v>
      </c>
      <c r="AN285">
        <f t="shared" si="118"/>
        <v>0</v>
      </c>
      <c r="AO285">
        <f t="shared" si="119"/>
        <v>0</v>
      </c>
      <c r="AP285">
        <f t="array" ref="AP285">AL285*IF($C285="GKP",10,IF($C285="DEF",6,IF($C285="MID",5,4)))</f>
        <v>0</v>
      </c>
      <c r="AQ285">
        <f t="shared" si="120"/>
        <v>0</v>
      </c>
      <c r="AR285">
        <f t="shared" si="121"/>
        <v>0</v>
      </c>
      <c r="AS285" s="2">
        <f>IF($H285=0,0,Player_Analysis!$AM285*$H285/90)</f>
        <v>0</v>
      </c>
      <c r="AT285">
        <f t="shared" si="122"/>
        <v>0</v>
      </c>
      <c r="AU285" s="2">
        <f>0</f>
        <v>0</v>
      </c>
      <c r="AV285" s="2" t="str">
        <f>IF(INDEX(FPL_Raw_Data!K:K,MATCH(A285,FPL_Raw_Data!AA:AA,0))=0,"",INDEX(FPL_Raw_Data!P:P,MATCH(A285,FPL_Raw_Data!AA:AA,0))/INDEX(FPL_Raw_Data!K:K,MATCH(A285,FPL_Raw_Data!AA:AA,0))*90)</f>
        <v/>
      </c>
      <c r="AW285" s="2">
        <f t="shared" si="123"/>
        <v>0</v>
      </c>
      <c r="AX285" s="2">
        <f>IFERROR(INDEX(TEAM_ANALYSIS!$H$2:$H$21,MATCH($B285,TEAM_ANALYSIS!$A$2:$A$21,0)),0)</f>
        <v>1</v>
      </c>
      <c r="AY285" s="2">
        <f t="shared" si="124"/>
        <v>0</v>
      </c>
      <c r="AZ285" s="2">
        <f t="shared" si="125"/>
        <v>0</v>
      </c>
      <c r="BA285">
        <f t="shared" si="126"/>
        <v>0</v>
      </c>
      <c r="BB285">
        <f>IFERROR(Player_Analysis!$Y285,1)</f>
        <v>1.0752768166089965</v>
      </c>
      <c r="BC285">
        <f t="shared" si="127"/>
        <v>0</v>
      </c>
      <c r="BD285">
        <f t="shared" si="128"/>
        <v>0</v>
      </c>
      <c r="BE285">
        <f t="shared" si="129"/>
        <v>0</v>
      </c>
      <c r="BF285">
        <f t="shared" si="130"/>
        <v>253</v>
      </c>
      <c r="BG285">
        <f>IF($BE285="","",COUNTIFS($C$2:$C$596,$C285,$BE$2:$BE$596,"&gt;"&amp;$BE285)+COUNTIFS($C$2:$C285,$C285,$BE$2:$BE285,$BE285))</f>
        <v>184</v>
      </c>
    </row>
    <row r="286" spans="1:59" x14ac:dyDescent="0.25">
      <c r="A286" t="str">
        <f>Player_Analysis!A286</f>
        <v>Bernd Leno</v>
      </c>
      <c r="B286">
        <f>Player_Analysis!C286</f>
        <v>10</v>
      </c>
      <c r="C286" t="str">
        <f>Player_Analysis!B286</f>
        <v>GK</v>
      </c>
      <c r="D286" s="13">
        <f>Player_Analysis!E286</f>
        <v>4.5</v>
      </c>
      <c r="E286">
        <f>Player_Analysis!I286</f>
        <v>270</v>
      </c>
      <c r="F286" s="8">
        <f>Player_Analysis!Z286</f>
        <v>3</v>
      </c>
      <c r="G286" s="17">
        <f t="shared" si="105"/>
        <v>1</v>
      </c>
      <c r="H286">
        <f t="shared" si="106"/>
        <v>90</v>
      </c>
      <c r="I286" s="8">
        <f>Player_Analysis!AF286</f>
        <v>0</v>
      </c>
      <c r="J286" s="8">
        <f>Player_Analysis!AG286</f>
        <v>0</v>
      </c>
      <c r="K286">
        <f>Player_Analysis!O286</f>
        <v>0</v>
      </c>
      <c r="L286">
        <f>Player_Analysis!P286</f>
        <v>0</v>
      </c>
      <c r="M286">
        <f t="shared" si="107"/>
        <v>0</v>
      </c>
      <c r="N286">
        <f t="shared" si="108"/>
        <v>0</v>
      </c>
      <c r="O286" s="2">
        <f>IF(E286=0,"",Player_Analysis!L286/E286*90)</f>
        <v>2</v>
      </c>
      <c r="P286">
        <f>IF(E286=0,"",Player_Analysis!Q286/E286*90)</f>
        <v>0</v>
      </c>
      <c r="Q286">
        <f>IF(E286=0,"",(Player_Analysis!AD286/E286)*90)</f>
        <v>10</v>
      </c>
      <c r="R286">
        <f>IF(E286=0,"",Player_Analysis!AA286/E286*90)</f>
        <v>0</v>
      </c>
      <c r="S286">
        <f t="array" ref="S286">IFERROR(INDEX('2023_24'!$O:$O,MATCH($A286,'2023_24'!$A:$A,0)),"")</f>
        <v>0</v>
      </c>
      <c r="T286">
        <f>IFERROR(INDEX('2024_25'!$P:$P,MATCH($A286,'2024_25'!$A:$A,0)),"")</f>
        <v>0</v>
      </c>
      <c r="U286">
        <f>IFERROR(INDEX('2025_26'!$P:$P,MATCH($A286,'2025_26'!$A:$A,0)),"")</f>
        <v>0</v>
      </c>
      <c r="V286">
        <f>IFERROR(INDEX('2023_24'!$P:$P,MATCH($A286,'2023_24'!$A:$A,0)),"")</f>
        <v>0</v>
      </c>
      <c r="W286">
        <f>IFERROR(INDEX('2024_25'!$Q:$Q,MATCH($A286,'2024_25'!$A:$A,0)),"")</f>
        <v>7.894736842105263E-4</v>
      </c>
      <c r="X286">
        <f>IFERROR(INDEX('2025_26'!$Q:$Q,MATCH($A286,'2025_26'!$A:$A,0)),"")</f>
        <v>5.263157894736842E-4</v>
      </c>
      <c r="Y286">
        <f>IFERROR(INDEX('2023_24'!$M:$M,MATCH($A286,'2023_24'!$A:$A,0))/INDEX('2023_24'!$G:$G,MATCH($A286,'2023_24'!$A:$A,0))*90,"")</f>
        <v>3.5</v>
      </c>
      <c r="Z286">
        <f>IFERROR(INDEX('2024_25'!$M:$M,MATCH($A286,'2024_25'!$A:$A,0))/INDEX('2024_25'!$G:$G,MATCH($A286,'2024_25'!$A:$A,0))*90,"")</f>
        <v>3.0263157894736841</v>
      </c>
      <c r="AA286">
        <f>IFERROR(INDEX('2025_26'!$M:$M,MATCH($A286,'2025_26'!$A:$A,0))/INDEX('2025_26'!$G:$G,MATCH($A286,'2025_26'!$A:$A,0))*90,"")</f>
        <v>3.2105263157894739</v>
      </c>
      <c r="AB286">
        <f>IFERROR(SUMPRODUCT(S286:U286,{0.2,0.3,0.5})/SUMPRODUCT(--(S286:U286&lt;&gt;""),{0.2,0.3,0.5}),"")</f>
        <v>0</v>
      </c>
      <c r="AC286">
        <f>IFERROR(SUMPRODUCT(V286:X286,{0.2,0.3,0.5})/SUMPRODUCT(--(V286:X286&lt;&gt;""),{0.2,0.3,0.5}),"")</f>
        <v>5.0000000000000001E-4</v>
      </c>
      <c r="AD286">
        <f>IFERROR(SUMPRODUCT(Y286:AA286,{0.2,0.3,0.5})/SUMPRODUCT((Y286:AA286&lt;&gt;"")*{0.2,0.3,0.5}),O286)</f>
        <v>3.2131578947368422</v>
      </c>
      <c r="AE286">
        <f t="shared" si="109"/>
        <v>3</v>
      </c>
      <c r="AF286">
        <f t="shared" si="110"/>
        <v>90</v>
      </c>
      <c r="AG286">
        <f t="shared" si="111"/>
        <v>0</v>
      </c>
      <c r="AH286">
        <f t="shared" si="112"/>
        <v>4.9999999999999989E-5</v>
      </c>
      <c r="AI286" s="2">
        <f t="shared" si="113"/>
        <v>2.1213157894736843</v>
      </c>
      <c r="AJ286">
        <f t="shared" si="114"/>
        <v>0.9</v>
      </c>
      <c r="AK286" t="str">
        <f t="shared" si="115"/>
        <v>NO</v>
      </c>
      <c r="AL286">
        <f t="shared" si="116"/>
        <v>0</v>
      </c>
      <c r="AM286">
        <f t="shared" si="117"/>
        <v>4.9999999999999989E-5</v>
      </c>
      <c r="AN286">
        <f t="shared" si="118"/>
        <v>0</v>
      </c>
      <c r="AO286">
        <f t="shared" si="119"/>
        <v>4.9999999999999989E-5</v>
      </c>
      <c r="AP286">
        <f t="array" ref="AP286">AL286*IF($C286="GKP",10,IF($C286="DEF",6,IF($C286="MID",5,4)))</f>
        <v>0</v>
      </c>
      <c r="AQ286">
        <f t="shared" si="120"/>
        <v>1.4999999999999996E-4</v>
      </c>
      <c r="AR286">
        <f t="shared" si="121"/>
        <v>2</v>
      </c>
      <c r="AS286" s="2">
        <f>IF($H286=0,0,Player_Analysis!$AM286*$H286/90)</f>
        <v>0</v>
      </c>
      <c r="AT286">
        <f t="shared" si="122"/>
        <v>0</v>
      </c>
      <c r="AU286" s="2">
        <f>0</f>
        <v>0</v>
      </c>
      <c r="AV286" s="2">
        <f>IF(INDEX(FPL_Raw_Data!K:K,MATCH(A286,FPL_Raw_Data!AA:AA,0))=0,"",INDEX(FPL_Raw_Data!P:P,MATCH(A286,FPL_Raw_Data!AA:AA,0))/INDEX(FPL_Raw_Data!K:K,MATCH(A286,FPL_Raw_Data!AA:AA,0))*90)</f>
        <v>2.666666666666667</v>
      </c>
      <c r="AW286" s="2">
        <f t="shared" si="123"/>
        <v>0.88888888888888895</v>
      </c>
      <c r="AX286" s="2">
        <f>IFERROR(INDEX(TEAM_ANALYSIS!$H$2:$H$21,MATCH($B286,TEAM_ANALYSIS!$A$2:$A$21,0)),0)</f>
        <v>2.3333333333333335</v>
      </c>
      <c r="AY286" s="2">
        <f t="shared" si="124"/>
        <v>0</v>
      </c>
      <c r="AZ286" s="2">
        <f t="shared" si="125"/>
        <v>2.8890388888888889</v>
      </c>
      <c r="BA286">
        <f t="shared" si="126"/>
        <v>0.6420086419753086</v>
      </c>
      <c r="BB286">
        <f>IFERROR(Player_Analysis!$Y286,1)</f>
        <v>0.85287356321839092</v>
      </c>
      <c r="BC286">
        <f t="shared" si="127"/>
        <v>2.4639848914431677</v>
      </c>
      <c r="BD286">
        <f t="shared" si="128"/>
        <v>1.5818995940031062</v>
      </c>
      <c r="BE286">
        <f t="shared" si="129"/>
        <v>2.4639848914431677</v>
      </c>
      <c r="BF286">
        <f t="shared" si="130"/>
        <v>228</v>
      </c>
      <c r="BG286">
        <f>IF($BE286="","",COUNTIFS($C$2:$C$596,$C286,$BE$2:$BE$596,"&gt;"&amp;$BE286)+COUNTIFS($C$2:$C286,$C286,$BE$2:$BE286,$BE286))</f>
        <v>21</v>
      </c>
    </row>
    <row r="287" spans="1:59" x14ac:dyDescent="0.25">
      <c r="A287" t="str">
        <f>Player_Analysis!A287</f>
        <v>Benjamin Lecomte</v>
      </c>
      <c r="B287">
        <f>Player_Analysis!C287</f>
        <v>10</v>
      </c>
      <c r="C287" t="str">
        <f>Player_Analysis!B287</f>
        <v>GK</v>
      </c>
      <c r="D287" s="13">
        <f>Player_Analysis!E287</f>
        <v>4</v>
      </c>
      <c r="E287">
        <f>Player_Analysis!I287</f>
        <v>0</v>
      </c>
      <c r="F287" s="8">
        <f>Player_Analysis!Z287</f>
        <v>0</v>
      </c>
      <c r="G287" s="17">
        <f t="shared" si="105"/>
        <v>0</v>
      </c>
      <c r="H287">
        <f t="shared" si="106"/>
        <v>0</v>
      </c>
      <c r="I287" s="8">
        <f>Player_Analysis!AF287</f>
        <v>0</v>
      </c>
      <c r="J287" s="8">
        <f>Player_Analysis!AG287</f>
        <v>0</v>
      </c>
      <c r="K287">
        <f>Player_Analysis!O287</f>
        <v>0</v>
      </c>
      <c r="L287">
        <f>Player_Analysis!P287</f>
        <v>0</v>
      </c>
      <c r="M287" t="str">
        <f t="shared" si="107"/>
        <v/>
      </c>
      <c r="N287" t="str">
        <f t="shared" si="108"/>
        <v/>
      </c>
      <c r="O287" s="2" t="str">
        <f>IF(E287=0,"",Player_Analysis!L287/E287*90)</f>
        <v/>
      </c>
      <c r="P287" t="str">
        <f>IF(E287=0,"",Player_Analysis!Q287/E287*90)</f>
        <v/>
      </c>
      <c r="Q287" t="str">
        <f>IF(E287=0,"",(Player_Analysis!AD287/E287)*90)</f>
        <v/>
      </c>
      <c r="R287" t="str">
        <f>IF(E287=0,"",Player_Analysis!AA287/E287*90)</f>
        <v/>
      </c>
      <c r="S287" t="str">
        <f t="array" ref="S287">IFERROR(INDEX('2023_24'!$O:$O,MATCH($A287,'2023_24'!$A:$A,0)),"")</f>
        <v/>
      </c>
      <c r="T287" t="str">
        <f>IFERROR(INDEX('2024_25'!$P:$P,MATCH($A287,'2024_25'!$A:$A,0)),"")</f>
        <v/>
      </c>
      <c r="U287">
        <f>IFERROR(INDEX('2025_26'!$P:$P,MATCH($A287,'2025_26'!$A:$A,0)),"")</f>
        <v>0</v>
      </c>
      <c r="V287" t="str">
        <f>IFERROR(INDEX('2023_24'!$P:$P,MATCH($A287,'2023_24'!$A:$A,0)),"")</f>
        <v/>
      </c>
      <c r="W287" t="str">
        <f>IFERROR(INDEX('2024_25'!$Q:$Q,MATCH($A287,'2024_25'!$A:$A,0)),"")</f>
        <v/>
      </c>
      <c r="X287">
        <f>IFERROR(INDEX('2025_26'!$Q:$Q,MATCH($A287,'2025_26'!$A:$A,0)),"")</f>
        <v>0</v>
      </c>
      <c r="Y287" t="str">
        <f>IFERROR(INDEX('2023_24'!$M:$M,MATCH($A287,'2023_24'!$A:$A,0))/INDEX('2023_24'!$G:$G,MATCH($A287,'2023_24'!$A:$A,0))*90,"")</f>
        <v/>
      </c>
      <c r="Z287" t="str">
        <f>IFERROR(INDEX('2024_25'!$M:$M,MATCH($A287,'2024_25'!$A:$A,0))/INDEX('2024_25'!$G:$G,MATCH($A287,'2024_25'!$A:$A,0))*90,"")</f>
        <v/>
      </c>
      <c r="AA287" t="str">
        <f>IFERROR(INDEX('2025_26'!$M:$M,MATCH($A287,'2025_26'!$A:$A,0))/INDEX('2025_26'!$G:$G,MATCH($A287,'2025_26'!$A:$A,0))*90,"")</f>
        <v/>
      </c>
      <c r="AB287">
        <f>IFERROR(SUMPRODUCT(S287:U287,{0.2,0.3,0.5})/SUMPRODUCT(--(S287:U287&lt;&gt;""),{0.2,0.3,0.5}),"")</f>
        <v>0</v>
      </c>
      <c r="AC287">
        <f>IFERROR(SUMPRODUCT(V287:X287,{0.2,0.3,0.5})/SUMPRODUCT(--(V287:X287&lt;&gt;""),{0.2,0.3,0.5}),"")</f>
        <v>0</v>
      </c>
      <c r="AD287" t="str">
        <f>IFERROR(SUMPRODUCT(Y287:AA287,{0.2,0.3,0.5})/SUMPRODUCT((Y287:AA287&lt;&gt;"")*{0.2,0.3,0.5}),O287)</f>
        <v/>
      </c>
      <c r="AE287">
        <f t="shared" si="109"/>
        <v>1</v>
      </c>
      <c r="AF287" t="str">
        <f t="shared" si="110"/>
        <v/>
      </c>
      <c r="AG287">
        <f t="shared" si="111"/>
        <v>0</v>
      </c>
      <c r="AH287">
        <f t="shared" si="112"/>
        <v>0</v>
      </c>
      <c r="AI287" s="2">
        <f t="shared" si="113"/>
        <v>0</v>
      </c>
      <c r="AJ287">
        <f t="shared" si="114"/>
        <v>0</v>
      </c>
      <c r="AK287" t="str">
        <f t="shared" si="115"/>
        <v>NO</v>
      </c>
      <c r="AL287">
        <f t="shared" si="116"/>
        <v>0</v>
      </c>
      <c r="AM287">
        <f t="shared" si="117"/>
        <v>0</v>
      </c>
      <c r="AN287">
        <f t="shared" si="118"/>
        <v>0</v>
      </c>
      <c r="AO287">
        <f t="shared" si="119"/>
        <v>0</v>
      </c>
      <c r="AP287">
        <f t="array" ref="AP287">AL287*IF($C287="GKP",10,IF($C287="DEF",6,IF($C287="MID",5,4)))</f>
        <v>0</v>
      </c>
      <c r="AQ287">
        <f t="shared" si="120"/>
        <v>0</v>
      </c>
      <c r="AR287">
        <f t="shared" si="121"/>
        <v>0</v>
      </c>
      <c r="AS287" s="2">
        <f>IF($H287=0,0,Player_Analysis!$AM287*$H287/90)</f>
        <v>0</v>
      </c>
      <c r="AT287">
        <f t="shared" si="122"/>
        <v>0</v>
      </c>
      <c r="AU287" s="2">
        <f>0</f>
        <v>0</v>
      </c>
      <c r="AV287" s="2" t="str">
        <f>IF(INDEX(FPL_Raw_Data!K:K,MATCH(A287,FPL_Raw_Data!AA:AA,0))=0,"",INDEX(FPL_Raw_Data!P:P,MATCH(A287,FPL_Raw_Data!AA:AA,0))/INDEX(FPL_Raw_Data!K:K,MATCH(A287,FPL_Raw_Data!AA:AA,0))*90)</f>
        <v/>
      </c>
      <c r="AW287" s="2">
        <f t="shared" si="123"/>
        <v>0</v>
      </c>
      <c r="AX287" s="2">
        <f>IFERROR(INDEX(TEAM_ANALYSIS!$H$2:$H$21,MATCH($B287,TEAM_ANALYSIS!$A$2:$A$21,0)),0)</f>
        <v>2.3333333333333335</v>
      </c>
      <c r="AY287" s="2">
        <f t="shared" si="124"/>
        <v>0</v>
      </c>
      <c r="AZ287" s="2">
        <f t="shared" si="125"/>
        <v>0</v>
      </c>
      <c r="BA287">
        <f t="shared" si="126"/>
        <v>0</v>
      </c>
      <c r="BB287">
        <f>IFERROR(Player_Analysis!$Y287,1)</f>
        <v>0.85287356321839092</v>
      </c>
      <c r="BC287">
        <f t="shared" si="127"/>
        <v>0</v>
      </c>
      <c r="BD287">
        <f t="shared" si="128"/>
        <v>0</v>
      </c>
      <c r="BE287">
        <f t="shared" si="129"/>
        <v>0</v>
      </c>
      <c r="BF287">
        <f t="shared" si="130"/>
        <v>253</v>
      </c>
      <c r="BG287">
        <f>IF($BE287="","",COUNTIFS($C$2:$C$596,$C287,$BE$2:$BE$596,"&gt;"&amp;$BE287)+COUNTIFS($C$2:$C287,$C287,$BE$2:$BE287,$BE287))</f>
        <v>38</v>
      </c>
    </row>
    <row r="288" spans="1:59" x14ac:dyDescent="0.25">
      <c r="A288" t="str">
        <f>Player_Analysis!A288</f>
        <v>Alfie McNally</v>
      </c>
      <c r="B288">
        <f>Player_Analysis!C288</f>
        <v>10</v>
      </c>
      <c r="C288" t="str">
        <f>Player_Analysis!B288</f>
        <v>GK</v>
      </c>
      <c r="D288" s="13">
        <f>Player_Analysis!E288</f>
        <v>4</v>
      </c>
      <c r="E288">
        <f>Player_Analysis!I288</f>
        <v>0</v>
      </c>
      <c r="F288" s="8">
        <f>Player_Analysis!Z288</f>
        <v>0</v>
      </c>
      <c r="G288" s="17">
        <f t="shared" si="105"/>
        <v>0</v>
      </c>
      <c r="H288">
        <f t="shared" si="106"/>
        <v>0</v>
      </c>
      <c r="I288" s="8">
        <f>Player_Analysis!AF288</f>
        <v>0</v>
      </c>
      <c r="J288" s="8">
        <f>Player_Analysis!AG288</f>
        <v>0</v>
      </c>
      <c r="K288">
        <f>Player_Analysis!O288</f>
        <v>0</v>
      </c>
      <c r="L288">
        <f>Player_Analysis!P288</f>
        <v>0</v>
      </c>
      <c r="M288" t="str">
        <f t="shared" si="107"/>
        <v/>
      </c>
      <c r="N288" t="str">
        <f t="shared" si="108"/>
        <v/>
      </c>
      <c r="O288" s="2" t="str">
        <f>IF(E288=0,"",Player_Analysis!L288/E288*90)</f>
        <v/>
      </c>
      <c r="P288" t="str">
        <f>IF(E288=0,"",Player_Analysis!Q288/E288*90)</f>
        <v/>
      </c>
      <c r="Q288" t="str">
        <f>IF(E288=0,"",(Player_Analysis!AD288/E288)*90)</f>
        <v/>
      </c>
      <c r="R288" t="str">
        <f>IF(E288=0,"",Player_Analysis!AA288/E288*90)</f>
        <v/>
      </c>
      <c r="S288" t="str">
        <f t="array" ref="S288">IFERROR(INDEX('2023_24'!$O:$O,MATCH($A288,'2023_24'!$A:$A,0)),"")</f>
        <v/>
      </c>
      <c r="T288" t="str">
        <f>IFERROR(INDEX('2024_25'!$P:$P,MATCH($A288,'2024_25'!$A:$A,0)),"")</f>
        <v/>
      </c>
      <c r="U288">
        <f>IFERROR(INDEX('2025_26'!$P:$P,MATCH($A288,'2025_26'!$A:$A,0)),"")</f>
        <v>0</v>
      </c>
      <c r="V288" t="str">
        <f>IFERROR(INDEX('2023_24'!$P:$P,MATCH($A288,'2023_24'!$A:$A,0)),"")</f>
        <v/>
      </c>
      <c r="W288" t="str">
        <f>IFERROR(INDEX('2024_25'!$Q:$Q,MATCH($A288,'2024_25'!$A:$A,0)),"")</f>
        <v/>
      </c>
      <c r="X288">
        <f>IFERROR(INDEX('2025_26'!$Q:$Q,MATCH($A288,'2025_26'!$A:$A,0)),"")</f>
        <v>0</v>
      </c>
      <c r="Y288" t="str">
        <f>IFERROR(INDEX('2023_24'!$M:$M,MATCH($A288,'2023_24'!$A:$A,0))/INDEX('2023_24'!$G:$G,MATCH($A288,'2023_24'!$A:$A,0))*90,"")</f>
        <v/>
      </c>
      <c r="Z288" t="str">
        <f>IFERROR(INDEX('2024_25'!$M:$M,MATCH($A288,'2024_25'!$A:$A,0))/INDEX('2024_25'!$G:$G,MATCH($A288,'2024_25'!$A:$A,0))*90,"")</f>
        <v/>
      </c>
      <c r="AA288" t="str">
        <f>IFERROR(INDEX('2025_26'!$M:$M,MATCH($A288,'2025_26'!$A:$A,0))/INDEX('2025_26'!$G:$G,MATCH($A288,'2025_26'!$A:$A,0))*90,"")</f>
        <v/>
      </c>
      <c r="AB288">
        <f>IFERROR(SUMPRODUCT(S288:U288,{0.2,0.3,0.5})/SUMPRODUCT(--(S288:U288&lt;&gt;""),{0.2,0.3,0.5}),"")</f>
        <v>0</v>
      </c>
      <c r="AC288">
        <f>IFERROR(SUMPRODUCT(V288:X288,{0.2,0.3,0.5})/SUMPRODUCT(--(V288:X288&lt;&gt;""),{0.2,0.3,0.5}),"")</f>
        <v>0</v>
      </c>
      <c r="AD288" t="str">
        <f>IFERROR(SUMPRODUCT(Y288:AA288,{0.2,0.3,0.5})/SUMPRODUCT((Y288:AA288&lt;&gt;"")*{0.2,0.3,0.5}),O288)</f>
        <v/>
      </c>
      <c r="AE288">
        <f t="shared" si="109"/>
        <v>1</v>
      </c>
      <c r="AF288" t="str">
        <f t="shared" si="110"/>
        <v/>
      </c>
      <c r="AG288">
        <f t="shared" si="111"/>
        <v>0</v>
      </c>
      <c r="AH288">
        <f t="shared" si="112"/>
        <v>0</v>
      </c>
      <c r="AI288" s="2">
        <f t="shared" si="113"/>
        <v>0</v>
      </c>
      <c r="AJ288">
        <f t="shared" si="114"/>
        <v>0</v>
      </c>
      <c r="AK288" t="str">
        <f t="shared" si="115"/>
        <v>NO</v>
      </c>
      <c r="AL288">
        <f t="shared" si="116"/>
        <v>0</v>
      </c>
      <c r="AM288">
        <f t="shared" si="117"/>
        <v>0</v>
      </c>
      <c r="AN288">
        <f t="shared" si="118"/>
        <v>0</v>
      </c>
      <c r="AO288">
        <f t="shared" si="119"/>
        <v>0</v>
      </c>
      <c r="AP288">
        <f t="array" ref="AP288">AL288*IF($C288="GKP",10,IF($C288="DEF",6,IF($C288="MID",5,4)))</f>
        <v>0</v>
      </c>
      <c r="AQ288">
        <f t="shared" si="120"/>
        <v>0</v>
      </c>
      <c r="AR288">
        <f t="shared" si="121"/>
        <v>0</v>
      </c>
      <c r="AS288" s="2">
        <f>IF($H288=0,0,Player_Analysis!$AM288*$H288/90)</f>
        <v>0</v>
      </c>
      <c r="AT288">
        <f t="shared" si="122"/>
        <v>0</v>
      </c>
      <c r="AU288" s="2">
        <f>0</f>
        <v>0</v>
      </c>
      <c r="AV288" s="2" t="str">
        <f>IF(INDEX(FPL_Raw_Data!K:K,MATCH(A288,FPL_Raw_Data!AA:AA,0))=0,"",INDEX(FPL_Raw_Data!P:P,MATCH(A288,FPL_Raw_Data!AA:AA,0))/INDEX(FPL_Raw_Data!K:K,MATCH(A288,FPL_Raw_Data!AA:AA,0))*90)</f>
        <v/>
      </c>
      <c r="AW288" s="2">
        <f t="shared" si="123"/>
        <v>0</v>
      </c>
      <c r="AX288" s="2">
        <f>IFERROR(INDEX(TEAM_ANALYSIS!$H$2:$H$21,MATCH($B288,TEAM_ANALYSIS!$A$2:$A$21,0)),0)</f>
        <v>2.3333333333333335</v>
      </c>
      <c r="AY288" s="2">
        <f t="shared" si="124"/>
        <v>0</v>
      </c>
      <c r="AZ288" s="2">
        <f t="shared" si="125"/>
        <v>0</v>
      </c>
      <c r="BA288">
        <f t="shared" si="126"/>
        <v>0</v>
      </c>
      <c r="BB288">
        <f>IFERROR(Player_Analysis!$Y288,1)</f>
        <v>0.85287356321839092</v>
      </c>
      <c r="BC288">
        <f t="shared" si="127"/>
        <v>0</v>
      </c>
      <c r="BD288">
        <f t="shared" si="128"/>
        <v>0</v>
      </c>
      <c r="BE288">
        <f t="shared" si="129"/>
        <v>0</v>
      </c>
      <c r="BF288">
        <f t="shared" si="130"/>
        <v>253</v>
      </c>
      <c r="BG288">
        <f>IF($BE288="","",COUNTIFS($C$2:$C$596,$C288,$BE$2:$BE$596,"&gt;"&amp;$BE288)+COUNTIFS($C$2:$C288,$C288,$BE$2:$BE288,$BE288))</f>
        <v>39</v>
      </c>
    </row>
    <row r="289" spans="1:59" x14ac:dyDescent="0.25">
      <c r="A289" t="str">
        <f>Player_Analysis!A289</f>
        <v>Joachim Andersen</v>
      </c>
      <c r="B289">
        <f>Player_Analysis!C289</f>
        <v>10</v>
      </c>
      <c r="C289" t="str">
        <f>Player_Analysis!B289</f>
        <v>DEF</v>
      </c>
      <c r="D289" s="13">
        <f>Player_Analysis!E289</f>
        <v>5</v>
      </c>
      <c r="E289">
        <f>Player_Analysis!I289</f>
        <v>180</v>
      </c>
      <c r="F289" s="8">
        <f>Player_Analysis!Z289</f>
        <v>2</v>
      </c>
      <c r="G289" s="17">
        <f t="shared" si="105"/>
        <v>1</v>
      </c>
      <c r="H289">
        <f t="shared" si="106"/>
        <v>90</v>
      </c>
      <c r="I289" s="8">
        <f>Player_Analysis!AF289</f>
        <v>0</v>
      </c>
      <c r="J289" s="8">
        <f>Player_Analysis!AG289</f>
        <v>0</v>
      </c>
      <c r="K289">
        <f>Player_Analysis!O289</f>
        <v>0</v>
      </c>
      <c r="L289">
        <f>Player_Analysis!P289</f>
        <v>0.1</v>
      </c>
      <c r="M289">
        <f t="shared" si="107"/>
        <v>0</v>
      </c>
      <c r="N289">
        <f t="shared" si="108"/>
        <v>0.05</v>
      </c>
      <c r="O289" s="2">
        <f>IF(E289=0,"",Player_Analysis!L289/E289*90)</f>
        <v>1</v>
      </c>
      <c r="P289">
        <f>IF(E289=0,"",Player_Analysis!Q289/E289*90)</f>
        <v>0.05</v>
      </c>
      <c r="Q289">
        <f>IF(E289=0,"",(Player_Analysis!AD289/E289)*90)</f>
        <v>6</v>
      </c>
      <c r="R289">
        <f>IF(E289=0,"",Player_Analysis!AA289/E289*90)</f>
        <v>7.5</v>
      </c>
      <c r="S289">
        <f t="array" ref="S289">IFERROR(INDEX('2023_24'!$O:$O,MATCH($A289,'2023_24'!$A:$A,0)),"")</f>
        <v>4.6106557377049183E-2</v>
      </c>
      <c r="T289">
        <f>IFERROR(INDEX('2024_25'!$P:$P,MATCH($A289,'2024_25'!$A:$A,0)),"")</f>
        <v>3.5016835016835016E-2</v>
      </c>
      <c r="U289">
        <f>IFERROR(INDEX('2025_26'!$P:$P,MATCH($A289,'2025_26'!$A:$A,0)),"")</f>
        <v>4.4656488549618317E-2</v>
      </c>
      <c r="V289">
        <f>IFERROR(INDEX('2023_24'!$P:$P,MATCH($A289,'2023_24'!$A:$A,0)),"")</f>
        <v>5.4800936768149885E-2</v>
      </c>
      <c r="W289">
        <f>IFERROR(INDEX('2024_25'!$Q:$Q,MATCH($A289,'2024_25'!$A:$A,0)),"")</f>
        <v>1.9191919191919191E-2</v>
      </c>
      <c r="X289">
        <f>IFERROR(INDEX('2025_26'!$Q:$Q,MATCH($A289,'2025_26'!$A:$A,0)),"")</f>
        <v>5.7147814018043031E-2</v>
      </c>
      <c r="Y289">
        <f>IFERROR(INDEX('2023_24'!$M:$M,MATCH($A289,'2023_24'!$A:$A,0))/INDEX('2023_24'!$G:$G,MATCH($A289,'2023_24'!$A:$A,0))*90,"")</f>
        <v>3.1879391100702574</v>
      </c>
      <c r="Z289">
        <f>IFERROR(INDEX('2024_25'!$M:$M,MATCH($A289,'2024_25'!$A:$A,0))/INDEX('2024_25'!$G:$G,MATCH($A289,'2024_25'!$A:$A,0))*90,"")</f>
        <v>1.7171717171717171</v>
      </c>
      <c r="AA289">
        <f>IFERROR(INDEX('2025_26'!$M:$M,MATCH($A289,'2025_26'!$A:$A,0))/INDEX('2025_26'!$G:$G,MATCH($A289,'2025_26'!$A:$A,0))*90,"")</f>
        <v>3.8410825815405967</v>
      </c>
      <c r="AB289">
        <f>IFERROR(SUMPRODUCT(S289:U289,{0.2,0.3,0.5})/SUMPRODUCT(--(S289:U289&lt;&gt;""),{0.2,0.3,0.5}),"")</f>
        <v>4.2054606255269501E-2</v>
      </c>
      <c r="AC289">
        <f>IFERROR(SUMPRODUCT(V289:X289,{0.2,0.3,0.5})/SUMPRODUCT(--(V289:X289&lt;&gt;""),{0.2,0.3,0.5}),"")</f>
        <v>4.5291670120227251E-2</v>
      </c>
      <c r="AD289">
        <f>IFERROR(SUMPRODUCT(Y289:AA289,{0.2,0.3,0.5})/SUMPRODUCT((Y289:AA289&lt;&gt;"")*{0.2,0.3,0.5}),O289)</f>
        <v>3.0732806279358647</v>
      </c>
      <c r="AE289">
        <f t="shared" si="109"/>
        <v>3</v>
      </c>
      <c r="AF289">
        <f t="shared" si="110"/>
        <v>90</v>
      </c>
      <c r="AG289">
        <f t="shared" si="111"/>
        <v>1.68218425021078E-2</v>
      </c>
      <c r="AH289">
        <f t="shared" si="112"/>
        <v>4.8116668048090901E-2</v>
      </c>
      <c r="AI289" s="2">
        <f t="shared" si="113"/>
        <v>1.829312251174346</v>
      </c>
      <c r="AJ289">
        <f t="shared" si="114"/>
        <v>0.6</v>
      </c>
      <c r="AK289" t="str">
        <f t="shared" si="115"/>
        <v>NO</v>
      </c>
      <c r="AL289">
        <f t="shared" si="116"/>
        <v>1.68218425021078E-2</v>
      </c>
      <c r="AM289">
        <f t="shared" si="117"/>
        <v>4.8116668048090901E-2</v>
      </c>
      <c r="AN289">
        <f t="shared" si="118"/>
        <v>1.68218425021078E-2</v>
      </c>
      <c r="AO289">
        <f t="shared" si="119"/>
        <v>4.8116668048090901E-2</v>
      </c>
      <c r="AP289">
        <f t="array" ref="AP289">AL289*IF($C289="GKP",10,IF($C289="DEF",6,IF($C289="MID",5,4)))</f>
        <v>0.10093105501264679</v>
      </c>
      <c r="AQ289">
        <f t="shared" si="120"/>
        <v>0.14435000414427271</v>
      </c>
      <c r="AR289">
        <f t="shared" si="121"/>
        <v>2</v>
      </c>
      <c r="AS289" s="2">
        <f>IF($H289=0,0,Player_Analysis!$AM289*$H289/90)</f>
        <v>0</v>
      </c>
      <c r="AT289">
        <f t="shared" si="122"/>
        <v>1.5</v>
      </c>
      <c r="AU289" s="2">
        <f>0</f>
        <v>0</v>
      </c>
      <c r="AV289" s="2">
        <f>IF(INDEX(FPL_Raw_Data!K:K,MATCH(A289,FPL_Raw_Data!AA:AA,0))=0,"",INDEX(FPL_Raw_Data!P:P,MATCH(A289,FPL_Raw_Data!AA:AA,0))/INDEX(FPL_Raw_Data!K:K,MATCH(A289,FPL_Raw_Data!AA:AA,0))*90)</f>
        <v>0</v>
      </c>
      <c r="AW289" s="2">
        <f t="shared" si="123"/>
        <v>0</v>
      </c>
      <c r="AX289" s="2">
        <f>IFERROR(INDEX(TEAM_ANALYSIS!$H$2:$H$21,MATCH($B289,TEAM_ANALYSIS!$A$2:$A$21,0)),0)</f>
        <v>2.3333333333333335</v>
      </c>
      <c r="AY289" s="2">
        <f t="shared" si="124"/>
        <v>-1.1666666666666667</v>
      </c>
      <c r="AZ289" s="2">
        <f t="shared" si="125"/>
        <v>2.5786143924902527</v>
      </c>
      <c r="BA289">
        <f t="shared" si="126"/>
        <v>0.51572287849805054</v>
      </c>
      <c r="BB289">
        <f>IFERROR(Player_Analysis!$Y289,1)</f>
        <v>0.85287356321839092</v>
      </c>
      <c r="BC289">
        <f t="shared" si="127"/>
        <v>2.1992320450893881</v>
      </c>
      <c r="BD289">
        <f t="shared" si="128"/>
        <v>1.1341942807786536</v>
      </c>
      <c r="BE289">
        <f t="shared" si="129"/>
        <v>2.1992320450893881</v>
      </c>
      <c r="BF289">
        <f t="shared" si="130"/>
        <v>236</v>
      </c>
      <c r="BG289">
        <f>IF($BE289="","",COUNTIFS($C$2:$C$596,$C289,$BE$2:$BE$596,"&gt;"&amp;$BE289)+COUNTIFS($C$2:$C289,$C289,$BE$2:$BE289,$BE289))</f>
        <v>81</v>
      </c>
    </row>
    <row r="290" spans="1:59" x14ac:dyDescent="0.25">
      <c r="A290" t="str">
        <f>Player_Analysis!A290</f>
        <v>Antonee Robinson</v>
      </c>
      <c r="B290">
        <f>Player_Analysis!C290</f>
        <v>10</v>
      </c>
      <c r="C290" t="str">
        <f>Player_Analysis!B290</f>
        <v>DEF</v>
      </c>
      <c r="D290" s="13">
        <f>Player_Analysis!E290</f>
        <v>4.5</v>
      </c>
      <c r="E290">
        <f>Player_Analysis!I290</f>
        <v>249</v>
      </c>
      <c r="F290" s="8">
        <f>Player_Analysis!Z290</f>
        <v>3</v>
      </c>
      <c r="G290" s="17">
        <f t="shared" si="105"/>
        <v>1</v>
      </c>
      <c r="H290">
        <f t="shared" si="106"/>
        <v>90</v>
      </c>
      <c r="I290" s="8">
        <f>Player_Analysis!AF290</f>
        <v>0</v>
      </c>
      <c r="J290" s="8">
        <f>Player_Analysis!AG290</f>
        <v>0</v>
      </c>
      <c r="K290">
        <f>Player_Analysis!O290</f>
        <v>0.21</v>
      </c>
      <c r="L290">
        <f>Player_Analysis!P290</f>
        <v>0.16</v>
      </c>
      <c r="M290">
        <f t="shared" si="107"/>
        <v>7.5903614457831323E-2</v>
      </c>
      <c r="N290">
        <f t="shared" si="108"/>
        <v>5.7831325301204821E-2</v>
      </c>
      <c r="O290" s="2">
        <f>IF(E290=0,"",Player_Analysis!L290/E290*90)</f>
        <v>1.4457831325301203</v>
      </c>
      <c r="P290">
        <f>IF(E290=0,"",Player_Analysis!Q290/E290*90)</f>
        <v>0.13373493975903614</v>
      </c>
      <c r="Q290">
        <f>IF(E290=0,"",(Player_Analysis!AD290/E290)*90)</f>
        <v>7.5903614457831319</v>
      </c>
      <c r="R290">
        <f>IF(E290=0,"",Player_Analysis!AA290/E290*90)</f>
        <v>5.4216867469879517</v>
      </c>
      <c r="S290">
        <f t="array" ref="S290">IFERROR(INDEX('2023_24'!$O:$O,MATCH($A290,'2023_24'!$A:$A,0)),"")</f>
        <v>1.8738518064911208E-2</v>
      </c>
      <c r="T290">
        <f>IFERROR(INDEX('2024_25'!$P:$P,MATCH($A290,'2024_25'!$A:$A,0)),"")</f>
        <v>1.9898926089703093E-2</v>
      </c>
      <c r="U290">
        <f>IFERROR(INDEX('2025_26'!$P:$P,MATCH($A290,'2025_26'!$A:$A,0)),"")</f>
        <v>6.4761264290517817E-2</v>
      </c>
      <c r="V290">
        <f>IFERROR(INDEX('2023_24'!$P:$P,MATCH($A290,'2023_24'!$A:$A,0)),"")</f>
        <v>0.10333741579914268</v>
      </c>
      <c r="W290">
        <f>IFERROR(INDEX('2024_25'!$Q:$Q,MATCH($A290,'2024_25'!$A:$A,0)),"")</f>
        <v>0.11854074542008843</v>
      </c>
      <c r="X290">
        <f>IFERROR(INDEX('2025_26'!$Q:$Q,MATCH($A290,'2025_26'!$A:$A,0)),"")</f>
        <v>9.5628782784129132E-2</v>
      </c>
      <c r="Y290">
        <f>IFERROR(INDEX('2023_24'!$M:$M,MATCH($A290,'2023_24'!$A:$A,0))/INDEX('2023_24'!$G:$G,MATCH($A290,'2023_24'!$A:$A,0))*90,"")</f>
        <v>2.8658909981628908</v>
      </c>
      <c r="Z290">
        <f>IFERROR(INDEX('2024_25'!$M:$M,MATCH($A290,'2024_25'!$A:$A,0))/INDEX('2024_25'!$G:$G,MATCH($A290,'2024_25'!$A:$A,0))*90,"")</f>
        <v>3.0132659507264692</v>
      </c>
      <c r="AA290">
        <f>IFERROR(INDEX('2025_26'!$M:$M,MATCH($A290,'2025_26'!$A:$A,0))/INDEX('2025_26'!$G:$G,MATCH($A290,'2025_26'!$A:$A,0))*90,"")</f>
        <v>3.9340954942837931</v>
      </c>
      <c r="AB290">
        <f>IFERROR(SUMPRODUCT(S290:U290,{0.2,0.3,0.5})/SUMPRODUCT(--(S290:U290&lt;&gt;""),{0.2,0.3,0.5}),"")</f>
        <v>4.2098013585152076E-2</v>
      </c>
      <c r="AC290">
        <f>IFERROR(SUMPRODUCT(V290:X290,{0.2,0.3,0.5})/SUMPRODUCT(--(V290:X290&lt;&gt;""),{0.2,0.3,0.5}),"")</f>
        <v>0.10404409817791963</v>
      </c>
      <c r="AD290">
        <f>IFERROR(SUMPRODUCT(Y290:AA290,{0.2,0.3,0.5})/SUMPRODUCT((Y290:AA290&lt;&gt;"")*{0.2,0.3,0.5}),O290)</f>
        <v>3.4442057319924153</v>
      </c>
      <c r="AE290">
        <f t="shared" si="109"/>
        <v>3</v>
      </c>
      <c r="AF290">
        <f t="shared" si="110"/>
        <v>83</v>
      </c>
      <c r="AG290">
        <f t="shared" si="111"/>
        <v>7.0156662309475856E-2</v>
      </c>
      <c r="AH290">
        <f t="shared" si="112"/>
        <v>6.5687496690246344E-2</v>
      </c>
      <c r="AI290" s="2">
        <f t="shared" si="113"/>
        <v>1.7855149744387104</v>
      </c>
      <c r="AJ290">
        <f t="shared" si="114"/>
        <v>0.83</v>
      </c>
      <c r="AK290" t="str">
        <f t="shared" si="115"/>
        <v>NO</v>
      </c>
      <c r="AL290">
        <f t="shared" si="116"/>
        <v>7.0156662309475856E-2</v>
      </c>
      <c r="AM290">
        <f t="shared" si="117"/>
        <v>6.5687496690246344E-2</v>
      </c>
      <c r="AN290">
        <f t="shared" si="118"/>
        <v>7.0156662309475856E-2</v>
      </c>
      <c r="AO290">
        <f t="shared" si="119"/>
        <v>6.5687496690246344E-2</v>
      </c>
      <c r="AP290">
        <f t="array" ref="AP290">AL290*IF($C290="GKP",10,IF($C290="DEF",6,IF($C290="MID",5,4)))</f>
        <v>0.42093997385685511</v>
      </c>
      <c r="AQ290">
        <f t="shared" si="120"/>
        <v>0.19706249007073903</v>
      </c>
      <c r="AR290">
        <f t="shared" si="121"/>
        <v>2</v>
      </c>
      <c r="AS290" s="2">
        <f>IF($H290=0,0,Player_Analysis!$AM290*$H290/90)</f>
        <v>0</v>
      </c>
      <c r="AT290">
        <f t="shared" si="122"/>
        <v>1.0843373493975903</v>
      </c>
      <c r="AU290" s="2">
        <f>0</f>
        <v>0</v>
      </c>
      <c r="AV290" s="2">
        <f>IF(INDEX(FPL_Raw_Data!K:K,MATCH(A290,FPL_Raw_Data!AA:AA,0))=0,"",INDEX(FPL_Raw_Data!P:P,MATCH(A290,FPL_Raw_Data!AA:AA,0))/INDEX(FPL_Raw_Data!K:K,MATCH(A290,FPL_Raw_Data!AA:AA,0))*90)</f>
        <v>0</v>
      </c>
      <c r="AW290" s="2">
        <f t="shared" si="123"/>
        <v>0</v>
      </c>
      <c r="AX290" s="2">
        <f>IFERROR(INDEX(TEAM_ANALYSIS!$H$2:$H$21,MATCH($B290,TEAM_ANALYSIS!$A$2:$A$21,0)),0)</f>
        <v>2.3333333333333335</v>
      </c>
      <c r="AY290" s="2">
        <f t="shared" si="124"/>
        <v>-1.1666666666666667</v>
      </c>
      <c r="AZ290" s="2">
        <f t="shared" si="125"/>
        <v>2.5356731466585174</v>
      </c>
      <c r="BA290">
        <f t="shared" si="126"/>
        <v>0.5634829214796705</v>
      </c>
      <c r="BB290">
        <f>IFERROR(Player_Analysis!$Y290,1)</f>
        <v>0.85287356321839092</v>
      </c>
      <c r="BC290">
        <f t="shared" si="127"/>
        <v>2.1626085917478393</v>
      </c>
      <c r="BD290">
        <f t="shared" si="128"/>
        <v>1.2185930072951086</v>
      </c>
      <c r="BE290">
        <f t="shared" si="129"/>
        <v>2.1626085917478393</v>
      </c>
      <c r="BF290">
        <f t="shared" si="130"/>
        <v>238</v>
      </c>
      <c r="BG290">
        <f>IF($BE290="","",COUNTIFS($C$2:$C$596,$C290,$BE$2:$BE$596,"&gt;"&amp;$BE290)+COUNTIFS($C$2:$C290,$C290,$BE$2:$BE290,$BE290))</f>
        <v>83</v>
      </c>
    </row>
    <row r="291" spans="1:59" x14ac:dyDescent="0.25">
      <c r="A291" t="str">
        <f>Player_Analysis!A291</f>
        <v>Jorge Cuenca Barreno</v>
      </c>
      <c r="B291">
        <f>Player_Analysis!C291</f>
        <v>10</v>
      </c>
      <c r="C291" t="str">
        <f>Player_Analysis!B291</f>
        <v>DEF</v>
      </c>
      <c r="D291" s="13">
        <f>Player_Analysis!E291</f>
        <v>4.5</v>
      </c>
      <c r="E291">
        <f>Player_Analysis!I291</f>
        <v>90</v>
      </c>
      <c r="F291" s="8">
        <f>Player_Analysis!Z291</f>
        <v>1</v>
      </c>
      <c r="G291" s="17">
        <f t="shared" si="105"/>
        <v>1</v>
      </c>
      <c r="H291">
        <f t="shared" si="106"/>
        <v>90</v>
      </c>
      <c r="I291" s="8">
        <f>Player_Analysis!AF291</f>
        <v>0</v>
      </c>
      <c r="J291" s="8">
        <f>Player_Analysis!AG291</f>
        <v>0</v>
      </c>
      <c r="K291">
        <f>Player_Analysis!O291</f>
        <v>0</v>
      </c>
      <c r="L291">
        <f>Player_Analysis!P291</f>
        <v>0.03</v>
      </c>
      <c r="M291">
        <f t="shared" si="107"/>
        <v>0</v>
      </c>
      <c r="N291">
        <f t="shared" si="108"/>
        <v>0.03</v>
      </c>
      <c r="O291" s="2">
        <f>IF(E291=0,"",Player_Analysis!L291/E291*90)</f>
        <v>3</v>
      </c>
      <c r="P291">
        <f>IF(E291=0,"",Player_Analysis!Q291/E291*90)</f>
        <v>0.03</v>
      </c>
      <c r="Q291">
        <f>IF(E291=0,"",(Player_Analysis!AD291/E291)*90)</f>
        <v>7</v>
      </c>
      <c r="R291">
        <f>IF(E291=0,"",Player_Analysis!AA291/E291*90)</f>
        <v>10</v>
      </c>
      <c r="S291" t="str">
        <f t="array" ref="S291">IFERROR(INDEX('2023_24'!$O:$O,MATCH($A291,'2023_24'!$A:$A,0)),"")</f>
        <v/>
      </c>
      <c r="T291">
        <f>IFERROR(INDEX('2024_25'!$P:$P,MATCH($A291,'2024_25'!$A:$A,0)),"")</f>
        <v>5.1575931232091697E-3</v>
      </c>
      <c r="U291">
        <f>IFERROR(INDEX('2025_26'!$P:$P,MATCH($A291,'2025_26'!$A:$A,0)),"")</f>
        <v>4.8128342245989308E-3</v>
      </c>
      <c r="V291" t="str">
        <f>IFERROR(INDEX('2023_24'!$P:$P,MATCH($A291,'2023_24'!$A:$A,0)),"")</f>
        <v/>
      </c>
      <c r="W291">
        <f>IFERROR(INDEX('2024_25'!$Q:$Q,MATCH($A291,'2024_25'!$A:$A,0)),"")</f>
        <v>2.5787965616045848E-3</v>
      </c>
      <c r="X291">
        <f>IFERROR(INDEX('2025_26'!$Q:$Q,MATCH($A291,'2025_26'!$A:$A,0)),"")</f>
        <v>5.1016042780748665E-2</v>
      </c>
      <c r="Y291" t="str">
        <f>IFERROR(INDEX('2023_24'!$M:$M,MATCH($A291,'2023_24'!$A:$A,0))/INDEX('2023_24'!$G:$G,MATCH($A291,'2023_24'!$A:$A,0))*90,"")</f>
        <v/>
      </c>
      <c r="Z291">
        <f>IFERROR(INDEX('2024_25'!$M:$M,MATCH($A291,'2024_25'!$A:$A,0))/INDEX('2024_25'!$G:$G,MATCH($A291,'2024_25'!$A:$A,0))*90,"")</f>
        <v>2.3209169054441263</v>
      </c>
      <c r="AA291">
        <f>IFERROR(INDEX('2025_26'!$M:$M,MATCH($A291,'2025_26'!$A:$A,0))/INDEX('2025_26'!$G:$G,MATCH($A291,'2025_26'!$A:$A,0))*90,"")</f>
        <v>3.7540106951871657</v>
      </c>
      <c r="AB291">
        <f>IFERROR(SUMPRODUCT(S291:U291,{0.2,0.3,0.5})/SUMPRODUCT(--(S291:U291&lt;&gt;""),{0.2,0.3,0.5}),"")</f>
        <v>4.94211881157777E-3</v>
      </c>
      <c r="AC291">
        <f>IFERROR(SUMPRODUCT(V291:X291,{0.2,0.3,0.5})/SUMPRODUCT(--(V291:X291&lt;&gt;""),{0.2,0.3,0.5}),"")</f>
        <v>3.2852075448569634E-2</v>
      </c>
      <c r="AD291">
        <f>IFERROR(SUMPRODUCT(Y291:AA291,{0.2,0.3,0.5})/SUMPRODUCT((Y291:AA291&lt;&gt;"")*{0.2,0.3,0.5}),O291)</f>
        <v>3.216600524033526</v>
      </c>
      <c r="AE291">
        <f t="shared" si="109"/>
        <v>2</v>
      </c>
      <c r="AF291">
        <f t="shared" si="110"/>
        <v>90</v>
      </c>
      <c r="AG291">
        <f t="shared" si="111"/>
        <v>3.4594831681044385E-3</v>
      </c>
      <c r="AH291">
        <f t="shared" si="112"/>
        <v>3.1996452813998745E-2</v>
      </c>
      <c r="AI291" s="2">
        <f t="shared" si="113"/>
        <v>3.1516203668234679</v>
      </c>
      <c r="AJ291">
        <f t="shared" si="114"/>
        <v>0.3</v>
      </c>
      <c r="AK291" t="str">
        <f t="shared" si="115"/>
        <v>NO</v>
      </c>
      <c r="AL291">
        <f t="shared" si="116"/>
        <v>3.4594831681044385E-3</v>
      </c>
      <c r="AM291">
        <f t="shared" si="117"/>
        <v>3.1996452813998745E-2</v>
      </c>
      <c r="AN291">
        <f t="shared" si="118"/>
        <v>3.4594831681044385E-3</v>
      </c>
      <c r="AO291">
        <f t="shared" si="119"/>
        <v>3.1996452813998745E-2</v>
      </c>
      <c r="AP291">
        <f t="array" ref="AP291">AL291*IF($C291="GKP",10,IF($C291="DEF",6,IF($C291="MID",5,4)))</f>
        <v>2.0756899008626629E-2</v>
      </c>
      <c r="AQ291">
        <f t="shared" si="120"/>
        <v>9.5989358441996242E-2</v>
      </c>
      <c r="AR291">
        <f t="shared" si="121"/>
        <v>2</v>
      </c>
      <c r="AS291" s="2">
        <f>IF($H291=0,0,Player_Analysis!$AM291*$H291/90)</f>
        <v>0</v>
      </c>
      <c r="AT291">
        <f t="shared" si="122"/>
        <v>2</v>
      </c>
      <c r="AU291" s="2">
        <f>0</f>
        <v>0</v>
      </c>
      <c r="AV291" s="2">
        <f>IF(INDEX(FPL_Raw_Data!K:K,MATCH(A291,FPL_Raw_Data!AA:AA,0))=0,"",INDEX(FPL_Raw_Data!P:P,MATCH(A291,FPL_Raw_Data!AA:AA,0))/INDEX(FPL_Raw_Data!K:K,MATCH(A291,FPL_Raw_Data!AA:AA,0))*90)</f>
        <v>0</v>
      </c>
      <c r="AW291" s="2">
        <f t="shared" si="123"/>
        <v>0</v>
      </c>
      <c r="AX291" s="2">
        <f>IFERROR(INDEX(TEAM_ANALYSIS!$H$2:$H$21,MATCH($B291,TEAM_ANALYSIS!$A$2:$A$21,0)),0)</f>
        <v>2.3333333333333335</v>
      </c>
      <c r="AY291" s="2">
        <f t="shared" si="124"/>
        <v>-1.1666666666666667</v>
      </c>
      <c r="AZ291" s="2">
        <f t="shared" si="125"/>
        <v>2.9500795907839565</v>
      </c>
      <c r="BA291">
        <f t="shared" si="126"/>
        <v>0.65557324239643477</v>
      </c>
      <c r="BB291">
        <f>IFERROR(Player_Analysis!$Y291,1)</f>
        <v>0.85287356321839092</v>
      </c>
      <c r="BC291">
        <f t="shared" si="127"/>
        <v>2.5160448923697656</v>
      </c>
      <c r="BD291">
        <f t="shared" si="128"/>
        <v>1.649451708105836</v>
      </c>
      <c r="BE291">
        <f t="shared" si="129"/>
        <v>2.5160448923697656</v>
      </c>
      <c r="BF291">
        <f t="shared" si="130"/>
        <v>226</v>
      </c>
      <c r="BG291">
        <f>IF($BE291="","",COUNTIFS($C$2:$C$596,$C291,$BE$2:$BE$596,"&gt;"&amp;$BE291)+COUNTIFS($C$2:$C291,$C291,$BE$2:$BE291,$BE291))</f>
        <v>74</v>
      </c>
    </row>
    <row r="292" spans="1:59" x14ac:dyDescent="0.25">
      <c r="A292" t="str">
        <f>Player_Analysis!A292</f>
        <v>Kenny Tete</v>
      </c>
      <c r="B292">
        <f>Player_Analysis!C292</f>
        <v>10</v>
      </c>
      <c r="C292" t="str">
        <f>Player_Analysis!B292</f>
        <v>DEF</v>
      </c>
      <c r="D292" s="13">
        <f>Player_Analysis!E292</f>
        <v>4.5</v>
      </c>
      <c r="E292">
        <f>Player_Analysis!I292</f>
        <v>0</v>
      </c>
      <c r="F292" s="8">
        <f>Player_Analysis!Z292</f>
        <v>0</v>
      </c>
      <c r="G292" s="17">
        <f t="shared" si="105"/>
        <v>0</v>
      </c>
      <c r="H292">
        <f t="shared" si="106"/>
        <v>0</v>
      </c>
      <c r="I292" s="8">
        <f>Player_Analysis!AF292</f>
        <v>0</v>
      </c>
      <c r="J292" s="8">
        <f>Player_Analysis!AG292</f>
        <v>0</v>
      </c>
      <c r="K292">
        <f>Player_Analysis!O292</f>
        <v>0</v>
      </c>
      <c r="L292">
        <f>Player_Analysis!P292</f>
        <v>0</v>
      </c>
      <c r="M292" t="str">
        <f t="shared" si="107"/>
        <v/>
      </c>
      <c r="N292" t="str">
        <f t="shared" si="108"/>
        <v/>
      </c>
      <c r="O292" s="2" t="str">
        <f>IF(E292=0,"",Player_Analysis!L292/E292*90)</f>
        <v/>
      </c>
      <c r="P292" t="str">
        <f>IF(E292=0,"",Player_Analysis!Q292/E292*90)</f>
        <v/>
      </c>
      <c r="Q292" t="str">
        <f>IF(E292=0,"",(Player_Analysis!AD292/E292)*90)</f>
        <v/>
      </c>
      <c r="R292" t="str">
        <f>IF(E292=0,"",Player_Analysis!AA292/E292*90)</f>
        <v/>
      </c>
      <c r="S292">
        <f t="array" ref="S292">IFERROR(INDEX('2023_24'!$O:$O,MATCH($A292,'2023_24'!$A:$A,0)),"")</f>
        <v>8.9687137891077628E-2</v>
      </c>
      <c r="T292">
        <f>IFERROR(INDEX('2024_25'!$P:$P,MATCH($A292,'2024_25'!$A:$A,0)),"")</f>
        <v>6.9543147208121839E-2</v>
      </c>
      <c r="U292">
        <f>IFERROR(INDEX('2025_26'!$P:$P,MATCH($A292,'2025_26'!$A:$A,0)),"")</f>
        <v>4.6231155778894473E-2</v>
      </c>
      <c r="V292">
        <f>IFERROR(INDEX('2023_24'!$P:$P,MATCH($A292,'2023_24'!$A:$A,0)),"")</f>
        <v>4.7972190034762462E-2</v>
      </c>
      <c r="W292">
        <f>IFERROR(INDEX('2024_25'!$Q:$Q,MATCH($A292,'2024_25'!$A:$A,0)),"")</f>
        <v>3.2994923857868022E-2</v>
      </c>
      <c r="X292">
        <f>IFERROR(INDEX('2025_26'!$Q:$Q,MATCH($A292,'2025_26'!$A:$A,0)),"")</f>
        <v>7.3366834170854267E-2</v>
      </c>
      <c r="Y292">
        <f>IFERROR(INDEX('2023_24'!$M:$M,MATCH($A292,'2023_24'!$A:$A,0))/INDEX('2023_24'!$G:$G,MATCH($A292,'2023_24'!$A:$A,0))*90,"")</f>
        <v>2.8157589803012746</v>
      </c>
      <c r="Z292">
        <f>IFERROR(INDEX('2024_25'!$M:$M,MATCH($A292,'2024_25'!$A:$A,0))/INDEX('2024_25'!$G:$G,MATCH($A292,'2024_25'!$A:$A,0))*90,"")</f>
        <v>2.4873096446700509</v>
      </c>
      <c r="AA292">
        <f>IFERROR(INDEX('2025_26'!$M:$M,MATCH($A292,'2025_26'!$A:$A,0))/INDEX('2025_26'!$G:$G,MATCH($A292,'2025_26'!$A:$A,0))*90,"")</f>
        <v>4.0703517587939704</v>
      </c>
      <c r="AB292">
        <f>IFERROR(SUMPRODUCT(S292:U292,{0.2,0.3,0.5})/SUMPRODUCT(--(S292:U292&lt;&gt;""),{0.2,0.3,0.5}),"")</f>
        <v>6.1915949630099318E-2</v>
      </c>
      <c r="AC292">
        <f>IFERROR(SUMPRODUCT(V292:X292,{0.2,0.3,0.5})/SUMPRODUCT(--(V292:X292&lt;&gt;""),{0.2,0.3,0.5}),"")</f>
        <v>5.617633224974003E-2</v>
      </c>
      <c r="AD292">
        <f>IFERROR(SUMPRODUCT(Y292:AA292,{0.2,0.3,0.5})/SUMPRODUCT((Y292:AA292&lt;&gt;"")*{0.2,0.3,0.5}),O292)</f>
        <v>3.3445205688582553</v>
      </c>
      <c r="AE292">
        <f t="shared" si="109"/>
        <v>3</v>
      </c>
      <c r="AF292" t="str">
        <f t="shared" si="110"/>
        <v/>
      </c>
      <c r="AG292">
        <f t="shared" si="111"/>
        <v>6.1915949630099318E-2</v>
      </c>
      <c r="AH292">
        <f t="shared" si="112"/>
        <v>5.617633224974003E-2</v>
      </c>
      <c r="AI292" s="2">
        <f t="shared" si="113"/>
        <v>3.3445205688582553</v>
      </c>
      <c r="AJ292">
        <f t="shared" si="114"/>
        <v>0</v>
      </c>
      <c r="AK292" t="str">
        <f t="shared" si="115"/>
        <v>NO</v>
      </c>
      <c r="AL292">
        <f t="shared" si="116"/>
        <v>0</v>
      </c>
      <c r="AM292">
        <f t="shared" si="117"/>
        <v>0</v>
      </c>
      <c r="AN292">
        <f t="shared" si="118"/>
        <v>0</v>
      </c>
      <c r="AO292">
        <f t="shared" si="119"/>
        <v>0</v>
      </c>
      <c r="AP292">
        <f t="array" ref="AP292">AL292*IF($C292="GKP",10,IF($C292="DEF",6,IF($C292="MID",5,4)))</f>
        <v>0</v>
      </c>
      <c r="AQ292">
        <f t="shared" si="120"/>
        <v>0</v>
      </c>
      <c r="AR292">
        <f t="shared" si="121"/>
        <v>0</v>
      </c>
      <c r="AS292" s="2">
        <f>IF($H292=0,0,Player_Analysis!$AM292*$H292/90)</f>
        <v>0</v>
      </c>
      <c r="AT292">
        <f t="shared" si="122"/>
        <v>0</v>
      </c>
      <c r="AU292" s="2">
        <f>0</f>
        <v>0</v>
      </c>
      <c r="AV292" s="2" t="str">
        <f>IF(INDEX(FPL_Raw_Data!K:K,MATCH(A292,FPL_Raw_Data!AA:AA,0))=0,"",INDEX(FPL_Raw_Data!P:P,MATCH(A292,FPL_Raw_Data!AA:AA,0))/INDEX(FPL_Raw_Data!K:K,MATCH(A292,FPL_Raw_Data!AA:AA,0))*90)</f>
        <v/>
      </c>
      <c r="AW292" s="2">
        <f t="shared" si="123"/>
        <v>0</v>
      </c>
      <c r="AX292" s="2">
        <f>IFERROR(INDEX(TEAM_ANALYSIS!$H$2:$H$21,MATCH($B292,TEAM_ANALYSIS!$A$2:$A$21,0)),0)</f>
        <v>2.3333333333333335</v>
      </c>
      <c r="AY292" s="2">
        <f t="shared" si="124"/>
        <v>-1.1666666666666667</v>
      </c>
      <c r="AZ292" s="2">
        <f t="shared" si="125"/>
        <v>-1.1666666666666667</v>
      </c>
      <c r="BA292">
        <f t="shared" si="126"/>
        <v>-0.2592592592592593</v>
      </c>
      <c r="BB292">
        <f>IFERROR(Player_Analysis!$Y292,1)</f>
        <v>0.85287356321839092</v>
      </c>
      <c r="BC292">
        <f t="shared" si="127"/>
        <v>-0.99501915708812283</v>
      </c>
      <c r="BD292">
        <f t="shared" si="128"/>
        <v>0.2579679296154393</v>
      </c>
      <c r="BE292">
        <f t="shared" si="129"/>
        <v>-0.99501915708812283</v>
      </c>
      <c r="BF292">
        <f t="shared" si="130"/>
        <v>577</v>
      </c>
      <c r="BG292">
        <f>IF($BE292="","",COUNTIFS($C$2:$C$596,$C292,$BE$2:$BE$596,"&gt;"&amp;$BE292)+COUNTIFS($C$2:$C292,$C292,$BE$2:$BE292,$BE292))</f>
        <v>174</v>
      </c>
    </row>
    <row r="293" spans="1:59" x14ac:dyDescent="0.25">
      <c r="A293" t="str">
        <f>Player_Analysis!A293</f>
        <v>Calvin Bassey</v>
      </c>
      <c r="B293">
        <f>Player_Analysis!C293</f>
        <v>10</v>
      </c>
      <c r="C293" t="str">
        <f>Player_Analysis!B293</f>
        <v>DEF</v>
      </c>
      <c r="D293" s="13">
        <f>Player_Analysis!E293</f>
        <v>4.5</v>
      </c>
      <c r="E293">
        <f>Player_Analysis!I293</f>
        <v>270</v>
      </c>
      <c r="F293" s="8">
        <f>Player_Analysis!Z293</f>
        <v>3</v>
      </c>
      <c r="G293" s="17">
        <f t="shared" si="105"/>
        <v>1</v>
      </c>
      <c r="H293">
        <f t="shared" si="106"/>
        <v>90</v>
      </c>
      <c r="I293" s="8">
        <f>Player_Analysis!AF293</f>
        <v>0</v>
      </c>
      <c r="J293" s="8">
        <f>Player_Analysis!AG293</f>
        <v>0</v>
      </c>
      <c r="K293">
        <f>Player_Analysis!O293</f>
        <v>0.02</v>
      </c>
      <c r="L293">
        <f>Player_Analysis!P293</f>
        <v>7.0000000000000007E-2</v>
      </c>
      <c r="M293">
        <f t="shared" si="107"/>
        <v>6.6666666666666662E-3</v>
      </c>
      <c r="N293">
        <f t="shared" si="108"/>
        <v>2.3333333333333334E-2</v>
      </c>
      <c r="O293" s="2">
        <f>IF(E293=0,"",Player_Analysis!L293/E293*90)</f>
        <v>1</v>
      </c>
      <c r="P293">
        <f>IF(E293=0,"",Player_Analysis!Q293/E293*90)</f>
        <v>0.03</v>
      </c>
      <c r="Q293">
        <f>IF(E293=0,"",(Player_Analysis!AD293/E293)*90)</f>
        <v>5.3333333333333339</v>
      </c>
      <c r="R293">
        <f>IF(E293=0,"",Player_Analysis!AA293/E293*90)</f>
        <v>4.333333333333333</v>
      </c>
      <c r="S293">
        <f t="array" ref="S293">IFERROR(INDEX('2023_24'!$O:$O,MATCH($A293,'2023_24'!$A:$A,0)),"")</f>
        <v>1.4484558503697259E-2</v>
      </c>
      <c r="T293">
        <f>IFERROR(INDEX('2024_25'!$P:$P,MATCH($A293,'2024_25'!$A:$A,0)),"")</f>
        <v>2.9863370201691608E-2</v>
      </c>
      <c r="U293">
        <f>IFERROR(INDEX('2025_26'!$P:$P,MATCH($A293,'2025_26'!$A:$A,0)),"")</f>
        <v>6.0781990521327017E-2</v>
      </c>
      <c r="V293">
        <f>IFERROR(INDEX('2023_24'!$P:$P,MATCH($A293,'2023_24'!$A:$A,0)),"")</f>
        <v>6.2635928664636796E-3</v>
      </c>
      <c r="W293">
        <f>IFERROR(INDEX('2024_25'!$Q:$Q,MATCH($A293,'2024_25'!$A:$A,0)),"")</f>
        <v>1.2296681847755368E-2</v>
      </c>
      <c r="X293">
        <f>IFERROR(INDEX('2025_26'!$Q:$Q,MATCH($A293,'2025_26'!$A:$A,0)),"")</f>
        <v>1.2440758293838861E-2</v>
      </c>
      <c r="Y293">
        <f>IFERROR(INDEX('2023_24'!$M:$M,MATCH($A293,'2023_24'!$A:$A,0))/INDEX('2023_24'!$G:$G,MATCH($A293,'2023_24'!$A:$A,0))*90,"")</f>
        <v>2.5837320574162681</v>
      </c>
      <c r="Z293">
        <f>IFERROR(INDEX('2024_25'!$M:$M,MATCH($A293,'2024_25'!$A:$A,0))/INDEX('2024_25'!$G:$G,MATCH($A293,'2024_25'!$A:$A,0))*90,"")</f>
        <v>2.1958360442420299</v>
      </c>
      <c r="AA293">
        <f>IFERROR(INDEX('2025_26'!$M:$M,MATCH($A293,'2025_26'!$A:$A,0))/INDEX('2025_26'!$G:$G,MATCH($A293,'2025_26'!$A:$A,0))*90,"")</f>
        <v>3.6611374407582939</v>
      </c>
      <c r="AB293">
        <f>IFERROR(SUMPRODUCT(S293:U293,{0.2,0.3,0.5})/SUMPRODUCT(--(S293:U293&lt;&gt;""),{0.2,0.3,0.5}),"")</f>
        <v>4.224691802191044E-2</v>
      </c>
      <c r="AC293">
        <f>IFERROR(SUMPRODUCT(V293:X293,{0.2,0.3,0.5})/SUMPRODUCT(--(V293:X293&lt;&gt;""),{0.2,0.3,0.5}),"")</f>
        <v>1.1162102274538777E-2</v>
      </c>
      <c r="AD293">
        <f>IFERROR(SUMPRODUCT(Y293:AA293,{0.2,0.3,0.5})/SUMPRODUCT((Y293:AA293&lt;&gt;"")*{0.2,0.3,0.5}),O293)</f>
        <v>3.0060659451350098</v>
      </c>
      <c r="AE293">
        <f t="shared" si="109"/>
        <v>3</v>
      </c>
      <c r="AF293">
        <f t="shared" si="110"/>
        <v>90</v>
      </c>
      <c r="AG293">
        <f t="shared" si="111"/>
        <v>1.0224691802191044E-2</v>
      </c>
      <c r="AH293">
        <f t="shared" si="112"/>
        <v>2.2116210227453879E-2</v>
      </c>
      <c r="AI293" s="2">
        <f t="shared" si="113"/>
        <v>1.2006065945135009</v>
      </c>
      <c r="AJ293">
        <f t="shared" si="114"/>
        <v>0.9</v>
      </c>
      <c r="AK293" t="str">
        <f t="shared" si="115"/>
        <v>NO</v>
      </c>
      <c r="AL293">
        <f t="shared" si="116"/>
        <v>1.0224691802191044E-2</v>
      </c>
      <c r="AM293">
        <f t="shared" si="117"/>
        <v>2.2116210227453879E-2</v>
      </c>
      <c r="AN293">
        <f t="shared" si="118"/>
        <v>1.0224691802191044E-2</v>
      </c>
      <c r="AO293">
        <f t="shared" si="119"/>
        <v>2.2116210227453879E-2</v>
      </c>
      <c r="AP293">
        <f t="array" ref="AP293">AL293*IF($C293="GKP",10,IF($C293="DEF",6,IF($C293="MID",5,4)))</f>
        <v>6.1348150813146263E-2</v>
      </c>
      <c r="AQ293">
        <f t="shared" si="120"/>
        <v>6.6348630682361631E-2</v>
      </c>
      <c r="AR293">
        <f t="shared" si="121"/>
        <v>2</v>
      </c>
      <c r="AS293" s="2">
        <f>IF($H293=0,0,Player_Analysis!$AM293*$H293/90)</f>
        <v>0</v>
      </c>
      <c r="AT293">
        <f t="shared" si="122"/>
        <v>0.86666666666666659</v>
      </c>
      <c r="AU293" s="2">
        <f>0</f>
        <v>0</v>
      </c>
      <c r="AV293" s="2">
        <f>IF(INDEX(FPL_Raw_Data!K:K,MATCH(A293,FPL_Raw_Data!AA:AA,0))=0,"",INDEX(FPL_Raw_Data!P:P,MATCH(A293,FPL_Raw_Data!AA:AA,0))/INDEX(FPL_Raw_Data!K:K,MATCH(A293,FPL_Raw_Data!AA:AA,0))*90)</f>
        <v>0</v>
      </c>
      <c r="AW293" s="2">
        <f t="shared" si="123"/>
        <v>0</v>
      </c>
      <c r="AX293" s="2">
        <f>IFERROR(INDEX(TEAM_ANALYSIS!$H$2:$H$21,MATCH($B293,TEAM_ANALYSIS!$A$2:$A$21,0)),0)</f>
        <v>2.3333333333333335</v>
      </c>
      <c r="AY293" s="2">
        <f t="shared" si="124"/>
        <v>-1.1666666666666667</v>
      </c>
      <c r="AZ293" s="2">
        <f t="shared" si="125"/>
        <v>1.8276967814955076</v>
      </c>
      <c r="BA293">
        <f t="shared" si="126"/>
        <v>0.40615484033233501</v>
      </c>
      <c r="BB293">
        <f>IFERROR(Player_Analysis!$Y293,1)</f>
        <v>0.85287356321839092</v>
      </c>
      <c r="BC293">
        <f t="shared" si="127"/>
        <v>1.5587942665168584</v>
      </c>
      <c r="BD293">
        <f t="shared" si="128"/>
        <v>0.63311183642811386</v>
      </c>
      <c r="BE293">
        <f t="shared" si="129"/>
        <v>1.5587942665168584</v>
      </c>
      <c r="BF293">
        <f t="shared" si="130"/>
        <v>252</v>
      </c>
      <c r="BG293">
        <f>IF($BE293="","",COUNTIFS($C$2:$C$596,$C293,$BE$2:$BE$596,"&gt;"&amp;$BE293)+COUNTIFS($C$2:$C293,$C293,$BE$2:$BE293,$BE293))</f>
        <v>96</v>
      </c>
    </row>
    <row r="294" spans="1:59" x14ac:dyDescent="0.25">
      <c r="A294" t="str">
        <f>Player_Analysis!A294</f>
        <v>Timothy Castagne</v>
      </c>
      <c r="B294">
        <f>Player_Analysis!C294</f>
        <v>10</v>
      </c>
      <c r="C294" t="str">
        <f>Player_Analysis!B294</f>
        <v>DEF</v>
      </c>
      <c r="D294" s="13">
        <f>Player_Analysis!E294</f>
        <v>4.5</v>
      </c>
      <c r="E294">
        <f>Player_Analysis!I294</f>
        <v>247</v>
      </c>
      <c r="F294" s="8">
        <f>Player_Analysis!Z294</f>
        <v>3</v>
      </c>
      <c r="G294" s="17">
        <f t="shared" si="105"/>
        <v>1</v>
      </c>
      <c r="H294">
        <f t="shared" si="106"/>
        <v>90</v>
      </c>
      <c r="I294" s="8">
        <f>Player_Analysis!AF294</f>
        <v>0</v>
      </c>
      <c r="J294" s="8">
        <f>Player_Analysis!AG294</f>
        <v>2</v>
      </c>
      <c r="K294">
        <f>Player_Analysis!O294</f>
        <v>0.67</v>
      </c>
      <c r="L294">
        <f>Player_Analysis!P294</f>
        <v>0.37</v>
      </c>
      <c r="M294">
        <f t="shared" si="107"/>
        <v>0.24412955465587047</v>
      </c>
      <c r="N294">
        <f t="shared" si="108"/>
        <v>0.13481781376518218</v>
      </c>
      <c r="O294" s="2">
        <f>IF(E294=0,"",Player_Analysis!L294/E294*90)</f>
        <v>4.7368421052631575</v>
      </c>
      <c r="P294">
        <f>IF(E294=0,"",Player_Analysis!Q294/E294*90)</f>
        <v>0.37894736842105264</v>
      </c>
      <c r="Q294">
        <f>IF(E294=0,"",(Player_Analysis!AD294/E294)*90)</f>
        <v>13.846153846153847</v>
      </c>
      <c r="R294">
        <f>IF(E294=0,"",Player_Analysis!AA294/E294*90)</f>
        <v>5.4655870445344128</v>
      </c>
      <c r="S294">
        <f t="array" ref="S294">IFERROR(INDEX('2023_24'!$O:$O,MATCH($A294,'2023_24'!$A:$A,0)),"")</f>
        <v>4.4144486692015206E-2</v>
      </c>
      <c r="T294">
        <f>IFERROR(INDEX('2024_25'!$P:$P,MATCH($A294,'2024_25'!$A:$A,0)),"")</f>
        <v>2.0828258221680877E-2</v>
      </c>
      <c r="U294">
        <f>IFERROR(INDEX('2025_26'!$P:$P,MATCH($A294,'2025_26'!$A:$A,0)),"")</f>
        <v>7.3449401523394992E-2</v>
      </c>
      <c r="V294">
        <f>IFERROR(INDEX('2023_24'!$P:$P,MATCH($A294,'2023_24'!$A:$A,0)),"")</f>
        <v>7.0494296577946772E-2</v>
      </c>
      <c r="W294">
        <f>IFERROR(INDEX('2024_25'!$Q:$Q,MATCH($A294,'2024_25'!$A:$A,0)),"")</f>
        <v>3.0694275274056031E-2</v>
      </c>
      <c r="X294">
        <f>IFERROR(INDEX('2025_26'!$Q:$Q,MATCH($A294,'2025_26'!$A:$A,0)),"")</f>
        <v>7.1980413492927095E-2</v>
      </c>
      <c r="Y294">
        <f>IFERROR(INDEX('2023_24'!$M:$M,MATCH($A294,'2023_24'!$A:$A,0))/INDEX('2023_24'!$G:$G,MATCH($A294,'2023_24'!$A:$A,0))*90,"")</f>
        <v>3.5931558935361219</v>
      </c>
      <c r="Z294">
        <f>IFERROR(INDEX('2024_25'!$M:$M,MATCH($A294,'2024_25'!$A:$A,0))/INDEX('2024_25'!$G:$G,MATCH($A294,'2024_25'!$A:$A,0))*90,"")</f>
        <v>2.5213154689403168</v>
      </c>
      <c r="AA294">
        <f>IFERROR(INDEX('2025_26'!$M:$M,MATCH($A294,'2025_26'!$A:$A,0))/INDEX('2025_26'!$G:$G,MATCH($A294,'2025_26'!$A:$A,0))*90,"")</f>
        <v>2.986942328618063</v>
      </c>
      <c r="AB294">
        <f>IFERROR(SUMPRODUCT(S294:U294,{0.2,0.3,0.5})/SUMPRODUCT(--(S294:U294&lt;&gt;""),{0.2,0.3,0.5}),"")</f>
        <v>5.1802075566604801E-2</v>
      </c>
      <c r="AC294">
        <f>IFERROR(SUMPRODUCT(V294:X294,{0.2,0.3,0.5})/SUMPRODUCT(--(V294:X294&lt;&gt;""),{0.2,0.3,0.5}),"")</f>
        <v>5.9297348644269714E-2</v>
      </c>
      <c r="AD294">
        <f>IFERROR(SUMPRODUCT(Y294:AA294,{0.2,0.3,0.5})/SUMPRODUCT((Y294:AA294&lt;&gt;"")*{0.2,0.3,0.5}),O294)</f>
        <v>2.9684969836983512</v>
      </c>
      <c r="AE294">
        <f t="shared" si="109"/>
        <v>3</v>
      </c>
      <c r="AF294">
        <f t="shared" si="110"/>
        <v>82.333333333333329</v>
      </c>
      <c r="AG294">
        <f t="shared" si="111"/>
        <v>0.21015170001676686</v>
      </c>
      <c r="AH294">
        <f t="shared" si="112"/>
        <v>0.12147586492715431</v>
      </c>
      <c r="AI294" s="2">
        <f t="shared" si="113"/>
        <v>4.424434467120042</v>
      </c>
      <c r="AJ294">
        <f t="shared" si="114"/>
        <v>0.82333333333333336</v>
      </c>
      <c r="AK294" t="str">
        <f t="shared" si="115"/>
        <v>NO</v>
      </c>
      <c r="AL294">
        <f t="shared" si="116"/>
        <v>0.21015170001676686</v>
      </c>
      <c r="AM294">
        <f t="shared" si="117"/>
        <v>0.12147586492715431</v>
      </c>
      <c r="AN294">
        <f t="shared" si="118"/>
        <v>0.21015170001676686</v>
      </c>
      <c r="AO294">
        <f t="shared" si="119"/>
        <v>0.12147586492715431</v>
      </c>
      <c r="AP294">
        <f t="array" ref="AP294">AL294*IF($C294="GKP",10,IF($C294="DEF",6,IF($C294="MID",5,4)))</f>
        <v>1.2609102001006012</v>
      </c>
      <c r="AQ294">
        <f t="shared" si="120"/>
        <v>0.36442759478146292</v>
      </c>
      <c r="AR294">
        <f t="shared" si="121"/>
        <v>2</v>
      </c>
      <c r="AS294" s="2">
        <f>IF($H294=0,0,Player_Analysis!$AM294*$H294/90)</f>
        <v>1.3333333333333333</v>
      </c>
      <c r="AT294">
        <f t="shared" si="122"/>
        <v>1.0931174089068825</v>
      </c>
      <c r="AU294" s="2">
        <f>0</f>
        <v>0</v>
      </c>
      <c r="AV294" s="2">
        <f>IF(INDEX(FPL_Raw_Data!K:K,MATCH(A294,FPL_Raw_Data!AA:AA,0))=0,"",INDEX(FPL_Raw_Data!P:P,MATCH(A294,FPL_Raw_Data!AA:AA,0))/INDEX(FPL_Raw_Data!K:K,MATCH(A294,FPL_Raw_Data!AA:AA,0))*90)</f>
        <v>0</v>
      </c>
      <c r="AW294" s="2">
        <f t="shared" si="123"/>
        <v>0</v>
      </c>
      <c r="AX294" s="2">
        <f>IFERROR(INDEX(TEAM_ANALYSIS!$H$2:$H$21,MATCH($B294,TEAM_ANALYSIS!$A$2:$A$21,0)),0)</f>
        <v>2.3333333333333335</v>
      </c>
      <c r="AY294" s="2">
        <f t="shared" si="124"/>
        <v>-1.1666666666666667</v>
      </c>
      <c r="AZ294" s="2">
        <f t="shared" si="125"/>
        <v>4.8851218704556123</v>
      </c>
      <c r="BA294">
        <f t="shared" si="126"/>
        <v>1.085582637879025</v>
      </c>
      <c r="BB294">
        <f>IFERROR(Player_Analysis!$Y294,1)</f>
        <v>0.85287356321839092</v>
      </c>
      <c r="BC294">
        <f t="shared" si="127"/>
        <v>4.166391296411569</v>
      </c>
      <c r="BD294">
        <f t="shared" si="128"/>
        <v>4.5229620539946822</v>
      </c>
      <c r="BE294">
        <f t="shared" si="129"/>
        <v>4.166391296411569</v>
      </c>
      <c r="BF294">
        <f t="shared" si="130"/>
        <v>145</v>
      </c>
      <c r="BG294">
        <f>IF($BE294="","",COUNTIFS($C$2:$C$596,$C294,$BE$2:$BE$596,"&gt;"&amp;$BE294)+COUNTIFS($C$2:$C294,$C294,$BE$2:$BE294,$BE294))</f>
        <v>49</v>
      </c>
    </row>
    <row r="295" spans="1:59" x14ac:dyDescent="0.25">
      <c r="A295" t="str">
        <f>Player_Analysis!A295</f>
        <v>Alex Iwobi</v>
      </c>
      <c r="B295">
        <f>Player_Analysis!C295</f>
        <v>10</v>
      </c>
      <c r="C295" t="str">
        <f>Player_Analysis!B295</f>
        <v>MID</v>
      </c>
      <c r="D295" s="13">
        <f>Player_Analysis!E295</f>
        <v>5.5</v>
      </c>
      <c r="E295">
        <f>Player_Analysis!I295</f>
        <v>262</v>
      </c>
      <c r="F295" s="8">
        <f>Player_Analysis!Z295</f>
        <v>3</v>
      </c>
      <c r="G295" s="17">
        <f t="shared" si="105"/>
        <v>1</v>
      </c>
      <c r="H295">
        <f t="shared" si="106"/>
        <v>90</v>
      </c>
      <c r="I295" s="8">
        <f>Player_Analysis!AF295</f>
        <v>0</v>
      </c>
      <c r="J295" s="8">
        <f>Player_Analysis!AG295</f>
        <v>0</v>
      </c>
      <c r="K295">
        <f>Player_Analysis!O295</f>
        <v>0.05</v>
      </c>
      <c r="L295">
        <f>Player_Analysis!P295</f>
        <v>0.7</v>
      </c>
      <c r="M295">
        <f t="shared" si="107"/>
        <v>1.717557251908397E-2</v>
      </c>
      <c r="N295">
        <f t="shared" si="108"/>
        <v>0.24045801526717558</v>
      </c>
      <c r="O295" s="2">
        <f>IF(E295=0,"",Player_Analysis!L295/E295*90)</f>
        <v>2.0610687022900764</v>
      </c>
      <c r="P295">
        <f>IF(E295=0,"",Player_Analysis!Q295/E295*90)</f>
        <v>0.25763358778625955</v>
      </c>
      <c r="Q295">
        <f>IF(E295=0,"",(Player_Analysis!AD295/E295)*90)</f>
        <v>17.862595419847327</v>
      </c>
      <c r="R295">
        <f>IF(E295=0,"",Player_Analysis!AA295/E295*90)</f>
        <v>6.1832061068702293</v>
      </c>
      <c r="S295">
        <f t="array" ref="S295">IFERROR(INDEX('2023_24'!$O:$O,MATCH($A295,'2023_24'!$A:$A,0)),"")</f>
        <v>0.20193050193050194</v>
      </c>
      <c r="T295">
        <f>IFERROR(INDEX('2024_25'!$P:$P,MATCH($A295,'2024_25'!$A:$A,0)),"")</f>
        <v>0.1307279436430728</v>
      </c>
      <c r="U295">
        <f>IFERROR(INDEX('2025_26'!$P:$P,MATCH($A295,'2025_26'!$A:$A,0)),"")</f>
        <v>7.1033057851239673E-2</v>
      </c>
      <c r="V295">
        <f>IFERROR(INDEX('2023_24'!$P:$P,MATCH($A295,'2023_24'!$A:$A,0)),"")</f>
        <v>0.16216216216216217</v>
      </c>
      <c r="W295">
        <f>IFERROR(INDEX('2024_25'!$Q:$Q,MATCH($A295,'2024_25'!$A:$A,0)),"")</f>
        <v>0.20831935592083195</v>
      </c>
      <c r="X295">
        <f>IFERROR(INDEX('2025_26'!$Q:$Q,MATCH($A295,'2025_26'!$A:$A,0)),"")</f>
        <v>0.17479338842975206</v>
      </c>
      <c r="Y295">
        <f>IFERROR(INDEX('2023_24'!$M:$M,MATCH($A295,'2023_24'!$A:$A,0))/INDEX('2023_24'!$G:$G,MATCH($A295,'2023_24'!$A:$A,0))*90,"")</f>
        <v>3.9382239382239379</v>
      </c>
      <c r="Z295">
        <f>IFERROR(INDEX('2024_25'!$M:$M,MATCH($A295,'2024_25'!$A:$A,0))/INDEX('2024_25'!$G:$G,MATCH($A295,'2024_25'!$A:$A,0))*90,"")</f>
        <v>4.7098289164709826</v>
      </c>
      <c r="AA295">
        <f>IFERROR(INDEX('2025_26'!$M:$M,MATCH($A295,'2025_26'!$A:$A,0))/INDEX('2025_26'!$G:$G,MATCH($A295,'2025_26'!$A:$A,0))*90,"")</f>
        <v>3.830578512396694</v>
      </c>
      <c r="AB295">
        <f>IFERROR(SUMPRODUCT(S295:U295,{0.2,0.3,0.5})/SUMPRODUCT(--(S295:U295&lt;&gt;""),{0.2,0.3,0.5}),"")</f>
        <v>0.11512101240464206</v>
      </c>
      <c r="AC295">
        <f>IFERROR(SUMPRODUCT(V295:X295,{0.2,0.3,0.5})/SUMPRODUCT(--(V295:X295&lt;&gt;""),{0.2,0.3,0.5}),"")</f>
        <v>0.18232493342355804</v>
      </c>
      <c r="AD295">
        <f>IFERROR(SUMPRODUCT(Y295:AA295,{0.2,0.3,0.5})/SUMPRODUCT((Y295:AA295&lt;&gt;"")*{0.2,0.3,0.5}),O295)</f>
        <v>4.1158827187844294</v>
      </c>
      <c r="AE295">
        <f t="shared" si="109"/>
        <v>3</v>
      </c>
      <c r="AF295">
        <f t="shared" si="110"/>
        <v>87.333333333333329</v>
      </c>
      <c r="AG295">
        <f t="shared" si="111"/>
        <v>2.9581994904587999E-2</v>
      </c>
      <c r="AH295">
        <f t="shared" si="112"/>
        <v>0.23309449156698403</v>
      </c>
      <c r="AI295" s="2">
        <f t="shared" si="113"/>
        <v>2.3213451443793613</v>
      </c>
      <c r="AJ295">
        <f t="shared" si="114"/>
        <v>0.87333333333333329</v>
      </c>
      <c r="AK295" t="str">
        <f t="shared" si="115"/>
        <v>NO</v>
      </c>
      <c r="AL295">
        <f t="shared" si="116"/>
        <v>2.9581994904587999E-2</v>
      </c>
      <c r="AM295">
        <f t="shared" si="117"/>
        <v>0.23309449156698403</v>
      </c>
      <c r="AN295">
        <f t="shared" si="118"/>
        <v>2.9581994904587999E-2</v>
      </c>
      <c r="AO295">
        <f t="shared" si="119"/>
        <v>0.23309449156698403</v>
      </c>
      <c r="AP295">
        <f t="array" ref="AP295">AL295*IF($C295="GKP",10,IF($C295="DEF",6,IF($C295="MID",5,4)))</f>
        <v>0.14790997452294</v>
      </c>
      <c r="AQ295">
        <f t="shared" si="120"/>
        <v>0.69928347470095209</v>
      </c>
      <c r="AR295">
        <f t="shared" si="121"/>
        <v>2</v>
      </c>
      <c r="AS295" s="2">
        <f>IF($H295=0,0,Player_Analysis!$AM295*$H295/90)</f>
        <v>0</v>
      </c>
      <c r="AT295">
        <f t="shared" si="122"/>
        <v>1.0305343511450384</v>
      </c>
      <c r="AU295" s="2">
        <f>0</f>
        <v>0</v>
      </c>
      <c r="AV295" s="2">
        <f>IF(INDEX(FPL_Raw_Data!K:K,MATCH(A295,FPL_Raw_Data!AA:AA,0))=0,"",INDEX(FPL_Raw_Data!P:P,MATCH(A295,FPL_Raw_Data!AA:AA,0))/INDEX(FPL_Raw_Data!K:K,MATCH(A295,FPL_Raw_Data!AA:AA,0))*90)</f>
        <v>0</v>
      </c>
      <c r="AW295" s="2">
        <f t="shared" si="123"/>
        <v>0</v>
      </c>
      <c r="AX295" s="2">
        <f>IFERROR(INDEX(TEAM_ANALYSIS!$H$2:$H$21,MATCH($B295,TEAM_ANALYSIS!$A$2:$A$21,0)),0)</f>
        <v>2.3333333333333335</v>
      </c>
      <c r="AY295" s="2">
        <f t="shared" si="124"/>
        <v>0</v>
      </c>
      <c r="AZ295" s="2">
        <f t="shared" si="125"/>
        <v>3.8777278003689304</v>
      </c>
      <c r="BA295">
        <f t="shared" si="126"/>
        <v>0.70504141824889643</v>
      </c>
      <c r="BB295">
        <f>IFERROR(Player_Analysis!$Y295,1)</f>
        <v>1.0408391003460207</v>
      </c>
      <c r="BC295">
        <f t="shared" si="127"/>
        <v>4.036090715122751</v>
      </c>
      <c r="BD295">
        <f t="shared" si="128"/>
        <v>2.8456111219713471</v>
      </c>
      <c r="BE295">
        <f t="shared" si="129"/>
        <v>4.036090715122751</v>
      </c>
      <c r="BF295">
        <f t="shared" si="130"/>
        <v>153</v>
      </c>
      <c r="BG295">
        <f>IF($BE295="","",COUNTIFS($C$2:$C$596,$C295,$BE$2:$BE$596,"&gt;"&amp;$BE295)+COUNTIFS($C$2:$C295,$C295,$BE$2:$BE295,$BE295))</f>
        <v>77</v>
      </c>
    </row>
    <row r="296" spans="1:59" x14ac:dyDescent="0.25">
      <c r="A296" t="str">
        <f>Player_Analysis!A296</f>
        <v>Emile Smith Rowe</v>
      </c>
      <c r="B296">
        <f>Player_Analysis!C296</f>
        <v>10</v>
      </c>
      <c r="C296" t="str">
        <f>Player_Analysis!B296</f>
        <v>MID</v>
      </c>
      <c r="D296" s="13">
        <f>Player_Analysis!E296</f>
        <v>5.4</v>
      </c>
      <c r="E296">
        <f>Player_Analysis!I296</f>
        <v>25</v>
      </c>
      <c r="F296" s="8">
        <f>Player_Analysis!Z296</f>
        <v>0</v>
      </c>
      <c r="G296" s="17">
        <f t="shared" si="105"/>
        <v>0</v>
      </c>
      <c r="H296">
        <f t="shared" si="106"/>
        <v>0</v>
      </c>
      <c r="I296" s="8">
        <f>Player_Analysis!AF296</f>
        <v>0</v>
      </c>
      <c r="J296" s="8">
        <f>Player_Analysis!AG296</f>
        <v>0</v>
      </c>
      <c r="K296">
        <f>Player_Analysis!O296</f>
        <v>0.06</v>
      </c>
      <c r="L296">
        <f>Player_Analysis!P296</f>
        <v>0.02</v>
      </c>
      <c r="M296">
        <f t="shared" si="107"/>
        <v>0.21599999999999997</v>
      </c>
      <c r="N296">
        <f t="shared" si="108"/>
        <v>7.2000000000000008E-2</v>
      </c>
      <c r="O296" s="2">
        <f>IF(E296=0,"",Player_Analysis!L296/E296*90)</f>
        <v>7.2</v>
      </c>
      <c r="P296">
        <f>IF(E296=0,"",Player_Analysis!Q296/E296*90)</f>
        <v>0.28800000000000003</v>
      </c>
      <c r="Q296">
        <f>IF(E296=0,"",(Player_Analysis!AD296/E296)*90)</f>
        <v>28.8</v>
      </c>
      <c r="R296">
        <f>IF(E296=0,"",Player_Analysis!AA296/E296*90)</f>
        <v>3.6</v>
      </c>
      <c r="S296">
        <f t="array" ref="S296">IFERROR(INDEX('2023_24'!$O:$O,MATCH($A296,'2023_24'!$A:$A,0)),"")</f>
        <v>0.48804664723032071</v>
      </c>
      <c r="T296">
        <f>IFERROR(INDEX('2024_25'!$P:$P,MATCH($A296,'2024_25'!$A:$A,0)),"")</f>
        <v>0.19670923379174854</v>
      </c>
      <c r="U296">
        <f>IFERROR(INDEX('2025_26'!$P:$P,MATCH($A296,'2025_26'!$A:$A,0)),"")</f>
        <v>0.22205343111576739</v>
      </c>
      <c r="V296">
        <f>IFERROR(INDEX('2023_24'!$P:$P,MATCH($A296,'2023_24'!$A:$A,0)),"")</f>
        <v>0.10495626822157435</v>
      </c>
      <c r="W296">
        <f>IFERROR(INDEX('2024_25'!$Q:$Q,MATCH($A296,'2024_25'!$A:$A,0)),"")</f>
        <v>9.0176817288801572E-2</v>
      </c>
      <c r="X296">
        <f>IFERROR(INDEX('2025_26'!$Q:$Q,MATCH($A296,'2025_26'!$A:$A,0)),"")</f>
        <v>5.2802514405447885E-2</v>
      </c>
      <c r="Y296">
        <f>IFERROR(INDEX('2023_24'!$M:$M,MATCH($A296,'2023_24'!$A:$A,0))/INDEX('2023_24'!$G:$G,MATCH($A296,'2023_24'!$A:$A,0))*90,"")</f>
        <v>6.5597667638483967</v>
      </c>
      <c r="Z296">
        <f>IFERROR(INDEX('2024_25'!$M:$M,MATCH($A296,'2024_25'!$A:$A,0))/INDEX('2024_25'!$G:$G,MATCH($A296,'2024_25'!$A:$A,0))*90,"")</f>
        <v>5.0392927308447941</v>
      </c>
      <c r="AA296">
        <f>IFERROR(INDEX('2025_26'!$M:$M,MATCH($A296,'2025_26'!$A:$A,0))/INDEX('2025_26'!$G:$G,MATCH($A296,'2025_26'!$A:$A,0))*90,"")</f>
        <v>3.7716081718177059</v>
      </c>
      <c r="AB296">
        <f>IFERROR(SUMPRODUCT(S296:U296,{0.2,0.3,0.5})/SUMPRODUCT(--(S296:U296&lt;&gt;""),{0.2,0.3,0.5}),"")</f>
        <v>0.26764881514147243</v>
      </c>
      <c r="AC296">
        <f>IFERROR(SUMPRODUCT(V296:X296,{0.2,0.3,0.5})/SUMPRODUCT(--(V296:X296&lt;&gt;""),{0.2,0.3,0.5}),"")</f>
        <v>7.4445556033679292E-2</v>
      </c>
      <c r="AD296">
        <f>IFERROR(SUMPRODUCT(Y296:AA296,{0.2,0.3,0.5})/SUMPRODUCT((Y296:AA296&lt;&gt;"")*{0.2,0.3,0.5}),O296)</f>
        <v>4.7095452579319703</v>
      </c>
      <c r="AE296">
        <f t="shared" si="109"/>
        <v>3</v>
      </c>
      <c r="AF296" t="str">
        <f t="shared" si="110"/>
        <v/>
      </c>
      <c r="AG296">
        <f t="shared" si="111"/>
        <v>0.26334474721301637</v>
      </c>
      <c r="AH296">
        <f t="shared" si="112"/>
        <v>7.424175969753935E-2</v>
      </c>
      <c r="AI296" s="2">
        <f t="shared" si="113"/>
        <v>4.917083153104306</v>
      </c>
      <c r="AJ296">
        <f t="shared" si="114"/>
        <v>8.3333333333333329E-2</v>
      </c>
      <c r="AK296" t="str">
        <f t="shared" si="115"/>
        <v>NO</v>
      </c>
      <c r="AL296">
        <f t="shared" si="116"/>
        <v>0</v>
      </c>
      <c r="AM296">
        <f t="shared" si="117"/>
        <v>0</v>
      </c>
      <c r="AN296">
        <f t="shared" si="118"/>
        <v>0</v>
      </c>
      <c r="AO296">
        <f t="shared" si="119"/>
        <v>0</v>
      </c>
      <c r="AP296">
        <f t="array" ref="AP296">AL296*IF($C296="GKP",10,IF($C296="DEF",6,IF($C296="MID",5,4)))</f>
        <v>0</v>
      </c>
      <c r="AQ296">
        <f t="shared" si="120"/>
        <v>0</v>
      </c>
      <c r="AR296">
        <f t="shared" si="121"/>
        <v>0</v>
      </c>
      <c r="AS296" s="2">
        <f>IF($H296=0,0,Player_Analysis!$AM296*$H296/90)</f>
        <v>0</v>
      </c>
      <c r="AT296">
        <f t="shared" si="122"/>
        <v>0</v>
      </c>
      <c r="AU296" s="2">
        <f>0</f>
        <v>0</v>
      </c>
      <c r="AV296" s="2">
        <f>IF(INDEX(FPL_Raw_Data!K:K,MATCH(A296,FPL_Raw_Data!AA:AA,0))=0,"",INDEX(FPL_Raw_Data!P:P,MATCH(A296,FPL_Raw_Data!AA:AA,0))/INDEX(FPL_Raw_Data!K:K,MATCH(A296,FPL_Raw_Data!AA:AA,0))*90)</f>
        <v>0</v>
      </c>
      <c r="AW296" s="2">
        <f t="shared" si="123"/>
        <v>0</v>
      </c>
      <c r="AX296" s="2">
        <f>IFERROR(INDEX(TEAM_ANALYSIS!$H$2:$H$21,MATCH($B296,TEAM_ANALYSIS!$A$2:$A$21,0)),0)</f>
        <v>2.3333333333333335</v>
      </c>
      <c r="AY296" s="2">
        <f t="shared" si="124"/>
        <v>0</v>
      </c>
      <c r="AZ296" s="2">
        <f t="shared" si="125"/>
        <v>0</v>
      </c>
      <c r="BA296">
        <f t="shared" si="126"/>
        <v>0</v>
      </c>
      <c r="BB296">
        <f>IFERROR(Player_Analysis!$Y296,1)</f>
        <v>1.0408391003460207</v>
      </c>
      <c r="BC296">
        <f t="shared" si="127"/>
        <v>0</v>
      </c>
      <c r="BD296">
        <f t="shared" si="128"/>
        <v>0</v>
      </c>
      <c r="BE296">
        <f t="shared" si="129"/>
        <v>0</v>
      </c>
      <c r="BF296">
        <f t="shared" si="130"/>
        <v>253</v>
      </c>
      <c r="BG296">
        <f>IF($BE296="","",COUNTIFS($C$2:$C$596,$C296,$BE$2:$BE$596,"&gt;"&amp;$BE296)+COUNTIFS($C$2:$C296,$C296,$BE$2:$BE296,$BE296))</f>
        <v>185</v>
      </c>
    </row>
    <row r="297" spans="1:59" x14ac:dyDescent="0.25">
      <c r="A297" t="str">
        <f>Player_Analysis!A297</f>
        <v>Kevin Santos Lopes de Macedo</v>
      </c>
      <c r="B297">
        <f>Player_Analysis!C297</f>
        <v>10</v>
      </c>
      <c r="C297" t="str">
        <f>Player_Analysis!B297</f>
        <v>MID</v>
      </c>
      <c r="D297" s="13">
        <f>Player_Analysis!E297</f>
        <v>5.4</v>
      </c>
      <c r="E297">
        <f>Player_Analysis!I297</f>
        <v>24</v>
      </c>
      <c r="F297" s="8">
        <f>Player_Analysis!Z297</f>
        <v>0</v>
      </c>
      <c r="G297" s="17">
        <f t="shared" si="105"/>
        <v>0</v>
      </c>
      <c r="H297">
        <f t="shared" si="106"/>
        <v>0</v>
      </c>
      <c r="I297" s="8">
        <f>Player_Analysis!AF297</f>
        <v>0</v>
      </c>
      <c r="J297" s="8">
        <f>Player_Analysis!AG297</f>
        <v>0</v>
      </c>
      <c r="K297">
        <f>Player_Analysis!O297</f>
        <v>0</v>
      </c>
      <c r="L297">
        <f>Player_Analysis!P297</f>
        <v>0.05</v>
      </c>
      <c r="M297">
        <f t="shared" si="107"/>
        <v>0</v>
      </c>
      <c r="N297">
        <f t="shared" si="108"/>
        <v>0.1875</v>
      </c>
      <c r="O297" s="2">
        <f>IF(E297=0,"",Player_Analysis!L297/E297*90)</f>
        <v>7.5</v>
      </c>
      <c r="P297">
        <f>IF(E297=0,"",Player_Analysis!Q297/E297*90)</f>
        <v>0.1875</v>
      </c>
      <c r="Q297">
        <f>IF(E297=0,"",(Player_Analysis!AD297/E297)*90)</f>
        <v>15</v>
      </c>
      <c r="R297">
        <f>IF(E297=0,"",Player_Analysis!AA297/E297*90)</f>
        <v>11.25</v>
      </c>
      <c r="S297" t="str">
        <f t="array" ref="S297">IFERROR(INDEX('2023_24'!$O:$O,MATCH($A297,'2023_24'!$A:$A,0)),"")</f>
        <v/>
      </c>
      <c r="T297" t="str">
        <f>IFERROR(INDEX('2024_25'!$P:$P,MATCH($A297,'2024_25'!$A:$A,0)),"")</f>
        <v/>
      </c>
      <c r="U297">
        <f>IFERROR(INDEX('2025_26'!$P:$P,MATCH($A297,'2025_26'!$A:$A,0)),"")</f>
        <v>0.10572815533980583</v>
      </c>
      <c r="V297" t="str">
        <f>IFERROR(INDEX('2023_24'!$P:$P,MATCH($A297,'2023_24'!$A:$A,0)),"")</f>
        <v/>
      </c>
      <c r="W297" t="str">
        <f>IFERROR(INDEX('2024_25'!$Q:$Q,MATCH($A297,'2024_25'!$A:$A,0)),"")</f>
        <v/>
      </c>
      <c r="X297">
        <f>IFERROR(INDEX('2025_26'!$Q:$Q,MATCH($A297,'2025_26'!$A:$A,0)),"")</f>
        <v>0.12844660194174756</v>
      </c>
      <c r="Y297" t="str">
        <f>IFERROR(INDEX('2023_24'!$M:$M,MATCH($A297,'2023_24'!$A:$A,0))/INDEX('2023_24'!$G:$G,MATCH($A297,'2023_24'!$A:$A,0))*90,"")</f>
        <v/>
      </c>
      <c r="Z297" t="str">
        <f>IFERROR(INDEX('2024_25'!$M:$M,MATCH($A297,'2024_25'!$A:$A,0))/INDEX('2024_25'!$G:$G,MATCH($A297,'2024_25'!$A:$A,0))*90,"")</f>
        <v/>
      </c>
      <c r="AA297">
        <f>IFERROR(INDEX('2025_26'!$M:$M,MATCH($A297,'2025_26'!$A:$A,0))/INDEX('2025_26'!$G:$G,MATCH($A297,'2025_26'!$A:$A,0))*90,"")</f>
        <v>4.2815533980582519</v>
      </c>
      <c r="AB297">
        <f>IFERROR(SUMPRODUCT(S297:U297,{0.2,0.3,0.5})/SUMPRODUCT(--(S297:U297&lt;&gt;""),{0.2,0.3,0.5}),"")</f>
        <v>0.10572815533980583</v>
      </c>
      <c r="AC297">
        <f>IFERROR(SUMPRODUCT(V297:X297,{0.2,0.3,0.5})/SUMPRODUCT(--(V297:X297&lt;&gt;""),{0.2,0.3,0.5}),"")</f>
        <v>0.12844660194174756</v>
      </c>
      <c r="AD297">
        <f>IFERROR(SUMPRODUCT(Y297:AA297,{0.2,0.3,0.5})/SUMPRODUCT((Y297:AA297&lt;&gt;"")*{0.2,0.3,0.5}),O297)</f>
        <v>4.2815533980582519</v>
      </c>
      <c r="AE297">
        <f t="shared" si="109"/>
        <v>1</v>
      </c>
      <c r="AF297" t="str">
        <f t="shared" si="110"/>
        <v/>
      </c>
      <c r="AG297">
        <f t="shared" si="111"/>
        <v>9.7269902912621359E-2</v>
      </c>
      <c r="AH297">
        <f t="shared" si="112"/>
        <v>0.13317087378640777</v>
      </c>
      <c r="AI297" s="2">
        <f t="shared" si="113"/>
        <v>4.5390291262135918</v>
      </c>
      <c r="AJ297">
        <f t="shared" si="114"/>
        <v>0.08</v>
      </c>
      <c r="AK297" t="str">
        <f t="shared" si="115"/>
        <v>NO</v>
      </c>
      <c r="AL297">
        <f t="shared" si="116"/>
        <v>0</v>
      </c>
      <c r="AM297">
        <f t="shared" si="117"/>
        <v>0</v>
      </c>
      <c r="AN297">
        <f t="shared" si="118"/>
        <v>0</v>
      </c>
      <c r="AO297">
        <f t="shared" si="119"/>
        <v>0</v>
      </c>
      <c r="AP297">
        <f t="array" ref="AP297">AL297*IF($C297="GKP",10,IF($C297="DEF",6,IF($C297="MID",5,4)))</f>
        <v>0</v>
      </c>
      <c r="AQ297">
        <f t="shared" si="120"/>
        <v>0</v>
      </c>
      <c r="AR297">
        <f t="shared" si="121"/>
        <v>0</v>
      </c>
      <c r="AS297" s="2">
        <f>IF($H297=0,0,Player_Analysis!$AM297*$H297/90)</f>
        <v>0</v>
      </c>
      <c r="AT297">
        <f t="shared" si="122"/>
        <v>0</v>
      </c>
      <c r="AU297" s="2">
        <f>0</f>
        <v>0</v>
      </c>
      <c r="AV297" s="2">
        <f>IF(INDEX(FPL_Raw_Data!K:K,MATCH(A297,FPL_Raw_Data!AA:AA,0))=0,"",INDEX(FPL_Raw_Data!P:P,MATCH(A297,FPL_Raw_Data!AA:AA,0))/INDEX(FPL_Raw_Data!K:K,MATCH(A297,FPL_Raw_Data!AA:AA,0))*90)</f>
        <v>0</v>
      </c>
      <c r="AW297" s="2">
        <f t="shared" si="123"/>
        <v>0</v>
      </c>
      <c r="AX297" s="2">
        <f>IFERROR(INDEX(TEAM_ANALYSIS!$H$2:$H$21,MATCH($B297,TEAM_ANALYSIS!$A$2:$A$21,0)),0)</f>
        <v>2.3333333333333335</v>
      </c>
      <c r="AY297" s="2">
        <f t="shared" si="124"/>
        <v>0</v>
      </c>
      <c r="AZ297" s="2">
        <f t="shared" si="125"/>
        <v>0</v>
      </c>
      <c r="BA297">
        <f t="shared" si="126"/>
        <v>0</v>
      </c>
      <c r="BB297">
        <f>IFERROR(Player_Analysis!$Y297,1)</f>
        <v>1.0408391003460207</v>
      </c>
      <c r="BC297">
        <f t="shared" si="127"/>
        <v>0</v>
      </c>
      <c r="BD297">
        <f t="shared" si="128"/>
        <v>0</v>
      </c>
      <c r="BE297">
        <f t="shared" si="129"/>
        <v>0</v>
      </c>
      <c r="BF297">
        <f t="shared" si="130"/>
        <v>253</v>
      </c>
      <c r="BG297">
        <f>IF($BE297="","",COUNTIFS($C$2:$C$596,$C297,$BE$2:$BE$596,"&gt;"&amp;$BE297)+COUNTIFS($C$2:$C297,$C297,$BE$2:$BE297,$BE297))</f>
        <v>186</v>
      </c>
    </row>
    <row r="298" spans="1:59" x14ac:dyDescent="0.25">
      <c r="A298" t="str">
        <f>Player_Analysis!A298</f>
        <v>Oscar Bobb</v>
      </c>
      <c r="B298">
        <f>Player_Analysis!C298</f>
        <v>10</v>
      </c>
      <c r="C298" t="str">
        <f>Player_Analysis!B298</f>
        <v>MID</v>
      </c>
      <c r="D298" s="13">
        <f>Player_Analysis!E298</f>
        <v>5.5</v>
      </c>
      <c r="E298">
        <f>Player_Analysis!I298</f>
        <v>211</v>
      </c>
      <c r="F298" s="8">
        <f>Player_Analysis!Z298</f>
        <v>3</v>
      </c>
      <c r="G298" s="17">
        <f t="shared" si="105"/>
        <v>1</v>
      </c>
      <c r="H298">
        <f t="shared" si="106"/>
        <v>90</v>
      </c>
      <c r="I298" s="8">
        <f>Player_Analysis!AF298</f>
        <v>0</v>
      </c>
      <c r="J298" s="8">
        <f>Player_Analysis!AG298</f>
        <v>0</v>
      </c>
      <c r="K298">
        <f>Player_Analysis!O298</f>
        <v>0.32</v>
      </c>
      <c r="L298">
        <f>Player_Analysis!P298</f>
        <v>0.92</v>
      </c>
      <c r="M298">
        <f t="shared" si="107"/>
        <v>0.13649289099526066</v>
      </c>
      <c r="N298">
        <f t="shared" si="108"/>
        <v>0.39241706161137441</v>
      </c>
      <c r="O298" s="2">
        <f>IF(E298=0,"",Player_Analysis!L298/E298*90)</f>
        <v>2.9857819905213274</v>
      </c>
      <c r="P298">
        <f>IF(E298=0,"",Player_Analysis!Q298/E298*90)</f>
        <v>0.52890995260663509</v>
      </c>
      <c r="Q298">
        <f>IF(E298=0,"",(Player_Analysis!AD298/E298)*90)</f>
        <v>14.928909952606634</v>
      </c>
      <c r="R298">
        <f>IF(E298=0,"",Player_Analysis!AA298/E298*90)</f>
        <v>6.3981042654028437</v>
      </c>
      <c r="S298">
        <f t="array" ref="S298">IFERROR(INDEX('2023_24'!$O:$O,MATCH($A298,'2023_24'!$A:$A,0)),"")</f>
        <v>0.45918367346938771</v>
      </c>
      <c r="T298">
        <f>IFERROR(INDEX('2024_25'!$P:$P,MATCH($A298,'2024_25'!$A:$A,0)),"")</f>
        <v>0</v>
      </c>
      <c r="U298">
        <f>IFERROR(INDEX('2025_26'!$P:$P,MATCH($A298,'2025_26'!$A:$A,0)),"")</f>
        <v>0.12844660194174756</v>
      </c>
      <c r="V298">
        <f>IFERROR(INDEX('2023_24'!$P:$P,MATCH($A298,'2023_24'!$A:$A,0)),"")</f>
        <v>0.33673469387755106</v>
      </c>
      <c r="W298">
        <f>IFERROR(INDEX('2024_25'!$Q:$Q,MATCH($A298,'2024_25'!$A:$A,0)),"")</f>
        <v>0.12857142857142856</v>
      </c>
      <c r="X298">
        <f>IFERROR(INDEX('2025_26'!$Q:$Q,MATCH($A298,'2025_26'!$A:$A,0)),"")</f>
        <v>0.18349514563106795</v>
      </c>
      <c r="Y298">
        <f>IFERROR(INDEX('2023_24'!$M:$M,MATCH($A298,'2023_24'!$A:$A,0))/INDEX('2023_24'!$G:$G,MATCH($A298,'2023_24'!$A:$A,0))*90,"")</f>
        <v>9.183673469387756</v>
      </c>
      <c r="Z298">
        <f>IFERROR(INDEX('2024_25'!$M:$M,MATCH($A298,'2024_25'!$A:$A,0))/INDEX('2024_25'!$G:$G,MATCH($A298,'2024_25'!$A:$A,0))*90,"")</f>
        <v>19.285714285714285</v>
      </c>
      <c r="AA298">
        <f>IFERROR(INDEX('2025_26'!$M:$M,MATCH($A298,'2025_26'!$A:$A,0))/INDEX('2025_26'!$G:$G,MATCH($A298,'2025_26'!$A:$A,0))*90,"")</f>
        <v>3.6699029126213594</v>
      </c>
      <c r="AB298">
        <f>IFERROR(SUMPRODUCT(S298:U298,{0.2,0.3,0.5})/SUMPRODUCT(--(S298:U298&lt;&gt;""),{0.2,0.3,0.5}),"")</f>
        <v>0.15606003566475132</v>
      </c>
      <c r="AC298">
        <f>IFERROR(SUMPRODUCT(V298:X298,{0.2,0.3,0.5})/SUMPRODUCT(--(V298:X298&lt;&gt;""),{0.2,0.3,0.5}),"")</f>
        <v>0.19766594016247277</v>
      </c>
      <c r="AD298">
        <f>IFERROR(SUMPRODUCT(Y298:AA298,{0.2,0.3,0.5})/SUMPRODUCT((Y298:AA298&lt;&gt;"")*{0.2,0.3,0.5}),O298)</f>
        <v>9.4574004359025174</v>
      </c>
      <c r="AE298">
        <f t="shared" si="109"/>
        <v>3</v>
      </c>
      <c r="AF298">
        <f t="shared" si="110"/>
        <v>70.333333333333329</v>
      </c>
      <c r="AG298">
        <f t="shared" si="111"/>
        <v>0.14229781058054289</v>
      </c>
      <c r="AH298">
        <f t="shared" si="112"/>
        <v>0.33464089558153359</v>
      </c>
      <c r="AI298" s="2">
        <f t="shared" si="113"/>
        <v>4.9056954626510798</v>
      </c>
      <c r="AJ298">
        <f t="shared" si="114"/>
        <v>0.70333333333333337</v>
      </c>
      <c r="AK298" t="str">
        <f t="shared" si="115"/>
        <v>NO</v>
      </c>
      <c r="AL298">
        <f t="shared" si="116"/>
        <v>0.14229781058054289</v>
      </c>
      <c r="AM298">
        <f t="shared" si="117"/>
        <v>0.33464089558153359</v>
      </c>
      <c r="AN298">
        <f t="shared" si="118"/>
        <v>0.14229781058054289</v>
      </c>
      <c r="AO298">
        <f t="shared" si="119"/>
        <v>0.33464089558153359</v>
      </c>
      <c r="AP298">
        <f t="array" ref="AP298">AL298*IF($C298="GKP",10,IF($C298="DEF",6,IF($C298="MID",5,4)))</f>
        <v>0.71148905290271447</v>
      </c>
      <c r="AQ298">
        <f t="shared" si="120"/>
        <v>1.0039226867446007</v>
      </c>
      <c r="AR298">
        <f t="shared" si="121"/>
        <v>2</v>
      </c>
      <c r="AS298" s="2">
        <f>IF($H298=0,0,Player_Analysis!$AM298*$H298/90)</f>
        <v>0.33333333333333331</v>
      </c>
      <c r="AT298">
        <f t="shared" si="122"/>
        <v>1.0663507109004742</v>
      </c>
      <c r="AU298" s="2">
        <f>0</f>
        <v>0</v>
      </c>
      <c r="AV298" s="2">
        <f>IF(INDEX(FPL_Raw_Data!K:K,MATCH(A298,FPL_Raw_Data!AA:AA,0))=0,"",INDEX(FPL_Raw_Data!P:P,MATCH(A298,FPL_Raw_Data!AA:AA,0))/INDEX(FPL_Raw_Data!K:K,MATCH(A298,FPL_Raw_Data!AA:AA,0))*90)</f>
        <v>0</v>
      </c>
      <c r="AW298" s="2">
        <f t="shared" si="123"/>
        <v>0</v>
      </c>
      <c r="AX298" s="2">
        <f>IFERROR(INDEX(TEAM_ANALYSIS!$H$2:$H$21,MATCH($B298,TEAM_ANALYSIS!$A$2:$A$21,0)),0)</f>
        <v>2.3333333333333335</v>
      </c>
      <c r="AY298" s="2">
        <f t="shared" si="124"/>
        <v>0</v>
      </c>
      <c r="AZ298" s="2">
        <f t="shared" si="125"/>
        <v>5.1150957838811228</v>
      </c>
      <c r="BA298">
        <f t="shared" si="126"/>
        <v>0.93001741525111326</v>
      </c>
      <c r="BB298">
        <f>IFERROR(Player_Analysis!$Y298,1)</f>
        <v>1.0408391003460207</v>
      </c>
      <c r="BC298">
        <f t="shared" si="127"/>
        <v>5.3239916938785514</v>
      </c>
      <c r="BD298">
        <f t="shared" si="128"/>
        <v>4.9514049939593265</v>
      </c>
      <c r="BE298">
        <f t="shared" si="129"/>
        <v>5.3239916938785514</v>
      </c>
      <c r="BF298">
        <f t="shared" si="130"/>
        <v>74</v>
      </c>
      <c r="BG298">
        <f>IF($BE298="","",COUNTIFS($C$2:$C$596,$C298,$BE$2:$BE$596,"&gt;"&amp;$BE298)+COUNTIFS($C$2:$C298,$C298,$BE$2:$BE298,$BE298))</f>
        <v>33</v>
      </c>
    </row>
    <row r="299" spans="1:59" x14ac:dyDescent="0.25">
      <c r="A299" t="str">
        <f>Player_Analysis!A299</f>
        <v>Sander Berge</v>
      </c>
      <c r="B299">
        <f>Player_Analysis!C299</f>
        <v>10</v>
      </c>
      <c r="C299" t="str">
        <f>Player_Analysis!B299</f>
        <v>MID</v>
      </c>
      <c r="D299" s="13">
        <f>Player_Analysis!E299</f>
        <v>5</v>
      </c>
      <c r="E299">
        <f>Player_Analysis!I299</f>
        <v>183</v>
      </c>
      <c r="F299" s="8">
        <f>Player_Analysis!Z299</f>
        <v>2</v>
      </c>
      <c r="G299" s="17">
        <f t="shared" si="105"/>
        <v>0.98360655737704927</v>
      </c>
      <c r="H299">
        <f t="shared" si="106"/>
        <v>88.524590163934434</v>
      </c>
      <c r="I299" s="8">
        <f>Player_Analysis!AF299</f>
        <v>0</v>
      </c>
      <c r="J299" s="8">
        <f>Player_Analysis!AG299</f>
        <v>0</v>
      </c>
      <c r="K299">
        <f>Player_Analysis!O299</f>
        <v>0.03</v>
      </c>
      <c r="L299">
        <f>Player_Analysis!P299</f>
        <v>0.33</v>
      </c>
      <c r="M299">
        <f t="shared" si="107"/>
        <v>1.4754098360655738E-2</v>
      </c>
      <c r="N299">
        <f t="shared" si="108"/>
        <v>0.16229508196721312</v>
      </c>
      <c r="O299" s="2">
        <f>IF(E299=0,"",Player_Analysis!L299/E299*90)</f>
        <v>2.459016393442623</v>
      </c>
      <c r="P299">
        <f>IF(E299=0,"",Player_Analysis!Q299/E299*90)</f>
        <v>0.17704918032786884</v>
      </c>
      <c r="Q299">
        <f>IF(E299=0,"",(Player_Analysis!AD299/E299)*90)</f>
        <v>18.196721311475411</v>
      </c>
      <c r="R299">
        <f>IF(E299=0,"",Player_Analysis!AA299/E299*90)</f>
        <v>3.9344262295081966</v>
      </c>
      <c r="S299">
        <f t="array" ref="S299">IFERROR(INDEX('2023_24'!$O:$O,MATCH($A299,'2023_24'!$A:$A,0)),"")</f>
        <v>6.1159227181878752E-2</v>
      </c>
      <c r="T299">
        <f>IFERROR(INDEX('2024_25'!$P:$P,MATCH($A299,'2024_25'!$A:$A,0)),"")</f>
        <v>1.8235029266096353E-2</v>
      </c>
      <c r="U299">
        <f>IFERROR(INDEX('2025_26'!$P:$P,MATCH($A299,'2025_26'!$A:$A,0)),"")</f>
        <v>4.7727272727272729E-2</v>
      </c>
      <c r="V299">
        <f>IFERROR(INDEX('2023_24'!$P:$P,MATCH($A299,'2023_24'!$A:$A,0)),"")</f>
        <v>4.9766822118587607E-2</v>
      </c>
      <c r="W299">
        <f>IFERROR(INDEX('2024_25'!$Q:$Q,MATCH($A299,'2024_25'!$A:$A,0)),"")</f>
        <v>2.5529040972534896E-2</v>
      </c>
      <c r="X299">
        <f>IFERROR(INDEX('2025_26'!$Q:$Q,MATCH($A299,'2025_26'!$A:$A,0)),"")</f>
        <v>4.6487603305785122E-2</v>
      </c>
      <c r="Y299">
        <f>IFERROR(INDEX('2023_24'!$M:$M,MATCH($A299,'2023_24'!$A:$A,0))/INDEX('2023_24'!$G:$G,MATCH($A299,'2023_24'!$A:$A,0))*90,"")</f>
        <v>2.2185209860093269</v>
      </c>
      <c r="Z299">
        <f>IFERROR(INDEX('2024_25'!$M:$M,MATCH($A299,'2024_25'!$A:$A,0))/INDEX('2024_25'!$G:$G,MATCH($A299,'2024_25'!$A:$A,0))*90,"")</f>
        <v>2.1476812246735704</v>
      </c>
      <c r="AA299">
        <f>IFERROR(INDEX('2025_26'!$M:$M,MATCH($A299,'2025_26'!$A:$A,0))/INDEX('2025_26'!$G:$G,MATCH($A299,'2025_26'!$A:$A,0))*90,"")</f>
        <v>2.8202479338842972</v>
      </c>
      <c r="AB299">
        <f>IFERROR(SUMPRODUCT(S299:U299,{0.2,0.3,0.5})/SUMPRODUCT(--(S299:U299&lt;&gt;""),{0.2,0.3,0.5}),"")</f>
        <v>4.156599057984102E-2</v>
      </c>
      <c r="AC299">
        <f>IFERROR(SUMPRODUCT(V299:X299,{0.2,0.3,0.5})/SUMPRODUCT(--(V299:X299&lt;&gt;""),{0.2,0.3,0.5}),"")</f>
        <v>4.0855878368370555E-2</v>
      </c>
      <c r="AD299">
        <f>IFERROR(SUMPRODUCT(Y299:AA299,{0.2,0.3,0.5})/SUMPRODUCT((Y299:AA299&lt;&gt;"")*{0.2,0.3,0.5}),O299)</f>
        <v>2.4981325315460849</v>
      </c>
      <c r="AE299">
        <f t="shared" si="109"/>
        <v>3</v>
      </c>
      <c r="AF299">
        <f t="shared" si="110"/>
        <v>91.5</v>
      </c>
      <c r="AG299">
        <f t="shared" si="111"/>
        <v>2.5210736326137996E-2</v>
      </c>
      <c r="AH299">
        <f t="shared" si="112"/>
        <v>0.11493379256366452</v>
      </c>
      <c r="AI299" s="2">
        <f t="shared" si="113"/>
        <v>2.4742716873029731</v>
      </c>
      <c r="AJ299">
        <f t="shared" si="114"/>
        <v>0.61</v>
      </c>
      <c r="AK299" t="str">
        <f t="shared" si="115"/>
        <v>NO</v>
      </c>
      <c r="AL299">
        <f t="shared" si="116"/>
        <v>2.4797445566693114E-2</v>
      </c>
      <c r="AM299">
        <f t="shared" si="117"/>
        <v>0.11304963202983397</v>
      </c>
      <c r="AN299">
        <f t="shared" si="118"/>
        <v>2.4797445566693114E-2</v>
      </c>
      <c r="AO299">
        <f t="shared" si="119"/>
        <v>0.11304963202983397</v>
      </c>
      <c r="AP299">
        <f t="array" ref="AP299">AL299*IF($C299="GKP",10,IF($C299="DEF",6,IF($C299="MID",5,4)))</f>
        <v>0.12398722783346557</v>
      </c>
      <c r="AQ299">
        <f t="shared" si="120"/>
        <v>0.33914889608950188</v>
      </c>
      <c r="AR299">
        <f t="shared" si="121"/>
        <v>1.9672131147540985</v>
      </c>
      <c r="AS299" s="2">
        <f>IF($H299=0,0,Player_Analysis!$AM299*$H299/90)</f>
        <v>0</v>
      </c>
      <c r="AT299">
        <f t="shared" si="122"/>
        <v>0.64498790647675364</v>
      </c>
      <c r="AU299" s="2">
        <f>0</f>
        <v>0</v>
      </c>
      <c r="AV299" s="2">
        <f>IF(INDEX(FPL_Raw_Data!K:K,MATCH(A299,FPL_Raw_Data!AA:AA,0))=0,"",INDEX(FPL_Raw_Data!P:P,MATCH(A299,FPL_Raw_Data!AA:AA,0))/INDEX(FPL_Raw_Data!K:K,MATCH(A299,FPL_Raw_Data!AA:AA,0))*90)</f>
        <v>0</v>
      </c>
      <c r="AW299" s="2">
        <f t="shared" si="123"/>
        <v>0</v>
      </c>
      <c r="AX299" s="2">
        <f>IFERROR(INDEX(TEAM_ANALYSIS!$H$2:$H$21,MATCH($B299,TEAM_ANALYSIS!$A$2:$A$21,0)),0)</f>
        <v>2.3333333333333335</v>
      </c>
      <c r="AY299" s="2">
        <f t="shared" si="124"/>
        <v>0</v>
      </c>
      <c r="AZ299" s="2">
        <f t="shared" si="125"/>
        <v>3.0753371451538198</v>
      </c>
      <c r="BA299">
        <f t="shared" si="126"/>
        <v>0.61506742903076395</v>
      </c>
      <c r="BB299">
        <f>IFERROR(Player_Analysis!$Y299,1)</f>
        <v>1.0408391003460207</v>
      </c>
      <c r="BC299">
        <f t="shared" si="127"/>
        <v>3.2009311474226014</v>
      </c>
      <c r="BD299">
        <f t="shared" si="128"/>
        <v>1.9687884913497127</v>
      </c>
      <c r="BE299">
        <f t="shared" si="129"/>
        <v>3.2009311474226014</v>
      </c>
      <c r="BF299">
        <f t="shared" si="130"/>
        <v>193</v>
      </c>
      <c r="BG299">
        <f>IF($BE299="","",COUNTIFS($C$2:$C$596,$C299,$BE$2:$BE$596,"&gt;"&amp;$BE299)+COUNTIFS($C$2:$C299,$C299,$BE$2:$BE299,$BE299))</f>
        <v>101</v>
      </c>
    </row>
    <row r="300" spans="1:59" x14ac:dyDescent="0.25">
      <c r="A300" t="str">
        <f>Player_Analysis!A300</f>
        <v>Tom Cairney</v>
      </c>
      <c r="B300">
        <f>Player_Analysis!C300</f>
        <v>10</v>
      </c>
      <c r="C300" t="str">
        <f>Player_Analysis!B300</f>
        <v>MID</v>
      </c>
      <c r="D300" s="13">
        <f>Player_Analysis!E300</f>
        <v>5</v>
      </c>
      <c r="E300">
        <f>Player_Analysis!I300</f>
        <v>0</v>
      </c>
      <c r="F300" s="8">
        <f>Player_Analysis!Z300</f>
        <v>0</v>
      </c>
      <c r="G300" s="17">
        <f t="shared" si="105"/>
        <v>0</v>
      </c>
      <c r="H300">
        <f t="shared" si="106"/>
        <v>0</v>
      </c>
      <c r="I300" s="8">
        <f>Player_Analysis!AF300</f>
        <v>0</v>
      </c>
      <c r="J300" s="8">
        <f>Player_Analysis!AG300</f>
        <v>0</v>
      </c>
      <c r="K300">
        <f>Player_Analysis!O300</f>
        <v>0</v>
      </c>
      <c r="L300">
        <f>Player_Analysis!P300</f>
        <v>0</v>
      </c>
      <c r="M300" t="str">
        <f t="shared" si="107"/>
        <v/>
      </c>
      <c r="N300" t="str">
        <f t="shared" si="108"/>
        <v/>
      </c>
      <c r="O300" s="2" t="str">
        <f>IF(E300=0,"",Player_Analysis!L300/E300*90)</f>
        <v/>
      </c>
      <c r="P300" t="str">
        <f>IF(E300=0,"",Player_Analysis!Q300/E300*90)</f>
        <v/>
      </c>
      <c r="Q300" t="str">
        <f>IF(E300=0,"",(Player_Analysis!AD300/E300)*90)</f>
        <v/>
      </c>
      <c r="R300" t="str">
        <f>IF(E300=0,"",Player_Analysis!AA300/E300*90)</f>
        <v/>
      </c>
      <c r="S300">
        <f t="array" ref="S300">IFERROR(INDEX('2023_24'!$O:$O,MATCH($A300,'2023_24'!$A:$A,0)),"")</f>
        <v>6.297554347826087E-2</v>
      </c>
      <c r="T300">
        <f>IFERROR(INDEX('2024_25'!$P:$P,MATCH($A300,'2024_25'!$A:$A,0)),"")</f>
        <v>0.10770491803278689</v>
      </c>
      <c r="U300">
        <f>IFERROR(INDEX('2025_26'!$P:$P,MATCH($A300,'2025_26'!$A:$A,0)),"")</f>
        <v>0.14404761904761904</v>
      </c>
      <c r="V300">
        <f>IFERROR(INDEX('2023_24'!$P:$P,MATCH($A300,'2023_24'!$A:$A,0)),"")</f>
        <v>0.1577445652173913</v>
      </c>
      <c r="W300">
        <f>IFERROR(INDEX('2024_25'!$Q:$Q,MATCH($A300,'2024_25'!$A:$A,0)),"")</f>
        <v>0.16819672131147539</v>
      </c>
      <c r="X300">
        <f>IFERROR(INDEX('2025_26'!$Q:$Q,MATCH($A300,'2025_26'!$A:$A,0)),"")</f>
        <v>9.6428571428571433E-2</v>
      </c>
      <c r="Y300">
        <f>IFERROR(INDEX('2023_24'!$M:$M,MATCH($A300,'2023_24'!$A:$A,0))/INDEX('2023_24'!$G:$G,MATCH($A300,'2023_24'!$A:$A,0))*90,"")</f>
        <v>4.2798913043478262</v>
      </c>
      <c r="Z300">
        <f>IFERROR(INDEX('2024_25'!$M:$M,MATCH($A300,'2024_25'!$A:$A,0))/INDEX('2024_25'!$G:$G,MATCH($A300,'2024_25'!$A:$A,0))*90,"")</f>
        <v>4.8688524590163933</v>
      </c>
      <c r="AA300">
        <f>IFERROR(INDEX('2025_26'!$M:$M,MATCH($A300,'2025_26'!$A:$A,0))/INDEX('2025_26'!$G:$G,MATCH($A300,'2025_26'!$A:$A,0))*90,"")</f>
        <v>4.8809523809523805</v>
      </c>
      <c r="AB300">
        <f>IFERROR(SUMPRODUCT(S300:U300,{0.2,0.3,0.5})/SUMPRODUCT(--(S300:U300&lt;&gt;""),{0.2,0.3,0.5}),"")</f>
        <v>0.11693039362929776</v>
      </c>
      <c r="AC300">
        <f>IFERROR(SUMPRODUCT(V300:X300,{0.2,0.3,0.5})/SUMPRODUCT(--(V300:X300&lt;&gt;""),{0.2,0.3,0.5}),"")</f>
        <v>0.13022221515120658</v>
      </c>
      <c r="AD300">
        <f>IFERROR(SUMPRODUCT(Y300:AA300,{0.2,0.3,0.5})/SUMPRODUCT((Y300:AA300&lt;&gt;"")*{0.2,0.3,0.5}),O300)</f>
        <v>4.7571101890506728</v>
      </c>
      <c r="AE300">
        <f t="shared" si="109"/>
        <v>3</v>
      </c>
      <c r="AF300" t="str">
        <f t="shared" si="110"/>
        <v/>
      </c>
      <c r="AG300">
        <f t="shared" si="111"/>
        <v>0.11693039362929776</v>
      </c>
      <c r="AH300">
        <f t="shared" si="112"/>
        <v>0.13022221515120658</v>
      </c>
      <c r="AI300" s="2">
        <f t="shared" si="113"/>
        <v>4.7571101890506728</v>
      </c>
      <c r="AJ300">
        <f t="shared" si="114"/>
        <v>0</v>
      </c>
      <c r="AK300" t="str">
        <f t="shared" si="115"/>
        <v>NO</v>
      </c>
      <c r="AL300">
        <f t="shared" si="116"/>
        <v>0</v>
      </c>
      <c r="AM300">
        <f t="shared" si="117"/>
        <v>0</v>
      </c>
      <c r="AN300">
        <f t="shared" si="118"/>
        <v>0</v>
      </c>
      <c r="AO300">
        <f t="shared" si="119"/>
        <v>0</v>
      </c>
      <c r="AP300">
        <f t="array" ref="AP300">AL300*IF($C300="GKP",10,IF($C300="DEF",6,IF($C300="MID",5,4)))</f>
        <v>0</v>
      </c>
      <c r="AQ300">
        <f t="shared" si="120"/>
        <v>0</v>
      </c>
      <c r="AR300">
        <f t="shared" si="121"/>
        <v>0</v>
      </c>
      <c r="AS300" s="2">
        <f>IF($H300=0,0,Player_Analysis!$AM300*$H300/90)</f>
        <v>0</v>
      </c>
      <c r="AT300">
        <f t="shared" si="122"/>
        <v>0</v>
      </c>
      <c r="AU300" s="2">
        <f>0</f>
        <v>0</v>
      </c>
      <c r="AV300" s="2" t="str">
        <f>IF(INDEX(FPL_Raw_Data!K:K,MATCH(A300,FPL_Raw_Data!AA:AA,0))=0,"",INDEX(FPL_Raw_Data!P:P,MATCH(A300,FPL_Raw_Data!AA:AA,0))/INDEX(FPL_Raw_Data!K:K,MATCH(A300,FPL_Raw_Data!AA:AA,0))*90)</f>
        <v/>
      </c>
      <c r="AW300" s="2">
        <f t="shared" si="123"/>
        <v>0</v>
      </c>
      <c r="AX300" s="2">
        <f>IFERROR(INDEX(TEAM_ANALYSIS!$H$2:$H$21,MATCH($B300,TEAM_ANALYSIS!$A$2:$A$21,0)),0)</f>
        <v>2.3333333333333335</v>
      </c>
      <c r="AY300" s="2">
        <f t="shared" si="124"/>
        <v>0</v>
      </c>
      <c r="AZ300" s="2">
        <f t="shared" si="125"/>
        <v>0</v>
      </c>
      <c r="BA300">
        <f t="shared" si="126"/>
        <v>0</v>
      </c>
      <c r="BB300">
        <f>IFERROR(Player_Analysis!$Y300,1)</f>
        <v>1.0408391003460207</v>
      </c>
      <c r="BC300">
        <f t="shared" si="127"/>
        <v>0</v>
      </c>
      <c r="BD300">
        <f t="shared" si="128"/>
        <v>0</v>
      </c>
      <c r="BE300">
        <f t="shared" si="129"/>
        <v>0</v>
      </c>
      <c r="BF300">
        <f t="shared" si="130"/>
        <v>253</v>
      </c>
      <c r="BG300">
        <f>IF($BE300="","",COUNTIFS($C$2:$C$596,$C300,$BE$2:$BE$596,"&gt;"&amp;$BE300)+COUNTIFS($C$2:$C300,$C300,$BE$2:$BE300,$BE300))</f>
        <v>187</v>
      </c>
    </row>
    <row r="301" spans="1:59" x14ac:dyDescent="0.25">
      <c r="A301" t="str">
        <f>Player_Analysis!A301</f>
        <v>Josh King</v>
      </c>
      <c r="B301">
        <f>Player_Analysis!C301</f>
        <v>10</v>
      </c>
      <c r="C301" t="str">
        <f>Player_Analysis!B301</f>
        <v>MID</v>
      </c>
      <c r="D301" s="13">
        <f>Player_Analysis!E301</f>
        <v>5.5</v>
      </c>
      <c r="E301">
        <f>Player_Analysis!I301</f>
        <v>270</v>
      </c>
      <c r="F301" s="8">
        <f>Player_Analysis!Z301</f>
        <v>3</v>
      </c>
      <c r="G301" s="17">
        <f t="shared" si="105"/>
        <v>1</v>
      </c>
      <c r="H301">
        <f t="shared" si="106"/>
        <v>90</v>
      </c>
      <c r="I301" s="8">
        <f>Player_Analysis!AF301</f>
        <v>2</v>
      </c>
      <c r="J301" s="8">
        <f>Player_Analysis!AG301</f>
        <v>0</v>
      </c>
      <c r="K301">
        <f>Player_Analysis!O301</f>
        <v>0.95</v>
      </c>
      <c r="L301">
        <f>Player_Analysis!P301</f>
        <v>0.34</v>
      </c>
      <c r="M301">
        <f t="shared" si="107"/>
        <v>0.31666666666666665</v>
      </c>
      <c r="N301">
        <f t="shared" si="108"/>
        <v>0.11333333333333336</v>
      </c>
      <c r="O301" s="2">
        <f>IF(E301=0,"",Player_Analysis!L301/E301*90)</f>
        <v>6.3333333333333339</v>
      </c>
      <c r="P301">
        <f>IF(E301=0,"",Player_Analysis!Q301/E301*90)</f>
        <v>0.43</v>
      </c>
      <c r="Q301">
        <f>IF(E301=0,"",(Player_Analysis!AD301/E301)*90)</f>
        <v>26.666666666666664</v>
      </c>
      <c r="R301">
        <f>IF(E301=0,"",Player_Analysis!AA301/E301*90)</f>
        <v>6.3333333333333339</v>
      </c>
      <c r="S301" t="str">
        <f t="array" ref="S301">IFERROR(INDEX('2023_24'!$O:$O,MATCH($A301,'2023_24'!$A:$A,0)),"")</f>
        <v/>
      </c>
      <c r="T301">
        <f>IFERROR(INDEX('2024_25'!$P:$P,MATCH($A301,'2024_25'!$A:$A,0)),"")</f>
        <v>0.2</v>
      </c>
      <c r="U301">
        <f>IFERROR(INDEX('2025_26'!$P:$P,MATCH($A301,'2025_26'!$A:$A,0)),"")</f>
        <v>0.17232558139534884</v>
      </c>
      <c r="V301" t="str">
        <f>IFERROR(INDEX('2023_24'!$P:$P,MATCH($A301,'2023_24'!$A:$A,0)),"")</f>
        <v/>
      </c>
      <c r="W301">
        <f>IFERROR(INDEX('2024_25'!$Q:$Q,MATCH($A301,'2024_25'!$A:$A,0)),"")</f>
        <v>0.47857142857142865</v>
      </c>
      <c r="X301">
        <f>IFERROR(INDEX('2025_26'!$Q:$Q,MATCH($A301,'2025_26'!$A:$A,0)),"")</f>
        <v>4.6046511627906982E-2</v>
      </c>
      <c r="Y301" t="str">
        <f>IFERROR(INDEX('2023_24'!$M:$M,MATCH($A301,'2023_24'!$A:$A,0))/INDEX('2023_24'!$G:$G,MATCH($A301,'2023_24'!$A:$A,0))*90,"")</f>
        <v/>
      </c>
      <c r="Z301">
        <f>IFERROR(INDEX('2024_25'!$M:$M,MATCH($A301,'2024_25'!$A:$A,0))/INDEX('2024_25'!$G:$G,MATCH($A301,'2024_25'!$A:$A,0))*90,"")</f>
        <v>7.1428571428571423</v>
      </c>
      <c r="AA301">
        <f>IFERROR(INDEX('2025_26'!$M:$M,MATCH($A301,'2025_26'!$A:$A,0))/INDEX('2025_26'!$G:$G,MATCH($A301,'2025_26'!$A:$A,0))*90,"")</f>
        <v>4.3953488372093021</v>
      </c>
      <c r="AB301">
        <f>IFERROR(SUMPRODUCT(S301:U301,{0.2,0.3,0.5})/SUMPRODUCT(--(S301:U301&lt;&gt;""),{0.2,0.3,0.5}),"")</f>
        <v>0.18270348837209299</v>
      </c>
      <c r="AC301">
        <f>IFERROR(SUMPRODUCT(V301:X301,{0.2,0.3,0.5})/SUMPRODUCT(--(V301:X301&lt;&gt;""),{0.2,0.3,0.5}),"")</f>
        <v>0.20824335548172759</v>
      </c>
      <c r="AD301">
        <f>IFERROR(SUMPRODUCT(Y301:AA301,{0.2,0.3,0.5})/SUMPRODUCT((Y301:AA301&lt;&gt;"")*{0.2,0.3,0.5}),O301)</f>
        <v>5.4256644518272417</v>
      </c>
      <c r="AE301">
        <f t="shared" si="109"/>
        <v>2</v>
      </c>
      <c r="AF301">
        <f t="shared" si="110"/>
        <v>90</v>
      </c>
      <c r="AG301">
        <f t="shared" si="111"/>
        <v>0.30327034883720927</v>
      </c>
      <c r="AH301">
        <f t="shared" si="112"/>
        <v>0.12282433554817278</v>
      </c>
      <c r="AI301" s="2">
        <f t="shared" si="113"/>
        <v>6.2425664451827254</v>
      </c>
      <c r="AJ301">
        <f t="shared" si="114"/>
        <v>0.9</v>
      </c>
      <c r="AK301" t="str">
        <f t="shared" si="115"/>
        <v>NO</v>
      </c>
      <c r="AL301">
        <f t="shared" si="116"/>
        <v>0.30327034883720927</v>
      </c>
      <c r="AM301">
        <f t="shared" si="117"/>
        <v>0.12282433554817276</v>
      </c>
      <c r="AN301">
        <f t="shared" si="118"/>
        <v>0.30327034883720927</v>
      </c>
      <c r="AO301">
        <f t="shared" si="119"/>
        <v>0.12282433554817276</v>
      </c>
      <c r="AP301">
        <f t="array" ref="AP301">AL301*IF($C301="GKP",10,IF($C301="DEF",6,IF($C301="MID",5,4)))</f>
        <v>1.5163517441860463</v>
      </c>
      <c r="AQ301">
        <f t="shared" si="120"/>
        <v>0.36847300664451832</v>
      </c>
      <c r="AR301">
        <f t="shared" si="121"/>
        <v>2</v>
      </c>
      <c r="AS301" s="2">
        <f>IF($H301=0,0,Player_Analysis!$AM301*$H301/90)</f>
        <v>0</v>
      </c>
      <c r="AT301">
        <f t="shared" si="122"/>
        <v>1.0555555555555556</v>
      </c>
      <c r="AU301" s="2">
        <f>0</f>
        <v>0</v>
      </c>
      <c r="AV301" s="2">
        <f>IF(INDEX(FPL_Raw_Data!K:K,MATCH(A301,FPL_Raw_Data!AA:AA,0))=0,"",INDEX(FPL_Raw_Data!P:P,MATCH(A301,FPL_Raw_Data!AA:AA,0))/INDEX(FPL_Raw_Data!K:K,MATCH(A301,FPL_Raw_Data!AA:AA,0))*90)</f>
        <v>0</v>
      </c>
      <c r="AW301" s="2">
        <f t="shared" si="123"/>
        <v>0</v>
      </c>
      <c r="AX301" s="2">
        <f>IFERROR(INDEX(TEAM_ANALYSIS!$H$2:$H$21,MATCH($B301,TEAM_ANALYSIS!$A$2:$A$21,0)),0)</f>
        <v>2.3333333333333335</v>
      </c>
      <c r="AY301" s="2">
        <f t="shared" si="124"/>
        <v>0</v>
      </c>
      <c r="AZ301" s="2">
        <f t="shared" si="125"/>
        <v>4.9403803063861202</v>
      </c>
      <c r="BA301">
        <f t="shared" si="126"/>
        <v>0.89825096479747646</v>
      </c>
      <c r="BB301">
        <f>IFERROR(Player_Analysis!$Y301,1)</f>
        <v>1.0408391003460207</v>
      </c>
      <c r="BC301">
        <f t="shared" si="127"/>
        <v>5.1421409934661275</v>
      </c>
      <c r="BD301">
        <f t="shared" si="128"/>
        <v>4.6189331085056029</v>
      </c>
      <c r="BE301">
        <f t="shared" si="129"/>
        <v>5.1421409934661275</v>
      </c>
      <c r="BF301">
        <f t="shared" si="130"/>
        <v>84</v>
      </c>
      <c r="BG301">
        <f>IF($BE301="","",COUNTIFS($C$2:$C$596,$C301,$BE$2:$BE$596,"&gt;"&amp;$BE301)+COUNTIFS($C$2:$C301,$C301,$BE$2:$BE301,$BE301))</f>
        <v>39</v>
      </c>
    </row>
    <row r="302" spans="1:59" x14ac:dyDescent="0.25">
      <c r="A302" t="str">
        <f>Player_Analysis!A302</f>
        <v>Ryan Sessegnon</v>
      </c>
      <c r="B302">
        <f>Player_Analysis!C302</f>
        <v>10</v>
      </c>
      <c r="C302" t="str">
        <f>Player_Analysis!B302</f>
        <v>DEF</v>
      </c>
      <c r="D302" s="13">
        <f>Player_Analysis!E302</f>
        <v>4.5</v>
      </c>
      <c r="E302">
        <f>Player_Analysis!I302</f>
        <v>50</v>
      </c>
      <c r="F302" s="8">
        <f>Player_Analysis!Z302</f>
        <v>0</v>
      </c>
      <c r="G302" s="17">
        <f t="shared" si="105"/>
        <v>0</v>
      </c>
      <c r="H302">
        <f t="shared" si="106"/>
        <v>0</v>
      </c>
      <c r="I302" s="8">
        <f>Player_Analysis!AF302</f>
        <v>0</v>
      </c>
      <c r="J302" s="8">
        <f>Player_Analysis!AG302</f>
        <v>0</v>
      </c>
      <c r="K302">
        <f>Player_Analysis!O302</f>
        <v>0.13</v>
      </c>
      <c r="L302">
        <f>Player_Analysis!P302</f>
        <v>0.44</v>
      </c>
      <c r="M302">
        <f t="shared" si="107"/>
        <v>0.23399999999999999</v>
      </c>
      <c r="N302">
        <f t="shared" si="108"/>
        <v>0.79200000000000004</v>
      </c>
      <c r="O302" s="2">
        <f>IF(E302=0,"",Player_Analysis!L302/E302*90)</f>
        <v>5.3999999999999995</v>
      </c>
      <c r="P302">
        <f>IF(E302=0,"",Player_Analysis!Q302/E302*90)</f>
        <v>1.0259999999999998</v>
      </c>
      <c r="Q302">
        <f>IF(E302=0,"",(Player_Analysis!AD302/E302)*90)</f>
        <v>23.400000000000002</v>
      </c>
      <c r="R302">
        <f>IF(E302=0,"",Player_Analysis!AA302/E302*90)</f>
        <v>5.3999999999999995</v>
      </c>
      <c r="S302">
        <f t="array" ref="S302">IFERROR(INDEX('2023_24'!$O:$O,MATCH($A302,'2023_24'!$A:$A,0)),"")</f>
        <v>0</v>
      </c>
      <c r="T302">
        <f>IFERROR(INDEX('2024_25'!$P:$P,MATCH($A302,'2024_25'!$A:$A,0)),"")</f>
        <v>0.25714285714285712</v>
      </c>
      <c r="U302">
        <f>IFERROR(INDEX('2025_26'!$P:$P,MATCH($A302,'2025_26'!$A:$A,0)),"")</f>
        <v>7.9295154185022032E-2</v>
      </c>
      <c r="V302">
        <f>IFERROR(INDEX('2023_24'!$P:$P,MATCH($A302,'2023_24'!$A:$A,0)),"")</f>
        <v>0</v>
      </c>
      <c r="W302">
        <f>IFERROR(INDEX('2024_25'!$Q:$Q,MATCH($A302,'2024_25'!$A:$A,0)),"")</f>
        <v>0.17560975609756099</v>
      </c>
      <c r="X302">
        <f>IFERROR(INDEX('2025_26'!$Q:$Q,MATCH($A302,'2025_26'!$A:$A,0)),"")</f>
        <v>8.9207048458149779E-2</v>
      </c>
      <c r="Y302" t="str">
        <f>IFERROR(INDEX('2023_24'!$M:$M,MATCH($A302,'2023_24'!$A:$A,0))/INDEX('2023_24'!$G:$G,MATCH($A302,'2023_24'!$A:$A,0))*90,"")</f>
        <v/>
      </c>
      <c r="Z302">
        <f>IFERROR(INDEX('2024_25'!$M:$M,MATCH($A302,'2024_25'!$A:$A,0))/INDEX('2024_25'!$G:$G,MATCH($A302,'2024_25'!$A:$A,0))*90,"")</f>
        <v>8.9372822299651578</v>
      </c>
      <c r="AA302">
        <f>IFERROR(INDEX('2025_26'!$M:$M,MATCH($A302,'2025_26'!$A:$A,0))/INDEX('2025_26'!$G:$G,MATCH($A302,'2025_26'!$A:$A,0))*90,"")</f>
        <v>4.7081497797356828</v>
      </c>
      <c r="AB302">
        <f>IFERROR(SUMPRODUCT(S302:U302,{0.2,0.3,0.5})/SUMPRODUCT(--(S302:U302&lt;&gt;""),{0.2,0.3,0.5}),"")</f>
        <v>0.11679043423536815</v>
      </c>
      <c r="AC302">
        <f>IFERROR(SUMPRODUCT(V302:X302,{0.2,0.3,0.5})/SUMPRODUCT(--(V302:X302&lt;&gt;""),{0.2,0.3,0.5}),"")</f>
        <v>9.7286451058343187E-2</v>
      </c>
      <c r="AD302">
        <f>IFERROR(SUMPRODUCT(Y302:AA302,{0.2,0.3,0.5})/SUMPRODUCT((Y302:AA302&lt;&gt;"")*{0.2,0.3,0.5}),O302)</f>
        <v>6.2940744485717355</v>
      </c>
      <c r="AE302">
        <f t="shared" si="109"/>
        <v>3</v>
      </c>
      <c r="AF302" t="str">
        <f t="shared" si="110"/>
        <v/>
      </c>
      <c r="AG302">
        <f t="shared" si="111"/>
        <v>0.1363253618628068</v>
      </c>
      <c r="AH302">
        <f t="shared" si="112"/>
        <v>0.21307204254861933</v>
      </c>
      <c r="AI302" s="2">
        <f t="shared" si="113"/>
        <v>6.1450620404764464</v>
      </c>
      <c r="AJ302">
        <f t="shared" si="114"/>
        <v>0.16666666666666666</v>
      </c>
      <c r="AK302" t="str">
        <f t="shared" si="115"/>
        <v>NO</v>
      </c>
      <c r="AL302">
        <f t="shared" si="116"/>
        <v>0</v>
      </c>
      <c r="AM302">
        <f t="shared" si="117"/>
        <v>0</v>
      </c>
      <c r="AN302">
        <f t="shared" si="118"/>
        <v>0</v>
      </c>
      <c r="AO302">
        <f t="shared" si="119"/>
        <v>0</v>
      </c>
      <c r="AP302">
        <f t="array" ref="AP302">AL302*IF($C302="GKP",10,IF($C302="DEF",6,IF($C302="MID",5,4)))</f>
        <v>0</v>
      </c>
      <c r="AQ302">
        <f t="shared" si="120"/>
        <v>0</v>
      </c>
      <c r="AR302">
        <f t="shared" si="121"/>
        <v>0</v>
      </c>
      <c r="AS302" s="2">
        <f>IF($H302=0,0,Player_Analysis!$AM302*$H302/90)</f>
        <v>0</v>
      </c>
      <c r="AT302">
        <f t="shared" si="122"/>
        <v>0</v>
      </c>
      <c r="AU302" s="2">
        <f>0</f>
        <v>0</v>
      </c>
      <c r="AV302" s="2">
        <f>IF(INDEX(FPL_Raw_Data!K:K,MATCH(A302,FPL_Raw_Data!AA:AA,0))=0,"",INDEX(FPL_Raw_Data!P:P,MATCH(A302,FPL_Raw_Data!AA:AA,0))/INDEX(FPL_Raw_Data!K:K,MATCH(A302,FPL_Raw_Data!AA:AA,0))*90)</f>
        <v>0</v>
      </c>
      <c r="AW302" s="2">
        <f t="shared" si="123"/>
        <v>0</v>
      </c>
      <c r="AX302" s="2">
        <f>IFERROR(INDEX(TEAM_ANALYSIS!$H$2:$H$21,MATCH($B302,TEAM_ANALYSIS!$A$2:$A$21,0)),0)</f>
        <v>2.3333333333333335</v>
      </c>
      <c r="AY302" s="2">
        <f t="shared" si="124"/>
        <v>-1.1666666666666667</v>
      </c>
      <c r="AZ302" s="2">
        <f t="shared" si="125"/>
        <v>-1.1666666666666667</v>
      </c>
      <c r="BA302">
        <f t="shared" si="126"/>
        <v>-0.2592592592592593</v>
      </c>
      <c r="BB302">
        <f>IFERROR(Player_Analysis!$Y302,1)</f>
        <v>0.85287356321839092</v>
      </c>
      <c r="BC302">
        <f t="shared" si="127"/>
        <v>-0.99501915708812283</v>
      </c>
      <c r="BD302">
        <f t="shared" si="128"/>
        <v>0.2579679296154393</v>
      </c>
      <c r="BE302">
        <f t="shared" si="129"/>
        <v>-0.99501915708812283</v>
      </c>
      <c r="BF302">
        <f t="shared" si="130"/>
        <v>577</v>
      </c>
      <c r="BG302">
        <f>IF($BE302="","",COUNTIFS($C$2:$C$596,$C302,$BE$2:$BE$596,"&gt;"&amp;$BE302)+COUNTIFS($C$2:$C302,$C302,$BE$2:$BE302,$BE302))</f>
        <v>175</v>
      </c>
    </row>
    <row r="303" spans="1:59" x14ac:dyDescent="0.25">
      <c r="A303" t="str">
        <f>Player_Analysis!A303</f>
        <v>Harrison Reed</v>
      </c>
      <c r="B303">
        <f>Player_Analysis!C303</f>
        <v>10</v>
      </c>
      <c r="C303" t="str">
        <f>Player_Analysis!B303</f>
        <v>MID</v>
      </c>
      <c r="D303" s="13">
        <f>Player_Analysis!E303</f>
        <v>4.5</v>
      </c>
      <c r="E303">
        <f>Player_Analysis!I303</f>
        <v>0</v>
      </c>
      <c r="F303" s="8">
        <f>Player_Analysis!Z303</f>
        <v>0</v>
      </c>
      <c r="G303" s="17">
        <f t="shared" si="105"/>
        <v>0</v>
      </c>
      <c r="H303">
        <f t="shared" si="106"/>
        <v>0</v>
      </c>
      <c r="I303" s="8">
        <f>Player_Analysis!AF303</f>
        <v>0</v>
      </c>
      <c r="J303" s="8">
        <f>Player_Analysis!AG303</f>
        <v>0</v>
      </c>
      <c r="K303">
        <f>Player_Analysis!O303</f>
        <v>0</v>
      </c>
      <c r="L303">
        <f>Player_Analysis!P303</f>
        <v>0</v>
      </c>
      <c r="M303" t="str">
        <f t="shared" si="107"/>
        <v/>
      </c>
      <c r="N303" t="str">
        <f t="shared" si="108"/>
        <v/>
      </c>
      <c r="O303" s="2" t="str">
        <f>IF(E303=0,"",Player_Analysis!L303/E303*90)</f>
        <v/>
      </c>
      <c r="P303" t="str">
        <f>IF(E303=0,"",Player_Analysis!Q303/E303*90)</f>
        <v/>
      </c>
      <c r="Q303" t="str">
        <f>IF(E303=0,"",(Player_Analysis!AD303/E303)*90)</f>
        <v/>
      </c>
      <c r="R303" t="str">
        <f>IF(E303=0,"",Player_Analysis!AA303/E303*90)</f>
        <v/>
      </c>
      <c r="S303">
        <f t="array" ref="S303">IFERROR(INDEX('2023_24'!$O:$O,MATCH($A303,'2023_24'!$A:$A,0)),"")</f>
        <v>1.981776765375854E-2</v>
      </c>
      <c r="T303">
        <f>IFERROR(INDEX('2024_25'!$P:$P,MATCH($A303,'2024_25'!$A:$A,0)),"")</f>
        <v>0.20699999999999999</v>
      </c>
      <c r="U303">
        <f>IFERROR(INDEX('2025_26'!$P:$P,MATCH($A303,'2025_26'!$A:$A,0)),"")</f>
        <v>0.13146067415730336</v>
      </c>
      <c r="V303">
        <f>IFERROR(INDEX('2023_24'!$P:$P,MATCH($A303,'2023_24'!$A:$A,0)),"")</f>
        <v>0.10182232346241459</v>
      </c>
      <c r="W303">
        <f>IFERROR(INDEX('2024_25'!$Q:$Q,MATCH($A303,'2024_25'!$A:$A,0)),"")</f>
        <v>8.1000000000000003E-2</v>
      </c>
      <c r="X303">
        <f>IFERROR(INDEX('2025_26'!$Q:$Q,MATCH($A303,'2025_26'!$A:$A,0)),"")</f>
        <v>0.45505617977528096</v>
      </c>
      <c r="Y303">
        <f>IFERROR(INDEX('2023_24'!$M:$M,MATCH($A303,'2023_24'!$A:$A,0))/INDEX('2023_24'!$G:$G,MATCH($A303,'2023_24'!$A:$A,0))*90,"")</f>
        <v>3.2118451025056944</v>
      </c>
      <c r="Z303">
        <f>IFERROR(INDEX('2024_25'!$M:$M,MATCH($A303,'2024_25'!$A:$A,0))/INDEX('2024_25'!$G:$G,MATCH($A303,'2024_25'!$A:$A,0))*90,"")</f>
        <v>9</v>
      </c>
      <c r="AA303">
        <f>IFERROR(INDEX('2025_26'!$M:$M,MATCH($A303,'2025_26'!$A:$A,0))/INDEX('2025_26'!$G:$G,MATCH($A303,'2025_26'!$A:$A,0))*90,"")</f>
        <v>15.168539325842696</v>
      </c>
      <c r="AB303">
        <f>IFERROR(SUMPRODUCT(S303:U303,{0.2,0.3,0.5})/SUMPRODUCT(--(S303:U303&lt;&gt;""),{0.2,0.3,0.5}),"")</f>
        <v>0.13179389060940339</v>
      </c>
      <c r="AC303">
        <f>IFERROR(SUMPRODUCT(V303:X303,{0.2,0.3,0.5})/SUMPRODUCT(--(V303:X303&lt;&gt;""),{0.2,0.3,0.5}),"")</f>
        <v>0.27219255458012337</v>
      </c>
      <c r="AD303">
        <f>IFERROR(SUMPRODUCT(Y303:AA303,{0.2,0.3,0.5})/SUMPRODUCT((Y303:AA303&lt;&gt;"")*{0.2,0.3,0.5}),O303)</f>
        <v>10.926638683422487</v>
      </c>
      <c r="AE303">
        <f t="shared" si="109"/>
        <v>3</v>
      </c>
      <c r="AF303" t="str">
        <f t="shared" si="110"/>
        <v/>
      </c>
      <c r="AG303">
        <f t="shared" si="111"/>
        <v>0.13179389060940339</v>
      </c>
      <c r="AH303">
        <f t="shared" si="112"/>
        <v>0.27219255458012337</v>
      </c>
      <c r="AI303" s="2">
        <f t="shared" si="113"/>
        <v>10.926638683422487</v>
      </c>
      <c r="AJ303">
        <f t="shared" si="114"/>
        <v>0</v>
      </c>
      <c r="AK303" t="str">
        <f t="shared" si="115"/>
        <v>NO</v>
      </c>
      <c r="AL303">
        <f t="shared" si="116"/>
        <v>0</v>
      </c>
      <c r="AM303">
        <f t="shared" si="117"/>
        <v>0</v>
      </c>
      <c r="AN303">
        <f t="shared" si="118"/>
        <v>0</v>
      </c>
      <c r="AO303">
        <f t="shared" si="119"/>
        <v>0</v>
      </c>
      <c r="AP303">
        <f t="array" ref="AP303">AL303*IF($C303="GKP",10,IF($C303="DEF",6,IF($C303="MID",5,4)))</f>
        <v>0</v>
      </c>
      <c r="AQ303">
        <f t="shared" si="120"/>
        <v>0</v>
      </c>
      <c r="AR303">
        <f t="shared" si="121"/>
        <v>0</v>
      </c>
      <c r="AS303" s="2">
        <f>IF($H303=0,0,Player_Analysis!$AM303*$H303/90)</f>
        <v>0</v>
      </c>
      <c r="AT303">
        <f t="shared" si="122"/>
        <v>0</v>
      </c>
      <c r="AU303" s="2">
        <f>0</f>
        <v>0</v>
      </c>
      <c r="AV303" s="2" t="str">
        <f>IF(INDEX(FPL_Raw_Data!K:K,MATCH(A303,FPL_Raw_Data!AA:AA,0))=0,"",INDEX(FPL_Raw_Data!P:P,MATCH(A303,FPL_Raw_Data!AA:AA,0))/INDEX(FPL_Raw_Data!K:K,MATCH(A303,FPL_Raw_Data!AA:AA,0))*90)</f>
        <v/>
      </c>
      <c r="AW303" s="2">
        <f t="shared" si="123"/>
        <v>0</v>
      </c>
      <c r="AX303" s="2">
        <f>IFERROR(INDEX(TEAM_ANALYSIS!$H$2:$H$21,MATCH($B303,TEAM_ANALYSIS!$A$2:$A$21,0)),0)</f>
        <v>2.3333333333333335</v>
      </c>
      <c r="AY303" s="2">
        <f t="shared" si="124"/>
        <v>0</v>
      </c>
      <c r="AZ303" s="2">
        <f t="shared" si="125"/>
        <v>0</v>
      </c>
      <c r="BA303">
        <f t="shared" si="126"/>
        <v>0</v>
      </c>
      <c r="BB303">
        <f>IFERROR(Player_Analysis!$Y303,1)</f>
        <v>1.0408391003460207</v>
      </c>
      <c r="BC303">
        <f t="shared" si="127"/>
        <v>0</v>
      </c>
      <c r="BD303">
        <f t="shared" si="128"/>
        <v>0</v>
      </c>
      <c r="BE303">
        <f t="shared" si="129"/>
        <v>0</v>
      </c>
      <c r="BF303">
        <f t="shared" si="130"/>
        <v>253</v>
      </c>
      <c r="BG303">
        <f>IF($BE303="","",COUNTIFS($C$2:$C$596,$C303,$BE$2:$BE$596,"&gt;"&amp;$BE303)+COUNTIFS($C$2:$C303,$C303,$BE$2:$BE303,$BE303))</f>
        <v>188</v>
      </c>
    </row>
    <row r="304" spans="1:59" x14ac:dyDescent="0.25">
      <c r="A304" t="str">
        <f>Player_Analysis!A304</f>
        <v>Rodrigo Muniz Carvalho</v>
      </c>
      <c r="B304">
        <f>Player_Analysis!C304</f>
        <v>10</v>
      </c>
      <c r="C304" t="str">
        <f>Player_Analysis!B304</f>
        <v>FWD</v>
      </c>
      <c r="D304" s="13">
        <f>Player_Analysis!E304</f>
        <v>5.4</v>
      </c>
      <c r="E304">
        <f>Player_Analysis!I304</f>
        <v>15</v>
      </c>
      <c r="F304" s="8">
        <f>Player_Analysis!Z304</f>
        <v>0</v>
      </c>
      <c r="G304" s="17">
        <f t="shared" si="105"/>
        <v>0</v>
      </c>
      <c r="H304">
        <f t="shared" si="106"/>
        <v>0</v>
      </c>
      <c r="I304" s="8">
        <f>Player_Analysis!AF304</f>
        <v>0</v>
      </c>
      <c r="J304" s="8">
        <f>Player_Analysis!AG304</f>
        <v>0</v>
      </c>
      <c r="K304">
        <f>Player_Analysis!O304</f>
        <v>0.4</v>
      </c>
      <c r="L304">
        <f>Player_Analysis!P304</f>
        <v>0</v>
      </c>
      <c r="M304">
        <f t="shared" si="107"/>
        <v>2.4000000000000004</v>
      </c>
      <c r="N304">
        <f t="shared" si="108"/>
        <v>0</v>
      </c>
      <c r="O304" s="2">
        <f>IF(E304=0,"",Player_Analysis!L304/E304*90)</f>
        <v>12</v>
      </c>
      <c r="P304">
        <f>IF(E304=0,"",Player_Analysis!Q304/E304*90)</f>
        <v>2.4000000000000004</v>
      </c>
      <c r="Q304">
        <f>IF(E304=0,"",(Player_Analysis!AD304/E304)*90)</f>
        <v>66</v>
      </c>
      <c r="R304">
        <f>IF(E304=0,"",Player_Analysis!AA304/E304*90)</f>
        <v>6</v>
      </c>
      <c r="S304">
        <f t="array" ref="S304">IFERROR(INDEX('2023_24'!$O:$O,MATCH($A304,'2023_24'!$A:$A,0)),"")</f>
        <v>0.4961611076148521</v>
      </c>
      <c r="T304">
        <f>IFERROR(INDEX('2024_25'!$P:$P,MATCH($A304,'2024_25'!$A:$A,0)),"")</f>
        <v>0.56405090137857905</v>
      </c>
      <c r="U304">
        <f>IFERROR(INDEX('2025_26'!$P:$P,MATCH($A304,'2025_26'!$A:$A,0)),"")</f>
        <v>0.30091185410334342</v>
      </c>
      <c r="V304">
        <f>IFERROR(INDEX('2023_24'!$P:$P,MATCH($A304,'2023_24'!$A:$A,0)),"")</f>
        <v>5.3241032095657642E-2</v>
      </c>
      <c r="W304">
        <f>IFERROR(INDEX('2024_25'!$Q:$Q,MATCH($A304,'2024_25'!$A:$A,0)),"")</f>
        <v>1.9088016967126194E-2</v>
      </c>
      <c r="X304">
        <f>IFERROR(INDEX('2025_26'!$Q:$Q,MATCH($A304,'2025_26'!$A:$A,0)),"")</f>
        <v>1.3677811550151974E-2</v>
      </c>
      <c r="Y304">
        <f>IFERROR(INDEX('2023_24'!$M:$M,MATCH($A304,'2023_24'!$A:$A,0))/INDEX('2023_24'!$G:$G,MATCH($A304,'2023_24'!$A:$A,0))*90,"")</f>
        <v>5.4940213971050973</v>
      </c>
      <c r="Z304">
        <f>IFERROR(INDEX('2024_25'!$M:$M,MATCH($A304,'2024_25'!$A:$A,0))/INDEX('2024_25'!$G:$G,MATCH($A304,'2024_25'!$A:$A,0))*90,"")</f>
        <v>8.2078472958642621</v>
      </c>
      <c r="AA304">
        <f>IFERROR(INDEX('2025_26'!$M:$M,MATCH($A304,'2025_26'!$A:$A,0))/INDEX('2025_26'!$G:$G,MATCH($A304,'2025_26'!$A:$A,0))*90,"")</f>
        <v>3.282674772036474</v>
      </c>
      <c r="AB304">
        <f>IFERROR(SUMPRODUCT(S304:U304,{0.2,0.3,0.5})/SUMPRODUCT(--(S304:U304&lt;&gt;""),{0.2,0.3,0.5}),"")</f>
        <v>0.41890341898821587</v>
      </c>
      <c r="AC304">
        <f>IFERROR(SUMPRODUCT(V304:X304,{0.2,0.3,0.5})/SUMPRODUCT(--(V304:X304&lt;&gt;""),{0.2,0.3,0.5}),"")</f>
        <v>2.3213517284345377E-2</v>
      </c>
      <c r="AD304">
        <f>IFERROR(SUMPRODUCT(Y304:AA304,{0.2,0.3,0.5})/SUMPRODUCT((Y304:AA304&lt;&gt;"")*{0.2,0.3,0.5}),O304)</f>
        <v>5.2024958541985349</v>
      </c>
      <c r="AE304">
        <f t="shared" si="109"/>
        <v>3</v>
      </c>
      <c r="AF304" t="str">
        <f t="shared" si="110"/>
        <v/>
      </c>
      <c r="AG304">
        <f t="shared" si="111"/>
        <v>0.51795824803880508</v>
      </c>
      <c r="AH304">
        <f t="shared" si="112"/>
        <v>2.2052841420128106E-2</v>
      </c>
      <c r="AI304" s="2">
        <f t="shared" si="113"/>
        <v>5.5423710614886073</v>
      </c>
      <c r="AJ304">
        <f t="shared" si="114"/>
        <v>0.05</v>
      </c>
      <c r="AK304" t="str">
        <f t="shared" si="115"/>
        <v>NO</v>
      </c>
      <c r="AL304">
        <f t="shared" si="116"/>
        <v>0</v>
      </c>
      <c r="AM304">
        <f t="shared" si="117"/>
        <v>0</v>
      </c>
      <c r="AN304">
        <f t="shared" si="118"/>
        <v>0</v>
      </c>
      <c r="AO304">
        <f t="shared" si="119"/>
        <v>0</v>
      </c>
      <c r="AP304">
        <f t="array" ref="AP304">AL304*IF($C304="GKP",10,IF($C304="DEF",6,IF($C304="MID",5,4)))</f>
        <v>0</v>
      </c>
      <c r="AQ304">
        <f t="shared" si="120"/>
        <v>0</v>
      </c>
      <c r="AR304">
        <f t="shared" si="121"/>
        <v>0</v>
      </c>
      <c r="AS304" s="2">
        <f>IF($H304=0,0,Player_Analysis!$AM304*$H304/90)</f>
        <v>0</v>
      </c>
      <c r="AT304">
        <f t="shared" si="122"/>
        <v>0</v>
      </c>
      <c r="AU304" s="2">
        <f>0</f>
        <v>0</v>
      </c>
      <c r="AV304" s="2">
        <f>IF(INDEX(FPL_Raw_Data!K:K,MATCH(A304,FPL_Raw_Data!AA:AA,0))=0,"",INDEX(FPL_Raw_Data!P:P,MATCH(A304,FPL_Raw_Data!AA:AA,0))/INDEX(FPL_Raw_Data!K:K,MATCH(A304,FPL_Raw_Data!AA:AA,0))*90)</f>
        <v>0</v>
      </c>
      <c r="AW304" s="2">
        <f t="shared" si="123"/>
        <v>0</v>
      </c>
      <c r="AX304" s="2">
        <f>IFERROR(INDEX(TEAM_ANALYSIS!$H$2:$H$21,MATCH($B304,TEAM_ANALYSIS!$A$2:$A$21,0)),0)</f>
        <v>2.3333333333333335</v>
      </c>
      <c r="AY304" s="2">
        <f t="shared" si="124"/>
        <v>0</v>
      </c>
      <c r="AZ304" s="2">
        <f t="shared" si="125"/>
        <v>0</v>
      </c>
      <c r="BA304">
        <f t="shared" si="126"/>
        <v>0</v>
      </c>
      <c r="BB304">
        <f>IFERROR(Player_Analysis!$Y304,1)</f>
        <v>1.0408391003460207</v>
      </c>
      <c r="BC304">
        <f t="shared" si="127"/>
        <v>0</v>
      </c>
      <c r="BD304">
        <f t="shared" si="128"/>
        <v>0</v>
      </c>
      <c r="BE304">
        <f t="shared" si="129"/>
        <v>0</v>
      </c>
      <c r="BF304">
        <f t="shared" si="130"/>
        <v>253</v>
      </c>
      <c r="BG304">
        <f>IF($BE304="","",COUNTIFS($C$2:$C$596,$C304,$BE$2:$BE$596,"&gt;"&amp;$BE304)+COUNTIFS($C$2:$C304,$C304,$BE$2:$BE304,$BE304))</f>
        <v>49</v>
      </c>
    </row>
    <row r="305" spans="1:59" x14ac:dyDescent="0.25">
      <c r="A305" t="str">
        <f>Player_Analysis!A305</f>
        <v>Jonah Kusi-Asare</v>
      </c>
      <c r="B305">
        <f>Player_Analysis!C305</f>
        <v>10</v>
      </c>
      <c r="C305" t="str">
        <f>Player_Analysis!B305</f>
        <v>FWD</v>
      </c>
      <c r="D305" s="13">
        <f>Player_Analysis!E305</f>
        <v>4.5</v>
      </c>
      <c r="E305">
        <f>Player_Analysis!I305</f>
        <v>0</v>
      </c>
      <c r="F305" s="8">
        <f>Player_Analysis!Z305</f>
        <v>0</v>
      </c>
      <c r="G305" s="17">
        <f t="shared" si="105"/>
        <v>0</v>
      </c>
      <c r="H305">
        <f t="shared" si="106"/>
        <v>0</v>
      </c>
      <c r="I305" s="8">
        <f>Player_Analysis!AF305</f>
        <v>0</v>
      </c>
      <c r="J305" s="8">
        <f>Player_Analysis!AG305</f>
        <v>0</v>
      </c>
      <c r="K305">
        <f>Player_Analysis!O305</f>
        <v>0</v>
      </c>
      <c r="L305">
        <f>Player_Analysis!P305</f>
        <v>0</v>
      </c>
      <c r="M305" t="str">
        <f t="shared" si="107"/>
        <v/>
      </c>
      <c r="N305" t="str">
        <f t="shared" si="108"/>
        <v/>
      </c>
      <c r="O305" s="2" t="str">
        <f>IF(E305=0,"",Player_Analysis!L305/E305*90)</f>
        <v/>
      </c>
      <c r="P305" t="str">
        <f>IF(E305=0,"",Player_Analysis!Q305/E305*90)</f>
        <v/>
      </c>
      <c r="Q305" t="str">
        <f>IF(E305=0,"",(Player_Analysis!AD305/E305)*90)</f>
        <v/>
      </c>
      <c r="R305" t="str">
        <f>IF(E305=0,"",Player_Analysis!AA305/E305*90)</f>
        <v/>
      </c>
      <c r="S305" t="str">
        <f t="array" ref="S305">IFERROR(INDEX('2023_24'!$O:$O,MATCH($A305,'2023_24'!$A:$A,0)),"")</f>
        <v/>
      </c>
      <c r="T305" t="str">
        <f>IFERROR(INDEX('2024_25'!$P:$P,MATCH($A305,'2024_25'!$A:$A,0)),"")</f>
        <v/>
      </c>
      <c r="U305">
        <f>IFERROR(INDEX('2025_26'!$P:$P,MATCH($A305,'2025_26'!$A:$A,0)),"")</f>
        <v>0</v>
      </c>
      <c r="V305" t="str">
        <f>IFERROR(INDEX('2023_24'!$P:$P,MATCH($A305,'2023_24'!$A:$A,0)),"")</f>
        <v/>
      </c>
      <c r="W305" t="str">
        <f>IFERROR(INDEX('2024_25'!$Q:$Q,MATCH($A305,'2024_25'!$A:$A,0)),"")</f>
        <v/>
      </c>
      <c r="X305">
        <f>IFERROR(INDEX('2025_26'!$Q:$Q,MATCH($A305,'2025_26'!$A:$A,0)),"")</f>
        <v>0.12857142857142859</v>
      </c>
      <c r="Y305" t="str">
        <f>IFERROR(INDEX('2023_24'!$M:$M,MATCH($A305,'2023_24'!$A:$A,0))/INDEX('2023_24'!$G:$G,MATCH($A305,'2023_24'!$A:$A,0))*90,"")</f>
        <v/>
      </c>
      <c r="Z305" t="str">
        <f>IFERROR(INDEX('2024_25'!$M:$M,MATCH($A305,'2024_25'!$A:$A,0))/INDEX('2024_25'!$G:$G,MATCH($A305,'2024_25'!$A:$A,0))*90,"")</f>
        <v/>
      </c>
      <c r="AA305">
        <f>IFERROR(INDEX('2025_26'!$M:$M,MATCH($A305,'2025_26'!$A:$A,0))/INDEX('2025_26'!$G:$G,MATCH($A305,'2025_26'!$A:$A,0))*90,"")</f>
        <v>11.020408163265305</v>
      </c>
      <c r="AB305">
        <f>IFERROR(SUMPRODUCT(S305:U305,{0.2,0.3,0.5})/SUMPRODUCT(--(S305:U305&lt;&gt;""),{0.2,0.3,0.5}),"")</f>
        <v>0</v>
      </c>
      <c r="AC305">
        <f>IFERROR(SUMPRODUCT(V305:X305,{0.2,0.3,0.5})/SUMPRODUCT(--(V305:X305&lt;&gt;""),{0.2,0.3,0.5}),"")</f>
        <v>0.12857142857142859</v>
      </c>
      <c r="AD305">
        <f>IFERROR(SUMPRODUCT(Y305:AA305,{0.2,0.3,0.5})/SUMPRODUCT((Y305:AA305&lt;&gt;"")*{0.2,0.3,0.5}),O305)</f>
        <v>11.020408163265305</v>
      </c>
      <c r="AE305">
        <f t="shared" si="109"/>
        <v>1</v>
      </c>
      <c r="AF305" t="str">
        <f t="shared" si="110"/>
        <v/>
      </c>
      <c r="AG305">
        <f t="shared" si="111"/>
        <v>0</v>
      </c>
      <c r="AH305">
        <f t="shared" si="112"/>
        <v>0.12857142857142859</v>
      </c>
      <c r="AI305" s="2">
        <f t="shared" si="113"/>
        <v>11.020408163265305</v>
      </c>
      <c r="AJ305">
        <f t="shared" si="114"/>
        <v>0</v>
      </c>
      <c r="AK305" t="str">
        <f t="shared" si="115"/>
        <v>NO</v>
      </c>
      <c r="AL305">
        <f t="shared" si="116"/>
        <v>0</v>
      </c>
      <c r="AM305">
        <f t="shared" si="117"/>
        <v>0</v>
      </c>
      <c r="AN305">
        <f t="shared" si="118"/>
        <v>0</v>
      </c>
      <c r="AO305">
        <f t="shared" si="119"/>
        <v>0</v>
      </c>
      <c r="AP305">
        <f t="array" ref="AP305">AL305*IF($C305="GKP",10,IF($C305="DEF",6,IF($C305="MID",5,4)))</f>
        <v>0</v>
      </c>
      <c r="AQ305">
        <f t="shared" si="120"/>
        <v>0</v>
      </c>
      <c r="AR305">
        <f t="shared" si="121"/>
        <v>0</v>
      </c>
      <c r="AS305" s="2">
        <f>IF($H305=0,0,Player_Analysis!$AM305*$H305/90)</f>
        <v>0</v>
      </c>
      <c r="AT305">
        <f t="shared" si="122"/>
        <v>0</v>
      </c>
      <c r="AU305" s="2">
        <f>0</f>
        <v>0</v>
      </c>
      <c r="AV305" s="2" t="str">
        <f>IF(INDEX(FPL_Raw_Data!K:K,MATCH(A305,FPL_Raw_Data!AA:AA,0))=0,"",INDEX(FPL_Raw_Data!P:P,MATCH(A305,FPL_Raw_Data!AA:AA,0))/INDEX(FPL_Raw_Data!K:K,MATCH(A305,FPL_Raw_Data!AA:AA,0))*90)</f>
        <v/>
      </c>
      <c r="AW305" s="2">
        <f t="shared" si="123"/>
        <v>0</v>
      </c>
      <c r="AX305" s="2">
        <f>IFERROR(INDEX(TEAM_ANALYSIS!$H$2:$H$21,MATCH($B305,TEAM_ANALYSIS!$A$2:$A$21,0)),0)</f>
        <v>2.3333333333333335</v>
      </c>
      <c r="AY305" s="2">
        <f t="shared" si="124"/>
        <v>0</v>
      </c>
      <c r="AZ305" s="2">
        <f t="shared" si="125"/>
        <v>0</v>
      </c>
      <c r="BA305">
        <f t="shared" si="126"/>
        <v>0</v>
      </c>
      <c r="BB305">
        <f>IFERROR(Player_Analysis!$Y305,1)</f>
        <v>1.0408391003460207</v>
      </c>
      <c r="BC305">
        <f t="shared" si="127"/>
        <v>0</v>
      </c>
      <c r="BD305">
        <f t="shared" si="128"/>
        <v>0</v>
      </c>
      <c r="BE305">
        <f t="shared" si="129"/>
        <v>0</v>
      </c>
      <c r="BF305">
        <f t="shared" si="130"/>
        <v>253</v>
      </c>
      <c r="BG305">
        <f>IF($BE305="","",COUNTIFS($C$2:$C$596,$C305,$BE$2:$BE$596,"&gt;"&amp;$BE305)+COUNTIFS($C$2:$C305,$C305,$BE$2:$BE305,$BE305))</f>
        <v>50</v>
      </c>
    </row>
    <row r="306" spans="1:59" x14ac:dyDescent="0.25">
      <c r="A306" t="str">
        <f>Player_Analysis!A306</f>
        <v>Gonzalo García</v>
      </c>
      <c r="B306">
        <f>Player_Analysis!C306</f>
        <v>10</v>
      </c>
      <c r="C306" t="str">
        <f>Player_Analysis!B306</f>
        <v>FWD</v>
      </c>
      <c r="D306" s="13">
        <f>Player_Analysis!E306</f>
        <v>6</v>
      </c>
      <c r="E306">
        <f>Player_Analysis!I306</f>
        <v>270</v>
      </c>
      <c r="F306" s="8">
        <f>Player_Analysis!Z306</f>
        <v>3</v>
      </c>
      <c r="G306" s="17">
        <f t="shared" si="105"/>
        <v>1</v>
      </c>
      <c r="H306">
        <f t="shared" si="106"/>
        <v>90</v>
      </c>
      <c r="I306" s="8">
        <f>Player_Analysis!AF306</f>
        <v>1</v>
      </c>
      <c r="J306" s="8">
        <f>Player_Analysis!AG306</f>
        <v>0</v>
      </c>
      <c r="K306">
        <f>Player_Analysis!O306</f>
        <v>1.44</v>
      </c>
      <c r="L306">
        <f>Player_Analysis!P306</f>
        <v>0.22</v>
      </c>
      <c r="M306">
        <f t="shared" si="107"/>
        <v>0.48</v>
      </c>
      <c r="N306">
        <f t="shared" si="108"/>
        <v>7.3333333333333334E-2</v>
      </c>
      <c r="O306" s="2">
        <f>IF(E306=0,"",Player_Analysis!L306/E306*90)</f>
        <v>3.333333333333333</v>
      </c>
      <c r="P306">
        <f>IF(E306=0,"",Player_Analysis!Q306/E306*90)</f>
        <v>0.55333333333333334</v>
      </c>
      <c r="Q306">
        <f>IF(E306=0,"",(Player_Analysis!AD306/E306)*90)</f>
        <v>15</v>
      </c>
      <c r="R306">
        <f>IF(E306=0,"",Player_Analysis!AA306/E306*90)</f>
        <v>4.333333333333333</v>
      </c>
      <c r="S306" t="str">
        <f t="array" ref="S306">IFERROR(INDEX('2023_24'!$O:$O,MATCH($A306,'2023_24'!$A:$A,0)),"")</f>
        <v/>
      </c>
      <c r="T306" t="str">
        <f>IFERROR(INDEX('2024_25'!$P:$P,MATCH($A306,'2024_25'!$A:$A,0)),"")</f>
        <v/>
      </c>
      <c r="U306" t="str">
        <f>IFERROR(INDEX('2025_26'!$P:$P,MATCH($A306,'2025_26'!$A:$A,0)),"")</f>
        <v/>
      </c>
      <c r="V306" t="str">
        <f>IFERROR(INDEX('2023_24'!$P:$P,MATCH($A306,'2023_24'!$A:$A,0)),"")</f>
        <v/>
      </c>
      <c r="W306" t="str">
        <f>IFERROR(INDEX('2024_25'!$Q:$Q,MATCH($A306,'2024_25'!$A:$A,0)),"")</f>
        <v/>
      </c>
      <c r="X306" t="str">
        <f>IFERROR(INDEX('2025_26'!$Q:$Q,MATCH($A306,'2025_26'!$A:$A,0)),"")</f>
        <v/>
      </c>
      <c r="Y306" t="str">
        <f>IFERROR(INDEX('2023_24'!$M:$M,MATCH($A306,'2023_24'!$A:$A,0))/INDEX('2023_24'!$G:$G,MATCH($A306,'2023_24'!$A:$A,0))*90,"")</f>
        <v/>
      </c>
      <c r="Z306" t="str">
        <f>IFERROR(INDEX('2024_25'!$M:$M,MATCH($A306,'2024_25'!$A:$A,0))/INDEX('2024_25'!$G:$G,MATCH($A306,'2024_25'!$A:$A,0))*90,"")</f>
        <v/>
      </c>
      <c r="AA306" t="str">
        <f>IFERROR(INDEX('2025_26'!$M:$M,MATCH($A306,'2025_26'!$A:$A,0))/INDEX('2025_26'!$G:$G,MATCH($A306,'2025_26'!$A:$A,0))*90,"")</f>
        <v/>
      </c>
      <c r="AB306" t="str">
        <f>IFERROR(SUMPRODUCT(S306:U306,{0.2,0.3,0.5})/SUMPRODUCT(--(S306:U306&lt;&gt;""),{0.2,0.3,0.5}),"")</f>
        <v/>
      </c>
      <c r="AC306" t="str">
        <f>IFERROR(SUMPRODUCT(V306:X306,{0.2,0.3,0.5})/SUMPRODUCT(--(V306:X306&lt;&gt;""),{0.2,0.3,0.5}),"")</f>
        <v/>
      </c>
      <c r="AD306">
        <f>IFERROR(SUMPRODUCT(Y306:AA306,{0.2,0.3,0.5})/SUMPRODUCT((Y306:AA306&lt;&gt;"")*{0.2,0.3,0.5}),O306)</f>
        <v>3.333333333333333</v>
      </c>
      <c r="AE306">
        <f t="shared" si="109"/>
        <v>0</v>
      </c>
      <c r="AF306">
        <f t="shared" si="110"/>
        <v>90</v>
      </c>
      <c r="AG306">
        <f t="shared" si="111"/>
        <v>0.48</v>
      </c>
      <c r="AH306">
        <f t="shared" si="112"/>
        <v>7.3333333333333334E-2</v>
      </c>
      <c r="AI306" s="2">
        <f t="shared" si="113"/>
        <v>3.333333333333333</v>
      </c>
      <c r="AJ306">
        <f t="shared" si="114"/>
        <v>0.9</v>
      </c>
      <c r="AK306" t="str">
        <f t="shared" si="115"/>
        <v>YES</v>
      </c>
      <c r="AL306">
        <f t="shared" si="116"/>
        <v>0.47999999999999993</v>
      </c>
      <c r="AM306">
        <f t="shared" si="117"/>
        <v>7.3333333333333334E-2</v>
      </c>
      <c r="AN306">
        <f t="shared" si="118"/>
        <v>0.47999999999999993</v>
      </c>
      <c r="AO306">
        <f t="shared" si="119"/>
        <v>7.3333333333333334E-2</v>
      </c>
      <c r="AP306">
        <f t="array" ref="AP306">AL306*IF($C306="GKP",10,IF($C306="DEF",6,IF($C306="MID",5,4)))</f>
        <v>1.9199999999999997</v>
      </c>
      <c r="AQ306">
        <f t="shared" si="120"/>
        <v>0.22</v>
      </c>
      <c r="AR306">
        <f t="shared" si="121"/>
        <v>2</v>
      </c>
      <c r="AS306" s="2">
        <f>IF($H306=0,0,Player_Analysis!$AM306*$H306/90)</f>
        <v>0</v>
      </c>
      <c r="AT306">
        <f t="shared" si="122"/>
        <v>0.72222222222222221</v>
      </c>
      <c r="AU306" s="2">
        <f>0</f>
        <v>0</v>
      </c>
      <c r="AV306" s="2">
        <f>IF(INDEX(FPL_Raw_Data!K:K,MATCH(A306,FPL_Raw_Data!AA:AA,0))=0,"",INDEX(FPL_Raw_Data!P:P,MATCH(A306,FPL_Raw_Data!AA:AA,0))/INDEX(FPL_Raw_Data!K:K,MATCH(A306,FPL_Raw_Data!AA:AA,0))*90)</f>
        <v>0</v>
      </c>
      <c r="AW306" s="2">
        <f t="shared" si="123"/>
        <v>0</v>
      </c>
      <c r="AX306" s="2">
        <f>IFERROR(INDEX(TEAM_ANALYSIS!$H$2:$H$21,MATCH($B306,TEAM_ANALYSIS!$A$2:$A$21,0)),0)</f>
        <v>2.3333333333333335</v>
      </c>
      <c r="AY306" s="2">
        <f t="shared" si="124"/>
        <v>0</v>
      </c>
      <c r="AZ306" s="2">
        <f t="shared" si="125"/>
        <v>4.862222222222222</v>
      </c>
      <c r="BA306">
        <f t="shared" si="126"/>
        <v>0.8103703703703703</v>
      </c>
      <c r="BB306">
        <f>IFERROR(Player_Analysis!$Y306,1)</f>
        <v>1.0408391003460207</v>
      </c>
      <c r="BC306">
        <f t="shared" si="127"/>
        <v>5.0607910034602073</v>
      </c>
      <c r="BD306">
        <f t="shared" si="128"/>
        <v>4.1011150798410858</v>
      </c>
      <c r="BE306">
        <f t="shared" si="129"/>
        <v>5.0607910034602073</v>
      </c>
      <c r="BF306">
        <f t="shared" si="130"/>
        <v>88</v>
      </c>
      <c r="BG306">
        <f>IF($BE306="","",COUNTIFS($C$2:$C$596,$C306,$BE$2:$BE$596,"&gt;"&amp;$BE306)+COUNTIFS($C$2:$C306,$C306,$BE$2:$BE306,$BE306))</f>
        <v>9</v>
      </c>
    </row>
    <row r="307" spans="1:59" x14ac:dyDescent="0.25">
      <c r="A307" t="str">
        <f>Player_Analysis!A307</f>
        <v>César Palacios</v>
      </c>
      <c r="B307">
        <f>Player_Analysis!C307</f>
        <v>10</v>
      </c>
      <c r="C307" t="str">
        <f>Player_Analysis!B307</f>
        <v>MID</v>
      </c>
      <c r="D307" s="13">
        <f>Player_Analysis!E307</f>
        <v>5.5</v>
      </c>
      <c r="E307">
        <f>Player_Analysis!I307</f>
        <v>207</v>
      </c>
      <c r="F307" s="8">
        <f>Player_Analysis!Z307</f>
        <v>3</v>
      </c>
      <c r="G307" s="17">
        <f t="shared" si="105"/>
        <v>1</v>
      </c>
      <c r="H307">
        <f t="shared" si="106"/>
        <v>90</v>
      </c>
      <c r="I307" s="8">
        <f>Player_Analysis!AF307</f>
        <v>1</v>
      </c>
      <c r="J307" s="8">
        <f>Player_Analysis!AG307</f>
        <v>0</v>
      </c>
      <c r="K307">
        <f>Player_Analysis!O307</f>
        <v>0.98</v>
      </c>
      <c r="L307">
        <f>Player_Analysis!P307</f>
        <v>0.03</v>
      </c>
      <c r="M307">
        <f t="shared" si="107"/>
        <v>0.42608695652173911</v>
      </c>
      <c r="N307">
        <f t="shared" si="108"/>
        <v>1.3043478260869565E-2</v>
      </c>
      <c r="O307" s="2">
        <f>IF(E307=0,"",Player_Analysis!L307/E307*90)</f>
        <v>4.7826086956521738</v>
      </c>
      <c r="P307">
        <f>IF(E307=0,"",Player_Analysis!Q307/E307*90)</f>
        <v>0.43913043478260866</v>
      </c>
      <c r="Q307">
        <f>IF(E307=0,"",(Player_Analysis!AD307/E307)*90)</f>
        <v>18.695652173913043</v>
      </c>
      <c r="R307">
        <f>IF(E307=0,"",Player_Analysis!AA307/E307*90)</f>
        <v>5.6521739130434785</v>
      </c>
      <c r="S307" t="str">
        <f t="array" ref="S307">IFERROR(INDEX('2023_24'!$O:$O,MATCH($A307,'2023_24'!$A:$A,0)),"")</f>
        <v/>
      </c>
      <c r="T307" t="str">
        <f>IFERROR(INDEX('2024_25'!$P:$P,MATCH($A307,'2024_25'!$A:$A,0)),"")</f>
        <v/>
      </c>
      <c r="U307" t="str">
        <f>IFERROR(INDEX('2025_26'!$P:$P,MATCH($A307,'2025_26'!$A:$A,0)),"")</f>
        <v/>
      </c>
      <c r="V307" t="str">
        <f>IFERROR(INDEX('2023_24'!$P:$P,MATCH($A307,'2023_24'!$A:$A,0)),"")</f>
        <v/>
      </c>
      <c r="W307" t="str">
        <f>IFERROR(INDEX('2024_25'!$Q:$Q,MATCH($A307,'2024_25'!$A:$A,0)),"")</f>
        <v/>
      </c>
      <c r="X307" t="str">
        <f>IFERROR(INDEX('2025_26'!$Q:$Q,MATCH($A307,'2025_26'!$A:$A,0)),"")</f>
        <v/>
      </c>
      <c r="Y307" t="str">
        <f>IFERROR(INDEX('2023_24'!$M:$M,MATCH($A307,'2023_24'!$A:$A,0))/INDEX('2023_24'!$G:$G,MATCH($A307,'2023_24'!$A:$A,0))*90,"")</f>
        <v/>
      </c>
      <c r="Z307" t="str">
        <f>IFERROR(INDEX('2024_25'!$M:$M,MATCH($A307,'2024_25'!$A:$A,0))/INDEX('2024_25'!$G:$G,MATCH($A307,'2024_25'!$A:$A,0))*90,"")</f>
        <v/>
      </c>
      <c r="AA307" t="str">
        <f>IFERROR(INDEX('2025_26'!$M:$M,MATCH($A307,'2025_26'!$A:$A,0))/INDEX('2025_26'!$G:$G,MATCH($A307,'2025_26'!$A:$A,0))*90,"")</f>
        <v/>
      </c>
      <c r="AB307" t="str">
        <f>IFERROR(SUMPRODUCT(S307:U307,{0.2,0.3,0.5})/SUMPRODUCT(--(S307:U307&lt;&gt;""),{0.2,0.3,0.5}),"")</f>
        <v/>
      </c>
      <c r="AC307" t="str">
        <f>IFERROR(SUMPRODUCT(V307:X307,{0.2,0.3,0.5})/SUMPRODUCT(--(V307:X307&lt;&gt;""),{0.2,0.3,0.5}),"")</f>
        <v/>
      </c>
      <c r="AD307">
        <f>IFERROR(SUMPRODUCT(Y307:AA307,{0.2,0.3,0.5})/SUMPRODUCT((Y307:AA307&lt;&gt;"")*{0.2,0.3,0.5}),O307)</f>
        <v>4.7826086956521738</v>
      </c>
      <c r="AE307">
        <f t="shared" si="109"/>
        <v>0</v>
      </c>
      <c r="AF307">
        <f t="shared" si="110"/>
        <v>69</v>
      </c>
      <c r="AG307">
        <f t="shared" si="111"/>
        <v>0.42608695652173911</v>
      </c>
      <c r="AH307">
        <f t="shared" si="112"/>
        <v>1.3043478260869565E-2</v>
      </c>
      <c r="AI307" s="2">
        <f t="shared" si="113"/>
        <v>4.7826086956521738</v>
      </c>
      <c r="AJ307">
        <f t="shared" si="114"/>
        <v>0.69</v>
      </c>
      <c r="AK307" t="str">
        <f t="shared" si="115"/>
        <v>YES</v>
      </c>
      <c r="AL307">
        <f t="shared" si="116"/>
        <v>0.42608695652173917</v>
      </c>
      <c r="AM307">
        <f t="shared" si="117"/>
        <v>1.3043478260869565E-2</v>
      </c>
      <c r="AN307">
        <f t="shared" si="118"/>
        <v>0.42608695652173917</v>
      </c>
      <c r="AO307">
        <f t="shared" si="119"/>
        <v>1.3043478260869565E-2</v>
      </c>
      <c r="AP307">
        <f t="array" ref="AP307">AL307*IF($C307="GKP",10,IF($C307="DEF",6,IF($C307="MID",5,4)))</f>
        <v>2.1304347826086958</v>
      </c>
      <c r="AQ307">
        <f t="shared" si="120"/>
        <v>3.9130434782608692E-2</v>
      </c>
      <c r="AR307">
        <f t="shared" si="121"/>
        <v>2</v>
      </c>
      <c r="AS307" s="2">
        <f>IF($H307=0,0,Player_Analysis!$AM307*$H307/90)</f>
        <v>0</v>
      </c>
      <c r="AT307">
        <f t="shared" si="122"/>
        <v>0.94202898550724645</v>
      </c>
      <c r="AU307" s="2">
        <f>0</f>
        <v>0</v>
      </c>
      <c r="AV307" s="2">
        <f>IF(INDEX(FPL_Raw_Data!K:K,MATCH(A307,FPL_Raw_Data!AA:AA,0))=0,"",INDEX(FPL_Raw_Data!P:P,MATCH(A307,FPL_Raw_Data!AA:AA,0))/INDEX(FPL_Raw_Data!K:K,MATCH(A307,FPL_Raw_Data!AA:AA,0))*90)</f>
        <v>0</v>
      </c>
      <c r="AW307" s="2">
        <f t="shared" si="123"/>
        <v>0</v>
      </c>
      <c r="AX307" s="2">
        <f>IFERROR(INDEX(TEAM_ANALYSIS!$H$2:$H$21,MATCH($B307,TEAM_ANALYSIS!$A$2:$A$21,0)),0)</f>
        <v>2.3333333333333335</v>
      </c>
      <c r="AY307" s="2">
        <f t="shared" si="124"/>
        <v>0</v>
      </c>
      <c r="AZ307" s="2">
        <f t="shared" si="125"/>
        <v>5.1115942028985506</v>
      </c>
      <c r="BA307">
        <f t="shared" si="126"/>
        <v>0.92938076416337279</v>
      </c>
      <c r="BB307">
        <f>IFERROR(Player_Analysis!$Y307,1)</f>
        <v>1.0408391003460207</v>
      </c>
      <c r="BC307">
        <f t="shared" si="127"/>
        <v>5.3203471114788616</v>
      </c>
      <c r="BD307">
        <f t="shared" si="128"/>
        <v>4.9446282640806176</v>
      </c>
      <c r="BE307">
        <f t="shared" si="129"/>
        <v>5.3203471114788616</v>
      </c>
      <c r="BF307">
        <f t="shared" si="130"/>
        <v>75</v>
      </c>
      <c r="BG307">
        <f>IF($BE307="","",COUNTIFS($C$2:$C$596,$C307,$BE$2:$BE$596,"&gt;"&amp;$BE307)+COUNTIFS($C$2:$C307,$C307,$BE$2:$BE307,$BE307))</f>
        <v>34</v>
      </c>
    </row>
    <row r="308" spans="1:59" x14ac:dyDescent="0.25">
      <c r="A308" t="str">
        <f>Player_Analysis!A308</f>
        <v>Shea Charles</v>
      </c>
      <c r="B308">
        <f>Player_Analysis!C308</f>
        <v>10</v>
      </c>
      <c r="C308" t="str">
        <f>Player_Analysis!B308</f>
        <v>MID</v>
      </c>
      <c r="D308" s="13">
        <f>Player_Analysis!E308</f>
        <v>5</v>
      </c>
      <c r="E308">
        <f>Player_Analysis!I308</f>
        <v>123</v>
      </c>
      <c r="F308" s="8">
        <f>Player_Analysis!Z308</f>
        <v>1</v>
      </c>
      <c r="G308" s="17">
        <f t="shared" si="105"/>
        <v>0.73170731707317072</v>
      </c>
      <c r="H308">
        <f t="shared" si="106"/>
        <v>65.853658536585371</v>
      </c>
      <c r="I308" s="8">
        <f>Player_Analysis!AF308</f>
        <v>0</v>
      </c>
      <c r="J308" s="8">
        <f>Player_Analysis!AG308</f>
        <v>0</v>
      </c>
      <c r="K308">
        <f>Player_Analysis!O308</f>
        <v>0.09</v>
      </c>
      <c r="L308">
        <f>Player_Analysis!P308</f>
        <v>0.12</v>
      </c>
      <c r="M308">
        <f t="shared" si="107"/>
        <v>6.5853658536585369E-2</v>
      </c>
      <c r="N308">
        <f t="shared" si="108"/>
        <v>8.7804878048780483E-2</v>
      </c>
      <c r="O308" s="2">
        <f>IF(E308=0,"",Player_Analysis!L308/E308*90)</f>
        <v>2.9268292682926833</v>
      </c>
      <c r="P308">
        <f>IF(E308=0,"",Player_Analysis!Q308/E308*90)</f>
        <v>0.15365853658536585</v>
      </c>
      <c r="Q308">
        <f>IF(E308=0,"",(Player_Analysis!AD308/E308)*90)</f>
        <v>18.292682926829269</v>
      </c>
      <c r="R308">
        <f>IF(E308=0,"",Player_Analysis!AA308/E308*90)</f>
        <v>11.707317073170733</v>
      </c>
      <c r="S308">
        <f t="array" ref="S308">IFERROR(INDEX('2023_24'!$O:$O,MATCH($A308,'2023_24'!$A:$A,0)),"")</f>
        <v>0</v>
      </c>
      <c r="T308">
        <f>IFERROR(INDEX('2024_25'!$P:$P,MATCH($A308,'2024_25'!$A:$A,0)),"")</f>
        <v>0</v>
      </c>
      <c r="U308" t="str">
        <f>IFERROR(INDEX('2025_26'!$P:$P,MATCH($A308,'2025_26'!$A:$A,0)),"")</f>
        <v/>
      </c>
      <c r="V308">
        <f>IFERROR(INDEX('2023_24'!$P:$P,MATCH($A308,'2023_24'!$A:$A,0)),"")</f>
        <v>0</v>
      </c>
      <c r="W308">
        <f>IFERROR(INDEX('2024_25'!$Q:$Q,MATCH($A308,'2024_25'!$A:$A,0)),"")</f>
        <v>0</v>
      </c>
      <c r="X308" t="str">
        <f>IFERROR(INDEX('2025_26'!$Q:$Q,MATCH($A308,'2025_26'!$A:$A,0)),"")</f>
        <v/>
      </c>
      <c r="Y308" t="str">
        <f>IFERROR(INDEX('2023_24'!$M:$M,MATCH($A308,'2023_24'!$A:$A,0))/INDEX('2023_24'!$G:$G,MATCH($A308,'2023_24'!$A:$A,0))*90,"")</f>
        <v/>
      </c>
      <c r="Z308" t="str">
        <f>IFERROR(INDEX('2024_25'!$M:$M,MATCH($A308,'2024_25'!$A:$A,0))/INDEX('2024_25'!$G:$G,MATCH($A308,'2024_25'!$A:$A,0))*90,"")</f>
        <v/>
      </c>
      <c r="AA308" t="str">
        <f>IFERROR(INDEX('2025_26'!$M:$M,MATCH($A308,'2025_26'!$A:$A,0))/INDEX('2025_26'!$G:$G,MATCH($A308,'2025_26'!$A:$A,0))*90,"")</f>
        <v/>
      </c>
      <c r="AB308">
        <f>IFERROR(SUMPRODUCT(S308:U308,{0.2,0.3,0.5})/SUMPRODUCT(--(S308:U308&lt;&gt;""),{0.2,0.3,0.5}),"")</f>
        <v>0</v>
      </c>
      <c r="AC308">
        <f>IFERROR(SUMPRODUCT(V308:X308,{0.2,0.3,0.5})/SUMPRODUCT(--(V308:X308&lt;&gt;""),{0.2,0.3,0.5}),"")</f>
        <v>0</v>
      </c>
      <c r="AD308">
        <f>IFERROR(SUMPRODUCT(Y308:AA308,{0.2,0.3,0.5})/SUMPRODUCT((Y308:AA308&lt;&gt;"")*{0.2,0.3,0.5}),O308)</f>
        <v>2.9268292682926833</v>
      </c>
      <c r="AE308">
        <f t="shared" si="109"/>
        <v>2</v>
      </c>
      <c r="AF308">
        <f t="shared" si="110"/>
        <v>123</v>
      </c>
      <c r="AG308">
        <f t="shared" si="111"/>
        <v>2.7E-2</v>
      </c>
      <c r="AH308">
        <f t="shared" si="112"/>
        <v>3.5999999999999997E-2</v>
      </c>
      <c r="AI308" s="2">
        <f t="shared" si="113"/>
        <v>2.9268292682926838</v>
      </c>
      <c r="AJ308">
        <f t="shared" si="114"/>
        <v>0.41</v>
      </c>
      <c r="AK308" t="str">
        <f t="shared" si="115"/>
        <v>NO</v>
      </c>
      <c r="AL308">
        <f t="shared" si="116"/>
        <v>1.975609756097561E-2</v>
      </c>
      <c r="AM308">
        <f t="shared" si="117"/>
        <v>2.6341463414634145E-2</v>
      </c>
      <c r="AN308">
        <f t="shared" si="118"/>
        <v>1.975609756097561E-2</v>
      </c>
      <c r="AO308">
        <f t="shared" si="119"/>
        <v>2.6341463414634145E-2</v>
      </c>
      <c r="AP308">
        <f t="array" ref="AP308">AL308*IF($C308="GKP",10,IF($C308="DEF",6,IF($C308="MID",5,4)))</f>
        <v>9.8780487804878053E-2</v>
      </c>
      <c r="AQ308">
        <f t="shared" si="120"/>
        <v>7.902439024390244E-2</v>
      </c>
      <c r="AR308">
        <f t="shared" si="121"/>
        <v>1.4634146341463414</v>
      </c>
      <c r="AS308" s="2">
        <f>IF($H308=0,0,Player_Analysis!$AM308*$H308/90)</f>
        <v>0</v>
      </c>
      <c r="AT308">
        <f t="shared" si="122"/>
        <v>1.4277215942891139</v>
      </c>
      <c r="AU308" s="2">
        <f>0</f>
        <v>0</v>
      </c>
      <c r="AV308" s="2">
        <f>IF(INDEX(FPL_Raw_Data!K:K,MATCH(A308,FPL_Raw_Data!AA:AA,0))=0,"",INDEX(FPL_Raw_Data!P:P,MATCH(A308,FPL_Raw_Data!AA:AA,0))/INDEX(FPL_Raw_Data!K:K,MATCH(A308,FPL_Raw_Data!AA:AA,0))*90)</f>
        <v>0</v>
      </c>
      <c r="AW308" s="2">
        <f t="shared" si="123"/>
        <v>0</v>
      </c>
      <c r="AX308" s="2">
        <f>IFERROR(INDEX(TEAM_ANALYSIS!$H$2:$H$21,MATCH($B308,TEAM_ANALYSIS!$A$2:$A$21,0)),0)</f>
        <v>2.3333333333333335</v>
      </c>
      <c r="AY308" s="2">
        <f t="shared" si="124"/>
        <v>0</v>
      </c>
      <c r="AZ308" s="2">
        <f t="shared" si="125"/>
        <v>3.0689411064842358</v>
      </c>
      <c r="BA308">
        <f t="shared" si="126"/>
        <v>0.61378822129684718</v>
      </c>
      <c r="BB308">
        <f>IFERROR(Player_Analysis!$Y308,1)</f>
        <v>1.0408391003460207</v>
      </c>
      <c r="BC308">
        <f t="shared" si="127"/>
        <v>3.1942739002879734</v>
      </c>
      <c r="BD308">
        <f t="shared" si="128"/>
        <v>1.9606076955926979</v>
      </c>
      <c r="BE308">
        <f t="shared" si="129"/>
        <v>3.1942739002879734</v>
      </c>
      <c r="BF308">
        <f t="shared" si="130"/>
        <v>194</v>
      </c>
      <c r="BG308">
        <f>IF($BE308="","",COUNTIFS($C$2:$C$596,$C308,$BE$2:$BE$596,"&gt;"&amp;$BE308)+COUNTIFS($C$2:$C308,$C308,$BE$2:$BE308,$BE308))</f>
        <v>102</v>
      </c>
    </row>
    <row r="309" spans="1:59" x14ac:dyDescent="0.25">
      <c r="A309" t="str">
        <f>Player_Analysis!A309</f>
        <v>Luc De Fougerolles</v>
      </c>
      <c r="B309">
        <f>Player_Analysis!C309</f>
        <v>10</v>
      </c>
      <c r="C309" t="str">
        <f>Player_Analysis!B309</f>
        <v>DEF</v>
      </c>
      <c r="D309" s="13">
        <f>Player_Analysis!E309</f>
        <v>4</v>
      </c>
      <c r="E309">
        <f>Player_Analysis!I309</f>
        <v>0</v>
      </c>
      <c r="F309" s="8">
        <f>Player_Analysis!Z309</f>
        <v>0</v>
      </c>
      <c r="G309" s="17">
        <f t="shared" si="105"/>
        <v>0</v>
      </c>
      <c r="H309">
        <f t="shared" si="106"/>
        <v>0</v>
      </c>
      <c r="I309" s="8">
        <f>Player_Analysis!AF309</f>
        <v>0</v>
      </c>
      <c r="J309" s="8">
        <f>Player_Analysis!AG309</f>
        <v>0</v>
      </c>
      <c r="K309">
        <f>Player_Analysis!O309</f>
        <v>0</v>
      </c>
      <c r="L309">
        <f>Player_Analysis!P309</f>
        <v>0</v>
      </c>
      <c r="M309" t="str">
        <f t="shared" si="107"/>
        <v/>
      </c>
      <c r="N309" t="str">
        <f t="shared" si="108"/>
        <v/>
      </c>
      <c r="O309" s="2" t="str">
        <f>IF(E309=0,"",Player_Analysis!L309/E309*90)</f>
        <v/>
      </c>
      <c r="P309" t="str">
        <f>IF(E309=0,"",Player_Analysis!Q309/E309*90)</f>
        <v/>
      </c>
      <c r="Q309" t="str">
        <f>IF(E309=0,"",(Player_Analysis!AD309/E309)*90)</f>
        <v/>
      </c>
      <c r="R309" t="str">
        <f>IF(E309=0,"",Player_Analysis!AA309/E309*90)</f>
        <v/>
      </c>
      <c r="S309">
        <f t="array" ref="S309">IFERROR(INDEX('2023_24'!$O:$O,MATCH($A309,'2023_24'!$A:$A,0)),"")</f>
        <v>0</v>
      </c>
      <c r="T309" t="str">
        <f>IFERROR(INDEX('2024_25'!$P:$P,MATCH($A309,'2024_25'!$A:$A,0)),"")</f>
        <v/>
      </c>
      <c r="U309" t="str">
        <f>IFERROR(INDEX('2025_26'!$P:$P,MATCH($A309,'2025_26'!$A:$A,0)),"")</f>
        <v/>
      </c>
      <c r="V309">
        <f>IFERROR(INDEX('2023_24'!$P:$P,MATCH($A309,'2023_24'!$A:$A,0)),"")</f>
        <v>0</v>
      </c>
      <c r="W309" t="str">
        <f>IFERROR(INDEX('2024_25'!$Q:$Q,MATCH($A309,'2024_25'!$A:$A,0)),"")</f>
        <v/>
      </c>
      <c r="X309" t="str">
        <f>IFERROR(INDEX('2025_26'!$Q:$Q,MATCH($A309,'2025_26'!$A:$A,0)),"")</f>
        <v/>
      </c>
      <c r="Y309" t="str">
        <f>IFERROR(INDEX('2023_24'!$M:$M,MATCH($A309,'2023_24'!$A:$A,0))/INDEX('2023_24'!$G:$G,MATCH($A309,'2023_24'!$A:$A,0))*90,"")</f>
        <v/>
      </c>
      <c r="Z309" t="str">
        <f>IFERROR(INDEX('2024_25'!$M:$M,MATCH($A309,'2024_25'!$A:$A,0))/INDEX('2024_25'!$G:$G,MATCH($A309,'2024_25'!$A:$A,0))*90,"")</f>
        <v/>
      </c>
      <c r="AA309" t="str">
        <f>IFERROR(INDEX('2025_26'!$M:$M,MATCH($A309,'2025_26'!$A:$A,0))/INDEX('2025_26'!$G:$G,MATCH($A309,'2025_26'!$A:$A,0))*90,"")</f>
        <v/>
      </c>
      <c r="AB309">
        <f>IFERROR(SUMPRODUCT(S309:U309,{0.2,0.3,0.5})/SUMPRODUCT(--(S309:U309&lt;&gt;""),{0.2,0.3,0.5}),"")</f>
        <v>0</v>
      </c>
      <c r="AC309">
        <f>IFERROR(SUMPRODUCT(V309:X309,{0.2,0.3,0.5})/SUMPRODUCT(--(V309:X309&lt;&gt;""),{0.2,0.3,0.5}),"")</f>
        <v>0</v>
      </c>
      <c r="AD309" t="str">
        <f>IFERROR(SUMPRODUCT(Y309:AA309,{0.2,0.3,0.5})/SUMPRODUCT((Y309:AA309&lt;&gt;"")*{0.2,0.3,0.5}),O309)</f>
        <v/>
      </c>
      <c r="AE309">
        <f t="shared" si="109"/>
        <v>1</v>
      </c>
      <c r="AF309" t="str">
        <f t="shared" si="110"/>
        <v/>
      </c>
      <c r="AG309">
        <f t="shared" si="111"/>
        <v>0</v>
      </c>
      <c r="AH309">
        <f t="shared" si="112"/>
        <v>0</v>
      </c>
      <c r="AI309" s="2">
        <f t="shared" si="113"/>
        <v>0</v>
      </c>
      <c r="AJ309">
        <f t="shared" si="114"/>
        <v>0</v>
      </c>
      <c r="AK309" t="str">
        <f t="shared" si="115"/>
        <v>NO</v>
      </c>
      <c r="AL309">
        <f t="shared" si="116"/>
        <v>0</v>
      </c>
      <c r="AM309">
        <f t="shared" si="117"/>
        <v>0</v>
      </c>
      <c r="AN309">
        <f t="shared" si="118"/>
        <v>0</v>
      </c>
      <c r="AO309">
        <f t="shared" si="119"/>
        <v>0</v>
      </c>
      <c r="AP309">
        <f t="array" ref="AP309">AL309*IF($C309="GKP",10,IF($C309="DEF",6,IF($C309="MID",5,4)))</f>
        <v>0</v>
      </c>
      <c r="AQ309">
        <f t="shared" si="120"/>
        <v>0</v>
      </c>
      <c r="AR309">
        <f t="shared" si="121"/>
        <v>0</v>
      </c>
      <c r="AS309" s="2">
        <f>IF($H309=0,0,Player_Analysis!$AM309*$H309/90)</f>
        <v>0</v>
      </c>
      <c r="AT309">
        <f t="shared" si="122"/>
        <v>0</v>
      </c>
      <c r="AU309" s="2">
        <f>0</f>
        <v>0</v>
      </c>
      <c r="AV309" s="2" t="str">
        <f>IF(INDEX(FPL_Raw_Data!K:K,MATCH(A309,FPL_Raw_Data!AA:AA,0))=0,"",INDEX(FPL_Raw_Data!P:P,MATCH(A309,FPL_Raw_Data!AA:AA,0))/INDEX(FPL_Raw_Data!K:K,MATCH(A309,FPL_Raw_Data!AA:AA,0))*90)</f>
        <v/>
      </c>
      <c r="AW309" s="2">
        <f t="shared" si="123"/>
        <v>0</v>
      </c>
      <c r="AX309" s="2">
        <f>IFERROR(INDEX(TEAM_ANALYSIS!$H$2:$H$21,MATCH($B309,TEAM_ANALYSIS!$A$2:$A$21,0)),0)</f>
        <v>2.3333333333333335</v>
      </c>
      <c r="AY309" s="2">
        <f t="shared" si="124"/>
        <v>-1.1666666666666667</v>
      </c>
      <c r="AZ309" s="2">
        <f t="shared" si="125"/>
        <v>-1.1666666666666667</v>
      </c>
      <c r="BA309">
        <f t="shared" si="126"/>
        <v>-0.29166666666666669</v>
      </c>
      <c r="BB309">
        <f>IFERROR(Player_Analysis!$Y309,1)</f>
        <v>0.85287356321839092</v>
      </c>
      <c r="BC309">
        <f t="shared" si="127"/>
        <v>-0.99501915708812283</v>
      </c>
      <c r="BD309">
        <f t="shared" si="128"/>
        <v>0.29021392081736919</v>
      </c>
      <c r="BE309">
        <f t="shared" si="129"/>
        <v>-0.99501915708812283</v>
      </c>
      <c r="BF309">
        <f t="shared" si="130"/>
        <v>577</v>
      </c>
      <c r="BG309">
        <f>IF($BE309="","",COUNTIFS($C$2:$C$596,$C309,$BE$2:$BE$596,"&gt;"&amp;$BE309)+COUNTIFS($C$2:$C309,$C309,$BE$2:$BE309,$BE309))</f>
        <v>176</v>
      </c>
    </row>
    <row r="310" spans="1:59" x14ac:dyDescent="0.25">
      <c r="A310" t="str">
        <f>Player_Analysis!A310</f>
        <v>Macauley Zepa</v>
      </c>
      <c r="B310">
        <f>Player_Analysis!C310</f>
        <v>10</v>
      </c>
      <c r="C310" t="str">
        <f>Player_Analysis!B310</f>
        <v>MID</v>
      </c>
      <c r="D310" s="13">
        <f>Player_Analysis!E310</f>
        <v>4.5</v>
      </c>
      <c r="E310">
        <f>Player_Analysis!I310</f>
        <v>0</v>
      </c>
      <c r="F310" s="8">
        <f>Player_Analysis!Z310</f>
        <v>0</v>
      </c>
      <c r="G310" s="17">
        <f t="shared" si="105"/>
        <v>0</v>
      </c>
      <c r="H310">
        <f t="shared" si="106"/>
        <v>0</v>
      </c>
      <c r="I310" s="8">
        <f>Player_Analysis!AF310</f>
        <v>0</v>
      </c>
      <c r="J310" s="8">
        <f>Player_Analysis!AG310</f>
        <v>0</v>
      </c>
      <c r="K310">
        <f>Player_Analysis!O310</f>
        <v>0</v>
      </c>
      <c r="L310">
        <f>Player_Analysis!P310</f>
        <v>0</v>
      </c>
      <c r="M310" t="str">
        <f t="shared" si="107"/>
        <v/>
      </c>
      <c r="N310" t="str">
        <f t="shared" si="108"/>
        <v/>
      </c>
      <c r="O310" s="2" t="str">
        <f>IF(E310=0,"",Player_Analysis!L310/E310*90)</f>
        <v/>
      </c>
      <c r="P310" t="str">
        <f>IF(E310=0,"",Player_Analysis!Q310/E310*90)</f>
        <v/>
      </c>
      <c r="Q310" t="str">
        <f>IF(E310=0,"",(Player_Analysis!AD310/E310)*90)</f>
        <v/>
      </c>
      <c r="R310" t="str">
        <f>IF(E310=0,"",Player_Analysis!AA310/E310*90)</f>
        <v/>
      </c>
      <c r="S310" t="str">
        <f t="array" ref="S310">IFERROR(INDEX('2023_24'!$O:$O,MATCH($A310,'2023_24'!$A:$A,0)),"")</f>
        <v/>
      </c>
      <c r="T310" t="str">
        <f>IFERROR(INDEX('2024_25'!$P:$P,MATCH($A310,'2024_25'!$A:$A,0)),"")</f>
        <v/>
      </c>
      <c r="U310" t="str">
        <f>IFERROR(INDEX('2025_26'!$P:$P,MATCH($A310,'2025_26'!$A:$A,0)),"")</f>
        <v/>
      </c>
      <c r="V310" t="str">
        <f>IFERROR(INDEX('2023_24'!$P:$P,MATCH($A310,'2023_24'!$A:$A,0)),"")</f>
        <v/>
      </c>
      <c r="W310" t="str">
        <f>IFERROR(INDEX('2024_25'!$Q:$Q,MATCH($A310,'2024_25'!$A:$A,0)),"")</f>
        <v/>
      </c>
      <c r="X310" t="str">
        <f>IFERROR(INDEX('2025_26'!$Q:$Q,MATCH($A310,'2025_26'!$A:$A,0)),"")</f>
        <v/>
      </c>
      <c r="Y310" t="str">
        <f>IFERROR(INDEX('2023_24'!$M:$M,MATCH($A310,'2023_24'!$A:$A,0))/INDEX('2023_24'!$G:$G,MATCH($A310,'2023_24'!$A:$A,0))*90,"")</f>
        <v/>
      </c>
      <c r="Z310" t="str">
        <f>IFERROR(INDEX('2024_25'!$M:$M,MATCH($A310,'2024_25'!$A:$A,0))/INDEX('2024_25'!$G:$G,MATCH($A310,'2024_25'!$A:$A,0))*90,"")</f>
        <v/>
      </c>
      <c r="AA310" t="str">
        <f>IFERROR(INDEX('2025_26'!$M:$M,MATCH($A310,'2025_26'!$A:$A,0))/INDEX('2025_26'!$G:$G,MATCH($A310,'2025_26'!$A:$A,0))*90,"")</f>
        <v/>
      </c>
      <c r="AB310" t="str">
        <f>IFERROR(SUMPRODUCT(S310:U310,{0.2,0.3,0.5})/SUMPRODUCT(--(S310:U310&lt;&gt;""),{0.2,0.3,0.5}),"")</f>
        <v/>
      </c>
      <c r="AC310" t="str">
        <f>IFERROR(SUMPRODUCT(V310:X310,{0.2,0.3,0.5})/SUMPRODUCT(--(V310:X310&lt;&gt;""),{0.2,0.3,0.5}),"")</f>
        <v/>
      </c>
      <c r="AD310" t="str">
        <f>IFERROR(SUMPRODUCT(Y310:AA310,{0.2,0.3,0.5})/SUMPRODUCT((Y310:AA310&lt;&gt;"")*{0.2,0.3,0.5}),O310)</f>
        <v/>
      </c>
      <c r="AE310">
        <f t="shared" si="109"/>
        <v>0</v>
      </c>
      <c r="AF310" t="str">
        <f t="shared" si="110"/>
        <v/>
      </c>
      <c r="AG310">
        <f t="shared" si="111"/>
        <v>0</v>
      </c>
      <c r="AH310">
        <f t="shared" si="112"/>
        <v>0</v>
      </c>
      <c r="AI310" s="2">
        <f t="shared" si="113"/>
        <v>0</v>
      </c>
      <c r="AJ310">
        <f t="shared" si="114"/>
        <v>0</v>
      </c>
      <c r="AK310" t="str">
        <f t="shared" si="115"/>
        <v>YES</v>
      </c>
      <c r="AL310">
        <f t="shared" si="116"/>
        <v>0</v>
      </c>
      <c r="AM310">
        <f t="shared" si="117"/>
        <v>0</v>
      </c>
      <c r="AN310">
        <f t="shared" si="118"/>
        <v>0</v>
      </c>
      <c r="AO310">
        <f t="shared" si="119"/>
        <v>0</v>
      </c>
      <c r="AP310">
        <f t="array" ref="AP310">AL310*IF($C310="GKP",10,IF($C310="DEF",6,IF($C310="MID",5,4)))</f>
        <v>0</v>
      </c>
      <c r="AQ310">
        <f t="shared" si="120"/>
        <v>0</v>
      </c>
      <c r="AR310">
        <f t="shared" si="121"/>
        <v>0</v>
      </c>
      <c r="AS310" s="2">
        <f>IF($H310=0,0,Player_Analysis!$AM310*$H310/90)</f>
        <v>0</v>
      </c>
      <c r="AT310">
        <f t="shared" si="122"/>
        <v>0</v>
      </c>
      <c r="AU310" s="2">
        <f>0</f>
        <v>0</v>
      </c>
      <c r="AV310" s="2" t="str">
        <f>IF(INDEX(FPL_Raw_Data!K:K,MATCH(A310,FPL_Raw_Data!AA:AA,0))=0,"",INDEX(FPL_Raw_Data!P:P,MATCH(A310,FPL_Raw_Data!AA:AA,0))/INDEX(FPL_Raw_Data!K:K,MATCH(A310,FPL_Raw_Data!AA:AA,0))*90)</f>
        <v/>
      </c>
      <c r="AW310" s="2">
        <f t="shared" si="123"/>
        <v>0</v>
      </c>
      <c r="AX310" s="2">
        <f>IFERROR(INDEX(TEAM_ANALYSIS!$H$2:$H$21,MATCH($B310,TEAM_ANALYSIS!$A$2:$A$21,0)),0)</f>
        <v>2.3333333333333335</v>
      </c>
      <c r="AY310" s="2">
        <f t="shared" si="124"/>
        <v>0</v>
      </c>
      <c r="AZ310" s="2">
        <f t="shared" si="125"/>
        <v>0</v>
      </c>
      <c r="BA310">
        <f t="shared" si="126"/>
        <v>0</v>
      </c>
      <c r="BB310">
        <f>IFERROR(Player_Analysis!$Y310,1)</f>
        <v>1.0408391003460207</v>
      </c>
      <c r="BC310">
        <f t="shared" si="127"/>
        <v>0</v>
      </c>
      <c r="BD310">
        <f t="shared" si="128"/>
        <v>0</v>
      </c>
      <c r="BE310">
        <f t="shared" si="129"/>
        <v>0</v>
      </c>
      <c r="BF310">
        <f t="shared" si="130"/>
        <v>253</v>
      </c>
      <c r="BG310">
        <f>IF($BE310="","",COUNTIFS($C$2:$C$596,$C310,$BE$2:$BE$596,"&gt;"&amp;$BE310)+COUNTIFS($C$2:$C310,$C310,$BE$2:$BE310,$BE310))</f>
        <v>189</v>
      </c>
    </row>
    <row r="311" spans="1:59" x14ac:dyDescent="0.25">
      <c r="A311" t="str">
        <f>Player_Analysis!A311</f>
        <v>Hugo Larsson</v>
      </c>
      <c r="B311">
        <f>Player_Analysis!C311</f>
        <v>10</v>
      </c>
      <c r="C311" t="str">
        <f>Player_Analysis!B311</f>
        <v>MID</v>
      </c>
      <c r="D311" s="13">
        <f>Player_Analysis!E311</f>
        <v>5</v>
      </c>
      <c r="E311">
        <f>Player_Analysis!I311</f>
        <v>11</v>
      </c>
      <c r="F311" s="8">
        <f>Player_Analysis!Z311</f>
        <v>0</v>
      </c>
      <c r="G311" s="17">
        <f t="shared" si="105"/>
        <v>0</v>
      </c>
      <c r="H311">
        <f t="shared" si="106"/>
        <v>0</v>
      </c>
      <c r="I311" s="8">
        <f>Player_Analysis!AF311</f>
        <v>0</v>
      </c>
      <c r="J311" s="8">
        <f>Player_Analysis!AG311</f>
        <v>0</v>
      </c>
      <c r="K311">
        <f>Player_Analysis!O311</f>
        <v>0.13</v>
      </c>
      <c r="L311">
        <f>Player_Analysis!P311</f>
        <v>0.22</v>
      </c>
      <c r="M311">
        <f t="shared" si="107"/>
        <v>1.0636363636363637</v>
      </c>
      <c r="N311">
        <f t="shared" si="108"/>
        <v>1.8</v>
      </c>
      <c r="O311" s="2">
        <f>IF(E311=0,"",Player_Analysis!L311/E311*90)</f>
        <v>8.1818181818181817</v>
      </c>
      <c r="P311">
        <f>IF(E311=0,"",Player_Analysis!Q311/E311*90)</f>
        <v>2.8636363636363633</v>
      </c>
      <c r="Q311">
        <f>IF(E311=0,"",(Player_Analysis!AD311/E311)*90)</f>
        <v>24.545454545454543</v>
      </c>
      <c r="R311">
        <f>IF(E311=0,"",Player_Analysis!AA311/E311*90)</f>
        <v>8.1818181818181817</v>
      </c>
      <c r="S311" t="str">
        <f t="array" ref="S311">IFERROR(INDEX('2023_24'!$O:$O,MATCH($A311,'2023_24'!$A:$A,0)),"")</f>
        <v/>
      </c>
      <c r="T311" t="str">
        <f>IFERROR(INDEX('2024_25'!$P:$P,MATCH($A311,'2024_25'!$A:$A,0)),"")</f>
        <v/>
      </c>
      <c r="U311" t="str">
        <f>IFERROR(INDEX('2025_26'!$P:$P,MATCH($A311,'2025_26'!$A:$A,0)),"")</f>
        <v/>
      </c>
      <c r="V311" t="str">
        <f>IFERROR(INDEX('2023_24'!$P:$P,MATCH($A311,'2023_24'!$A:$A,0)),"")</f>
        <v/>
      </c>
      <c r="W311" t="str">
        <f>IFERROR(INDEX('2024_25'!$Q:$Q,MATCH($A311,'2024_25'!$A:$A,0)),"")</f>
        <v/>
      </c>
      <c r="X311" t="str">
        <f>IFERROR(INDEX('2025_26'!$Q:$Q,MATCH($A311,'2025_26'!$A:$A,0)),"")</f>
        <v/>
      </c>
      <c r="Y311" t="str">
        <f>IFERROR(INDEX('2023_24'!$M:$M,MATCH($A311,'2023_24'!$A:$A,0))/INDEX('2023_24'!$G:$G,MATCH($A311,'2023_24'!$A:$A,0))*90,"")</f>
        <v/>
      </c>
      <c r="Z311" t="str">
        <f>IFERROR(INDEX('2024_25'!$M:$M,MATCH($A311,'2024_25'!$A:$A,0))/INDEX('2024_25'!$G:$G,MATCH($A311,'2024_25'!$A:$A,0))*90,"")</f>
        <v/>
      </c>
      <c r="AA311" t="str">
        <f>IFERROR(INDEX('2025_26'!$M:$M,MATCH($A311,'2025_26'!$A:$A,0))/INDEX('2025_26'!$G:$G,MATCH($A311,'2025_26'!$A:$A,0))*90,"")</f>
        <v/>
      </c>
      <c r="AB311" t="str">
        <f>IFERROR(SUMPRODUCT(S311:U311,{0.2,0.3,0.5})/SUMPRODUCT(--(S311:U311&lt;&gt;""),{0.2,0.3,0.5}),"")</f>
        <v/>
      </c>
      <c r="AC311" t="str">
        <f>IFERROR(SUMPRODUCT(V311:X311,{0.2,0.3,0.5})/SUMPRODUCT(--(V311:X311&lt;&gt;""),{0.2,0.3,0.5}),"")</f>
        <v/>
      </c>
      <c r="AD311">
        <f>IFERROR(SUMPRODUCT(Y311:AA311,{0.2,0.3,0.5})/SUMPRODUCT((Y311:AA311&lt;&gt;"")*{0.2,0.3,0.5}),O311)</f>
        <v>8.1818181818181817</v>
      </c>
      <c r="AE311">
        <f t="shared" si="109"/>
        <v>0</v>
      </c>
      <c r="AF311" t="str">
        <f t="shared" si="110"/>
        <v/>
      </c>
      <c r="AG311">
        <f t="shared" si="111"/>
        <v>1.0636363636363637</v>
      </c>
      <c r="AH311">
        <f t="shared" si="112"/>
        <v>1.8</v>
      </c>
      <c r="AI311" s="2">
        <f t="shared" si="113"/>
        <v>8.1818181818181817</v>
      </c>
      <c r="AJ311">
        <f t="shared" si="114"/>
        <v>3.6666666666666667E-2</v>
      </c>
      <c r="AK311" t="str">
        <f t="shared" si="115"/>
        <v>YES</v>
      </c>
      <c r="AL311">
        <f t="shared" si="116"/>
        <v>0</v>
      </c>
      <c r="AM311">
        <f t="shared" si="117"/>
        <v>0</v>
      </c>
      <c r="AN311">
        <f t="shared" si="118"/>
        <v>0</v>
      </c>
      <c r="AO311">
        <f t="shared" si="119"/>
        <v>0</v>
      </c>
      <c r="AP311">
        <f t="array" ref="AP311">AL311*IF($C311="GKP",10,IF($C311="DEF",6,IF($C311="MID",5,4)))</f>
        <v>0</v>
      </c>
      <c r="AQ311">
        <f t="shared" si="120"/>
        <v>0</v>
      </c>
      <c r="AR311">
        <f t="shared" si="121"/>
        <v>0</v>
      </c>
      <c r="AS311" s="2">
        <f>IF($H311=0,0,Player_Analysis!$AM311*$H311/90)</f>
        <v>0</v>
      </c>
      <c r="AT311">
        <f t="shared" si="122"/>
        <v>0</v>
      </c>
      <c r="AU311" s="2">
        <f>0</f>
        <v>0</v>
      </c>
      <c r="AV311" s="2">
        <f>IF(INDEX(FPL_Raw_Data!K:K,MATCH(A311,FPL_Raw_Data!AA:AA,0))=0,"",INDEX(FPL_Raw_Data!P:P,MATCH(A311,FPL_Raw_Data!AA:AA,0))/INDEX(FPL_Raw_Data!K:K,MATCH(A311,FPL_Raw_Data!AA:AA,0))*90)</f>
        <v>0</v>
      </c>
      <c r="AW311" s="2">
        <f t="shared" si="123"/>
        <v>0</v>
      </c>
      <c r="AX311" s="2">
        <f>IFERROR(INDEX(TEAM_ANALYSIS!$H$2:$H$21,MATCH($B311,TEAM_ANALYSIS!$A$2:$A$21,0)),0)</f>
        <v>2.3333333333333335</v>
      </c>
      <c r="AY311" s="2">
        <f t="shared" si="124"/>
        <v>0</v>
      </c>
      <c r="AZ311" s="2">
        <f t="shared" si="125"/>
        <v>0</v>
      </c>
      <c r="BA311">
        <f t="shared" si="126"/>
        <v>0</v>
      </c>
      <c r="BB311">
        <f>IFERROR(Player_Analysis!$Y311,1)</f>
        <v>1.0408391003460207</v>
      </c>
      <c r="BC311">
        <f t="shared" si="127"/>
        <v>0</v>
      </c>
      <c r="BD311">
        <f t="shared" si="128"/>
        <v>0</v>
      </c>
      <c r="BE311">
        <f t="shared" si="129"/>
        <v>0</v>
      </c>
      <c r="BF311">
        <f t="shared" si="130"/>
        <v>253</v>
      </c>
      <c r="BG311">
        <f>IF($BE311="","",COUNTIFS($C$2:$C$596,$C311,$BE$2:$BE$596,"&gt;"&amp;$BE311)+COUNTIFS($C$2:$C311,$C311,$BE$2:$BE311,$BE311))</f>
        <v>190</v>
      </c>
    </row>
    <row r="312" spans="1:59" x14ac:dyDescent="0.25">
      <c r="A312" t="str">
        <f>Player_Analysis!A312</f>
        <v>Manuel Ángel Morán Ibáñez</v>
      </c>
      <c r="B312">
        <f>Player_Analysis!C312</f>
        <v>10</v>
      </c>
      <c r="C312" t="str">
        <f>Player_Analysis!B312</f>
        <v>MID</v>
      </c>
      <c r="D312" s="13">
        <f>Player_Analysis!E312</f>
        <v>5</v>
      </c>
      <c r="E312">
        <f>Player_Analysis!I312</f>
        <v>0</v>
      </c>
      <c r="F312" s="8">
        <f>Player_Analysis!Z312</f>
        <v>0</v>
      </c>
      <c r="G312" s="17">
        <f t="shared" si="105"/>
        <v>0</v>
      </c>
      <c r="H312">
        <f t="shared" si="106"/>
        <v>0</v>
      </c>
      <c r="I312" s="8">
        <f>Player_Analysis!AF312</f>
        <v>0</v>
      </c>
      <c r="J312" s="8">
        <f>Player_Analysis!AG312</f>
        <v>0</v>
      </c>
      <c r="K312">
        <f>Player_Analysis!O312</f>
        <v>0</v>
      </c>
      <c r="L312">
        <f>Player_Analysis!P312</f>
        <v>0</v>
      </c>
      <c r="M312" t="str">
        <f t="shared" si="107"/>
        <v/>
      </c>
      <c r="N312" t="str">
        <f t="shared" si="108"/>
        <v/>
      </c>
      <c r="O312" s="2" t="str">
        <f>IF(E312=0,"",Player_Analysis!L312/E312*90)</f>
        <v/>
      </c>
      <c r="P312" t="str">
        <f>IF(E312=0,"",Player_Analysis!Q312/E312*90)</f>
        <v/>
      </c>
      <c r="Q312" t="str">
        <f>IF(E312=0,"",(Player_Analysis!AD312/E312)*90)</f>
        <v/>
      </c>
      <c r="R312" t="str">
        <f>IF(E312=0,"",Player_Analysis!AA312/E312*90)</f>
        <v/>
      </c>
      <c r="S312" t="str">
        <f t="array" ref="S312">IFERROR(INDEX('2023_24'!$O:$O,MATCH($A312,'2023_24'!$A:$A,0)),"")</f>
        <v/>
      </c>
      <c r="T312" t="str">
        <f>IFERROR(INDEX('2024_25'!$P:$P,MATCH($A312,'2024_25'!$A:$A,0)),"")</f>
        <v/>
      </c>
      <c r="U312" t="str">
        <f>IFERROR(INDEX('2025_26'!$P:$P,MATCH($A312,'2025_26'!$A:$A,0)),"")</f>
        <v/>
      </c>
      <c r="V312" t="str">
        <f>IFERROR(INDEX('2023_24'!$P:$P,MATCH($A312,'2023_24'!$A:$A,0)),"")</f>
        <v/>
      </c>
      <c r="W312" t="str">
        <f>IFERROR(INDEX('2024_25'!$Q:$Q,MATCH($A312,'2024_25'!$A:$A,0)),"")</f>
        <v/>
      </c>
      <c r="X312" t="str">
        <f>IFERROR(INDEX('2025_26'!$Q:$Q,MATCH($A312,'2025_26'!$A:$A,0)),"")</f>
        <v/>
      </c>
      <c r="Y312" t="str">
        <f>IFERROR(INDEX('2023_24'!$M:$M,MATCH($A312,'2023_24'!$A:$A,0))/INDEX('2023_24'!$G:$G,MATCH($A312,'2023_24'!$A:$A,0))*90,"")</f>
        <v/>
      </c>
      <c r="Z312" t="str">
        <f>IFERROR(INDEX('2024_25'!$M:$M,MATCH($A312,'2024_25'!$A:$A,0))/INDEX('2024_25'!$G:$G,MATCH($A312,'2024_25'!$A:$A,0))*90,"")</f>
        <v/>
      </c>
      <c r="AA312" t="str">
        <f>IFERROR(INDEX('2025_26'!$M:$M,MATCH($A312,'2025_26'!$A:$A,0))/INDEX('2025_26'!$G:$G,MATCH($A312,'2025_26'!$A:$A,0))*90,"")</f>
        <v/>
      </c>
      <c r="AB312" t="str">
        <f>IFERROR(SUMPRODUCT(S312:U312,{0.2,0.3,0.5})/SUMPRODUCT(--(S312:U312&lt;&gt;""),{0.2,0.3,0.5}),"")</f>
        <v/>
      </c>
      <c r="AC312" t="str">
        <f>IFERROR(SUMPRODUCT(V312:X312,{0.2,0.3,0.5})/SUMPRODUCT(--(V312:X312&lt;&gt;""),{0.2,0.3,0.5}),"")</f>
        <v/>
      </c>
      <c r="AD312" t="str">
        <f>IFERROR(SUMPRODUCT(Y312:AA312,{0.2,0.3,0.5})/SUMPRODUCT((Y312:AA312&lt;&gt;"")*{0.2,0.3,0.5}),O312)</f>
        <v/>
      </c>
      <c r="AE312">
        <f t="shared" si="109"/>
        <v>0</v>
      </c>
      <c r="AF312" t="str">
        <f t="shared" si="110"/>
        <v/>
      </c>
      <c r="AG312">
        <f t="shared" si="111"/>
        <v>0</v>
      </c>
      <c r="AH312">
        <f t="shared" si="112"/>
        <v>0</v>
      </c>
      <c r="AI312" s="2">
        <f t="shared" si="113"/>
        <v>0</v>
      </c>
      <c r="AJ312">
        <f t="shared" si="114"/>
        <v>0</v>
      </c>
      <c r="AK312" t="str">
        <f t="shared" si="115"/>
        <v>YES</v>
      </c>
      <c r="AL312">
        <f t="shared" si="116"/>
        <v>0</v>
      </c>
      <c r="AM312">
        <f t="shared" si="117"/>
        <v>0</v>
      </c>
      <c r="AN312">
        <f t="shared" si="118"/>
        <v>0</v>
      </c>
      <c r="AO312">
        <f t="shared" si="119"/>
        <v>0</v>
      </c>
      <c r="AP312">
        <f t="array" ref="AP312">AL312*IF($C312="GKP",10,IF($C312="DEF",6,IF($C312="MID",5,4)))</f>
        <v>0</v>
      </c>
      <c r="AQ312">
        <f t="shared" si="120"/>
        <v>0</v>
      </c>
      <c r="AR312">
        <f t="shared" si="121"/>
        <v>0</v>
      </c>
      <c r="AS312" s="2">
        <f>IF($H312=0,0,Player_Analysis!$AM312*$H312/90)</f>
        <v>0</v>
      </c>
      <c r="AT312">
        <f t="shared" si="122"/>
        <v>0</v>
      </c>
      <c r="AU312" s="2">
        <f>0</f>
        <v>0</v>
      </c>
      <c r="AV312" s="2" t="str">
        <f>IF(INDEX(FPL_Raw_Data!K:K,MATCH(A312,FPL_Raw_Data!AA:AA,0))=0,"",INDEX(FPL_Raw_Data!P:P,MATCH(A312,FPL_Raw_Data!AA:AA,0))/INDEX(FPL_Raw_Data!K:K,MATCH(A312,FPL_Raw_Data!AA:AA,0))*90)</f>
        <v/>
      </c>
      <c r="AW312" s="2">
        <f t="shared" si="123"/>
        <v>0</v>
      </c>
      <c r="AX312" s="2">
        <f>IFERROR(INDEX(TEAM_ANALYSIS!$H$2:$H$21,MATCH($B312,TEAM_ANALYSIS!$A$2:$A$21,0)),0)</f>
        <v>2.3333333333333335</v>
      </c>
      <c r="AY312" s="2">
        <f t="shared" si="124"/>
        <v>0</v>
      </c>
      <c r="AZ312" s="2">
        <f t="shared" si="125"/>
        <v>0</v>
      </c>
      <c r="BA312">
        <f t="shared" si="126"/>
        <v>0</v>
      </c>
      <c r="BB312">
        <f>IFERROR(Player_Analysis!$Y312,1)</f>
        <v>1.0408391003460207</v>
      </c>
      <c r="BC312">
        <f t="shared" si="127"/>
        <v>0</v>
      </c>
      <c r="BD312">
        <f t="shared" si="128"/>
        <v>0</v>
      </c>
      <c r="BE312">
        <f t="shared" si="129"/>
        <v>0</v>
      </c>
      <c r="BF312">
        <f t="shared" si="130"/>
        <v>253</v>
      </c>
      <c r="BG312">
        <f>IF($BE312="","",COUNTIFS($C$2:$C$596,$C312,$BE$2:$BE$596,"&gt;"&amp;$BE312)+COUNTIFS($C$2:$C312,$C312,$BE$2:$BE312,$BE312))</f>
        <v>191</v>
      </c>
    </row>
    <row r="313" spans="1:59" x14ac:dyDescent="0.25">
      <c r="A313" t="str">
        <f>Player_Analysis!A313</f>
        <v>David Affengruber</v>
      </c>
      <c r="B313">
        <f>Player_Analysis!C313</f>
        <v>10</v>
      </c>
      <c r="C313" t="str">
        <f>Player_Analysis!B313</f>
        <v>DEF</v>
      </c>
      <c r="D313" s="13">
        <f>Player_Analysis!E313</f>
        <v>4.5</v>
      </c>
      <c r="E313">
        <f>Player_Analysis!I313</f>
        <v>0</v>
      </c>
      <c r="F313" s="8">
        <f>Player_Analysis!Z313</f>
        <v>0</v>
      </c>
      <c r="G313" s="17">
        <f t="shared" si="105"/>
        <v>0</v>
      </c>
      <c r="H313">
        <f t="shared" si="106"/>
        <v>0</v>
      </c>
      <c r="I313" s="8">
        <f>Player_Analysis!AF313</f>
        <v>0</v>
      </c>
      <c r="J313" s="8">
        <f>Player_Analysis!AG313</f>
        <v>0</v>
      </c>
      <c r="K313">
        <f>Player_Analysis!O313</f>
        <v>0</v>
      </c>
      <c r="L313">
        <f>Player_Analysis!P313</f>
        <v>0</v>
      </c>
      <c r="M313" t="str">
        <f t="shared" si="107"/>
        <v/>
      </c>
      <c r="N313" t="str">
        <f t="shared" si="108"/>
        <v/>
      </c>
      <c r="O313" s="2" t="str">
        <f>IF(E313=0,"",Player_Analysis!L313/E313*90)</f>
        <v/>
      </c>
      <c r="P313" t="str">
        <f>IF(E313=0,"",Player_Analysis!Q313/E313*90)</f>
        <v/>
      </c>
      <c r="Q313" t="str">
        <f>IF(E313=0,"",(Player_Analysis!AD313/E313)*90)</f>
        <v/>
      </c>
      <c r="R313" t="str">
        <f>IF(E313=0,"",Player_Analysis!AA313/E313*90)</f>
        <v/>
      </c>
      <c r="S313" t="str">
        <f t="array" ref="S313">IFERROR(INDEX('2023_24'!$O:$O,MATCH($A313,'2023_24'!$A:$A,0)),"")</f>
        <v/>
      </c>
      <c r="T313" t="str">
        <f>IFERROR(INDEX('2024_25'!$P:$P,MATCH($A313,'2024_25'!$A:$A,0)),"")</f>
        <v/>
      </c>
      <c r="U313" t="str">
        <f>IFERROR(INDEX('2025_26'!$P:$P,MATCH($A313,'2025_26'!$A:$A,0)),"")</f>
        <v/>
      </c>
      <c r="V313" t="str">
        <f>IFERROR(INDEX('2023_24'!$P:$P,MATCH($A313,'2023_24'!$A:$A,0)),"")</f>
        <v/>
      </c>
      <c r="W313" t="str">
        <f>IFERROR(INDEX('2024_25'!$Q:$Q,MATCH($A313,'2024_25'!$A:$A,0)),"")</f>
        <v/>
      </c>
      <c r="X313" t="str">
        <f>IFERROR(INDEX('2025_26'!$Q:$Q,MATCH($A313,'2025_26'!$A:$A,0)),"")</f>
        <v/>
      </c>
      <c r="Y313" t="str">
        <f>IFERROR(INDEX('2023_24'!$M:$M,MATCH($A313,'2023_24'!$A:$A,0))/INDEX('2023_24'!$G:$G,MATCH($A313,'2023_24'!$A:$A,0))*90,"")</f>
        <v/>
      </c>
      <c r="Z313" t="str">
        <f>IFERROR(INDEX('2024_25'!$M:$M,MATCH($A313,'2024_25'!$A:$A,0))/INDEX('2024_25'!$G:$G,MATCH($A313,'2024_25'!$A:$A,0))*90,"")</f>
        <v/>
      </c>
      <c r="AA313" t="str">
        <f>IFERROR(INDEX('2025_26'!$M:$M,MATCH($A313,'2025_26'!$A:$A,0))/INDEX('2025_26'!$G:$G,MATCH($A313,'2025_26'!$A:$A,0))*90,"")</f>
        <v/>
      </c>
      <c r="AB313" t="str">
        <f>IFERROR(SUMPRODUCT(S313:U313,{0.2,0.3,0.5})/SUMPRODUCT(--(S313:U313&lt;&gt;""),{0.2,0.3,0.5}),"")</f>
        <v/>
      </c>
      <c r="AC313" t="str">
        <f>IFERROR(SUMPRODUCT(V313:X313,{0.2,0.3,0.5})/SUMPRODUCT(--(V313:X313&lt;&gt;""),{0.2,0.3,0.5}),"")</f>
        <v/>
      </c>
      <c r="AD313" t="str">
        <f>IFERROR(SUMPRODUCT(Y313:AA313,{0.2,0.3,0.5})/SUMPRODUCT((Y313:AA313&lt;&gt;"")*{0.2,0.3,0.5}),O313)</f>
        <v/>
      </c>
      <c r="AE313">
        <f t="shared" si="109"/>
        <v>0</v>
      </c>
      <c r="AF313" t="str">
        <f t="shared" si="110"/>
        <v/>
      </c>
      <c r="AG313">
        <f t="shared" si="111"/>
        <v>0</v>
      </c>
      <c r="AH313">
        <f t="shared" si="112"/>
        <v>0</v>
      </c>
      <c r="AI313" s="2">
        <f t="shared" si="113"/>
        <v>0</v>
      </c>
      <c r="AJ313">
        <f t="shared" si="114"/>
        <v>0</v>
      </c>
      <c r="AK313" t="str">
        <f t="shared" si="115"/>
        <v>YES</v>
      </c>
      <c r="AL313">
        <f t="shared" si="116"/>
        <v>0</v>
      </c>
      <c r="AM313">
        <f t="shared" si="117"/>
        <v>0</v>
      </c>
      <c r="AN313">
        <f t="shared" si="118"/>
        <v>0</v>
      </c>
      <c r="AO313">
        <f t="shared" si="119"/>
        <v>0</v>
      </c>
      <c r="AP313">
        <f t="array" ref="AP313">AL313*IF($C313="GKP",10,IF($C313="DEF",6,IF($C313="MID",5,4)))</f>
        <v>0</v>
      </c>
      <c r="AQ313">
        <f t="shared" si="120"/>
        <v>0</v>
      </c>
      <c r="AR313">
        <f t="shared" si="121"/>
        <v>0</v>
      </c>
      <c r="AS313" s="2">
        <f>IF($H313=0,0,Player_Analysis!$AM313*$H313/90)</f>
        <v>0</v>
      </c>
      <c r="AT313">
        <f t="shared" si="122"/>
        <v>0</v>
      </c>
      <c r="AU313" s="2">
        <f>0</f>
        <v>0</v>
      </c>
      <c r="AV313" s="2" t="str">
        <f>IF(INDEX(FPL_Raw_Data!K:K,MATCH(A313,FPL_Raw_Data!AA:AA,0))=0,"",INDEX(FPL_Raw_Data!P:P,MATCH(A313,FPL_Raw_Data!AA:AA,0))/INDEX(FPL_Raw_Data!K:K,MATCH(A313,FPL_Raw_Data!AA:AA,0))*90)</f>
        <v/>
      </c>
      <c r="AW313" s="2">
        <f t="shared" si="123"/>
        <v>0</v>
      </c>
      <c r="AX313" s="2">
        <f>IFERROR(INDEX(TEAM_ANALYSIS!$H$2:$H$21,MATCH($B313,TEAM_ANALYSIS!$A$2:$A$21,0)),0)</f>
        <v>2.3333333333333335</v>
      </c>
      <c r="AY313" s="2">
        <f t="shared" si="124"/>
        <v>-1.1666666666666667</v>
      </c>
      <c r="AZ313" s="2">
        <f t="shared" si="125"/>
        <v>-1.1666666666666667</v>
      </c>
      <c r="BA313">
        <f t="shared" si="126"/>
        <v>-0.2592592592592593</v>
      </c>
      <c r="BB313">
        <f>IFERROR(Player_Analysis!$Y313,1)</f>
        <v>0.85287356321839092</v>
      </c>
      <c r="BC313">
        <f t="shared" si="127"/>
        <v>-0.99501915708812283</v>
      </c>
      <c r="BD313">
        <f t="shared" si="128"/>
        <v>0.2579679296154393</v>
      </c>
      <c r="BE313">
        <f t="shared" si="129"/>
        <v>-0.99501915708812283</v>
      </c>
      <c r="BF313">
        <f t="shared" si="130"/>
        <v>577</v>
      </c>
      <c r="BG313">
        <f>IF($BE313="","",COUNTIFS($C$2:$C$596,$C313,$BE$2:$BE$596,"&gt;"&amp;$BE313)+COUNTIFS($C$2:$C313,$C313,$BE$2:$BE313,$BE313))</f>
        <v>177</v>
      </c>
    </row>
    <row r="314" spans="1:59" x14ac:dyDescent="0.25">
      <c r="A314" t="str">
        <f>Player_Analysis!A314</f>
        <v>Tim Iroegbunam</v>
      </c>
      <c r="B314">
        <f>Player_Analysis!C314</f>
        <v>11</v>
      </c>
      <c r="C314" t="str">
        <f>Player_Analysis!B314</f>
        <v>MID</v>
      </c>
      <c r="D314" s="13">
        <f>Player_Analysis!E314</f>
        <v>5</v>
      </c>
      <c r="E314">
        <f>Player_Analysis!I314</f>
        <v>4</v>
      </c>
      <c r="F314" s="8">
        <f>Player_Analysis!Z314</f>
        <v>0</v>
      </c>
      <c r="G314" s="17">
        <f t="shared" si="105"/>
        <v>0</v>
      </c>
      <c r="H314">
        <f t="shared" si="106"/>
        <v>0</v>
      </c>
      <c r="I314" s="8">
        <f>Player_Analysis!AF314</f>
        <v>0</v>
      </c>
      <c r="J314" s="8">
        <f>Player_Analysis!AG314</f>
        <v>0</v>
      </c>
      <c r="K314">
        <f>Player_Analysis!O314</f>
        <v>0</v>
      </c>
      <c r="L314">
        <f>Player_Analysis!P314</f>
        <v>0</v>
      </c>
      <c r="M314">
        <f t="shared" si="107"/>
        <v>0</v>
      </c>
      <c r="N314">
        <f t="shared" si="108"/>
        <v>0</v>
      </c>
      <c r="O314" s="2">
        <f>IF(E314=0,"",Player_Analysis!L314/E314*90)</f>
        <v>22.5</v>
      </c>
      <c r="P314">
        <f>IF(E314=0,"",Player_Analysis!Q314/E314*90)</f>
        <v>0</v>
      </c>
      <c r="Q314">
        <f>IF(E314=0,"",(Player_Analysis!AD314/E314)*90)</f>
        <v>45</v>
      </c>
      <c r="R314">
        <f>IF(E314=0,"",Player_Analysis!AA314/E314*90)</f>
        <v>0</v>
      </c>
      <c r="S314">
        <f t="array" ref="S314">IFERROR(INDEX('2023_24'!$O:$O,MATCH($A314,'2023_24'!$A:$A,0)),"")</f>
        <v>0</v>
      </c>
      <c r="T314">
        <f>IFERROR(INDEX('2024_25'!$P:$P,MATCH($A314,'2024_25'!$A:$A,0)),"")</f>
        <v>3.6832740213523132E-2</v>
      </c>
      <c r="U314">
        <f>IFERROR(INDEX('2025_26'!$P:$P,MATCH($A314,'2025_26'!$A:$A,0)),"")</f>
        <v>3.2904536222071769E-2</v>
      </c>
      <c r="V314">
        <f>IFERROR(INDEX('2023_24'!$P:$P,MATCH($A314,'2023_24'!$A:$A,0)),"")</f>
        <v>0</v>
      </c>
      <c r="W314">
        <f>IFERROR(INDEX('2024_25'!$Q:$Q,MATCH($A314,'2024_25'!$A:$A,0)),"")</f>
        <v>2.2419928825622781E-2</v>
      </c>
      <c r="X314">
        <f>IFERROR(INDEX('2025_26'!$Q:$Q,MATCH($A314,'2025_26'!$A:$A,0)),"")</f>
        <v>4.3263371699390651E-2</v>
      </c>
      <c r="Y314">
        <f>IFERROR(INDEX('2023_24'!$M:$M,MATCH($A314,'2023_24'!$A:$A,0))/INDEX('2023_24'!$G:$G,MATCH($A314,'2023_24'!$A:$A,0))*90,"")</f>
        <v>5.7324840764331206</v>
      </c>
      <c r="Z314">
        <f>IFERROR(INDEX('2024_25'!$M:$M,MATCH($A314,'2024_25'!$A:$A,0))/INDEX('2024_25'!$G:$G,MATCH($A314,'2024_25'!$A:$A,0))*90,"")</f>
        <v>3.5231316725978647</v>
      </c>
      <c r="AA314">
        <f>IFERROR(INDEX('2025_26'!$M:$M,MATCH($A314,'2025_26'!$A:$A,0))/INDEX('2025_26'!$G:$G,MATCH($A314,'2025_26'!$A:$A,0))*90,"")</f>
        <v>4.1435341909275554</v>
      </c>
      <c r="AB314">
        <f>IFERROR(SUMPRODUCT(S314:U314,{0.2,0.3,0.5})/SUMPRODUCT(--(S314:U314&lt;&gt;""),{0.2,0.3,0.5}),"")</f>
        <v>2.7502090175092822E-2</v>
      </c>
      <c r="AC314">
        <f>IFERROR(SUMPRODUCT(V314:X314,{0.2,0.3,0.5})/SUMPRODUCT(--(V314:X314&lt;&gt;""),{0.2,0.3,0.5}),"")</f>
        <v>2.8357664497382161E-2</v>
      </c>
      <c r="AD314">
        <f>IFERROR(SUMPRODUCT(Y314:AA314,{0.2,0.3,0.5})/SUMPRODUCT((Y314:AA314&lt;&gt;"")*{0.2,0.3,0.5}),O314)</f>
        <v>4.2752034125297609</v>
      </c>
      <c r="AE314">
        <f t="shared" si="109"/>
        <v>3</v>
      </c>
      <c r="AF314" t="str">
        <f t="shared" si="110"/>
        <v/>
      </c>
      <c r="AG314">
        <f t="shared" si="111"/>
        <v>2.7135395639424919E-2</v>
      </c>
      <c r="AH314">
        <f t="shared" si="112"/>
        <v>2.7979562304083733E-2</v>
      </c>
      <c r="AI314" s="2">
        <f t="shared" si="113"/>
        <v>4.5182007003626969</v>
      </c>
      <c r="AJ314">
        <f t="shared" si="114"/>
        <v>1.3333333333333334E-2</v>
      </c>
      <c r="AK314" t="str">
        <f t="shared" si="115"/>
        <v>NO</v>
      </c>
      <c r="AL314">
        <f t="shared" si="116"/>
        <v>0</v>
      </c>
      <c r="AM314">
        <f t="shared" si="117"/>
        <v>0</v>
      </c>
      <c r="AN314">
        <f t="shared" si="118"/>
        <v>0</v>
      </c>
      <c r="AO314">
        <f t="shared" si="119"/>
        <v>0</v>
      </c>
      <c r="AP314">
        <f t="array" ref="AP314">AL314*IF($C314="GKP",10,IF($C314="DEF",6,IF($C314="MID",5,4)))</f>
        <v>0</v>
      </c>
      <c r="AQ314">
        <f t="shared" si="120"/>
        <v>0</v>
      </c>
      <c r="AR314">
        <f t="shared" si="121"/>
        <v>0</v>
      </c>
      <c r="AS314" s="2">
        <f>IF($H314=0,0,Player_Analysis!$AM314*$H314/90)</f>
        <v>0</v>
      </c>
      <c r="AT314">
        <f t="shared" si="122"/>
        <v>0</v>
      </c>
      <c r="AU314" s="2">
        <f>0</f>
        <v>0</v>
      </c>
      <c r="AV314" s="2">
        <f>IF(INDEX(FPL_Raw_Data!K:K,MATCH(A314,FPL_Raw_Data!AA:AA,0))=0,"",INDEX(FPL_Raw_Data!P:P,MATCH(A314,FPL_Raw_Data!AA:AA,0))/INDEX(FPL_Raw_Data!K:K,MATCH(A314,FPL_Raw_Data!AA:AA,0))*90)</f>
        <v>0</v>
      </c>
      <c r="AW314" s="2">
        <f t="shared" si="123"/>
        <v>0</v>
      </c>
      <c r="AX314" s="2">
        <f>IFERROR(INDEX(TEAM_ANALYSIS!$H$2:$H$21,MATCH($B314,TEAM_ANALYSIS!$A$2:$A$21,0)),0)</f>
        <v>0</v>
      </c>
      <c r="AY314" s="2">
        <f t="shared" si="124"/>
        <v>0</v>
      </c>
      <c r="AZ314" s="2">
        <f t="shared" si="125"/>
        <v>0</v>
      </c>
      <c r="BA314">
        <f t="shared" si="126"/>
        <v>0</v>
      </c>
      <c r="BB314">
        <f>IFERROR(Player_Analysis!$Y314,1)</f>
        <v>0.95496539792387547</v>
      </c>
      <c r="BC314">
        <f t="shared" si="127"/>
        <v>0</v>
      </c>
      <c r="BD314">
        <f t="shared" si="128"/>
        <v>0</v>
      </c>
      <c r="BE314">
        <f t="shared" si="129"/>
        <v>0</v>
      </c>
      <c r="BF314">
        <f t="shared" si="130"/>
        <v>253</v>
      </c>
      <c r="BG314">
        <f>IF($BE314="","",COUNTIFS($C$2:$C$596,$C314,$BE$2:$BE$596,"&gt;"&amp;$BE314)+COUNTIFS($C$2:$C314,$C314,$BE$2:$BE314,$BE314))</f>
        <v>192</v>
      </c>
    </row>
    <row r="315" spans="1:59" x14ac:dyDescent="0.25">
      <c r="A315" t="str">
        <f>Player_Analysis!A315</f>
        <v>Dillon Phillips</v>
      </c>
      <c r="B315">
        <f>Player_Analysis!C315</f>
        <v>11</v>
      </c>
      <c r="C315" t="str">
        <f>Player_Analysis!B315</f>
        <v>GK</v>
      </c>
      <c r="D315" s="13">
        <f>Player_Analysis!E315</f>
        <v>4</v>
      </c>
      <c r="E315">
        <f>Player_Analysis!I315</f>
        <v>0</v>
      </c>
      <c r="F315" s="8">
        <f>Player_Analysis!Z315</f>
        <v>0</v>
      </c>
      <c r="G315" s="17">
        <f t="shared" si="105"/>
        <v>0</v>
      </c>
      <c r="H315">
        <f t="shared" si="106"/>
        <v>0</v>
      </c>
      <c r="I315" s="8">
        <f>Player_Analysis!AF315</f>
        <v>0</v>
      </c>
      <c r="J315" s="8">
        <f>Player_Analysis!AG315</f>
        <v>0</v>
      </c>
      <c r="K315">
        <f>Player_Analysis!O315</f>
        <v>0</v>
      </c>
      <c r="L315">
        <f>Player_Analysis!P315</f>
        <v>0</v>
      </c>
      <c r="M315" t="str">
        <f t="shared" si="107"/>
        <v/>
      </c>
      <c r="N315" t="str">
        <f t="shared" si="108"/>
        <v/>
      </c>
      <c r="O315" s="2" t="str">
        <f>IF(E315=0,"",Player_Analysis!L315/E315*90)</f>
        <v/>
      </c>
      <c r="P315" t="str">
        <f>IF(E315=0,"",Player_Analysis!Q315/E315*90)</f>
        <v/>
      </c>
      <c r="Q315" t="str">
        <f>IF(E315=0,"",(Player_Analysis!AD315/E315)*90)</f>
        <v/>
      </c>
      <c r="R315" t="str">
        <f>IF(E315=0,"",Player_Analysis!AA315/E315*90)</f>
        <v/>
      </c>
      <c r="S315" t="str">
        <f t="array" ref="S315">IFERROR(INDEX('2023_24'!$O:$O,MATCH($A315,'2023_24'!$A:$A,0)),"")</f>
        <v/>
      </c>
      <c r="T315" t="str">
        <f>IFERROR(INDEX('2024_25'!$P:$P,MATCH($A315,'2024_25'!$A:$A,0)),"")</f>
        <v/>
      </c>
      <c r="U315" t="str">
        <f>IFERROR(INDEX('2025_26'!$P:$P,MATCH($A315,'2025_26'!$A:$A,0)),"")</f>
        <v/>
      </c>
      <c r="V315" t="str">
        <f>IFERROR(INDEX('2023_24'!$P:$P,MATCH($A315,'2023_24'!$A:$A,0)),"")</f>
        <v/>
      </c>
      <c r="W315" t="str">
        <f>IFERROR(INDEX('2024_25'!$Q:$Q,MATCH($A315,'2024_25'!$A:$A,0)),"")</f>
        <v/>
      </c>
      <c r="X315" t="str">
        <f>IFERROR(INDEX('2025_26'!$Q:$Q,MATCH($A315,'2025_26'!$A:$A,0)),"")</f>
        <v/>
      </c>
      <c r="Y315" t="str">
        <f>IFERROR(INDEX('2023_24'!$M:$M,MATCH($A315,'2023_24'!$A:$A,0))/INDEX('2023_24'!$G:$G,MATCH($A315,'2023_24'!$A:$A,0))*90,"")</f>
        <v/>
      </c>
      <c r="Z315" t="str">
        <f>IFERROR(INDEX('2024_25'!$M:$M,MATCH($A315,'2024_25'!$A:$A,0))/INDEX('2024_25'!$G:$G,MATCH($A315,'2024_25'!$A:$A,0))*90,"")</f>
        <v/>
      </c>
      <c r="AA315" t="str">
        <f>IFERROR(INDEX('2025_26'!$M:$M,MATCH($A315,'2025_26'!$A:$A,0))/INDEX('2025_26'!$G:$G,MATCH($A315,'2025_26'!$A:$A,0))*90,"")</f>
        <v/>
      </c>
      <c r="AB315" t="str">
        <f>IFERROR(SUMPRODUCT(S315:U315,{0.2,0.3,0.5})/SUMPRODUCT(--(S315:U315&lt;&gt;""),{0.2,0.3,0.5}),"")</f>
        <v/>
      </c>
      <c r="AC315" t="str">
        <f>IFERROR(SUMPRODUCT(V315:X315,{0.2,0.3,0.5})/SUMPRODUCT(--(V315:X315&lt;&gt;""),{0.2,0.3,0.5}),"")</f>
        <v/>
      </c>
      <c r="AD315" t="str">
        <f>IFERROR(SUMPRODUCT(Y315:AA315,{0.2,0.3,0.5})/SUMPRODUCT((Y315:AA315&lt;&gt;"")*{0.2,0.3,0.5}),O315)</f>
        <v/>
      </c>
      <c r="AE315">
        <f t="shared" si="109"/>
        <v>0</v>
      </c>
      <c r="AF315" t="str">
        <f t="shared" si="110"/>
        <v/>
      </c>
      <c r="AG315">
        <f t="shared" si="111"/>
        <v>0</v>
      </c>
      <c r="AH315">
        <f t="shared" si="112"/>
        <v>0</v>
      </c>
      <c r="AI315" s="2">
        <f t="shared" si="113"/>
        <v>0</v>
      </c>
      <c r="AJ315">
        <f t="shared" si="114"/>
        <v>0</v>
      </c>
      <c r="AK315" t="str">
        <f t="shared" si="115"/>
        <v>YES</v>
      </c>
      <c r="AL315">
        <f t="shared" si="116"/>
        <v>0</v>
      </c>
      <c r="AM315">
        <f t="shared" si="117"/>
        <v>0</v>
      </c>
      <c r="AN315">
        <f t="shared" si="118"/>
        <v>0</v>
      </c>
      <c r="AO315">
        <f t="shared" si="119"/>
        <v>0</v>
      </c>
      <c r="AP315">
        <f t="array" ref="AP315">AL315*IF($C315="GKP",10,IF($C315="DEF",6,IF($C315="MID",5,4)))</f>
        <v>0</v>
      </c>
      <c r="AQ315">
        <f t="shared" si="120"/>
        <v>0</v>
      </c>
      <c r="AR315">
        <f t="shared" si="121"/>
        <v>0</v>
      </c>
      <c r="AS315" s="2">
        <f>IF($H315=0,0,Player_Analysis!$AM315*$H315/90)</f>
        <v>0</v>
      </c>
      <c r="AT315">
        <f t="shared" si="122"/>
        <v>0</v>
      </c>
      <c r="AU315" s="2">
        <f>0</f>
        <v>0</v>
      </c>
      <c r="AV315" s="2" t="str">
        <f>IF(INDEX(FPL_Raw_Data!K:K,MATCH(A315,FPL_Raw_Data!AA:AA,0))=0,"",INDEX(FPL_Raw_Data!P:P,MATCH(A315,FPL_Raw_Data!AA:AA,0))/INDEX(FPL_Raw_Data!K:K,MATCH(A315,FPL_Raw_Data!AA:AA,0))*90)</f>
        <v/>
      </c>
      <c r="AW315" s="2">
        <f t="shared" si="123"/>
        <v>0</v>
      </c>
      <c r="AX315" s="2">
        <f>IFERROR(INDEX(TEAM_ANALYSIS!$H$2:$H$21,MATCH($B315,TEAM_ANALYSIS!$A$2:$A$21,0)),0)</f>
        <v>0</v>
      </c>
      <c r="AY315" s="2">
        <f t="shared" si="124"/>
        <v>0</v>
      </c>
      <c r="AZ315" s="2">
        <f t="shared" si="125"/>
        <v>0</v>
      </c>
      <c r="BA315">
        <f t="shared" si="126"/>
        <v>0</v>
      </c>
      <c r="BB315">
        <f>IFERROR(Player_Analysis!$Y315,1)</f>
        <v>1.1999999999999997</v>
      </c>
      <c r="BC315">
        <f t="shared" si="127"/>
        <v>0</v>
      </c>
      <c r="BD315">
        <f t="shared" si="128"/>
        <v>0</v>
      </c>
      <c r="BE315">
        <f t="shared" si="129"/>
        <v>0</v>
      </c>
      <c r="BF315">
        <f t="shared" si="130"/>
        <v>253</v>
      </c>
      <c r="BG315">
        <f>IF($BE315="","",COUNTIFS($C$2:$C$596,$C315,$BE$2:$BE$596,"&gt;"&amp;$BE315)+COUNTIFS($C$2:$C315,$C315,$BE$2:$BE315,$BE315))</f>
        <v>40</v>
      </c>
    </row>
    <row r="316" spans="1:59" x14ac:dyDescent="0.25">
      <c r="A316" t="str">
        <f>Player_Analysis!A316</f>
        <v>Jack Butland</v>
      </c>
      <c r="B316">
        <f>Player_Analysis!C316</f>
        <v>11</v>
      </c>
      <c r="C316" t="str">
        <f>Player_Analysis!B316</f>
        <v>GK</v>
      </c>
      <c r="D316" s="13">
        <f>Player_Analysis!E316</f>
        <v>4.5</v>
      </c>
      <c r="E316">
        <f>Player_Analysis!I316</f>
        <v>0</v>
      </c>
      <c r="F316" s="8">
        <f>Player_Analysis!Z316</f>
        <v>0</v>
      </c>
      <c r="G316" s="17">
        <f t="shared" si="105"/>
        <v>0</v>
      </c>
      <c r="H316">
        <f t="shared" si="106"/>
        <v>0</v>
      </c>
      <c r="I316" s="8">
        <f>Player_Analysis!AF316</f>
        <v>0</v>
      </c>
      <c r="J316" s="8">
        <f>Player_Analysis!AG316</f>
        <v>0</v>
      </c>
      <c r="K316">
        <f>Player_Analysis!O316</f>
        <v>0</v>
      </c>
      <c r="L316">
        <f>Player_Analysis!P316</f>
        <v>0</v>
      </c>
      <c r="M316" t="str">
        <f t="shared" si="107"/>
        <v/>
      </c>
      <c r="N316" t="str">
        <f t="shared" si="108"/>
        <v/>
      </c>
      <c r="O316" s="2" t="str">
        <f>IF(E316=0,"",Player_Analysis!L316/E316*90)</f>
        <v/>
      </c>
      <c r="P316" t="str">
        <f>IF(E316=0,"",Player_Analysis!Q316/E316*90)</f>
        <v/>
      </c>
      <c r="Q316" t="str">
        <f>IF(E316=0,"",(Player_Analysis!AD316/E316)*90)</f>
        <v/>
      </c>
      <c r="R316" t="str">
        <f>IF(E316=0,"",Player_Analysis!AA316/E316*90)</f>
        <v/>
      </c>
      <c r="S316" t="str">
        <f t="array" ref="S316">IFERROR(INDEX('2023_24'!$O:$O,MATCH($A316,'2023_24'!$A:$A,0)),"")</f>
        <v/>
      </c>
      <c r="T316" t="str">
        <f>IFERROR(INDEX('2024_25'!$P:$P,MATCH($A316,'2024_25'!$A:$A,0)),"")</f>
        <v/>
      </c>
      <c r="U316" t="str">
        <f>IFERROR(INDEX('2025_26'!$P:$P,MATCH($A316,'2025_26'!$A:$A,0)),"")</f>
        <v/>
      </c>
      <c r="V316" t="str">
        <f>IFERROR(INDEX('2023_24'!$P:$P,MATCH($A316,'2023_24'!$A:$A,0)),"")</f>
        <v/>
      </c>
      <c r="W316" t="str">
        <f>IFERROR(INDEX('2024_25'!$Q:$Q,MATCH($A316,'2024_25'!$A:$A,0)),"")</f>
        <v/>
      </c>
      <c r="X316" t="str">
        <f>IFERROR(INDEX('2025_26'!$Q:$Q,MATCH($A316,'2025_26'!$A:$A,0)),"")</f>
        <v/>
      </c>
      <c r="Y316" t="str">
        <f>IFERROR(INDEX('2023_24'!$M:$M,MATCH($A316,'2023_24'!$A:$A,0))/INDEX('2023_24'!$G:$G,MATCH($A316,'2023_24'!$A:$A,0))*90,"")</f>
        <v/>
      </c>
      <c r="Z316" t="str">
        <f>IFERROR(INDEX('2024_25'!$M:$M,MATCH($A316,'2024_25'!$A:$A,0))/INDEX('2024_25'!$G:$G,MATCH($A316,'2024_25'!$A:$A,0))*90,"")</f>
        <v/>
      </c>
      <c r="AA316" t="str">
        <f>IFERROR(INDEX('2025_26'!$M:$M,MATCH($A316,'2025_26'!$A:$A,0))/INDEX('2025_26'!$G:$G,MATCH($A316,'2025_26'!$A:$A,0))*90,"")</f>
        <v/>
      </c>
      <c r="AB316" t="str">
        <f>IFERROR(SUMPRODUCT(S316:U316,{0.2,0.3,0.5})/SUMPRODUCT(--(S316:U316&lt;&gt;""),{0.2,0.3,0.5}),"")</f>
        <v/>
      </c>
      <c r="AC316" t="str">
        <f>IFERROR(SUMPRODUCT(V316:X316,{0.2,0.3,0.5})/SUMPRODUCT(--(V316:X316&lt;&gt;""),{0.2,0.3,0.5}),"")</f>
        <v/>
      </c>
      <c r="AD316" t="str">
        <f>IFERROR(SUMPRODUCT(Y316:AA316,{0.2,0.3,0.5})/SUMPRODUCT((Y316:AA316&lt;&gt;"")*{0.2,0.3,0.5}),O316)</f>
        <v/>
      </c>
      <c r="AE316">
        <f t="shared" si="109"/>
        <v>0</v>
      </c>
      <c r="AF316" t="str">
        <f t="shared" si="110"/>
        <v/>
      </c>
      <c r="AG316">
        <f t="shared" si="111"/>
        <v>0</v>
      </c>
      <c r="AH316">
        <f t="shared" si="112"/>
        <v>0</v>
      </c>
      <c r="AI316" s="2">
        <f t="shared" si="113"/>
        <v>0</v>
      </c>
      <c r="AJ316">
        <f t="shared" si="114"/>
        <v>0</v>
      </c>
      <c r="AK316" t="str">
        <f t="shared" si="115"/>
        <v>YES</v>
      </c>
      <c r="AL316">
        <f t="shared" si="116"/>
        <v>0</v>
      </c>
      <c r="AM316">
        <f t="shared" si="117"/>
        <v>0</v>
      </c>
      <c r="AN316">
        <f t="shared" si="118"/>
        <v>0</v>
      </c>
      <c r="AO316">
        <f t="shared" si="119"/>
        <v>0</v>
      </c>
      <c r="AP316">
        <f t="array" ref="AP316">AL316*IF($C316="GKP",10,IF($C316="DEF",6,IF($C316="MID",5,4)))</f>
        <v>0</v>
      </c>
      <c r="AQ316">
        <f t="shared" si="120"/>
        <v>0</v>
      </c>
      <c r="AR316">
        <f t="shared" si="121"/>
        <v>0</v>
      </c>
      <c r="AS316" s="2">
        <f>IF($H316=0,0,Player_Analysis!$AM316*$H316/90)</f>
        <v>0</v>
      </c>
      <c r="AT316">
        <f t="shared" si="122"/>
        <v>0</v>
      </c>
      <c r="AU316" s="2">
        <f>0</f>
        <v>0</v>
      </c>
      <c r="AV316" s="2" t="str">
        <f>IF(INDEX(FPL_Raw_Data!K:K,MATCH(A316,FPL_Raw_Data!AA:AA,0))=0,"",INDEX(FPL_Raw_Data!P:P,MATCH(A316,FPL_Raw_Data!AA:AA,0))/INDEX(FPL_Raw_Data!K:K,MATCH(A316,FPL_Raw_Data!AA:AA,0))*90)</f>
        <v/>
      </c>
      <c r="AW316" s="2">
        <f t="shared" si="123"/>
        <v>0</v>
      </c>
      <c r="AX316" s="2">
        <f>IFERROR(INDEX(TEAM_ANALYSIS!$H$2:$H$21,MATCH($B316,TEAM_ANALYSIS!$A$2:$A$21,0)),0)</f>
        <v>0</v>
      </c>
      <c r="AY316" s="2">
        <f t="shared" si="124"/>
        <v>0</v>
      </c>
      <c r="AZ316" s="2">
        <f t="shared" si="125"/>
        <v>0</v>
      </c>
      <c r="BA316">
        <f t="shared" si="126"/>
        <v>0</v>
      </c>
      <c r="BB316">
        <f>IFERROR(Player_Analysis!$Y316,1)</f>
        <v>1.1999999999999997</v>
      </c>
      <c r="BC316">
        <f t="shared" si="127"/>
        <v>0</v>
      </c>
      <c r="BD316">
        <f t="shared" si="128"/>
        <v>0</v>
      </c>
      <c r="BE316">
        <f t="shared" si="129"/>
        <v>0</v>
      </c>
      <c r="BF316">
        <f t="shared" si="130"/>
        <v>253</v>
      </c>
      <c r="BG316">
        <f>IF($BE316="","",COUNTIFS($C$2:$C$596,$C316,$BE$2:$BE$596,"&gt;"&amp;$BE316)+COUNTIFS($C$2:$C316,$C316,$BE$2:$BE316,$BE316))</f>
        <v>41</v>
      </c>
    </row>
    <row r="317" spans="1:59" x14ac:dyDescent="0.25">
      <c r="A317" t="str">
        <f>Player_Analysis!A317</f>
        <v>Harvey Cartwright</v>
      </c>
      <c r="B317">
        <f>Player_Analysis!C317</f>
        <v>11</v>
      </c>
      <c r="C317" t="str">
        <f>Player_Analysis!B317</f>
        <v>GK</v>
      </c>
      <c r="D317" s="13">
        <f>Player_Analysis!E317</f>
        <v>4</v>
      </c>
      <c r="E317">
        <f>Player_Analysis!I317</f>
        <v>0</v>
      </c>
      <c r="F317" s="8">
        <f>Player_Analysis!Z317</f>
        <v>0</v>
      </c>
      <c r="G317" s="17">
        <f t="shared" si="105"/>
        <v>0</v>
      </c>
      <c r="H317">
        <f t="shared" si="106"/>
        <v>0</v>
      </c>
      <c r="I317" s="8">
        <f>Player_Analysis!AF317</f>
        <v>0</v>
      </c>
      <c r="J317" s="8">
        <f>Player_Analysis!AG317</f>
        <v>0</v>
      </c>
      <c r="K317">
        <f>Player_Analysis!O317</f>
        <v>0</v>
      </c>
      <c r="L317">
        <f>Player_Analysis!P317</f>
        <v>0</v>
      </c>
      <c r="M317" t="str">
        <f t="shared" si="107"/>
        <v/>
      </c>
      <c r="N317" t="str">
        <f t="shared" si="108"/>
        <v/>
      </c>
      <c r="O317" s="2" t="str">
        <f>IF(E317=0,"",Player_Analysis!L317/E317*90)</f>
        <v/>
      </c>
      <c r="P317" t="str">
        <f>IF(E317=0,"",Player_Analysis!Q317/E317*90)</f>
        <v/>
      </c>
      <c r="Q317" t="str">
        <f>IF(E317=0,"",(Player_Analysis!AD317/E317)*90)</f>
        <v/>
      </c>
      <c r="R317" t="str">
        <f>IF(E317=0,"",Player_Analysis!AA317/E317*90)</f>
        <v/>
      </c>
      <c r="S317" t="str">
        <f t="array" ref="S317">IFERROR(INDEX('2023_24'!$O:$O,MATCH($A317,'2023_24'!$A:$A,0)),"")</f>
        <v/>
      </c>
      <c r="T317" t="str">
        <f>IFERROR(INDEX('2024_25'!$P:$P,MATCH($A317,'2024_25'!$A:$A,0)),"")</f>
        <v/>
      </c>
      <c r="U317" t="str">
        <f>IFERROR(INDEX('2025_26'!$P:$P,MATCH($A317,'2025_26'!$A:$A,0)),"")</f>
        <v/>
      </c>
      <c r="V317" t="str">
        <f>IFERROR(INDEX('2023_24'!$P:$P,MATCH($A317,'2023_24'!$A:$A,0)),"")</f>
        <v/>
      </c>
      <c r="W317" t="str">
        <f>IFERROR(INDEX('2024_25'!$Q:$Q,MATCH($A317,'2024_25'!$A:$A,0)),"")</f>
        <v/>
      </c>
      <c r="X317" t="str">
        <f>IFERROR(INDEX('2025_26'!$Q:$Q,MATCH($A317,'2025_26'!$A:$A,0)),"")</f>
        <v/>
      </c>
      <c r="Y317" t="str">
        <f>IFERROR(INDEX('2023_24'!$M:$M,MATCH($A317,'2023_24'!$A:$A,0))/INDEX('2023_24'!$G:$G,MATCH($A317,'2023_24'!$A:$A,0))*90,"")</f>
        <v/>
      </c>
      <c r="Z317" t="str">
        <f>IFERROR(INDEX('2024_25'!$M:$M,MATCH($A317,'2024_25'!$A:$A,0))/INDEX('2024_25'!$G:$G,MATCH($A317,'2024_25'!$A:$A,0))*90,"")</f>
        <v/>
      </c>
      <c r="AA317" t="str">
        <f>IFERROR(INDEX('2025_26'!$M:$M,MATCH($A317,'2025_26'!$A:$A,0))/INDEX('2025_26'!$G:$G,MATCH($A317,'2025_26'!$A:$A,0))*90,"")</f>
        <v/>
      </c>
      <c r="AB317" t="str">
        <f>IFERROR(SUMPRODUCT(S317:U317,{0.2,0.3,0.5})/SUMPRODUCT(--(S317:U317&lt;&gt;""),{0.2,0.3,0.5}),"")</f>
        <v/>
      </c>
      <c r="AC317" t="str">
        <f>IFERROR(SUMPRODUCT(V317:X317,{0.2,0.3,0.5})/SUMPRODUCT(--(V317:X317&lt;&gt;""),{0.2,0.3,0.5}),"")</f>
        <v/>
      </c>
      <c r="AD317" t="str">
        <f>IFERROR(SUMPRODUCT(Y317:AA317,{0.2,0.3,0.5})/SUMPRODUCT((Y317:AA317&lt;&gt;"")*{0.2,0.3,0.5}),O317)</f>
        <v/>
      </c>
      <c r="AE317">
        <f t="shared" si="109"/>
        <v>0</v>
      </c>
      <c r="AF317" t="str">
        <f t="shared" si="110"/>
        <v/>
      </c>
      <c r="AG317">
        <f t="shared" si="111"/>
        <v>0</v>
      </c>
      <c r="AH317">
        <f t="shared" si="112"/>
        <v>0</v>
      </c>
      <c r="AI317" s="2">
        <f t="shared" si="113"/>
        <v>0</v>
      </c>
      <c r="AJ317">
        <f t="shared" si="114"/>
        <v>0</v>
      </c>
      <c r="AK317" t="str">
        <f t="shared" si="115"/>
        <v>YES</v>
      </c>
      <c r="AL317">
        <f t="shared" si="116"/>
        <v>0</v>
      </c>
      <c r="AM317">
        <f t="shared" si="117"/>
        <v>0</v>
      </c>
      <c r="AN317">
        <f t="shared" si="118"/>
        <v>0</v>
      </c>
      <c r="AO317">
        <f t="shared" si="119"/>
        <v>0</v>
      </c>
      <c r="AP317">
        <f t="array" ref="AP317">AL317*IF($C317="GKP",10,IF($C317="DEF",6,IF($C317="MID",5,4)))</f>
        <v>0</v>
      </c>
      <c r="AQ317">
        <f t="shared" si="120"/>
        <v>0</v>
      </c>
      <c r="AR317">
        <f t="shared" si="121"/>
        <v>0</v>
      </c>
      <c r="AS317" s="2">
        <f>IF($H317=0,0,Player_Analysis!$AM317*$H317/90)</f>
        <v>0</v>
      </c>
      <c r="AT317">
        <f t="shared" si="122"/>
        <v>0</v>
      </c>
      <c r="AU317" s="2">
        <f>0</f>
        <v>0</v>
      </c>
      <c r="AV317" s="2" t="str">
        <f>IF(INDEX(FPL_Raw_Data!K:K,MATCH(A317,FPL_Raw_Data!AA:AA,0))=0,"",INDEX(FPL_Raw_Data!P:P,MATCH(A317,FPL_Raw_Data!AA:AA,0))/INDEX(FPL_Raw_Data!K:K,MATCH(A317,FPL_Raw_Data!AA:AA,0))*90)</f>
        <v/>
      </c>
      <c r="AW317" s="2">
        <f t="shared" si="123"/>
        <v>0</v>
      </c>
      <c r="AX317" s="2">
        <f>IFERROR(INDEX(TEAM_ANALYSIS!$H$2:$H$21,MATCH($B317,TEAM_ANALYSIS!$A$2:$A$21,0)),0)</f>
        <v>0</v>
      </c>
      <c r="AY317" s="2">
        <f t="shared" si="124"/>
        <v>0</v>
      </c>
      <c r="AZ317" s="2">
        <f t="shared" si="125"/>
        <v>0</v>
      </c>
      <c r="BA317">
        <f t="shared" si="126"/>
        <v>0</v>
      </c>
      <c r="BB317">
        <f>IFERROR(Player_Analysis!$Y317,1)</f>
        <v>1.1999999999999997</v>
      </c>
      <c r="BC317">
        <f t="shared" si="127"/>
        <v>0</v>
      </c>
      <c r="BD317">
        <f t="shared" si="128"/>
        <v>0</v>
      </c>
      <c r="BE317">
        <f t="shared" si="129"/>
        <v>0</v>
      </c>
      <c r="BF317">
        <f t="shared" si="130"/>
        <v>253</v>
      </c>
      <c r="BG317">
        <f>IF($BE317="","",COUNTIFS($C$2:$C$596,$C317,$BE$2:$BE$596,"&gt;"&amp;$BE317)+COUNTIFS($C$2:$C317,$C317,$BE$2:$BE317,$BE317))</f>
        <v>42</v>
      </c>
    </row>
    <row r="318" spans="1:59" x14ac:dyDescent="0.25">
      <c r="A318" t="str">
        <f>Player_Analysis!A318</f>
        <v>Thimothée Lo-Tutala</v>
      </c>
      <c r="B318">
        <f>Player_Analysis!C318</f>
        <v>11</v>
      </c>
      <c r="C318" t="str">
        <f>Player_Analysis!B318</f>
        <v>GK</v>
      </c>
      <c r="D318" s="13">
        <f>Player_Analysis!E318</f>
        <v>4</v>
      </c>
      <c r="E318">
        <f>Player_Analysis!I318</f>
        <v>0</v>
      </c>
      <c r="F318" s="8">
        <f>Player_Analysis!Z318</f>
        <v>0</v>
      </c>
      <c r="G318" s="17">
        <f t="shared" si="105"/>
        <v>0</v>
      </c>
      <c r="H318">
        <f t="shared" si="106"/>
        <v>0</v>
      </c>
      <c r="I318" s="8">
        <f>Player_Analysis!AF318</f>
        <v>0</v>
      </c>
      <c r="J318" s="8">
        <f>Player_Analysis!AG318</f>
        <v>0</v>
      </c>
      <c r="K318">
        <f>Player_Analysis!O318</f>
        <v>0</v>
      </c>
      <c r="L318">
        <f>Player_Analysis!P318</f>
        <v>0</v>
      </c>
      <c r="M318" t="str">
        <f t="shared" si="107"/>
        <v/>
      </c>
      <c r="N318" t="str">
        <f t="shared" si="108"/>
        <v/>
      </c>
      <c r="O318" s="2" t="str">
        <f>IF(E318=0,"",Player_Analysis!L318/E318*90)</f>
        <v/>
      </c>
      <c r="P318" t="str">
        <f>IF(E318=0,"",Player_Analysis!Q318/E318*90)</f>
        <v/>
      </c>
      <c r="Q318" t="str">
        <f>IF(E318=0,"",(Player_Analysis!AD318/E318)*90)</f>
        <v/>
      </c>
      <c r="R318" t="str">
        <f>IF(E318=0,"",Player_Analysis!AA318/E318*90)</f>
        <v/>
      </c>
      <c r="S318" t="str">
        <f t="array" ref="S318">IFERROR(INDEX('2023_24'!$O:$O,MATCH($A318,'2023_24'!$A:$A,0)),"")</f>
        <v/>
      </c>
      <c r="T318" t="str">
        <f>IFERROR(INDEX('2024_25'!$P:$P,MATCH($A318,'2024_25'!$A:$A,0)),"")</f>
        <v/>
      </c>
      <c r="U318" t="str">
        <f>IFERROR(INDEX('2025_26'!$P:$P,MATCH($A318,'2025_26'!$A:$A,0)),"")</f>
        <v/>
      </c>
      <c r="V318" t="str">
        <f>IFERROR(INDEX('2023_24'!$P:$P,MATCH($A318,'2023_24'!$A:$A,0)),"")</f>
        <v/>
      </c>
      <c r="W318" t="str">
        <f>IFERROR(INDEX('2024_25'!$Q:$Q,MATCH($A318,'2024_25'!$A:$A,0)),"")</f>
        <v/>
      </c>
      <c r="X318" t="str">
        <f>IFERROR(INDEX('2025_26'!$Q:$Q,MATCH($A318,'2025_26'!$A:$A,0)),"")</f>
        <v/>
      </c>
      <c r="Y318" t="str">
        <f>IFERROR(INDEX('2023_24'!$M:$M,MATCH($A318,'2023_24'!$A:$A,0))/INDEX('2023_24'!$G:$G,MATCH($A318,'2023_24'!$A:$A,0))*90,"")</f>
        <v/>
      </c>
      <c r="Z318" t="str">
        <f>IFERROR(INDEX('2024_25'!$M:$M,MATCH($A318,'2024_25'!$A:$A,0))/INDEX('2024_25'!$G:$G,MATCH($A318,'2024_25'!$A:$A,0))*90,"")</f>
        <v/>
      </c>
      <c r="AA318" t="str">
        <f>IFERROR(INDEX('2025_26'!$M:$M,MATCH($A318,'2025_26'!$A:$A,0))/INDEX('2025_26'!$G:$G,MATCH($A318,'2025_26'!$A:$A,0))*90,"")</f>
        <v/>
      </c>
      <c r="AB318" t="str">
        <f>IFERROR(SUMPRODUCT(S318:U318,{0.2,0.3,0.5})/SUMPRODUCT(--(S318:U318&lt;&gt;""),{0.2,0.3,0.5}),"")</f>
        <v/>
      </c>
      <c r="AC318" t="str">
        <f>IFERROR(SUMPRODUCT(V318:X318,{0.2,0.3,0.5})/SUMPRODUCT(--(V318:X318&lt;&gt;""),{0.2,0.3,0.5}),"")</f>
        <v/>
      </c>
      <c r="AD318" t="str">
        <f>IFERROR(SUMPRODUCT(Y318:AA318,{0.2,0.3,0.5})/SUMPRODUCT((Y318:AA318&lt;&gt;"")*{0.2,0.3,0.5}),O318)</f>
        <v/>
      </c>
      <c r="AE318">
        <f t="shared" si="109"/>
        <v>0</v>
      </c>
      <c r="AF318" t="str">
        <f t="shared" si="110"/>
        <v/>
      </c>
      <c r="AG318">
        <f t="shared" si="111"/>
        <v>0</v>
      </c>
      <c r="AH318">
        <f t="shared" si="112"/>
        <v>0</v>
      </c>
      <c r="AI318" s="2">
        <f t="shared" si="113"/>
        <v>0</v>
      </c>
      <c r="AJ318">
        <f t="shared" si="114"/>
        <v>0</v>
      </c>
      <c r="AK318" t="str">
        <f t="shared" si="115"/>
        <v>YES</v>
      </c>
      <c r="AL318">
        <f t="shared" si="116"/>
        <v>0</v>
      </c>
      <c r="AM318">
        <f t="shared" si="117"/>
        <v>0</v>
      </c>
      <c r="AN318">
        <f t="shared" si="118"/>
        <v>0</v>
      </c>
      <c r="AO318">
        <f t="shared" si="119"/>
        <v>0</v>
      </c>
      <c r="AP318">
        <f t="array" ref="AP318">AL318*IF($C318="GKP",10,IF($C318="DEF",6,IF($C318="MID",5,4)))</f>
        <v>0</v>
      </c>
      <c r="AQ318">
        <f t="shared" si="120"/>
        <v>0</v>
      </c>
      <c r="AR318">
        <f t="shared" si="121"/>
        <v>0</v>
      </c>
      <c r="AS318" s="2">
        <f>IF($H318=0,0,Player_Analysis!$AM318*$H318/90)</f>
        <v>0</v>
      </c>
      <c r="AT318">
        <f t="shared" si="122"/>
        <v>0</v>
      </c>
      <c r="AU318" s="2">
        <f>0</f>
        <v>0</v>
      </c>
      <c r="AV318" s="2" t="str">
        <f>IF(INDEX(FPL_Raw_Data!K:K,MATCH(A318,FPL_Raw_Data!AA:AA,0))=0,"",INDEX(FPL_Raw_Data!P:P,MATCH(A318,FPL_Raw_Data!AA:AA,0))/INDEX(FPL_Raw_Data!K:K,MATCH(A318,FPL_Raw_Data!AA:AA,0))*90)</f>
        <v/>
      </c>
      <c r="AW318" s="2">
        <f t="shared" si="123"/>
        <v>0</v>
      </c>
      <c r="AX318" s="2">
        <f>IFERROR(INDEX(TEAM_ANALYSIS!$H$2:$H$21,MATCH($B318,TEAM_ANALYSIS!$A$2:$A$21,0)),0)</f>
        <v>0</v>
      </c>
      <c r="AY318" s="2">
        <f t="shared" si="124"/>
        <v>0</v>
      </c>
      <c r="AZ318" s="2">
        <f t="shared" si="125"/>
        <v>0</v>
      </c>
      <c r="BA318">
        <f t="shared" si="126"/>
        <v>0</v>
      </c>
      <c r="BB318">
        <f>IFERROR(Player_Analysis!$Y318,1)</f>
        <v>1.1999999999999997</v>
      </c>
      <c r="BC318">
        <f t="shared" si="127"/>
        <v>0</v>
      </c>
      <c r="BD318">
        <f t="shared" si="128"/>
        <v>0</v>
      </c>
      <c r="BE318">
        <f t="shared" si="129"/>
        <v>0</v>
      </c>
      <c r="BF318">
        <f t="shared" si="130"/>
        <v>253</v>
      </c>
      <c r="BG318">
        <f>IF($BE318="","",COUNTIFS($C$2:$C$596,$C318,$BE$2:$BE$596,"&gt;"&amp;$BE318)+COUNTIFS($C$2:$C318,$C318,$BE$2:$BE318,$BE318))</f>
        <v>43</v>
      </c>
    </row>
    <row r="319" spans="1:59" x14ac:dyDescent="0.25">
      <c r="A319" t="str">
        <f>Player_Analysis!A319</f>
        <v>John Egan</v>
      </c>
      <c r="B319">
        <f>Player_Analysis!C319</f>
        <v>11</v>
      </c>
      <c r="C319" t="str">
        <f>Player_Analysis!B319</f>
        <v>DEF</v>
      </c>
      <c r="D319" s="13">
        <f>Player_Analysis!E319</f>
        <v>4.0999999999999996</v>
      </c>
      <c r="E319">
        <f>Player_Analysis!I319</f>
        <v>270</v>
      </c>
      <c r="F319" s="8">
        <f>Player_Analysis!Z319</f>
        <v>3</v>
      </c>
      <c r="G319" s="17">
        <f t="shared" si="105"/>
        <v>1</v>
      </c>
      <c r="H319">
        <f t="shared" si="106"/>
        <v>90</v>
      </c>
      <c r="I319" s="8">
        <f>Player_Analysis!AF319</f>
        <v>0</v>
      </c>
      <c r="J319" s="8">
        <f>Player_Analysis!AG319</f>
        <v>0</v>
      </c>
      <c r="K319">
        <f>Player_Analysis!O319</f>
        <v>0</v>
      </c>
      <c r="L319">
        <f>Player_Analysis!P319</f>
        <v>0</v>
      </c>
      <c r="M319">
        <f t="shared" si="107"/>
        <v>0</v>
      </c>
      <c r="N319">
        <f t="shared" si="108"/>
        <v>0</v>
      </c>
      <c r="O319" s="2">
        <f>IF(E319=0,"",Player_Analysis!L319/E319*90)</f>
        <v>7.6666666666666661</v>
      </c>
      <c r="P319">
        <f>IF(E319=0,"",Player_Analysis!Q319/E319*90)</f>
        <v>0</v>
      </c>
      <c r="Q319">
        <f>IF(E319=0,"",(Player_Analysis!AD319/E319)*90)</f>
        <v>23.333333333333332</v>
      </c>
      <c r="R319">
        <f>IF(E319=0,"",Player_Analysis!AA319/E319*90)</f>
        <v>13.666666666666666</v>
      </c>
      <c r="S319">
        <f t="array" ref="S319">IFERROR(INDEX('2023_24'!$O:$O,MATCH($A319,'2023_24'!$A:$A,0)),"")</f>
        <v>3.1742738589211617E-2</v>
      </c>
      <c r="T319" t="str">
        <f>IFERROR(INDEX('2024_25'!$P:$P,MATCH($A319,'2024_25'!$A:$A,0)),"")</f>
        <v/>
      </c>
      <c r="U319" t="str">
        <f>IFERROR(INDEX('2025_26'!$P:$P,MATCH($A319,'2025_26'!$A:$A,0)),"")</f>
        <v/>
      </c>
      <c r="V319">
        <f>IFERROR(INDEX('2023_24'!$P:$P,MATCH($A319,'2023_24'!$A:$A,0)),"")</f>
        <v>0</v>
      </c>
      <c r="W319" t="str">
        <f>IFERROR(INDEX('2024_25'!$Q:$Q,MATCH($A319,'2024_25'!$A:$A,0)),"")</f>
        <v/>
      </c>
      <c r="X319" t="str">
        <f>IFERROR(INDEX('2025_26'!$Q:$Q,MATCH($A319,'2025_26'!$A:$A,0)),"")</f>
        <v/>
      </c>
      <c r="Y319">
        <f>IFERROR(INDEX('2023_24'!$M:$M,MATCH($A319,'2023_24'!$A:$A,0))/INDEX('2023_24'!$G:$G,MATCH($A319,'2023_24'!$A:$A,0))*90,"")</f>
        <v>0.18672199170124482</v>
      </c>
      <c r="Z319" t="str">
        <f>IFERROR(INDEX('2024_25'!$M:$M,MATCH($A319,'2024_25'!$A:$A,0))/INDEX('2024_25'!$G:$G,MATCH($A319,'2024_25'!$A:$A,0))*90,"")</f>
        <v/>
      </c>
      <c r="AA319" t="str">
        <f>IFERROR(INDEX('2025_26'!$M:$M,MATCH($A319,'2025_26'!$A:$A,0))/INDEX('2025_26'!$G:$G,MATCH($A319,'2025_26'!$A:$A,0))*90,"")</f>
        <v/>
      </c>
      <c r="AB319">
        <f>IFERROR(SUMPRODUCT(S319:U319,{0.2,0.3,0.5})/SUMPRODUCT(--(S319:U319&lt;&gt;""),{0.2,0.3,0.5}),"")</f>
        <v>3.1742738589211617E-2</v>
      </c>
      <c r="AC319">
        <f>IFERROR(SUMPRODUCT(V319:X319,{0.2,0.3,0.5})/SUMPRODUCT(--(V319:X319&lt;&gt;""),{0.2,0.3,0.5}),"")</f>
        <v>0</v>
      </c>
      <c r="AD319">
        <f>IFERROR(SUMPRODUCT(Y319:AA319,{0.2,0.3,0.5})/SUMPRODUCT((Y319:AA319&lt;&gt;"")*{0.2,0.3,0.5}),O319)</f>
        <v>0.18672199170124479</v>
      </c>
      <c r="AE319">
        <f t="shared" si="109"/>
        <v>1</v>
      </c>
      <c r="AF319">
        <f t="shared" si="110"/>
        <v>90</v>
      </c>
      <c r="AG319">
        <f t="shared" si="111"/>
        <v>3.1742738589211608E-3</v>
      </c>
      <c r="AH319">
        <f t="shared" si="112"/>
        <v>0</v>
      </c>
      <c r="AI319" s="2">
        <f t="shared" si="113"/>
        <v>6.9186721991701239</v>
      </c>
      <c r="AJ319">
        <f t="shared" si="114"/>
        <v>0.9</v>
      </c>
      <c r="AK319" t="str">
        <f t="shared" si="115"/>
        <v>NO</v>
      </c>
      <c r="AL319">
        <f t="shared" si="116"/>
        <v>3.1742738589211612E-3</v>
      </c>
      <c r="AM319">
        <f t="shared" si="117"/>
        <v>0</v>
      </c>
      <c r="AN319">
        <f t="shared" si="118"/>
        <v>3.1742738589211612E-3</v>
      </c>
      <c r="AO319">
        <f t="shared" si="119"/>
        <v>0</v>
      </c>
      <c r="AP319">
        <f t="array" ref="AP319">AL319*IF($C319="GKP",10,IF($C319="DEF",6,IF($C319="MID",5,4)))</f>
        <v>1.9045643153526966E-2</v>
      </c>
      <c r="AQ319">
        <f t="shared" si="120"/>
        <v>0</v>
      </c>
      <c r="AR319">
        <f t="shared" si="121"/>
        <v>2</v>
      </c>
      <c r="AS319" s="2">
        <f>IF($H319=0,0,Player_Analysis!$AM319*$H319/90)</f>
        <v>4</v>
      </c>
      <c r="AT319">
        <f t="shared" si="122"/>
        <v>2.7333333333333334</v>
      </c>
      <c r="AU319" s="2">
        <f>0</f>
        <v>0</v>
      </c>
      <c r="AV319" s="2">
        <f>IF(INDEX(FPL_Raw_Data!K:K,MATCH(A319,FPL_Raw_Data!AA:AA,0))=0,"",INDEX(FPL_Raw_Data!P:P,MATCH(A319,FPL_Raw_Data!AA:AA,0))/INDEX(FPL_Raw_Data!K:K,MATCH(A319,FPL_Raw_Data!AA:AA,0))*90)</f>
        <v>0</v>
      </c>
      <c r="AW319" s="2">
        <f t="shared" si="123"/>
        <v>0</v>
      </c>
      <c r="AX319" s="2">
        <f>IFERROR(INDEX(TEAM_ANALYSIS!$H$2:$H$21,MATCH($B319,TEAM_ANALYSIS!$A$2:$A$21,0)),0)</f>
        <v>0</v>
      </c>
      <c r="AY319" s="2">
        <f t="shared" si="124"/>
        <v>0</v>
      </c>
      <c r="AZ319" s="2">
        <f t="shared" si="125"/>
        <v>8.7523789764868596</v>
      </c>
      <c r="BA319">
        <f t="shared" si="126"/>
        <v>2.1347265796309416</v>
      </c>
      <c r="BB319">
        <f>IFERROR(Player_Analysis!$Y319,1)</f>
        <v>1.1999999999999997</v>
      </c>
      <c r="BC319">
        <f t="shared" si="127"/>
        <v>10.502854771784229</v>
      </c>
      <c r="BD319">
        <f t="shared" si="128"/>
        <v>22.420723243331459</v>
      </c>
      <c r="BE319">
        <f t="shared" si="129"/>
        <v>10.502854771784229</v>
      </c>
      <c r="BF319">
        <f t="shared" si="130"/>
        <v>1</v>
      </c>
      <c r="BG319">
        <f>IF($BE319="","",COUNTIFS($C$2:$C$596,$C319,$BE$2:$BE$596,"&gt;"&amp;$BE319)+COUNTIFS($C$2:$C319,$C319,$BE$2:$BE319,$BE319))</f>
        <v>1</v>
      </c>
    </row>
    <row r="320" spans="1:59" x14ac:dyDescent="0.25">
      <c r="A320" t="str">
        <f>Player_Analysis!A320</f>
        <v>Charlie Hughes</v>
      </c>
      <c r="B320">
        <f>Player_Analysis!C320</f>
        <v>11</v>
      </c>
      <c r="C320" t="str">
        <f>Player_Analysis!B320</f>
        <v>DEF</v>
      </c>
      <c r="D320" s="13">
        <f>Player_Analysis!E320</f>
        <v>4</v>
      </c>
      <c r="E320">
        <f>Player_Analysis!I320</f>
        <v>0</v>
      </c>
      <c r="F320" s="8">
        <f>Player_Analysis!Z320</f>
        <v>0</v>
      </c>
      <c r="G320" s="17">
        <f t="shared" si="105"/>
        <v>0</v>
      </c>
      <c r="H320">
        <f t="shared" si="106"/>
        <v>0</v>
      </c>
      <c r="I320" s="8">
        <f>Player_Analysis!AF320</f>
        <v>0</v>
      </c>
      <c r="J320" s="8">
        <f>Player_Analysis!AG320</f>
        <v>0</v>
      </c>
      <c r="K320">
        <f>Player_Analysis!O320</f>
        <v>0</v>
      </c>
      <c r="L320">
        <f>Player_Analysis!P320</f>
        <v>0</v>
      </c>
      <c r="M320" t="str">
        <f t="shared" si="107"/>
        <v/>
      </c>
      <c r="N320" t="str">
        <f t="shared" si="108"/>
        <v/>
      </c>
      <c r="O320" s="2" t="str">
        <f>IF(E320=0,"",Player_Analysis!L320/E320*90)</f>
        <v/>
      </c>
      <c r="P320" t="str">
        <f>IF(E320=0,"",Player_Analysis!Q320/E320*90)</f>
        <v/>
      </c>
      <c r="Q320" t="str">
        <f>IF(E320=0,"",(Player_Analysis!AD320/E320)*90)</f>
        <v/>
      </c>
      <c r="R320" t="str">
        <f>IF(E320=0,"",Player_Analysis!AA320/E320*90)</f>
        <v/>
      </c>
      <c r="S320" t="str">
        <f t="array" ref="S320">IFERROR(INDEX('2023_24'!$O:$O,MATCH($A320,'2023_24'!$A:$A,0)),"")</f>
        <v/>
      </c>
      <c r="T320" t="str">
        <f>IFERROR(INDEX('2024_25'!$P:$P,MATCH($A320,'2024_25'!$A:$A,0)),"")</f>
        <v/>
      </c>
      <c r="U320" t="str">
        <f>IFERROR(INDEX('2025_26'!$P:$P,MATCH($A320,'2025_26'!$A:$A,0)),"")</f>
        <v/>
      </c>
      <c r="V320" t="str">
        <f>IFERROR(INDEX('2023_24'!$P:$P,MATCH($A320,'2023_24'!$A:$A,0)),"")</f>
        <v/>
      </c>
      <c r="W320" t="str">
        <f>IFERROR(INDEX('2024_25'!$Q:$Q,MATCH($A320,'2024_25'!$A:$A,0)),"")</f>
        <v/>
      </c>
      <c r="X320" t="str">
        <f>IFERROR(INDEX('2025_26'!$Q:$Q,MATCH($A320,'2025_26'!$A:$A,0)),"")</f>
        <v/>
      </c>
      <c r="Y320" t="str">
        <f>IFERROR(INDEX('2023_24'!$M:$M,MATCH($A320,'2023_24'!$A:$A,0))/INDEX('2023_24'!$G:$G,MATCH($A320,'2023_24'!$A:$A,0))*90,"")</f>
        <v/>
      </c>
      <c r="Z320" t="str">
        <f>IFERROR(INDEX('2024_25'!$M:$M,MATCH($A320,'2024_25'!$A:$A,0))/INDEX('2024_25'!$G:$G,MATCH($A320,'2024_25'!$A:$A,0))*90,"")</f>
        <v/>
      </c>
      <c r="AA320" t="str">
        <f>IFERROR(INDEX('2025_26'!$M:$M,MATCH($A320,'2025_26'!$A:$A,0))/INDEX('2025_26'!$G:$G,MATCH($A320,'2025_26'!$A:$A,0))*90,"")</f>
        <v/>
      </c>
      <c r="AB320" t="str">
        <f>IFERROR(SUMPRODUCT(S320:U320,{0.2,0.3,0.5})/SUMPRODUCT(--(S320:U320&lt;&gt;""),{0.2,0.3,0.5}),"")</f>
        <v/>
      </c>
      <c r="AC320" t="str">
        <f>IFERROR(SUMPRODUCT(V320:X320,{0.2,0.3,0.5})/SUMPRODUCT(--(V320:X320&lt;&gt;""),{0.2,0.3,0.5}),"")</f>
        <v/>
      </c>
      <c r="AD320" t="str">
        <f>IFERROR(SUMPRODUCT(Y320:AA320,{0.2,0.3,0.5})/SUMPRODUCT((Y320:AA320&lt;&gt;"")*{0.2,0.3,0.5}),O320)</f>
        <v/>
      </c>
      <c r="AE320">
        <f t="shared" si="109"/>
        <v>0</v>
      </c>
      <c r="AF320" t="str">
        <f t="shared" si="110"/>
        <v/>
      </c>
      <c r="AG320">
        <f t="shared" si="111"/>
        <v>0</v>
      </c>
      <c r="AH320">
        <f t="shared" si="112"/>
        <v>0</v>
      </c>
      <c r="AI320" s="2">
        <f t="shared" si="113"/>
        <v>0</v>
      </c>
      <c r="AJ320">
        <f t="shared" si="114"/>
        <v>0</v>
      </c>
      <c r="AK320" t="str">
        <f t="shared" si="115"/>
        <v>YES</v>
      </c>
      <c r="AL320">
        <f t="shared" si="116"/>
        <v>0</v>
      </c>
      <c r="AM320">
        <f t="shared" si="117"/>
        <v>0</v>
      </c>
      <c r="AN320">
        <f t="shared" si="118"/>
        <v>0</v>
      </c>
      <c r="AO320">
        <f t="shared" si="119"/>
        <v>0</v>
      </c>
      <c r="AP320">
        <f t="array" ref="AP320">AL320*IF($C320="GKP",10,IF($C320="DEF",6,IF($C320="MID",5,4)))</f>
        <v>0</v>
      </c>
      <c r="AQ320">
        <f t="shared" si="120"/>
        <v>0</v>
      </c>
      <c r="AR320">
        <f t="shared" si="121"/>
        <v>0</v>
      </c>
      <c r="AS320" s="2">
        <f>IF($H320=0,0,Player_Analysis!$AM320*$H320/90)</f>
        <v>0</v>
      </c>
      <c r="AT320">
        <f t="shared" si="122"/>
        <v>0</v>
      </c>
      <c r="AU320" s="2">
        <f>0</f>
        <v>0</v>
      </c>
      <c r="AV320" s="2" t="str">
        <f>IF(INDEX(FPL_Raw_Data!K:K,MATCH(A320,FPL_Raw_Data!AA:AA,0))=0,"",INDEX(FPL_Raw_Data!P:P,MATCH(A320,FPL_Raw_Data!AA:AA,0))/INDEX(FPL_Raw_Data!K:K,MATCH(A320,FPL_Raw_Data!AA:AA,0))*90)</f>
        <v/>
      </c>
      <c r="AW320" s="2">
        <f t="shared" si="123"/>
        <v>0</v>
      </c>
      <c r="AX320" s="2">
        <f>IFERROR(INDEX(TEAM_ANALYSIS!$H$2:$H$21,MATCH($B320,TEAM_ANALYSIS!$A$2:$A$21,0)),0)</f>
        <v>0</v>
      </c>
      <c r="AY320" s="2">
        <f t="shared" si="124"/>
        <v>0</v>
      </c>
      <c r="AZ320" s="2">
        <f t="shared" si="125"/>
        <v>0</v>
      </c>
      <c r="BA320">
        <f t="shared" si="126"/>
        <v>0</v>
      </c>
      <c r="BB320">
        <f>IFERROR(Player_Analysis!$Y320,1)</f>
        <v>1.1999999999999997</v>
      </c>
      <c r="BC320">
        <f t="shared" si="127"/>
        <v>0</v>
      </c>
      <c r="BD320">
        <f t="shared" si="128"/>
        <v>0</v>
      </c>
      <c r="BE320">
        <f t="shared" si="129"/>
        <v>0</v>
      </c>
      <c r="BF320">
        <f t="shared" si="130"/>
        <v>253</v>
      </c>
      <c r="BG320">
        <f>IF($BE320="","",COUNTIFS($C$2:$C$596,$C320,$BE$2:$BE$596,"&gt;"&amp;$BE320)+COUNTIFS($C$2:$C320,$C320,$BE$2:$BE320,$BE320))</f>
        <v>97</v>
      </c>
    </row>
    <row r="321" spans="1:59" x14ac:dyDescent="0.25">
      <c r="A321" t="str">
        <f>Player_Analysis!A321</f>
        <v>Semi Ajayi</v>
      </c>
      <c r="B321">
        <f>Player_Analysis!C321</f>
        <v>11</v>
      </c>
      <c r="C321" t="str">
        <f>Player_Analysis!B321</f>
        <v>DEF</v>
      </c>
      <c r="D321" s="13">
        <f>Player_Analysis!E321</f>
        <v>4.0999999999999996</v>
      </c>
      <c r="E321">
        <f>Player_Analysis!I321</f>
        <v>243</v>
      </c>
      <c r="F321" s="8">
        <f>Player_Analysis!Z321</f>
        <v>3</v>
      </c>
      <c r="G321" s="17">
        <f t="shared" si="105"/>
        <v>1</v>
      </c>
      <c r="H321">
        <f t="shared" si="106"/>
        <v>90</v>
      </c>
      <c r="I321" s="8">
        <f>Player_Analysis!AF321</f>
        <v>1</v>
      </c>
      <c r="J321" s="8">
        <f>Player_Analysis!AG321</f>
        <v>0</v>
      </c>
      <c r="K321">
        <f>Player_Analysis!O321</f>
        <v>0.52</v>
      </c>
      <c r="L321">
        <f>Player_Analysis!P321</f>
        <v>0</v>
      </c>
      <c r="M321">
        <f t="shared" si="107"/>
        <v>0.19259259259259259</v>
      </c>
      <c r="N321">
        <f t="shared" si="108"/>
        <v>0</v>
      </c>
      <c r="O321" s="2">
        <f>IF(E321=0,"",Player_Analysis!L321/E321*90)</f>
        <v>9.2592592592592595</v>
      </c>
      <c r="P321">
        <f>IF(E321=0,"",Player_Analysis!Q321/E321*90)</f>
        <v>0.19259259259259259</v>
      </c>
      <c r="Q321">
        <f>IF(E321=0,"",(Player_Analysis!AD321/E321)*90)</f>
        <v>29.62962962962963</v>
      </c>
      <c r="R321">
        <f>IF(E321=0,"",Player_Analysis!AA321/E321*90)</f>
        <v>7.4074074074074074</v>
      </c>
      <c r="S321" t="str">
        <f t="array" ref="S321">IFERROR(INDEX('2023_24'!$O:$O,MATCH($A321,'2023_24'!$A:$A,0)),"")</f>
        <v/>
      </c>
      <c r="T321" t="str">
        <f>IFERROR(INDEX('2024_25'!$P:$P,MATCH($A321,'2024_25'!$A:$A,0)),"")</f>
        <v/>
      </c>
      <c r="U321" t="str">
        <f>IFERROR(INDEX('2025_26'!$P:$P,MATCH($A321,'2025_26'!$A:$A,0)),"")</f>
        <v/>
      </c>
      <c r="V321" t="str">
        <f>IFERROR(INDEX('2023_24'!$P:$P,MATCH($A321,'2023_24'!$A:$A,0)),"")</f>
        <v/>
      </c>
      <c r="W321" t="str">
        <f>IFERROR(INDEX('2024_25'!$Q:$Q,MATCH($A321,'2024_25'!$A:$A,0)),"")</f>
        <v/>
      </c>
      <c r="X321" t="str">
        <f>IFERROR(INDEX('2025_26'!$Q:$Q,MATCH($A321,'2025_26'!$A:$A,0)),"")</f>
        <v/>
      </c>
      <c r="Y321" t="str">
        <f>IFERROR(INDEX('2023_24'!$M:$M,MATCH($A321,'2023_24'!$A:$A,0))/INDEX('2023_24'!$G:$G,MATCH($A321,'2023_24'!$A:$A,0))*90,"")</f>
        <v/>
      </c>
      <c r="Z321" t="str">
        <f>IFERROR(INDEX('2024_25'!$M:$M,MATCH($A321,'2024_25'!$A:$A,0))/INDEX('2024_25'!$G:$G,MATCH($A321,'2024_25'!$A:$A,0))*90,"")</f>
        <v/>
      </c>
      <c r="AA321" t="str">
        <f>IFERROR(INDEX('2025_26'!$M:$M,MATCH($A321,'2025_26'!$A:$A,0))/INDEX('2025_26'!$G:$G,MATCH($A321,'2025_26'!$A:$A,0))*90,"")</f>
        <v/>
      </c>
      <c r="AB321" t="str">
        <f>IFERROR(SUMPRODUCT(S321:U321,{0.2,0.3,0.5})/SUMPRODUCT(--(S321:U321&lt;&gt;""),{0.2,0.3,0.5}),"")</f>
        <v/>
      </c>
      <c r="AC321" t="str">
        <f>IFERROR(SUMPRODUCT(V321:X321,{0.2,0.3,0.5})/SUMPRODUCT(--(V321:X321&lt;&gt;""),{0.2,0.3,0.5}),"")</f>
        <v/>
      </c>
      <c r="AD321">
        <f>IFERROR(SUMPRODUCT(Y321:AA321,{0.2,0.3,0.5})/SUMPRODUCT((Y321:AA321&lt;&gt;"")*{0.2,0.3,0.5}),O321)</f>
        <v>9.2592592592592595</v>
      </c>
      <c r="AE321">
        <f t="shared" si="109"/>
        <v>0</v>
      </c>
      <c r="AF321">
        <f t="shared" si="110"/>
        <v>81</v>
      </c>
      <c r="AG321">
        <f t="shared" si="111"/>
        <v>0.19259259259259259</v>
      </c>
      <c r="AH321">
        <f t="shared" si="112"/>
        <v>0</v>
      </c>
      <c r="AI321" s="2">
        <f t="shared" si="113"/>
        <v>9.2592592592592595</v>
      </c>
      <c r="AJ321">
        <f t="shared" si="114"/>
        <v>0.81</v>
      </c>
      <c r="AK321" t="str">
        <f t="shared" si="115"/>
        <v>YES</v>
      </c>
      <c r="AL321">
        <f t="shared" si="116"/>
        <v>0.19259259259259259</v>
      </c>
      <c r="AM321">
        <f t="shared" si="117"/>
        <v>0</v>
      </c>
      <c r="AN321">
        <f t="shared" si="118"/>
        <v>0.19259259259259259</v>
      </c>
      <c r="AO321">
        <f t="shared" si="119"/>
        <v>0</v>
      </c>
      <c r="AP321">
        <f t="array" ref="AP321">AL321*IF($C321="GKP",10,IF($C321="DEF",6,IF($C321="MID",5,4)))</f>
        <v>1.1555555555555554</v>
      </c>
      <c r="AQ321">
        <f t="shared" si="120"/>
        <v>0</v>
      </c>
      <c r="AR321">
        <f t="shared" si="121"/>
        <v>2</v>
      </c>
      <c r="AS321" s="2">
        <f>IF($H321=0,0,Player_Analysis!$AM321*$H321/90)</f>
        <v>4</v>
      </c>
      <c r="AT321">
        <f t="shared" si="122"/>
        <v>1.4814814814814814</v>
      </c>
      <c r="AU321" s="2">
        <f>0</f>
        <v>0</v>
      </c>
      <c r="AV321" s="2">
        <f>IF(INDEX(FPL_Raw_Data!K:K,MATCH(A321,FPL_Raw_Data!AA:AA,0))=0,"",INDEX(FPL_Raw_Data!P:P,MATCH(A321,FPL_Raw_Data!AA:AA,0))/INDEX(FPL_Raw_Data!K:K,MATCH(A321,FPL_Raw_Data!AA:AA,0))*90)</f>
        <v>0</v>
      </c>
      <c r="AW321" s="2">
        <f t="shared" si="123"/>
        <v>0</v>
      </c>
      <c r="AX321" s="2">
        <f>IFERROR(INDEX(TEAM_ANALYSIS!$H$2:$H$21,MATCH($B321,TEAM_ANALYSIS!$A$2:$A$21,0)),0)</f>
        <v>0</v>
      </c>
      <c r="AY321" s="2">
        <f t="shared" si="124"/>
        <v>0</v>
      </c>
      <c r="AZ321" s="2">
        <f t="shared" si="125"/>
        <v>8.637037037037036</v>
      </c>
      <c r="BA321">
        <f t="shared" si="126"/>
        <v>2.1065943992773262</v>
      </c>
      <c r="BB321">
        <f>IFERROR(Player_Analysis!$Y321,1)</f>
        <v>1.1999999999999997</v>
      </c>
      <c r="BC321">
        <f t="shared" si="127"/>
        <v>10.364444444444441</v>
      </c>
      <c r="BD321">
        <f t="shared" si="128"/>
        <v>21.833680618287659</v>
      </c>
      <c r="BE321">
        <f t="shared" si="129"/>
        <v>10.364444444444441</v>
      </c>
      <c r="BF321">
        <f t="shared" si="130"/>
        <v>2</v>
      </c>
      <c r="BG321">
        <f>IF($BE321="","",COUNTIFS($C$2:$C$596,$C321,$BE$2:$BE$596,"&gt;"&amp;$BE321)+COUNTIFS($C$2:$C321,$C321,$BE$2:$BE321,$BE321))</f>
        <v>2</v>
      </c>
    </row>
    <row r="322" spans="1:59" x14ac:dyDescent="0.25">
      <c r="A322" t="str">
        <f>Player_Analysis!A322</f>
        <v>Lewie Coyle</v>
      </c>
      <c r="B322">
        <f>Player_Analysis!C322</f>
        <v>11</v>
      </c>
      <c r="C322" t="str">
        <f>Player_Analysis!B322</f>
        <v>DEF</v>
      </c>
      <c r="D322" s="13">
        <f>Player_Analysis!E322</f>
        <v>4</v>
      </c>
      <c r="E322">
        <f>Player_Analysis!I322</f>
        <v>177</v>
      </c>
      <c r="F322" s="8">
        <f>Player_Analysis!Z322</f>
        <v>3</v>
      </c>
      <c r="G322" s="17">
        <f t="shared" ref="G322:G385" si="131">IF(E322=0,0,MIN(1,F322/(E322/90)))</f>
        <v>1</v>
      </c>
      <c r="H322">
        <f t="shared" ref="H322:H385" si="132">IF($E322=0,0,MIN(90,$G322*90))</f>
        <v>90</v>
      </c>
      <c r="I322" s="8">
        <f>Player_Analysis!AF322</f>
        <v>0</v>
      </c>
      <c r="J322" s="8">
        <f>Player_Analysis!AG322</f>
        <v>0</v>
      </c>
      <c r="K322">
        <f>Player_Analysis!O322</f>
        <v>0</v>
      </c>
      <c r="L322">
        <f>Player_Analysis!P322</f>
        <v>0.02</v>
      </c>
      <c r="M322">
        <f t="shared" ref="M322:M385" si="133">IF(E322=0,"",K322/E322*90)</f>
        <v>0</v>
      </c>
      <c r="N322">
        <f t="shared" ref="N322:N385" si="134">IF(E322=0,"",L322/E322*90)</f>
        <v>1.0169491525423728E-2</v>
      </c>
      <c r="O322" s="2">
        <f>IF(E322=0,"",Player_Analysis!L322/E322*90)</f>
        <v>6.101694915254237</v>
      </c>
      <c r="P322">
        <f>IF(E322=0,"",Player_Analysis!Q322/E322*90)</f>
        <v>1.0169491525423728E-2</v>
      </c>
      <c r="Q322">
        <f>IF(E322=0,"",(Player_Analysis!AD322/E322)*90)</f>
        <v>22.372881355932204</v>
      </c>
      <c r="R322">
        <f>IF(E322=0,"",Player_Analysis!AA322/E322*90)</f>
        <v>3.0508474576271185</v>
      </c>
      <c r="S322" t="str">
        <f t="array" ref="S322">IFERROR(INDEX('2023_24'!$O:$O,MATCH($A322,'2023_24'!$A:$A,0)),"")</f>
        <v/>
      </c>
      <c r="T322" t="str">
        <f>IFERROR(INDEX('2024_25'!$P:$P,MATCH($A322,'2024_25'!$A:$A,0)),"")</f>
        <v/>
      </c>
      <c r="U322" t="str">
        <f>IFERROR(INDEX('2025_26'!$P:$P,MATCH($A322,'2025_26'!$A:$A,0)),"")</f>
        <v/>
      </c>
      <c r="V322" t="str">
        <f>IFERROR(INDEX('2023_24'!$P:$P,MATCH($A322,'2023_24'!$A:$A,0)),"")</f>
        <v/>
      </c>
      <c r="W322" t="str">
        <f>IFERROR(INDEX('2024_25'!$Q:$Q,MATCH($A322,'2024_25'!$A:$A,0)),"")</f>
        <v/>
      </c>
      <c r="X322" t="str">
        <f>IFERROR(INDEX('2025_26'!$Q:$Q,MATCH($A322,'2025_26'!$A:$A,0)),"")</f>
        <v/>
      </c>
      <c r="Y322" t="str">
        <f>IFERROR(INDEX('2023_24'!$M:$M,MATCH($A322,'2023_24'!$A:$A,0))/INDEX('2023_24'!$G:$G,MATCH($A322,'2023_24'!$A:$A,0))*90,"")</f>
        <v/>
      </c>
      <c r="Z322" t="str">
        <f>IFERROR(INDEX('2024_25'!$M:$M,MATCH($A322,'2024_25'!$A:$A,0))/INDEX('2024_25'!$G:$G,MATCH($A322,'2024_25'!$A:$A,0))*90,"")</f>
        <v/>
      </c>
      <c r="AA322" t="str">
        <f>IFERROR(INDEX('2025_26'!$M:$M,MATCH($A322,'2025_26'!$A:$A,0))/INDEX('2025_26'!$G:$G,MATCH($A322,'2025_26'!$A:$A,0))*90,"")</f>
        <v/>
      </c>
      <c r="AB322" t="str">
        <f>IFERROR(SUMPRODUCT(S322:U322,{0.2,0.3,0.5})/SUMPRODUCT(--(S322:U322&lt;&gt;""),{0.2,0.3,0.5}),"")</f>
        <v/>
      </c>
      <c r="AC322" t="str">
        <f>IFERROR(SUMPRODUCT(V322:X322,{0.2,0.3,0.5})/SUMPRODUCT(--(V322:X322&lt;&gt;""),{0.2,0.3,0.5}),"")</f>
        <v/>
      </c>
      <c r="AD322">
        <f>IFERROR(SUMPRODUCT(Y322:AA322,{0.2,0.3,0.5})/SUMPRODUCT((Y322:AA322&lt;&gt;"")*{0.2,0.3,0.5}),O322)</f>
        <v>6.101694915254237</v>
      </c>
      <c r="AE322">
        <f t="shared" ref="AE322:AE385" si="135">COUNT(S322:U322)</f>
        <v>0</v>
      </c>
      <c r="AF322">
        <f t="shared" ref="AF322:AF385" si="136">IF(F322=0,"",E322/F322)</f>
        <v>59</v>
      </c>
      <c r="AG322">
        <f t="shared" ref="AG322:AG385" si="137">IF(AND(M322="",AB322=""),0,IF(M322="",AB322,IF(AB322="",M322,M322*AJ322+AB322*(1-AJ322))))</f>
        <v>0</v>
      </c>
      <c r="AH322">
        <f t="shared" ref="AH322:AH385" si="138">IF(AND(N322="",AC322=""),0,IF(N322="",AC322,IF(AC322="",N322,N322*AJ322+AC322*(1-AJ322))))</f>
        <v>1.0169491525423728E-2</v>
      </c>
      <c r="AI322" s="2">
        <f t="shared" ref="AI322:AI385" si="139">IF(AND(O322="",AD322=""),0,IF(O322="",AD322,IF(AD322="",O322,O322*AJ322+AD322*(1-AJ322))))</f>
        <v>6.101694915254237</v>
      </c>
      <c r="AJ322">
        <f t="shared" ref="AJ322:AJ385" si="140">IF($E322=0,0,MIN(0.9,$E322/300))</f>
        <v>0.59</v>
      </c>
      <c r="AK322" t="str">
        <f t="shared" ref="AK322:AK385" si="141">IF(AE322=0,"YES","NO")</f>
        <v>YES</v>
      </c>
      <c r="AL322">
        <f t="shared" ref="AL322:AL385" si="142">IF($H322=0,0,$AG322*$H322/90)</f>
        <v>0</v>
      </c>
      <c r="AM322">
        <f t="shared" ref="AM322:AM385" si="143">IF($H322=0,0,$AH322*$H322/90)</f>
        <v>1.0169491525423728E-2</v>
      </c>
      <c r="AN322">
        <f t="shared" ref="AN322:AN385" si="144">AL322</f>
        <v>0</v>
      </c>
      <c r="AO322">
        <f t="shared" ref="AO322:AO385" si="145">AM322</f>
        <v>1.0169491525423728E-2</v>
      </c>
      <c r="AP322">
        <f t="array" ref="AP322">AL322*IF($C322="GKP",10,IF($C322="DEF",6,IF($C322="MID",5,4)))</f>
        <v>0</v>
      </c>
      <c r="AQ322">
        <f t="shared" ref="AQ322:AQ385" si="146">AM322*3</f>
        <v>3.0508474576271184E-2</v>
      </c>
      <c r="AR322">
        <f t="shared" ref="AR322:AR385" si="147">$G322*2</f>
        <v>2</v>
      </c>
      <c r="AS322" s="2">
        <f>IF($H322=0,0,Player_Analysis!$AM322*$H322/90)</f>
        <v>2.6666666666666665</v>
      </c>
      <c r="AT322">
        <f t="shared" ref="AT322:AT385" si="148">IF($H322=0,0,$R322*$H322/90*2/IF(OR($C322="GKP",$C322="DEF"),10,12))</f>
        <v>0.61016949152542377</v>
      </c>
      <c r="AU322" s="2">
        <f>0</f>
        <v>0</v>
      </c>
      <c r="AV322" s="2">
        <f>IF(INDEX(FPL_Raw_Data!K:K,MATCH(A322,FPL_Raw_Data!AA:AA,0))=0,"",INDEX(FPL_Raw_Data!P:P,MATCH(A322,FPL_Raw_Data!AA:AA,0))/INDEX(FPL_Raw_Data!K:K,MATCH(A322,FPL_Raw_Data!AA:AA,0))*90)</f>
        <v>0</v>
      </c>
      <c r="AW322" s="2">
        <f t="shared" ref="AW322:AW385" si="149">IF(AV322="",0,AV322/3)</f>
        <v>0</v>
      </c>
      <c r="AX322" s="2">
        <f>IFERROR(INDEX(TEAM_ANALYSIS!$H$2:$H$21,MATCH($B322,TEAM_ANALYSIS!$A$2:$A$21,0)),0)</f>
        <v>0</v>
      </c>
      <c r="AY322" s="2">
        <f t="shared" ref="AY322:AY385" si="150">IF(OR($C322="GKP",$C322="DEF"),-($AX322/2),0)</f>
        <v>0</v>
      </c>
      <c r="AZ322" s="2">
        <f t="shared" ref="AZ322:AZ385" si="151">SUM(AP322:AU322)+AW322+AY322</f>
        <v>5.3073446327683618</v>
      </c>
      <c r="BA322">
        <f t="shared" ref="BA322:BA385" si="152">IF($D322=0,0,$AZ322/$D322)</f>
        <v>1.3268361581920904</v>
      </c>
      <c r="BB322">
        <f>IFERROR(Player_Analysis!$Y322,1)</f>
        <v>1.1999999999999997</v>
      </c>
      <c r="BC322">
        <f t="shared" ref="BC322:BC385" si="153">BB322*AZ322</f>
        <v>6.3688135593220325</v>
      </c>
      <c r="BD322">
        <f t="shared" ref="BD322:BD385" si="154">BA322*BC322</f>
        <v>8.4503721152925397</v>
      </c>
      <c r="BE322">
        <f t="shared" ref="BE322:BE385" si="155">BC322</f>
        <v>6.3688135593220325</v>
      </c>
      <c r="BF322">
        <f t="shared" ref="BF322:BF385" si="156">IF($BE322="","",_xlfn.RANK.EQ($BE322,$BE$2:$BE$596,0))</f>
        <v>32</v>
      </c>
      <c r="BG322">
        <f>IF($BE322="","",COUNTIFS($C$2:$C$596,$C322,$BE$2:$BE$596,"&gt;"&amp;$BE322)+COUNTIFS($C$2:$C322,$C322,$BE$2:$BE322,$BE322))</f>
        <v>17</v>
      </c>
    </row>
    <row r="323" spans="1:59" x14ac:dyDescent="0.25">
      <c r="A323" t="str">
        <f>Player_Analysis!A323</f>
        <v>Cody Drameh</v>
      </c>
      <c r="B323">
        <f>Player_Analysis!C323</f>
        <v>11</v>
      </c>
      <c r="C323" t="str">
        <f>Player_Analysis!B323</f>
        <v>DEF</v>
      </c>
      <c r="D323" s="13">
        <f>Player_Analysis!E323</f>
        <v>4</v>
      </c>
      <c r="E323">
        <f>Player_Analysis!I323</f>
        <v>65</v>
      </c>
      <c r="F323" s="8">
        <f>Player_Analysis!Z323</f>
        <v>0</v>
      </c>
      <c r="G323" s="17">
        <f t="shared" si="131"/>
        <v>0</v>
      </c>
      <c r="H323">
        <f t="shared" si="132"/>
        <v>0</v>
      </c>
      <c r="I323" s="8">
        <f>Player_Analysis!AF323</f>
        <v>0</v>
      </c>
      <c r="J323" s="8">
        <f>Player_Analysis!AG323</f>
        <v>0</v>
      </c>
      <c r="K323">
        <f>Player_Analysis!O323</f>
        <v>0.05</v>
      </c>
      <c r="L323">
        <f>Player_Analysis!P323</f>
        <v>0</v>
      </c>
      <c r="M323">
        <f t="shared" si="133"/>
        <v>6.9230769230769235E-2</v>
      </c>
      <c r="N323">
        <f t="shared" si="134"/>
        <v>0</v>
      </c>
      <c r="O323" s="2">
        <f>IF(E323=0,"",Player_Analysis!L323/E323*90)</f>
        <v>2.7692307692307692</v>
      </c>
      <c r="P323">
        <f>IF(E323=0,"",Player_Analysis!Q323/E323*90)</f>
        <v>6.9230769230769235E-2</v>
      </c>
      <c r="Q323">
        <f>IF(E323=0,"",(Player_Analysis!AD323/E323)*90)</f>
        <v>11.076923076923077</v>
      </c>
      <c r="R323">
        <f>IF(E323=0,"",Player_Analysis!AA323/E323*90)</f>
        <v>8.3076923076923084</v>
      </c>
      <c r="S323" t="str">
        <f t="array" ref="S323">IFERROR(INDEX('2023_24'!$O:$O,MATCH($A323,'2023_24'!$A:$A,0)),"")</f>
        <v/>
      </c>
      <c r="T323" t="str">
        <f>IFERROR(INDEX('2024_25'!$P:$P,MATCH($A323,'2024_25'!$A:$A,0)),"")</f>
        <v/>
      </c>
      <c r="U323" t="str">
        <f>IFERROR(INDEX('2025_26'!$P:$P,MATCH($A323,'2025_26'!$A:$A,0)),"")</f>
        <v/>
      </c>
      <c r="V323" t="str">
        <f>IFERROR(INDEX('2023_24'!$P:$P,MATCH($A323,'2023_24'!$A:$A,0)),"")</f>
        <v/>
      </c>
      <c r="W323" t="str">
        <f>IFERROR(INDEX('2024_25'!$Q:$Q,MATCH($A323,'2024_25'!$A:$A,0)),"")</f>
        <v/>
      </c>
      <c r="X323" t="str">
        <f>IFERROR(INDEX('2025_26'!$Q:$Q,MATCH($A323,'2025_26'!$A:$A,0)),"")</f>
        <v/>
      </c>
      <c r="Y323" t="str">
        <f>IFERROR(INDEX('2023_24'!$M:$M,MATCH($A323,'2023_24'!$A:$A,0))/INDEX('2023_24'!$G:$G,MATCH($A323,'2023_24'!$A:$A,0))*90,"")</f>
        <v/>
      </c>
      <c r="Z323" t="str">
        <f>IFERROR(INDEX('2024_25'!$M:$M,MATCH($A323,'2024_25'!$A:$A,0))/INDEX('2024_25'!$G:$G,MATCH($A323,'2024_25'!$A:$A,0))*90,"")</f>
        <v/>
      </c>
      <c r="AA323" t="str">
        <f>IFERROR(INDEX('2025_26'!$M:$M,MATCH($A323,'2025_26'!$A:$A,0))/INDEX('2025_26'!$G:$G,MATCH($A323,'2025_26'!$A:$A,0))*90,"")</f>
        <v/>
      </c>
      <c r="AB323" t="str">
        <f>IFERROR(SUMPRODUCT(S323:U323,{0.2,0.3,0.5})/SUMPRODUCT(--(S323:U323&lt;&gt;""),{0.2,0.3,0.5}),"")</f>
        <v/>
      </c>
      <c r="AC323" t="str">
        <f>IFERROR(SUMPRODUCT(V323:X323,{0.2,0.3,0.5})/SUMPRODUCT(--(V323:X323&lt;&gt;""),{0.2,0.3,0.5}),"")</f>
        <v/>
      </c>
      <c r="AD323">
        <f>IFERROR(SUMPRODUCT(Y323:AA323,{0.2,0.3,0.5})/SUMPRODUCT((Y323:AA323&lt;&gt;"")*{0.2,0.3,0.5}),O323)</f>
        <v>2.7692307692307692</v>
      </c>
      <c r="AE323">
        <f t="shared" si="135"/>
        <v>0</v>
      </c>
      <c r="AF323" t="str">
        <f t="shared" si="136"/>
        <v/>
      </c>
      <c r="AG323">
        <f t="shared" si="137"/>
        <v>6.9230769230769235E-2</v>
      </c>
      <c r="AH323">
        <f t="shared" si="138"/>
        <v>0</v>
      </c>
      <c r="AI323" s="2">
        <f t="shared" si="139"/>
        <v>2.7692307692307692</v>
      </c>
      <c r="AJ323">
        <f t="shared" si="140"/>
        <v>0.21666666666666667</v>
      </c>
      <c r="AK323" t="str">
        <f t="shared" si="141"/>
        <v>YES</v>
      </c>
      <c r="AL323">
        <f t="shared" si="142"/>
        <v>0</v>
      </c>
      <c r="AM323">
        <f t="shared" si="143"/>
        <v>0</v>
      </c>
      <c r="AN323">
        <f t="shared" si="144"/>
        <v>0</v>
      </c>
      <c r="AO323">
        <f t="shared" si="145"/>
        <v>0</v>
      </c>
      <c r="AP323">
        <f t="array" ref="AP323">AL323*IF($C323="GKP",10,IF($C323="DEF",6,IF($C323="MID",5,4)))</f>
        <v>0</v>
      </c>
      <c r="AQ323">
        <f t="shared" si="146"/>
        <v>0</v>
      </c>
      <c r="AR323">
        <f t="shared" si="147"/>
        <v>0</v>
      </c>
      <c r="AS323" s="2">
        <f>IF($H323=0,0,Player_Analysis!$AM323*$H323/90)</f>
        <v>0</v>
      </c>
      <c r="AT323">
        <f t="shared" si="148"/>
        <v>0</v>
      </c>
      <c r="AU323" s="2">
        <f>0</f>
        <v>0</v>
      </c>
      <c r="AV323" s="2">
        <f>IF(INDEX(FPL_Raw_Data!K:K,MATCH(A323,FPL_Raw_Data!AA:AA,0))=0,"",INDEX(FPL_Raw_Data!P:P,MATCH(A323,FPL_Raw_Data!AA:AA,0))/INDEX(FPL_Raw_Data!K:K,MATCH(A323,FPL_Raw_Data!AA:AA,0))*90)</f>
        <v>0</v>
      </c>
      <c r="AW323" s="2">
        <f t="shared" si="149"/>
        <v>0</v>
      </c>
      <c r="AX323" s="2">
        <f>IFERROR(INDEX(TEAM_ANALYSIS!$H$2:$H$21,MATCH($B323,TEAM_ANALYSIS!$A$2:$A$21,0)),0)</f>
        <v>0</v>
      </c>
      <c r="AY323" s="2">
        <f t="shared" si="150"/>
        <v>0</v>
      </c>
      <c r="AZ323" s="2">
        <f t="shared" si="151"/>
        <v>0</v>
      </c>
      <c r="BA323">
        <f t="shared" si="152"/>
        <v>0</v>
      </c>
      <c r="BB323">
        <f>IFERROR(Player_Analysis!$Y323,1)</f>
        <v>1.1999999999999997</v>
      </c>
      <c r="BC323">
        <f t="shared" si="153"/>
        <v>0</v>
      </c>
      <c r="BD323">
        <f t="shared" si="154"/>
        <v>0</v>
      </c>
      <c r="BE323">
        <f t="shared" si="155"/>
        <v>0</v>
      </c>
      <c r="BF323">
        <f t="shared" si="156"/>
        <v>253</v>
      </c>
      <c r="BG323">
        <f>IF($BE323="","",COUNTIFS($C$2:$C$596,$C323,$BE$2:$BE$596,"&gt;"&amp;$BE323)+COUNTIFS($C$2:$C323,$C323,$BE$2:$BE323,$BE323))</f>
        <v>98</v>
      </c>
    </row>
    <row r="324" spans="1:59" x14ac:dyDescent="0.25">
      <c r="A324" t="str">
        <f>Player_Analysis!A324</f>
        <v>Ryan Giles</v>
      </c>
      <c r="B324">
        <f>Player_Analysis!C324</f>
        <v>11</v>
      </c>
      <c r="C324" t="str">
        <f>Player_Analysis!B324</f>
        <v>DEF</v>
      </c>
      <c r="D324" s="13">
        <f>Player_Analysis!E324</f>
        <v>4</v>
      </c>
      <c r="E324">
        <f>Player_Analysis!I324</f>
        <v>264</v>
      </c>
      <c r="F324" s="8">
        <f>Player_Analysis!Z324</f>
        <v>3</v>
      </c>
      <c r="G324" s="17">
        <f t="shared" si="131"/>
        <v>1</v>
      </c>
      <c r="H324">
        <f t="shared" si="132"/>
        <v>90</v>
      </c>
      <c r="I324" s="8">
        <f>Player_Analysis!AF324</f>
        <v>0</v>
      </c>
      <c r="J324" s="8">
        <f>Player_Analysis!AG324</f>
        <v>0</v>
      </c>
      <c r="K324">
        <f>Player_Analysis!O324</f>
        <v>0.02</v>
      </c>
      <c r="L324">
        <f>Player_Analysis!P324</f>
        <v>0.18</v>
      </c>
      <c r="M324">
        <f t="shared" si="133"/>
        <v>6.8181818181818179E-3</v>
      </c>
      <c r="N324">
        <f t="shared" si="134"/>
        <v>6.1363636363636356E-2</v>
      </c>
      <c r="O324" s="2">
        <f>IF(E324=0,"",Player_Analysis!L324/E324*90)</f>
        <v>6.8181818181818183</v>
      </c>
      <c r="P324">
        <f>IF(E324=0,"",Player_Analysis!Q324/E324*90)</f>
        <v>6.8181818181818177E-2</v>
      </c>
      <c r="Q324">
        <f>IF(E324=0,"",(Player_Analysis!AD324/E324)*90)</f>
        <v>25.56818181818182</v>
      </c>
      <c r="R324">
        <f>IF(E324=0,"",Player_Analysis!AA324/E324*90)</f>
        <v>4.0909090909090908</v>
      </c>
      <c r="S324">
        <f t="array" ref="S324">IFERROR(INDEX('2023_24'!$O:$O,MATCH($A324,'2023_24'!$A:$A,0)),"")</f>
        <v>2.1686746987951807E-2</v>
      </c>
      <c r="T324" t="str">
        <f>IFERROR(INDEX('2024_25'!$P:$P,MATCH($A324,'2024_25'!$A:$A,0)),"")</f>
        <v/>
      </c>
      <c r="U324" t="str">
        <f>IFERROR(INDEX('2025_26'!$P:$P,MATCH($A324,'2025_26'!$A:$A,0)),"")</f>
        <v/>
      </c>
      <c r="V324">
        <f>IFERROR(INDEX('2023_24'!$P:$P,MATCH($A324,'2023_24'!$A:$A,0)),"")</f>
        <v>0.10120481927710845</v>
      </c>
      <c r="W324" t="str">
        <f>IFERROR(INDEX('2024_25'!$Q:$Q,MATCH($A324,'2024_25'!$A:$A,0)),"")</f>
        <v/>
      </c>
      <c r="X324" t="str">
        <f>IFERROR(INDEX('2025_26'!$Q:$Q,MATCH($A324,'2025_26'!$A:$A,0)),"")</f>
        <v/>
      </c>
      <c r="Y324">
        <f>IFERROR(INDEX('2023_24'!$M:$M,MATCH($A324,'2023_24'!$A:$A,0))/INDEX('2023_24'!$G:$G,MATCH($A324,'2023_24'!$A:$A,0))*90,"")</f>
        <v>1.9879518072289157</v>
      </c>
      <c r="Z324" t="str">
        <f>IFERROR(INDEX('2024_25'!$M:$M,MATCH($A324,'2024_25'!$A:$A,0))/INDEX('2024_25'!$G:$G,MATCH($A324,'2024_25'!$A:$A,0))*90,"")</f>
        <v/>
      </c>
      <c r="AA324" t="str">
        <f>IFERROR(INDEX('2025_26'!$M:$M,MATCH($A324,'2025_26'!$A:$A,0))/INDEX('2025_26'!$G:$G,MATCH($A324,'2025_26'!$A:$A,0))*90,"")</f>
        <v/>
      </c>
      <c r="AB324">
        <f>IFERROR(SUMPRODUCT(S324:U324,{0.2,0.3,0.5})/SUMPRODUCT(--(S324:U324&lt;&gt;""),{0.2,0.3,0.5}),"")</f>
        <v>2.1686746987951807E-2</v>
      </c>
      <c r="AC324">
        <f>IFERROR(SUMPRODUCT(V324:X324,{0.2,0.3,0.5})/SUMPRODUCT(--(V324:X324&lt;&gt;""),{0.2,0.3,0.5}),"")</f>
        <v>0.10120481927710846</v>
      </c>
      <c r="AD324">
        <f>IFERROR(SUMPRODUCT(Y324:AA324,{0.2,0.3,0.5})/SUMPRODUCT((Y324:AA324&lt;&gt;"")*{0.2,0.3,0.5}),O324)</f>
        <v>1.987951807228916</v>
      </c>
      <c r="AE324">
        <f t="shared" si="135"/>
        <v>1</v>
      </c>
      <c r="AF324">
        <f t="shared" si="136"/>
        <v>88</v>
      </c>
      <c r="AG324">
        <f t="shared" si="137"/>
        <v>8.6024096385542165E-3</v>
      </c>
      <c r="AH324">
        <f t="shared" si="138"/>
        <v>6.6144578313253002E-2</v>
      </c>
      <c r="AI324" s="2">
        <f t="shared" si="139"/>
        <v>6.2385542168674704</v>
      </c>
      <c r="AJ324">
        <f t="shared" si="140"/>
        <v>0.88</v>
      </c>
      <c r="AK324" t="str">
        <f t="shared" si="141"/>
        <v>NO</v>
      </c>
      <c r="AL324">
        <f t="shared" si="142"/>
        <v>8.6024096385542165E-3</v>
      </c>
      <c r="AM324">
        <f t="shared" si="143"/>
        <v>6.6144578313253002E-2</v>
      </c>
      <c r="AN324">
        <f t="shared" si="144"/>
        <v>8.6024096385542165E-3</v>
      </c>
      <c r="AO324">
        <f t="shared" si="145"/>
        <v>6.6144578313253002E-2</v>
      </c>
      <c r="AP324">
        <f t="array" ref="AP324">AL324*IF($C324="GKP",10,IF($C324="DEF",6,IF($C324="MID",5,4)))</f>
        <v>5.1614457831325303E-2</v>
      </c>
      <c r="AQ324">
        <f t="shared" si="146"/>
        <v>0.19843373493975902</v>
      </c>
      <c r="AR324">
        <f t="shared" si="147"/>
        <v>2</v>
      </c>
      <c r="AS324" s="2">
        <f>IF($H324=0,0,Player_Analysis!$AM324*$H324/90)</f>
        <v>4</v>
      </c>
      <c r="AT324">
        <f t="shared" si="148"/>
        <v>0.81818181818181812</v>
      </c>
      <c r="AU324" s="2">
        <f>0</f>
        <v>0</v>
      </c>
      <c r="AV324" s="2">
        <f>IF(INDEX(FPL_Raw_Data!K:K,MATCH(A324,FPL_Raw_Data!AA:AA,0))=0,"",INDEX(FPL_Raw_Data!P:P,MATCH(A324,FPL_Raw_Data!AA:AA,0))/INDEX(FPL_Raw_Data!K:K,MATCH(A324,FPL_Raw_Data!AA:AA,0))*90)</f>
        <v>0</v>
      </c>
      <c r="AW324" s="2">
        <f t="shared" si="149"/>
        <v>0</v>
      </c>
      <c r="AX324" s="2">
        <f>IFERROR(INDEX(TEAM_ANALYSIS!$H$2:$H$21,MATCH($B324,TEAM_ANALYSIS!$A$2:$A$21,0)),0)</f>
        <v>0</v>
      </c>
      <c r="AY324" s="2">
        <f t="shared" si="150"/>
        <v>0</v>
      </c>
      <c r="AZ324" s="2">
        <f t="shared" si="151"/>
        <v>7.0682300109529024</v>
      </c>
      <c r="BA324">
        <f t="shared" si="152"/>
        <v>1.7670575027382256</v>
      </c>
      <c r="BB324">
        <f>IFERROR(Player_Analysis!$Y324,1)</f>
        <v>1.1999999999999997</v>
      </c>
      <c r="BC324">
        <f t="shared" si="153"/>
        <v>8.4818760131434807</v>
      </c>
      <c r="BD324">
        <f t="shared" si="154"/>
        <v>14.987962646320575</v>
      </c>
      <c r="BE324">
        <f t="shared" si="155"/>
        <v>8.4818760131434807</v>
      </c>
      <c r="BF324">
        <f t="shared" si="156"/>
        <v>4</v>
      </c>
      <c r="BG324">
        <f>IF($BE324="","",COUNTIFS($C$2:$C$596,$C324,$BE$2:$BE$596,"&gt;"&amp;$BE324)+COUNTIFS($C$2:$C324,$C324,$BE$2:$BE324,$BE324))</f>
        <v>4</v>
      </c>
    </row>
    <row r="325" spans="1:59" x14ac:dyDescent="0.25">
      <c r="A325" t="str">
        <f>Player_Analysis!A325</f>
        <v>Matty Jacob</v>
      </c>
      <c r="B325">
        <f>Player_Analysis!C325</f>
        <v>11</v>
      </c>
      <c r="C325" t="str">
        <f>Player_Analysis!B325</f>
        <v>DEF</v>
      </c>
      <c r="D325" s="13">
        <f>Player_Analysis!E325</f>
        <v>4</v>
      </c>
      <c r="E325">
        <f>Player_Analysis!I325</f>
        <v>0</v>
      </c>
      <c r="F325" s="8">
        <f>Player_Analysis!Z325</f>
        <v>0</v>
      </c>
      <c r="G325" s="17">
        <f t="shared" si="131"/>
        <v>0</v>
      </c>
      <c r="H325">
        <f t="shared" si="132"/>
        <v>0</v>
      </c>
      <c r="I325" s="8">
        <f>Player_Analysis!AF325</f>
        <v>0</v>
      </c>
      <c r="J325" s="8">
        <f>Player_Analysis!AG325</f>
        <v>0</v>
      </c>
      <c r="K325">
        <f>Player_Analysis!O325</f>
        <v>0</v>
      </c>
      <c r="L325">
        <f>Player_Analysis!P325</f>
        <v>0</v>
      </c>
      <c r="M325" t="str">
        <f t="shared" si="133"/>
        <v/>
      </c>
      <c r="N325" t="str">
        <f t="shared" si="134"/>
        <v/>
      </c>
      <c r="O325" s="2" t="str">
        <f>IF(E325=0,"",Player_Analysis!L325/E325*90)</f>
        <v/>
      </c>
      <c r="P325" t="str">
        <f>IF(E325=0,"",Player_Analysis!Q325/E325*90)</f>
        <v/>
      </c>
      <c r="Q325" t="str">
        <f>IF(E325=0,"",(Player_Analysis!AD325/E325)*90)</f>
        <v/>
      </c>
      <c r="R325" t="str">
        <f>IF(E325=0,"",Player_Analysis!AA325/E325*90)</f>
        <v/>
      </c>
      <c r="S325" t="str">
        <f t="array" ref="S325">IFERROR(INDEX('2023_24'!$O:$O,MATCH($A325,'2023_24'!$A:$A,0)),"")</f>
        <v/>
      </c>
      <c r="T325" t="str">
        <f>IFERROR(INDEX('2024_25'!$P:$P,MATCH($A325,'2024_25'!$A:$A,0)),"")</f>
        <v/>
      </c>
      <c r="U325" t="str">
        <f>IFERROR(INDEX('2025_26'!$P:$P,MATCH($A325,'2025_26'!$A:$A,0)),"")</f>
        <v/>
      </c>
      <c r="V325" t="str">
        <f>IFERROR(INDEX('2023_24'!$P:$P,MATCH($A325,'2023_24'!$A:$A,0)),"")</f>
        <v/>
      </c>
      <c r="W325" t="str">
        <f>IFERROR(INDEX('2024_25'!$Q:$Q,MATCH($A325,'2024_25'!$A:$A,0)),"")</f>
        <v/>
      </c>
      <c r="X325" t="str">
        <f>IFERROR(INDEX('2025_26'!$Q:$Q,MATCH($A325,'2025_26'!$A:$A,0)),"")</f>
        <v/>
      </c>
      <c r="Y325" t="str">
        <f>IFERROR(INDEX('2023_24'!$M:$M,MATCH($A325,'2023_24'!$A:$A,0))/INDEX('2023_24'!$G:$G,MATCH($A325,'2023_24'!$A:$A,0))*90,"")</f>
        <v/>
      </c>
      <c r="Z325" t="str">
        <f>IFERROR(INDEX('2024_25'!$M:$M,MATCH($A325,'2024_25'!$A:$A,0))/INDEX('2024_25'!$G:$G,MATCH($A325,'2024_25'!$A:$A,0))*90,"")</f>
        <v/>
      </c>
      <c r="AA325" t="str">
        <f>IFERROR(INDEX('2025_26'!$M:$M,MATCH($A325,'2025_26'!$A:$A,0))/INDEX('2025_26'!$G:$G,MATCH($A325,'2025_26'!$A:$A,0))*90,"")</f>
        <v/>
      </c>
      <c r="AB325" t="str">
        <f>IFERROR(SUMPRODUCT(S325:U325,{0.2,0.3,0.5})/SUMPRODUCT(--(S325:U325&lt;&gt;""),{0.2,0.3,0.5}),"")</f>
        <v/>
      </c>
      <c r="AC325" t="str">
        <f>IFERROR(SUMPRODUCT(V325:X325,{0.2,0.3,0.5})/SUMPRODUCT(--(V325:X325&lt;&gt;""),{0.2,0.3,0.5}),"")</f>
        <v/>
      </c>
      <c r="AD325" t="str">
        <f>IFERROR(SUMPRODUCT(Y325:AA325,{0.2,0.3,0.5})/SUMPRODUCT((Y325:AA325&lt;&gt;"")*{0.2,0.3,0.5}),O325)</f>
        <v/>
      </c>
      <c r="AE325">
        <f t="shared" si="135"/>
        <v>0</v>
      </c>
      <c r="AF325" t="str">
        <f t="shared" si="136"/>
        <v/>
      </c>
      <c r="AG325">
        <f t="shared" si="137"/>
        <v>0</v>
      </c>
      <c r="AH325">
        <f t="shared" si="138"/>
        <v>0</v>
      </c>
      <c r="AI325" s="2">
        <f t="shared" si="139"/>
        <v>0</v>
      </c>
      <c r="AJ325">
        <f t="shared" si="140"/>
        <v>0</v>
      </c>
      <c r="AK325" t="str">
        <f t="shared" si="141"/>
        <v>YES</v>
      </c>
      <c r="AL325">
        <f t="shared" si="142"/>
        <v>0</v>
      </c>
      <c r="AM325">
        <f t="shared" si="143"/>
        <v>0</v>
      </c>
      <c r="AN325">
        <f t="shared" si="144"/>
        <v>0</v>
      </c>
      <c r="AO325">
        <f t="shared" si="145"/>
        <v>0</v>
      </c>
      <c r="AP325">
        <f t="array" ref="AP325">AL325*IF($C325="GKP",10,IF($C325="DEF",6,IF($C325="MID",5,4)))</f>
        <v>0</v>
      </c>
      <c r="AQ325">
        <f t="shared" si="146"/>
        <v>0</v>
      </c>
      <c r="AR325">
        <f t="shared" si="147"/>
        <v>0</v>
      </c>
      <c r="AS325" s="2">
        <f>IF($H325=0,0,Player_Analysis!$AM325*$H325/90)</f>
        <v>0</v>
      </c>
      <c r="AT325">
        <f t="shared" si="148"/>
        <v>0</v>
      </c>
      <c r="AU325" s="2">
        <f>0</f>
        <v>0</v>
      </c>
      <c r="AV325" s="2" t="str">
        <f>IF(INDEX(FPL_Raw_Data!K:K,MATCH(A325,FPL_Raw_Data!AA:AA,0))=0,"",INDEX(FPL_Raw_Data!P:P,MATCH(A325,FPL_Raw_Data!AA:AA,0))/INDEX(FPL_Raw_Data!K:K,MATCH(A325,FPL_Raw_Data!AA:AA,0))*90)</f>
        <v/>
      </c>
      <c r="AW325" s="2">
        <f t="shared" si="149"/>
        <v>0</v>
      </c>
      <c r="AX325" s="2">
        <f>IFERROR(INDEX(TEAM_ANALYSIS!$H$2:$H$21,MATCH($B325,TEAM_ANALYSIS!$A$2:$A$21,0)),0)</f>
        <v>0</v>
      </c>
      <c r="AY325" s="2">
        <f t="shared" si="150"/>
        <v>0</v>
      </c>
      <c r="AZ325" s="2">
        <f t="shared" si="151"/>
        <v>0</v>
      </c>
      <c r="BA325">
        <f t="shared" si="152"/>
        <v>0</v>
      </c>
      <c r="BB325">
        <f>IFERROR(Player_Analysis!$Y325,1)</f>
        <v>1.1999999999999997</v>
      </c>
      <c r="BC325">
        <f t="shared" si="153"/>
        <v>0</v>
      </c>
      <c r="BD325">
        <f t="shared" si="154"/>
        <v>0</v>
      </c>
      <c r="BE325">
        <f t="shared" si="155"/>
        <v>0</v>
      </c>
      <c r="BF325">
        <f t="shared" si="156"/>
        <v>253</v>
      </c>
      <c r="BG325">
        <f>IF($BE325="","",COUNTIFS($C$2:$C$596,$C325,$BE$2:$BE$596,"&gt;"&amp;$BE325)+COUNTIFS($C$2:$C325,$C325,$BE$2:$BE325,$BE325))</f>
        <v>99</v>
      </c>
    </row>
    <row r="326" spans="1:59" x14ac:dyDescent="0.25">
      <c r="A326" t="str">
        <f>Player_Analysis!A326</f>
        <v>Cathal McCarthy</v>
      </c>
      <c r="B326">
        <f>Player_Analysis!C326</f>
        <v>11</v>
      </c>
      <c r="C326" t="str">
        <f>Player_Analysis!B326</f>
        <v>DEF</v>
      </c>
      <c r="D326" s="13">
        <f>Player_Analysis!E326</f>
        <v>4</v>
      </c>
      <c r="E326">
        <f>Player_Analysis!I326</f>
        <v>0</v>
      </c>
      <c r="F326" s="8">
        <f>Player_Analysis!Z326</f>
        <v>0</v>
      </c>
      <c r="G326" s="17">
        <f t="shared" si="131"/>
        <v>0</v>
      </c>
      <c r="H326">
        <f t="shared" si="132"/>
        <v>0</v>
      </c>
      <c r="I326" s="8">
        <f>Player_Analysis!AF326</f>
        <v>0</v>
      </c>
      <c r="J326" s="8">
        <f>Player_Analysis!AG326</f>
        <v>0</v>
      </c>
      <c r="K326">
        <f>Player_Analysis!O326</f>
        <v>0</v>
      </c>
      <c r="L326">
        <f>Player_Analysis!P326</f>
        <v>0</v>
      </c>
      <c r="M326" t="str">
        <f t="shared" si="133"/>
        <v/>
      </c>
      <c r="N326" t="str">
        <f t="shared" si="134"/>
        <v/>
      </c>
      <c r="O326" s="2" t="str">
        <f>IF(E326=0,"",Player_Analysis!L326/E326*90)</f>
        <v/>
      </c>
      <c r="P326" t="str">
        <f>IF(E326=0,"",Player_Analysis!Q326/E326*90)</f>
        <v/>
      </c>
      <c r="Q326" t="str">
        <f>IF(E326=0,"",(Player_Analysis!AD326/E326)*90)</f>
        <v/>
      </c>
      <c r="R326" t="str">
        <f>IF(E326=0,"",Player_Analysis!AA326/E326*90)</f>
        <v/>
      </c>
      <c r="S326" t="str">
        <f t="array" ref="S326">IFERROR(INDEX('2023_24'!$O:$O,MATCH($A326,'2023_24'!$A:$A,0)),"")</f>
        <v/>
      </c>
      <c r="T326" t="str">
        <f>IFERROR(INDEX('2024_25'!$P:$P,MATCH($A326,'2024_25'!$A:$A,0)),"")</f>
        <v/>
      </c>
      <c r="U326" t="str">
        <f>IFERROR(INDEX('2025_26'!$P:$P,MATCH($A326,'2025_26'!$A:$A,0)),"")</f>
        <v/>
      </c>
      <c r="V326" t="str">
        <f>IFERROR(INDEX('2023_24'!$P:$P,MATCH($A326,'2023_24'!$A:$A,0)),"")</f>
        <v/>
      </c>
      <c r="W326" t="str">
        <f>IFERROR(INDEX('2024_25'!$Q:$Q,MATCH($A326,'2024_25'!$A:$A,0)),"")</f>
        <v/>
      </c>
      <c r="X326" t="str">
        <f>IFERROR(INDEX('2025_26'!$Q:$Q,MATCH($A326,'2025_26'!$A:$A,0)),"")</f>
        <v/>
      </c>
      <c r="Y326" t="str">
        <f>IFERROR(INDEX('2023_24'!$M:$M,MATCH($A326,'2023_24'!$A:$A,0))/INDEX('2023_24'!$G:$G,MATCH($A326,'2023_24'!$A:$A,0))*90,"")</f>
        <v/>
      </c>
      <c r="Z326" t="str">
        <f>IFERROR(INDEX('2024_25'!$M:$M,MATCH($A326,'2024_25'!$A:$A,0))/INDEX('2024_25'!$G:$G,MATCH($A326,'2024_25'!$A:$A,0))*90,"")</f>
        <v/>
      </c>
      <c r="AA326" t="str">
        <f>IFERROR(INDEX('2025_26'!$M:$M,MATCH($A326,'2025_26'!$A:$A,0))/INDEX('2025_26'!$G:$G,MATCH($A326,'2025_26'!$A:$A,0))*90,"")</f>
        <v/>
      </c>
      <c r="AB326" t="str">
        <f>IFERROR(SUMPRODUCT(S326:U326,{0.2,0.3,0.5})/SUMPRODUCT(--(S326:U326&lt;&gt;""),{0.2,0.3,0.5}),"")</f>
        <v/>
      </c>
      <c r="AC326" t="str">
        <f>IFERROR(SUMPRODUCT(V326:X326,{0.2,0.3,0.5})/SUMPRODUCT(--(V326:X326&lt;&gt;""),{0.2,0.3,0.5}),"")</f>
        <v/>
      </c>
      <c r="AD326" t="str">
        <f>IFERROR(SUMPRODUCT(Y326:AA326,{0.2,0.3,0.5})/SUMPRODUCT((Y326:AA326&lt;&gt;"")*{0.2,0.3,0.5}),O326)</f>
        <v/>
      </c>
      <c r="AE326">
        <f t="shared" si="135"/>
        <v>0</v>
      </c>
      <c r="AF326" t="str">
        <f t="shared" si="136"/>
        <v/>
      </c>
      <c r="AG326">
        <f t="shared" si="137"/>
        <v>0</v>
      </c>
      <c r="AH326">
        <f t="shared" si="138"/>
        <v>0</v>
      </c>
      <c r="AI326" s="2">
        <f t="shared" si="139"/>
        <v>0</v>
      </c>
      <c r="AJ326">
        <f t="shared" si="140"/>
        <v>0</v>
      </c>
      <c r="AK326" t="str">
        <f t="shared" si="141"/>
        <v>YES</v>
      </c>
      <c r="AL326">
        <f t="shared" si="142"/>
        <v>0</v>
      </c>
      <c r="AM326">
        <f t="shared" si="143"/>
        <v>0</v>
      </c>
      <c r="AN326">
        <f t="shared" si="144"/>
        <v>0</v>
      </c>
      <c r="AO326">
        <f t="shared" si="145"/>
        <v>0</v>
      </c>
      <c r="AP326">
        <f t="array" ref="AP326">AL326*IF($C326="GKP",10,IF($C326="DEF",6,IF($C326="MID",5,4)))</f>
        <v>0</v>
      </c>
      <c r="AQ326">
        <f t="shared" si="146"/>
        <v>0</v>
      </c>
      <c r="AR326">
        <f t="shared" si="147"/>
        <v>0</v>
      </c>
      <c r="AS326" s="2">
        <f>IF($H326=0,0,Player_Analysis!$AM326*$H326/90)</f>
        <v>0</v>
      </c>
      <c r="AT326">
        <f t="shared" si="148"/>
        <v>0</v>
      </c>
      <c r="AU326" s="2">
        <f>0</f>
        <v>0</v>
      </c>
      <c r="AV326" s="2" t="str">
        <f>IF(INDEX(FPL_Raw_Data!K:K,MATCH(A326,FPL_Raw_Data!AA:AA,0))=0,"",INDEX(FPL_Raw_Data!P:P,MATCH(A326,FPL_Raw_Data!AA:AA,0))/INDEX(FPL_Raw_Data!K:K,MATCH(A326,FPL_Raw_Data!AA:AA,0))*90)</f>
        <v/>
      </c>
      <c r="AW326" s="2">
        <f t="shared" si="149"/>
        <v>0</v>
      </c>
      <c r="AX326" s="2">
        <f>IFERROR(INDEX(TEAM_ANALYSIS!$H$2:$H$21,MATCH($B326,TEAM_ANALYSIS!$A$2:$A$21,0)),0)</f>
        <v>0</v>
      </c>
      <c r="AY326" s="2">
        <f t="shared" si="150"/>
        <v>0</v>
      </c>
      <c r="AZ326" s="2">
        <f t="shared" si="151"/>
        <v>0</v>
      </c>
      <c r="BA326">
        <f t="shared" si="152"/>
        <v>0</v>
      </c>
      <c r="BB326">
        <f>IFERROR(Player_Analysis!$Y326,1)</f>
        <v>1.1999999999999997</v>
      </c>
      <c r="BC326">
        <f t="shared" si="153"/>
        <v>0</v>
      </c>
      <c r="BD326">
        <f t="shared" si="154"/>
        <v>0</v>
      </c>
      <c r="BE326">
        <f t="shared" si="155"/>
        <v>0</v>
      </c>
      <c r="BF326">
        <f t="shared" si="156"/>
        <v>253</v>
      </c>
      <c r="BG326">
        <f>IF($BE326="","",COUNTIFS($C$2:$C$596,$C326,$BE$2:$BE$596,"&gt;"&amp;$BE326)+COUNTIFS($C$2:$C326,$C326,$BE$2:$BE326,$BE326))</f>
        <v>100</v>
      </c>
    </row>
    <row r="327" spans="1:59" x14ac:dyDescent="0.25">
      <c r="A327" t="str">
        <f>Player_Analysis!A327</f>
        <v>Paddy McNair</v>
      </c>
      <c r="B327">
        <f>Player_Analysis!C327</f>
        <v>11</v>
      </c>
      <c r="C327" t="str">
        <f>Player_Analysis!B327</f>
        <v>DEF</v>
      </c>
      <c r="D327" s="13">
        <f>Player_Analysis!E327</f>
        <v>4</v>
      </c>
      <c r="E327">
        <f>Player_Analysis!I327</f>
        <v>26</v>
      </c>
      <c r="F327" s="8">
        <f>Player_Analysis!Z327</f>
        <v>0</v>
      </c>
      <c r="G327" s="17">
        <f t="shared" si="131"/>
        <v>0</v>
      </c>
      <c r="H327">
        <f t="shared" si="132"/>
        <v>0</v>
      </c>
      <c r="I327" s="8">
        <f>Player_Analysis!AF327</f>
        <v>0</v>
      </c>
      <c r="J327" s="8">
        <f>Player_Analysis!AG327</f>
        <v>0</v>
      </c>
      <c r="K327">
        <f>Player_Analysis!O327</f>
        <v>0</v>
      </c>
      <c r="L327">
        <f>Player_Analysis!P327</f>
        <v>0</v>
      </c>
      <c r="M327">
        <f t="shared" si="133"/>
        <v>0</v>
      </c>
      <c r="N327">
        <f t="shared" si="134"/>
        <v>0</v>
      </c>
      <c r="O327" s="2">
        <f>IF(E327=0,"",Player_Analysis!L327/E327*90)</f>
        <v>3.4615384615384617</v>
      </c>
      <c r="P327">
        <f>IF(E327=0,"",Player_Analysis!Q327/E327*90)</f>
        <v>0</v>
      </c>
      <c r="Q327">
        <f>IF(E327=0,"",(Player_Analysis!AD327/E327)*90)</f>
        <v>10.384615384615385</v>
      </c>
      <c r="R327">
        <f>IF(E327=0,"",Player_Analysis!AA327/E327*90)</f>
        <v>6.9230769230769234</v>
      </c>
      <c r="S327" t="str">
        <f t="array" ref="S327">IFERROR(INDEX('2023_24'!$O:$O,MATCH($A327,'2023_24'!$A:$A,0)),"")</f>
        <v/>
      </c>
      <c r="T327" t="str">
        <f>IFERROR(INDEX('2024_25'!$P:$P,MATCH($A327,'2024_25'!$A:$A,0)),"")</f>
        <v/>
      </c>
      <c r="U327" t="str">
        <f>IFERROR(INDEX('2025_26'!$P:$P,MATCH($A327,'2025_26'!$A:$A,0)),"")</f>
        <v/>
      </c>
      <c r="V327" t="str">
        <f>IFERROR(INDEX('2023_24'!$P:$P,MATCH($A327,'2023_24'!$A:$A,0)),"")</f>
        <v/>
      </c>
      <c r="W327" t="str">
        <f>IFERROR(INDEX('2024_25'!$Q:$Q,MATCH($A327,'2024_25'!$A:$A,0)),"")</f>
        <v/>
      </c>
      <c r="X327" t="str">
        <f>IFERROR(INDEX('2025_26'!$Q:$Q,MATCH($A327,'2025_26'!$A:$A,0)),"")</f>
        <v/>
      </c>
      <c r="Y327" t="str">
        <f>IFERROR(INDEX('2023_24'!$M:$M,MATCH($A327,'2023_24'!$A:$A,0))/INDEX('2023_24'!$G:$G,MATCH($A327,'2023_24'!$A:$A,0))*90,"")</f>
        <v/>
      </c>
      <c r="Z327" t="str">
        <f>IFERROR(INDEX('2024_25'!$M:$M,MATCH($A327,'2024_25'!$A:$A,0))/INDEX('2024_25'!$G:$G,MATCH($A327,'2024_25'!$A:$A,0))*90,"")</f>
        <v/>
      </c>
      <c r="AA327" t="str">
        <f>IFERROR(INDEX('2025_26'!$M:$M,MATCH($A327,'2025_26'!$A:$A,0))/INDEX('2025_26'!$G:$G,MATCH($A327,'2025_26'!$A:$A,0))*90,"")</f>
        <v/>
      </c>
      <c r="AB327" t="str">
        <f>IFERROR(SUMPRODUCT(S327:U327,{0.2,0.3,0.5})/SUMPRODUCT(--(S327:U327&lt;&gt;""),{0.2,0.3,0.5}),"")</f>
        <v/>
      </c>
      <c r="AC327" t="str">
        <f>IFERROR(SUMPRODUCT(V327:X327,{0.2,0.3,0.5})/SUMPRODUCT(--(V327:X327&lt;&gt;""),{0.2,0.3,0.5}),"")</f>
        <v/>
      </c>
      <c r="AD327">
        <f>IFERROR(SUMPRODUCT(Y327:AA327,{0.2,0.3,0.5})/SUMPRODUCT((Y327:AA327&lt;&gt;"")*{0.2,0.3,0.5}),O327)</f>
        <v>3.4615384615384617</v>
      </c>
      <c r="AE327">
        <f t="shared" si="135"/>
        <v>0</v>
      </c>
      <c r="AF327" t="str">
        <f t="shared" si="136"/>
        <v/>
      </c>
      <c r="AG327">
        <f t="shared" si="137"/>
        <v>0</v>
      </c>
      <c r="AH327">
        <f t="shared" si="138"/>
        <v>0</v>
      </c>
      <c r="AI327" s="2">
        <f t="shared" si="139"/>
        <v>3.4615384615384617</v>
      </c>
      <c r="AJ327">
        <f t="shared" si="140"/>
        <v>8.666666666666667E-2</v>
      </c>
      <c r="AK327" t="str">
        <f t="shared" si="141"/>
        <v>YES</v>
      </c>
      <c r="AL327">
        <f t="shared" si="142"/>
        <v>0</v>
      </c>
      <c r="AM327">
        <f t="shared" si="143"/>
        <v>0</v>
      </c>
      <c r="AN327">
        <f t="shared" si="144"/>
        <v>0</v>
      </c>
      <c r="AO327">
        <f t="shared" si="145"/>
        <v>0</v>
      </c>
      <c r="AP327">
        <f t="array" ref="AP327">AL327*IF($C327="GKP",10,IF($C327="DEF",6,IF($C327="MID",5,4)))</f>
        <v>0</v>
      </c>
      <c r="AQ327">
        <f t="shared" si="146"/>
        <v>0</v>
      </c>
      <c r="AR327">
        <f t="shared" si="147"/>
        <v>0</v>
      </c>
      <c r="AS327" s="2">
        <f>IF($H327=0,0,Player_Analysis!$AM327*$H327/90)</f>
        <v>0</v>
      </c>
      <c r="AT327">
        <f t="shared" si="148"/>
        <v>0</v>
      </c>
      <c r="AU327" s="2">
        <f>0</f>
        <v>0</v>
      </c>
      <c r="AV327" s="2">
        <f>IF(INDEX(FPL_Raw_Data!K:K,MATCH(A327,FPL_Raw_Data!AA:AA,0))=0,"",INDEX(FPL_Raw_Data!P:P,MATCH(A327,FPL_Raw_Data!AA:AA,0))/INDEX(FPL_Raw_Data!K:K,MATCH(A327,FPL_Raw_Data!AA:AA,0))*90)</f>
        <v>0</v>
      </c>
      <c r="AW327" s="2">
        <f t="shared" si="149"/>
        <v>0</v>
      </c>
      <c r="AX327" s="2">
        <f>IFERROR(INDEX(TEAM_ANALYSIS!$H$2:$H$21,MATCH($B327,TEAM_ANALYSIS!$A$2:$A$21,0)),0)</f>
        <v>0</v>
      </c>
      <c r="AY327" s="2">
        <f t="shared" si="150"/>
        <v>0</v>
      </c>
      <c r="AZ327" s="2">
        <f t="shared" si="151"/>
        <v>0</v>
      </c>
      <c r="BA327">
        <f t="shared" si="152"/>
        <v>0</v>
      </c>
      <c r="BB327">
        <f>IFERROR(Player_Analysis!$Y327,1)</f>
        <v>1.1999999999999997</v>
      </c>
      <c r="BC327">
        <f t="shared" si="153"/>
        <v>0</v>
      </c>
      <c r="BD327">
        <f t="shared" si="154"/>
        <v>0</v>
      </c>
      <c r="BE327">
        <f t="shared" si="155"/>
        <v>0</v>
      </c>
      <c r="BF327">
        <f t="shared" si="156"/>
        <v>253</v>
      </c>
      <c r="BG327">
        <f>IF($BE327="","",COUNTIFS($C$2:$C$596,$C327,$BE$2:$BE$596,"&gt;"&amp;$BE327)+COUNTIFS($C$2:$C327,$C327,$BE$2:$BE327,$BE327))</f>
        <v>101</v>
      </c>
    </row>
    <row r="328" spans="1:59" x14ac:dyDescent="0.25">
      <c r="A328" t="str">
        <f>Player_Analysis!A328</f>
        <v>Mohamed Belloumi</v>
      </c>
      <c r="B328">
        <f>Player_Analysis!C328</f>
        <v>11</v>
      </c>
      <c r="C328" t="str">
        <f>Player_Analysis!B328</f>
        <v>MID</v>
      </c>
      <c r="D328" s="13">
        <f>Player_Analysis!E328</f>
        <v>5</v>
      </c>
      <c r="E328">
        <f>Player_Analysis!I328</f>
        <v>253</v>
      </c>
      <c r="F328" s="8">
        <f>Player_Analysis!Z328</f>
        <v>3</v>
      </c>
      <c r="G328" s="17">
        <f t="shared" si="131"/>
        <v>1</v>
      </c>
      <c r="H328">
        <f t="shared" si="132"/>
        <v>90</v>
      </c>
      <c r="I328" s="8">
        <f>Player_Analysis!AF328</f>
        <v>0</v>
      </c>
      <c r="J328" s="8">
        <f>Player_Analysis!AG328</f>
        <v>1</v>
      </c>
      <c r="K328">
        <f>Player_Analysis!O328</f>
        <v>0.2</v>
      </c>
      <c r="L328">
        <f>Player_Analysis!P328</f>
        <v>0.06</v>
      </c>
      <c r="M328">
        <f t="shared" si="133"/>
        <v>7.1146245059288543E-2</v>
      </c>
      <c r="N328">
        <f t="shared" si="134"/>
        <v>2.1343873517786559E-2</v>
      </c>
      <c r="O328" s="2">
        <f>IF(E328=0,"",Player_Analysis!L328/E328*90)</f>
        <v>4.9802371541501973</v>
      </c>
      <c r="P328">
        <f>IF(E328=0,"",Player_Analysis!Q328/E328*90)</f>
        <v>9.2490118577075106E-2</v>
      </c>
      <c r="Q328">
        <f>IF(E328=0,"",(Player_Analysis!AD328/E328)*90)</f>
        <v>16.363636363636363</v>
      </c>
      <c r="R328">
        <f>IF(E328=0,"",Player_Analysis!AA328/E328*90)</f>
        <v>11.383399209486166</v>
      </c>
      <c r="S328" t="str">
        <f t="array" ref="S328">IFERROR(INDEX('2023_24'!$O:$O,MATCH($A328,'2023_24'!$A:$A,0)),"")</f>
        <v/>
      </c>
      <c r="T328" t="str">
        <f>IFERROR(INDEX('2024_25'!$P:$P,MATCH($A328,'2024_25'!$A:$A,0)),"")</f>
        <v/>
      </c>
      <c r="U328" t="str">
        <f>IFERROR(INDEX('2025_26'!$P:$P,MATCH($A328,'2025_26'!$A:$A,0)),"")</f>
        <v/>
      </c>
      <c r="V328" t="str">
        <f>IFERROR(INDEX('2023_24'!$P:$P,MATCH($A328,'2023_24'!$A:$A,0)),"")</f>
        <v/>
      </c>
      <c r="W328" t="str">
        <f>IFERROR(INDEX('2024_25'!$Q:$Q,MATCH($A328,'2024_25'!$A:$A,0)),"")</f>
        <v/>
      </c>
      <c r="X328" t="str">
        <f>IFERROR(INDEX('2025_26'!$Q:$Q,MATCH($A328,'2025_26'!$A:$A,0)),"")</f>
        <v/>
      </c>
      <c r="Y328" t="str">
        <f>IFERROR(INDEX('2023_24'!$M:$M,MATCH($A328,'2023_24'!$A:$A,0))/INDEX('2023_24'!$G:$G,MATCH($A328,'2023_24'!$A:$A,0))*90,"")</f>
        <v/>
      </c>
      <c r="Z328" t="str">
        <f>IFERROR(INDEX('2024_25'!$M:$M,MATCH($A328,'2024_25'!$A:$A,0))/INDEX('2024_25'!$G:$G,MATCH($A328,'2024_25'!$A:$A,0))*90,"")</f>
        <v/>
      </c>
      <c r="AA328" t="str">
        <f>IFERROR(INDEX('2025_26'!$M:$M,MATCH($A328,'2025_26'!$A:$A,0))/INDEX('2025_26'!$G:$G,MATCH($A328,'2025_26'!$A:$A,0))*90,"")</f>
        <v/>
      </c>
      <c r="AB328" t="str">
        <f>IFERROR(SUMPRODUCT(S328:U328,{0.2,0.3,0.5})/SUMPRODUCT(--(S328:U328&lt;&gt;""),{0.2,0.3,0.5}),"")</f>
        <v/>
      </c>
      <c r="AC328" t="str">
        <f>IFERROR(SUMPRODUCT(V328:X328,{0.2,0.3,0.5})/SUMPRODUCT(--(V328:X328&lt;&gt;""),{0.2,0.3,0.5}),"")</f>
        <v/>
      </c>
      <c r="AD328">
        <f>IFERROR(SUMPRODUCT(Y328:AA328,{0.2,0.3,0.5})/SUMPRODUCT((Y328:AA328&lt;&gt;"")*{0.2,0.3,0.5}),O328)</f>
        <v>4.9802371541501973</v>
      </c>
      <c r="AE328">
        <f t="shared" si="135"/>
        <v>0</v>
      </c>
      <c r="AF328">
        <f t="shared" si="136"/>
        <v>84.333333333333329</v>
      </c>
      <c r="AG328">
        <f t="shared" si="137"/>
        <v>7.1146245059288543E-2</v>
      </c>
      <c r="AH328">
        <f t="shared" si="138"/>
        <v>2.1343873517786559E-2</v>
      </c>
      <c r="AI328" s="2">
        <f t="shared" si="139"/>
        <v>4.9802371541501973</v>
      </c>
      <c r="AJ328">
        <f t="shared" si="140"/>
        <v>0.84333333333333338</v>
      </c>
      <c r="AK328" t="str">
        <f t="shared" si="141"/>
        <v>YES</v>
      </c>
      <c r="AL328">
        <f t="shared" si="142"/>
        <v>7.1146245059288543E-2</v>
      </c>
      <c r="AM328">
        <f t="shared" si="143"/>
        <v>2.1343873517786559E-2</v>
      </c>
      <c r="AN328">
        <f t="shared" si="144"/>
        <v>7.1146245059288543E-2</v>
      </c>
      <c r="AO328">
        <f t="shared" si="145"/>
        <v>2.1343873517786559E-2</v>
      </c>
      <c r="AP328">
        <f t="array" ref="AP328">AL328*IF($C328="GKP",10,IF($C328="DEF",6,IF($C328="MID",5,4)))</f>
        <v>0.35573122529644274</v>
      </c>
      <c r="AQ328">
        <f t="shared" si="146"/>
        <v>6.4031620553359675E-2</v>
      </c>
      <c r="AR328">
        <f t="shared" si="147"/>
        <v>2</v>
      </c>
      <c r="AS328" s="2">
        <f>IF($H328=0,0,Player_Analysis!$AM328*$H328/90)</f>
        <v>1</v>
      </c>
      <c r="AT328">
        <f t="shared" si="148"/>
        <v>1.8972332015810276</v>
      </c>
      <c r="AU328" s="2">
        <f>0</f>
        <v>0</v>
      </c>
      <c r="AV328" s="2">
        <f>IF(INDEX(FPL_Raw_Data!K:K,MATCH(A328,FPL_Raw_Data!AA:AA,0))=0,"",INDEX(FPL_Raw_Data!P:P,MATCH(A328,FPL_Raw_Data!AA:AA,0))/INDEX(FPL_Raw_Data!K:K,MATCH(A328,FPL_Raw_Data!AA:AA,0))*90)</f>
        <v>0</v>
      </c>
      <c r="AW328" s="2">
        <f t="shared" si="149"/>
        <v>0</v>
      </c>
      <c r="AX328" s="2">
        <f>IFERROR(INDEX(TEAM_ANALYSIS!$H$2:$H$21,MATCH($B328,TEAM_ANALYSIS!$A$2:$A$21,0)),0)</f>
        <v>0</v>
      </c>
      <c r="AY328" s="2">
        <f t="shared" si="150"/>
        <v>0</v>
      </c>
      <c r="AZ328" s="2">
        <f t="shared" si="151"/>
        <v>5.3169960474308295</v>
      </c>
      <c r="BA328">
        <f t="shared" si="152"/>
        <v>1.063399209486166</v>
      </c>
      <c r="BB328">
        <f>IFERROR(Player_Analysis!$Y328,1)</f>
        <v>0.95496539792387547</v>
      </c>
      <c r="BC328">
        <f t="shared" si="153"/>
        <v>5.0775472461944551</v>
      </c>
      <c r="BD328">
        <f t="shared" si="154"/>
        <v>5.3994597277318421</v>
      </c>
      <c r="BE328">
        <f t="shared" si="155"/>
        <v>5.0775472461944551</v>
      </c>
      <c r="BF328">
        <f t="shared" si="156"/>
        <v>87</v>
      </c>
      <c r="BG328">
        <f>IF($BE328="","",COUNTIFS($C$2:$C$596,$C328,$BE$2:$BE$596,"&gt;"&amp;$BE328)+COUNTIFS($C$2:$C328,$C328,$BE$2:$BE328,$BE328))</f>
        <v>41</v>
      </c>
    </row>
    <row r="329" spans="1:59" x14ac:dyDescent="0.25">
      <c r="A329" t="str">
        <f>Player_Analysis!A329</f>
        <v>Liam Millar</v>
      </c>
      <c r="B329">
        <f>Player_Analysis!C329</f>
        <v>11</v>
      </c>
      <c r="C329" t="str">
        <f>Player_Analysis!B329</f>
        <v>MID</v>
      </c>
      <c r="D329" s="13">
        <f>Player_Analysis!E329</f>
        <v>5</v>
      </c>
      <c r="E329">
        <f>Player_Analysis!I329</f>
        <v>50</v>
      </c>
      <c r="F329" s="8">
        <f>Player_Analysis!Z329</f>
        <v>0</v>
      </c>
      <c r="G329" s="17">
        <f t="shared" si="131"/>
        <v>0</v>
      </c>
      <c r="H329">
        <f t="shared" si="132"/>
        <v>0</v>
      </c>
      <c r="I329" s="8">
        <f>Player_Analysis!AF329</f>
        <v>1</v>
      </c>
      <c r="J329" s="8">
        <f>Player_Analysis!AG329</f>
        <v>0</v>
      </c>
      <c r="K329">
        <f>Player_Analysis!O329</f>
        <v>0.57999999999999996</v>
      </c>
      <c r="L329">
        <f>Player_Analysis!P329</f>
        <v>0</v>
      </c>
      <c r="M329">
        <f t="shared" si="133"/>
        <v>1.044</v>
      </c>
      <c r="N329">
        <f t="shared" si="134"/>
        <v>0</v>
      </c>
      <c r="O329" s="2">
        <f>IF(E329=0,"",Player_Analysis!L329/E329*90)</f>
        <v>10.799999999999999</v>
      </c>
      <c r="P329">
        <f>IF(E329=0,"",Player_Analysis!Q329/E329*90)</f>
        <v>1.044</v>
      </c>
      <c r="Q329">
        <f>IF(E329=0,"",(Player_Analysis!AD329/E329)*90)</f>
        <v>46.800000000000004</v>
      </c>
      <c r="R329">
        <f>IF(E329=0,"",Player_Analysis!AA329/E329*90)</f>
        <v>7.2</v>
      </c>
      <c r="S329" t="str">
        <f t="array" ref="S329">IFERROR(INDEX('2023_24'!$O:$O,MATCH($A329,'2023_24'!$A:$A,0)),"")</f>
        <v/>
      </c>
      <c r="T329" t="str">
        <f>IFERROR(INDEX('2024_25'!$P:$P,MATCH($A329,'2024_25'!$A:$A,0)),"")</f>
        <v/>
      </c>
      <c r="U329" t="str">
        <f>IFERROR(INDEX('2025_26'!$P:$P,MATCH($A329,'2025_26'!$A:$A,0)),"")</f>
        <v/>
      </c>
      <c r="V329" t="str">
        <f>IFERROR(INDEX('2023_24'!$P:$P,MATCH($A329,'2023_24'!$A:$A,0)),"")</f>
        <v/>
      </c>
      <c r="W329" t="str">
        <f>IFERROR(INDEX('2024_25'!$Q:$Q,MATCH($A329,'2024_25'!$A:$A,0)),"")</f>
        <v/>
      </c>
      <c r="X329" t="str">
        <f>IFERROR(INDEX('2025_26'!$Q:$Q,MATCH($A329,'2025_26'!$A:$A,0)),"")</f>
        <v/>
      </c>
      <c r="Y329" t="str">
        <f>IFERROR(INDEX('2023_24'!$M:$M,MATCH($A329,'2023_24'!$A:$A,0))/INDEX('2023_24'!$G:$G,MATCH($A329,'2023_24'!$A:$A,0))*90,"")</f>
        <v/>
      </c>
      <c r="Z329" t="str">
        <f>IFERROR(INDEX('2024_25'!$M:$M,MATCH($A329,'2024_25'!$A:$A,0))/INDEX('2024_25'!$G:$G,MATCH($A329,'2024_25'!$A:$A,0))*90,"")</f>
        <v/>
      </c>
      <c r="AA329" t="str">
        <f>IFERROR(INDEX('2025_26'!$M:$M,MATCH($A329,'2025_26'!$A:$A,0))/INDEX('2025_26'!$G:$G,MATCH($A329,'2025_26'!$A:$A,0))*90,"")</f>
        <v/>
      </c>
      <c r="AB329" t="str">
        <f>IFERROR(SUMPRODUCT(S329:U329,{0.2,0.3,0.5})/SUMPRODUCT(--(S329:U329&lt;&gt;""),{0.2,0.3,0.5}),"")</f>
        <v/>
      </c>
      <c r="AC329" t="str">
        <f>IFERROR(SUMPRODUCT(V329:X329,{0.2,0.3,0.5})/SUMPRODUCT(--(V329:X329&lt;&gt;""),{0.2,0.3,0.5}),"")</f>
        <v/>
      </c>
      <c r="AD329">
        <f>IFERROR(SUMPRODUCT(Y329:AA329,{0.2,0.3,0.5})/SUMPRODUCT((Y329:AA329&lt;&gt;"")*{0.2,0.3,0.5}),O329)</f>
        <v>10.799999999999999</v>
      </c>
      <c r="AE329">
        <f t="shared" si="135"/>
        <v>0</v>
      </c>
      <c r="AF329" t="str">
        <f t="shared" si="136"/>
        <v/>
      </c>
      <c r="AG329">
        <f t="shared" si="137"/>
        <v>1.044</v>
      </c>
      <c r="AH329">
        <f t="shared" si="138"/>
        <v>0</v>
      </c>
      <c r="AI329" s="2">
        <f t="shared" si="139"/>
        <v>10.8</v>
      </c>
      <c r="AJ329">
        <f t="shared" si="140"/>
        <v>0.16666666666666666</v>
      </c>
      <c r="AK329" t="str">
        <f t="shared" si="141"/>
        <v>YES</v>
      </c>
      <c r="AL329">
        <f t="shared" si="142"/>
        <v>0</v>
      </c>
      <c r="AM329">
        <f t="shared" si="143"/>
        <v>0</v>
      </c>
      <c r="AN329">
        <f t="shared" si="144"/>
        <v>0</v>
      </c>
      <c r="AO329">
        <f t="shared" si="145"/>
        <v>0</v>
      </c>
      <c r="AP329">
        <f t="array" ref="AP329">AL329*IF($C329="GKP",10,IF($C329="DEF",6,IF($C329="MID",5,4)))</f>
        <v>0</v>
      </c>
      <c r="AQ329">
        <f t="shared" si="146"/>
        <v>0</v>
      </c>
      <c r="AR329">
        <f t="shared" si="147"/>
        <v>0</v>
      </c>
      <c r="AS329" s="2">
        <f>IF($H329=0,0,Player_Analysis!$AM329*$H329/90)</f>
        <v>0</v>
      </c>
      <c r="AT329">
        <f t="shared" si="148"/>
        <v>0</v>
      </c>
      <c r="AU329" s="2">
        <f>0</f>
        <v>0</v>
      </c>
      <c r="AV329" s="2">
        <f>IF(INDEX(FPL_Raw_Data!K:K,MATCH(A329,FPL_Raw_Data!AA:AA,0))=0,"",INDEX(FPL_Raw_Data!P:P,MATCH(A329,FPL_Raw_Data!AA:AA,0))/INDEX(FPL_Raw_Data!K:K,MATCH(A329,FPL_Raw_Data!AA:AA,0))*90)</f>
        <v>0</v>
      </c>
      <c r="AW329" s="2">
        <f t="shared" si="149"/>
        <v>0</v>
      </c>
      <c r="AX329" s="2">
        <f>IFERROR(INDEX(TEAM_ANALYSIS!$H$2:$H$21,MATCH($B329,TEAM_ANALYSIS!$A$2:$A$21,0)),0)</f>
        <v>0</v>
      </c>
      <c r="AY329" s="2">
        <f t="shared" si="150"/>
        <v>0</v>
      </c>
      <c r="AZ329" s="2">
        <f t="shared" si="151"/>
        <v>0</v>
      </c>
      <c r="BA329">
        <f t="shared" si="152"/>
        <v>0</v>
      </c>
      <c r="BB329">
        <f>IFERROR(Player_Analysis!$Y329,1)</f>
        <v>0.95496539792387547</v>
      </c>
      <c r="BC329">
        <f t="shared" si="153"/>
        <v>0</v>
      </c>
      <c r="BD329">
        <f t="shared" si="154"/>
        <v>0</v>
      </c>
      <c r="BE329">
        <f t="shared" si="155"/>
        <v>0</v>
      </c>
      <c r="BF329">
        <f t="shared" si="156"/>
        <v>253</v>
      </c>
      <c r="BG329">
        <f>IF($BE329="","",COUNTIFS($C$2:$C$596,$C329,$BE$2:$BE$596,"&gt;"&amp;$BE329)+COUNTIFS($C$2:$C329,$C329,$BE$2:$BE329,$BE329))</f>
        <v>193</v>
      </c>
    </row>
    <row r="330" spans="1:59" x14ac:dyDescent="0.25">
      <c r="A330" t="str">
        <f>Player_Analysis!A330</f>
        <v>Kieran Dowell</v>
      </c>
      <c r="B330">
        <f>Player_Analysis!C330</f>
        <v>11</v>
      </c>
      <c r="C330" t="str">
        <f>Player_Analysis!B330</f>
        <v>MID</v>
      </c>
      <c r="D330" s="13">
        <f>Player_Analysis!E330</f>
        <v>4.5</v>
      </c>
      <c r="E330">
        <f>Player_Analysis!I330</f>
        <v>0</v>
      </c>
      <c r="F330" s="8">
        <f>Player_Analysis!Z330</f>
        <v>0</v>
      </c>
      <c r="G330" s="17">
        <f t="shared" si="131"/>
        <v>0</v>
      </c>
      <c r="H330">
        <f t="shared" si="132"/>
        <v>0</v>
      </c>
      <c r="I330" s="8">
        <f>Player_Analysis!AF330</f>
        <v>0</v>
      </c>
      <c r="J330" s="8">
        <f>Player_Analysis!AG330</f>
        <v>0</v>
      </c>
      <c r="K330">
        <f>Player_Analysis!O330</f>
        <v>0</v>
      </c>
      <c r="L330">
        <f>Player_Analysis!P330</f>
        <v>0</v>
      </c>
      <c r="M330" t="str">
        <f t="shared" si="133"/>
        <v/>
      </c>
      <c r="N330" t="str">
        <f t="shared" si="134"/>
        <v/>
      </c>
      <c r="O330" s="2" t="str">
        <f>IF(E330=0,"",Player_Analysis!L330/E330*90)</f>
        <v/>
      </c>
      <c r="P330" t="str">
        <f>IF(E330=0,"",Player_Analysis!Q330/E330*90)</f>
        <v/>
      </c>
      <c r="Q330" t="str">
        <f>IF(E330=0,"",(Player_Analysis!AD330/E330)*90)</f>
        <v/>
      </c>
      <c r="R330" t="str">
        <f>IF(E330=0,"",Player_Analysis!AA330/E330*90)</f>
        <v/>
      </c>
      <c r="S330" t="str">
        <f t="array" ref="S330">IFERROR(INDEX('2023_24'!$O:$O,MATCH($A330,'2023_24'!$A:$A,0)),"")</f>
        <v/>
      </c>
      <c r="T330" t="str">
        <f>IFERROR(INDEX('2024_25'!$P:$P,MATCH($A330,'2024_25'!$A:$A,0)),"")</f>
        <v/>
      </c>
      <c r="U330" t="str">
        <f>IFERROR(INDEX('2025_26'!$P:$P,MATCH($A330,'2025_26'!$A:$A,0)),"")</f>
        <v/>
      </c>
      <c r="V330" t="str">
        <f>IFERROR(INDEX('2023_24'!$P:$P,MATCH($A330,'2023_24'!$A:$A,0)),"")</f>
        <v/>
      </c>
      <c r="W330" t="str">
        <f>IFERROR(INDEX('2024_25'!$Q:$Q,MATCH($A330,'2024_25'!$A:$A,0)),"")</f>
        <v/>
      </c>
      <c r="X330" t="str">
        <f>IFERROR(INDEX('2025_26'!$Q:$Q,MATCH($A330,'2025_26'!$A:$A,0)),"")</f>
        <v/>
      </c>
      <c r="Y330" t="str">
        <f>IFERROR(INDEX('2023_24'!$M:$M,MATCH($A330,'2023_24'!$A:$A,0))/INDEX('2023_24'!$G:$G,MATCH($A330,'2023_24'!$A:$A,0))*90,"")</f>
        <v/>
      </c>
      <c r="Z330" t="str">
        <f>IFERROR(INDEX('2024_25'!$M:$M,MATCH($A330,'2024_25'!$A:$A,0))/INDEX('2024_25'!$G:$G,MATCH($A330,'2024_25'!$A:$A,0))*90,"")</f>
        <v/>
      </c>
      <c r="AA330" t="str">
        <f>IFERROR(INDEX('2025_26'!$M:$M,MATCH($A330,'2025_26'!$A:$A,0))/INDEX('2025_26'!$G:$G,MATCH($A330,'2025_26'!$A:$A,0))*90,"")</f>
        <v/>
      </c>
      <c r="AB330" t="str">
        <f>IFERROR(SUMPRODUCT(S330:U330,{0.2,0.3,0.5})/SUMPRODUCT(--(S330:U330&lt;&gt;""),{0.2,0.3,0.5}),"")</f>
        <v/>
      </c>
      <c r="AC330" t="str">
        <f>IFERROR(SUMPRODUCT(V330:X330,{0.2,0.3,0.5})/SUMPRODUCT(--(V330:X330&lt;&gt;""),{0.2,0.3,0.5}),"")</f>
        <v/>
      </c>
      <c r="AD330" t="str">
        <f>IFERROR(SUMPRODUCT(Y330:AA330,{0.2,0.3,0.5})/SUMPRODUCT((Y330:AA330&lt;&gt;"")*{0.2,0.3,0.5}),O330)</f>
        <v/>
      </c>
      <c r="AE330">
        <f t="shared" si="135"/>
        <v>0</v>
      </c>
      <c r="AF330" t="str">
        <f t="shared" si="136"/>
        <v/>
      </c>
      <c r="AG330">
        <f t="shared" si="137"/>
        <v>0</v>
      </c>
      <c r="AH330">
        <f t="shared" si="138"/>
        <v>0</v>
      </c>
      <c r="AI330" s="2">
        <f t="shared" si="139"/>
        <v>0</v>
      </c>
      <c r="AJ330">
        <f t="shared" si="140"/>
        <v>0</v>
      </c>
      <c r="AK330" t="str">
        <f t="shared" si="141"/>
        <v>YES</v>
      </c>
      <c r="AL330">
        <f t="shared" si="142"/>
        <v>0</v>
      </c>
      <c r="AM330">
        <f t="shared" si="143"/>
        <v>0</v>
      </c>
      <c r="AN330">
        <f t="shared" si="144"/>
        <v>0</v>
      </c>
      <c r="AO330">
        <f t="shared" si="145"/>
        <v>0</v>
      </c>
      <c r="AP330">
        <f t="array" ref="AP330">AL330*IF($C330="GKP",10,IF($C330="DEF",6,IF($C330="MID",5,4)))</f>
        <v>0</v>
      </c>
      <c r="AQ330">
        <f t="shared" si="146"/>
        <v>0</v>
      </c>
      <c r="AR330">
        <f t="shared" si="147"/>
        <v>0</v>
      </c>
      <c r="AS330" s="2">
        <f>IF($H330=0,0,Player_Analysis!$AM330*$H330/90)</f>
        <v>0</v>
      </c>
      <c r="AT330">
        <f t="shared" si="148"/>
        <v>0</v>
      </c>
      <c r="AU330" s="2">
        <f>0</f>
        <v>0</v>
      </c>
      <c r="AV330" s="2" t="str">
        <f>IF(INDEX(FPL_Raw_Data!K:K,MATCH(A330,FPL_Raw_Data!AA:AA,0))=0,"",INDEX(FPL_Raw_Data!P:P,MATCH(A330,FPL_Raw_Data!AA:AA,0))/INDEX(FPL_Raw_Data!K:K,MATCH(A330,FPL_Raw_Data!AA:AA,0))*90)</f>
        <v/>
      </c>
      <c r="AW330" s="2">
        <f t="shared" si="149"/>
        <v>0</v>
      </c>
      <c r="AX330" s="2">
        <f>IFERROR(INDEX(TEAM_ANALYSIS!$H$2:$H$21,MATCH($B330,TEAM_ANALYSIS!$A$2:$A$21,0)),0)</f>
        <v>0</v>
      </c>
      <c r="AY330" s="2">
        <f t="shared" si="150"/>
        <v>0</v>
      </c>
      <c r="AZ330" s="2">
        <f t="shared" si="151"/>
        <v>0</v>
      </c>
      <c r="BA330">
        <f t="shared" si="152"/>
        <v>0</v>
      </c>
      <c r="BB330">
        <f>IFERROR(Player_Analysis!$Y330,1)</f>
        <v>0.95496539792387547</v>
      </c>
      <c r="BC330">
        <f t="shared" si="153"/>
        <v>0</v>
      </c>
      <c r="BD330">
        <f t="shared" si="154"/>
        <v>0</v>
      </c>
      <c r="BE330">
        <f t="shared" si="155"/>
        <v>0</v>
      </c>
      <c r="BF330">
        <f t="shared" si="156"/>
        <v>253</v>
      </c>
      <c r="BG330">
        <f>IF($BE330="","",COUNTIFS($C$2:$C$596,$C330,$BE$2:$BE$596,"&gt;"&amp;$BE330)+COUNTIFS($C$2:$C330,$C330,$BE$2:$BE330,$BE330))</f>
        <v>194</v>
      </c>
    </row>
    <row r="331" spans="1:59" x14ac:dyDescent="0.25">
      <c r="A331" t="str">
        <f>Player_Analysis!A331</f>
        <v>Matt Crooks</v>
      </c>
      <c r="B331">
        <f>Player_Analysis!C331</f>
        <v>11</v>
      </c>
      <c r="C331" t="str">
        <f>Player_Analysis!B331</f>
        <v>MID</v>
      </c>
      <c r="D331" s="13">
        <f>Player_Analysis!E331</f>
        <v>4.5</v>
      </c>
      <c r="E331">
        <f>Player_Analysis!I331</f>
        <v>90</v>
      </c>
      <c r="F331" s="8">
        <f>Player_Analysis!Z331</f>
        <v>1</v>
      </c>
      <c r="G331" s="17">
        <f t="shared" si="131"/>
        <v>1</v>
      </c>
      <c r="H331">
        <f t="shared" si="132"/>
        <v>90</v>
      </c>
      <c r="I331" s="8">
        <f>Player_Analysis!AF331</f>
        <v>0</v>
      </c>
      <c r="J331" s="8">
        <f>Player_Analysis!AG331</f>
        <v>0</v>
      </c>
      <c r="K331">
        <f>Player_Analysis!O331</f>
        <v>0</v>
      </c>
      <c r="L331">
        <f>Player_Analysis!P331</f>
        <v>0</v>
      </c>
      <c r="M331">
        <f t="shared" si="133"/>
        <v>0</v>
      </c>
      <c r="N331">
        <f t="shared" si="134"/>
        <v>0</v>
      </c>
      <c r="O331" s="2">
        <f>IF(E331=0,"",Player_Analysis!L331/E331*90)</f>
        <v>2</v>
      </c>
      <c r="P331">
        <f>IF(E331=0,"",Player_Analysis!Q331/E331*90)</f>
        <v>0</v>
      </c>
      <c r="Q331">
        <f>IF(E331=0,"",(Player_Analysis!AD331/E331)*90)</f>
        <v>9</v>
      </c>
      <c r="R331">
        <f>IF(E331=0,"",Player_Analysis!AA331/E331*90)</f>
        <v>9</v>
      </c>
      <c r="S331" t="str">
        <f t="array" ref="S331">IFERROR(INDEX('2023_24'!$O:$O,MATCH($A331,'2023_24'!$A:$A,0)),"")</f>
        <v/>
      </c>
      <c r="T331" t="str">
        <f>IFERROR(INDEX('2024_25'!$P:$P,MATCH($A331,'2024_25'!$A:$A,0)),"")</f>
        <v/>
      </c>
      <c r="U331" t="str">
        <f>IFERROR(INDEX('2025_26'!$P:$P,MATCH($A331,'2025_26'!$A:$A,0)),"")</f>
        <v/>
      </c>
      <c r="V331" t="str">
        <f>IFERROR(INDEX('2023_24'!$P:$P,MATCH($A331,'2023_24'!$A:$A,0)),"")</f>
        <v/>
      </c>
      <c r="W331" t="str">
        <f>IFERROR(INDEX('2024_25'!$Q:$Q,MATCH($A331,'2024_25'!$A:$A,0)),"")</f>
        <v/>
      </c>
      <c r="X331" t="str">
        <f>IFERROR(INDEX('2025_26'!$Q:$Q,MATCH($A331,'2025_26'!$A:$A,0)),"")</f>
        <v/>
      </c>
      <c r="Y331" t="str">
        <f>IFERROR(INDEX('2023_24'!$M:$M,MATCH($A331,'2023_24'!$A:$A,0))/INDEX('2023_24'!$G:$G,MATCH($A331,'2023_24'!$A:$A,0))*90,"")</f>
        <v/>
      </c>
      <c r="Z331" t="str">
        <f>IFERROR(INDEX('2024_25'!$M:$M,MATCH($A331,'2024_25'!$A:$A,0))/INDEX('2024_25'!$G:$G,MATCH($A331,'2024_25'!$A:$A,0))*90,"")</f>
        <v/>
      </c>
      <c r="AA331" t="str">
        <f>IFERROR(INDEX('2025_26'!$M:$M,MATCH($A331,'2025_26'!$A:$A,0))/INDEX('2025_26'!$G:$G,MATCH($A331,'2025_26'!$A:$A,0))*90,"")</f>
        <v/>
      </c>
      <c r="AB331" t="str">
        <f>IFERROR(SUMPRODUCT(S331:U331,{0.2,0.3,0.5})/SUMPRODUCT(--(S331:U331&lt;&gt;""),{0.2,0.3,0.5}),"")</f>
        <v/>
      </c>
      <c r="AC331" t="str">
        <f>IFERROR(SUMPRODUCT(V331:X331,{0.2,0.3,0.5})/SUMPRODUCT(--(V331:X331&lt;&gt;""),{0.2,0.3,0.5}),"")</f>
        <v/>
      </c>
      <c r="AD331">
        <f>IFERROR(SUMPRODUCT(Y331:AA331,{0.2,0.3,0.5})/SUMPRODUCT((Y331:AA331&lt;&gt;"")*{0.2,0.3,0.5}),O331)</f>
        <v>2</v>
      </c>
      <c r="AE331">
        <f t="shared" si="135"/>
        <v>0</v>
      </c>
      <c r="AF331">
        <f t="shared" si="136"/>
        <v>90</v>
      </c>
      <c r="AG331">
        <f t="shared" si="137"/>
        <v>0</v>
      </c>
      <c r="AH331">
        <f t="shared" si="138"/>
        <v>0</v>
      </c>
      <c r="AI331" s="2">
        <f t="shared" si="139"/>
        <v>2</v>
      </c>
      <c r="AJ331">
        <f t="shared" si="140"/>
        <v>0.3</v>
      </c>
      <c r="AK331" t="str">
        <f t="shared" si="141"/>
        <v>YES</v>
      </c>
      <c r="AL331">
        <f t="shared" si="142"/>
        <v>0</v>
      </c>
      <c r="AM331">
        <f t="shared" si="143"/>
        <v>0</v>
      </c>
      <c r="AN331">
        <f t="shared" si="144"/>
        <v>0</v>
      </c>
      <c r="AO331">
        <f t="shared" si="145"/>
        <v>0</v>
      </c>
      <c r="AP331">
        <f t="array" ref="AP331">AL331*IF($C331="GKP",10,IF($C331="DEF",6,IF($C331="MID",5,4)))</f>
        <v>0</v>
      </c>
      <c r="AQ331">
        <f t="shared" si="146"/>
        <v>0</v>
      </c>
      <c r="AR331">
        <f t="shared" si="147"/>
        <v>2</v>
      </c>
      <c r="AS331" s="2">
        <f>IF($H331=0,0,Player_Analysis!$AM331*$H331/90)</f>
        <v>1</v>
      </c>
      <c r="AT331">
        <f t="shared" si="148"/>
        <v>1.5</v>
      </c>
      <c r="AU331" s="2">
        <f>0</f>
        <v>0</v>
      </c>
      <c r="AV331" s="2">
        <f>IF(INDEX(FPL_Raw_Data!K:K,MATCH(A331,FPL_Raw_Data!AA:AA,0))=0,"",INDEX(FPL_Raw_Data!P:P,MATCH(A331,FPL_Raw_Data!AA:AA,0))/INDEX(FPL_Raw_Data!K:K,MATCH(A331,FPL_Raw_Data!AA:AA,0))*90)</f>
        <v>0</v>
      </c>
      <c r="AW331" s="2">
        <f t="shared" si="149"/>
        <v>0</v>
      </c>
      <c r="AX331" s="2">
        <f>IFERROR(INDEX(TEAM_ANALYSIS!$H$2:$H$21,MATCH($B331,TEAM_ANALYSIS!$A$2:$A$21,0)),0)</f>
        <v>0</v>
      </c>
      <c r="AY331" s="2">
        <f t="shared" si="150"/>
        <v>0</v>
      </c>
      <c r="AZ331" s="2">
        <f t="shared" si="151"/>
        <v>4.5</v>
      </c>
      <c r="BA331">
        <f t="shared" si="152"/>
        <v>1</v>
      </c>
      <c r="BB331">
        <f>IFERROR(Player_Analysis!$Y331,1)</f>
        <v>0.95496539792387547</v>
      </c>
      <c r="BC331">
        <f t="shared" si="153"/>
        <v>4.2973442906574393</v>
      </c>
      <c r="BD331">
        <f t="shared" si="154"/>
        <v>4.2973442906574393</v>
      </c>
      <c r="BE331">
        <f t="shared" si="155"/>
        <v>4.2973442906574393</v>
      </c>
      <c r="BF331">
        <f t="shared" si="156"/>
        <v>137</v>
      </c>
      <c r="BG331">
        <f>IF($BE331="","",COUNTIFS($C$2:$C$596,$C331,$BE$2:$BE$596,"&gt;"&amp;$BE331)+COUNTIFS($C$2:$C331,$C331,$BE$2:$BE331,$BE331))</f>
        <v>67</v>
      </c>
    </row>
    <row r="332" spans="1:59" x14ac:dyDescent="0.25">
      <c r="A332" t="str">
        <f>Player_Analysis!A332</f>
        <v>Regan Slater</v>
      </c>
      <c r="B332">
        <f>Player_Analysis!C332</f>
        <v>11</v>
      </c>
      <c r="C332" t="str">
        <f>Player_Analysis!B332</f>
        <v>MID</v>
      </c>
      <c r="D332" s="13">
        <f>Player_Analysis!E332</f>
        <v>4.5</v>
      </c>
      <c r="E332">
        <f>Player_Analysis!I332</f>
        <v>270</v>
      </c>
      <c r="F332" s="8">
        <f>Player_Analysis!Z332</f>
        <v>3</v>
      </c>
      <c r="G332" s="17">
        <f t="shared" si="131"/>
        <v>1</v>
      </c>
      <c r="H332">
        <f t="shared" si="132"/>
        <v>90</v>
      </c>
      <c r="I332" s="8">
        <f>Player_Analysis!AF332</f>
        <v>0</v>
      </c>
      <c r="J332" s="8">
        <f>Player_Analysis!AG332</f>
        <v>1</v>
      </c>
      <c r="K332">
        <f>Player_Analysis!O332</f>
        <v>0.04</v>
      </c>
      <c r="L332">
        <f>Player_Analysis!P332</f>
        <v>0.46</v>
      </c>
      <c r="M332">
        <f t="shared" si="133"/>
        <v>1.3333333333333332E-2</v>
      </c>
      <c r="N332">
        <f t="shared" si="134"/>
        <v>0.15333333333333335</v>
      </c>
      <c r="O332" s="2">
        <f>IF(E332=0,"",Player_Analysis!L332/E332*90)</f>
        <v>3.666666666666667</v>
      </c>
      <c r="P332">
        <f>IF(E332=0,"",Player_Analysis!Q332/E332*90)</f>
        <v>0.16666666666666669</v>
      </c>
      <c r="Q332">
        <f>IF(E332=0,"",(Player_Analysis!AD332/E332)*90)</f>
        <v>12</v>
      </c>
      <c r="R332">
        <f>IF(E332=0,"",Player_Analysis!AA332/E332*90)</f>
        <v>6.3333333333333339</v>
      </c>
      <c r="S332" t="str">
        <f t="array" ref="S332">IFERROR(INDEX('2023_24'!$O:$O,MATCH($A332,'2023_24'!$A:$A,0)),"")</f>
        <v/>
      </c>
      <c r="T332" t="str">
        <f>IFERROR(INDEX('2024_25'!$P:$P,MATCH($A332,'2024_25'!$A:$A,0)),"")</f>
        <v/>
      </c>
      <c r="U332" t="str">
        <f>IFERROR(INDEX('2025_26'!$P:$P,MATCH($A332,'2025_26'!$A:$A,0)),"")</f>
        <v/>
      </c>
      <c r="V332" t="str">
        <f>IFERROR(INDEX('2023_24'!$P:$P,MATCH($A332,'2023_24'!$A:$A,0)),"")</f>
        <v/>
      </c>
      <c r="W332" t="str">
        <f>IFERROR(INDEX('2024_25'!$Q:$Q,MATCH($A332,'2024_25'!$A:$A,0)),"")</f>
        <v/>
      </c>
      <c r="X332" t="str">
        <f>IFERROR(INDEX('2025_26'!$Q:$Q,MATCH($A332,'2025_26'!$A:$A,0)),"")</f>
        <v/>
      </c>
      <c r="Y332" t="str">
        <f>IFERROR(INDEX('2023_24'!$M:$M,MATCH($A332,'2023_24'!$A:$A,0))/INDEX('2023_24'!$G:$G,MATCH($A332,'2023_24'!$A:$A,0))*90,"")</f>
        <v/>
      </c>
      <c r="Z332" t="str">
        <f>IFERROR(INDEX('2024_25'!$M:$M,MATCH($A332,'2024_25'!$A:$A,0))/INDEX('2024_25'!$G:$G,MATCH($A332,'2024_25'!$A:$A,0))*90,"")</f>
        <v/>
      </c>
      <c r="AA332" t="str">
        <f>IFERROR(INDEX('2025_26'!$M:$M,MATCH($A332,'2025_26'!$A:$A,0))/INDEX('2025_26'!$G:$G,MATCH($A332,'2025_26'!$A:$A,0))*90,"")</f>
        <v/>
      </c>
      <c r="AB332" t="str">
        <f>IFERROR(SUMPRODUCT(S332:U332,{0.2,0.3,0.5})/SUMPRODUCT(--(S332:U332&lt;&gt;""),{0.2,0.3,0.5}),"")</f>
        <v/>
      </c>
      <c r="AC332" t="str">
        <f>IFERROR(SUMPRODUCT(V332:X332,{0.2,0.3,0.5})/SUMPRODUCT(--(V332:X332&lt;&gt;""),{0.2,0.3,0.5}),"")</f>
        <v/>
      </c>
      <c r="AD332">
        <f>IFERROR(SUMPRODUCT(Y332:AA332,{0.2,0.3,0.5})/SUMPRODUCT((Y332:AA332&lt;&gt;"")*{0.2,0.3,0.5}),O332)</f>
        <v>3.666666666666667</v>
      </c>
      <c r="AE332">
        <f t="shared" si="135"/>
        <v>0</v>
      </c>
      <c r="AF332">
        <f t="shared" si="136"/>
        <v>90</v>
      </c>
      <c r="AG332">
        <f t="shared" si="137"/>
        <v>1.3333333333333332E-2</v>
      </c>
      <c r="AH332">
        <f t="shared" si="138"/>
        <v>0.15333333333333335</v>
      </c>
      <c r="AI332" s="2">
        <f t="shared" si="139"/>
        <v>3.666666666666667</v>
      </c>
      <c r="AJ332">
        <f t="shared" si="140"/>
        <v>0.9</v>
      </c>
      <c r="AK332" t="str">
        <f t="shared" si="141"/>
        <v>YES</v>
      </c>
      <c r="AL332">
        <f t="shared" si="142"/>
        <v>1.3333333333333332E-2</v>
      </c>
      <c r="AM332">
        <f t="shared" si="143"/>
        <v>0.15333333333333335</v>
      </c>
      <c r="AN332">
        <f t="shared" si="144"/>
        <v>1.3333333333333332E-2</v>
      </c>
      <c r="AO332">
        <f t="shared" si="145"/>
        <v>0.15333333333333335</v>
      </c>
      <c r="AP332">
        <f t="array" ref="AP332">AL332*IF($C332="GKP",10,IF($C332="DEF",6,IF($C332="MID",5,4)))</f>
        <v>6.6666666666666666E-2</v>
      </c>
      <c r="AQ332">
        <f t="shared" si="146"/>
        <v>0.46000000000000008</v>
      </c>
      <c r="AR332">
        <f t="shared" si="147"/>
        <v>2</v>
      </c>
      <c r="AS332" s="2">
        <f>IF($H332=0,0,Player_Analysis!$AM332*$H332/90)</f>
        <v>1</v>
      </c>
      <c r="AT332">
        <f t="shared" si="148"/>
        <v>1.0555555555555556</v>
      </c>
      <c r="AU332" s="2">
        <f>0</f>
        <v>0</v>
      </c>
      <c r="AV332" s="2">
        <f>IF(INDEX(FPL_Raw_Data!K:K,MATCH(A332,FPL_Raw_Data!AA:AA,0))=0,"",INDEX(FPL_Raw_Data!P:P,MATCH(A332,FPL_Raw_Data!AA:AA,0))/INDEX(FPL_Raw_Data!K:K,MATCH(A332,FPL_Raw_Data!AA:AA,0))*90)</f>
        <v>0</v>
      </c>
      <c r="AW332" s="2">
        <f t="shared" si="149"/>
        <v>0</v>
      </c>
      <c r="AX332" s="2">
        <f>IFERROR(INDEX(TEAM_ANALYSIS!$H$2:$H$21,MATCH($B332,TEAM_ANALYSIS!$A$2:$A$21,0)),0)</f>
        <v>0</v>
      </c>
      <c r="AY332" s="2">
        <f t="shared" si="150"/>
        <v>0</v>
      </c>
      <c r="AZ332" s="2">
        <f t="shared" si="151"/>
        <v>4.5822222222222226</v>
      </c>
      <c r="BA332">
        <f t="shared" si="152"/>
        <v>1.0182716049382716</v>
      </c>
      <c r="BB332">
        <f>IFERROR(Player_Analysis!$Y332,1)</f>
        <v>0.95496539792387547</v>
      </c>
      <c r="BC332">
        <f t="shared" si="153"/>
        <v>4.3758636678200702</v>
      </c>
      <c r="BD332">
        <f t="shared" si="154"/>
        <v>4.4558177200222149</v>
      </c>
      <c r="BE332">
        <f t="shared" si="155"/>
        <v>4.3758636678200702</v>
      </c>
      <c r="BF332">
        <f t="shared" si="156"/>
        <v>132</v>
      </c>
      <c r="BG332">
        <f>IF($BE332="","",COUNTIFS($C$2:$C$596,$C332,$BE$2:$BE$596,"&gt;"&amp;$BE332)+COUNTIFS($C$2:$C332,$C332,$BE$2:$BE332,$BE332))</f>
        <v>65</v>
      </c>
    </row>
    <row r="333" spans="1:59" x14ac:dyDescent="0.25">
      <c r="A333" t="str">
        <f>Player_Analysis!A333</f>
        <v>Eliot Matazo</v>
      </c>
      <c r="B333">
        <f>Player_Analysis!C333</f>
        <v>11</v>
      </c>
      <c r="C333" t="str">
        <f>Player_Analysis!B333</f>
        <v>MID</v>
      </c>
      <c r="D333" s="13">
        <f>Player_Analysis!E333</f>
        <v>4.5</v>
      </c>
      <c r="E333">
        <f>Player_Analysis!I333</f>
        <v>0</v>
      </c>
      <c r="F333" s="8">
        <f>Player_Analysis!Z333</f>
        <v>0</v>
      </c>
      <c r="G333" s="17">
        <f t="shared" si="131"/>
        <v>0</v>
      </c>
      <c r="H333">
        <f t="shared" si="132"/>
        <v>0</v>
      </c>
      <c r="I333" s="8">
        <f>Player_Analysis!AF333</f>
        <v>0</v>
      </c>
      <c r="J333" s="8">
        <f>Player_Analysis!AG333</f>
        <v>0</v>
      </c>
      <c r="K333">
        <f>Player_Analysis!O333</f>
        <v>0</v>
      </c>
      <c r="L333">
        <f>Player_Analysis!P333</f>
        <v>0</v>
      </c>
      <c r="M333" t="str">
        <f t="shared" si="133"/>
        <v/>
      </c>
      <c r="N333" t="str">
        <f t="shared" si="134"/>
        <v/>
      </c>
      <c r="O333" s="2" t="str">
        <f>IF(E333=0,"",Player_Analysis!L333/E333*90)</f>
        <v/>
      </c>
      <c r="P333" t="str">
        <f>IF(E333=0,"",Player_Analysis!Q333/E333*90)</f>
        <v/>
      </c>
      <c r="Q333" t="str">
        <f>IF(E333=0,"",(Player_Analysis!AD333/E333)*90)</f>
        <v/>
      </c>
      <c r="R333" t="str">
        <f>IF(E333=0,"",Player_Analysis!AA333/E333*90)</f>
        <v/>
      </c>
      <c r="S333" t="str">
        <f t="array" ref="S333">IFERROR(INDEX('2023_24'!$O:$O,MATCH($A333,'2023_24'!$A:$A,0)),"")</f>
        <v/>
      </c>
      <c r="T333" t="str">
        <f>IFERROR(INDEX('2024_25'!$P:$P,MATCH($A333,'2024_25'!$A:$A,0)),"")</f>
        <v/>
      </c>
      <c r="U333" t="str">
        <f>IFERROR(INDEX('2025_26'!$P:$P,MATCH($A333,'2025_26'!$A:$A,0)),"")</f>
        <v/>
      </c>
      <c r="V333" t="str">
        <f>IFERROR(INDEX('2023_24'!$P:$P,MATCH($A333,'2023_24'!$A:$A,0)),"")</f>
        <v/>
      </c>
      <c r="W333" t="str">
        <f>IFERROR(INDEX('2024_25'!$Q:$Q,MATCH($A333,'2024_25'!$A:$A,0)),"")</f>
        <v/>
      </c>
      <c r="X333" t="str">
        <f>IFERROR(INDEX('2025_26'!$Q:$Q,MATCH($A333,'2025_26'!$A:$A,0)),"")</f>
        <v/>
      </c>
      <c r="Y333" t="str">
        <f>IFERROR(INDEX('2023_24'!$M:$M,MATCH($A333,'2023_24'!$A:$A,0))/INDEX('2023_24'!$G:$G,MATCH($A333,'2023_24'!$A:$A,0))*90,"")</f>
        <v/>
      </c>
      <c r="Z333" t="str">
        <f>IFERROR(INDEX('2024_25'!$M:$M,MATCH($A333,'2024_25'!$A:$A,0))/INDEX('2024_25'!$G:$G,MATCH($A333,'2024_25'!$A:$A,0))*90,"")</f>
        <v/>
      </c>
      <c r="AA333" t="str">
        <f>IFERROR(INDEX('2025_26'!$M:$M,MATCH($A333,'2025_26'!$A:$A,0))/INDEX('2025_26'!$G:$G,MATCH($A333,'2025_26'!$A:$A,0))*90,"")</f>
        <v/>
      </c>
      <c r="AB333" t="str">
        <f>IFERROR(SUMPRODUCT(S333:U333,{0.2,0.3,0.5})/SUMPRODUCT(--(S333:U333&lt;&gt;""),{0.2,0.3,0.5}),"")</f>
        <v/>
      </c>
      <c r="AC333" t="str">
        <f>IFERROR(SUMPRODUCT(V333:X333,{0.2,0.3,0.5})/SUMPRODUCT(--(V333:X333&lt;&gt;""),{0.2,0.3,0.5}),"")</f>
        <v/>
      </c>
      <c r="AD333" t="str">
        <f>IFERROR(SUMPRODUCT(Y333:AA333,{0.2,0.3,0.5})/SUMPRODUCT((Y333:AA333&lt;&gt;"")*{0.2,0.3,0.5}),O333)</f>
        <v/>
      </c>
      <c r="AE333">
        <f t="shared" si="135"/>
        <v>0</v>
      </c>
      <c r="AF333" t="str">
        <f t="shared" si="136"/>
        <v/>
      </c>
      <c r="AG333">
        <f t="shared" si="137"/>
        <v>0</v>
      </c>
      <c r="AH333">
        <f t="shared" si="138"/>
        <v>0</v>
      </c>
      <c r="AI333" s="2">
        <f t="shared" si="139"/>
        <v>0</v>
      </c>
      <c r="AJ333">
        <f t="shared" si="140"/>
        <v>0</v>
      </c>
      <c r="AK333" t="str">
        <f t="shared" si="141"/>
        <v>YES</v>
      </c>
      <c r="AL333">
        <f t="shared" si="142"/>
        <v>0</v>
      </c>
      <c r="AM333">
        <f t="shared" si="143"/>
        <v>0</v>
      </c>
      <c r="AN333">
        <f t="shared" si="144"/>
        <v>0</v>
      </c>
      <c r="AO333">
        <f t="shared" si="145"/>
        <v>0</v>
      </c>
      <c r="AP333">
        <f t="array" ref="AP333">AL333*IF($C333="GKP",10,IF($C333="DEF",6,IF($C333="MID",5,4)))</f>
        <v>0</v>
      </c>
      <c r="AQ333">
        <f t="shared" si="146"/>
        <v>0</v>
      </c>
      <c r="AR333">
        <f t="shared" si="147"/>
        <v>0</v>
      </c>
      <c r="AS333" s="2">
        <f>IF($H333=0,0,Player_Analysis!$AM333*$H333/90)</f>
        <v>0</v>
      </c>
      <c r="AT333">
        <f t="shared" si="148"/>
        <v>0</v>
      </c>
      <c r="AU333" s="2">
        <f>0</f>
        <v>0</v>
      </c>
      <c r="AV333" s="2" t="str">
        <f>IF(INDEX(FPL_Raw_Data!K:K,MATCH(A333,FPL_Raw_Data!AA:AA,0))=0,"",INDEX(FPL_Raw_Data!P:P,MATCH(A333,FPL_Raw_Data!AA:AA,0))/INDEX(FPL_Raw_Data!K:K,MATCH(A333,FPL_Raw_Data!AA:AA,0))*90)</f>
        <v/>
      </c>
      <c r="AW333" s="2">
        <f t="shared" si="149"/>
        <v>0</v>
      </c>
      <c r="AX333" s="2">
        <f>IFERROR(INDEX(TEAM_ANALYSIS!$H$2:$H$21,MATCH($B333,TEAM_ANALYSIS!$A$2:$A$21,0)),0)</f>
        <v>0</v>
      </c>
      <c r="AY333" s="2">
        <f t="shared" si="150"/>
        <v>0</v>
      </c>
      <c r="AZ333" s="2">
        <f t="shared" si="151"/>
        <v>0</v>
      </c>
      <c r="BA333">
        <f t="shared" si="152"/>
        <v>0</v>
      </c>
      <c r="BB333">
        <f>IFERROR(Player_Analysis!$Y333,1)</f>
        <v>0.95496539792387547</v>
      </c>
      <c r="BC333">
        <f t="shared" si="153"/>
        <v>0</v>
      </c>
      <c r="BD333">
        <f t="shared" si="154"/>
        <v>0</v>
      </c>
      <c r="BE333">
        <f t="shared" si="155"/>
        <v>0</v>
      </c>
      <c r="BF333">
        <f t="shared" si="156"/>
        <v>253</v>
      </c>
      <c r="BG333">
        <f>IF($BE333="","",COUNTIFS($C$2:$C$596,$C333,$BE$2:$BE$596,"&gt;"&amp;$BE333)+COUNTIFS($C$2:$C333,$C333,$BE$2:$BE333,$BE333))</f>
        <v>195</v>
      </c>
    </row>
    <row r="334" spans="1:59" x14ac:dyDescent="0.25">
      <c r="A334" t="str">
        <f>Player_Analysis!A334</f>
        <v>Abdülkadir Ömür</v>
      </c>
      <c r="B334">
        <f>Player_Analysis!C334</f>
        <v>11</v>
      </c>
      <c r="C334" t="str">
        <f>Player_Analysis!B334</f>
        <v>MID</v>
      </c>
      <c r="D334" s="13">
        <f>Player_Analysis!E334</f>
        <v>4.9000000000000004</v>
      </c>
      <c r="E334">
        <f>Player_Analysis!I334</f>
        <v>0</v>
      </c>
      <c r="F334" s="8">
        <f>Player_Analysis!Z334</f>
        <v>0</v>
      </c>
      <c r="G334" s="17">
        <f t="shared" si="131"/>
        <v>0</v>
      </c>
      <c r="H334">
        <f t="shared" si="132"/>
        <v>0</v>
      </c>
      <c r="I334" s="8">
        <f>Player_Analysis!AF334</f>
        <v>0</v>
      </c>
      <c r="J334" s="8">
        <f>Player_Analysis!AG334</f>
        <v>0</v>
      </c>
      <c r="K334">
        <f>Player_Analysis!O334</f>
        <v>0</v>
      </c>
      <c r="L334">
        <f>Player_Analysis!P334</f>
        <v>0</v>
      </c>
      <c r="M334" t="str">
        <f t="shared" si="133"/>
        <v/>
      </c>
      <c r="N334" t="str">
        <f t="shared" si="134"/>
        <v/>
      </c>
      <c r="O334" s="2" t="str">
        <f>IF(E334=0,"",Player_Analysis!L334/E334*90)</f>
        <v/>
      </c>
      <c r="P334" t="str">
        <f>IF(E334=0,"",Player_Analysis!Q334/E334*90)</f>
        <v/>
      </c>
      <c r="Q334" t="str">
        <f>IF(E334=0,"",(Player_Analysis!AD334/E334)*90)</f>
        <v/>
      </c>
      <c r="R334" t="str">
        <f>IF(E334=0,"",Player_Analysis!AA334/E334*90)</f>
        <v/>
      </c>
      <c r="S334" t="str">
        <f t="array" ref="S334">IFERROR(INDEX('2023_24'!$O:$O,MATCH($A334,'2023_24'!$A:$A,0)),"")</f>
        <v/>
      </c>
      <c r="T334" t="str">
        <f>IFERROR(INDEX('2024_25'!$P:$P,MATCH($A334,'2024_25'!$A:$A,0)),"")</f>
        <v/>
      </c>
      <c r="U334" t="str">
        <f>IFERROR(INDEX('2025_26'!$P:$P,MATCH($A334,'2025_26'!$A:$A,0)),"")</f>
        <v/>
      </c>
      <c r="V334" t="str">
        <f>IFERROR(INDEX('2023_24'!$P:$P,MATCH($A334,'2023_24'!$A:$A,0)),"")</f>
        <v/>
      </c>
      <c r="W334" t="str">
        <f>IFERROR(INDEX('2024_25'!$Q:$Q,MATCH($A334,'2024_25'!$A:$A,0)),"")</f>
        <v/>
      </c>
      <c r="X334" t="str">
        <f>IFERROR(INDEX('2025_26'!$Q:$Q,MATCH($A334,'2025_26'!$A:$A,0)),"")</f>
        <v/>
      </c>
      <c r="Y334" t="str">
        <f>IFERROR(INDEX('2023_24'!$M:$M,MATCH($A334,'2023_24'!$A:$A,0))/INDEX('2023_24'!$G:$G,MATCH($A334,'2023_24'!$A:$A,0))*90,"")</f>
        <v/>
      </c>
      <c r="Z334" t="str">
        <f>IFERROR(INDEX('2024_25'!$M:$M,MATCH($A334,'2024_25'!$A:$A,0))/INDEX('2024_25'!$G:$G,MATCH($A334,'2024_25'!$A:$A,0))*90,"")</f>
        <v/>
      </c>
      <c r="AA334" t="str">
        <f>IFERROR(INDEX('2025_26'!$M:$M,MATCH($A334,'2025_26'!$A:$A,0))/INDEX('2025_26'!$G:$G,MATCH($A334,'2025_26'!$A:$A,0))*90,"")</f>
        <v/>
      </c>
      <c r="AB334" t="str">
        <f>IFERROR(SUMPRODUCT(S334:U334,{0.2,0.3,0.5})/SUMPRODUCT(--(S334:U334&lt;&gt;""),{0.2,0.3,0.5}),"")</f>
        <v/>
      </c>
      <c r="AC334" t="str">
        <f>IFERROR(SUMPRODUCT(V334:X334,{0.2,0.3,0.5})/SUMPRODUCT(--(V334:X334&lt;&gt;""),{0.2,0.3,0.5}),"")</f>
        <v/>
      </c>
      <c r="AD334" t="str">
        <f>IFERROR(SUMPRODUCT(Y334:AA334,{0.2,0.3,0.5})/SUMPRODUCT((Y334:AA334&lt;&gt;"")*{0.2,0.3,0.5}),O334)</f>
        <v/>
      </c>
      <c r="AE334">
        <f t="shared" si="135"/>
        <v>0</v>
      </c>
      <c r="AF334" t="str">
        <f t="shared" si="136"/>
        <v/>
      </c>
      <c r="AG334">
        <f t="shared" si="137"/>
        <v>0</v>
      </c>
      <c r="AH334">
        <f t="shared" si="138"/>
        <v>0</v>
      </c>
      <c r="AI334" s="2">
        <f t="shared" si="139"/>
        <v>0</v>
      </c>
      <c r="AJ334">
        <f t="shared" si="140"/>
        <v>0</v>
      </c>
      <c r="AK334" t="str">
        <f t="shared" si="141"/>
        <v>YES</v>
      </c>
      <c r="AL334">
        <f t="shared" si="142"/>
        <v>0</v>
      </c>
      <c r="AM334">
        <f t="shared" si="143"/>
        <v>0</v>
      </c>
      <c r="AN334">
        <f t="shared" si="144"/>
        <v>0</v>
      </c>
      <c r="AO334">
        <f t="shared" si="145"/>
        <v>0</v>
      </c>
      <c r="AP334">
        <f t="array" ref="AP334">AL334*IF($C334="GKP",10,IF($C334="DEF",6,IF($C334="MID",5,4)))</f>
        <v>0</v>
      </c>
      <c r="AQ334">
        <f t="shared" si="146"/>
        <v>0</v>
      </c>
      <c r="AR334">
        <f t="shared" si="147"/>
        <v>0</v>
      </c>
      <c r="AS334" s="2">
        <f>IF($H334=0,0,Player_Analysis!$AM334*$H334/90)</f>
        <v>0</v>
      </c>
      <c r="AT334">
        <f t="shared" si="148"/>
        <v>0</v>
      </c>
      <c r="AU334" s="2">
        <f>0</f>
        <v>0</v>
      </c>
      <c r="AV334" s="2" t="str">
        <f>IF(INDEX(FPL_Raw_Data!K:K,MATCH(A334,FPL_Raw_Data!AA:AA,0))=0,"",INDEX(FPL_Raw_Data!P:P,MATCH(A334,FPL_Raw_Data!AA:AA,0))/INDEX(FPL_Raw_Data!K:K,MATCH(A334,FPL_Raw_Data!AA:AA,0))*90)</f>
        <v/>
      </c>
      <c r="AW334" s="2">
        <f t="shared" si="149"/>
        <v>0</v>
      </c>
      <c r="AX334" s="2">
        <f>IFERROR(INDEX(TEAM_ANALYSIS!$H$2:$H$21,MATCH($B334,TEAM_ANALYSIS!$A$2:$A$21,0)),0)</f>
        <v>0</v>
      </c>
      <c r="AY334" s="2">
        <f t="shared" si="150"/>
        <v>0</v>
      </c>
      <c r="AZ334" s="2">
        <f t="shared" si="151"/>
        <v>0</v>
      </c>
      <c r="BA334">
        <f t="shared" si="152"/>
        <v>0</v>
      </c>
      <c r="BB334">
        <f>IFERROR(Player_Analysis!$Y334,1)</f>
        <v>0.95496539792387547</v>
      </c>
      <c r="BC334">
        <f t="shared" si="153"/>
        <v>0</v>
      </c>
      <c r="BD334">
        <f t="shared" si="154"/>
        <v>0</v>
      </c>
      <c r="BE334">
        <f t="shared" si="155"/>
        <v>0</v>
      </c>
      <c r="BF334">
        <f t="shared" si="156"/>
        <v>253</v>
      </c>
      <c r="BG334">
        <f>IF($BE334="","",COUNTIFS($C$2:$C$596,$C334,$BE$2:$BE$596,"&gt;"&amp;$BE334)+COUNTIFS($C$2:$C334,$C334,$BE$2:$BE334,$BE334))</f>
        <v>196</v>
      </c>
    </row>
    <row r="335" spans="1:59" x14ac:dyDescent="0.25">
      <c r="A335" t="str">
        <f>Player_Analysis!A335</f>
        <v>Abu Kamara</v>
      </c>
      <c r="B335">
        <f>Player_Analysis!C335</f>
        <v>11</v>
      </c>
      <c r="C335" t="str">
        <f>Player_Analysis!B335</f>
        <v>MID</v>
      </c>
      <c r="D335" s="13">
        <f>Player_Analysis!E335</f>
        <v>5</v>
      </c>
      <c r="E335">
        <f>Player_Analysis!I335</f>
        <v>0</v>
      </c>
      <c r="F335" s="8">
        <f>Player_Analysis!Z335</f>
        <v>0</v>
      </c>
      <c r="G335" s="17">
        <f t="shared" si="131"/>
        <v>0</v>
      </c>
      <c r="H335">
        <f t="shared" si="132"/>
        <v>0</v>
      </c>
      <c r="I335" s="8">
        <f>Player_Analysis!AF335</f>
        <v>0</v>
      </c>
      <c r="J335" s="8">
        <f>Player_Analysis!AG335</f>
        <v>0</v>
      </c>
      <c r="K335">
        <f>Player_Analysis!O335</f>
        <v>0</v>
      </c>
      <c r="L335">
        <f>Player_Analysis!P335</f>
        <v>0</v>
      </c>
      <c r="M335" t="str">
        <f t="shared" si="133"/>
        <v/>
      </c>
      <c r="N335" t="str">
        <f t="shared" si="134"/>
        <v/>
      </c>
      <c r="O335" s="2" t="str">
        <f>IF(E335=0,"",Player_Analysis!L335/E335*90)</f>
        <v/>
      </c>
      <c r="P335" t="str">
        <f>IF(E335=0,"",Player_Analysis!Q335/E335*90)</f>
        <v/>
      </c>
      <c r="Q335" t="str">
        <f>IF(E335=0,"",(Player_Analysis!AD335/E335)*90)</f>
        <v/>
      </c>
      <c r="R335" t="str">
        <f>IF(E335=0,"",Player_Analysis!AA335/E335*90)</f>
        <v/>
      </c>
      <c r="S335" t="str">
        <f t="array" ref="S335">IFERROR(INDEX('2023_24'!$O:$O,MATCH($A335,'2023_24'!$A:$A,0)),"")</f>
        <v/>
      </c>
      <c r="T335" t="str">
        <f>IFERROR(INDEX('2024_25'!$P:$P,MATCH($A335,'2024_25'!$A:$A,0)),"")</f>
        <v/>
      </c>
      <c r="U335" t="str">
        <f>IFERROR(INDEX('2025_26'!$P:$P,MATCH($A335,'2025_26'!$A:$A,0)),"")</f>
        <v/>
      </c>
      <c r="V335" t="str">
        <f>IFERROR(INDEX('2023_24'!$P:$P,MATCH($A335,'2023_24'!$A:$A,0)),"")</f>
        <v/>
      </c>
      <c r="W335" t="str">
        <f>IFERROR(INDEX('2024_25'!$Q:$Q,MATCH($A335,'2024_25'!$A:$A,0)),"")</f>
        <v/>
      </c>
      <c r="X335" t="str">
        <f>IFERROR(INDEX('2025_26'!$Q:$Q,MATCH($A335,'2025_26'!$A:$A,0)),"")</f>
        <v/>
      </c>
      <c r="Y335" t="str">
        <f>IFERROR(INDEX('2023_24'!$M:$M,MATCH($A335,'2023_24'!$A:$A,0))/INDEX('2023_24'!$G:$G,MATCH($A335,'2023_24'!$A:$A,0))*90,"")</f>
        <v/>
      </c>
      <c r="Z335" t="str">
        <f>IFERROR(INDEX('2024_25'!$M:$M,MATCH($A335,'2024_25'!$A:$A,0))/INDEX('2024_25'!$G:$G,MATCH($A335,'2024_25'!$A:$A,0))*90,"")</f>
        <v/>
      </c>
      <c r="AA335" t="str">
        <f>IFERROR(INDEX('2025_26'!$M:$M,MATCH($A335,'2025_26'!$A:$A,0))/INDEX('2025_26'!$G:$G,MATCH($A335,'2025_26'!$A:$A,0))*90,"")</f>
        <v/>
      </c>
      <c r="AB335" t="str">
        <f>IFERROR(SUMPRODUCT(S335:U335,{0.2,0.3,0.5})/SUMPRODUCT(--(S335:U335&lt;&gt;""),{0.2,0.3,0.5}),"")</f>
        <v/>
      </c>
      <c r="AC335" t="str">
        <f>IFERROR(SUMPRODUCT(V335:X335,{0.2,0.3,0.5})/SUMPRODUCT(--(V335:X335&lt;&gt;""),{0.2,0.3,0.5}),"")</f>
        <v/>
      </c>
      <c r="AD335" t="str">
        <f>IFERROR(SUMPRODUCT(Y335:AA335,{0.2,0.3,0.5})/SUMPRODUCT((Y335:AA335&lt;&gt;"")*{0.2,0.3,0.5}),O335)</f>
        <v/>
      </c>
      <c r="AE335">
        <f t="shared" si="135"/>
        <v>0</v>
      </c>
      <c r="AF335" t="str">
        <f t="shared" si="136"/>
        <v/>
      </c>
      <c r="AG335">
        <f t="shared" si="137"/>
        <v>0</v>
      </c>
      <c r="AH335">
        <f t="shared" si="138"/>
        <v>0</v>
      </c>
      <c r="AI335" s="2">
        <f t="shared" si="139"/>
        <v>0</v>
      </c>
      <c r="AJ335">
        <f t="shared" si="140"/>
        <v>0</v>
      </c>
      <c r="AK335" t="str">
        <f t="shared" si="141"/>
        <v>YES</v>
      </c>
      <c r="AL335">
        <f t="shared" si="142"/>
        <v>0</v>
      </c>
      <c r="AM335">
        <f t="shared" si="143"/>
        <v>0</v>
      </c>
      <c r="AN335">
        <f t="shared" si="144"/>
        <v>0</v>
      </c>
      <c r="AO335">
        <f t="shared" si="145"/>
        <v>0</v>
      </c>
      <c r="AP335">
        <f t="array" ref="AP335">AL335*IF($C335="GKP",10,IF($C335="DEF",6,IF($C335="MID",5,4)))</f>
        <v>0</v>
      </c>
      <c r="AQ335">
        <f t="shared" si="146"/>
        <v>0</v>
      </c>
      <c r="AR335">
        <f t="shared" si="147"/>
        <v>0</v>
      </c>
      <c r="AS335" s="2">
        <f>IF($H335=0,0,Player_Analysis!$AM335*$H335/90)</f>
        <v>0</v>
      </c>
      <c r="AT335">
        <f t="shared" si="148"/>
        <v>0</v>
      </c>
      <c r="AU335" s="2">
        <f>0</f>
        <v>0</v>
      </c>
      <c r="AV335" s="2" t="str">
        <f>IF(INDEX(FPL_Raw_Data!K:K,MATCH(A335,FPL_Raw_Data!AA:AA,0))=0,"",INDEX(FPL_Raw_Data!P:P,MATCH(A335,FPL_Raw_Data!AA:AA,0))/INDEX(FPL_Raw_Data!K:K,MATCH(A335,FPL_Raw_Data!AA:AA,0))*90)</f>
        <v/>
      </c>
      <c r="AW335" s="2">
        <f t="shared" si="149"/>
        <v>0</v>
      </c>
      <c r="AX335" s="2">
        <f>IFERROR(INDEX(TEAM_ANALYSIS!$H$2:$H$21,MATCH($B335,TEAM_ANALYSIS!$A$2:$A$21,0)),0)</f>
        <v>0</v>
      </c>
      <c r="AY335" s="2">
        <f t="shared" si="150"/>
        <v>0</v>
      </c>
      <c r="AZ335" s="2">
        <f t="shared" si="151"/>
        <v>0</v>
      </c>
      <c r="BA335">
        <f t="shared" si="152"/>
        <v>0</v>
      </c>
      <c r="BB335">
        <f>IFERROR(Player_Analysis!$Y335,1)</f>
        <v>0.95496539792387547</v>
      </c>
      <c r="BC335">
        <f t="shared" si="153"/>
        <v>0</v>
      </c>
      <c r="BD335">
        <f t="shared" si="154"/>
        <v>0</v>
      </c>
      <c r="BE335">
        <f t="shared" si="155"/>
        <v>0</v>
      </c>
      <c r="BF335">
        <f t="shared" si="156"/>
        <v>253</v>
      </c>
      <c r="BG335">
        <f>IF($BE335="","",COUNTIFS($C$2:$C$596,$C335,$BE$2:$BE$596,"&gt;"&amp;$BE335)+COUNTIFS($C$2:$C335,$C335,$BE$2:$BE335,$BE335))</f>
        <v>197</v>
      </c>
    </row>
    <row r="336" spans="1:59" x14ac:dyDescent="0.25">
      <c r="A336" t="str">
        <f>Player_Analysis!A336</f>
        <v>Óscar Zambrano</v>
      </c>
      <c r="B336">
        <f>Player_Analysis!C336</f>
        <v>11</v>
      </c>
      <c r="C336" t="str">
        <f>Player_Analysis!B336</f>
        <v>MID</v>
      </c>
      <c r="D336" s="13">
        <f>Player_Analysis!E336</f>
        <v>4.5</v>
      </c>
      <c r="E336">
        <f>Player_Analysis!I336</f>
        <v>0</v>
      </c>
      <c r="F336" s="8">
        <f>Player_Analysis!Z336</f>
        <v>0</v>
      </c>
      <c r="G336" s="17">
        <f t="shared" si="131"/>
        <v>0</v>
      </c>
      <c r="H336">
        <f t="shared" si="132"/>
        <v>0</v>
      </c>
      <c r="I336" s="8">
        <f>Player_Analysis!AF336</f>
        <v>0</v>
      </c>
      <c r="J336" s="8">
        <f>Player_Analysis!AG336</f>
        <v>0</v>
      </c>
      <c r="K336">
        <f>Player_Analysis!O336</f>
        <v>0</v>
      </c>
      <c r="L336">
        <f>Player_Analysis!P336</f>
        <v>0</v>
      </c>
      <c r="M336" t="str">
        <f t="shared" si="133"/>
        <v/>
      </c>
      <c r="N336" t="str">
        <f t="shared" si="134"/>
        <v/>
      </c>
      <c r="O336" s="2" t="str">
        <f>IF(E336=0,"",Player_Analysis!L336/E336*90)</f>
        <v/>
      </c>
      <c r="P336" t="str">
        <f>IF(E336=0,"",Player_Analysis!Q336/E336*90)</f>
        <v/>
      </c>
      <c r="Q336" t="str">
        <f>IF(E336=0,"",(Player_Analysis!AD336/E336)*90)</f>
        <v/>
      </c>
      <c r="R336" t="str">
        <f>IF(E336=0,"",Player_Analysis!AA336/E336*90)</f>
        <v/>
      </c>
      <c r="S336" t="str">
        <f t="array" ref="S336">IFERROR(INDEX('2023_24'!$O:$O,MATCH($A336,'2023_24'!$A:$A,0)),"")</f>
        <v/>
      </c>
      <c r="T336" t="str">
        <f>IFERROR(INDEX('2024_25'!$P:$P,MATCH($A336,'2024_25'!$A:$A,0)),"")</f>
        <v/>
      </c>
      <c r="U336" t="str">
        <f>IFERROR(INDEX('2025_26'!$P:$P,MATCH($A336,'2025_26'!$A:$A,0)),"")</f>
        <v/>
      </c>
      <c r="V336" t="str">
        <f>IFERROR(INDEX('2023_24'!$P:$P,MATCH($A336,'2023_24'!$A:$A,0)),"")</f>
        <v/>
      </c>
      <c r="W336" t="str">
        <f>IFERROR(INDEX('2024_25'!$Q:$Q,MATCH($A336,'2024_25'!$A:$A,0)),"")</f>
        <v/>
      </c>
      <c r="X336" t="str">
        <f>IFERROR(INDEX('2025_26'!$Q:$Q,MATCH($A336,'2025_26'!$A:$A,0)),"")</f>
        <v/>
      </c>
      <c r="Y336" t="str">
        <f>IFERROR(INDEX('2023_24'!$M:$M,MATCH($A336,'2023_24'!$A:$A,0))/INDEX('2023_24'!$G:$G,MATCH($A336,'2023_24'!$A:$A,0))*90,"")</f>
        <v/>
      </c>
      <c r="Z336" t="str">
        <f>IFERROR(INDEX('2024_25'!$M:$M,MATCH($A336,'2024_25'!$A:$A,0))/INDEX('2024_25'!$G:$G,MATCH($A336,'2024_25'!$A:$A,0))*90,"")</f>
        <v/>
      </c>
      <c r="AA336" t="str">
        <f>IFERROR(INDEX('2025_26'!$M:$M,MATCH($A336,'2025_26'!$A:$A,0))/INDEX('2025_26'!$G:$G,MATCH($A336,'2025_26'!$A:$A,0))*90,"")</f>
        <v/>
      </c>
      <c r="AB336" t="str">
        <f>IFERROR(SUMPRODUCT(S336:U336,{0.2,0.3,0.5})/SUMPRODUCT(--(S336:U336&lt;&gt;""),{0.2,0.3,0.5}),"")</f>
        <v/>
      </c>
      <c r="AC336" t="str">
        <f>IFERROR(SUMPRODUCT(V336:X336,{0.2,0.3,0.5})/SUMPRODUCT(--(V336:X336&lt;&gt;""),{0.2,0.3,0.5}),"")</f>
        <v/>
      </c>
      <c r="AD336" t="str">
        <f>IFERROR(SUMPRODUCT(Y336:AA336,{0.2,0.3,0.5})/SUMPRODUCT((Y336:AA336&lt;&gt;"")*{0.2,0.3,0.5}),O336)</f>
        <v/>
      </c>
      <c r="AE336">
        <f t="shared" si="135"/>
        <v>0</v>
      </c>
      <c r="AF336" t="str">
        <f t="shared" si="136"/>
        <v/>
      </c>
      <c r="AG336">
        <f t="shared" si="137"/>
        <v>0</v>
      </c>
      <c r="AH336">
        <f t="shared" si="138"/>
        <v>0</v>
      </c>
      <c r="AI336" s="2">
        <f t="shared" si="139"/>
        <v>0</v>
      </c>
      <c r="AJ336">
        <f t="shared" si="140"/>
        <v>0</v>
      </c>
      <c r="AK336" t="str">
        <f t="shared" si="141"/>
        <v>YES</v>
      </c>
      <c r="AL336">
        <f t="shared" si="142"/>
        <v>0</v>
      </c>
      <c r="AM336">
        <f t="shared" si="143"/>
        <v>0</v>
      </c>
      <c r="AN336">
        <f t="shared" si="144"/>
        <v>0</v>
      </c>
      <c r="AO336">
        <f t="shared" si="145"/>
        <v>0</v>
      </c>
      <c r="AP336">
        <f t="array" ref="AP336">AL336*IF($C336="GKP",10,IF($C336="DEF",6,IF($C336="MID",5,4)))</f>
        <v>0</v>
      </c>
      <c r="AQ336">
        <f t="shared" si="146"/>
        <v>0</v>
      </c>
      <c r="AR336">
        <f t="shared" si="147"/>
        <v>0</v>
      </c>
      <c r="AS336" s="2">
        <f>IF($H336=0,0,Player_Analysis!$AM336*$H336/90)</f>
        <v>0</v>
      </c>
      <c r="AT336">
        <f t="shared" si="148"/>
        <v>0</v>
      </c>
      <c r="AU336" s="2">
        <f>0</f>
        <v>0</v>
      </c>
      <c r="AV336" s="2" t="str">
        <f>IF(INDEX(FPL_Raw_Data!K:K,MATCH(A336,FPL_Raw_Data!AA:AA,0))=0,"",INDEX(FPL_Raw_Data!P:P,MATCH(A336,FPL_Raw_Data!AA:AA,0))/INDEX(FPL_Raw_Data!K:K,MATCH(A336,FPL_Raw_Data!AA:AA,0))*90)</f>
        <v/>
      </c>
      <c r="AW336" s="2">
        <f t="shared" si="149"/>
        <v>0</v>
      </c>
      <c r="AX336" s="2">
        <f>IFERROR(INDEX(TEAM_ANALYSIS!$H$2:$H$21,MATCH($B336,TEAM_ANALYSIS!$A$2:$A$21,0)),0)</f>
        <v>0</v>
      </c>
      <c r="AY336" s="2">
        <f t="shared" si="150"/>
        <v>0</v>
      </c>
      <c r="AZ336" s="2">
        <f t="shared" si="151"/>
        <v>0</v>
      </c>
      <c r="BA336">
        <f t="shared" si="152"/>
        <v>0</v>
      </c>
      <c r="BB336">
        <f>IFERROR(Player_Analysis!$Y336,1)</f>
        <v>0.95496539792387547</v>
      </c>
      <c r="BC336">
        <f t="shared" si="153"/>
        <v>0</v>
      </c>
      <c r="BD336">
        <f t="shared" si="154"/>
        <v>0</v>
      </c>
      <c r="BE336">
        <f t="shared" si="155"/>
        <v>0</v>
      </c>
      <c r="BF336">
        <f t="shared" si="156"/>
        <v>253</v>
      </c>
      <c r="BG336">
        <f>IF($BE336="","",COUNTIFS($C$2:$C$596,$C336,$BE$2:$BE$596,"&gt;"&amp;$BE336)+COUNTIFS($C$2:$C336,$C336,$BE$2:$BE336,$BE336))</f>
        <v>198</v>
      </c>
    </row>
    <row r="337" spans="1:59" x14ac:dyDescent="0.25">
      <c r="A337" t="str">
        <f>Player_Analysis!A337</f>
        <v>Oli McBurnie</v>
      </c>
      <c r="B337">
        <f>Player_Analysis!C337</f>
        <v>11</v>
      </c>
      <c r="C337" t="str">
        <f>Player_Analysis!B337</f>
        <v>FWD</v>
      </c>
      <c r="D337" s="13">
        <f>Player_Analysis!E337</f>
        <v>5.5</v>
      </c>
      <c r="E337">
        <f>Player_Analysis!I337</f>
        <v>270</v>
      </c>
      <c r="F337" s="8">
        <f>Player_Analysis!Z337</f>
        <v>3</v>
      </c>
      <c r="G337" s="17">
        <f t="shared" si="131"/>
        <v>1</v>
      </c>
      <c r="H337">
        <f t="shared" si="132"/>
        <v>90</v>
      </c>
      <c r="I337" s="8">
        <f>Player_Analysis!AF337</f>
        <v>0</v>
      </c>
      <c r="J337" s="8">
        <f>Player_Analysis!AG337</f>
        <v>1</v>
      </c>
      <c r="K337">
        <f>Player_Analysis!O337</f>
        <v>0.54</v>
      </c>
      <c r="L337">
        <f>Player_Analysis!P337</f>
        <v>7.0000000000000007E-2</v>
      </c>
      <c r="M337">
        <f t="shared" si="133"/>
        <v>0.18</v>
      </c>
      <c r="N337">
        <f t="shared" si="134"/>
        <v>2.3333333333333334E-2</v>
      </c>
      <c r="O337" s="2">
        <f>IF(E337=0,"",Player_Analysis!L337/E337*90)</f>
        <v>2.666666666666667</v>
      </c>
      <c r="P337">
        <f>IF(E337=0,"",Player_Analysis!Q337/E337*90)</f>
        <v>0.20333333333333331</v>
      </c>
      <c r="Q337">
        <f>IF(E337=0,"",(Player_Analysis!AD337/E337)*90)</f>
        <v>10</v>
      </c>
      <c r="R337">
        <f>IF(E337=0,"",Player_Analysis!AA337/E337*90)</f>
        <v>4</v>
      </c>
      <c r="S337" t="str">
        <f t="array" ref="S337">IFERROR(INDEX('2023_24'!$O:$O,MATCH($A337,'2023_24'!$A:$A,0)),"")</f>
        <v/>
      </c>
      <c r="T337" t="str">
        <f>IFERROR(INDEX('2024_25'!$P:$P,MATCH($A337,'2024_25'!$A:$A,0)),"")</f>
        <v/>
      </c>
      <c r="U337" t="str">
        <f>IFERROR(INDEX('2025_26'!$P:$P,MATCH($A337,'2025_26'!$A:$A,0)),"")</f>
        <v/>
      </c>
      <c r="V337" t="str">
        <f>IFERROR(INDEX('2023_24'!$P:$P,MATCH($A337,'2023_24'!$A:$A,0)),"")</f>
        <v/>
      </c>
      <c r="W337" t="str">
        <f>IFERROR(INDEX('2024_25'!$Q:$Q,MATCH($A337,'2024_25'!$A:$A,0)),"")</f>
        <v/>
      </c>
      <c r="X337" t="str">
        <f>IFERROR(INDEX('2025_26'!$Q:$Q,MATCH($A337,'2025_26'!$A:$A,0)),"")</f>
        <v/>
      </c>
      <c r="Y337" t="str">
        <f>IFERROR(INDEX('2023_24'!$M:$M,MATCH($A337,'2023_24'!$A:$A,0))/INDEX('2023_24'!$G:$G,MATCH($A337,'2023_24'!$A:$A,0))*90,"")</f>
        <v/>
      </c>
      <c r="Z337" t="str">
        <f>IFERROR(INDEX('2024_25'!$M:$M,MATCH($A337,'2024_25'!$A:$A,0))/INDEX('2024_25'!$G:$G,MATCH($A337,'2024_25'!$A:$A,0))*90,"")</f>
        <v/>
      </c>
      <c r="AA337" t="str">
        <f>IFERROR(INDEX('2025_26'!$M:$M,MATCH($A337,'2025_26'!$A:$A,0))/INDEX('2025_26'!$G:$G,MATCH($A337,'2025_26'!$A:$A,0))*90,"")</f>
        <v/>
      </c>
      <c r="AB337" t="str">
        <f>IFERROR(SUMPRODUCT(S337:U337,{0.2,0.3,0.5})/SUMPRODUCT(--(S337:U337&lt;&gt;""),{0.2,0.3,0.5}),"")</f>
        <v/>
      </c>
      <c r="AC337" t="str">
        <f>IFERROR(SUMPRODUCT(V337:X337,{0.2,0.3,0.5})/SUMPRODUCT(--(V337:X337&lt;&gt;""),{0.2,0.3,0.5}),"")</f>
        <v/>
      </c>
      <c r="AD337">
        <f>IFERROR(SUMPRODUCT(Y337:AA337,{0.2,0.3,0.5})/SUMPRODUCT((Y337:AA337&lt;&gt;"")*{0.2,0.3,0.5}),O337)</f>
        <v>2.666666666666667</v>
      </c>
      <c r="AE337">
        <f t="shared" si="135"/>
        <v>0</v>
      </c>
      <c r="AF337">
        <f t="shared" si="136"/>
        <v>90</v>
      </c>
      <c r="AG337">
        <f t="shared" si="137"/>
        <v>0.18</v>
      </c>
      <c r="AH337">
        <f t="shared" si="138"/>
        <v>2.3333333333333334E-2</v>
      </c>
      <c r="AI337" s="2">
        <f t="shared" si="139"/>
        <v>2.666666666666667</v>
      </c>
      <c r="AJ337">
        <f t="shared" si="140"/>
        <v>0.9</v>
      </c>
      <c r="AK337" t="str">
        <f t="shared" si="141"/>
        <v>YES</v>
      </c>
      <c r="AL337">
        <f t="shared" si="142"/>
        <v>0.18</v>
      </c>
      <c r="AM337">
        <f t="shared" si="143"/>
        <v>2.3333333333333334E-2</v>
      </c>
      <c r="AN337">
        <f t="shared" si="144"/>
        <v>0.18</v>
      </c>
      <c r="AO337">
        <f t="shared" si="145"/>
        <v>2.3333333333333334E-2</v>
      </c>
      <c r="AP337">
        <f t="array" ref="AP337">AL337*IF($C337="GKP",10,IF($C337="DEF",6,IF($C337="MID",5,4)))</f>
        <v>0.72</v>
      </c>
      <c r="AQ337">
        <f t="shared" si="146"/>
        <v>7.0000000000000007E-2</v>
      </c>
      <c r="AR337">
        <f t="shared" si="147"/>
        <v>2</v>
      </c>
      <c r="AS337" s="2">
        <f>IF($H337=0,0,Player_Analysis!$AM337*$H337/90)</f>
        <v>0</v>
      </c>
      <c r="AT337">
        <f t="shared" si="148"/>
        <v>0.66666666666666663</v>
      </c>
      <c r="AU337" s="2">
        <f>0</f>
        <v>0</v>
      </c>
      <c r="AV337" s="2">
        <f>IF(INDEX(FPL_Raw_Data!K:K,MATCH(A337,FPL_Raw_Data!AA:AA,0))=0,"",INDEX(FPL_Raw_Data!P:P,MATCH(A337,FPL_Raw_Data!AA:AA,0))/INDEX(FPL_Raw_Data!K:K,MATCH(A337,FPL_Raw_Data!AA:AA,0))*90)</f>
        <v>0</v>
      </c>
      <c r="AW337" s="2">
        <f t="shared" si="149"/>
        <v>0</v>
      </c>
      <c r="AX337" s="2">
        <f>IFERROR(INDEX(TEAM_ANALYSIS!$H$2:$H$21,MATCH($B337,TEAM_ANALYSIS!$A$2:$A$21,0)),0)</f>
        <v>0</v>
      </c>
      <c r="AY337" s="2">
        <f t="shared" si="150"/>
        <v>0</v>
      </c>
      <c r="AZ337" s="2">
        <f t="shared" si="151"/>
        <v>3.4566666666666666</v>
      </c>
      <c r="BA337">
        <f t="shared" si="152"/>
        <v>0.62848484848484842</v>
      </c>
      <c r="BB337">
        <f>IFERROR(Player_Analysis!$Y337,1)</f>
        <v>0.95496539792387547</v>
      </c>
      <c r="BC337">
        <f t="shared" si="153"/>
        <v>3.3009970588235293</v>
      </c>
      <c r="BD337">
        <f t="shared" si="154"/>
        <v>2.0746266363636363</v>
      </c>
      <c r="BE337">
        <f t="shared" si="155"/>
        <v>3.3009970588235293</v>
      </c>
      <c r="BF337">
        <f t="shared" si="156"/>
        <v>186</v>
      </c>
      <c r="BG337">
        <f>IF($BE337="","",COUNTIFS($C$2:$C$596,$C337,$BE$2:$BE$596,"&gt;"&amp;$BE337)+COUNTIFS($C$2:$C337,$C337,$BE$2:$BE337,$BE337))</f>
        <v>18</v>
      </c>
    </row>
    <row r="338" spans="1:59" x14ac:dyDescent="0.25">
      <c r="A338" t="str">
        <f>Player_Analysis!A338</f>
        <v>David Akintola</v>
      </c>
      <c r="B338">
        <f>Player_Analysis!C338</f>
        <v>11</v>
      </c>
      <c r="C338" t="str">
        <f>Player_Analysis!B338</f>
        <v>MID</v>
      </c>
      <c r="D338" s="13">
        <f>Player_Analysis!E338</f>
        <v>5</v>
      </c>
      <c r="E338">
        <f>Player_Analysis!I338</f>
        <v>0</v>
      </c>
      <c r="F338" s="8">
        <f>Player_Analysis!Z338</f>
        <v>0</v>
      </c>
      <c r="G338" s="17">
        <f t="shared" si="131"/>
        <v>0</v>
      </c>
      <c r="H338">
        <f t="shared" si="132"/>
        <v>0</v>
      </c>
      <c r="I338" s="8">
        <f>Player_Analysis!AF338</f>
        <v>0</v>
      </c>
      <c r="J338" s="8">
        <f>Player_Analysis!AG338</f>
        <v>0</v>
      </c>
      <c r="K338">
        <f>Player_Analysis!O338</f>
        <v>0</v>
      </c>
      <c r="L338">
        <f>Player_Analysis!P338</f>
        <v>0</v>
      </c>
      <c r="M338" t="str">
        <f t="shared" si="133"/>
        <v/>
      </c>
      <c r="N338" t="str">
        <f t="shared" si="134"/>
        <v/>
      </c>
      <c r="O338" s="2" t="str">
        <f>IF(E338=0,"",Player_Analysis!L338/E338*90)</f>
        <v/>
      </c>
      <c r="P338" t="str">
        <f>IF(E338=0,"",Player_Analysis!Q338/E338*90)</f>
        <v/>
      </c>
      <c r="Q338" t="str">
        <f>IF(E338=0,"",(Player_Analysis!AD338/E338)*90)</f>
        <v/>
      </c>
      <c r="R338" t="str">
        <f>IF(E338=0,"",Player_Analysis!AA338/E338*90)</f>
        <v/>
      </c>
      <c r="S338" t="str">
        <f t="array" ref="S338">IFERROR(INDEX('2023_24'!$O:$O,MATCH($A338,'2023_24'!$A:$A,0)),"")</f>
        <v/>
      </c>
      <c r="T338" t="str">
        <f>IFERROR(INDEX('2024_25'!$P:$P,MATCH($A338,'2024_25'!$A:$A,0)),"")</f>
        <v/>
      </c>
      <c r="U338" t="str">
        <f>IFERROR(INDEX('2025_26'!$P:$P,MATCH($A338,'2025_26'!$A:$A,0)),"")</f>
        <v/>
      </c>
      <c r="V338" t="str">
        <f>IFERROR(INDEX('2023_24'!$P:$P,MATCH($A338,'2023_24'!$A:$A,0)),"")</f>
        <v/>
      </c>
      <c r="W338" t="str">
        <f>IFERROR(INDEX('2024_25'!$Q:$Q,MATCH($A338,'2024_25'!$A:$A,0)),"")</f>
        <v/>
      </c>
      <c r="X338" t="str">
        <f>IFERROR(INDEX('2025_26'!$Q:$Q,MATCH($A338,'2025_26'!$A:$A,0)),"")</f>
        <v/>
      </c>
      <c r="Y338" t="str">
        <f>IFERROR(INDEX('2023_24'!$M:$M,MATCH($A338,'2023_24'!$A:$A,0))/INDEX('2023_24'!$G:$G,MATCH($A338,'2023_24'!$A:$A,0))*90,"")</f>
        <v/>
      </c>
      <c r="Z338" t="str">
        <f>IFERROR(INDEX('2024_25'!$M:$M,MATCH($A338,'2024_25'!$A:$A,0))/INDEX('2024_25'!$G:$G,MATCH($A338,'2024_25'!$A:$A,0))*90,"")</f>
        <v/>
      </c>
      <c r="AA338" t="str">
        <f>IFERROR(INDEX('2025_26'!$M:$M,MATCH($A338,'2025_26'!$A:$A,0))/INDEX('2025_26'!$G:$G,MATCH($A338,'2025_26'!$A:$A,0))*90,"")</f>
        <v/>
      </c>
      <c r="AB338" t="str">
        <f>IFERROR(SUMPRODUCT(S338:U338,{0.2,0.3,0.5})/SUMPRODUCT(--(S338:U338&lt;&gt;""),{0.2,0.3,0.5}),"")</f>
        <v/>
      </c>
      <c r="AC338" t="str">
        <f>IFERROR(SUMPRODUCT(V338:X338,{0.2,0.3,0.5})/SUMPRODUCT(--(V338:X338&lt;&gt;""),{0.2,0.3,0.5}),"")</f>
        <v/>
      </c>
      <c r="AD338" t="str">
        <f>IFERROR(SUMPRODUCT(Y338:AA338,{0.2,0.3,0.5})/SUMPRODUCT((Y338:AA338&lt;&gt;"")*{0.2,0.3,0.5}),O338)</f>
        <v/>
      </c>
      <c r="AE338">
        <f t="shared" si="135"/>
        <v>0</v>
      </c>
      <c r="AF338" t="str">
        <f t="shared" si="136"/>
        <v/>
      </c>
      <c r="AG338">
        <f t="shared" si="137"/>
        <v>0</v>
      </c>
      <c r="AH338">
        <f t="shared" si="138"/>
        <v>0</v>
      </c>
      <c r="AI338" s="2">
        <f t="shared" si="139"/>
        <v>0</v>
      </c>
      <c r="AJ338">
        <f t="shared" si="140"/>
        <v>0</v>
      </c>
      <c r="AK338" t="str">
        <f t="shared" si="141"/>
        <v>YES</v>
      </c>
      <c r="AL338">
        <f t="shared" si="142"/>
        <v>0</v>
      </c>
      <c r="AM338">
        <f t="shared" si="143"/>
        <v>0</v>
      </c>
      <c r="AN338">
        <f t="shared" si="144"/>
        <v>0</v>
      </c>
      <c r="AO338">
        <f t="shared" si="145"/>
        <v>0</v>
      </c>
      <c r="AP338">
        <f t="array" ref="AP338">AL338*IF($C338="GKP",10,IF($C338="DEF",6,IF($C338="MID",5,4)))</f>
        <v>0</v>
      </c>
      <c r="AQ338">
        <f t="shared" si="146"/>
        <v>0</v>
      </c>
      <c r="AR338">
        <f t="shared" si="147"/>
        <v>0</v>
      </c>
      <c r="AS338" s="2">
        <f>IF($H338=0,0,Player_Analysis!$AM338*$H338/90)</f>
        <v>0</v>
      </c>
      <c r="AT338">
        <f t="shared" si="148"/>
        <v>0</v>
      </c>
      <c r="AU338" s="2">
        <f>0</f>
        <v>0</v>
      </c>
      <c r="AV338" s="2" t="str">
        <f>IF(INDEX(FPL_Raw_Data!K:K,MATCH(A338,FPL_Raw_Data!AA:AA,0))=0,"",INDEX(FPL_Raw_Data!P:P,MATCH(A338,FPL_Raw_Data!AA:AA,0))/INDEX(FPL_Raw_Data!K:K,MATCH(A338,FPL_Raw_Data!AA:AA,0))*90)</f>
        <v/>
      </c>
      <c r="AW338" s="2">
        <f t="shared" si="149"/>
        <v>0</v>
      </c>
      <c r="AX338" s="2">
        <f>IFERROR(INDEX(TEAM_ANALYSIS!$H$2:$H$21,MATCH($B338,TEAM_ANALYSIS!$A$2:$A$21,0)),0)</f>
        <v>0</v>
      </c>
      <c r="AY338" s="2">
        <f t="shared" si="150"/>
        <v>0</v>
      </c>
      <c r="AZ338" s="2">
        <f t="shared" si="151"/>
        <v>0</v>
      </c>
      <c r="BA338">
        <f t="shared" si="152"/>
        <v>0</v>
      </c>
      <c r="BB338">
        <f>IFERROR(Player_Analysis!$Y338,1)</f>
        <v>0.95496539792387547</v>
      </c>
      <c r="BC338">
        <f t="shared" si="153"/>
        <v>0</v>
      </c>
      <c r="BD338">
        <f t="shared" si="154"/>
        <v>0</v>
      </c>
      <c r="BE338">
        <f t="shared" si="155"/>
        <v>0</v>
      </c>
      <c r="BF338">
        <f t="shared" si="156"/>
        <v>253</v>
      </c>
      <c r="BG338">
        <f>IF($BE338="","",COUNTIFS($C$2:$C$596,$C338,$BE$2:$BE$596,"&gt;"&amp;$BE338)+COUNTIFS($C$2:$C338,$C338,$BE$2:$BE338,$BE338))</f>
        <v>199</v>
      </c>
    </row>
    <row r="339" spans="1:59" x14ac:dyDescent="0.25">
      <c r="A339" t="str">
        <f>Player_Analysis!A339</f>
        <v>Darko Gyabi</v>
      </c>
      <c r="B339">
        <f>Player_Analysis!C339</f>
        <v>11</v>
      </c>
      <c r="C339" t="str">
        <f>Player_Analysis!B339</f>
        <v>MID</v>
      </c>
      <c r="D339" s="13">
        <f>Player_Analysis!E339</f>
        <v>4.5</v>
      </c>
      <c r="E339">
        <f>Player_Analysis!I339</f>
        <v>0</v>
      </c>
      <c r="F339" s="8">
        <f>Player_Analysis!Z339</f>
        <v>0</v>
      </c>
      <c r="G339" s="17">
        <f t="shared" si="131"/>
        <v>0</v>
      </c>
      <c r="H339">
        <f t="shared" si="132"/>
        <v>0</v>
      </c>
      <c r="I339" s="8">
        <f>Player_Analysis!AF339</f>
        <v>0</v>
      </c>
      <c r="J339" s="8">
        <f>Player_Analysis!AG339</f>
        <v>0</v>
      </c>
      <c r="K339">
        <f>Player_Analysis!O339</f>
        <v>0</v>
      </c>
      <c r="L339">
        <f>Player_Analysis!P339</f>
        <v>0</v>
      </c>
      <c r="M339" t="str">
        <f t="shared" si="133"/>
        <v/>
      </c>
      <c r="N339" t="str">
        <f t="shared" si="134"/>
        <v/>
      </c>
      <c r="O339" s="2" t="str">
        <f>IF(E339=0,"",Player_Analysis!L339/E339*90)</f>
        <v/>
      </c>
      <c r="P339" t="str">
        <f>IF(E339=0,"",Player_Analysis!Q339/E339*90)</f>
        <v/>
      </c>
      <c r="Q339" t="str">
        <f>IF(E339=0,"",(Player_Analysis!AD339/E339)*90)</f>
        <v/>
      </c>
      <c r="R339" t="str">
        <f>IF(E339=0,"",Player_Analysis!AA339/E339*90)</f>
        <v/>
      </c>
      <c r="S339" t="str">
        <f t="array" ref="S339">IFERROR(INDEX('2023_24'!$O:$O,MATCH($A339,'2023_24'!$A:$A,0)),"")</f>
        <v/>
      </c>
      <c r="T339" t="str">
        <f>IFERROR(INDEX('2024_25'!$P:$P,MATCH($A339,'2024_25'!$A:$A,0)),"")</f>
        <v/>
      </c>
      <c r="U339">
        <f>IFERROR(INDEX('2025_26'!$P:$P,MATCH($A339,'2025_26'!$A:$A,0)),"")</f>
        <v>0</v>
      </c>
      <c r="V339" t="str">
        <f>IFERROR(INDEX('2023_24'!$P:$P,MATCH($A339,'2023_24'!$A:$A,0)),"")</f>
        <v/>
      </c>
      <c r="W339" t="str">
        <f>IFERROR(INDEX('2024_25'!$Q:$Q,MATCH($A339,'2024_25'!$A:$A,0)),"")</f>
        <v/>
      </c>
      <c r="X339">
        <f>IFERROR(INDEX('2025_26'!$Q:$Q,MATCH($A339,'2025_26'!$A:$A,0)),"")</f>
        <v>0</v>
      </c>
      <c r="Y339" t="str">
        <f>IFERROR(INDEX('2023_24'!$M:$M,MATCH($A339,'2023_24'!$A:$A,0))/INDEX('2023_24'!$G:$G,MATCH($A339,'2023_24'!$A:$A,0))*90,"")</f>
        <v/>
      </c>
      <c r="Z339" t="str">
        <f>IFERROR(INDEX('2024_25'!$M:$M,MATCH($A339,'2024_25'!$A:$A,0))/INDEX('2024_25'!$G:$G,MATCH($A339,'2024_25'!$A:$A,0))*90,"")</f>
        <v/>
      </c>
      <c r="AA339" t="str">
        <f>IFERROR(INDEX('2025_26'!$M:$M,MATCH($A339,'2025_26'!$A:$A,0))/INDEX('2025_26'!$G:$G,MATCH($A339,'2025_26'!$A:$A,0))*90,"")</f>
        <v/>
      </c>
      <c r="AB339">
        <f>IFERROR(SUMPRODUCT(S339:U339,{0.2,0.3,0.5})/SUMPRODUCT(--(S339:U339&lt;&gt;""),{0.2,0.3,0.5}),"")</f>
        <v>0</v>
      </c>
      <c r="AC339">
        <f>IFERROR(SUMPRODUCT(V339:X339,{0.2,0.3,0.5})/SUMPRODUCT(--(V339:X339&lt;&gt;""),{0.2,0.3,0.5}),"")</f>
        <v>0</v>
      </c>
      <c r="AD339" t="str">
        <f>IFERROR(SUMPRODUCT(Y339:AA339,{0.2,0.3,0.5})/SUMPRODUCT((Y339:AA339&lt;&gt;"")*{0.2,0.3,0.5}),O339)</f>
        <v/>
      </c>
      <c r="AE339">
        <f t="shared" si="135"/>
        <v>1</v>
      </c>
      <c r="AF339" t="str">
        <f t="shared" si="136"/>
        <v/>
      </c>
      <c r="AG339">
        <f t="shared" si="137"/>
        <v>0</v>
      </c>
      <c r="AH339">
        <f t="shared" si="138"/>
        <v>0</v>
      </c>
      <c r="AI339" s="2">
        <f t="shared" si="139"/>
        <v>0</v>
      </c>
      <c r="AJ339">
        <f t="shared" si="140"/>
        <v>0</v>
      </c>
      <c r="AK339" t="str">
        <f t="shared" si="141"/>
        <v>NO</v>
      </c>
      <c r="AL339">
        <f t="shared" si="142"/>
        <v>0</v>
      </c>
      <c r="AM339">
        <f t="shared" si="143"/>
        <v>0</v>
      </c>
      <c r="AN339">
        <f t="shared" si="144"/>
        <v>0</v>
      </c>
      <c r="AO339">
        <f t="shared" si="145"/>
        <v>0</v>
      </c>
      <c r="AP339">
        <f t="array" ref="AP339">AL339*IF($C339="GKP",10,IF($C339="DEF",6,IF($C339="MID",5,4)))</f>
        <v>0</v>
      </c>
      <c r="AQ339">
        <f t="shared" si="146"/>
        <v>0</v>
      </c>
      <c r="AR339">
        <f t="shared" si="147"/>
        <v>0</v>
      </c>
      <c r="AS339" s="2">
        <f>IF($H339=0,0,Player_Analysis!$AM339*$H339/90)</f>
        <v>0</v>
      </c>
      <c r="AT339">
        <f t="shared" si="148"/>
        <v>0</v>
      </c>
      <c r="AU339" s="2">
        <f>0</f>
        <v>0</v>
      </c>
      <c r="AV339" s="2" t="str">
        <f>IF(INDEX(FPL_Raw_Data!K:K,MATCH(A339,FPL_Raw_Data!AA:AA,0))=0,"",INDEX(FPL_Raw_Data!P:P,MATCH(A339,FPL_Raw_Data!AA:AA,0))/INDEX(FPL_Raw_Data!K:K,MATCH(A339,FPL_Raw_Data!AA:AA,0))*90)</f>
        <v/>
      </c>
      <c r="AW339" s="2">
        <f t="shared" si="149"/>
        <v>0</v>
      </c>
      <c r="AX339" s="2">
        <f>IFERROR(INDEX(TEAM_ANALYSIS!$H$2:$H$21,MATCH($B339,TEAM_ANALYSIS!$A$2:$A$21,0)),0)</f>
        <v>0</v>
      </c>
      <c r="AY339" s="2">
        <f t="shared" si="150"/>
        <v>0</v>
      </c>
      <c r="AZ339" s="2">
        <f t="shared" si="151"/>
        <v>0</v>
      </c>
      <c r="BA339">
        <f t="shared" si="152"/>
        <v>0</v>
      </c>
      <c r="BB339">
        <f>IFERROR(Player_Analysis!$Y339,1)</f>
        <v>0.95496539792387547</v>
      </c>
      <c r="BC339">
        <f t="shared" si="153"/>
        <v>0</v>
      </c>
      <c r="BD339">
        <f t="shared" si="154"/>
        <v>0</v>
      </c>
      <c r="BE339">
        <f t="shared" si="155"/>
        <v>0</v>
      </c>
      <c r="BF339">
        <f t="shared" si="156"/>
        <v>253</v>
      </c>
      <c r="BG339">
        <f>IF($BE339="","",COUNTIFS($C$2:$C$596,$C339,$BE$2:$BE$596,"&gt;"&amp;$BE339)+COUNTIFS($C$2:$C339,$C339,$BE$2:$BE339,$BE339))</f>
        <v>200</v>
      </c>
    </row>
    <row r="340" spans="1:59" x14ac:dyDescent="0.25">
      <c r="A340" t="str">
        <f>Player_Analysis!A340</f>
        <v>Enis Destan</v>
      </c>
      <c r="B340">
        <f>Player_Analysis!C340</f>
        <v>11</v>
      </c>
      <c r="C340" t="str">
        <f>Player_Analysis!B340</f>
        <v>FWD</v>
      </c>
      <c r="D340" s="13">
        <f>Player_Analysis!E340</f>
        <v>4.5</v>
      </c>
      <c r="E340">
        <f>Player_Analysis!I340</f>
        <v>0</v>
      </c>
      <c r="F340" s="8">
        <f>Player_Analysis!Z340</f>
        <v>0</v>
      </c>
      <c r="G340" s="17">
        <f t="shared" si="131"/>
        <v>0</v>
      </c>
      <c r="H340">
        <f t="shared" si="132"/>
        <v>0</v>
      </c>
      <c r="I340" s="8">
        <f>Player_Analysis!AF340</f>
        <v>0</v>
      </c>
      <c r="J340" s="8">
        <f>Player_Analysis!AG340</f>
        <v>0</v>
      </c>
      <c r="K340">
        <f>Player_Analysis!O340</f>
        <v>0</v>
      </c>
      <c r="L340">
        <f>Player_Analysis!P340</f>
        <v>0</v>
      </c>
      <c r="M340" t="str">
        <f t="shared" si="133"/>
        <v/>
      </c>
      <c r="N340" t="str">
        <f t="shared" si="134"/>
        <v/>
      </c>
      <c r="O340" s="2" t="str">
        <f>IF(E340=0,"",Player_Analysis!L340/E340*90)</f>
        <v/>
      </c>
      <c r="P340" t="str">
        <f>IF(E340=0,"",Player_Analysis!Q340/E340*90)</f>
        <v/>
      </c>
      <c r="Q340" t="str">
        <f>IF(E340=0,"",(Player_Analysis!AD340/E340)*90)</f>
        <v/>
      </c>
      <c r="R340" t="str">
        <f>IF(E340=0,"",Player_Analysis!AA340/E340*90)</f>
        <v/>
      </c>
      <c r="S340" t="str">
        <f t="array" ref="S340">IFERROR(INDEX('2023_24'!$O:$O,MATCH($A340,'2023_24'!$A:$A,0)),"")</f>
        <v/>
      </c>
      <c r="T340" t="str">
        <f>IFERROR(INDEX('2024_25'!$P:$P,MATCH($A340,'2024_25'!$A:$A,0)),"")</f>
        <v/>
      </c>
      <c r="U340" t="str">
        <f>IFERROR(INDEX('2025_26'!$P:$P,MATCH($A340,'2025_26'!$A:$A,0)),"")</f>
        <v/>
      </c>
      <c r="V340" t="str">
        <f>IFERROR(INDEX('2023_24'!$P:$P,MATCH($A340,'2023_24'!$A:$A,0)),"")</f>
        <v/>
      </c>
      <c r="W340" t="str">
        <f>IFERROR(INDEX('2024_25'!$Q:$Q,MATCH($A340,'2024_25'!$A:$A,0)),"")</f>
        <v/>
      </c>
      <c r="X340" t="str">
        <f>IFERROR(INDEX('2025_26'!$Q:$Q,MATCH($A340,'2025_26'!$A:$A,0)),"")</f>
        <v/>
      </c>
      <c r="Y340" t="str">
        <f>IFERROR(INDEX('2023_24'!$M:$M,MATCH($A340,'2023_24'!$A:$A,0))/INDEX('2023_24'!$G:$G,MATCH($A340,'2023_24'!$A:$A,0))*90,"")</f>
        <v/>
      </c>
      <c r="Z340" t="str">
        <f>IFERROR(INDEX('2024_25'!$M:$M,MATCH($A340,'2024_25'!$A:$A,0))/INDEX('2024_25'!$G:$G,MATCH($A340,'2024_25'!$A:$A,0))*90,"")</f>
        <v/>
      </c>
      <c r="AA340" t="str">
        <f>IFERROR(INDEX('2025_26'!$M:$M,MATCH($A340,'2025_26'!$A:$A,0))/INDEX('2025_26'!$G:$G,MATCH($A340,'2025_26'!$A:$A,0))*90,"")</f>
        <v/>
      </c>
      <c r="AB340" t="str">
        <f>IFERROR(SUMPRODUCT(S340:U340,{0.2,0.3,0.5})/SUMPRODUCT(--(S340:U340&lt;&gt;""),{0.2,0.3,0.5}),"")</f>
        <v/>
      </c>
      <c r="AC340" t="str">
        <f>IFERROR(SUMPRODUCT(V340:X340,{0.2,0.3,0.5})/SUMPRODUCT(--(V340:X340&lt;&gt;""),{0.2,0.3,0.5}),"")</f>
        <v/>
      </c>
      <c r="AD340" t="str">
        <f>IFERROR(SUMPRODUCT(Y340:AA340,{0.2,0.3,0.5})/SUMPRODUCT((Y340:AA340&lt;&gt;"")*{0.2,0.3,0.5}),O340)</f>
        <v/>
      </c>
      <c r="AE340">
        <f t="shared" si="135"/>
        <v>0</v>
      </c>
      <c r="AF340" t="str">
        <f t="shared" si="136"/>
        <v/>
      </c>
      <c r="AG340">
        <f t="shared" si="137"/>
        <v>0</v>
      </c>
      <c r="AH340">
        <f t="shared" si="138"/>
        <v>0</v>
      </c>
      <c r="AI340" s="2">
        <f t="shared" si="139"/>
        <v>0</v>
      </c>
      <c r="AJ340">
        <f t="shared" si="140"/>
        <v>0</v>
      </c>
      <c r="AK340" t="str">
        <f t="shared" si="141"/>
        <v>YES</v>
      </c>
      <c r="AL340">
        <f t="shared" si="142"/>
        <v>0</v>
      </c>
      <c r="AM340">
        <f t="shared" si="143"/>
        <v>0</v>
      </c>
      <c r="AN340">
        <f t="shared" si="144"/>
        <v>0</v>
      </c>
      <c r="AO340">
        <f t="shared" si="145"/>
        <v>0</v>
      </c>
      <c r="AP340">
        <f t="array" ref="AP340">AL340*IF($C340="GKP",10,IF($C340="DEF",6,IF($C340="MID",5,4)))</f>
        <v>0</v>
      </c>
      <c r="AQ340">
        <f t="shared" si="146"/>
        <v>0</v>
      </c>
      <c r="AR340">
        <f t="shared" si="147"/>
        <v>0</v>
      </c>
      <c r="AS340" s="2">
        <f>IF($H340=0,0,Player_Analysis!$AM340*$H340/90)</f>
        <v>0</v>
      </c>
      <c r="AT340">
        <f t="shared" si="148"/>
        <v>0</v>
      </c>
      <c r="AU340" s="2">
        <f>0</f>
        <v>0</v>
      </c>
      <c r="AV340" s="2" t="str">
        <f>IF(INDEX(FPL_Raw_Data!K:K,MATCH(A340,FPL_Raw_Data!AA:AA,0))=0,"",INDEX(FPL_Raw_Data!P:P,MATCH(A340,FPL_Raw_Data!AA:AA,0))/INDEX(FPL_Raw_Data!K:K,MATCH(A340,FPL_Raw_Data!AA:AA,0))*90)</f>
        <v/>
      </c>
      <c r="AW340" s="2">
        <f t="shared" si="149"/>
        <v>0</v>
      </c>
      <c r="AX340" s="2">
        <f>IFERROR(INDEX(TEAM_ANALYSIS!$H$2:$H$21,MATCH($B340,TEAM_ANALYSIS!$A$2:$A$21,0)),0)</f>
        <v>0</v>
      </c>
      <c r="AY340" s="2">
        <f t="shared" si="150"/>
        <v>0</v>
      </c>
      <c r="AZ340" s="2">
        <f t="shared" si="151"/>
        <v>0</v>
      </c>
      <c r="BA340">
        <f t="shared" si="152"/>
        <v>0</v>
      </c>
      <c r="BB340">
        <f>IFERROR(Player_Analysis!$Y340,1)</f>
        <v>0.95496539792387547</v>
      </c>
      <c r="BC340">
        <f t="shared" si="153"/>
        <v>0</v>
      </c>
      <c r="BD340">
        <f t="shared" si="154"/>
        <v>0</v>
      </c>
      <c r="BE340">
        <f t="shared" si="155"/>
        <v>0</v>
      </c>
      <c r="BF340">
        <f t="shared" si="156"/>
        <v>253</v>
      </c>
      <c r="BG340">
        <f>IF($BE340="","",COUNTIFS($C$2:$C$596,$C340,$BE$2:$BE$596,"&gt;"&amp;$BE340)+COUNTIFS($C$2:$C340,$C340,$BE$2:$BE340,$BE340))</f>
        <v>51</v>
      </c>
    </row>
    <row r="341" spans="1:59" x14ac:dyDescent="0.25">
      <c r="A341" t="str">
        <f>Player_Analysis!A341</f>
        <v>Mason Burstow</v>
      </c>
      <c r="B341">
        <f>Player_Analysis!C341</f>
        <v>11</v>
      </c>
      <c r="C341" t="str">
        <f>Player_Analysis!B341</f>
        <v>FWD</v>
      </c>
      <c r="D341" s="13">
        <f>Player_Analysis!E341</f>
        <v>4.5</v>
      </c>
      <c r="E341">
        <f>Player_Analysis!I341</f>
        <v>0</v>
      </c>
      <c r="F341" s="8">
        <f>Player_Analysis!Z341</f>
        <v>0</v>
      </c>
      <c r="G341" s="17">
        <f t="shared" si="131"/>
        <v>0</v>
      </c>
      <c r="H341">
        <f t="shared" si="132"/>
        <v>0</v>
      </c>
      <c r="I341" s="8">
        <f>Player_Analysis!AF341</f>
        <v>0</v>
      </c>
      <c r="J341" s="8">
        <f>Player_Analysis!AG341</f>
        <v>0</v>
      </c>
      <c r="K341">
        <f>Player_Analysis!O341</f>
        <v>0</v>
      </c>
      <c r="L341">
        <f>Player_Analysis!P341</f>
        <v>0</v>
      </c>
      <c r="M341" t="str">
        <f t="shared" si="133"/>
        <v/>
      </c>
      <c r="N341" t="str">
        <f t="shared" si="134"/>
        <v/>
      </c>
      <c r="O341" s="2" t="str">
        <f>IF(E341=0,"",Player_Analysis!L341/E341*90)</f>
        <v/>
      </c>
      <c r="P341" t="str">
        <f>IF(E341=0,"",Player_Analysis!Q341/E341*90)</f>
        <v/>
      </c>
      <c r="Q341" t="str">
        <f>IF(E341=0,"",(Player_Analysis!AD341/E341)*90)</f>
        <v/>
      </c>
      <c r="R341" t="str">
        <f>IF(E341=0,"",Player_Analysis!AA341/E341*90)</f>
        <v/>
      </c>
      <c r="S341">
        <f t="array" ref="S341">IFERROR(INDEX('2023_24'!$O:$O,MATCH($A341,'2023_24'!$A:$A,0)),"")</f>
        <v>0</v>
      </c>
      <c r="T341" t="str">
        <f>IFERROR(INDEX('2024_25'!$P:$P,MATCH($A341,'2024_25'!$A:$A,0)),"")</f>
        <v/>
      </c>
      <c r="U341" t="str">
        <f>IFERROR(INDEX('2025_26'!$P:$P,MATCH($A341,'2025_26'!$A:$A,0)),"")</f>
        <v/>
      </c>
      <c r="V341">
        <f>IFERROR(INDEX('2023_24'!$P:$P,MATCH($A341,'2023_24'!$A:$A,0)),"")</f>
        <v>0</v>
      </c>
      <c r="W341" t="str">
        <f>IFERROR(INDEX('2024_25'!$Q:$Q,MATCH($A341,'2024_25'!$A:$A,0)),"")</f>
        <v/>
      </c>
      <c r="X341" t="str">
        <f>IFERROR(INDEX('2025_26'!$Q:$Q,MATCH($A341,'2025_26'!$A:$A,0)),"")</f>
        <v/>
      </c>
      <c r="Y341">
        <f>IFERROR(INDEX('2023_24'!$M:$M,MATCH($A341,'2023_24'!$A:$A,0))/INDEX('2023_24'!$G:$G,MATCH($A341,'2023_24'!$A:$A,0))*90,"")</f>
        <v>22.5</v>
      </c>
      <c r="Z341" t="str">
        <f>IFERROR(INDEX('2024_25'!$M:$M,MATCH($A341,'2024_25'!$A:$A,0))/INDEX('2024_25'!$G:$G,MATCH($A341,'2024_25'!$A:$A,0))*90,"")</f>
        <v/>
      </c>
      <c r="AA341" t="str">
        <f>IFERROR(INDEX('2025_26'!$M:$M,MATCH($A341,'2025_26'!$A:$A,0))/INDEX('2025_26'!$G:$G,MATCH($A341,'2025_26'!$A:$A,0))*90,"")</f>
        <v/>
      </c>
      <c r="AB341">
        <f>IFERROR(SUMPRODUCT(S341:U341,{0.2,0.3,0.5})/SUMPRODUCT(--(S341:U341&lt;&gt;""),{0.2,0.3,0.5}),"")</f>
        <v>0</v>
      </c>
      <c r="AC341">
        <f>IFERROR(SUMPRODUCT(V341:X341,{0.2,0.3,0.5})/SUMPRODUCT(--(V341:X341&lt;&gt;""),{0.2,0.3,0.5}),"")</f>
        <v>0</v>
      </c>
      <c r="AD341">
        <f>IFERROR(SUMPRODUCT(Y341:AA341,{0.2,0.3,0.5})/SUMPRODUCT((Y341:AA341&lt;&gt;"")*{0.2,0.3,0.5}),O341)</f>
        <v>22.5</v>
      </c>
      <c r="AE341">
        <f t="shared" si="135"/>
        <v>1</v>
      </c>
      <c r="AF341" t="str">
        <f t="shared" si="136"/>
        <v/>
      </c>
      <c r="AG341">
        <f t="shared" si="137"/>
        <v>0</v>
      </c>
      <c r="AH341">
        <f t="shared" si="138"/>
        <v>0</v>
      </c>
      <c r="AI341" s="2">
        <f t="shared" si="139"/>
        <v>22.5</v>
      </c>
      <c r="AJ341">
        <f t="shared" si="140"/>
        <v>0</v>
      </c>
      <c r="AK341" t="str">
        <f t="shared" si="141"/>
        <v>NO</v>
      </c>
      <c r="AL341">
        <f t="shared" si="142"/>
        <v>0</v>
      </c>
      <c r="AM341">
        <f t="shared" si="143"/>
        <v>0</v>
      </c>
      <c r="AN341">
        <f t="shared" si="144"/>
        <v>0</v>
      </c>
      <c r="AO341">
        <f t="shared" si="145"/>
        <v>0</v>
      </c>
      <c r="AP341">
        <f t="array" ref="AP341">AL341*IF($C341="GKP",10,IF($C341="DEF",6,IF($C341="MID",5,4)))</f>
        <v>0</v>
      </c>
      <c r="AQ341">
        <f t="shared" si="146"/>
        <v>0</v>
      </c>
      <c r="AR341">
        <f t="shared" si="147"/>
        <v>0</v>
      </c>
      <c r="AS341" s="2">
        <f>IF($H341=0,0,Player_Analysis!$AM341*$H341/90)</f>
        <v>0</v>
      </c>
      <c r="AT341">
        <f t="shared" si="148"/>
        <v>0</v>
      </c>
      <c r="AU341" s="2">
        <f>0</f>
        <v>0</v>
      </c>
      <c r="AV341" s="2" t="str">
        <f>IF(INDEX(FPL_Raw_Data!K:K,MATCH(A341,FPL_Raw_Data!AA:AA,0))=0,"",INDEX(FPL_Raw_Data!P:P,MATCH(A341,FPL_Raw_Data!AA:AA,0))/INDEX(FPL_Raw_Data!K:K,MATCH(A341,FPL_Raw_Data!AA:AA,0))*90)</f>
        <v/>
      </c>
      <c r="AW341" s="2">
        <f t="shared" si="149"/>
        <v>0</v>
      </c>
      <c r="AX341" s="2">
        <f>IFERROR(INDEX(TEAM_ANALYSIS!$H$2:$H$21,MATCH($B341,TEAM_ANALYSIS!$A$2:$A$21,0)),0)</f>
        <v>0</v>
      </c>
      <c r="AY341" s="2">
        <f t="shared" si="150"/>
        <v>0</v>
      </c>
      <c r="AZ341" s="2">
        <f t="shared" si="151"/>
        <v>0</v>
      </c>
      <c r="BA341">
        <f t="shared" si="152"/>
        <v>0</v>
      </c>
      <c r="BB341">
        <f>IFERROR(Player_Analysis!$Y341,1)</f>
        <v>0.95496539792387547</v>
      </c>
      <c r="BC341">
        <f t="shared" si="153"/>
        <v>0</v>
      </c>
      <c r="BD341">
        <f t="shared" si="154"/>
        <v>0</v>
      </c>
      <c r="BE341">
        <f t="shared" si="155"/>
        <v>0</v>
      </c>
      <c r="BF341">
        <f t="shared" si="156"/>
        <v>253</v>
      </c>
      <c r="BG341">
        <f>IF($BE341="","",COUNTIFS($C$2:$C$596,$C341,$BE$2:$BE$596,"&gt;"&amp;$BE341)+COUNTIFS($C$2:$C341,$C341,$BE$2:$BE341,$BE341))</f>
        <v>52</v>
      </c>
    </row>
    <row r="342" spans="1:59" x14ac:dyDescent="0.25">
      <c r="A342" t="str">
        <f>Player_Analysis!A342</f>
        <v>Joe Gelhardt</v>
      </c>
      <c r="B342">
        <f>Player_Analysis!C342</f>
        <v>11</v>
      </c>
      <c r="C342" t="str">
        <f>Player_Analysis!B342</f>
        <v>MID</v>
      </c>
      <c r="D342" s="13">
        <f>Player_Analysis!E342</f>
        <v>5</v>
      </c>
      <c r="E342">
        <f>Player_Analysis!I342</f>
        <v>0</v>
      </c>
      <c r="F342" s="8">
        <f>Player_Analysis!Z342</f>
        <v>0</v>
      </c>
      <c r="G342" s="17">
        <f t="shared" si="131"/>
        <v>0</v>
      </c>
      <c r="H342">
        <f t="shared" si="132"/>
        <v>0</v>
      </c>
      <c r="I342" s="8">
        <f>Player_Analysis!AF342</f>
        <v>0</v>
      </c>
      <c r="J342" s="8">
        <f>Player_Analysis!AG342</f>
        <v>0</v>
      </c>
      <c r="K342">
        <f>Player_Analysis!O342</f>
        <v>0</v>
      </c>
      <c r="L342">
        <f>Player_Analysis!P342</f>
        <v>0</v>
      </c>
      <c r="M342" t="str">
        <f t="shared" si="133"/>
        <v/>
      </c>
      <c r="N342" t="str">
        <f t="shared" si="134"/>
        <v/>
      </c>
      <c r="O342" s="2" t="str">
        <f>IF(E342=0,"",Player_Analysis!L342/E342*90)</f>
        <v/>
      </c>
      <c r="P342" t="str">
        <f>IF(E342=0,"",Player_Analysis!Q342/E342*90)</f>
        <v/>
      </c>
      <c r="Q342" t="str">
        <f>IF(E342=0,"",(Player_Analysis!AD342/E342)*90)</f>
        <v/>
      </c>
      <c r="R342" t="str">
        <f>IF(E342=0,"",Player_Analysis!AA342/E342*90)</f>
        <v/>
      </c>
      <c r="S342" t="str">
        <f t="array" ref="S342">IFERROR(INDEX('2023_24'!$O:$O,MATCH($A342,'2023_24'!$A:$A,0)),"")</f>
        <v/>
      </c>
      <c r="T342" t="str">
        <f>IFERROR(INDEX('2024_25'!$P:$P,MATCH($A342,'2024_25'!$A:$A,0)),"")</f>
        <v/>
      </c>
      <c r="U342">
        <f>IFERROR(INDEX('2025_26'!$P:$P,MATCH($A342,'2025_26'!$A:$A,0)),"")</f>
        <v>0</v>
      </c>
      <c r="V342" t="str">
        <f>IFERROR(INDEX('2023_24'!$P:$P,MATCH($A342,'2023_24'!$A:$A,0)),"")</f>
        <v/>
      </c>
      <c r="W342" t="str">
        <f>IFERROR(INDEX('2024_25'!$Q:$Q,MATCH($A342,'2024_25'!$A:$A,0)),"")</f>
        <v/>
      </c>
      <c r="X342">
        <f>IFERROR(INDEX('2025_26'!$Q:$Q,MATCH($A342,'2025_26'!$A:$A,0)),"")</f>
        <v>0</v>
      </c>
      <c r="Y342" t="str">
        <f>IFERROR(INDEX('2023_24'!$M:$M,MATCH($A342,'2023_24'!$A:$A,0))/INDEX('2023_24'!$G:$G,MATCH($A342,'2023_24'!$A:$A,0))*90,"")</f>
        <v/>
      </c>
      <c r="Z342" t="str">
        <f>IFERROR(INDEX('2024_25'!$M:$M,MATCH($A342,'2024_25'!$A:$A,0))/INDEX('2024_25'!$G:$G,MATCH($A342,'2024_25'!$A:$A,0))*90,"")</f>
        <v/>
      </c>
      <c r="AA342" t="str">
        <f>IFERROR(INDEX('2025_26'!$M:$M,MATCH($A342,'2025_26'!$A:$A,0))/INDEX('2025_26'!$G:$G,MATCH($A342,'2025_26'!$A:$A,0))*90,"")</f>
        <v/>
      </c>
      <c r="AB342">
        <f>IFERROR(SUMPRODUCT(S342:U342,{0.2,0.3,0.5})/SUMPRODUCT(--(S342:U342&lt;&gt;""),{0.2,0.3,0.5}),"")</f>
        <v>0</v>
      </c>
      <c r="AC342">
        <f>IFERROR(SUMPRODUCT(V342:X342,{0.2,0.3,0.5})/SUMPRODUCT(--(V342:X342&lt;&gt;""),{0.2,0.3,0.5}),"")</f>
        <v>0</v>
      </c>
      <c r="AD342" t="str">
        <f>IFERROR(SUMPRODUCT(Y342:AA342,{0.2,0.3,0.5})/SUMPRODUCT((Y342:AA342&lt;&gt;"")*{0.2,0.3,0.5}),O342)</f>
        <v/>
      </c>
      <c r="AE342">
        <f t="shared" si="135"/>
        <v>1</v>
      </c>
      <c r="AF342" t="str">
        <f t="shared" si="136"/>
        <v/>
      </c>
      <c r="AG342">
        <f t="shared" si="137"/>
        <v>0</v>
      </c>
      <c r="AH342">
        <f t="shared" si="138"/>
        <v>0</v>
      </c>
      <c r="AI342" s="2">
        <f t="shared" si="139"/>
        <v>0</v>
      </c>
      <c r="AJ342">
        <f t="shared" si="140"/>
        <v>0</v>
      </c>
      <c r="AK342" t="str">
        <f t="shared" si="141"/>
        <v>NO</v>
      </c>
      <c r="AL342">
        <f t="shared" si="142"/>
        <v>0</v>
      </c>
      <c r="AM342">
        <f t="shared" si="143"/>
        <v>0</v>
      </c>
      <c r="AN342">
        <f t="shared" si="144"/>
        <v>0</v>
      </c>
      <c r="AO342">
        <f t="shared" si="145"/>
        <v>0</v>
      </c>
      <c r="AP342">
        <f t="array" ref="AP342">AL342*IF($C342="GKP",10,IF($C342="DEF",6,IF($C342="MID",5,4)))</f>
        <v>0</v>
      </c>
      <c r="AQ342">
        <f t="shared" si="146"/>
        <v>0</v>
      </c>
      <c r="AR342">
        <f t="shared" si="147"/>
        <v>0</v>
      </c>
      <c r="AS342" s="2">
        <f>IF($H342=0,0,Player_Analysis!$AM342*$H342/90)</f>
        <v>0</v>
      </c>
      <c r="AT342">
        <f t="shared" si="148"/>
        <v>0</v>
      </c>
      <c r="AU342" s="2">
        <f>0</f>
        <v>0</v>
      </c>
      <c r="AV342" s="2" t="str">
        <f>IF(INDEX(FPL_Raw_Data!K:K,MATCH(A342,FPL_Raw_Data!AA:AA,0))=0,"",INDEX(FPL_Raw_Data!P:P,MATCH(A342,FPL_Raw_Data!AA:AA,0))/INDEX(FPL_Raw_Data!K:K,MATCH(A342,FPL_Raw_Data!AA:AA,0))*90)</f>
        <v/>
      </c>
      <c r="AW342" s="2">
        <f t="shared" si="149"/>
        <v>0</v>
      </c>
      <c r="AX342" s="2">
        <f>IFERROR(INDEX(TEAM_ANALYSIS!$H$2:$H$21,MATCH($B342,TEAM_ANALYSIS!$A$2:$A$21,0)),0)</f>
        <v>0</v>
      </c>
      <c r="AY342" s="2">
        <f t="shared" si="150"/>
        <v>0</v>
      </c>
      <c r="AZ342" s="2">
        <f t="shared" si="151"/>
        <v>0</v>
      </c>
      <c r="BA342">
        <f t="shared" si="152"/>
        <v>0</v>
      </c>
      <c r="BB342">
        <f>IFERROR(Player_Analysis!$Y342,1)</f>
        <v>0.95496539792387547</v>
      </c>
      <c r="BC342">
        <f t="shared" si="153"/>
        <v>0</v>
      </c>
      <c r="BD342">
        <f t="shared" si="154"/>
        <v>0</v>
      </c>
      <c r="BE342">
        <f t="shared" si="155"/>
        <v>0</v>
      </c>
      <c r="BF342">
        <f t="shared" si="156"/>
        <v>253</v>
      </c>
      <c r="BG342">
        <f>IF($BE342="","",COUNTIFS($C$2:$C$596,$C342,$BE$2:$BE$596,"&gt;"&amp;$BE342)+COUNTIFS($C$2:$C342,$C342,$BE$2:$BE342,$BE342))</f>
        <v>201</v>
      </c>
    </row>
    <row r="343" spans="1:59" x14ac:dyDescent="0.25">
      <c r="A343" t="str">
        <f>Player_Analysis!A343</f>
        <v>Matt Targett</v>
      </c>
      <c r="B343">
        <f>Player_Analysis!C343</f>
        <v>11</v>
      </c>
      <c r="C343" t="str">
        <f>Player_Analysis!B343</f>
        <v>DEF</v>
      </c>
      <c r="D343" s="13">
        <f>Player_Analysis!E343</f>
        <v>4</v>
      </c>
      <c r="E343">
        <f>Player_Analysis!I343</f>
        <v>5</v>
      </c>
      <c r="F343" s="8">
        <f>Player_Analysis!Z343</f>
        <v>0</v>
      </c>
      <c r="G343" s="17">
        <f t="shared" si="131"/>
        <v>0</v>
      </c>
      <c r="H343">
        <f t="shared" si="132"/>
        <v>0</v>
      </c>
      <c r="I343" s="8">
        <f>Player_Analysis!AF343</f>
        <v>0</v>
      </c>
      <c r="J343" s="8">
        <f>Player_Analysis!AG343</f>
        <v>0</v>
      </c>
      <c r="K343">
        <f>Player_Analysis!O343</f>
        <v>0</v>
      </c>
      <c r="L343">
        <f>Player_Analysis!P343</f>
        <v>0</v>
      </c>
      <c r="M343">
        <f t="shared" si="133"/>
        <v>0</v>
      </c>
      <c r="N343">
        <f t="shared" si="134"/>
        <v>0</v>
      </c>
      <c r="O343" s="2">
        <f>IF(E343=0,"",Player_Analysis!L343/E343*90)</f>
        <v>18</v>
      </c>
      <c r="P343">
        <f>IF(E343=0,"",Player_Analysis!Q343/E343*90)</f>
        <v>0</v>
      </c>
      <c r="Q343">
        <f>IF(E343=0,"",(Player_Analysis!AD343/E343)*90)</f>
        <v>54</v>
      </c>
      <c r="R343">
        <f>IF(E343=0,"",Player_Analysis!AA343/E343*90)</f>
        <v>0</v>
      </c>
      <c r="S343">
        <f t="array" ref="S343">IFERROR(INDEX('2023_24'!$O:$O,MATCH($A343,'2023_24'!$A:$A,0)),"")</f>
        <v>0</v>
      </c>
      <c r="T343">
        <f>IFERROR(INDEX('2024_25'!$P:$P,MATCH($A343,'2024_25'!$A:$A,0)),"")</f>
        <v>0</v>
      </c>
      <c r="U343">
        <f>IFERROR(INDEX('2025_26'!$P:$P,MATCH($A343,'2025_26'!$A:$A,0)),"")</f>
        <v>0</v>
      </c>
      <c r="V343">
        <f>IFERROR(INDEX('2023_24'!$P:$P,MATCH($A343,'2023_24'!$A:$A,0)),"")</f>
        <v>1.1688311688311689E-2</v>
      </c>
      <c r="W343">
        <f>IFERROR(INDEX('2024_25'!$Q:$Q,MATCH($A343,'2024_25'!$A:$A,0)),"")</f>
        <v>0.31500000000000006</v>
      </c>
      <c r="X343">
        <f>IFERROR(INDEX('2025_26'!$Q:$Q,MATCH($A343,'2025_26'!$A:$A,0)),"")</f>
        <v>0</v>
      </c>
      <c r="Y343">
        <f>IFERROR(INDEX('2023_24'!$M:$M,MATCH($A343,'2023_24'!$A:$A,0))/INDEX('2023_24'!$G:$G,MATCH($A343,'2023_24'!$A:$A,0))*90,"")</f>
        <v>2.337662337662338</v>
      </c>
      <c r="Z343">
        <f>IFERROR(INDEX('2024_25'!$M:$M,MATCH($A343,'2024_25'!$A:$A,0))/INDEX('2024_25'!$G:$G,MATCH($A343,'2024_25'!$A:$A,0))*90,"")</f>
        <v>9</v>
      </c>
      <c r="AA343" t="str">
        <f>IFERROR(INDEX('2025_26'!$M:$M,MATCH($A343,'2025_26'!$A:$A,0))/INDEX('2025_26'!$G:$G,MATCH($A343,'2025_26'!$A:$A,0))*90,"")</f>
        <v/>
      </c>
      <c r="AB343">
        <f>IFERROR(SUMPRODUCT(S343:U343,{0.2,0.3,0.5})/SUMPRODUCT(--(S343:U343&lt;&gt;""),{0.2,0.3,0.5}),"")</f>
        <v>0</v>
      </c>
      <c r="AC343">
        <f>IFERROR(SUMPRODUCT(V343:X343,{0.2,0.3,0.5})/SUMPRODUCT(--(V343:X343&lt;&gt;""),{0.2,0.3,0.5}),"")</f>
        <v>9.6837662337662347E-2</v>
      </c>
      <c r="AD343">
        <f>IFERROR(SUMPRODUCT(Y343:AA343,{0.2,0.3,0.5})/SUMPRODUCT((Y343:AA343&lt;&gt;"")*{0.2,0.3,0.5}),O343)</f>
        <v>6.3350649350649348</v>
      </c>
      <c r="AE343">
        <f t="shared" si="135"/>
        <v>3</v>
      </c>
      <c r="AF343" t="str">
        <f t="shared" si="136"/>
        <v/>
      </c>
      <c r="AG343">
        <f t="shared" si="137"/>
        <v>0</v>
      </c>
      <c r="AH343">
        <f t="shared" si="138"/>
        <v>9.5223701298701308E-2</v>
      </c>
      <c r="AI343" s="2">
        <f t="shared" si="139"/>
        <v>6.5294805194805186</v>
      </c>
      <c r="AJ343">
        <f t="shared" si="140"/>
        <v>1.6666666666666666E-2</v>
      </c>
      <c r="AK343" t="str">
        <f t="shared" si="141"/>
        <v>NO</v>
      </c>
      <c r="AL343">
        <f t="shared" si="142"/>
        <v>0</v>
      </c>
      <c r="AM343">
        <f t="shared" si="143"/>
        <v>0</v>
      </c>
      <c r="AN343">
        <f t="shared" si="144"/>
        <v>0</v>
      </c>
      <c r="AO343">
        <f t="shared" si="145"/>
        <v>0</v>
      </c>
      <c r="AP343">
        <f t="array" ref="AP343">AL343*IF($C343="GKP",10,IF($C343="DEF",6,IF($C343="MID",5,4)))</f>
        <v>0</v>
      </c>
      <c r="AQ343">
        <f t="shared" si="146"/>
        <v>0</v>
      </c>
      <c r="AR343">
        <f t="shared" si="147"/>
        <v>0</v>
      </c>
      <c r="AS343" s="2">
        <f>IF($H343=0,0,Player_Analysis!$AM343*$H343/90)</f>
        <v>0</v>
      </c>
      <c r="AT343">
        <f t="shared" si="148"/>
        <v>0</v>
      </c>
      <c r="AU343" s="2">
        <f>0</f>
        <v>0</v>
      </c>
      <c r="AV343" s="2">
        <f>IF(INDEX(FPL_Raw_Data!K:K,MATCH(A343,FPL_Raw_Data!AA:AA,0))=0,"",INDEX(FPL_Raw_Data!P:P,MATCH(A343,FPL_Raw_Data!AA:AA,0))/INDEX(FPL_Raw_Data!K:K,MATCH(A343,FPL_Raw_Data!AA:AA,0))*90)</f>
        <v>0</v>
      </c>
      <c r="AW343" s="2">
        <f t="shared" si="149"/>
        <v>0</v>
      </c>
      <c r="AX343" s="2">
        <f>IFERROR(INDEX(TEAM_ANALYSIS!$H$2:$H$21,MATCH($B343,TEAM_ANALYSIS!$A$2:$A$21,0)),0)</f>
        <v>0</v>
      </c>
      <c r="AY343" s="2">
        <f t="shared" si="150"/>
        <v>0</v>
      </c>
      <c r="AZ343" s="2">
        <f t="shared" si="151"/>
        <v>0</v>
      </c>
      <c r="BA343">
        <f t="shared" si="152"/>
        <v>0</v>
      </c>
      <c r="BB343">
        <f>IFERROR(Player_Analysis!$Y343,1)</f>
        <v>1.1999999999999997</v>
      </c>
      <c r="BC343">
        <f t="shared" si="153"/>
        <v>0</v>
      </c>
      <c r="BD343">
        <f t="shared" si="154"/>
        <v>0</v>
      </c>
      <c r="BE343">
        <f t="shared" si="155"/>
        <v>0</v>
      </c>
      <c r="BF343">
        <f t="shared" si="156"/>
        <v>253</v>
      </c>
      <c r="BG343">
        <f>IF($BE343="","",COUNTIFS($C$2:$C$596,$C343,$BE$2:$BE$596,"&gt;"&amp;$BE343)+COUNTIFS($C$2:$C343,$C343,$BE$2:$BE343,$BE343))</f>
        <v>102</v>
      </c>
    </row>
    <row r="344" spans="1:59" x14ac:dyDescent="0.25">
      <c r="A344" t="str">
        <f>Player_Analysis!A344</f>
        <v>Hidemasa Morita</v>
      </c>
      <c r="B344">
        <f>Player_Analysis!C344</f>
        <v>11</v>
      </c>
      <c r="C344" t="str">
        <f>Player_Analysis!B344</f>
        <v>MID</v>
      </c>
      <c r="D344" s="13">
        <f>Player_Analysis!E344</f>
        <v>5</v>
      </c>
      <c r="E344">
        <f>Player_Analysis!I344</f>
        <v>45</v>
      </c>
      <c r="F344" s="8">
        <f>Player_Analysis!Z344</f>
        <v>1</v>
      </c>
      <c r="G344" s="17">
        <f t="shared" si="131"/>
        <v>1</v>
      </c>
      <c r="H344">
        <f t="shared" si="132"/>
        <v>90</v>
      </c>
      <c r="I344" s="8">
        <f>Player_Analysis!AF344</f>
        <v>0</v>
      </c>
      <c r="J344" s="8">
        <f>Player_Analysis!AG344</f>
        <v>0</v>
      </c>
      <c r="K344">
        <f>Player_Analysis!O344</f>
        <v>0</v>
      </c>
      <c r="L344">
        <f>Player_Analysis!P344</f>
        <v>0</v>
      </c>
      <c r="M344">
        <f t="shared" si="133"/>
        <v>0</v>
      </c>
      <c r="N344">
        <f t="shared" si="134"/>
        <v>0</v>
      </c>
      <c r="O344" s="2">
        <f>IF(E344=0,"",Player_Analysis!L344/E344*90)</f>
        <v>2</v>
      </c>
      <c r="P344">
        <f>IF(E344=0,"",Player_Analysis!Q344/E344*90)</f>
        <v>0</v>
      </c>
      <c r="Q344">
        <f>IF(E344=0,"",(Player_Analysis!AD344/E344)*90)</f>
        <v>12</v>
      </c>
      <c r="R344">
        <f>IF(E344=0,"",Player_Analysis!AA344/E344*90)</f>
        <v>6</v>
      </c>
      <c r="S344" t="str">
        <f t="array" ref="S344">IFERROR(INDEX('2023_24'!$O:$O,MATCH($A344,'2023_24'!$A:$A,0)),"")</f>
        <v/>
      </c>
      <c r="T344" t="str">
        <f>IFERROR(INDEX('2024_25'!$P:$P,MATCH($A344,'2024_25'!$A:$A,0)),"")</f>
        <v/>
      </c>
      <c r="U344" t="str">
        <f>IFERROR(INDEX('2025_26'!$P:$P,MATCH($A344,'2025_26'!$A:$A,0)),"")</f>
        <v/>
      </c>
      <c r="V344" t="str">
        <f>IFERROR(INDEX('2023_24'!$P:$P,MATCH($A344,'2023_24'!$A:$A,0)),"")</f>
        <v/>
      </c>
      <c r="W344" t="str">
        <f>IFERROR(INDEX('2024_25'!$Q:$Q,MATCH($A344,'2024_25'!$A:$A,0)),"")</f>
        <v/>
      </c>
      <c r="X344" t="str">
        <f>IFERROR(INDEX('2025_26'!$Q:$Q,MATCH($A344,'2025_26'!$A:$A,0)),"")</f>
        <v/>
      </c>
      <c r="Y344" t="str">
        <f>IFERROR(INDEX('2023_24'!$M:$M,MATCH($A344,'2023_24'!$A:$A,0))/INDEX('2023_24'!$G:$G,MATCH($A344,'2023_24'!$A:$A,0))*90,"")</f>
        <v/>
      </c>
      <c r="Z344" t="str">
        <f>IFERROR(INDEX('2024_25'!$M:$M,MATCH($A344,'2024_25'!$A:$A,0))/INDEX('2024_25'!$G:$G,MATCH($A344,'2024_25'!$A:$A,0))*90,"")</f>
        <v/>
      </c>
      <c r="AA344" t="str">
        <f>IFERROR(INDEX('2025_26'!$M:$M,MATCH($A344,'2025_26'!$A:$A,0))/INDEX('2025_26'!$G:$G,MATCH($A344,'2025_26'!$A:$A,0))*90,"")</f>
        <v/>
      </c>
      <c r="AB344" t="str">
        <f>IFERROR(SUMPRODUCT(S344:U344,{0.2,0.3,0.5})/SUMPRODUCT(--(S344:U344&lt;&gt;""),{0.2,0.3,0.5}),"")</f>
        <v/>
      </c>
      <c r="AC344" t="str">
        <f>IFERROR(SUMPRODUCT(V344:X344,{0.2,0.3,0.5})/SUMPRODUCT(--(V344:X344&lt;&gt;""),{0.2,0.3,0.5}),"")</f>
        <v/>
      </c>
      <c r="AD344">
        <f>IFERROR(SUMPRODUCT(Y344:AA344,{0.2,0.3,0.5})/SUMPRODUCT((Y344:AA344&lt;&gt;"")*{0.2,0.3,0.5}),O344)</f>
        <v>2</v>
      </c>
      <c r="AE344">
        <f t="shared" si="135"/>
        <v>0</v>
      </c>
      <c r="AF344">
        <f t="shared" si="136"/>
        <v>45</v>
      </c>
      <c r="AG344">
        <f t="shared" si="137"/>
        <v>0</v>
      </c>
      <c r="AH344">
        <f t="shared" si="138"/>
        <v>0</v>
      </c>
      <c r="AI344" s="2">
        <f t="shared" si="139"/>
        <v>2</v>
      </c>
      <c r="AJ344">
        <f t="shared" si="140"/>
        <v>0.15</v>
      </c>
      <c r="AK344" t="str">
        <f t="shared" si="141"/>
        <v>YES</v>
      </c>
      <c r="AL344">
        <f t="shared" si="142"/>
        <v>0</v>
      </c>
      <c r="AM344">
        <f t="shared" si="143"/>
        <v>0</v>
      </c>
      <c r="AN344">
        <f t="shared" si="144"/>
        <v>0</v>
      </c>
      <c r="AO344">
        <f t="shared" si="145"/>
        <v>0</v>
      </c>
      <c r="AP344">
        <f t="array" ref="AP344">AL344*IF($C344="GKP",10,IF($C344="DEF",6,IF($C344="MID",5,4)))</f>
        <v>0</v>
      </c>
      <c r="AQ344">
        <f t="shared" si="146"/>
        <v>0</v>
      </c>
      <c r="AR344">
        <f t="shared" si="147"/>
        <v>2</v>
      </c>
      <c r="AS344" s="2">
        <f>IF($H344=0,0,Player_Analysis!$AM344*$H344/90)</f>
        <v>0</v>
      </c>
      <c r="AT344">
        <f t="shared" si="148"/>
        <v>1</v>
      </c>
      <c r="AU344" s="2">
        <f>0</f>
        <v>0</v>
      </c>
      <c r="AV344" s="2">
        <f>IF(INDEX(FPL_Raw_Data!K:K,MATCH(A344,FPL_Raw_Data!AA:AA,0))=0,"",INDEX(FPL_Raw_Data!P:P,MATCH(A344,FPL_Raw_Data!AA:AA,0))/INDEX(FPL_Raw_Data!K:K,MATCH(A344,FPL_Raw_Data!AA:AA,0))*90)</f>
        <v>0</v>
      </c>
      <c r="AW344" s="2">
        <f t="shared" si="149"/>
        <v>0</v>
      </c>
      <c r="AX344" s="2">
        <f>IFERROR(INDEX(TEAM_ANALYSIS!$H$2:$H$21,MATCH($B344,TEAM_ANALYSIS!$A$2:$A$21,0)),0)</f>
        <v>0</v>
      </c>
      <c r="AY344" s="2">
        <f t="shared" si="150"/>
        <v>0</v>
      </c>
      <c r="AZ344" s="2">
        <f t="shared" si="151"/>
        <v>3</v>
      </c>
      <c r="BA344">
        <f t="shared" si="152"/>
        <v>0.6</v>
      </c>
      <c r="BB344">
        <f>IFERROR(Player_Analysis!$Y344,1)</f>
        <v>0.95496539792387547</v>
      </c>
      <c r="BC344">
        <f t="shared" si="153"/>
        <v>2.8648961937716262</v>
      </c>
      <c r="BD344">
        <f t="shared" si="154"/>
        <v>1.7189377162629758</v>
      </c>
      <c r="BE344">
        <f t="shared" si="155"/>
        <v>2.8648961937716262</v>
      </c>
      <c r="BF344">
        <f t="shared" si="156"/>
        <v>207</v>
      </c>
      <c r="BG344">
        <f>IF($BE344="","",COUNTIFS($C$2:$C$596,$C344,$BE$2:$BE$596,"&gt;"&amp;$BE344)+COUNTIFS($C$2:$C344,$C344,$BE$2:$BE344,$BE344))</f>
        <v>108</v>
      </c>
    </row>
    <row r="345" spans="1:59" x14ac:dyDescent="0.25">
      <c r="A345" t="str">
        <f>Player_Analysis!A345</f>
        <v>Konstantinos Tzolakis</v>
      </c>
      <c r="B345">
        <f>Player_Analysis!C345</f>
        <v>11</v>
      </c>
      <c r="C345" t="str">
        <f>Player_Analysis!B345</f>
        <v>GK</v>
      </c>
      <c r="D345" s="13">
        <f>Player_Analysis!E345</f>
        <v>4.5999999999999996</v>
      </c>
      <c r="E345">
        <f>Player_Analysis!I345</f>
        <v>270</v>
      </c>
      <c r="F345" s="8">
        <f>Player_Analysis!Z345</f>
        <v>3</v>
      </c>
      <c r="G345" s="17">
        <f t="shared" si="131"/>
        <v>1</v>
      </c>
      <c r="H345">
        <f t="shared" si="132"/>
        <v>90</v>
      </c>
      <c r="I345" s="8">
        <f>Player_Analysis!AF345</f>
        <v>0</v>
      </c>
      <c r="J345" s="8">
        <f>Player_Analysis!AG345</f>
        <v>0</v>
      </c>
      <c r="K345">
        <f>Player_Analysis!O345</f>
        <v>0</v>
      </c>
      <c r="L345">
        <f>Player_Analysis!P345</f>
        <v>0</v>
      </c>
      <c r="M345">
        <f t="shared" si="133"/>
        <v>0</v>
      </c>
      <c r="N345">
        <f t="shared" si="134"/>
        <v>0</v>
      </c>
      <c r="O345" s="2">
        <f>IF(E345=0,"",Player_Analysis!L345/E345*90)</f>
        <v>8.6666666666666661</v>
      </c>
      <c r="P345">
        <f>IF(E345=0,"",Player_Analysis!Q345/E345*90)</f>
        <v>0</v>
      </c>
      <c r="Q345">
        <f>IF(E345=0,"",(Player_Analysis!AD345/E345)*90)</f>
        <v>32.666666666666671</v>
      </c>
      <c r="R345">
        <f>IF(E345=0,"",Player_Analysis!AA345/E345*90)</f>
        <v>0</v>
      </c>
      <c r="S345" t="str">
        <f t="array" ref="S345">IFERROR(INDEX('2023_24'!$O:$O,MATCH($A345,'2023_24'!$A:$A,0)),"")</f>
        <v/>
      </c>
      <c r="T345" t="str">
        <f>IFERROR(INDEX('2024_25'!$P:$P,MATCH($A345,'2024_25'!$A:$A,0)),"")</f>
        <v/>
      </c>
      <c r="U345" t="str">
        <f>IFERROR(INDEX('2025_26'!$P:$P,MATCH($A345,'2025_26'!$A:$A,0)),"")</f>
        <v/>
      </c>
      <c r="V345" t="str">
        <f>IFERROR(INDEX('2023_24'!$P:$P,MATCH($A345,'2023_24'!$A:$A,0)),"")</f>
        <v/>
      </c>
      <c r="W345" t="str">
        <f>IFERROR(INDEX('2024_25'!$Q:$Q,MATCH($A345,'2024_25'!$A:$A,0)),"")</f>
        <v/>
      </c>
      <c r="X345" t="str">
        <f>IFERROR(INDEX('2025_26'!$Q:$Q,MATCH($A345,'2025_26'!$A:$A,0)),"")</f>
        <v/>
      </c>
      <c r="Y345" t="str">
        <f>IFERROR(INDEX('2023_24'!$M:$M,MATCH($A345,'2023_24'!$A:$A,0))/INDEX('2023_24'!$G:$G,MATCH($A345,'2023_24'!$A:$A,0))*90,"")</f>
        <v/>
      </c>
      <c r="Z345" t="str">
        <f>IFERROR(INDEX('2024_25'!$M:$M,MATCH($A345,'2024_25'!$A:$A,0))/INDEX('2024_25'!$G:$G,MATCH($A345,'2024_25'!$A:$A,0))*90,"")</f>
        <v/>
      </c>
      <c r="AA345" t="str">
        <f>IFERROR(INDEX('2025_26'!$M:$M,MATCH($A345,'2025_26'!$A:$A,0))/INDEX('2025_26'!$G:$G,MATCH($A345,'2025_26'!$A:$A,0))*90,"")</f>
        <v/>
      </c>
      <c r="AB345" t="str">
        <f>IFERROR(SUMPRODUCT(S345:U345,{0.2,0.3,0.5})/SUMPRODUCT(--(S345:U345&lt;&gt;""),{0.2,0.3,0.5}),"")</f>
        <v/>
      </c>
      <c r="AC345" t="str">
        <f>IFERROR(SUMPRODUCT(V345:X345,{0.2,0.3,0.5})/SUMPRODUCT(--(V345:X345&lt;&gt;""),{0.2,0.3,0.5}),"")</f>
        <v/>
      </c>
      <c r="AD345">
        <f>IFERROR(SUMPRODUCT(Y345:AA345,{0.2,0.3,0.5})/SUMPRODUCT((Y345:AA345&lt;&gt;"")*{0.2,0.3,0.5}),O345)</f>
        <v>8.6666666666666661</v>
      </c>
      <c r="AE345">
        <f t="shared" si="135"/>
        <v>0</v>
      </c>
      <c r="AF345">
        <f t="shared" si="136"/>
        <v>90</v>
      </c>
      <c r="AG345">
        <f t="shared" si="137"/>
        <v>0</v>
      </c>
      <c r="AH345">
        <f t="shared" si="138"/>
        <v>0</v>
      </c>
      <c r="AI345" s="2">
        <f t="shared" si="139"/>
        <v>8.6666666666666661</v>
      </c>
      <c r="AJ345">
        <f t="shared" si="140"/>
        <v>0.9</v>
      </c>
      <c r="AK345" t="str">
        <f t="shared" si="141"/>
        <v>YES</v>
      </c>
      <c r="AL345">
        <f t="shared" si="142"/>
        <v>0</v>
      </c>
      <c r="AM345">
        <f t="shared" si="143"/>
        <v>0</v>
      </c>
      <c r="AN345">
        <f t="shared" si="144"/>
        <v>0</v>
      </c>
      <c r="AO345">
        <f t="shared" si="145"/>
        <v>0</v>
      </c>
      <c r="AP345">
        <f t="array" ref="AP345">AL345*IF($C345="GKP",10,IF($C345="DEF",6,IF($C345="MID",5,4)))</f>
        <v>0</v>
      </c>
      <c r="AQ345">
        <f t="shared" si="146"/>
        <v>0</v>
      </c>
      <c r="AR345">
        <f t="shared" si="147"/>
        <v>2</v>
      </c>
      <c r="AS345" s="2">
        <f>IF($H345=0,0,Player_Analysis!$AM345*$H345/90)</f>
        <v>4</v>
      </c>
      <c r="AT345">
        <f t="shared" si="148"/>
        <v>0</v>
      </c>
      <c r="AU345" s="2">
        <f>0</f>
        <v>0</v>
      </c>
      <c r="AV345" s="2">
        <f>IF(INDEX(FPL_Raw_Data!K:K,MATCH(A345,FPL_Raw_Data!AA:AA,0))=0,"",INDEX(FPL_Raw_Data!P:P,MATCH(A345,FPL_Raw_Data!AA:AA,0))/INDEX(FPL_Raw_Data!K:K,MATCH(A345,FPL_Raw_Data!AA:AA,0))*90)</f>
        <v>3</v>
      </c>
      <c r="AW345" s="2">
        <f t="shared" si="149"/>
        <v>1</v>
      </c>
      <c r="AX345" s="2">
        <f>IFERROR(INDEX(TEAM_ANALYSIS!$H$2:$H$21,MATCH($B345,TEAM_ANALYSIS!$A$2:$A$21,0)),0)</f>
        <v>0</v>
      </c>
      <c r="AY345" s="2">
        <f t="shared" si="150"/>
        <v>0</v>
      </c>
      <c r="AZ345" s="2">
        <f t="shared" si="151"/>
        <v>7</v>
      </c>
      <c r="BA345">
        <f t="shared" si="152"/>
        <v>1.5217391304347827</v>
      </c>
      <c r="BB345">
        <f>IFERROR(Player_Analysis!$Y345,1)</f>
        <v>1.1999999999999997</v>
      </c>
      <c r="BC345">
        <f t="shared" si="153"/>
        <v>8.3999999999999986</v>
      </c>
      <c r="BD345">
        <f t="shared" si="154"/>
        <v>12.782608695652172</v>
      </c>
      <c r="BE345">
        <f t="shared" si="155"/>
        <v>8.3999999999999986</v>
      </c>
      <c r="BF345">
        <f t="shared" si="156"/>
        <v>5</v>
      </c>
      <c r="BG345">
        <f>IF($BE345="","",COUNTIFS($C$2:$C$596,$C345,$BE$2:$BE$596,"&gt;"&amp;$BE345)+COUNTIFS($C$2:$C345,$C345,$BE$2:$BE345,$BE345))</f>
        <v>1</v>
      </c>
    </row>
    <row r="346" spans="1:59" x14ac:dyDescent="0.25">
      <c r="A346" t="str">
        <f>Player_Analysis!A346</f>
        <v>Jens Hjertø-Dahl</v>
      </c>
      <c r="B346">
        <f>Player_Analysis!C346</f>
        <v>11</v>
      </c>
      <c r="C346" t="str">
        <f>Player_Analysis!B346</f>
        <v>MID</v>
      </c>
      <c r="D346" s="13">
        <f>Player_Analysis!E346</f>
        <v>4.9000000000000004</v>
      </c>
      <c r="E346">
        <f>Player_Analysis!I346</f>
        <v>8</v>
      </c>
      <c r="F346" s="8">
        <f>Player_Analysis!Z346</f>
        <v>0</v>
      </c>
      <c r="G346" s="17">
        <f t="shared" si="131"/>
        <v>0</v>
      </c>
      <c r="H346">
        <f t="shared" si="132"/>
        <v>0</v>
      </c>
      <c r="I346" s="8">
        <f>Player_Analysis!AF346</f>
        <v>0</v>
      </c>
      <c r="J346" s="8">
        <f>Player_Analysis!AG346</f>
        <v>0</v>
      </c>
      <c r="K346">
        <f>Player_Analysis!O346</f>
        <v>0</v>
      </c>
      <c r="L346">
        <f>Player_Analysis!P346</f>
        <v>0</v>
      </c>
      <c r="M346">
        <f t="shared" si="133"/>
        <v>0</v>
      </c>
      <c r="N346">
        <f t="shared" si="134"/>
        <v>0</v>
      </c>
      <c r="O346" s="2">
        <f>IF(E346=0,"",Player_Analysis!L346/E346*90)</f>
        <v>11.25</v>
      </c>
      <c r="P346">
        <f>IF(E346=0,"",Player_Analysis!Q346/E346*90)</f>
        <v>0</v>
      </c>
      <c r="Q346">
        <f>IF(E346=0,"",(Player_Analysis!AD346/E346)*90)</f>
        <v>45</v>
      </c>
      <c r="R346">
        <f>IF(E346=0,"",Player_Analysis!AA346/E346*90)</f>
        <v>11.25</v>
      </c>
      <c r="S346" t="str">
        <f t="array" ref="S346">IFERROR(INDEX('2023_24'!$O:$O,MATCH($A346,'2023_24'!$A:$A,0)),"")</f>
        <v/>
      </c>
      <c r="T346" t="str">
        <f>IFERROR(INDEX('2024_25'!$P:$P,MATCH($A346,'2024_25'!$A:$A,0)),"")</f>
        <v/>
      </c>
      <c r="U346" t="str">
        <f>IFERROR(INDEX('2025_26'!$P:$P,MATCH($A346,'2025_26'!$A:$A,0)),"")</f>
        <v/>
      </c>
      <c r="V346" t="str">
        <f>IFERROR(INDEX('2023_24'!$P:$P,MATCH($A346,'2023_24'!$A:$A,0)),"")</f>
        <v/>
      </c>
      <c r="W346" t="str">
        <f>IFERROR(INDEX('2024_25'!$Q:$Q,MATCH($A346,'2024_25'!$A:$A,0)),"")</f>
        <v/>
      </c>
      <c r="X346" t="str">
        <f>IFERROR(INDEX('2025_26'!$Q:$Q,MATCH($A346,'2025_26'!$A:$A,0)),"")</f>
        <v/>
      </c>
      <c r="Y346" t="str">
        <f>IFERROR(INDEX('2023_24'!$M:$M,MATCH($A346,'2023_24'!$A:$A,0))/INDEX('2023_24'!$G:$G,MATCH($A346,'2023_24'!$A:$A,0))*90,"")</f>
        <v/>
      </c>
      <c r="Z346" t="str">
        <f>IFERROR(INDEX('2024_25'!$M:$M,MATCH($A346,'2024_25'!$A:$A,0))/INDEX('2024_25'!$G:$G,MATCH($A346,'2024_25'!$A:$A,0))*90,"")</f>
        <v/>
      </c>
      <c r="AA346" t="str">
        <f>IFERROR(INDEX('2025_26'!$M:$M,MATCH($A346,'2025_26'!$A:$A,0))/INDEX('2025_26'!$G:$G,MATCH($A346,'2025_26'!$A:$A,0))*90,"")</f>
        <v/>
      </c>
      <c r="AB346" t="str">
        <f>IFERROR(SUMPRODUCT(S346:U346,{0.2,0.3,0.5})/SUMPRODUCT(--(S346:U346&lt;&gt;""),{0.2,0.3,0.5}),"")</f>
        <v/>
      </c>
      <c r="AC346" t="str">
        <f>IFERROR(SUMPRODUCT(V346:X346,{0.2,0.3,0.5})/SUMPRODUCT(--(V346:X346&lt;&gt;""),{0.2,0.3,0.5}),"")</f>
        <v/>
      </c>
      <c r="AD346">
        <f>IFERROR(SUMPRODUCT(Y346:AA346,{0.2,0.3,0.5})/SUMPRODUCT((Y346:AA346&lt;&gt;"")*{0.2,0.3,0.5}),O346)</f>
        <v>11.25</v>
      </c>
      <c r="AE346">
        <f t="shared" si="135"/>
        <v>0</v>
      </c>
      <c r="AF346" t="str">
        <f t="shared" si="136"/>
        <v/>
      </c>
      <c r="AG346">
        <f t="shared" si="137"/>
        <v>0</v>
      </c>
      <c r="AH346">
        <f t="shared" si="138"/>
        <v>0</v>
      </c>
      <c r="AI346" s="2">
        <f t="shared" si="139"/>
        <v>11.250000000000002</v>
      </c>
      <c r="AJ346">
        <f t="shared" si="140"/>
        <v>2.6666666666666668E-2</v>
      </c>
      <c r="AK346" t="str">
        <f t="shared" si="141"/>
        <v>YES</v>
      </c>
      <c r="AL346">
        <f t="shared" si="142"/>
        <v>0</v>
      </c>
      <c r="AM346">
        <f t="shared" si="143"/>
        <v>0</v>
      </c>
      <c r="AN346">
        <f t="shared" si="144"/>
        <v>0</v>
      </c>
      <c r="AO346">
        <f t="shared" si="145"/>
        <v>0</v>
      </c>
      <c r="AP346">
        <f t="array" ref="AP346">AL346*IF($C346="GKP",10,IF($C346="DEF",6,IF($C346="MID",5,4)))</f>
        <v>0</v>
      </c>
      <c r="AQ346">
        <f t="shared" si="146"/>
        <v>0</v>
      </c>
      <c r="AR346">
        <f t="shared" si="147"/>
        <v>0</v>
      </c>
      <c r="AS346" s="2">
        <f>IF($H346=0,0,Player_Analysis!$AM346*$H346/90)</f>
        <v>0</v>
      </c>
      <c r="AT346">
        <f t="shared" si="148"/>
        <v>0</v>
      </c>
      <c r="AU346" s="2">
        <f>0</f>
        <v>0</v>
      </c>
      <c r="AV346" s="2">
        <f>IF(INDEX(FPL_Raw_Data!K:K,MATCH(A346,FPL_Raw_Data!AA:AA,0))=0,"",INDEX(FPL_Raw_Data!P:P,MATCH(A346,FPL_Raw_Data!AA:AA,0))/INDEX(FPL_Raw_Data!K:K,MATCH(A346,FPL_Raw_Data!AA:AA,0))*90)</f>
        <v>0</v>
      </c>
      <c r="AW346" s="2">
        <f t="shared" si="149"/>
        <v>0</v>
      </c>
      <c r="AX346" s="2">
        <f>IFERROR(INDEX(TEAM_ANALYSIS!$H$2:$H$21,MATCH($B346,TEAM_ANALYSIS!$A$2:$A$21,0)),0)</f>
        <v>0</v>
      </c>
      <c r="AY346" s="2">
        <f t="shared" si="150"/>
        <v>0</v>
      </c>
      <c r="AZ346" s="2">
        <f t="shared" si="151"/>
        <v>0</v>
      </c>
      <c r="BA346">
        <f t="shared" si="152"/>
        <v>0</v>
      </c>
      <c r="BB346">
        <f>IFERROR(Player_Analysis!$Y346,1)</f>
        <v>0.95496539792387547</v>
      </c>
      <c r="BC346">
        <f t="shared" si="153"/>
        <v>0</v>
      </c>
      <c r="BD346">
        <f t="shared" si="154"/>
        <v>0</v>
      </c>
      <c r="BE346">
        <f t="shared" si="155"/>
        <v>0</v>
      </c>
      <c r="BF346">
        <f t="shared" si="156"/>
        <v>253</v>
      </c>
      <c r="BG346">
        <f>IF($BE346="","",COUNTIFS($C$2:$C$596,$C346,$BE$2:$BE$596,"&gt;"&amp;$BE346)+COUNTIFS($C$2:$C346,$C346,$BE$2:$BE346,$BE346))</f>
        <v>202</v>
      </c>
    </row>
    <row r="347" spans="1:59" x14ac:dyDescent="0.25">
      <c r="A347" t="str">
        <f>Player_Analysis!A347</f>
        <v>Elliot Stroud</v>
      </c>
      <c r="B347">
        <f>Player_Analysis!C347</f>
        <v>11</v>
      </c>
      <c r="C347" t="str">
        <f>Player_Analysis!B347</f>
        <v>MID</v>
      </c>
      <c r="D347" s="13">
        <f>Player_Analysis!E347</f>
        <v>5</v>
      </c>
      <c r="E347">
        <f>Player_Analysis!I347</f>
        <v>190</v>
      </c>
      <c r="F347" s="8">
        <f>Player_Analysis!Z347</f>
        <v>3</v>
      </c>
      <c r="G347" s="17">
        <f t="shared" si="131"/>
        <v>1</v>
      </c>
      <c r="H347">
        <f t="shared" si="132"/>
        <v>90</v>
      </c>
      <c r="I347" s="8">
        <f>Player_Analysis!AF347</f>
        <v>0</v>
      </c>
      <c r="J347" s="8">
        <f>Player_Analysis!AG347</f>
        <v>0</v>
      </c>
      <c r="K347">
        <f>Player_Analysis!O347</f>
        <v>0.05</v>
      </c>
      <c r="L347">
        <f>Player_Analysis!P347</f>
        <v>0.05</v>
      </c>
      <c r="M347">
        <f t="shared" si="133"/>
        <v>2.368421052631579E-2</v>
      </c>
      <c r="N347">
        <f t="shared" si="134"/>
        <v>2.368421052631579E-2</v>
      </c>
      <c r="O347" s="2">
        <f>IF(E347=0,"",Player_Analysis!L347/E347*90)</f>
        <v>2.8421052631578947</v>
      </c>
      <c r="P347">
        <f>IF(E347=0,"",Player_Analysis!Q347/E347*90)</f>
        <v>4.736842105263158E-2</v>
      </c>
      <c r="Q347">
        <f>IF(E347=0,"",(Player_Analysis!AD347/E347)*90)</f>
        <v>6.6315789473684204</v>
      </c>
      <c r="R347">
        <f>IF(E347=0,"",Player_Analysis!AA347/E347*90)</f>
        <v>7.1052631578947363</v>
      </c>
      <c r="S347" t="str">
        <f t="array" ref="S347">IFERROR(INDEX('2023_24'!$O:$O,MATCH($A347,'2023_24'!$A:$A,0)),"")</f>
        <v/>
      </c>
      <c r="T347" t="str">
        <f>IFERROR(INDEX('2024_25'!$P:$P,MATCH($A347,'2024_25'!$A:$A,0)),"")</f>
        <v/>
      </c>
      <c r="U347" t="str">
        <f>IFERROR(INDEX('2025_26'!$P:$P,MATCH($A347,'2025_26'!$A:$A,0)),"")</f>
        <v/>
      </c>
      <c r="V347" t="str">
        <f>IFERROR(INDEX('2023_24'!$P:$P,MATCH($A347,'2023_24'!$A:$A,0)),"")</f>
        <v/>
      </c>
      <c r="W347" t="str">
        <f>IFERROR(INDEX('2024_25'!$Q:$Q,MATCH($A347,'2024_25'!$A:$A,0)),"")</f>
        <v/>
      </c>
      <c r="X347" t="str">
        <f>IFERROR(INDEX('2025_26'!$Q:$Q,MATCH($A347,'2025_26'!$A:$A,0)),"")</f>
        <v/>
      </c>
      <c r="Y347" t="str">
        <f>IFERROR(INDEX('2023_24'!$M:$M,MATCH($A347,'2023_24'!$A:$A,0))/INDEX('2023_24'!$G:$G,MATCH($A347,'2023_24'!$A:$A,0))*90,"")</f>
        <v/>
      </c>
      <c r="Z347" t="str">
        <f>IFERROR(INDEX('2024_25'!$M:$M,MATCH($A347,'2024_25'!$A:$A,0))/INDEX('2024_25'!$G:$G,MATCH($A347,'2024_25'!$A:$A,0))*90,"")</f>
        <v/>
      </c>
      <c r="AA347" t="str">
        <f>IFERROR(INDEX('2025_26'!$M:$M,MATCH($A347,'2025_26'!$A:$A,0))/INDEX('2025_26'!$G:$G,MATCH($A347,'2025_26'!$A:$A,0))*90,"")</f>
        <v/>
      </c>
      <c r="AB347" t="str">
        <f>IFERROR(SUMPRODUCT(S347:U347,{0.2,0.3,0.5})/SUMPRODUCT(--(S347:U347&lt;&gt;""),{0.2,0.3,0.5}),"")</f>
        <v/>
      </c>
      <c r="AC347" t="str">
        <f>IFERROR(SUMPRODUCT(V347:X347,{0.2,0.3,0.5})/SUMPRODUCT(--(V347:X347&lt;&gt;""),{0.2,0.3,0.5}),"")</f>
        <v/>
      </c>
      <c r="AD347">
        <f>IFERROR(SUMPRODUCT(Y347:AA347,{0.2,0.3,0.5})/SUMPRODUCT((Y347:AA347&lt;&gt;"")*{0.2,0.3,0.5}),O347)</f>
        <v>2.8421052631578947</v>
      </c>
      <c r="AE347">
        <f t="shared" si="135"/>
        <v>0</v>
      </c>
      <c r="AF347">
        <f t="shared" si="136"/>
        <v>63.333333333333336</v>
      </c>
      <c r="AG347">
        <f t="shared" si="137"/>
        <v>2.368421052631579E-2</v>
      </c>
      <c r="AH347">
        <f t="shared" si="138"/>
        <v>2.368421052631579E-2</v>
      </c>
      <c r="AI347" s="2">
        <f t="shared" si="139"/>
        <v>2.8421052631578947</v>
      </c>
      <c r="AJ347">
        <f t="shared" si="140"/>
        <v>0.6333333333333333</v>
      </c>
      <c r="AK347" t="str">
        <f t="shared" si="141"/>
        <v>YES</v>
      </c>
      <c r="AL347">
        <f t="shared" si="142"/>
        <v>2.368421052631579E-2</v>
      </c>
      <c r="AM347">
        <f t="shared" si="143"/>
        <v>2.368421052631579E-2</v>
      </c>
      <c r="AN347">
        <f t="shared" si="144"/>
        <v>2.368421052631579E-2</v>
      </c>
      <c r="AO347">
        <f t="shared" si="145"/>
        <v>2.368421052631579E-2</v>
      </c>
      <c r="AP347">
        <f t="array" ref="AP347">AL347*IF($C347="GKP",10,IF($C347="DEF",6,IF($C347="MID",5,4)))</f>
        <v>0.11842105263157895</v>
      </c>
      <c r="AQ347">
        <f t="shared" si="146"/>
        <v>7.1052631578947367E-2</v>
      </c>
      <c r="AR347">
        <f t="shared" si="147"/>
        <v>2</v>
      </c>
      <c r="AS347" s="2">
        <f>IF($H347=0,0,Player_Analysis!$AM347*$H347/90)</f>
        <v>0.66666666666666663</v>
      </c>
      <c r="AT347">
        <f t="shared" si="148"/>
        <v>1.1842105263157894</v>
      </c>
      <c r="AU347" s="2">
        <f>0</f>
        <v>0</v>
      </c>
      <c r="AV347" s="2">
        <f>IF(INDEX(FPL_Raw_Data!K:K,MATCH(A347,FPL_Raw_Data!AA:AA,0))=0,"",INDEX(FPL_Raw_Data!P:P,MATCH(A347,FPL_Raw_Data!AA:AA,0))/INDEX(FPL_Raw_Data!K:K,MATCH(A347,FPL_Raw_Data!AA:AA,0))*90)</f>
        <v>0</v>
      </c>
      <c r="AW347" s="2">
        <f t="shared" si="149"/>
        <v>0</v>
      </c>
      <c r="AX347" s="2">
        <f>IFERROR(INDEX(TEAM_ANALYSIS!$H$2:$H$21,MATCH($B347,TEAM_ANALYSIS!$A$2:$A$21,0)),0)</f>
        <v>0</v>
      </c>
      <c r="AY347" s="2">
        <f t="shared" si="150"/>
        <v>0</v>
      </c>
      <c r="AZ347" s="2">
        <f t="shared" si="151"/>
        <v>4.0403508771929824</v>
      </c>
      <c r="BA347">
        <f t="shared" si="152"/>
        <v>0.80807017543859649</v>
      </c>
      <c r="BB347">
        <f>IFERROR(Player_Analysis!$Y347,1)</f>
        <v>0.95496539792387547</v>
      </c>
      <c r="BC347">
        <f t="shared" si="153"/>
        <v>3.8583952831906756</v>
      </c>
      <c r="BD347">
        <f t="shared" si="154"/>
        <v>3.1178541533993425</v>
      </c>
      <c r="BE347">
        <f t="shared" si="155"/>
        <v>3.8583952831906756</v>
      </c>
      <c r="BF347">
        <f t="shared" si="156"/>
        <v>163</v>
      </c>
      <c r="BG347">
        <f>IF($BE347="","",COUNTIFS($C$2:$C$596,$C347,$BE$2:$BE$596,"&gt;"&amp;$BE347)+COUNTIFS($C$2:$C347,$C347,$BE$2:$BE347,$BE347))</f>
        <v>82</v>
      </c>
    </row>
    <row r="348" spans="1:59" x14ac:dyDescent="0.25">
      <c r="A348" t="str">
        <f>Player_Analysis!A348</f>
        <v>Lucas Herrington</v>
      </c>
      <c r="B348">
        <f>Player_Analysis!C348</f>
        <v>11</v>
      </c>
      <c r="C348" t="str">
        <f>Player_Analysis!B348</f>
        <v>DEF</v>
      </c>
      <c r="D348" s="13">
        <f>Player_Analysis!E348</f>
        <v>4</v>
      </c>
      <c r="E348">
        <f>Player_Analysis!I348</f>
        <v>76</v>
      </c>
      <c r="F348" s="8">
        <f>Player_Analysis!Z348</f>
        <v>0</v>
      </c>
      <c r="G348" s="17">
        <f t="shared" si="131"/>
        <v>0</v>
      </c>
      <c r="H348">
        <f t="shared" si="132"/>
        <v>0</v>
      </c>
      <c r="I348" s="8">
        <f>Player_Analysis!AF348</f>
        <v>0</v>
      </c>
      <c r="J348" s="8">
        <f>Player_Analysis!AG348</f>
        <v>0</v>
      </c>
      <c r="K348">
        <f>Player_Analysis!O348</f>
        <v>0</v>
      </c>
      <c r="L348">
        <f>Player_Analysis!P348</f>
        <v>0</v>
      </c>
      <c r="M348">
        <f t="shared" si="133"/>
        <v>0</v>
      </c>
      <c r="N348">
        <f t="shared" si="134"/>
        <v>0</v>
      </c>
      <c r="O348" s="2">
        <f>IF(E348=0,"",Player_Analysis!L348/E348*90)</f>
        <v>3.5526315789473681</v>
      </c>
      <c r="P348">
        <f>IF(E348=0,"",Player_Analysis!Q348/E348*90)</f>
        <v>0</v>
      </c>
      <c r="Q348">
        <f>IF(E348=0,"",(Player_Analysis!AD348/E348)*90)</f>
        <v>10.657894736842104</v>
      </c>
      <c r="R348">
        <f>IF(E348=0,"",Player_Analysis!AA348/E348*90)</f>
        <v>8.2894736842105257</v>
      </c>
      <c r="S348" t="str">
        <f t="array" ref="S348">IFERROR(INDEX('2023_24'!$O:$O,MATCH($A348,'2023_24'!$A:$A,0)),"")</f>
        <v/>
      </c>
      <c r="T348" t="str">
        <f>IFERROR(INDEX('2024_25'!$P:$P,MATCH($A348,'2024_25'!$A:$A,0)),"")</f>
        <v/>
      </c>
      <c r="U348" t="str">
        <f>IFERROR(INDEX('2025_26'!$P:$P,MATCH($A348,'2025_26'!$A:$A,0)),"")</f>
        <v/>
      </c>
      <c r="V348" t="str">
        <f>IFERROR(INDEX('2023_24'!$P:$P,MATCH($A348,'2023_24'!$A:$A,0)),"")</f>
        <v/>
      </c>
      <c r="W348" t="str">
        <f>IFERROR(INDEX('2024_25'!$Q:$Q,MATCH($A348,'2024_25'!$A:$A,0)),"")</f>
        <v/>
      </c>
      <c r="X348" t="str">
        <f>IFERROR(INDEX('2025_26'!$Q:$Q,MATCH($A348,'2025_26'!$A:$A,0)),"")</f>
        <v/>
      </c>
      <c r="Y348" t="str">
        <f>IFERROR(INDEX('2023_24'!$M:$M,MATCH($A348,'2023_24'!$A:$A,0))/INDEX('2023_24'!$G:$G,MATCH($A348,'2023_24'!$A:$A,0))*90,"")</f>
        <v/>
      </c>
      <c r="Z348" t="str">
        <f>IFERROR(INDEX('2024_25'!$M:$M,MATCH($A348,'2024_25'!$A:$A,0))/INDEX('2024_25'!$G:$G,MATCH($A348,'2024_25'!$A:$A,0))*90,"")</f>
        <v/>
      </c>
      <c r="AA348" t="str">
        <f>IFERROR(INDEX('2025_26'!$M:$M,MATCH($A348,'2025_26'!$A:$A,0))/INDEX('2025_26'!$G:$G,MATCH($A348,'2025_26'!$A:$A,0))*90,"")</f>
        <v/>
      </c>
      <c r="AB348" t="str">
        <f>IFERROR(SUMPRODUCT(S348:U348,{0.2,0.3,0.5})/SUMPRODUCT(--(S348:U348&lt;&gt;""),{0.2,0.3,0.5}),"")</f>
        <v/>
      </c>
      <c r="AC348" t="str">
        <f>IFERROR(SUMPRODUCT(V348:X348,{0.2,0.3,0.5})/SUMPRODUCT(--(V348:X348&lt;&gt;""),{0.2,0.3,0.5}),"")</f>
        <v/>
      </c>
      <c r="AD348">
        <f>IFERROR(SUMPRODUCT(Y348:AA348,{0.2,0.3,0.5})/SUMPRODUCT((Y348:AA348&lt;&gt;"")*{0.2,0.3,0.5}),O348)</f>
        <v>3.5526315789473681</v>
      </c>
      <c r="AE348">
        <f t="shared" si="135"/>
        <v>0</v>
      </c>
      <c r="AF348" t="str">
        <f t="shared" si="136"/>
        <v/>
      </c>
      <c r="AG348">
        <f t="shared" si="137"/>
        <v>0</v>
      </c>
      <c r="AH348">
        <f t="shared" si="138"/>
        <v>0</v>
      </c>
      <c r="AI348" s="2">
        <f t="shared" si="139"/>
        <v>3.5526315789473677</v>
      </c>
      <c r="AJ348">
        <f t="shared" si="140"/>
        <v>0.25333333333333335</v>
      </c>
      <c r="AK348" t="str">
        <f t="shared" si="141"/>
        <v>YES</v>
      </c>
      <c r="AL348">
        <f t="shared" si="142"/>
        <v>0</v>
      </c>
      <c r="AM348">
        <f t="shared" si="143"/>
        <v>0</v>
      </c>
      <c r="AN348">
        <f t="shared" si="144"/>
        <v>0</v>
      </c>
      <c r="AO348">
        <f t="shared" si="145"/>
        <v>0</v>
      </c>
      <c r="AP348">
        <f t="array" ref="AP348">AL348*IF($C348="GKP",10,IF($C348="DEF",6,IF($C348="MID",5,4)))</f>
        <v>0</v>
      </c>
      <c r="AQ348">
        <f t="shared" si="146"/>
        <v>0</v>
      </c>
      <c r="AR348">
        <f t="shared" si="147"/>
        <v>0</v>
      </c>
      <c r="AS348" s="2">
        <f>IF($H348=0,0,Player_Analysis!$AM348*$H348/90)</f>
        <v>0</v>
      </c>
      <c r="AT348">
        <f t="shared" si="148"/>
        <v>0</v>
      </c>
      <c r="AU348" s="2">
        <f>0</f>
        <v>0</v>
      </c>
      <c r="AV348" s="2">
        <f>IF(INDEX(FPL_Raw_Data!K:K,MATCH(A348,FPL_Raw_Data!AA:AA,0))=0,"",INDEX(FPL_Raw_Data!P:P,MATCH(A348,FPL_Raw_Data!AA:AA,0))/INDEX(FPL_Raw_Data!K:K,MATCH(A348,FPL_Raw_Data!AA:AA,0))*90)</f>
        <v>0</v>
      </c>
      <c r="AW348" s="2">
        <f t="shared" si="149"/>
        <v>0</v>
      </c>
      <c r="AX348" s="2">
        <f>IFERROR(INDEX(TEAM_ANALYSIS!$H$2:$H$21,MATCH($B348,TEAM_ANALYSIS!$A$2:$A$21,0)),0)</f>
        <v>0</v>
      </c>
      <c r="AY348" s="2">
        <f t="shared" si="150"/>
        <v>0</v>
      </c>
      <c r="AZ348" s="2">
        <f t="shared" si="151"/>
        <v>0</v>
      </c>
      <c r="BA348">
        <f t="shared" si="152"/>
        <v>0</v>
      </c>
      <c r="BB348">
        <f>IFERROR(Player_Analysis!$Y348,1)</f>
        <v>1.1999999999999997</v>
      </c>
      <c r="BC348">
        <f t="shared" si="153"/>
        <v>0</v>
      </c>
      <c r="BD348">
        <f t="shared" si="154"/>
        <v>0</v>
      </c>
      <c r="BE348">
        <f t="shared" si="155"/>
        <v>0</v>
      </c>
      <c r="BF348">
        <f t="shared" si="156"/>
        <v>253</v>
      </c>
      <c r="BG348">
        <f>IF($BE348="","",COUNTIFS($C$2:$C$596,$C348,$BE$2:$BE$596,"&gt;"&amp;$BE348)+COUNTIFS($C$2:$C348,$C348,$BE$2:$BE348,$BE348))</f>
        <v>103</v>
      </c>
    </row>
    <row r="349" spans="1:59" x14ac:dyDescent="0.25">
      <c r="A349" t="str">
        <f>Player_Analysis!A349</f>
        <v>Nobel Mendy</v>
      </c>
      <c r="B349">
        <f>Player_Analysis!C349</f>
        <v>11</v>
      </c>
      <c r="C349" t="str">
        <f>Player_Analysis!B349</f>
        <v>DEF</v>
      </c>
      <c r="D349" s="13">
        <f>Player_Analysis!E349</f>
        <v>4</v>
      </c>
      <c r="E349">
        <f>Player_Analysis!I349</f>
        <v>191</v>
      </c>
      <c r="F349" s="8">
        <f>Player_Analysis!Z349</f>
        <v>3</v>
      </c>
      <c r="G349" s="17">
        <f t="shared" si="131"/>
        <v>1</v>
      </c>
      <c r="H349">
        <f t="shared" si="132"/>
        <v>90</v>
      </c>
      <c r="I349" s="8">
        <f>Player_Analysis!AF349</f>
        <v>1</v>
      </c>
      <c r="J349" s="8">
        <f>Player_Analysis!AG349</f>
        <v>0</v>
      </c>
      <c r="K349">
        <f>Player_Analysis!O349</f>
        <v>0.32</v>
      </c>
      <c r="L349">
        <f>Player_Analysis!P349</f>
        <v>0</v>
      </c>
      <c r="M349">
        <f t="shared" si="133"/>
        <v>0.15078534031413612</v>
      </c>
      <c r="N349">
        <f t="shared" si="134"/>
        <v>0</v>
      </c>
      <c r="O349" s="2">
        <f>IF(E349=0,"",Player_Analysis!L349/E349*90)</f>
        <v>11.308900523560208</v>
      </c>
      <c r="P349">
        <f>IF(E349=0,"",Player_Analysis!Q349/E349*90)</f>
        <v>0.15078534031413612</v>
      </c>
      <c r="Q349">
        <f>IF(E349=0,"",(Player_Analysis!AD349/E349)*90)</f>
        <v>31.099476439790575</v>
      </c>
      <c r="R349">
        <f>IF(E349=0,"",Player_Analysis!AA349/E349*90)</f>
        <v>15.078534031413614</v>
      </c>
      <c r="S349" t="str">
        <f t="array" ref="S349">IFERROR(INDEX('2023_24'!$O:$O,MATCH($A349,'2023_24'!$A:$A,0)),"")</f>
        <v/>
      </c>
      <c r="T349" t="str">
        <f>IFERROR(INDEX('2024_25'!$P:$P,MATCH($A349,'2024_25'!$A:$A,0)),"")</f>
        <v/>
      </c>
      <c r="U349" t="str">
        <f>IFERROR(INDEX('2025_26'!$P:$P,MATCH($A349,'2025_26'!$A:$A,0)),"")</f>
        <v/>
      </c>
      <c r="V349" t="str">
        <f>IFERROR(INDEX('2023_24'!$P:$P,MATCH($A349,'2023_24'!$A:$A,0)),"")</f>
        <v/>
      </c>
      <c r="W349" t="str">
        <f>IFERROR(INDEX('2024_25'!$Q:$Q,MATCH($A349,'2024_25'!$A:$A,0)),"")</f>
        <v/>
      </c>
      <c r="X349" t="str">
        <f>IFERROR(INDEX('2025_26'!$Q:$Q,MATCH($A349,'2025_26'!$A:$A,0)),"")</f>
        <v/>
      </c>
      <c r="Y349" t="str">
        <f>IFERROR(INDEX('2023_24'!$M:$M,MATCH($A349,'2023_24'!$A:$A,0))/INDEX('2023_24'!$G:$G,MATCH($A349,'2023_24'!$A:$A,0))*90,"")</f>
        <v/>
      </c>
      <c r="Z349" t="str">
        <f>IFERROR(INDEX('2024_25'!$M:$M,MATCH($A349,'2024_25'!$A:$A,0))/INDEX('2024_25'!$G:$G,MATCH($A349,'2024_25'!$A:$A,0))*90,"")</f>
        <v/>
      </c>
      <c r="AA349" t="str">
        <f>IFERROR(INDEX('2025_26'!$M:$M,MATCH($A349,'2025_26'!$A:$A,0))/INDEX('2025_26'!$G:$G,MATCH($A349,'2025_26'!$A:$A,0))*90,"")</f>
        <v/>
      </c>
      <c r="AB349" t="str">
        <f>IFERROR(SUMPRODUCT(S349:U349,{0.2,0.3,0.5})/SUMPRODUCT(--(S349:U349&lt;&gt;""),{0.2,0.3,0.5}),"")</f>
        <v/>
      </c>
      <c r="AC349" t="str">
        <f>IFERROR(SUMPRODUCT(V349:X349,{0.2,0.3,0.5})/SUMPRODUCT(--(V349:X349&lt;&gt;""),{0.2,0.3,0.5}),"")</f>
        <v/>
      </c>
      <c r="AD349">
        <f>IFERROR(SUMPRODUCT(Y349:AA349,{0.2,0.3,0.5})/SUMPRODUCT((Y349:AA349&lt;&gt;"")*{0.2,0.3,0.5}),O349)</f>
        <v>11.308900523560208</v>
      </c>
      <c r="AE349">
        <f t="shared" si="135"/>
        <v>0</v>
      </c>
      <c r="AF349">
        <f t="shared" si="136"/>
        <v>63.666666666666664</v>
      </c>
      <c r="AG349">
        <f t="shared" si="137"/>
        <v>0.15078534031413612</v>
      </c>
      <c r="AH349">
        <f t="shared" si="138"/>
        <v>0</v>
      </c>
      <c r="AI349" s="2">
        <f t="shared" si="139"/>
        <v>11.308900523560208</v>
      </c>
      <c r="AJ349">
        <f t="shared" si="140"/>
        <v>0.63666666666666671</v>
      </c>
      <c r="AK349" t="str">
        <f t="shared" si="141"/>
        <v>YES</v>
      </c>
      <c r="AL349">
        <f t="shared" si="142"/>
        <v>0.15078534031413612</v>
      </c>
      <c r="AM349">
        <f t="shared" si="143"/>
        <v>0</v>
      </c>
      <c r="AN349">
        <f t="shared" si="144"/>
        <v>0.15078534031413612</v>
      </c>
      <c r="AO349">
        <f t="shared" si="145"/>
        <v>0</v>
      </c>
      <c r="AP349">
        <f t="array" ref="AP349">AL349*IF($C349="GKP",10,IF($C349="DEF",6,IF($C349="MID",5,4)))</f>
        <v>0.90471204188481669</v>
      </c>
      <c r="AQ349">
        <f t="shared" si="146"/>
        <v>0</v>
      </c>
      <c r="AR349">
        <f t="shared" si="147"/>
        <v>2</v>
      </c>
      <c r="AS349" s="2">
        <f>IF($H349=0,0,Player_Analysis!$AM349*$H349/90)</f>
        <v>2.6666666666666665</v>
      </c>
      <c r="AT349">
        <f t="shared" si="148"/>
        <v>3.015706806282723</v>
      </c>
      <c r="AU349" s="2">
        <f>0</f>
        <v>0</v>
      </c>
      <c r="AV349" s="2">
        <f>IF(INDEX(FPL_Raw_Data!K:K,MATCH(A349,FPL_Raw_Data!AA:AA,0))=0,"",INDEX(FPL_Raw_Data!P:P,MATCH(A349,FPL_Raw_Data!AA:AA,0))/INDEX(FPL_Raw_Data!K:K,MATCH(A349,FPL_Raw_Data!AA:AA,0))*90)</f>
        <v>0</v>
      </c>
      <c r="AW349" s="2">
        <f t="shared" si="149"/>
        <v>0</v>
      </c>
      <c r="AX349" s="2">
        <f>IFERROR(INDEX(TEAM_ANALYSIS!$H$2:$H$21,MATCH($B349,TEAM_ANALYSIS!$A$2:$A$21,0)),0)</f>
        <v>0</v>
      </c>
      <c r="AY349" s="2">
        <f t="shared" si="150"/>
        <v>0</v>
      </c>
      <c r="AZ349" s="2">
        <f t="shared" si="151"/>
        <v>8.5870855148342073</v>
      </c>
      <c r="BA349">
        <f t="shared" si="152"/>
        <v>2.1467713787085518</v>
      </c>
      <c r="BB349">
        <f>IFERROR(Player_Analysis!$Y349,1)</f>
        <v>1.1999999999999997</v>
      </c>
      <c r="BC349">
        <f t="shared" si="153"/>
        <v>10.304502617801047</v>
      </c>
      <c r="BD349">
        <f t="shared" si="154"/>
        <v>22.121411291722634</v>
      </c>
      <c r="BE349">
        <f t="shared" si="155"/>
        <v>10.304502617801047</v>
      </c>
      <c r="BF349">
        <f t="shared" si="156"/>
        <v>3</v>
      </c>
      <c r="BG349">
        <f>IF($BE349="","",COUNTIFS($C$2:$C$596,$C349,$BE$2:$BE$596,"&gt;"&amp;$BE349)+COUNTIFS($C$2:$C349,$C349,$BE$2:$BE349,$BE349))</f>
        <v>3</v>
      </c>
    </row>
    <row r="350" spans="1:59" x14ac:dyDescent="0.25">
      <c r="A350" t="str">
        <f>Player_Analysis!A350</f>
        <v>Lucas Gourna-Douath</v>
      </c>
      <c r="B350">
        <f>Player_Analysis!C350</f>
        <v>11</v>
      </c>
      <c r="C350" t="str">
        <f>Player_Analysis!B350</f>
        <v>MID</v>
      </c>
      <c r="D350" s="13">
        <f>Player_Analysis!E350</f>
        <v>5</v>
      </c>
      <c r="E350">
        <f>Player_Analysis!I350</f>
        <v>126</v>
      </c>
      <c r="F350" s="8">
        <f>Player_Analysis!Z350</f>
        <v>1</v>
      </c>
      <c r="G350" s="17">
        <f t="shared" si="131"/>
        <v>0.7142857142857143</v>
      </c>
      <c r="H350">
        <f t="shared" si="132"/>
        <v>64.285714285714292</v>
      </c>
      <c r="I350" s="8">
        <f>Player_Analysis!AF350</f>
        <v>0</v>
      </c>
      <c r="J350" s="8">
        <f>Player_Analysis!AG350</f>
        <v>0</v>
      </c>
      <c r="K350">
        <f>Player_Analysis!O350</f>
        <v>0</v>
      </c>
      <c r="L350">
        <f>Player_Analysis!P350</f>
        <v>0.02</v>
      </c>
      <c r="M350">
        <f t="shared" si="133"/>
        <v>0</v>
      </c>
      <c r="N350">
        <f t="shared" si="134"/>
        <v>1.4285714285714285E-2</v>
      </c>
      <c r="O350" s="2">
        <f>IF(E350=0,"",Player_Analysis!L350/E350*90)</f>
        <v>2.1428571428571428</v>
      </c>
      <c r="P350">
        <f>IF(E350=0,"",Player_Analysis!Q350/E350*90)</f>
        <v>1.4285714285714285E-2</v>
      </c>
      <c r="Q350">
        <f>IF(E350=0,"",(Player_Analysis!AD350/E350)*90)</f>
        <v>9.2857142857142847</v>
      </c>
      <c r="R350">
        <f>IF(E350=0,"",Player_Analysis!AA350/E350*90)</f>
        <v>11.428571428571427</v>
      </c>
      <c r="S350" t="str">
        <f t="array" ref="S350">IFERROR(INDEX('2023_24'!$O:$O,MATCH($A350,'2023_24'!$A:$A,0)),"")</f>
        <v/>
      </c>
      <c r="T350" t="str">
        <f>IFERROR(INDEX('2024_25'!$P:$P,MATCH($A350,'2024_25'!$A:$A,0)),"")</f>
        <v/>
      </c>
      <c r="U350" t="str">
        <f>IFERROR(INDEX('2025_26'!$P:$P,MATCH($A350,'2025_26'!$A:$A,0)),"")</f>
        <v/>
      </c>
      <c r="V350" t="str">
        <f>IFERROR(INDEX('2023_24'!$P:$P,MATCH($A350,'2023_24'!$A:$A,0)),"")</f>
        <v/>
      </c>
      <c r="W350" t="str">
        <f>IFERROR(INDEX('2024_25'!$Q:$Q,MATCH($A350,'2024_25'!$A:$A,0)),"")</f>
        <v/>
      </c>
      <c r="X350" t="str">
        <f>IFERROR(INDEX('2025_26'!$Q:$Q,MATCH($A350,'2025_26'!$A:$A,0)),"")</f>
        <v/>
      </c>
      <c r="Y350" t="str">
        <f>IFERROR(INDEX('2023_24'!$M:$M,MATCH($A350,'2023_24'!$A:$A,0))/INDEX('2023_24'!$G:$G,MATCH($A350,'2023_24'!$A:$A,0))*90,"")</f>
        <v/>
      </c>
      <c r="Z350" t="str">
        <f>IFERROR(INDEX('2024_25'!$M:$M,MATCH($A350,'2024_25'!$A:$A,0))/INDEX('2024_25'!$G:$G,MATCH($A350,'2024_25'!$A:$A,0))*90,"")</f>
        <v/>
      </c>
      <c r="AA350" t="str">
        <f>IFERROR(INDEX('2025_26'!$M:$M,MATCH($A350,'2025_26'!$A:$A,0))/INDEX('2025_26'!$G:$G,MATCH($A350,'2025_26'!$A:$A,0))*90,"")</f>
        <v/>
      </c>
      <c r="AB350" t="str">
        <f>IFERROR(SUMPRODUCT(S350:U350,{0.2,0.3,0.5})/SUMPRODUCT(--(S350:U350&lt;&gt;""),{0.2,0.3,0.5}),"")</f>
        <v/>
      </c>
      <c r="AC350" t="str">
        <f>IFERROR(SUMPRODUCT(V350:X350,{0.2,0.3,0.5})/SUMPRODUCT(--(V350:X350&lt;&gt;""),{0.2,0.3,0.5}),"")</f>
        <v/>
      </c>
      <c r="AD350">
        <f>IFERROR(SUMPRODUCT(Y350:AA350,{0.2,0.3,0.5})/SUMPRODUCT((Y350:AA350&lt;&gt;"")*{0.2,0.3,0.5}),O350)</f>
        <v>2.1428571428571428</v>
      </c>
      <c r="AE350">
        <f t="shared" si="135"/>
        <v>0</v>
      </c>
      <c r="AF350">
        <f t="shared" si="136"/>
        <v>126</v>
      </c>
      <c r="AG350">
        <f t="shared" si="137"/>
        <v>0</v>
      </c>
      <c r="AH350">
        <f t="shared" si="138"/>
        <v>1.4285714285714285E-2</v>
      </c>
      <c r="AI350" s="2">
        <f t="shared" si="139"/>
        <v>2.1428571428571428</v>
      </c>
      <c r="AJ350">
        <f t="shared" si="140"/>
        <v>0.42</v>
      </c>
      <c r="AK350" t="str">
        <f t="shared" si="141"/>
        <v>YES</v>
      </c>
      <c r="AL350">
        <f t="shared" si="142"/>
        <v>0</v>
      </c>
      <c r="AM350">
        <f t="shared" si="143"/>
        <v>1.0204081632653062E-2</v>
      </c>
      <c r="AN350">
        <f t="shared" si="144"/>
        <v>0</v>
      </c>
      <c r="AO350">
        <f t="shared" si="145"/>
        <v>1.0204081632653062E-2</v>
      </c>
      <c r="AP350">
        <f t="array" ref="AP350">AL350*IF($C350="GKP",10,IF($C350="DEF",6,IF($C350="MID",5,4)))</f>
        <v>0</v>
      </c>
      <c r="AQ350">
        <f t="shared" si="146"/>
        <v>3.0612244897959186E-2</v>
      </c>
      <c r="AR350">
        <f t="shared" si="147"/>
        <v>1.4285714285714286</v>
      </c>
      <c r="AS350" s="2">
        <f>IF($H350=0,0,Player_Analysis!$AM350*$H350/90)</f>
        <v>0.7142857142857143</v>
      </c>
      <c r="AT350">
        <f t="shared" si="148"/>
        <v>1.3605442176870748</v>
      </c>
      <c r="AU350" s="2">
        <f>0</f>
        <v>0</v>
      </c>
      <c r="AV350" s="2">
        <f>IF(INDEX(FPL_Raw_Data!K:K,MATCH(A350,FPL_Raw_Data!AA:AA,0))=0,"",INDEX(FPL_Raw_Data!P:P,MATCH(A350,FPL_Raw_Data!AA:AA,0))/INDEX(FPL_Raw_Data!K:K,MATCH(A350,FPL_Raw_Data!AA:AA,0))*90)</f>
        <v>0</v>
      </c>
      <c r="AW350" s="2">
        <f t="shared" si="149"/>
        <v>0</v>
      </c>
      <c r="AX350" s="2">
        <f>IFERROR(INDEX(TEAM_ANALYSIS!$H$2:$H$21,MATCH($B350,TEAM_ANALYSIS!$A$2:$A$21,0)),0)</f>
        <v>0</v>
      </c>
      <c r="AY350" s="2">
        <f t="shared" si="150"/>
        <v>0</v>
      </c>
      <c r="AZ350" s="2">
        <f t="shared" si="151"/>
        <v>3.5340136054421771</v>
      </c>
      <c r="BA350">
        <f t="shared" si="152"/>
        <v>0.70680272108843545</v>
      </c>
      <c r="BB350">
        <f>IFERROR(Player_Analysis!$Y350,1)</f>
        <v>0.95496539792387547</v>
      </c>
      <c r="BC350">
        <f t="shared" si="153"/>
        <v>3.3748607089894787</v>
      </c>
      <c r="BD350">
        <f t="shared" si="154"/>
        <v>2.38536073240821</v>
      </c>
      <c r="BE350">
        <f t="shared" si="155"/>
        <v>3.3748607089894787</v>
      </c>
      <c r="BF350">
        <f t="shared" si="156"/>
        <v>184</v>
      </c>
      <c r="BG350">
        <f>IF($BE350="","",COUNTIFS($C$2:$C$596,$C350,$BE$2:$BE$596,"&gt;"&amp;$BE350)+COUNTIFS($C$2:$C350,$C350,$BE$2:$BE350,$BE350))</f>
        <v>95</v>
      </c>
    </row>
    <row r="351" spans="1:59" x14ac:dyDescent="0.25">
      <c r="A351" t="str">
        <f>Player_Analysis!A351</f>
        <v>Mohamed-Ali Cho</v>
      </c>
      <c r="B351">
        <f>Player_Analysis!C351</f>
        <v>11</v>
      </c>
      <c r="C351" t="str">
        <f>Player_Analysis!B351</f>
        <v>MID</v>
      </c>
      <c r="D351" s="13">
        <f>Player_Analysis!E351</f>
        <v>5</v>
      </c>
      <c r="E351">
        <f>Player_Analysis!I351</f>
        <v>15</v>
      </c>
      <c r="F351" s="8">
        <f>Player_Analysis!Z351</f>
        <v>0</v>
      </c>
      <c r="G351" s="17">
        <f t="shared" si="131"/>
        <v>0</v>
      </c>
      <c r="H351">
        <f t="shared" si="132"/>
        <v>0</v>
      </c>
      <c r="I351" s="8">
        <f>Player_Analysis!AF351</f>
        <v>0</v>
      </c>
      <c r="J351" s="8">
        <f>Player_Analysis!AG351</f>
        <v>0</v>
      </c>
      <c r="K351">
        <f>Player_Analysis!O351</f>
        <v>0.05</v>
      </c>
      <c r="L351">
        <f>Player_Analysis!P351</f>
        <v>0</v>
      </c>
      <c r="M351">
        <f t="shared" si="133"/>
        <v>0.30000000000000004</v>
      </c>
      <c r="N351">
        <f t="shared" si="134"/>
        <v>0</v>
      </c>
      <c r="O351" s="2">
        <f>IF(E351=0,"",Player_Analysis!L351/E351*90)</f>
        <v>12</v>
      </c>
      <c r="P351">
        <f>IF(E351=0,"",Player_Analysis!Q351/E351*90)</f>
        <v>0.30000000000000004</v>
      </c>
      <c r="Q351">
        <f>IF(E351=0,"",(Player_Analysis!AD351/E351)*90)</f>
        <v>48</v>
      </c>
      <c r="R351">
        <f>IF(E351=0,"",Player_Analysis!AA351/E351*90)</f>
        <v>0</v>
      </c>
      <c r="S351" t="str">
        <f t="array" ref="S351">IFERROR(INDEX('2023_24'!$O:$O,MATCH($A351,'2023_24'!$A:$A,0)),"")</f>
        <v/>
      </c>
      <c r="T351" t="str">
        <f>IFERROR(INDEX('2024_25'!$P:$P,MATCH($A351,'2024_25'!$A:$A,0)),"")</f>
        <v/>
      </c>
      <c r="U351" t="str">
        <f>IFERROR(INDEX('2025_26'!$P:$P,MATCH($A351,'2025_26'!$A:$A,0)),"")</f>
        <v/>
      </c>
      <c r="V351" t="str">
        <f>IFERROR(INDEX('2023_24'!$P:$P,MATCH($A351,'2023_24'!$A:$A,0)),"")</f>
        <v/>
      </c>
      <c r="W351" t="str">
        <f>IFERROR(INDEX('2024_25'!$Q:$Q,MATCH($A351,'2024_25'!$A:$A,0)),"")</f>
        <v/>
      </c>
      <c r="X351" t="str">
        <f>IFERROR(INDEX('2025_26'!$Q:$Q,MATCH($A351,'2025_26'!$A:$A,0)),"")</f>
        <v/>
      </c>
      <c r="Y351" t="str">
        <f>IFERROR(INDEX('2023_24'!$M:$M,MATCH($A351,'2023_24'!$A:$A,0))/INDEX('2023_24'!$G:$G,MATCH($A351,'2023_24'!$A:$A,0))*90,"")</f>
        <v/>
      </c>
      <c r="Z351" t="str">
        <f>IFERROR(INDEX('2024_25'!$M:$M,MATCH($A351,'2024_25'!$A:$A,0))/INDEX('2024_25'!$G:$G,MATCH($A351,'2024_25'!$A:$A,0))*90,"")</f>
        <v/>
      </c>
      <c r="AA351" t="str">
        <f>IFERROR(INDEX('2025_26'!$M:$M,MATCH($A351,'2025_26'!$A:$A,0))/INDEX('2025_26'!$G:$G,MATCH($A351,'2025_26'!$A:$A,0))*90,"")</f>
        <v/>
      </c>
      <c r="AB351" t="str">
        <f>IFERROR(SUMPRODUCT(S351:U351,{0.2,0.3,0.5})/SUMPRODUCT(--(S351:U351&lt;&gt;""),{0.2,0.3,0.5}),"")</f>
        <v/>
      </c>
      <c r="AC351" t="str">
        <f>IFERROR(SUMPRODUCT(V351:X351,{0.2,0.3,0.5})/SUMPRODUCT(--(V351:X351&lt;&gt;""),{0.2,0.3,0.5}),"")</f>
        <v/>
      </c>
      <c r="AD351">
        <f>IFERROR(SUMPRODUCT(Y351:AA351,{0.2,0.3,0.5})/SUMPRODUCT((Y351:AA351&lt;&gt;"")*{0.2,0.3,0.5}),O351)</f>
        <v>12</v>
      </c>
      <c r="AE351">
        <f t="shared" si="135"/>
        <v>0</v>
      </c>
      <c r="AF351" t="str">
        <f t="shared" si="136"/>
        <v/>
      </c>
      <c r="AG351">
        <f t="shared" si="137"/>
        <v>0.30000000000000004</v>
      </c>
      <c r="AH351">
        <f t="shared" si="138"/>
        <v>0</v>
      </c>
      <c r="AI351" s="2">
        <f t="shared" si="139"/>
        <v>11.999999999999998</v>
      </c>
      <c r="AJ351">
        <f t="shared" si="140"/>
        <v>0.05</v>
      </c>
      <c r="AK351" t="str">
        <f t="shared" si="141"/>
        <v>YES</v>
      </c>
      <c r="AL351">
        <f t="shared" si="142"/>
        <v>0</v>
      </c>
      <c r="AM351">
        <f t="shared" si="143"/>
        <v>0</v>
      </c>
      <c r="AN351">
        <f t="shared" si="144"/>
        <v>0</v>
      </c>
      <c r="AO351">
        <f t="shared" si="145"/>
        <v>0</v>
      </c>
      <c r="AP351">
        <f t="array" ref="AP351">AL351*IF($C351="GKP",10,IF($C351="DEF",6,IF($C351="MID",5,4)))</f>
        <v>0</v>
      </c>
      <c r="AQ351">
        <f t="shared" si="146"/>
        <v>0</v>
      </c>
      <c r="AR351">
        <f t="shared" si="147"/>
        <v>0</v>
      </c>
      <c r="AS351" s="2">
        <f>IF($H351=0,0,Player_Analysis!$AM351*$H351/90)</f>
        <v>0</v>
      </c>
      <c r="AT351">
        <f t="shared" si="148"/>
        <v>0</v>
      </c>
      <c r="AU351" s="2">
        <f>0</f>
        <v>0</v>
      </c>
      <c r="AV351" s="2">
        <f>IF(INDEX(FPL_Raw_Data!K:K,MATCH(A351,FPL_Raw_Data!AA:AA,0))=0,"",INDEX(FPL_Raw_Data!P:P,MATCH(A351,FPL_Raw_Data!AA:AA,0))/INDEX(FPL_Raw_Data!K:K,MATCH(A351,FPL_Raw_Data!AA:AA,0))*90)</f>
        <v>0</v>
      </c>
      <c r="AW351" s="2">
        <f t="shared" si="149"/>
        <v>0</v>
      </c>
      <c r="AX351" s="2">
        <f>IFERROR(INDEX(TEAM_ANALYSIS!$H$2:$H$21,MATCH($B351,TEAM_ANALYSIS!$A$2:$A$21,0)),0)</f>
        <v>0</v>
      </c>
      <c r="AY351" s="2">
        <f t="shared" si="150"/>
        <v>0</v>
      </c>
      <c r="AZ351" s="2">
        <f t="shared" si="151"/>
        <v>0</v>
      </c>
      <c r="BA351">
        <f t="shared" si="152"/>
        <v>0</v>
      </c>
      <c r="BB351">
        <f>IFERROR(Player_Analysis!$Y351,1)</f>
        <v>0.95496539792387547</v>
      </c>
      <c r="BC351">
        <f t="shared" si="153"/>
        <v>0</v>
      </c>
      <c r="BD351">
        <f t="shared" si="154"/>
        <v>0</v>
      </c>
      <c r="BE351">
        <f t="shared" si="155"/>
        <v>0</v>
      </c>
      <c r="BF351">
        <f t="shared" si="156"/>
        <v>253</v>
      </c>
      <c r="BG351">
        <f>IF($BE351="","",COUNTIFS($C$2:$C$596,$C351,$BE$2:$BE$596,"&gt;"&amp;$BE351)+COUNTIFS($C$2:$C351,$C351,$BE$2:$BE351,$BE351))</f>
        <v>203</v>
      </c>
    </row>
    <row r="352" spans="1:59" x14ac:dyDescent="0.25">
      <c r="A352" t="str">
        <f>Player_Analysis!A352</f>
        <v>Ilyas Ansah</v>
      </c>
      <c r="B352">
        <f>Player_Analysis!C352</f>
        <v>11</v>
      </c>
      <c r="C352" t="str">
        <f>Player_Analysis!B352</f>
        <v>FWD</v>
      </c>
      <c r="D352" s="13">
        <f>Player_Analysis!E352</f>
        <v>5</v>
      </c>
      <c r="E352">
        <f>Player_Analysis!I352</f>
        <v>0</v>
      </c>
      <c r="F352" s="8">
        <f>Player_Analysis!Z352</f>
        <v>0</v>
      </c>
      <c r="G352" s="17">
        <f t="shared" si="131"/>
        <v>0</v>
      </c>
      <c r="H352">
        <f t="shared" si="132"/>
        <v>0</v>
      </c>
      <c r="I352" s="8">
        <f>Player_Analysis!AF352</f>
        <v>0</v>
      </c>
      <c r="J352" s="8">
        <f>Player_Analysis!AG352</f>
        <v>0</v>
      </c>
      <c r="K352">
        <f>Player_Analysis!O352</f>
        <v>0</v>
      </c>
      <c r="L352">
        <f>Player_Analysis!P352</f>
        <v>0</v>
      </c>
      <c r="M352" t="str">
        <f t="shared" si="133"/>
        <v/>
      </c>
      <c r="N352" t="str">
        <f t="shared" si="134"/>
        <v/>
      </c>
      <c r="O352" s="2" t="str">
        <f>IF(E352=0,"",Player_Analysis!L352/E352*90)</f>
        <v/>
      </c>
      <c r="P352" t="str">
        <f>IF(E352=0,"",Player_Analysis!Q352/E352*90)</f>
        <v/>
      </c>
      <c r="Q352" t="str">
        <f>IF(E352=0,"",(Player_Analysis!AD352/E352)*90)</f>
        <v/>
      </c>
      <c r="R352" t="str">
        <f>IF(E352=0,"",Player_Analysis!AA352/E352*90)</f>
        <v/>
      </c>
      <c r="S352" t="str">
        <f t="array" ref="S352">IFERROR(INDEX('2023_24'!$O:$O,MATCH($A352,'2023_24'!$A:$A,0)),"")</f>
        <v/>
      </c>
      <c r="T352" t="str">
        <f>IFERROR(INDEX('2024_25'!$P:$P,MATCH($A352,'2024_25'!$A:$A,0)),"")</f>
        <v/>
      </c>
      <c r="U352" t="str">
        <f>IFERROR(INDEX('2025_26'!$P:$P,MATCH($A352,'2025_26'!$A:$A,0)),"")</f>
        <v/>
      </c>
      <c r="V352" t="str">
        <f>IFERROR(INDEX('2023_24'!$P:$P,MATCH($A352,'2023_24'!$A:$A,0)),"")</f>
        <v/>
      </c>
      <c r="W352" t="str">
        <f>IFERROR(INDEX('2024_25'!$Q:$Q,MATCH($A352,'2024_25'!$A:$A,0)),"")</f>
        <v/>
      </c>
      <c r="X352" t="str">
        <f>IFERROR(INDEX('2025_26'!$Q:$Q,MATCH($A352,'2025_26'!$A:$A,0)),"")</f>
        <v/>
      </c>
      <c r="Y352" t="str">
        <f>IFERROR(INDEX('2023_24'!$M:$M,MATCH($A352,'2023_24'!$A:$A,0))/INDEX('2023_24'!$G:$G,MATCH($A352,'2023_24'!$A:$A,0))*90,"")</f>
        <v/>
      </c>
      <c r="Z352" t="str">
        <f>IFERROR(INDEX('2024_25'!$M:$M,MATCH($A352,'2024_25'!$A:$A,0))/INDEX('2024_25'!$G:$G,MATCH($A352,'2024_25'!$A:$A,0))*90,"")</f>
        <v/>
      </c>
      <c r="AA352" t="str">
        <f>IFERROR(INDEX('2025_26'!$M:$M,MATCH($A352,'2025_26'!$A:$A,0))/INDEX('2025_26'!$G:$G,MATCH($A352,'2025_26'!$A:$A,0))*90,"")</f>
        <v/>
      </c>
      <c r="AB352" t="str">
        <f>IFERROR(SUMPRODUCT(S352:U352,{0.2,0.3,0.5})/SUMPRODUCT(--(S352:U352&lt;&gt;""),{0.2,0.3,0.5}),"")</f>
        <v/>
      </c>
      <c r="AC352" t="str">
        <f>IFERROR(SUMPRODUCT(V352:X352,{0.2,0.3,0.5})/SUMPRODUCT(--(V352:X352&lt;&gt;""),{0.2,0.3,0.5}),"")</f>
        <v/>
      </c>
      <c r="AD352" t="str">
        <f>IFERROR(SUMPRODUCT(Y352:AA352,{0.2,0.3,0.5})/SUMPRODUCT((Y352:AA352&lt;&gt;"")*{0.2,0.3,0.5}),O352)</f>
        <v/>
      </c>
      <c r="AE352">
        <f t="shared" si="135"/>
        <v>0</v>
      </c>
      <c r="AF352" t="str">
        <f t="shared" si="136"/>
        <v/>
      </c>
      <c r="AG352">
        <f t="shared" si="137"/>
        <v>0</v>
      </c>
      <c r="AH352">
        <f t="shared" si="138"/>
        <v>0</v>
      </c>
      <c r="AI352" s="2">
        <f t="shared" si="139"/>
        <v>0</v>
      </c>
      <c r="AJ352">
        <f t="shared" si="140"/>
        <v>0</v>
      </c>
      <c r="AK352" t="str">
        <f t="shared" si="141"/>
        <v>YES</v>
      </c>
      <c r="AL352">
        <f t="shared" si="142"/>
        <v>0</v>
      </c>
      <c r="AM352">
        <f t="shared" si="143"/>
        <v>0</v>
      </c>
      <c r="AN352">
        <f t="shared" si="144"/>
        <v>0</v>
      </c>
      <c r="AO352">
        <f t="shared" si="145"/>
        <v>0</v>
      </c>
      <c r="AP352">
        <f t="array" ref="AP352">AL352*IF($C352="GKP",10,IF($C352="DEF",6,IF($C352="MID",5,4)))</f>
        <v>0</v>
      </c>
      <c r="AQ352">
        <f t="shared" si="146"/>
        <v>0</v>
      </c>
      <c r="AR352">
        <f t="shared" si="147"/>
        <v>0</v>
      </c>
      <c r="AS352" s="2">
        <f>IF($H352=0,0,Player_Analysis!$AM352*$H352/90)</f>
        <v>0</v>
      </c>
      <c r="AT352">
        <f t="shared" si="148"/>
        <v>0</v>
      </c>
      <c r="AU352" s="2">
        <f>0</f>
        <v>0</v>
      </c>
      <c r="AV352" s="2" t="str">
        <f>IF(INDEX(FPL_Raw_Data!K:K,MATCH(A352,FPL_Raw_Data!AA:AA,0))=0,"",INDEX(FPL_Raw_Data!P:P,MATCH(A352,FPL_Raw_Data!AA:AA,0))/INDEX(FPL_Raw_Data!K:K,MATCH(A352,FPL_Raw_Data!AA:AA,0))*90)</f>
        <v/>
      </c>
      <c r="AW352" s="2">
        <f t="shared" si="149"/>
        <v>0</v>
      </c>
      <c r="AX352" s="2">
        <f>IFERROR(INDEX(TEAM_ANALYSIS!$H$2:$H$21,MATCH($B352,TEAM_ANALYSIS!$A$2:$A$21,0)),0)</f>
        <v>0</v>
      </c>
      <c r="AY352" s="2">
        <f t="shared" si="150"/>
        <v>0</v>
      </c>
      <c r="AZ352" s="2">
        <f t="shared" si="151"/>
        <v>0</v>
      </c>
      <c r="BA352">
        <f t="shared" si="152"/>
        <v>0</v>
      </c>
      <c r="BB352">
        <f>IFERROR(Player_Analysis!$Y352,1)</f>
        <v>0.95496539792387547</v>
      </c>
      <c r="BC352">
        <f t="shared" si="153"/>
        <v>0</v>
      </c>
      <c r="BD352">
        <f t="shared" si="154"/>
        <v>0</v>
      </c>
      <c r="BE352">
        <f t="shared" si="155"/>
        <v>0</v>
      </c>
      <c r="BF352">
        <f t="shared" si="156"/>
        <v>253</v>
      </c>
      <c r="BG352">
        <f>IF($BE352="","",COUNTIFS($C$2:$C$596,$C352,$BE$2:$BE$596,"&gt;"&amp;$BE352)+COUNTIFS($C$2:$C352,$C352,$BE$2:$BE352,$BE352))</f>
        <v>53</v>
      </c>
    </row>
    <row r="353" spans="1:59" x14ac:dyDescent="0.25">
      <c r="A353" t="str">
        <f>Player_Analysis!A353</f>
        <v>Robinio Vaz</v>
      </c>
      <c r="B353">
        <f>Player_Analysis!C353</f>
        <v>11</v>
      </c>
      <c r="C353" t="str">
        <f>Player_Analysis!B353</f>
        <v>FWD</v>
      </c>
      <c r="D353" s="13">
        <f>Player_Analysis!E353</f>
        <v>5</v>
      </c>
      <c r="E353">
        <f>Player_Analysis!I353</f>
        <v>0</v>
      </c>
      <c r="F353" s="8">
        <f>Player_Analysis!Z353</f>
        <v>0</v>
      </c>
      <c r="G353" s="17">
        <f t="shared" si="131"/>
        <v>0</v>
      </c>
      <c r="H353">
        <f t="shared" si="132"/>
        <v>0</v>
      </c>
      <c r="I353" s="8">
        <f>Player_Analysis!AF353</f>
        <v>0</v>
      </c>
      <c r="J353" s="8">
        <f>Player_Analysis!AG353</f>
        <v>0</v>
      </c>
      <c r="K353">
        <f>Player_Analysis!O353</f>
        <v>0</v>
      </c>
      <c r="L353">
        <f>Player_Analysis!P353</f>
        <v>0</v>
      </c>
      <c r="M353" t="str">
        <f t="shared" si="133"/>
        <v/>
      </c>
      <c r="N353" t="str">
        <f t="shared" si="134"/>
        <v/>
      </c>
      <c r="O353" s="2" t="str">
        <f>IF(E353=0,"",Player_Analysis!L353/E353*90)</f>
        <v/>
      </c>
      <c r="P353" t="str">
        <f>IF(E353=0,"",Player_Analysis!Q353/E353*90)</f>
        <v/>
      </c>
      <c r="Q353" t="str">
        <f>IF(E353=0,"",(Player_Analysis!AD353/E353)*90)</f>
        <v/>
      </c>
      <c r="R353" t="str">
        <f>IF(E353=0,"",Player_Analysis!AA353/E353*90)</f>
        <v/>
      </c>
      <c r="S353" t="str">
        <f t="array" ref="S353">IFERROR(INDEX('2023_24'!$O:$O,MATCH($A353,'2023_24'!$A:$A,0)),"")</f>
        <v/>
      </c>
      <c r="T353" t="str">
        <f>IFERROR(INDEX('2024_25'!$P:$P,MATCH($A353,'2024_25'!$A:$A,0)),"")</f>
        <v/>
      </c>
      <c r="U353" t="str">
        <f>IFERROR(INDEX('2025_26'!$P:$P,MATCH($A353,'2025_26'!$A:$A,0)),"")</f>
        <v/>
      </c>
      <c r="V353" t="str">
        <f>IFERROR(INDEX('2023_24'!$P:$P,MATCH($A353,'2023_24'!$A:$A,0)),"")</f>
        <v/>
      </c>
      <c r="W353" t="str">
        <f>IFERROR(INDEX('2024_25'!$Q:$Q,MATCH($A353,'2024_25'!$A:$A,0)),"")</f>
        <v/>
      </c>
      <c r="X353" t="str">
        <f>IFERROR(INDEX('2025_26'!$Q:$Q,MATCH($A353,'2025_26'!$A:$A,0)),"")</f>
        <v/>
      </c>
      <c r="Y353" t="str">
        <f>IFERROR(INDEX('2023_24'!$M:$M,MATCH($A353,'2023_24'!$A:$A,0))/INDEX('2023_24'!$G:$G,MATCH($A353,'2023_24'!$A:$A,0))*90,"")</f>
        <v/>
      </c>
      <c r="Z353" t="str">
        <f>IFERROR(INDEX('2024_25'!$M:$M,MATCH($A353,'2024_25'!$A:$A,0))/INDEX('2024_25'!$G:$G,MATCH($A353,'2024_25'!$A:$A,0))*90,"")</f>
        <v/>
      </c>
      <c r="AA353" t="str">
        <f>IFERROR(INDEX('2025_26'!$M:$M,MATCH($A353,'2025_26'!$A:$A,0))/INDEX('2025_26'!$G:$G,MATCH($A353,'2025_26'!$A:$A,0))*90,"")</f>
        <v/>
      </c>
      <c r="AB353" t="str">
        <f>IFERROR(SUMPRODUCT(S353:U353,{0.2,0.3,0.5})/SUMPRODUCT(--(S353:U353&lt;&gt;""),{0.2,0.3,0.5}),"")</f>
        <v/>
      </c>
      <c r="AC353" t="str">
        <f>IFERROR(SUMPRODUCT(V353:X353,{0.2,0.3,0.5})/SUMPRODUCT(--(V353:X353&lt;&gt;""),{0.2,0.3,0.5}),"")</f>
        <v/>
      </c>
      <c r="AD353" t="str">
        <f>IFERROR(SUMPRODUCT(Y353:AA353,{0.2,0.3,0.5})/SUMPRODUCT((Y353:AA353&lt;&gt;"")*{0.2,0.3,0.5}),O353)</f>
        <v/>
      </c>
      <c r="AE353">
        <f t="shared" si="135"/>
        <v>0</v>
      </c>
      <c r="AF353" t="str">
        <f t="shared" si="136"/>
        <v/>
      </c>
      <c r="AG353">
        <f t="shared" si="137"/>
        <v>0</v>
      </c>
      <c r="AH353">
        <f t="shared" si="138"/>
        <v>0</v>
      </c>
      <c r="AI353" s="2">
        <f t="shared" si="139"/>
        <v>0</v>
      </c>
      <c r="AJ353">
        <f t="shared" si="140"/>
        <v>0</v>
      </c>
      <c r="AK353" t="str">
        <f t="shared" si="141"/>
        <v>YES</v>
      </c>
      <c r="AL353">
        <f t="shared" si="142"/>
        <v>0</v>
      </c>
      <c r="AM353">
        <f t="shared" si="143"/>
        <v>0</v>
      </c>
      <c r="AN353">
        <f t="shared" si="144"/>
        <v>0</v>
      </c>
      <c r="AO353">
        <f t="shared" si="145"/>
        <v>0</v>
      </c>
      <c r="AP353">
        <f t="array" ref="AP353">AL353*IF($C353="GKP",10,IF($C353="DEF",6,IF($C353="MID",5,4)))</f>
        <v>0</v>
      </c>
      <c r="AQ353">
        <f t="shared" si="146"/>
        <v>0</v>
      </c>
      <c r="AR353">
        <f t="shared" si="147"/>
        <v>0</v>
      </c>
      <c r="AS353" s="2">
        <f>IF($H353=0,0,Player_Analysis!$AM353*$H353/90)</f>
        <v>0</v>
      </c>
      <c r="AT353">
        <f t="shared" si="148"/>
        <v>0</v>
      </c>
      <c r="AU353" s="2">
        <f>0</f>
        <v>0</v>
      </c>
      <c r="AV353" s="2" t="str">
        <f>IF(INDEX(FPL_Raw_Data!K:K,MATCH(A353,FPL_Raw_Data!AA:AA,0))=0,"",INDEX(FPL_Raw_Data!P:P,MATCH(A353,FPL_Raw_Data!AA:AA,0))/INDEX(FPL_Raw_Data!K:K,MATCH(A353,FPL_Raw_Data!AA:AA,0))*90)</f>
        <v/>
      </c>
      <c r="AW353" s="2">
        <f t="shared" si="149"/>
        <v>0</v>
      </c>
      <c r="AX353" s="2">
        <f>IFERROR(INDEX(TEAM_ANALYSIS!$H$2:$H$21,MATCH($B353,TEAM_ANALYSIS!$A$2:$A$21,0)),0)</f>
        <v>0</v>
      </c>
      <c r="AY353" s="2">
        <f t="shared" si="150"/>
        <v>0</v>
      </c>
      <c r="AZ353" s="2">
        <f t="shared" si="151"/>
        <v>0</v>
      </c>
      <c r="BA353">
        <f t="shared" si="152"/>
        <v>0</v>
      </c>
      <c r="BB353">
        <f>IFERROR(Player_Analysis!$Y353,1)</f>
        <v>0.95496539792387547</v>
      </c>
      <c r="BC353">
        <f t="shared" si="153"/>
        <v>0</v>
      </c>
      <c r="BD353">
        <f t="shared" si="154"/>
        <v>0</v>
      </c>
      <c r="BE353">
        <f t="shared" si="155"/>
        <v>0</v>
      </c>
      <c r="BF353">
        <f t="shared" si="156"/>
        <v>253</v>
      </c>
      <c r="BG353">
        <f>IF($BE353="","",COUNTIFS($C$2:$C$596,$C353,$BE$2:$BE$596,"&gt;"&amp;$BE353)+COUNTIFS($C$2:$C353,$C353,$BE$2:$BE353,$BE353))</f>
        <v>54</v>
      </c>
    </row>
    <row r="354" spans="1:59" x14ac:dyDescent="0.25">
      <c r="A354" t="str">
        <f>Player_Analysis!A354</f>
        <v>Brooke Norton-Cuffy</v>
      </c>
      <c r="B354">
        <f>Player_Analysis!C354</f>
        <v>11</v>
      </c>
      <c r="C354" t="str">
        <f>Player_Analysis!B354</f>
        <v>DEF</v>
      </c>
      <c r="D354" s="13">
        <f>Player_Analysis!E354</f>
        <v>4</v>
      </c>
      <c r="E354">
        <f>Player_Analysis!I354</f>
        <v>26</v>
      </c>
      <c r="F354" s="8">
        <f>Player_Analysis!Z354</f>
        <v>0</v>
      </c>
      <c r="G354" s="17">
        <f t="shared" si="131"/>
        <v>0</v>
      </c>
      <c r="H354">
        <f t="shared" si="132"/>
        <v>0</v>
      </c>
      <c r="I354" s="8">
        <f>Player_Analysis!AF354</f>
        <v>0</v>
      </c>
      <c r="J354" s="8">
        <f>Player_Analysis!AG354</f>
        <v>0</v>
      </c>
      <c r="K354">
        <f>Player_Analysis!O354</f>
        <v>0</v>
      </c>
      <c r="L354">
        <f>Player_Analysis!P354</f>
        <v>0</v>
      </c>
      <c r="M354">
        <f t="shared" si="133"/>
        <v>0</v>
      </c>
      <c r="N354">
        <f t="shared" si="134"/>
        <v>0</v>
      </c>
      <c r="O354" s="2">
        <f>IF(E354=0,"",Player_Analysis!L354/E354*90)</f>
        <v>3.4615384615384617</v>
      </c>
      <c r="P354">
        <f>IF(E354=0,"",Player_Analysis!Q354/E354*90)</f>
        <v>0</v>
      </c>
      <c r="Q354">
        <f>IF(E354=0,"",(Player_Analysis!AD354/E354)*90)</f>
        <v>10.384615384615385</v>
      </c>
      <c r="R354">
        <f>IF(E354=0,"",Player_Analysis!AA354/E354*90)</f>
        <v>3.4615384615384617</v>
      </c>
      <c r="S354" t="str">
        <f t="array" ref="S354">IFERROR(INDEX('2023_24'!$O:$O,MATCH($A354,'2023_24'!$A:$A,0)),"")</f>
        <v/>
      </c>
      <c r="T354" t="str">
        <f>IFERROR(INDEX('2024_25'!$P:$P,MATCH($A354,'2024_25'!$A:$A,0)),"")</f>
        <v/>
      </c>
      <c r="U354" t="str">
        <f>IFERROR(INDEX('2025_26'!$P:$P,MATCH($A354,'2025_26'!$A:$A,0)),"")</f>
        <v/>
      </c>
      <c r="V354" t="str">
        <f>IFERROR(INDEX('2023_24'!$P:$P,MATCH($A354,'2023_24'!$A:$A,0)),"")</f>
        <v/>
      </c>
      <c r="W354" t="str">
        <f>IFERROR(INDEX('2024_25'!$Q:$Q,MATCH($A354,'2024_25'!$A:$A,0)),"")</f>
        <v/>
      </c>
      <c r="X354" t="str">
        <f>IFERROR(INDEX('2025_26'!$Q:$Q,MATCH($A354,'2025_26'!$A:$A,0)),"")</f>
        <v/>
      </c>
      <c r="Y354" t="str">
        <f>IFERROR(INDEX('2023_24'!$M:$M,MATCH($A354,'2023_24'!$A:$A,0))/INDEX('2023_24'!$G:$G,MATCH($A354,'2023_24'!$A:$A,0))*90,"")</f>
        <v/>
      </c>
      <c r="Z354" t="str">
        <f>IFERROR(INDEX('2024_25'!$M:$M,MATCH($A354,'2024_25'!$A:$A,0))/INDEX('2024_25'!$G:$G,MATCH($A354,'2024_25'!$A:$A,0))*90,"")</f>
        <v/>
      </c>
      <c r="AA354" t="str">
        <f>IFERROR(INDEX('2025_26'!$M:$M,MATCH($A354,'2025_26'!$A:$A,0))/INDEX('2025_26'!$G:$G,MATCH($A354,'2025_26'!$A:$A,0))*90,"")</f>
        <v/>
      </c>
      <c r="AB354" t="str">
        <f>IFERROR(SUMPRODUCT(S354:U354,{0.2,0.3,0.5})/SUMPRODUCT(--(S354:U354&lt;&gt;""),{0.2,0.3,0.5}),"")</f>
        <v/>
      </c>
      <c r="AC354" t="str">
        <f>IFERROR(SUMPRODUCT(V354:X354,{0.2,0.3,0.5})/SUMPRODUCT(--(V354:X354&lt;&gt;""),{0.2,0.3,0.5}),"")</f>
        <v/>
      </c>
      <c r="AD354">
        <f>IFERROR(SUMPRODUCT(Y354:AA354,{0.2,0.3,0.5})/SUMPRODUCT((Y354:AA354&lt;&gt;"")*{0.2,0.3,0.5}),O354)</f>
        <v>3.4615384615384617</v>
      </c>
      <c r="AE354">
        <f t="shared" si="135"/>
        <v>0</v>
      </c>
      <c r="AF354" t="str">
        <f t="shared" si="136"/>
        <v/>
      </c>
      <c r="AG354">
        <f t="shared" si="137"/>
        <v>0</v>
      </c>
      <c r="AH354">
        <f t="shared" si="138"/>
        <v>0</v>
      </c>
      <c r="AI354" s="2">
        <f t="shared" si="139"/>
        <v>3.4615384615384617</v>
      </c>
      <c r="AJ354">
        <f t="shared" si="140"/>
        <v>8.666666666666667E-2</v>
      </c>
      <c r="AK354" t="str">
        <f t="shared" si="141"/>
        <v>YES</v>
      </c>
      <c r="AL354">
        <f t="shared" si="142"/>
        <v>0</v>
      </c>
      <c r="AM354">
        <f t="shared" si="143"/>
        <v>0</v>
      </c>
      <c r="AN354">
        <f t="shared" si="144"/>
        <v>0</v>
      </c>
      <c r="AO354">
        <f t="shared" si="145"/>
        <v>0</v>
      </c>
      <c r="AP354">
        <f t="array" ref="AP354">AL354*IF($C354="GKP",10,IF($C354="DEF",6,IF($C354="MID",5,4)))</f>
        <v>0</v>
      </c>
      <c r="AQ354">
        <f t="shared" si="146"/>
        <v>0</v>
      </c>
      <c r="AR354">
        <f t="shared" si="147"/>
        <v>0</v>
      </c>
      <c r="AS354" s="2">
        <f>IF($H354=0,0,Player_Analysis!$AM354*$H354/90)</f>
        <v>0</v>
      </c>
      <c r="AT354">
        <f t="shared" si="148"/>
        <v>0</v>
      </c>
      <c r="AU354" s="2">
        <f>0</f>
        <v>0</v>
      </c>
      <c r="AV354" s="2">
        <f>IF(INDEX(FPL_Raw_Data!K:K,MATCH(A354,FPL_Raw_Data!AA:AA,0))=0,"",INDEX(FPL_Raw_Data!P:P,MATCH(A354,FPL_Raw_Data!AA:AA,0))/INDEX(FPL_Raw_Data!K:K,MATCH(A354,FPL_Raw_Data!AA:AA,0))*90)</f>
        <v>0</v>
      </c>
      <c r="AW354" s="2">
        <f t="shared" si="149"/>
        <v>0</v>
      </c>
      <c r="AX354" s="2">
        <f>IFERROR(INDEX(TEAM_ANALYSIS!$H$2:$H$21,MATCH($B354,TEAM_ANALYSIS!$A$2:$A$21,0)),0)</f>
        <v>0</v>
      </c>
      <c r="AY354" s="2">
        <f t="shared" si="150"/>
        <v>0</v>
      </c>
      <c r="AZ354" s="2">
        <f t="shared" si="151"/>
        <v>0</v>
      </c>
      <c r="BA354">
        <f t="shared" si="152"/>
        <v>0</v>
      </c>
      <c r="BB354">
        <f>IFERROR(Player_Analysis!$Y354,1)</f>
        <v>1.1999999999999997</v>
      </c>
      <c r="BC354">
        <f t="shared" si="153"/>
        <v>0</v>
      </c>
      <c r="BD354">
        <f t="shared" si="154"/>
        <v>0</v>
      </c>
      <c r="BE354">
        <f t="shared" si="155"/>
        <v>0</v>
      </c>
      <c r="BF354">
        <f t="shared" si="156"/>
        <v>253</v>
      </c>
      <c r="BG354">
        <f>IF($BE354="","",COUNTIFS($C$2:$C$596,$C354,$BE$2:$BE$596,"&gt;"&amp;$BE354)+COUNTIFS($C$2:$C354,$C354,$BE$2:$BE354,$BE354))</f>
        <v>104</v>
      </c>
    </row>
    <row r="355" spans="1:59" x14ac:dyDescent="0.25">
      <c r="A355" t="str">
        <f>Player_Analysis!A355</f>
        <v>Sorba Thomas</v>
      </c>
      <c r="B355">
        <f>Player_Analysis!C355</f>
        <v>11</v>
      </c>
      <c r="C355" t="str">
        <f>Player_Analysis!B355</f>
        <v>MID</v>
      </c>
      <c r="D355" s="13">
        <f>Player_Analysis!E355</f>
        <v>5.5</v>
      </c>
      <c r="E355">
        <f>Player_Analysis!I355</f>
        <v>27</v>
      </c>
      <c r="F355" s="8">
        <f>Player_Analysis!Z355</f>
        <v>0</v>
      </c>
      <c r="G355" s="17">
        <f t="shared" si="131"/>
        <v>0</v>
      </c>
      <c r="H355">
        <f t="shared" si="132"/>
        <v>0</v>
      </c>
      <c r="I355" s="8">
        <f>Player_Analysis!AF355</f>
        <v>0</v>
      </c>
      <c r="J355" s="8">
        <f>Player_Analysis!AG355</f>
        <v>0</v>
      </c>
      <c r="K355">
        <f>Player_Analysis!O355</f>
        <v>0</v>
      </c>
      <c r="L355">
        <f>Player_Analysis!P355</f>
        <v>0.04</v>
      </c>
      <c r="M355">
        <f t="shared" si="133"/>
        <v>0</v>
      </c>
      <c r="N355">
        <f t="shared" si="134"/>
        <v>0.13333333333333333</v>
      </c>
      <c r="O355" s="2">
        <f>IF(E355=0,"",Player_Analysis!L355/E355*90)</f>
        <v>3.333333333333333</v>
      </c>
      <c r="P355">
        <f>IF(E355=0,"",Player_Analysis!Q355/E355*90)</f>
        <v>0.13333333333333333</v>
      </c>
      <c r="Q355">
        <f>IF(E355=0,"",(Player_Analysis!AD355/E355)*90)</f>
        <v>16.666666666666664</v>
      </c>
      <c r="R355">
        <f>IF(E355=0,"",Player_Analysis!AA355/E355*90)</f>
        <v>3.333333333333333</v>
      </c>
      <c r="S355" t="str">
        <f t="array" ref="S355">IFERROR(INDEX('2023_24'!$O:$O,MATCH($A355,'2023_24'!$A:$A,0)),"")</f>
        <v/>
      </c>
      <c r="T355" t="str">
        <f>IFERROR(INDEX('2024_25'!$P:$P,MATCH($A355,'2024_25'!$A:$A,0)),"")</f>
        <v/>
      </c>
      <c r="U355" t="str">
        <f>IFERROR(INDEX('2025_26'!$P:$P,MATCH($A355,'2025_26'!$A:$A,0)),"")</f>
        <v/>
      </c>
      <c r="V355" t="str">
        <f>IFERROR(INDEX('2023_24'!$P:$P,MATCH($A355,'2023_24'!$A:$A,0)),"")</f>
        <v/>
      </c>
      <c r="W355" t="str">
        <f>IFERROR(INDEX('2024_25'!$Q:$Q,MATCH($A355,'2024_25'!$A:$A,0)),"")</f>
        <v/>
      </c>
      <c r="X355" t="str">
        <f>IFERROR(INDEX('2025_26'!$Q:$Q,MATCH($A355,'2025_26'!$A:$A,0)),"")</f>
        <v/>
      </c>
      <c r="Y355" t="str">
        <f>IFERROR(INDEX('2023_24'!$M:$M,MATCH($A355,'2023_24'!$A:$A,0))/INDEX('2023_24'!$G:$G,MATCH($A355,'2023_24'!$A:$A,0))*90,"")</f>
        <v/>
      </c>
      <c r="Z355" t="str">
        <f>IFERROR(INDEX('2024_25'!$M:$M,MATCH($A355,'2024_25'!$A:$A,0))/INDEX('2024_25'!$G:$G,MATCH($A355,'2024_25'!$A:$A,0))*90,"")</f>
        <v/>
      </c>
      <c r="AA355" t="str">
        <f>IFERROR(INDEX('2025_26'!$M:$M,MATCH($A355,'2025_26'!$A:$A,0))/INDEX('2025_26'!$G:$G,MATCH($A355,'2025_26'!$A:$A,0))*90,"")</f>
        <v/>
      </c>
      <c r="AB355" t="str">
        <f>IFERROR(SUMPRODUCT(S355:U355,{0.2,0.3,0.5})/SUMPRODUCT(--(S355:U355&lt;&gt;""),{0.2,0.3,0.5}),"")</f>
        <v/>
      </c>
      <c r="AC355" t="str">
        <f>IFERROR(SUMPRODUCT(V355:X355,{0.2,0.3,0.5})/SUMPRODUCT(--(V355:X355&lt;&gt;""),{0.2,0.3,0.5}),"")</f>
        <v/>
      </c>
      <c r="AD355">
        <f>IFERROR(SUMPRODUCT(Y355:AA355,{0.2,0.3,0.5})/SUMPRODUCT((Y355:AA355&lt;&gt;"")*{0.2,0.3,0.5}),O355)</f>
        <v>3.333333333333333</v>
      </c>
      <c r="AE355">
        <f t="shared" si="135"/>
        <v>0</v>
      </c>
      <c r="AF355" t="str">
        <f t="shared" si="136"/>
        <v/>
      </c>
      <c r="AG355">
        <f t="shared" si="137"/>
        <v>0</v>
      </c>
      <c r="AH355">
        <f t="shared" si="138"/>
        <v>0.13333333333333333</v>
      </c>
      <c r="AI355" s="2">
        <f t="shared" si="139"/>
        <v>3.333333333333333</v>
      </c>
      <c r="AJ355">
        <f t="shared" si="140"/>
        <v>0.09</v>
      </c>
      <c r="AK355" t="str">
        <f t="shared" si="141"/>
        <v>YES</v>
      </c>
      <c r="AL355">
        <f t="shared" si="142"/>
        <v>0</v>
      </c>
      <c r="AM355">
        <f t="shared" si="143"/>
        <v>0</v>
      </c>
      <c r="AN355">
        <f t="shared" si="144"/>
        <v>0</v>
      </c>
      <c r="AO355">
        <f t="shared" si="145"/>
        <v>0</v>
      </c>
      <c r="AP355">
        <f t="array" ref="AP355">AL355*IF($C355="GKP",10,IF($C355="DEF",6,IF($C355="MID",5,4)))</f>
        <v>0</v>
      </c>
      <c r="AQ355">
        <f t="shared" si="146"/>
        <v>0</v>
      </c>
      <c r="AR355">
        <f t="shared" si="147"/>
        <v>0</v>
      </c>
      <c r="AS355" s="2">
        <f>IF($H355=0,0,Player_Analysis!$AM355*$H355/90)</f>
        <v>0</v>
      </c>
      <c r="AT355">
        <f t="shared" si="148"/>
        <v>0</v>
      </c>
      <c r="AU355" s="2">
        <f>0</f>
        <v>0</v>
      </c>
      <c r="AV355" s="2">
        <f>IF(INDEX(FPL_Raw_Data!K:K,MATCH(A355,FPL_Raw_Data!AA:AA,0))=0,"",INDEX(FPL_Raw_Data!P:P,MATCH(A355,FPL_Raw_Data!AA:AA,0))/INDEX(FPL_Raw_Data!K:K,MATCH(A355,FPL_Raw_Data!AA:AA,0))*90)</f>
        <v>0</v>
      </c>
      <c r="AW355" s="2">
        <f t="shared" si="149"/>
        <v>0</v>
      </c>
      <c r="AX355" s="2">
        <f>IFERROR(INDEX(TEAM_ANALYSIS!$H$2:$H$21,MATCH($B355,TEAM_ANALYSIS!$A$2:$A$21,0)),0)</f>
        <v>0</v>
      </c>
      <c r="AY355" s="2">
        <f t="shared" si="150"/>
        <v>0</v>
      </c>
      <c r="AZ355" s="2">
        <f t="shared" si="151"/>
        <v>0</v>
      </c>
      <c r="BA355">
        <f t="shared" si="152"/>
        <v>0</v>
      </c>
      <c r="BB355">
        <f>IFERROR(Player_Analysis!$Y355,1)</f>
        <v>0.95496539792387547</v>
      </c>
      <c r="BC355">
        <f t="shared" si="153"/>
        <v>0</v>
      </c>
      <c r="BD355">
        <f t="shared" si="154"/>
        <v>0</v>
      </c>
      <c r="BE355">
        <f t="shared" si="155"/>
        <v>0</v>
      </c>
      <c r="BF355">
        <f t="shared" si="156"/>
        <v>253</v>
      </c>
      <c r="BG355">
        <f>IF($BE355="","",COUNTIFS($C$2:$C$596,$C355,$BE$2:$BE$596,"&gt;"&amp;$BE355)+COUNTIFS($C$2:$C355,$C355,$BE$2:$BE355,$BE355))</f>
        <v>204</v>
      </c>
    </row>
    <row r="356" spans="1:59" x14ac:dyDescent="0.25">
      <c r="A356" t="str">
        <f>Player_Analysis!A356</f>
        <v>Christos Mouzakitis</v>
      </c>
      <c r="B356">
        <f>Player_Analysis!C356</f>
        <v>11</v>
      </c>
      <c r="C356" t="str">
        <f>Player_Analysis!B356</f>
        <v>MID</v>
      </c>
      <c r="D356" s="13">
        <f>Player_Analysis!E356</f>
        <v>5</v>
      </c>
      <c r="E356">
        <f>Player_Analysis!I356</f>
        <v>0</v>
      </c>
      <c r="F356" s="8">
        <f>Player_Analysis!Z356</f>
        <v>0</v>
      </c>
      <c r="G356" s="17">
        <f t="shared" si="131"/>
        <v>0</v>
      </c>
      <c r="H356">
        <f t="shared" si="132"/>
        <v>0</v>
      </c>
      <c r="I356" s="8">
        <f>Player_Analysis!AF356</f>
        <v>0</v>
      </c>
      <c r="J356" s="8">
        <f>Player_Analysis!AG356</f>
        <v>0</v>
      </c>
      <c r="K356">
        <f>Player_Analysis!O356</f>
        <v>0</v>
      </c>
      <c r="L356">
        <f>Player_Analysis!P356</f>
        <v>0</v>
      </c>
      <c r="M356" t="str">
        <f t="shared" si="133"/>
        <v/>
      </c>
      <c r="N356" t="str">
        <f t="shared" si="134"/>
        <v/>
      </c>
      <c r="O356" s="2" t="str">
        <f>IF(E356=0,"",Player_Analysis!L356/E356*90)</f>
        <v/>
      </c>
      <c r="P356" t="str">
        <f>IF(E356=0,"",Player_Analysis!Q356/E356*90)</f>
        <v/>
      </c>
      <c r="Q356" t="str">
        <f>IF(E356=0,"",(Player_Analysis!AD356/E356)*90)</f>
        <v/>
      </c>
      <c r="R356" t="str">
        <f>IF(E356=0,"",Player_Analysis!AA356/E356*90)</f>
        <v/>
      </c>
      <c r="S356" t="str">
        <f t="array" ref="S356">IFERROR(INDEX('2023_24'!$O:$O,MATCH($A356,'2023_24'!$A:$A,0)),"")</f>
        <v/>
      </c>
      <c r="T356" t="str">
        <f>IFERROR(INDEX('2024_25'!$P:$P,MATCH($A356,'2024_25'!$A:$A,0)),"")</f>
        <v/>
      </c>
      <c r="U356" t="str">
        <f>IFERROR(INDEX('2025_26'!$P:$P,MATCH($A356,'2025_26'!$A:$A,0)),"")</f>
        <v/>
      </c>
      <c r="V356" t="str">
        <f>IFERROR(INDEX('2023_24'!$P:$P,MATCH($A356,'2023_24'!$A:$A,0)),"")</f>
        <v/>
      </c>
      <c r="W356" t="str">
        <f>IFERROR(INDEX('2024_25'!$Q:$Q,MATCH($A356,'2024_25'!$A:$A,0)),"")</f>
        <v/>
      </c>
      <c r="X356" t="str">
        <f>IFERROR(INDEX('2025_26'!$Q:$Q,MATCH($A356,'2025_26'!$A:$A,0)),"")</f>
        <v/>
      </c>
      <c r="Y356" t="str">
        <f>IFERROR(INDEX('2023_24'!$M:$M,MATCH($A356,'2023_24'!$A:$A,0))/INDEX('2023_24'!$G:$G,MATCH($A356,'2023_24'!$A:$A,0))*90,"")</f>
        <v/>
      </c>
      <c r="Z356" t="str">
        <f>IFERROR(INDEX('2024_25'!$M:$M,MATCH($A356,'2024_25'!$A:$A,0))/INDEX('2024_25'!$G:$G,MATCH($A356,'2024_25'!$A:$A,0))*90,"")</f>
        <v/>
      </c>
      <c r="AA356" t="str">
        <f>IFERROR(INDEX('2025_26'!$M:$M,MATCH($A356,'2025_26'!$A:$A,0))/INDEX('2025_26'!$G:$G,MATCH($A356,'2025_26'!$A:$A,0))*90,"")</f>
        <v/>
      </c>
      <c r="AB356" t="str">
        <f>IFERROR(SUMPRODUCT(S356:U356,{0.2,0.3,0.5})/SUMPRODUCT(--(S356:U356&lt;&gt;""),{0.2,0.3,0.5}),"")</f>
        <v/>
      </c>
      <c r="AC356" t="str">
        <f>IFERROR(SUMPRODUCT(V356:X356,{0.2,0.3,0.5})/SUMPRODUCT(--(V356:X356&lt;&gt;""),{0.2,0.3,0.5}),"")</f>
        <v/>
      </c>
      <c r="AD356" t="str">
        <f>IFERROR(SUMPRODUCT(Y356:AA356,{0.2,0.3,0.5})/SUMPRODUCT((Y356:AA356&lt;&gt;"")*{0.2,0.3,0.5}),O356)</f>
        <v/>
      </c>
      <c r="AE356">
        <f t="shared" si="135"/>
        <v>0</v>
      </c>
      <c r="AF356" t="str">
        <f t="shared" si="136"/>
        <v/>
      </c>
      <c r="AG356">
        <f t="shared" si="137"/>
        <v>0</v>
      </c>
      <c r="AH356">
        <f t="shared" si="138"/>
        <v>0</v>
      </c>
      <c r="AI356" s="2">
        <f t="shared" si="139"/>
        <v>0</v>
      </c>
      <c r="AJ356">
        <f t="shared" si="140"/>
        <v>0</v>
      </c>
      <c r="AK356" t="str">
        <f t="shared" si="141"/>
        <v>YES</v>
      </c>
      <c r="AL356">
        <f t="shared" si="142"/>
        <v>0</v>
      </c>
      <c r="AM356">
        <f t="shared" si="143"/>
        <v>0</v>
      </c>
      <c r="AN356">
        <f t="shared" si="144"/>
        <v>0</v>
      </c>
      <c r="AO356">
        <f t="shared" si="145"/>
        <v>0</v>
      </c>
      <c r="AP356">
        <f t="array" ref="AP356">AL356*IF($C356="GKP",10,IF($C356="DEF",6,IF($C356="MID",5,4)))</f>
        <v>0</v>
      </c>
      <c r="AQ356">
        <f t="shared" si="146"/>
        <v>0</v>
      </c>
      <c r="AR356">
        <f t="shared" si="147"/>
        <v>0</v>
      </c>
      <c r="AS356" s="2">
        <f>IF($H356=0,0,Player_Analysis!$AM356*$H356/90)</f>
        <v>0</v>
      </c>
      <c r="AT356">
        <f t="shared" si="148"/>
        <v>0</v>
      </c>
      <c r="AU356" s="2">
        <f>0</f>
        <v>0</v>
      </c>
      <c r="AV356" s="2" t="str">
        <f>IF(INDEX(FPL_Raw_Data!K:K,MATCH(A356,FPL_Raw_Data!AA:AA,0))=0,"",INDEX(FPL_Raw_Data!P:P,MATCH(A356,FPL_Raw_Data!AA:AA,0))/INDEX(FPL_Raw_Data!K:K,MATCH(A356,FPL_Raw_Data!AA:AA,0))*90)</f>
        <v/>
      </c>
      <c r="AW356" s="2">
        <f t="shared" si="149"/>
        <v>0</v>
      </c>
      <c r="AX356" s="2">
        <f>IFERROR(INDEX(TEAM_ANALYSIS!$H$2:$H$21,MATCH($B356,TEAM_ANALYSIS!$A$2:$A$21,0)),0)</f>
        <v>0</v>
      </c>
      <c r="AY356" s="2">
        <f t="shared" si="150"/>
        <v>0</v>
      </c>
      <c r="AZ356" s="2">
        <f t="shared" si="151"/>
        <v>0</v>
      </c>
      <c r="BA356">
        <f t="shared" si="152"/>
        <v>0</v>
      </c>
      <c r="BB356">
        <f>IFERROR(Player_Analysis!$Y356,1)</f>
        <v>0.95496539792387547</v>
      </c>
      <c r="BC356">
        <f t="shared" si="153"/>
        <v>0</v>
      </c>
      <c r="BD356">
        <f t="shared" si="154"/>
        <v>0</v>
      </c>
      <c r="BE356">
        <f t="shared" si="155"/>
        <v>0</v>
      </c>
      <c r="BF356">
        <f t="shared" si="156"/>
        <v>253</v>
      </c>
      <c r="BG356">
        <f>IF($BE356="","",COUNTIFS($C$2:$C$596,$C356,$BE$2:$BE$596,"&gt;"&amp;$BE356)+COUNTIFS($C$2:$C356,$C356,$BE$2:$BE356,$BE356))</f>
        <v>205</v>
      </c>
    </row>
    <row r="357" spans="1:59" x14ac:dyDescent="0.25">
      <c r="A357" t="str">
        <f>Player_Analysis!A357</f>
        <v>Issa Diop</v>
      </c>
      <c r="B357">
        <f>Player_Analysis!C357</f>
        <v>12</v>
      </c>
      <c r="C357" t="str">
        <f>Player_Analysis!B357</f>
        <v>DEF</v>
      </c>
      <c r="D357" s="13">
        <f>Player_Analysis!E357</f>
        <v>4</v>
      </c>
      <c r="E357">
        <f>Player_Analysis!I357</f>
        <v>270</v>
      </c>
      <c r="F357" s="8">
        <f>Player_Analysis!Z357</f>
        <v>3</v>
      </c>
      <c r="G357" s="17">
        <f t="shared" si="131"/>
        <v>1</v>
      </c>
      <c r="H357">
        <f t="shared" si="132"/>
        <v>90</v>
      </c>
      <c r="I357" s="8">
        <f>Player_Analysis!AF357</f>
        <v>0</v>
      </c>
      <c r="J357" s="8">
        <f>Player_Analysis!AG357</f>
        <v>0</v>
      </c>
      <c r="K357">
        <f>Player_Analysis!O357</f>
        <v>0</v>
      </c>
      <c r="L357">
        <f>Player_Analysis!P357</f>
        <v>0.02</v>
      </c>
      <c r="M357">
        <f t="shared" si="133"/>
        <v>0</v>
      </c>
      <c r="N357">
        <f t="shared" si="134"/>
        <v>6.6666666666666662E-3</v>
      </c>
      <c r="O357" s="2">
        <f>IF(E357=0,"",Player_Analysis!L357/E357*90)</f>
        <v>2.3333333333333335</v>
      </c>
      <c r="P357">
        <f>IF(E357=0,"",Player_Analysis!Q357/E357*90)</f>
        <v>6.6666666666666662E-3</v>
      </c>
      <c r="Q357">
        <f>IF(E357=0,"",(Player_Analysis!AD357/E357)*90)</f>
        <v>8</v>
      </c>
      <c r="R357">
        <f>IF(E357=0,"",Player_Analysis!AA357/E357*90)</f>
        <v>9.3333333333333339</v>
      </c>
      <c r="S357">
        <f t="array" ref="S357">IFERROR(INDEX('2023_24'!$O:$O,MATCH($A357,'2023_24'!$A:$A,0)),"")</f>
        <v>1.6444132115249473E-2</v>
      </c>
      <c r="T357">
        <f>IFERROR(INDEX('2024_25'!$P:$P,MATCH($A357,'2024_25'!$A:$A,0)),"")</f>
        <v>3.440779610194903E-2</v>
      </c>
      <c r="U357">
        <f>IFERROR(INDEX('2025_26'!$P:$P,MATCH($A357,'2025_26'!$A:$A,0)),"")</f>
        <v>8.8669950738916273E-2</v>
      </c>
      <c r="V357">
        <f>IFERROR(INDEX('2023_24'!$P:$P,MATCH($A357,'2023_24'!$A:$A,0)),"")</f>
        <v>2.656359803232607E-2</v>
      </c>
      <c r="W357">
        <f>IFERROR(INDEX('2024_25'!$Q:$Q,MATCH($A357,'2024_25'!$A:$A,0)),"")</f>
        <v>4.7226386806596705E-3</v>
      </c>
      <c r="X357">
        <f>IFERROR(INDEX('2025_26'!$Q:$Q,MATCH($A357,'2025_26'!$A:$A,0)),"")</f>
        <v>5.541871921182267E-3</v>
      </c>
      <c r="Y357">
        <f>IFERROR(INDEX('2023_24'!$M:$M,MATCH($A357,'2023_24'!$A:$A,0))/INDEX('2023_24'!$G:$G,MATCH($A357,'2023_24'!$A:$A,0))*90,"")</f>
        <v>2.7196064652143361</v>
      </c>
      <c r="Z357">
        <f>IFERROR(INDEX('2024_25'!$M:$M,MATCH($A357,'2024_25'!$A:$A,0))/INDEX('2024_25'!$G:$G,MATCH($A357,'2024_25'!$A:$A,0))*90,"")</f>
        <v>2.0914542728635683</v>
      </c>
      <c r="AA357">
        <f>IFERROR(INDEX('2025_26'!$M:$M,MATCH($A357,'2025_26'!$A:$A,0))/INDEX('2025_26'!$G:$G,MATCH($A357,'2025_26'!$A:$A,0))*90,"")</f>
        <v>3.4359605911330049</v>
      </c>
      <c r="AB357">
        <f>IFERROR(SUMPRODUCT(S357:U357,{0.2,0.3,0.5})/SUMPRODUCT(--(S357:U357&lt;&gt;""),{0.2,0.3,0.5}),"")</f>
        <v>5.7946140623092737E-2</v>
      </c>
      <c r="AC357">
        <f>IFERROR(SUMPRODUCT(V357:X357,{0.2,0.3,0.5})/SUMPRODUCT(--(V357:X357&lt;&gt;""),{0.2,0.3,0.5}),"")</f>
        <v>9.500447171254249E-3</v>
      </c>
      <c r="AD357">
        <f>IFERROR(SUMPRODUCT(Y357:AA357,{0.2,0.3,0.5})/SUMPRODUCT((Y357:AA357&lt;&gt;"")*{0.2,0.3,0.5}),O357)</f>
        <v>2.8893378704684403</v>
      </c>
      <c r="AE357">
        <f t="shared" si="135"/>
        <v>3</v>
      </c>
      <c r="AF357">
        <f t="shared" si="136"/>
        <v>90</v>
      </c>
      <c r="AG357">
        <f t="shared" si="137"/>
        <v>5.7946140623092723E-3</v>
      </c>
      <c r="AH357">
        <f t="shared" si="138"/>
        <v>6.9500447171254249E-3</v>
      </c>
      <c r="AI357" s="2">
        <f t="shared" si="139"/>
        <v>2.3889337870468439</v>
      </c>
      <c r="AJ357">
        <f t="shared" si="140"/>
        <v>0.9</v>
      </c>
      <c r="AK357" t="str">
        <f t="shared" si="141"/>
        <v>NO</v>
      </c>
      <c r="AL357">
        <f t="shared" si="142"/>
        <v>5.7946140623092732E-3</v>
      </c>
      <c r="AM357">
        <f t="shared" si="143"/>
        <v>6.9500447171254257E-3</v>
      </c>
      <c r="AN357">
        <f t="shared" si="144"/>
        <v>5.7946140623092732E-3</v>
      </c>
      <c r="AO357">
        <f t="shared" si="145"/>
        <v>6.9500447171254257E-3</v>
      </c>
      <c r="AP357">
        <f t="array" ref="AP357">AL357*IF($C357="GKP",10,IF($C357="DEF",6,IF($C357="MID",5,4)))</f>
        <v>3.4767684373855641E-2</v>
      </c>
      <c r="AQ357">
        <f t="shared" si="146"/>
        <v>2.0850134151376279E-2</v>
      </c>
      <c r="AR357">
        <f t="shared" si="147"/>
        <v>2</v>
      </c>
      <c r="AS357" s="2">
        <f>IF($H357=0,0,Player_Analysis!$AM357*$H357/90)</f>
        <v>0</v>
      </c>
      <c r="AT357">
        <f t="shared" si="148"/>
        <v>1.8666666666666667</v>
      </c>
      <c r="AU357" s="2">
        <f>0</f>
        <v>0</v>
      </c>
      <c r="AV357" s="2">
        <f>IF(INDEX(FPL_Raw_Data!K:K,MATCH(A357,FPL_Raw_Data!AA:AA,0))=0,"",INDEX(FPL_Raw_Data!P:P,MATCH(A357,FPL_Raw_Data!AA:AA,0))/INDEX(FPL_Raw_Data!K:K,MATCH(A357,FPL_Raw_Data!AA:AA,0))*90)</f>
        <v>0</v>
      </c>
      <c r="AW357" s="2">
        <f t="shared" si="149"/>
        <v>0</v>
      </c>
      <c r="AX357" s="2">
        <f>IFERROR(INDEX(TEAM_ANALYSIS!$H$2:$H$21,MATCH($B357,TEAM_ANALYSIS!$A$2:$A$21,0)),0)</f>
        <v>2.6666666666666665</v>
      </c>
      <c r="AY357" s="2">
        <f t="shared" si="150"/>
        <v>-1.3333333333333333</v>
      </c>
      <c r="AZ357" s="2">
        <f t="shared" si="151"/>
        <v>2.5889511518585655</v>
      </c>
      <c r="BA357">
        <f t="shared" si="152"/>
        <v>0.64723778796464138</v>
      </c>
      <c r="BB357">
        <f>IFERROR(Player_Analysis!$Y357,1)</f>
        <v>0.81436734693877555</v>
      </c>
      <c r="BC357">
        <f t="shared" si="153"/>
        <v>2.1083572808931468</v>
      </c>
      <c r="BD357">
        <f t="shared" si="154"/>
        <v>1.3646085027244264</v>
      </c>
      <c r="BE357">
        <f t="shared" si="155"/>
        <v>2.1083572808931468</v>
      </c>
      <c r="BF357">
        <f t="shared" si="156"/>
        <v>240</v>
      </c>
      <c r="BG357">
        <f>IF($BE357="","",COUNTIFS($C$2:$C$596,$C357,$BE$2:$BE$596,"&gt;"&amp;$BE357)+COUNTIFS($C$2:$C357,$C357,$BE$2:$BE357,$BE357))</f>
        <v>85</v>
      </c>
    </row>
    <row r="358" spans="1:59" x14ac:dyDescent="0.25">
      <c r="A358" t="str">
        <f>Player_Analysis!A358</f>
        <v>Saša Lukić</v>
      </c>
      <c r="B358">
        <f>Player_Analysis!C358</f>
        <v>12</v>
      </c>
      <c r="C358" t="str">
        <f>Player_Analysis!B358</f>
        <v>MID</v>
      </c>
      <c r="D358" s="13">
        <f>Player_Analysis!E358</f>
        <v>5</v>
      </c>
      <c r="E358">
        <f>Player_Analysis!I358</f>
        <v>252</v>
      </c>
      <c r="F358" s="8">
        <f>Player_Analysis!Z358</f>
        <v>3</v>
      </c>
      <c r="G358" s="17">
        <f t="shared" si="131"/>
        <v>1</v>
      </c>
      <c r="H358">
        <f t="shared" si="132"/>
        <v>90</v>
      </c>
      <c r="I358" s="8">
        <f>Player_Analysis!AF358</f>
        <v>0</v>
      </c>
      <c r="J358" s="8">
        <f>Player_Analysis!AG358</f>
        <v>1</v>
      </c>
      <c r="K358">
        <f>Player_Analysis!O358</f>
        <v>0.02</v>
      </c>
      <c r="L358">
        <f>Player_Analysis!P358</f>
        <v>0.06</v>
      </c>
      <c r="M358">
        <f t="shared" si="133"/>
        <v>7.1428571428571426E-3</v>
      </c>
      <c r="N358">
        <f t="shared" si="134"/>
        <v>2.1428571428571429E-2</v>
      </c>
      <c r="O358" s="2">
        <f>IF(E358=0,"",Player_Analysis!L358/E358*90)</f>
        <v>2.8571428571428568</v>
      </c>
      <c r="P358">
        <f>IF(E358=0,"",Player_Analysis!Q358/E358*90)</f>
        <v>2.8571428571428571E-2</v>
      </c>
      <c r="Q358">
        <f>IF(E358=0,"",(Player_Analysis!AD358/E358)*90)</f>
        <v>16.428571428571427</v>
      </c>
      <c r="R358">
        <f>IF(E358=0,"",Player_Analysis!AA358/E358*90)</f>
        <v>7.5</v>
      </c>
      <c r="S358">
        <f t="array" ref="S358">IFERROR(INDEX('2023_24'!$O:$O,MATCH($A358,'2023_24'!$A:$A,0)),"")</f>
        <v>0.12048517520215635</v>
      </c>
      <c r="T358">
        <f>IFERROR(INDEX('2024_25'!$P:$P,MATCH($A358,'2024_25'!$A:$A,0)),"")</f>
        <v>4.4463373083475297E-2</v>
      </c>
      <c r="U358">
        <f>IFERROR(INDEX('2025_26'!$P:$P,MATCH($A358,'2025_26'!$A:$A,0)),"")</f>
        <v>0.11601156069364163</v>
      </c>
      <c r="V358">
        <f>IFERROR(INDEX('2023_24'!$P:$P,MATCH($A358,'2023_24'!$A:$A,0)),"")</f>
        <v>3.7196765498652293E-2</v>
      </c>
      <c r="W358">
        <f>IFERROR(INDEX('2024_25'!$Q:$Q,MATCH($A358,'2024_25'!$A:$A,0)),"")</f>
        <v>5.3662691652470181E-2</v>
      </c>
      <c r="X358">
        <f>IFERROR(INDEX('2025_26'!$Q:$Q,MATCH($A358,'2025_26'!$A:$A,0)),"")</f>
        <v>9.9364161849710989E-2</v>
      </c>
      <c r="Y358">
        <f>IFERROR(INDEX('2023_24'!$M:$M,MATCH($A358,'2023_24'!$A:$A,0))/INDEX('2023_24'!$G:$G,MATCH($A358,'2023_24'!$A:$A,0))*90,"")</f>
        <v>3.477088948787062</v>
      </c>
      <c r="Z358">
        <f>IFERROR(INDEX('2024_25'!$M:$M,MATCH($A358,'2024_25'!$A:$A,0))/INDEX('2024_25'!$G:$G,MATCH($A358,'2024_25'!$A:$A,0))*90,"")</f>
        <v>2.1465076660988074</v>
      </c>
      <c r="AA358">
        <f>IFERROR(INDEX('2025_26'!$M:$M,MATCH($A358,'2025_26'!$A:$A,0))/INDEX('2025_26'!$G:$G,MATCH($A358,'2025_26'!$A:$A,0))*90,"")</f>
        <v>3.4855491329479769</v>
      </c>
      <c r="AB358">
        <f>IFERROR(SUMPRODUCT(S358:U358,{0.2,0.3,0.5})/SUMPRODUCT(--(S358:U358&lt;&gt;""),{0.2,0.3,0.5}),"")</f>
        <v>9.5441827312294669E-2</v>
      </c>
      <c r="AC358">
        <f>IFERROR(SUMPRODUCT(V358:X358,{0.2,0.3,0.5})/SUMPRODUCT(--(V358:X358&lt;&gt;""),{0.2,0.3,0.5}),"")</f>
        <v>7.3220241520327009E-2</v>
      </c>
      <c r="AD358">
        <f>IFERROR(SUMPRODUCT(Y358:AA358,{0.2,0.3,0.5})/SUMPRODUCT((Y358:AA358&lt;&gt;"")*{0.2,0.3,0.5}),O358)</f>
        <v>3.0821446560610433</v>
      </c>
      <c r="AE358">
        <f t="shared" si="135"/>
        <v>3</v>
      </c>
      <c r="AF358">
        <f t="shared" si="136"/>
        <v>84</v>
      </c>
      <c r="AG358">
        <f t="shared" si="137"/>
        <v>2.1270692369967148E-2</v>
      </c>
      <c r="AH358">
        <f t="shared" si="138"/>
        <v>2.9715238643252324E-2</v>
      </c>
      <c r="AI358" s="2">
        <f t="shared" si="139"/>
        <v>2.8931431449697667</v>
      </c>
      <c r="AJ358">
        <f t="shared" si="140"/>
        <v>0.84</v>
      </c>
      <c r="AK358" t="str">
        <f t="shared" si="141"/>
        <v>NO</v>
      </c>
      <c r="AL358">
        <f t="shared" si="142"/>
        <v>2.1270692369967148E-2</v>
      </c>
      <c r="AM358">
        <f t="shared" si="143"/>
        <v>2.9715238643252324E-2</v>
      </c>
      <c r="AN358">
        <f t="shared" si="144"/>
        <v>2.1270692369967148E-2</v>
      </c>
      <c r="AO358">
        <f t="shared" si="145"/>
        <v>2.9715238643252324E-2</v>
      </c>
      <c r="AP358">
        <f t="array" ref="AP358">AL358*IF($C358="GKP",10,IF($C358="DEF",6,IF($C358="MID",5,4)))</f>
        <v>0.10635346184983574</v>
      </c>
      <c r="AQ358">
        <f t="shared" si="146"/>
        <v>8.914571592975698E-2</v>
      </c>
      <c r="AR358">
        <f t="shared" si="147"/>
        <v>2</v>
      </c>
      <c r="AS358" s="2">
        <f>IF($H358=0,0,Player_Analysis!$AM358*$H358/90)</f>
        <v>0</v>
      </c>
      <c r="AT358">
        <f t="shared" si="148"/>
        <v>1.25</v>
      </c>
      <c r="AU358" s="2">
        <f>0</f>
        <v>0</v>
      </c>
      <c r="AV358" s="2">
        <f>IF(INDEX(FPL_Raw_Data!K:K,MATCH(A358,FPL_Raw_Data!AA:AA,0))=0,"",INDEX(FPL_Raw_Data!P:P,MATCH(A358,FPL_Raw_Data!AA:AA,0))/INDEX(FPL_Raw_Data!K:K,MATCH(A358,FPL_Raw_Data!AA:AA,0))*90)</f>
        <v>0</v>
      </c>
      <c r="AW358" s="2">
        <f t="shared" si="149"/>
        <v>0</v>
      </c>
      <c r="AX358" s="2">
        <f>IFERROR(INDEX(TEAM_ANALYSIS!$H$2:$H$21,MATCH($B358,TEAM_ANALYSIS!$A$2:$A$21,0)),0)</f>
        <v>2.6666666666666665</v>
      </c>
      <c r="AY358" s="2">
        <f t="shared" si="150"/>
        <v>0</v>
      </c>
      <c r="AZ358" s="2">
        <f t="shared" si="151"/>
        <v>3.4454991777795927</v>
      </c>
      <c r="BA358">
        <f t="shared" si="152"/>
        <v>0.68909983555591858</v>
      </c>
      <c r="BB358">
        <f>IFERROR(Player_Analysis!$Y358,1)</f>
        <v>1.0097491349480967</v>
      </c>
      <c r="BC358">
        <f t="shared" si="153"/>
        <v>3.4790898142273221</v>
      </c>
      <c r="BD358">
        <f t="shared" si="154"/>
        <v>2.397440218868319</v>
      </c>
      <c r="BE358">
        <f t="shared" si="155"/>
        <v>3.4790898142273221</v>
      </c>
      <c r="BF358">
        <f t="shared" si="156"/>
        <v>177</v>
      </c>
      <c r="BG358">
        <f>IF($BE358="","",COUNTIFS($C$2:$C$596,$C358,$BE$2:$BE$596,"&gt;"&amp;$BE358)+COUNTIFS($C$2:$C358,$C358,$BE$2:$BE358,$BE358))</f>
        <v>91</v>
      </c>
    </row>
    <row r="359" spans="1:59" x14ac:dyDescent="0.25">
      <c r="A359" t="str">
        <f>Player_Analysis!A359</f>
        <v>Christian Walton</v>
      </c>
      <c r="B359">
        <f>Player_Analysis!C359</f>
        <v>12</v>
      </c>
      <c r="C359" t="str">
        <f>Player_Analysis!B359</f>
        <v>GK</v>
      </c>
      <c r="D359" s="13">
        <f>Player_Analysis!E359</f>
        <v>4.5</v>
      </c>
      <c r="E359">
        <f>Player_Analysis!I359</f>
        <v>0</v>
      </c>
      <c r="F359" s="8">
        <f>Player_Analysis!Z359</f>
        <v>0</v>
      </c>
      <c r="G359" s="17">
        <f t="shared" si="131"/>
        <v>0</v>
      </c>
      <c r="H359">
        <f t="shared" si="132"/>
        <v>0</v>
      </c>
      <c r="I359" s="8">
        <f>Player_Analysis!AF359</f>
        <v>0</v>
      </c>
      <c r="J359" s="8">
        <f>Player_Analysis!AG359</f>
        <v>0</v>
      </c>
      <c r="K359">
        <f>Player_Analysis!O359</f>
        <v>0</v>
      </c>
      <c r="L359">
        <f>Player_Analysis!P359</f>
        <v>0</v>
      </c>
      <c r="M359" t="str">
        <f t="shared" si="133"/>
        <v/>
      </c>
      <c r="N359" t="str">
        <f t="shared" si="134"/>
        <v/>
      </c>
      <c r="O359" s="2" t="str">
        <f>IF(E359=0,"",Player_Analysis!L359/E359*90)</f>
        <v/>
      </c>
      <c r="P359" t="str">
        <f>IF(E359=0,"",Player_Analysis!Q359/E359*90)</f>
        <v/>
      </c>
      <c r="Q359" t="str">
        <f>IF(E359=0,"",(Player_Analysis!AD359/E359)*90)</f>
        <v/>
      </c>
      <c r="R359" t="str">
        <f>IF(E359=0,"",Player_Analysis!AA359/E359*90)</f>
        <v/>
      </c>
      <c r="S359" t="str">
        <f t="array" ref="S359">IFERROR(INDEX('2023_24'!$O:$O,MATCH($A359,'2023_24'!$A:$A,0)),"")</f>
        <v/>
      </c>
      <c r="T359">
        <f>IFERROR(INDEX('2024_25'!$P:$P,MATCH($A359,'2024_25'!$A:$A,0)),"")</f>
        <v>0</v>
      </c>
      <c r="U359" t="str">
        <f>IFERROR(INDEX('2025_26'!$P:$P,MATCH($A359,'2025_26'!$A:$A,0)),"")</f>
        <v/>
      </c>
      <c r="V359" t="str">
        <f>IFERROR(INDEX('2023_24'!$P:$P,MATCH($A359,'2023_24'!$A:$A,0)),"")</f>
        <v/>
      </c>
      <c r="W359">
        <f>IFERROR(INDEX('2024_25'!$Q:$Q,MATCH($A359,'2024_25'!$A:$A,0)),"")</f>
        <v>0</v>
      </c>
      <c r="X359" t="str">
        <f>IFERROR(INDEX('2025_26'!$Q:$Q,MATCH($A359,'2025_26'!$A:$A,0)),"")</f>
        <v/>
      </c>
      <c r="Y359" t="str">
        <f>IFERROR(INDEX('2023_24'!$M:$M,MATCH($A359,'2023_24'!$A:$A,0))/INDEX('2023_24'!$G:$G,MATCH($A359,'2023_24'!$A:$A,0))*90,"")</f>
        <v/>
      </c>
      <c r="Z359">
        <f>IFERROR(INDEX('2024_25'!$M:$M,MATCH($A359,'2024_25'!$A:$A,0))/INDEX('2024_25'!$G:$G,MATCH($A359,'2024_25'!$A:$A,0))*90,"")</f>
        <v>2.2857142857142856</v>
      </c>
      <c r="AA359" t="str">
        <f>IFERROR(INDEX('2025_26'!$M:$M,MATCH($A359,'2025_26'!$A:$A,0))/INDEX('2025_26'!$G:$G,MATCH($A359,'2025_26'!$A:$A,0))*90,"")</f>
        <v/>
      </c>
      <c r="AB359">
        <f>IFERROR(SUMPRODUCT(S359:U359,{0.2,0.3,0.5})/SUMPRODUCT(--(S359:U359&lt;&gt;""),{0.2,0.3,0.5}),"")</f>
        <v>0</v>
      </c>
      <c r="AC359">
        <f>IFERROR(SUMPRODUCT(V359:X359,{0.2,0.3,0.5})/SUMPRODUCT(--(V359:X359&lt;&gt;""),{0.2,0.3,0.5}),"")</f>
        <v>0</v>
      </c>
      <c r="AD359">
        <f>IFERROR(SUMPRODUCT(Y359:AA359,{0.2,0.3,0.5})/SUMPRODUCT((Y359:AA359&lt;&gt;"")*{0.2,0.3,0.5}),O359)</f>
        <v>2.2857142857142856</v>
      </c>
      <c r="AE359">
        <f t="shared" si="135"/>
        <v>1</v>
      </c>
      <c r="AF359" t="str">
        <f t="shared" si="136"/>
        <v/>
      </c>
      <c r="AG359">
        <f t="shared" si="137"/>
        <v>0</v>
      </c>
      <c r="AH359">
        <f t="shared" si="138"/>
        <v>0</v>
      </c>
      <c r="AI359" s="2">
        <f t="shared" si="139"/>
        <v>2.2857142857142856</v>
      </c>
      <c r="AJ359">
        <f t="shared" si="140"/>
        <v>0</v>
      </c>
      <c r="AK359" t="str">
        <f t="shared" si="141"/>
        <v>NO</v>
      </c>
      <c r="AL359">
        <f t="shared" si="142"/>
        <v>0</v>
      </c>
      <c r="AM359">
        <f t="shared" si="143"/>
        <v>0</v>
      </c>
      <c r="AN359">
        <f t="shared" si="144"/>
        <v>0</v>
      </c>
      <c r="AO359">
        <f t="shared" si="145"/>
        <v>0</v>
      </c>
      <c r="AP359">
        <f t="array" ref="AP359">AL359*IF($C359="GKP",10,IF($C359="DEF",6,IF($C359="MID",5,4)))</f>
        <v>0</v>
      </c>
      <c r="AQ359">
        <f t="shared" si="146"/>
        <v>0</v>
      </c>
      <c r="AR359">
        <f t="shared" si="147"/>
        <v>0</v>
      </c>
      <c r="AS359" s="2">
        <f>IF($H359=0,0,Player_Analysis!$AM359*$H359/90)</f>
        <v>0</v>
      </c>
      <c r="AT359">
        <f t="shared" si="148"/>
        <v>0</v>
      </c>
      <c r="AU359" s="2">
        <f>0</f>
        <v>0</v>
      </c>
      <c r="AV359" s="2" t="str">
        <f>IF(INDEX(FPL_Raw_Data!K:K,MATCH(A359,FPL_Raw_Data!AA:AA,0))=0,"",INDEX(FPL_Raw_Data!P:P,MATCH(A359,FPL_Raw_Data!AA:AA,0))/INDEX(FPL_Raw_Data!K:K,MATCH(A359,FPL_Raw_Data!AA:AA,0))*90)</f>
        <v/>
      </c>
      <c r="AW359" s="2">
        <f t="shared" si="149"/>
        <v>0</v>
      </c>
      <c r="AX359" s="2">
        <f>IFERROR(INDEX(TEAM_ANALYSIS!$H$2:$H$21,MATCH($B359,TEAM_ANALYSIS!$A$2:$A$21,0)),0)</f>
        <v>2.6666666666666665</v>
      </c>
      <c r="AY359" s="2">
        <f t="shared" si="150"/>
        <v>0</v>
      </c>
      <c r="AZ359" s="2">
        <f t="shared" si="151"/>
        <v>0</v>
      </c>
      <c r="BA359">
        <f t="shared" si="152"/>
        <v>0</v>
      </c>
      <c r="BB359">
        <f>IFERROR(Player_Analysis!$Y359,1)</f>
        <v>0.81436734693877555</v>
      </c>
      <c r="BC359">
        <f t="shared" si="153"/>
        <v>0</v>
      </c>
      <c r="BD359">
        <f t="shared" si="154"/>
        <v>0</v>
      </c>
      <c r="BE359">
        <f t="shared" si="155"/>
        <v>0</v>
      </c>
      <c r="BF359">
        <f t="shared" si="156"/>
        <v>253</v>
      </c>
      <c r="BG359">
        <f>IF($BE359="","",COUNTIFS($C$2:$C$596,$C359,$BE$2:$BE$596,"&gt;"&amp;$BE359)+COUNTIFS($C$2:$C359,$C359,$BE$2:$BE359,$BE359))</f>
        <v>44</v>
      </c>
    </row>
    <row r="360" spans="1:59" x14ac:dyDescent="0.25">
      <c r="A360" t="str">
        <f>Player_Analysis!A360</f>
        <v>Alex Palmer</v>
      </c>
      <c r="B360">
        <f>Player_Analysis!C360</f>
        <v>12</v>
      </c>
      <c r="C360" t="str">
        <f>Player_Analysis!B360</f>
        <v>GK</v>
      </c>
      <c r="D360" s="13">
        <f>Player_Analysis!E360</f>
        <v>4</v>
      </c>
      <c r="E360">
        <f>Player_Analysis!I360</f>
        <v>0</v>
      </c>
      <c r="F360" s="8">
        <f>Player_Analysis!Z360</f>
        <v>0</v>
      </c>
      <c r="G360" s="17">
        <f t="shared" si="131"/>
        <v>0</v>
      </c>
      <c r="H360">
        <f t="shared" si="132"/>
        <v>0</v>
      </c>
      <c r="I360" s="8">
        <f>Player_Analysis!AF360</f>
        <v>0</v>
      </c>
      <c r="J360" s="8">
        <f>Player_Analysis!AG360</f>
        <v>0</v>
      </c>
      <c r="K360">
        <f>Player_Analysis!O360</f>
        <v>0</v>
      </c>
      <c r="L360">
        <f>Player_Analysis!P360</f>
        <v>0</v>
      </c>
      <c r="M360" t="str">
        <f t="shared" si="133"/>
        <v/>
      </c>
      <c r="N360" t="str">
        <f t="shared" si="134"/>
        <v/>
      </c>
      <c r="O360" s="2" t="str">
        <f>IF(E360=0,"",Player_Analysis!L360/E360*90)</f>
        <v/>
      </c>
      <c r="P360" t="str">
        <f>IF(E360=0,"",Player_Analysis!Q360/E360*90)</f>
        <v/>
      </c>
      <c r="Q360" t="str">
        <f>IF(E360=0,"",(Player_Analysis!AD360/E360)*90)</f>
        <v/>
      </c>
      <c r="R360" t="str">
        <f>IF(E360=0,"",Player_Analysis!AA360/E360*90)</f>
        <v/>
      </c>
      <c r="S360" t="str">
        <f t="array" ref="S360">IFERROR(INDEX('2023_24'!$O:$O,MATCH($A360,'2023_24'!$A:$A,0)),"")</f>
        <v/>
      </c>
      <c r="T360">
        <f>IFERROR(INDEX('2024_25'!$P:$P,MATCH($A360,'2024_25'!$A:$A,0)),"")</f>
        <v>0</v>
      </c>
      <c r="U360" t="str">
        <f>IFERROR(INDEX('2025_26'!$P:$P,MATCH($A360,'2025_26'!$A:$A,0)),"")</f>
        <v/>
      </c>
      <c r="V360" t="str">
        <f>IFERROR(INDEX('2023_24'!$P:$P,MATCH($A360,'2023_24'!$A:$A,0)),"")</f>
        <v/>
      </c>
      <c r="W360">
        <f>IFERROR(INDEX('2024_25'!$Q:$Q,MATCH($A360,'2024_25'!$A:$A,0)),"")</f>
        <v>0</v>
      </c>
      <c r="X360" t="str">
        <f>IFERROR(INDEX('2025_26'!$Q:$Q,MATCH($A360,'2025_26'!$A:$A,0)),"")</f>
        <v/>
      </c>
      <c r="Y360" t="str">
        <f>IFERROR(INDEX('2023_24'!$M:$M,MATCH($A360,'2023_24'!$A:$A,0))/INDEX('2023_24'!$G:$G,MATCH($A360,'2023_24'!$A:$A,0))*90,"")</f>
        <v/>
      </c>
      <c r="Z360">
        <f>IFERROR(INDEX('2024_25'!$M:$M,MATCH($A360,'2024_25'!$A:$A,0))/INDEX('2024_25'!$G:$G,MATCH($A360,'2024_25'!$A:$A,0))*90,"")</f>
        <v>1.6923076923076923</v>
      </c>
      <c r="AA360" t="str">
        <f>IFERROR(INDEX('2025_26'!$M:$M,MATCH($A360,'2025_26'!$A:$A,0))/INDEX('2025_26'!$G:$G,MATCH($A360,'2025_26'!$A:$A,0))*90,"")</f>
        <v/>
      </c>
      <c r="AB360">
        <f>IFERROR(SUMPRODUCT(S360:U360,{0.2,0.3,0.5})/SUMPRODUCT(--(S360:U360&lt;&gt;""),{0.2,0.3,0.5}),"")</f>
        <v>0</v>
      </c>
      <c r="AC360">
        <f>IFERROR(SUMPRODUCT(V360:X360,{0.2,0.3,0.5})/SUMPRODUCT(--(V360:X360&lt;&gt;""),{0.2,0.3,0.5}),"")</f>
        <v>0</v>
      </c>
      <c r="AD360">
        <f>IFERROR(SUMPRODUCT(Y360:AA360,{0.2,0.3,0.5})/SUMPRODUCT((Y360:AA360&lt;&gt;"")*{0.2,0.3,0.5}),O360)</f>
        <v>1.6923076923076923</v>
      </c>
      <c r="AE360">
        <f t="shared" si="135"/>
        <v>1</v>
      </c>
      <c r="AF360" t="str">
        <f t="shared" si="136"/>
        <v/>
      </c>
      <c r="AG360">
        <f t="shared" si="137"/>
        <v>0</v>
      </c>
      <c r="AH360">
        <f t="shared" si="138"/>
        <v>0</v>
      </c>
      <c r="AI360" s="2">
        <f t="shared" si="139"/>
        <v>1.6923076923076923</v>
      </c>
      <c r="AJ360">
        <f t="shared" si="140"/>
        <v>0</v>
      </c>
      <c r="AK360" t="str">
        <f t="shared" si="141"/>
        <v>NO</v>
      </c>
      <c r="AL360">
        <f t="shared" si="142"/>
        <v>0</v>
      </c>
      <c r="AM360">
        <f t="shared" si="143"/>
        <v>0</v>
      </c>
      <c r="AN360">
        <f t="shared" si="144"/>
        <v>0</v>
      </c>
      <c r="AO360">
        <f t="shared" si="145"/>
        <v>0</v>
      </c>
      <c r="AP360">
        <f t="array" ref="AP360">AL360*IF($C360="GKP",10,IF($C360="DEF",6,IF($C360="MID",5,4)))</f>
        <v>0</v>
      </c>
      <c r="AQ360">
        <f t="shared" si="146"/>
        <v>0</v>
      </c>
      <c r="AR360">
        <f t="shared" si="147"/>
        <v>0</v>
      </c>
      <c r="AS360" s="2">
        <f>IF($H360=0,0,Player_Analysis!$AM360*$H360/90)</f>
        <v>0</v>
      </c>
      <c r="AT360">
        <f t="shared" si="148"/>
        <v>0</v>
      </c>
      <c r="AU360" s="2">
        <f>0</f>
        <v>0</v>
      </c>
      <c r="AV360" s="2" t="str">
        <f>IF(INDEX(FPL_Raw_Data!K:K,MATCH(A360,FPL_Raw_Data!AA:AA,0))=0,"",INDEX(FPL_Raw_Data!P:P,MATCH(A360,FPL_Raw_Data!AA:AA,0))/INDEX(FPL_Raw_Data!K:K,MATCH(A360,FPL_Raw_Data!AA:AA,0))*90)</f>
        <v/>
      </c>
      <c r="AW360" s="2">
        <f t="shared" si="149"/>
        <v>0</v>
      </c>
      <c r="AX360" s="2">
        <f>IFERROR(INDEX(TEAM_ANALYSIS!$H$2:$H$21,MATCH($B360,TEAM_ANALYSIS!$A$2:$A$21,0)),0)</f>
        <v>2.6666666666666665</v>
      </c>
      <c r="AY360" s="2">
        <f t="shared" si="150"/>
        <v>0</v>
      </c>
      <c r="AZ360" s="2">
        <f t="shared" si="151"/>
        <v>0</v>
      </c>
      <c r="BA360">
        <f t="shared" si="152"/>
        <v>0</v>
      </c>
      <c r="BB360">
        <f>IFERROR(Player_Analysis!$Y360,1)</f>
        <v>0.81436734693877555</v>
      </c>
      <c r="BC360">
        <f t="shared" si="153"/>
        <v>0</v>
      </c>
      <c r="BD360">
        <f t="shared" si="154"/>
        <v>0</v>
      </c>
      <c r="BE360">
        <f t="shared" si="155"/>
        <v>0</v>
      </c>
      <c r="BF360">
        <f t="shared" si="156"/>
        <v>253</v>
      </c>
      <c r="BG360">
        <f>IF($BE360="","",COUNTIFS($C$2:$C$596,$C360,$BE$2:$BE$596,"&gt;"&amp;$BE360)+COUNTIFS($C$2:$C360,$C360,$BE$2:$BE360,$BE360))</f>
        <v>45</v>
      </c>
    </row>
    <row r="361" spans="1:59" x14ac:dyDescent="0.25">
      <c r="A361" t="str">
        <f>Player_Analysis!A361</f>
        <v>David Button</v>
      </c>
      <c r="B361">
        <f>Player_Analysis!C361</f>
        <v>12</v>
      </c>
      <c r="C361" t="str">
        <f>Player_Analysis!B361</f>
        <v>GK</v>
      </c>
      <c r="D361" s="13">
        <f>Player_Analysis!E361</f>
        <v>4</v>
      </c>
      <c r="E361">
        <f>Player_Analysis!I361</f>
        <v>0</v>
      </c>
      <c r="F361" s="8">
        <f>Player_Analysis!Z361</f>
        <v>0</v>
      </c>
      <c r="G361" s="17">
        <f t="shared" si="131"/>
        <v>0</v>
      </c>
      <c r="H361">
        <f t="shared" si="132"/>
        <v>0</v>
      </c>
      <c r="I361" s="8">
        <f>Player_Analysis!AF361</f>
        <v>0</v>
      </c>
      <c r="J361" s="8">
        <f>Player_Analysis!AG361</f>
        <v>0</v>
      </c>
      <c r="K361">
        <f>Player_Analysis!O361</f>
        <v>0</v>
      </c>
      <c r="L361">
        <f>Player_Analysis!P361</f>
        <v>0</v>
      </c>
      <c r="M361" t="str">
        <f t="shared" si="133"/>
        <v/>
      </c>
      <c r="N361" t="str">
        <f t="shared" si="134"/>
        <v/>
      </c>
      <c r="O361" s="2" t="str">
        <f>IF(E361=0,"",Player_Analysis!L361/E361*90)</f>
        <v/>
      </c>
      <c r="P361" t="str">
        <f>IF(E361=0,"",Player_Analysis!Q361/E361*90)</f>
        <v/>
      </c>
      <c r="Q361" t="str">
        <f>IF(E361=0,"",(Player_Analysis!AD361/E361)*90)</f>
        <v/>
      </c>
      <c r="R361" t="str">
        <f>IF(E361=0,"",Player_Analysis!AA361/E361*90)</f>
        <v/>
      </c>
      <c r="S361" t="str">
        <f t="array" ref="S361">IFERROR(INDEX('2023_24'!$O:$O,MATCH($A361,'2023_24'!$A:$A,0)),"")</f>
        <v/>
      </c>
      <c r="T361" t="str">
        <f>IFERROR(INDEX('2024_25'!$P:$P,MATCH($A361,'2024_25'!$A:$A,0)),"")</f>
        <v/>
      </c>
      <c r="U361" t="str">
        <f>IFERROR(INDEX('2025_26'!$P:$P,MATCH($A361,'2025_26'!$A:$A,0)),"")</f>
        <v/>
      </c>
      <c r="V361" t="str">
        <f>IFERROR(INDEX('2023_24'!$P:$P,MATCH($A361,'2023_24'!$A:$A,0)),"")</f>
        <v/>
      </c>
      <c r="W361" t="str">
        <f>IFERROR(INDEX('2024_25'!$Q:$Q,MATCH($A361,'2024_25'!$A:$A,0)),"")</f>
        <v/>
      </c>
      <c r="X361" t="str">
        <f>IFERROR(INDEX('2025_26'!$Q:$Q,MATCH($A361,'2025_26'!$A:$A,0)),"")</f>
        <v/>
      </c>
      <c r="Y361" t="str">
        <f>IFERROR(INDEX('2023_24'!$M:$M,MATCH($A361,'2023_24'!$A:$A,0))/INDEX('2023_24'!$G:$G,MATCH($A361,'2023_24'!$A:$A,0))*90,"")</f>
        <v/>
      </c>
      <c r="Z361" t="str">
        <f>IFERROR(INDEX('2024_25'!$M:$M,MATCH($A361,'2024_25'!$A:$A,0))/INDEX('2024_25'!$G:$G,MATCH($A361,'2024_25'!$A:$A,0))*90,"")</f>
        <v/>
      </c>
      <c r="AA361" t="str">
        <f>IFERROR(INDEX('2025_26'!$M:$M,MATCH($A361,'2025_26'!$A:$A,0))/INDEX('2025_26'!$G:$G,MATCH($A361,'2025_26'!$A:$A,0))*90,"")</f>
        <v/>
      </c>
      <c r="AB361" t="str">
        <f>IFERROR(SUMPRODUCT(S361:U361,{0.2,0.3,0.5})/SUMPRODUCT(--(S361:U361&lt;&gt;""),{0.2,0.3,0.5}),"")</f>
        <v/>
      </c>
      <c r="AC361" t="str">
        <f>IFERROR(SUMPRODUCT(V361:X361,{0.2,0.3,0.5})/SUMPRODUCT(--(V361:X361&lt;&gt;""),{0.2,0.3,0.5}),"")</f>
        <v/>
      </c>
      <c r="AD361" t="str">
        <f>IFERROR(SUMPRODUCT(Y361:AA361,{0.2,0.3,0.5})/SUMPRODUCT((Y361:AA361&lt;&gt;"")*{0.2,0.3,0.5}),O361)</f>
        <v/>
      </c>
      <c r="AE361">
        <f t="shared" si="135"/>
        <v>0</v>
      </c>
      <c r="AF361" t="str">
        <f t="shared" si="136"/>
        <v/>
      </c>
      <c r="AG361">
        <f t="shared" si="137"/>
        <v>0</v>
      </c>
      <c r="AH361">
        <f t="shared" si="138"/>
        <v>0</v>
      </c>
      <c r="AI361" s="2">
        <f t="shared" si="139"/>
        <v>0</v>
      </c>
      <c r="AJ361">
        <f t="shared" si="140"/>
        <v>0</v>
      </c>
      <c r="AK361" t="str">
        <f t="shared" si="141"/>
        <v>YES</v>
      </c>
      <c r="AL361">
        <f t="shared" si="142"/>
        <v>0</v>
      </c>
      <c r="AM361">
        <f t="shared" si="143"/>
        <v>0</v>
      </c>
      <c r="AN361">
        <f t="shared" si="144"/>
        <v>0</v>
      </c>
      <c r="AO361">
        <f t="shared" si="145"/>
        <v>0</v>
      </c>
      <c r="AP361">
        <f t="array" ref="AP361">AL361*IF($C361="GKP",10,IF($C361="DEF",6,IF($C361="MID",5,4)))</f>
        <v>0</v>
      </c>
      <c r="AQ361">
        <f t="shared" si="146"/>
        <v>0</v>
      </c>
      <c r="AR361">
        <f t="shared" si="147"/>
        <v>0</v>
      </c>
      <c r="AS361" s="2">
        <f>IF($H361=0,0,Player_Analysis!$AM361*$H361/90)</f>
        <v>0</v>
      </c>
      <c r="AT361">
        <f t="shared" si="148"/>
        <v>0</v>
      </c>
      <c r="AU361" s="2">
        <f>0</f>
        <v>0</v>
      </c>
      <c r="AV361" s="2" t="str">
        <f>IF(INDEX(FPL_Raw_Data!K:K,MATCH(A361,FPL_Raw_Data!AA:AA,0))=0,"",INDEX(FPL_Raw_Data!P:P,MATCH(A361,FPL_Raw_Data!AA:AA,0))/INDEX(FPL_Raw_Data!K:K,MATCH(A361,FPL_Raw_Data!AA:AA,0))*90)</f>
        <v/>
      </c>
      <c r="AW361" s="2">
        <f t="shared" si="149"/>
        <v>0</v>
      </c>
      <c r="AX361" s="2">
        <f>IFERROR(INDEX(TEAM_ANALYSIS!$H$2:$H$21,MATCH($B361,TEAM_ANALYSIS!$A$2:$A$21,0)),0)</f>
        <v>2.6666666666666665</v>
      </c>
      <c r="AY361" s="2">
        <f t="shared" si="150"/>
        <v>0</v>
      </c>
      <c r="AZ361" s="2">
        <f t="shared" si="151"/>
        <v>0</v>
      </c>
      <c r="BA361">
        <f t="shared" si="152"/>
        <v>0</v>
      </c>
      <c r="BB361">
        <f>IFERROR(Player_Analysis!$Y361,1)</f>
        <v>0.81436734693877555</v>
      </c>
      <c r="BC361">
        <f t="shared" si="153"/>
        <v>0</v>
      </c>
      <c r="BD361">
        <f t="shared" si="154"/>
        <v>0</v>
      </c>
      <c r="BE361">
        <f t="shared" si="155"/>
        <v>0</v>
      </c>
      <c r="BF361">
        <f t="shared" si="156"/>
        <v>253</v>
      </c>
      <c r="BG361">
        <f>IF($BE361="","",COUNTIFS($C$2:$C$596,$C361,$BE$2:$BE$596,"&gt;"&amp;$BE361)+COUNTIFS($C$2:$C361,$C361,$BE$2:$BE361,$BE361))</f>
        <v>46</v>
      </c>
    </row>
    <row r="362" spans="1:59" x14ac:dyDescent="0.25">
      <c r="A362" t="str">
        <f>Player_Analysis!A362</f>
        <v>Cédric Kipré</v>
      </c>
      <c r="B362">
        <f>Player_Analysis!C362</f>
        <v>12</v>
      </c>
      <c r="C362" t="str">
        <f>Player_Analysis!B362</f>
        <v>DEF</v>
      </c>
      <c r="D362" s="13">
        <f>Player_Analysis!E362</f>
        <v>4</v>
      </c>
      <c r="E362">
        <f>Player_Analysis!I362</f>
        <v>0</v>
      </c>
      <c r="F362" s="8">
        <f>Player_Analysis!Z362</f>
        <v>0</v>
      </c>
      <c r="G362" s="17">
        <f t="shared" si="131"/>
        <v>0</v>
      </c>
      <c r="H362">
        <f t="shared" si="132"/>
        <v>0</v>
      </c>
      <c r="I362" s="8">
        <f>Player_Analysis!AF362</f>
        <v>0</v>
      </c>
      <c r="J362" s="8">
        <f>Player_Analysis!AG362</f>
        <v>0</v>
      </c>
      <c r="K362">
        <f>Player_Analysis!O362</f>
        <v>0</v>
      </c>
      <c r="L362">
        <f>Player_Analysis!P362</f>
        <v>0</v>
      </c>
      <c r="M362" t="str">
        <f t="shared" si="133"/>
        <v/>
      </c>
      <c r="N362" t="str">
        <f t="shared" si="134"/>
        <v/>
      </c>
      <c r="O362" s="2" t="str">
        <f>IF(E362=0,"",Player_Analysis!L362/E362*90)</f>
        <v/>
      </c>
      <c r="P362" t="str">
        <f>IF(E362=0,"",Player_Analysis!Q362/E362*90)</f>
        <v/>
      </c>
      <c r="Q362" t="str">
        <f>IF(E362=0,"",(Player_Analysis!AD362/E362)*90)</f>
        <v/>
      </c>
      <c r="R362" t="str">
        <f>IF(E362=0,"",Player_Analysis!AA362/E362*90)</f>
        <v/>
      </c>
      <c r="S362" t="str">
        <f t="array" ref="S362">IFERROR(INDEX('2023_24'!$O:$O,MATCH($A362,'2023_24'!$A:$A,0)),"")</f>
        <v/>
      </c>
      <c r="T362" t="str">
        <f>IFERROR(INDEX('2024_25'!$P:$P,MATCH($A362,'2024_25'!$A:$A,0)),"")</f>
        <v/>
      </c>
      <c r="U362" t="str">
        <f>IFERROR(INDEX('2025_26'!$P:$P,MATCH($A362,'2025_26'!$A:$A,0)),"")</f>
        <v/>
      </c>
      <c r="V362" t="str">
        <f>IFERROR(INDEX('2023_24'!$P:$P,MATCH($A362,'2023_24'!$A:$A,0)),"")</f>
        <v/>
      </c>
      <c r="W362" t="str">
        <f>IFERROR(INDEX('2024_25'!$Q:$Q,MATCH($A362,'2024_25'!$A:$A,0)),"")</f>
        <v/>
      </c>
      <c r="X362" t="str">
        <f>IFERROR(INDEX('2025_26'!$Q:$Q,MATCH($A362,'2025_26'!$A:$A,0)),"")</f>
        <v/>
      </c>
      <c r="Y362" t="str">
        <f>IFERROR(INDEX('2023_24'!$M:$M,MATCH($A362,'2023_24'!$A:$A,0))/INDEX('2023_24'!$G:$G,MATCH($A362,'2023_24'!$A:$A,0))*90,"")</f>
        <v/>
      </c>
      <c r="Z362" t="str">
        <f>IFERROR(INDEX('2024_25'!$M:$M,MATCH($A362,'2024_25'!$A:$A,0))/INDEX('2024_25'!$G:$G,MATCH($A362,'2024_25'!$A:$A,0))*90,"")</f>
        <v/>
      </c>
      <c r="AA362" t="str">
        <f>IFERROR(INDEX('2025_26'!$M:$M,MATCH($A362,'2025_26'!$A:$A,0))/INDEX('2025_26'!$G:$G,MATCH($A362,'2025_26'!$A:$A,0))*90,"")</f>
        <v/>
      </c>
      <c r="AB362" t="str">
        <f>IFERROR(SUMPRODUCT(S362:U362,{0.2,0.3,0.5})/SUMPRODUCT(--(S362:U362&lt;&gt;""),{0.2,0.3,0.5}),"")</f>
        <v/>
      </c>
      <c r="AC362" t="str">
        <f>IFERROR(SUMPRODUCT(V362:X362,{0.2,0.3,0.5})/SUMPRODUCT(--(V362:X362&lt;&gt;""),{0.2,0.3,0.5}),"")</f>
        <v/>
      </c>
      <c r="AD362" t="str">
        <f>IFERROR(SUMPRODUCT(Y362:AA362,{0.2,0.3,0.5})/SUMPRODUCT((Y362:AA362&lt;&gt;"")*{0.2,0.3,0.5}),O362)</f>
        <v/>
      </c>
      <c r="AE362">
        <f t="shared" si="135"/>
        <v>0</v>
      </c>
      <c r="AF362" t="str">
        <f t="shared" si="136"/>
        <v/>
      </c>
      <c r="AG362">
        <f t="shared" si="137"/>
        <v>0</v>
      </c>
      <c r="AH362">
        <f t="shared" si="138"/>
        <v>0</v>
      </c>
      <c r="AI362" s="2">
        <f t="shared" si="139"/>
        <v>0</v>
      </c>
      <c r="AJ362">
        <f t="shared" si="140"/>
        <v>0</v>
      </c>
      <c r="AK362" t="str">
        <f t="shared" si="141"/>
        <v>YES</v>
      </c>
      <c r="AL362">
        <f t="shared" si="142"/>
        <v>0</v>
      </c>
      <c r="AM362">
        <f t="shared" si="143"/>
        <v>0</v>
      </c>
      <c r="AN362">
        <f t="shared" si="144"/>
        <v>0</v>
      </c>
      <c r="AO362">
        <f t="shared" si="145"/>
        <v>0</v>
      </c>
      <c r="AP362">
        <f t="array" ref="AP362">AL362*IF($C362="GKP",10,IF($C362="DEF",6,IF($C362="MID",5,4)))</f>
        <v>0</v>
      </c>
      <c r="AQ362">
        <f t="shared" si="146"/>
        <v>0</v>
      </c>
      <c r="AR362">
        <f t="shared" si="147"/>
        <v>0</v>
      </c>
      <c r="AS362" s="2">
        <f>IF($H362=0,0,Player_Analysis!$AM362*$H362/90)</f>
        <v>0</v>
      </c>
      <c r="AT362">
        <f t="shared" si="148"/>
        <v>0</v>
      </c>
      <c r="AU362" s="2">
        <f>0</f>
        <v>0</v>
      </c>
      <c r="AV362" s="2" t="str">
        <f>IF(INDEX(FPL_Raw_Data!K:K,MATCH(A362,FPL_Raw_Data!AA:AA,0))=0,"",INDEX(FPL_Raw_Data!P:P,MATCH(A362,FPL_Raw_Data!AA:AA,0))/INDEX(FPL_Raw_Data!K:K,MATCH(A362,FPL_Raw_Data!AA:AA,0))*90)</f>
        <v/>
      </c>
      <c r="AW362" s="2">
        <f t="shared" si="149"/>
        <v>0</v>
      </c>
      <c r="AX362" s="2">
        <f>IFERROR(INDEX(TEAM_ANALYSIS!$H$2:$H$21,MATCH($B362,TEAM_ANALYSIS!$A$2:$A$21,0)),0)</f>
        <v>2.6666666666666665</v>
      </c>
      <c r="AY362" s="2">
        <f t="shared" si="150"/>
        <v>-1.3333333333333333</v>
      </c>
      <c r="AZ362" s="2">
        <f t="shared" si="151"/>
        <v>-1.3333333333333333</v>
      </c>
      <c r="BA362">
        <f t="shared" si="152"/>
        <v>-0.33333333333333331</v>
      </c>
      <c r="BB362">
        <f>IFERROR(Player_Analysis!$Y362,1)</f>
        <v>0.81436734693877555</v>
      </c>
      <c r="BC362">
        <f t="shared" si="153"/>
        <v>-1.0858231292517007</v>
      </c>
      <c r="BD362">
        <f t="shared" si="154"/>
        <v>0.36194104308390018</v>
      </c>
      <c r="BE362">
        <f t="shared" si="155"/>
        <v>-1.0858231292517007</v>
      </c>
      <c r="BF362">
        <f t="shared" si="156"/>
        <v>587</v>
      </c>
      <c r="BG362">
        <f>IF($BE362="","",COUNTIFS($C$2:$C$596,$C362,$BE$2:$BE$596,"&gt;"&amp;$BE362)+COUNTIFS($C$2:$C362,$C362,$BE$2:$BE362,$BE362))</f>
        <v>184</v>
      </c>
    </row>
    <row r="363" spans="1:59" x14ac:dyDescent="0.25">
      <c r="A363" t="str">
        <f>Player_Analysis!A363</f>
        <v>Dara O'Shea</v>
      </c>
      <c r="B363">
        <f>Player_Analysis!C363</f>
        <v>12</v>
      </c>
      <c r="C363" t="str">
        <f>Player_Analysis!B363</f>
        <v>DEF</v>
      </c>
      <c r="D363" s="13">
        <f>Player_Analysis!E363</f>
        <v>4</v>
      </c>
      <c r="E363">
        <f>Player_Analysis!I363</f>
        <v>270</v>
      </c>
      <c r="F363" s="8">
        <f>Player_Analysis!Z363</f>
        <v>3</v>
      </c>
      <c r="G363" s="17">
        <f t="shared" si="131"/>
        <v>1</v>
      </c>
      <c r="H363">
        <f t="shared" si="132"/>
        <v>90</v>
      </c>
      <c r="I363" s="8">
        <f>Player_Analysis!AF363</f>
        <v>0</v>
      </c>
      <c r="J363" s="8">
        <f>Player_Analysis!AG363</f>
        <v>0</v>
      </c>
      <c r="K363">
        <f>Player_Analysis!O363</f>
        <v>7.0000000000000007E-2</v>
      </c>
      <c r="L363">
        <f>Player_Analysis!P363</f>
        <v>0.18</v>
      </c>
      <c r="M363">
        <f t="shared" si="133"/>
        <v>2.3333333333333334E-2</v>
      </c>
      <c r="N363">
        <f t="shared" si="134"/>
        <v>0.06</v>
      </c>
      <c r="O363" s="2">
        <f>IF(E363=0,"",Player_Analysis!L363/E363*90)</f>
        <v>2.3333333333333335</v>
      </c>
      <c r="P363">
        <f>IF(E363=0,"",Player_Analysis!Q363/E363*90)</f>
        <v>8.3333333333333343E-2</v>
      </c>
      <c r="Q363">
        <f>IF(E363=0,"",(Player_Analysis!AD363/E363)*90)</f>
        <v>2.3333333333333335</v>
      </c>
      <c r="R363">
        <f>IF(E363=0,"",Player_Analysis!AA363/E363*90)</f>
        <v>10</v>
      </c>
      <c r="S363">
        <f t="array" ref="S363">IFERROR(INDEX('2023_24'!$O:$O,MATCH($A363,'2023_24'!$A:$A,0)),"")</f>
        <v>2.3029045643153525E-2</v>
      </c>
      <c r="T363">
        <f>IFERROR(INDEX('2024_25'!$P:$P,MATCH($A363,'2024_25'!$A:$A,0)),"")</f>
        <v>3.7187700192184502E-2</v>
      </c>
      <c r="U363" t="str">
        <f>IFERROR(INDEX('2025_26'!$P:$P,MATCH($A363,'2025_26'!$A:$A,0)),"")</f>
        <v/>
      </c>
      <c r="V363">
        <f>IFERROR(INDEX('2023_24'!$P:$P,MATCH($A363,'2023_24'!$A:$A,0)),"")</f>
        <v>2.8008298755186727E-2</v>
      </c>
      <c r="W363">
        <f>IFERROR(INDEX('2024_25'!$Q:$Q,MATCH($A363,'2024_25'!$A:$A,0)),"")</f>
        <v>1.9314541960281872E-2</v>
      </c>
      <c r="X363" t="str">
        <f>IFERROR(INDEX('2025_26'!$Q:$Q,MATCH($A363,'2025_26'!$A:$A,0)),"")</f>
        <v/>
      </c>
      <c r="Y363">
        <f>IFERROR(INDEX('2023_24'!$M:$M,MATCH($A363,'2023_24'!$A:$A,0))/INDEX('2023_24'!$G:$G,MATCH($A363,'2023_24'!$A:$A,0))*90,"")</f>
        <v>2.1473029045643153</v>
      </c>
      <c r="Z363">
        <f>IFERROR(INDEX('2024_25'!$M:$M,MATCH($A363,'2024_25'!$A:$A,0))/INDEX('2024_25'!$G:$G,MATCH($A363,'2024_25'!$A:$A,0))*90,"")</f>
        <v>1.4125560538116593</v>
      </c>
      <c r="AA363" t="str">
        <f>IFERROR(INDEX('2025_26'!$M:$M,MATCH($A363,'2025_26'!$A:$A,0))/INDEX('2025_26'!$G:$G,MATCH($A363,'2025_26'!$A:$A,0))*90,"")</f>
        <v/>
      </c>
      <c r="AB363">
        <f>IFERROR(SUMPRODUCT(S363:U363,{0.2,0.3,0.5})/SUMPRODUCT(--(S363:U363&lt;&gt;""),{0.2,0.3,0.5}),"")</f>
        <v>3.1524238372572108E-2</v>
      </c>
      <c r="AC363">
        <f>IFERROR(SUMPRODUCT(V363:X363,{0.2,0.3,0.5})/SUMPRODUCT(--(V363:X363&lt;&gt;""),{0.2,0.3,0.5}),"")</f>
        <v>2.2792044678243813E-2</v>
      </c>
      <c r="AD363">
        <f>IFERROR(SUMPRODUCT(Y363:AA363,{0.2,0.3,0.5})/SUMPRODUCT((Y363:AA363&lt;&gt;"")*{0.2,0.3,0.5}),O363)</f>
        <v>1.7064547941127217</v>
      </c>
      <c r="AE363">
        <f t="shared" si="135"/>
        <v>2</v>
      </c>
      <c r="AF363">
        <f t="shared" si="136"/>
        <v>90</v>
      </c>
      <c r="AG363">
        <f t="shared" si="137"/>
        <v>2.4152423837257211E-2</v>
      </c>
      <c r="AH363">
        <f t="shared" si="138"/>
        <v>5.6279204467824383E-2</v>
      </c>
      <c r="AI363" s="2">
        <f t="shared" si="139"/>
        <v>2.270645479411272</v>
      </c>
      <c r="AJ363">
        <f t="shared" si="140"/>
        <v>0.9</v>
      </c>
      <c r="AK363" t="str">
        <f t="shared" si="141"/>
        <v>NO</v>
      </c>
      <c r="AL363">
        <f t="shared" si="142"/>
        <v>2.4152423837257211E-2</v>
      </c>
      <c r="AM363">
        <f t="shared" si="143"/>
        <v>5.6279204467824376E-2</v>
      </c>
      <c r="AN363">
        <f t="shared" si="144"/>
        <v>2.4152423837257211E-2</v>
      </c>
      <c r="AO363">
        <f t="shared" si="145"/>
        <v>5.6279204467824376E-2</v>
      </c>
      <c r="AP363">
        <f t="array" ref="AP363">AL363*IF($C363="GKP",10,IF($C363="DEF",6,IF($C363="MID",5,4)))</f>
        <v>0.14491454302354326</v>
      </c>
      <c r="AQ363">
        <f t="shared" si="146"/>
        <v>0.16883761340347314</v>
      </c>
      <c r="AR363">
        <f t="shared" si="147"/>
        <v>2</v>
      </c>
      <c r="AS363" s="2">
        <f>IF($H363=0,0,Player_Analysis!$AM363*$H363/90)</f>
        <v>0</v>
      </c>
      <c r="AT363">
        <f t="shared" si="148"/>
        <v>2</v>
      </c>
      <c r="AU363" s="2">
        <f>0</f>
        <v>0</v>
      </c>
      <c r="AV363" s="2">
        <f>IF(INDEX(FPL_Raw_Data!K:K,MATCH(A363,FPL_Raw_Data!AA:AA,0))=0,"",INDEX(FPL_Raw_Data!P:P,MATCH(A363,FPL_Raw_Data!AA:AA,0))/INDEX(FPL_Raw_Data!K:K,MATCH(A363,FPL_Raw_Data!AA:AA,0))*90)</f>
        <v>0</v>
      </c>
      <c r="AW363" s="2">
        <f t="shared" si="149"/>
        <v>0</v>
      </c>
      <c r="AX363" s="2">
        <f>IFERROR(INDEX(TEAM_ANALYSIS!$H$2:$H$21,MATCH($B363,TEAM_ANALYSIS!$A$2:$A$21,0)),0)</f>
        <v>2.6666666666666665</v>
      </c>
      <c r="AY363" s="2">
        <f t="shared" si="150"/>
        <v>-1.3333333333333333</v>
      </c>
      <c r="AZ363" s="2">
        <f t="shared" si="151"/>
        <v>2.9804188230936832</v>
      </c>
      <c r="BA363">
        <f t="shared" si="152"/>
        <v>0.74510470577342081</v>
      </c>
      <c r="BB363">
        <f>IFERROR(Player_Analysis!$Y363,1)</f>
        <v>0.81436734693877555</v>
      </c>
      <c r="BC363">
        <f t="shared" si="153"/>
        <v>2.4271557697291906</v>
      </c>
      <c r="BD363">
        <f t="shared" si="154"/>
        <v>1.8084851856703292</v>
      </c>
      <c r="BE363">
        <f t="shared" si="155"/>
        <v>2.4271557697291906</v>
      </c>
      <c r="BF363">
        <f t="shared" si="156"/>
        <v>230</v>
      </c>
      <c r="BG363">
        <f>IF($BE363="","",COUNTIFS($C$2:$C$596,$C363,$BE$2:$BE$596,"&gt;"&amp;$BE363)+COUNTIFS($C$2:$C363,$C363,$BE$2:$BE363,$BE363))</f>
        <v>76</v>
      </c>
    </row>
    <row r="364" spans="1:59" x14ac:dyDescent="0.25">
      <c r="A364" t="str">
        <f>Player_Analysis!A364</f>
        <v>Leif Davis</v>
      </c>
      <c r="B364">
        <f>Player_Analysis!C364</f>
        <v>12</v>
      </c>
      <c r="C364" t="str">
        <f>Player_Analysis!B364</f>
        <v>DEF</v>
      </c>
      <c r="D364" s="13">
        <f>Player_Analysis!E364</f>
        <v>4</v>
      </c>
      <c r="E364">
        <f>Player_Analysis!I364</f>
        <v>270</v>
      </c>
      <c r="F364" s="8">
        <f>Player_Analysis!Z364</f>
        <v>3</v>
      </c>
      <c r="G364" s="17">
        <f t="shared" si="131"/>
        <v>1</v>
      </c>
      <c r="H364">
        <f t="shared" si="132"/>
        <v>90</v>
      </c>
      <c r="I364" s="8">
        <f>Player_Analysis!AF364</f>
        <v>1</v>
      </c>
      <c r="J364" s="8">
        <f>Player_Analysis!AG364</f>
        <v>0</v>
      </c>
      <c r="K364">
        <f>Player_Analysis!O364</f>
        <v>0.65</v>
      </c>
      <c r="L364">
        <f>Player_Analysis!P364</f>
        <v>0.25</v>
      </c>
      <c r="M364">
        <f t="shared" si="133"/>
        <v>0.21666666666666667</v>
      </c>
      <c r="N364">
        <f t="shared" si="134"/>
        <v>8.3333333333333343E-2</v>
      </c>
      <c r="O364" s="2">
        <f>IF(E364=0,"",Player_Analysis!L364/E364*90)</f>
        <v>3</v>
      </c>
      <c r="P364">
        <f>IF(E364=0,"",Player_Analysis!Q364/E364*90)</f>
        <v>0.30000000000000004</v>
      </c>
      <c r="Q364">
        <f>IF(E364=0,"",(Player_Analysis!AD364/E364)*90)</f>
        <v>5</v>
      </c>
      <c r="R364">
        <f>IF(E364=0,"",Player_Analysis!AA364/E364*90)</f>
        <v>5.6666666666666661</v>
      </c>
      <c r="S364" t="str">
        <f t="array" ref="S364">IFERROR(INDEX('2023_24'!$O:$O,MATCH($A364,'2023_24'!$A:$A,0)),"")</f>
        <v/>
      </c>
      <c r="T364">
        <f>IFERROR(INDEX('2024_25'!$P:$P,MATCH($A364,'2024_25'!$A:$A,0)),"")</f>
        <v>3.216630196936543E-2</v>
      </c>
      <c r="U364" t="str">
        <f>IFERROR(INDEX('2025_26'!$P:$P,MATCH($A364,'2025_26'!$A:$A,0)),"")</f>
        <v/>
      </c>
      <c r="V364" t="str">
        <f>IFERROR(INDEX('2023_24'!$P:$P,MATCH($A364,'2023_24'!$A:$A,0)),"")</f>
        <v/>
      </c>
      <c r="W364">
        <f>IFERROR(INDEX('2024_25'!$Q:$Q,MATCH($A364,'2024_25'!$A:$A,0)),"")</f>
        <v>0.15557986870897156</v>
      </c>
      <c r="X364" t="str">
        <f>IFERROR(INDEX('2025_26'!$Q:$Q,MATCH($A364,'2025_26'!$A:$A,0)),"")</f>
        <v/>
      </c>
      <c r="Y364" t="str">
        <f>IFERROR(INDEX('2023_24'!$M:$M,MATCH($A364,'2023_24'!$A:$A,0))/INDEX('2023_24'!$G:$G,MATCH($A364,'2023_24'!$A:$A,0))*90,"")</f>
        <v/>
      </c>
      <c r="Z364">
        <f>IFERROR(INDEX('2024_25'!$M:$M,MATCH($A364,'2024_25'!$A:$A,0))/INDEX('2024_25'!$G:$G,MATCH($A364,'2024_25'!$A:$A,0))*90,"")</f>
        <v>1.7067833698030634</v>
      </c>
      <c r="AA364" t="str">
        <f>IFERROR(INDEX('2025_26'!$M:$M,MATCH($A364,'2025_26'!$A:$A,0))/INDEX('2025_26'!$G:$G,MATCH($A364,'2025_26'!$A:$A,0))*90,"")</f>
        <v/>
      </c>
      <c r="AB364">
        <f>IFERROR(SUMPRODUCT(S364:U364,{0.2,0.3,0.5})/SUMPRODUCT(--(S364:U364&lt;&gt;""),{0.2,0.3,0.5}),"")</f>
        <v>3.216630196936543E-2</v>
      </c>
      <c r="AC364">
        <f>IFERROR(SUMPRODUCT(V364:X364,{0.2,0.3,0.5})/SUMPRODUCT(--(V364:X364&lt;&gt;""),{0.2,0.3,0.5}),"")</f>
        <v>0.15557986870897156</v>
      </c>
      <c r="AD364">
        <f>IFERROR(SUMPRODUCT(Y364:AA364,{0.2,0.3,0.5})/SUMPRODUCT((Y364:AA364&lt;&gt;"")*{0.2,0.3,0.5}),O364)</f>
        <v>1.7067833698030632</v>
      </c>
      <c r="AE364">
        <f t="shared" si="135"/>
        <v>1</v>
      </c>
      <c r="AF364">
        <f t="shared" si="136"/>
        <v>90</v>
      </c>
      <c r="AG364">
        <f t="shared" si="137"/>
        <v>0.19821663019693656</v>
      </c>
      <c r="AH364">
        <f t="shared" si="138"/>
        <v>9.0557986870897167E-2</v>
      </c>
      <c r="AI364" s="2">
        <f t="shared" si="139"/>
        <v>2.8706783369803066</v>
      </c>
      <c r="AJ364">
        <f t="shared" si="140"/>
        <v>0.9</v>
      </c>
      <c r="AK364" t="str">
        <f t="shared" si="141"/>
        <v>NO</v>
      </c>
      <c r="AL364">
        <f t="shared" si="142"/>
        <v>0.19821663019693656</v>
      </c>
      <c r="AM364">
        <f t="shared" si="143"/>
        <v>9.0557986870897167E-2</v>
      </c>
      <c r="AN364">
        <f t="shared" si="144"/>
        <v>0.19821663019693656</v>
      </c>
      <c r="AO364">
        <f t="shared" si="145"/>
        <v>9.0557986870897167E-2</v>
      </c>
      <c r="AP364">
        <f t="array" ref="AP364">AL364*IF($C364="GKP",10,IF($C364="DEF",6,IF($C364="MID",5,4)))</f>
        <v>1.1892997811816193</v>
      </c>
      <c r="AQ364">
        <f t="shared" si="146"/>
        <v>0.2716739606126915</v>
      </c>
      <c r="AR364">
        <f t="shared" si="147"/>
        <v>2</v>
      </c>
      <c r="AS364" s="2">
        <f>IF($H364=0,0,Player_Analysis!$AM364*$H364/90)</f>
        <v>0</v>
      </c>
      <c r="AT364">
        <f t="shared" si="148"/>
        <v>1.1333333333333333</v>
      </c>
      <c r="AU364" s="2">
        <f>0</f>
        <v>0</v>
      </c>
      <c r="AV364" s="2">
        <f>IF(INDEX(FPL_Raw_Data!K:K,MATCH(A364,FPL_Raw_Data!AA:AA,0))=0,"",INDEX(FPL_Raw_Data!P:P,MATCH(A364,FPL_Raw_Data!AA:AA,0))/INDEX(FPL_Raw_Data!K:K,MATCH(A364,FPL_Raw_Data!AA:AA,0))*90)</f>
        <v>0</v>
      </c>
      <c r="AW364" s="2">
        <f t="shared" si="149"/>
        <v>0</v>
      </c>
      <c r="AX364" s="2">
        <f>IFERROR(INDEX(TEAM_ANALYSIS!$H$2:$H$21,MATCH($B364,TEAM_ANALYSIS!$A$2:$A$21,0)),0)</f>
        <v>2.6666666666666665</v>
      </c>
      <c r="AY364" s="2">
        <f t="shared" si="150"/>
        <v>-1.3333333333333333</v>
      </c>
      <c r="AZ364" s="2">
        <f t="shared" si="151"/>
        <v>3.2609737417943103</v>
      </c>
      <c r="BA364">
        <f t="shared" si="152"/>
        <v>0.81524343544857758</v>
      </c>
      <c r="BB364">
        <f>IFERROR(Player_Analysis!$Y364,1)</f>
        <v>0.81436734693877555</v>
      </c>
      <c r="BC364">
        <f t="shared" si="153"/>
        <v>2.6556305345420443</v>
      </c>
      <c r="BD364">
        <f t="shared" si="154"/>
        <v>2.1649853602621989</v>
      </c>
      <c r="BE364">
        <f t="shared" si="155"/>
        <v>2.6556305345420443</v>
      </c>
      <c r="BF364">
        <f t="shared" si="156"/>
        <v>218</v>
      </c>
      <c r="BG364">
        <f>IF($BE364="","",COUNTIFS($C$2:$C$596,$C364,$BE$2:$BE$596,"&gt;"&amp;$BE364)+COUNTIFS($C$2:$C364,$C364,$BE$2:$BE364,$BE364))</f>
        <v>69</v>
      </c>
    </row>
    <row r="365" spans="1:59" x14ac:dyDescent="0.25">
      <c r="A365" t="str">
        <f>Player_Analysis!A365</f>
        <v>Jacob Greaves</v>
      </c>
      <c r="B365">
        <f>Player_Analysis!C365</f>
        <v>12</v>
      </c>
      <c r="C365" t="str">
        <f>Player_Analysis!B365</f>
        <v>DEF</v>
      </c>
      <c r="D365" s="13">
        <f>Player_Analysis!E365</f>
        <v>4</v>
      </c>
      <c r="E365">
        <f>Player_Analysis!I365</f>
        <v>270</v>
      </c>
      <c r="F365" s="8">
        <f>Player_Analysis!Z365</f>
        <v>3</v>
      </c>
      <c r="G365" s="17">
        <f t="shared" si="131"/>
        <v>1</v>
      </c>
      <c r="H365">
        <f t="shared" si="132"/>
        <v>90</v>
      </c>
      <c r="I365" s="8">
        <f>Player_Analysis!AF365</f>
        <v>0</v>
      </c>
      <c r="J365" s="8">
        <f>Player_Analysis!AG365</f>
        <v>0</v>
      </c>
      <c r="K365">
        <f>Player_Analysis!O365</f>
        <v>0</v>
      </c>
      <c r="L365">
        <f>Player_Analysis!P365</f>
        <v>0.05</v>
      </c>
      <c r="M365">
        <f t="shared" si="133"/>
        <v>0</v>
      </c>
      <c r="N365">
        <f t="shared" si="134"/>
        <v>1.666666666666667E-2</v>
      </c>
      <c r="O365" s="2">
        <f>IF(E365=0,"",Player_Analysis!L365/E365*90)</f>
        <v>0.66666666666666674</v>
      </c>
      <c r="P365">
        <f>IF(E365=0,"",Player_Analysis!Q365/E365*90)</f>
        <v>1.666666666666667E-2</v>
      </c>
      <c r="Q365">
        <f>IF(E365=0,"",(Player_Analysis!AD365/E365)*90)</f>
        <v>1.6666666666666665</v>
      </c>
      <c r="R365">
        <f>IF(E365=0,"",Player_Analysis!AA365/E365*90)</f>
        <v>8</v>
      </c>
      <c r="S365" t="str">
        <f t="array" ref="S365">IFERROR(INDEX('2023_24'!$O:$O,MATCH($A365,'2023_24'!$A:$A,0)),"")</f>
        <v/>
      </c>
      <c r="T365">
        <f>IFERROR(INDEX('2024_25'!$P:$P,MATCH($A365,'2024_25'!$A:$A,0)),"")</f>
        <v>5.346938775510205E-2</v>
      </c>
      <c r="U365" t="str">
        <f>IFERROR(INDEX('2025_26'!$P:$P,MATCH($A365,'2025_26'!$A:$A,0)),"")</f>
        <v/>
      </c>
      <c r="V365" t="str">
        <f>IFERROR(INDEX('2023_24'!$P:$P,MATCH($A365,'2023_24'!$A:$A,0)),"")</f>
        <v/>
      </c>
      <c r="W365">
        <f>IFERROR(INDEX('2024_25'!$Q:$Q,MATCH($A365,'2024_25'!$A:$A,0)),"")</f>
        <v>8.5714285714285719E-3</v>
      </c>
      <c r="X365" t="str">
        <f>IFERROR(INDEX('2025_26'!$Q:$Q,MATCH($A365,'2025_26'!$A:$A,0)),"")</f>
        <v/>
      </c>
      <c r="Y365" t="str">
        <f>IFERROR(INDEX('2023_24'!$M:$M,MATCH($A365,'2023_24'!$A:$A,0))/INDEX('2023_24'!$G:$G,MATCH($A365,'2023_24'!$A:$A,0))*90,"")</f>
        <v/>
      </c>
      <c r="Z365">
        <f>IFERROR(INDEX('2024_25'!$M:$M,MATCH($A365,'2024_25'!$A:$A,0))/INDEX('2024_25'!$G:$G,MATCH($A365,'2024_25'!$A:$A,0))*90,"")</f>
        <v>1.5102040816326532</v>
      </c>
      <c r="AA365" t="str">
        <f>IFERROR(INDEX('2025_26'!$M:$M,MATCH($A365,'2025_26'!$A:$A,0))/INDEX('2025_26'!$G:$G,MATCH($A365,'2025_26'!$A:$A,0))*90,"")</f>
        <v/>
      </c>
      <c r="AB365">
        <f>IFERROR(SUMPRODUCT(S365:U365,{0.2,0.3,0.5})/SUMPRODUCT(--(S365:U365&lt;&gt;""),{0.2,0.3,0.5}),"")</f>
        <v>5.346938775510205E-2</v>
      </c>
      <c r="AC365">
        <f>IFERROR(SUMPRODUCT(V365:X365,{0.2,0.3,0.5})/SUMPRODUCT(--(V365:X365&lt;&gt;""),{0.2,0.3,0.5}),"")</f>
        <v>8.5714285714285719E-3</v>
      </c>
      <c r="AD365">
        <f>IFERROR(SUMPRODUCT(Y365:AA365,{0.2,0.3,0.5})/SUMPRODUCT((Y365:AA365&lt;&gt;"")*{0.2,0.3,0.5}),O365)</f>
        <v>1.5102040816326532</v>
      </c>
      <c r="AE365">
        <f t="shared" si="135"/>
        <v>1</v>
      </c>
      <c r="AF365">
        <f t="shared" si="136"/>
        <v>90</v>
      </c>
      <c r="AG365">
        <f t="shared" si="137"/>
        <v>5.3469387755102037E-3</v>
      </c>
      <c r="AH365">
        <f t="shared" si="138"/>
        <v>1.5857142857142861E-2</v>
      </c>
      <c r="AI365" s="2">
        <f t="shared" si="139"/>
        <v>0.75102040816326543</v>
      </c>
      <c r="AJ365">
        <f t="shared" si="140"/>
        <v>0.9</v>
      </c>
      <c r="AK365" t="str">
        <f t="shared" si="141"/>
        <v>NO</v>
      </c>
      <c r="AL365">
        <f t="shared" si="142"/>
        <v>5.3469387755102037E-3</v>
      </c>
      <c r="AM365">
        <f t="shared" si="143"/>
        <v>1.5857142857142861E-2</v>
      </c>
      <c r="AN365">
        <f t="shared" si="144"/>
        <v>5.3469387755102037E-3</v>
      </c>
      <c r="AO365">
        <f t="shared" si="145"/>
        <v>1.5857142857142861E-2</v>
      </c>
      <c r="AP365">
        <f t="array" ref="AP365">AL365*IF($C365="GKP",10,IF($C365="DEF",6,IF($C365="MID",5,4)))</f>
        <v>3.2081632653061222E-2</v>
      </c>
      <c r="AQ365">
        <f t="shared" si="146"/>
        <v>4.7571428571428584E-2</v>
      </c>
      <c r="AR365">
        <f t="shared" si="147"/>
        <v>2</v>
      </c>
      <c r="AS365" s="2">
        <f>IF($H365=0,0,Player_Analysis!$AM365*$H365/90)</f>
        <v>0</v>
      </c>
      <c r="AT365">
        <f t="shared" si="148"/>
        <v>1.6</v>
      </c>
      <c r="AU365" s="2">
        <f>0</f>
        <v>0</v>
      </c>
      <c r="AV365" s="2">
        <f>IF(INDEX(FPL_Raw_Data!K:K,MATCH(A365,FPL_Raw_Data!AA:AA,0))=0,"",INDEX(FPL_Raw_Data!P:P,MATCH(A365,FPL_Raw_Data!AA:AA,0))/INDEX(FPL_Raw_Data!K:K,MATCH(A365,FPL_Raw_Data!AA:AA,0))*90)</f>
        <v>0</v>
      </c>
      <c r="AW365" s="2">
        <f t="shared" si="149"/>
        <v>0</v>
      </c>
      <c r="AX365" s="2">
        <f>IFERROR(INDEX(TEAM_ANALYSIS!$H$2:$H$21,MATCH($B365,TEAM_ANALYSIS!$A$2:$A$21,0)),0)</f>
        <v>2.6666666666666665</v>
      </c>
      <c r="AY365" s="2">
        <f t="shared" si="150"/>
        <v>-1.3333333333333333</v>
      </c>
      <c r="AZ365" s="2">
        <f t="shared" si="151"/>
        <v>2.3463197278911565</v>
      </c>
      <c r="BA365">
        <f t="shared" si="152"/>
        <v>0.58657993197278913</v>
      </c>
      <c r="BB365">
        <f>IFERROR(Player_Analysis!$Y365,1)</f>
        <v>0.81436734693877555</v>
      </c>
      <c r="BC365">
        <f t="shared" si="153"/>
        <v>1.9107661718728308</v>
      </c>
      <c r="BD365">
        <f t="shared" si="154"/>
        <v>1.1208170911130717</v>
      </c>
      <c r="BE365">
        <f t="shared" si="155"/>
        <v>1.9107661718728308</v>
      </c>
      <c r="BF365">
        <f t="shared" si="156"/>
        <v>248</v>
      </c>
      <c r="BG365">
        <f>IF($BE365="","",COUNTIFS($C$2:$C$596,$C365,$BE$2:$BE$596,"&gt;"&amp;$BE365)+COUNTIFS($C$2:$C365,$C365,$BE$2:$BE365,$BE365))</f>
        <v>92</v>
      </c>
    </row>
    <row r="366" spans="1:59" x14ac:dyDescent="0.25">
      <c r="A366" t="str">
        <f>Player_Analysis!A366</f>
        <v>Ben Johnson</v>
      </c>
      <c r="B366">
        <f>Player_Analysis!C366</f>
        <v>12</v>
      </c>
      <c r="C366" t="str">
        <f>Player_Analysis!B366</f>
        <v>DEF</v>
      </c>
      <c r="D366" s="13">
        <f>Player_Analysis!E366</f>
        <v>4</v>
      </c>
      <c r="E366">
        <f>Player_Analysis!I366</f>
        <v>0</v>
      </c>
      <c r="F366" s="8">
        <f>Player_Analysis!Z366</f>
        <v>0</v>
      </c>
      <c r="G366" s="17">
        <f t="shared" si="131"/>
        <v>0</v>
      </c>
      <c r="H366">
        <f t="shared" si="132"/>
        <v>0</v>
      </c>
      <c r="I366" s="8">
        <f>Player_Analysis!AF366</f>
        <v>0</v>
      </c>
      <c r="J366" s="8">
        <f>Player_Analysis!AG366</f>
        <v>0</v>
      </c>
      <c r="K366">
        <f>Player_Analysis!O366</f>
        <v>0</v>
      </c>
      <c r="L366">
        <f>Player_Analysis!P366</f>
        <v>0</v>
      </c>
      <c r="M366" t="str">
        <f t="shared" si="133"/>
        <v/>
      </c>
      <c r="N366" t="str">
        <f t="shared" si="134"/>
        <v/>
      </c>
      <c r="O366" s="2" t="str">
        <f>IF(E366=0,"",Player_Analysis!L366/E366*90)</f>
        <v/>
      </c>
      <c r="P366" t="str">
        <f>IF(E366=0,"",Player_Analysis!Q366/E366*90)</f>
        <v/>
      </c>
      <c r="Q366" t="str">
        <f>IF(E366=0,"",(Player_Analysis!AD366/E366)*90)</f>
        <v/>
      </c>
      <c r="R366" t="str">
        <f>IF(E366=0,"",Player_Analysis!AA366/E366*90)</f>
        <v/>
      </c>
      <c r="S366">
        <f t="array" ref="S366">IFERROR(INDEX('2023_24'!$O:$O,MATCH($A366,'2023_24'!$A:$A,0)),"")</f>
        <v>4.1821561338289959E-2</v>
      </c>
      <c r="T366">
        <f>IFERROR(INDEX('2024_25'!$P:$P,MATCH($A366,'2024_25'!$A:$A,0)),"")</f>
        <v>7.0876671619613682E-2</v>
      </c>
      <c r="U366" t="str">
        <f>IFERROR(INDEX('2025_26'!$P:$P,MATCH($A366,'2025_26'!$A:$A,0)),"")</f>
        <v/>
      </c>
      <c r="V366">
        <f>IFERROR(INDEX('2023_24'!$P:$P,MATCH($A366,'2023_24'!$A:$A,0)),"")</f>
        <v>1.8401486988847582E-2</v>
      </c>
      <c r="W366">
        <f>IFERROR(INDEX('2024_25'!$Q:$Q,MATCH($A366,'2024_25'!$A:$A,0)),"")</f>
        <v>5.5497771173848437E-2</v>
      </c>
      <c r="X366" t="str">
        <f>IFERROR(INDEX('2025_26'!$Q:$Q,MATCH($A366,'2025_26'!$A:$A,0)),"")</f>
        <v/>
      </c>
      <c r="Y366">
        <f>IFERROR(INDEX('2023_24'!$M:$M,MATCH($A366,'2023_24'!$A:$A,0))/INDEX('2023_24'!$G:$G,MATCH($A366,'2023_24'!$A:$A,0))*90,"")</f>
        <v>2.8438661710037172</v>
      </c>
      <c r="Z366">
        <f>IFERROR(INDEX('2024_25'!$M:$M,MATCH($A366,'2024_25'!$A:$A,0))/INDEX('2024_25'!$G:$G,MATCH($A366,'2024_25'!$A:$A,0))*90,"")</f>
        <v>2.0059435364041605</v>
      </c>
      <c r="AA366" t="str">
        <f>IFERROR(INDEX('2025_26'!$M:$M,MATCH($A366,'2025_26'!$A:$A,0))/INDEX('2025_26'!$G:$G,MATCH($A366,'2025_26'!$A:$A,0))*90,"")</f>
        <v/>
      </c>
      <c r="AB366">
        <f>IFERROR(SUMPRODUCT(S366:U366,{0.2,0.3,0.5})/SUMPRODUCT(--(S366:U366&lt;&gt;""),{0.2,0.3,0.5}),"")</f>
        <v>5.9254627507084191E-2</v>
      </c>
      <c r="AC366">
        <f>IFERROR(SUMPRODUCT(V366:X366,{0.2,0.3,0.5})/SUMPRODUCT(--(V366:X366&lt;&gt;""),{0.2,0.3,0.5}),"")</f>
        <v>4.0659257499848098E-2</v>
      </c>
      <c r="AD366">
        <f>IFERROR(SUMPRODUCT(Y366:AA366,{0.2,0.3,0.5})/SUMPRODUCT((Y366:AA366&lt;&gt;"")*{0.2,0.3,0.5}),O366)</f>
        <v>2.3411125902439833</v>
      </c>
      <c r="AE366">
        <f t="shared" si="135"/>
        <v>2</v>
      </c>
      <c r="AF366" t="str">
        <f t="shared" si="136"/>
        <v/>
      </c>
      <c r="AG366">
        <f t="shared" si="137"/>
        <v>5.9254627507084191E-2</v>
      </c>
      <c r="AH366">
        <f t="shared" si="138"/>
        <v>4.0659257499848098E-2</v>
      </c>
      <c r="AI366" s="2">
        <f t="shared" si="139"/>
        <v>2.3411125902439833</v>
      </c>
      <c r="AJ366">
        <f t="shared" si="140"/>
        <v>0</v>
      </c>
      <c r="AK366" t="str">
        <f t="shared" si="141"/>
        <v>NO</v>
      </c>
      <c r="AL366">
        <f t="shared" si="142"/>
        <v>0</v>
      </c>
      <c r="AM366">
        <f t="shared" si="143"/>
        <v>0</v>
      </c>
      <c r="AN366">
        <f t="shared" si="144"/>
        <v>0</v>
      </c>
      <c r="AO366">
        <f t="shared" si="145"/>
        <v>0</v>
      </c>
      <c r="AP366">
        <f t="array" ref="AP366">AL366*IF($C366="GKP",10,IF($C366="DEF",6,IF($C366="MID",5,4)))</f>
        <v>0</v>
      </c>
      <c r="AQ366">
        <f t="shared" si="146"/>
        <v>0</v>
      </c>
      <c r="AR366">
        <f t="shared" si="147"/>
        <v>0</v>
      </c>
      <c r="AS366" s="2">
        <f>IF($H366=0,0,Player_Analysis!$AM366*$H366/90)</f>
        <v>0</v>
      </c>
      <c r="AT366">
        <f t="shared" si="148"/>
        <v>0</v>
      </c>
      <c r="AU366" s="2">
        <f>0</f>
        <v>0</v>
      </c>
      <c r="AV366" s="2" t="str">
        <f>IF(INDEX(FPL_Raw_Data!K:K,MATCH(A366,FPL_Raw_Data!AA:AA,0))=0,"",INDEX(FPL_Raw_Data!P:P,MATCH(A366,FPL_Raw_Data!AA:AA,0))/INDEX(FPL_Raw_Data!K:K,MATCH(A366,FPL_Raw_Data!AA:AA,0))*90)</f>
        <v/>
      </c>
      <c r="AW366" s="2">
        <f t="shared" si="149"/>
        <v>0</v>
      </c>
      <c r="AX366" s="2">
        <f>IFERROR(INDEX(TEAM_ANALYSIS!$H$2:$H$21,MATCH($B366,TEAM_ANALYSIS!$A$2:$A$21,0)),0)</f>
        <v>2.6666666666666665</v>
      </c>
      <c r="AY366" s="2">
        <f t="shared" si="150"/>
        <v>-1.3333333333333333</v>
      </c>
      <c r="AZ366" s="2">
        <f t="shared" si="151"/>
        <v>-1.3333333333333333</v>
      </c>
      <c r="BA366">
        <f t="shared" si="152"/>
        <v>-0.33333333333333331</v>
      </c>
      <c r="BB366">
        <f>IFERROR(Player_Analysis!$Y366,1)</f>
        <v>0.81436734693877555</v>
      </c>
      <c r="BC366">
        <f t="shared" si="153"/>
        <v>-1.0858231292517007</v>
      </c>
      <c r="BD366">
        <f t="shared" si="154"/>
        <v>0.36194104308390018</v>
      </c>
      <c r="BE366">
        <f t="shared" si="155"/>
        <v>-1.0858231292517007</v>
      </c>
      <c r="BF366">
        <f t="shared" si="156"/>
        <v>587</v>
      </c>
      <c r="BG366">
        <f>IF($BE366="","",COUNTIFS($C$2:$C$596,$C366,$BE$2:$BE$596,"&gt;"&amp;$BE366)+COUNTIFS($C$2:$C366,$C366,$BE$2:$BE366,$BE366))</f>
        <v>185</v>
      </c>
    </row>
    <row r="367" spans="1:59" x14ac:dyDescent="0.25">
      <c r="A367" t="str">
        <f>Player_Analysis!A367</f>
        <v>Darnell Furlong</v>
      </c>
      <c r="B367">
        <f>Player_Analysis!C367</f>
        <v>12</v>
      </c>
      <c r="C367" t="str">
        <f>Player_Analysis!B367</f>
        <v>DEF</v>
      </c>
      <c r="D367" s="13">
        <f>Player_Analysis!E367</f>
        <v>4</v>
      </c>
      <c r="E367">
        <f>Player_Analysis!I367</f>
        <v>17</v>
      </c>
      <c r="F367" s="8">
        <f>Player_Analysis!Z367</f>
        <v>0</v>
      </c>
      <c r="G367" s="17">
        <f t="shared" si="131"/>
        <v>0</v>
      </c>
      <c r="H367">
        <f t="shared" si="132"/>
        <v>0</v>
      </c>
      <c r="I367" s="8">
        <f>Player_Analysis!AF367</f>
        <v>0</v>
      </c>
      <c r="J367" s="8">
        <f>Player_Analysis!AG367</f>
        <v>0</v>
      </c>
      <c r="K367">
        <f>Player_Analysis!O367</f>
        <v>0</v>
      </c>
      <c r="L367">
        <f>Player_Analysis!P367</f>
        <v>0</v>
      </c>
      <c r="M367">
        <f t="shared" si="133"/>
        <v>0</v>
      </c>
      <c r="N367">
        <f t="shared" si="134"/>
        <v>0</v>
      </c>
      <c r="O367" s="2">
        <f>IF(E367=0,"",Player_Analysis!L367/E367*90)</f>
        <v>5.2941176470588234</v>
      </c>
      <c r="P367">
        <f>IF(E367=0,"",Player_Analysis!Q367/E367*90)</f>
        <v>0</v>
      </c>
      <c r="Q367">
        <f>IF(E367=0,"",(Player_Analysis!AD367/E367)*90)</f>
        <v>-5.2941176470588234</v>
      </c>
      <c r="R367">
        <f>IF(E367=0,"",Player_Analysis!AA367/E367*90)</f>
        <v>15.882352941176471</v>
      </c>
      <c r="S367" t="str">
        <f t="array" ref="S367">IFERROR(INDEX('2023_24'!$O:$O,MATCH($A367,'2023_24'!$A:$A,0)),"")</f>
        <v/>
      </c>
      <c r="T367" t="str">
        <f>IFERROR(INDEX('2024_25'!$P:$P,MATCH($A367,'2024_25'!$A:$A,0)),"")</f>
        <v/>
      </c>
      <c r="U367" t="str">
        <f>IFERROR(INDEX('2025_26'!$P:$P,MATCH($A367,'2025_26'!$A:$A,0)),"")</f>
        <v/>
      </c>
      <c r="V367" t="str">
        <f>IFERROR(INDEX('2023_24'!$P:$P,MATCH($A367,'2023_24'!$A:$A,0)),"")</f>
        <v/>
      </c>
      <c r="W367" t="str">
        <f>IFERROR(INDEX('2024_25'!$Q:$Q,MATCH($A367,'2024_25'!$A:$A,0)),"")</f>
        <v/>
      </c>
      <c r="X367" t="str">
        <f>IFERROR(INDEX('2025_26'!$Q:$Q,MATCH($A367,'2025_26'!$A:$A,0)),"")</f>
        <v/>
      </c>
      <c r="Y367" t="str">
        <f>IFERROR(INDEX('2023_24'!$M:$M,MATCH($A367,'2023_24'!$A:$A,0))/INDEX('2023_24'!$G:$G,MATCH($A367,'2023_24'!$A:$A,0))*90,"")</f>
        <v/>
      </c>
      <c r="Z367" t="str">
        <f>IFERROR(INDEX('2024_25'!$M:$M,MATCH($A367,'2024_25'!$A:$A,0))/INDEX('2024_25'!$G:$G,MATCH($A367,'2024_25'!$A:$A,0))*90,"")</f>
        <v/>
      </c>
      <c r="AA367" t="str">
        <f>IFERROR(INDEX('2025_26'!$M:$M,MATCH($A367,'2025_26'!$A:$A,0))/INDEX('2025_26'!$G:$G,MATCH($A367,'2025_26'!$A:$A,0))*90,"")</f>
        <v/>
      </c>
      <c r="AB367" t="str">
        <f>IFERROR(SUMPRODUCT(S367:U367,{0.2,0.3,0.5})/SUMPRODUCT(--(S367:U367&lt;&gt;""),{0.2,0.3,0.5}),"")</f>
        <v/>
      </c>
      <c r="AC367" t="str">
        <f>IFERROR(SUMPRODUCT(V367:X367,{0.2,0.3,0.5})/SUMPRODUCT(--(V367:X367&lt;&gt;""),{0.2,0.3,0.5}),"")</f>
        <v/>
      </c>
      <c r="AD367">
        <f>IFERROR(SUMPRODUCT(Y367:AA367,{0.2,0.3,0.5})/SUMPRODUCT((Y367:AA367&lt;&gt;"")*{0.2,0.3,0.5}),O367)</f>
        <v>5.2941176470588234</v>
      </c>
      <c r="AE367">
        <f t="shared" si="135"/>
        <v>0</v>
      </c>
      <c r="AF367" t="str">
        <f t="shared" si="136"/>
        <v/>
      </c>
      <c r="AG367">
        <f t="shared" si="137"/>
        <v>0</v>
      </c>
      <c r="AH367">
        <f t="shared" si="138"/>
        <v>0</v>
      </c>
      <c r="AI367" s="2">
        <f t="shared" si="139"/>
        <v>5.2941176470588234</v>
      </c>
      <c r="AJ367">
        <f t="shared" si="140"/>
        <v>5.6666666666666664E-2</v>
      </c>
      <c r="AK367" t="str">
        <f t="shared" si="141"/>
        <v>YES</v>
      </c>
      <c r="AL367">
        <f t="shared" si="142"/>
        <v>0</v>
      </c>
      <c r="AM367">
        <f t="shared" si="143"/>
        <v>0</v>
      </c>
      <c r="AN367">
        <f t="shared" si="144"/>
        <v>0</v>
      </c>
      <c r="AO367">
        <f t="shared" si="145"/>
        <v>0</v>
      </c>
      <c r="AP367">
        <f t="array" ref="AP367">AL367*IF($C367="GKP",10,IF($C367="DEF",6,IF($C367="MID",5,4)))</f>
        <v>0</v>
      </c>
      <c r="AQ367">
        <f t="shared" si="146"/>
        <v>0</v>
      </c>
      <c r="AR367">
        <f t="shared" si="147"/>
        <v>0</v>
      </c>
      <c r="AS367" s="2">
        <f>IF($H367=0,0,Player_Analysis!$AM367*$H367/90)</f>
        <v>0</v>
      </c>
      <c r="AT367">
        <f t="shared" si="148"/>
        <v>0</v>
      </c>
      <c r="AU367" s="2">
        <f>0</f>
        <v>0</v>
      </c>
      <c r="AV367" s="2">
        <f>IF(INDEX(FPL_Raw_Data!K:K,MATCH(A367,FPL_Raw_Data!AA:AA,0))=0,"",INDEX(FPL_Raw_Data!P:P,MATCH(A367,FPL_Raw_Data!AA:AA,0))/INDEX(FPL_Raw_Data!K:K,MATCH(A367,FPL_Raw_Data!AA:AA,0))*90)</f>
        <v>0</v>
      </c>
      <c r="AW367" s="2">
        <f t="shared" si="149"/>
        <v>0</v>
      </c>
      <c r="AX367" s="2">
        <f>IFERROR(INDEX(TEAM_ANALYSIS!$H$2:$H$21,MATCH($B367,TEAM_ANALYSIS!$A$2:$A$21,0)),0)</f>
        <v>2.6666666666666665</v>
      </c>
      <c r="AY367" s="2">
        <f t="shared" si="150"/>
        <v>-1.3333333333333333</v>
      </c>
      <c r="AZ367" s="2">
        <f t="shared" si="151"/>
        <v>-1.3333333333333333</v>
      </c>
      <c r="BA367">
        <f t="shared" si="152"/>
        <v>-0.33333333333333331</v>
      </c>
      <c r="BB367">
        <f>IFERROR(Player_Analysis!$Y367,1)</f>
        <v>0.81436734693877555</v>
      </c>
      <c r="BC367">
        <f t="shared" si="153"/>
        <v>-1.0858231292517007</v>
      </c>
      <c r="BD367">
        <f t="shared" si="154"/>
        <v>0.36194104308390018</v>
      </c>
      <c r="BE367">
        <f t="shared" si="155"/>
        <v>-1.0858231292517007</v>
      </c>
      <c r="BF367">
        <f t="shared" si="156"/>
        <v>587</v>
      </c>
      <c r="BG367">
        <f>IF($BE367="","",COUNTIFS($C$2:$C$596,$C367,$BE$2:$BE$596,"&gt;"&amp;$BE367)+COUNTIFS($C$2:$C367,$C367,$BE$2:$BE367,$BE367))</f>
        <v>186</v>
      </c>
    </row>
    <row r="368" spans="1:59" x14ac:dyDescent="0.25">
      <c r="A368" t="str">
        <f>Player_Analysis!A368</f>
        <v>Marcelino Núñez</v>
      </c>
      <c r="B368">
        <f>Player_Analysis!C368</f>
        <v>12</v>
      </c>
      <c r="C368" t="str">
        <f>Player_Analysis!B368</f>
        <v>MID</v>
      </c>
      <c r="D368" s="13">
        <f>Player_Analysis!E368</f>
        <v>5</v>
      </c>
      <c r="E368">
        <f>Player_Analysis!I368</f>
        <v>140</v>
      </c>
      <c r="F368" s="8">
        <f>Player_Analysis!Z368</f>
        <v>2</v>
      </c>
      <c r="G368" s="17">
        <f t="shared" si="131"/>
        <v>1</v>
      </c>
      <c r="H368">
        <f t="shared" si="132"/>
        <v>90</v>
      </c>
      <c r="I368" s="8">
        <f>Player_Analysis!AF368</f>
        <v>0</v>
      </c>
      <c r="J368" s="8">
        <f>Player_Analysis!AG368</f>
        <v>0</v>
      </c>
      <c r="K368">
        <f>Player_Analysis!O368</f>
        <v>0.03</v>
      </c>
      <c r="L368">
        <f>Player_Analysis!P368</f>
        <v>0.05</v>
      </c>
      <c r="M368">
        <f t="shared" si="133"/>
        <v>1.9285714285714285E-2</v>
      </c>
      <c r="N368">
        <f t="shared" si="134"/>
        <v>3.214285714285714E-2</v>
      </c>
      <c r="O368" s="2">
        <f>IF(E368=0,"",Player_Analysis!L368/E368*90)</f>
        <v>3.8571428571428572</v>
      </c>
      <c r="P368">
        <f>IF(E368=0,"",Player_Analysis!Q368/E368*90)</f>
        <v>5.1428571428571435E-2</v>
      </c>
      <c r="Q368">
        <f>IF(E368=0,"",(Player_Analysis!AD368/E368)*90)</f>
        <v>20.571428571428569</v>
      </c>
      <c r="R368">
        <f>IF(E368=0,"",Player_Analysis!AA368/E368*90)</f>
        <v>13.5</v>
      </c>
      <c r="S368" t="str">
        <f t="array" ref="S368">IFERROR(INDEX('2023_24'!$O:$O,MATCH($A368,'2023_24'!$A:$A,0)),"")</f>
        <v/>
      </c>
      <c r="T368" t="str">
        <f>IFERROR(INDEX('2024_25'!$P:$P,MATCH($A368,'2024_25'!$A:$A,0)),"")</f>
        <v/>
      </c>
      <c r="U368" t="str">
        <f>IFERROR(INDEX('2025_26'!$P:$P,MATCH($A368,'2025_26'!$A:$A,0)),"")</f>
        <v/>
      </c>
      <c r="V368" t="str">
        <f>IFERROR(INDEX('2023_24'!$P:$P,MATCH($A368,'2023_24'!$A:$A,0)),"")</f>
        <v/>
      </c>
      <c r="W368" t="str">
        <f>IFERROR(INDEX('2024_25'!$Q:$Q,MATCH($A368,'2024_25'!$A:$A,0)),"")</f>
        <v/>
      </c>
      <c r="X368" t="str">
        <f>IFERROR(INDEX('2025_26'!$Q:$Q,MATCH($A368,'2025_26'!$A:$A,0)),"")</f>
        <v/>
      </c>
      <c r="Y368" t="str">
        <f>IFERROR(INDEX('2023_24'!$M:$M,MATCH($A368,'2023_24'!$A:$A,0))/INDEX('2023_24'!$G:$G,MATCH($A368,'2023_24'!$A:$A,0))*90,"")</f>
        <v/>
      </c>
      <c r="Z368" t="str">
        <f>IFERROR(INDEX('2024_25'!$M:$M,MATCH($A368,'2024_25'!$A:$A,0))/INDEX('2024_25'!$G:$G,MATCH($A368,'2024_25'!$A:$A,0))*90,"")</f>
        <v/>
      </c>
      <c r="AA368" t="str">
        <f>IFERROR(INDEX('2025_26'!$M:$M,MATCH($A368,'2025_26'!$A:$A,0))/INDEX('2025_26'!$G:$G,MATCH($A368,'2025_26'!$A:$A,0))*90,"")</f>
        <v/>
      </c>
      <c r="AB368" t="str">
        <f>IFERROR(SUMPRODUCT(S368:U368,{0.2,0.3,0.5})/SUMPRODUCT(--(S368:U368&lt;&gt;""),{0.2,0.3,0.5}),"")</f>
        <v/>
      </c>
      <c r="AC368" t="str">
        <f>IFERROR(SUMPRODUCT(V368:X368,{0.2,0.3,0.5})/SUMPRODUCT(--(V368:X368&lt;&gt;""),{0.2,0.3,0.5}),"")</f>
        <v/>
      </c>
      <c r="AD368">
        <f>IFERROR(SUMPRODUCT(Y368:AA368,{0.2,0.3,0.5})/SUMPRODUCT((Y368:AA368&lt;&gt;"")*{0.2,0.3,0.5}),O368)</f>
        <v>3.8571428571428572</v>
      </c>
      <c r="AE368">
        <f t="shared" si="135"/>
        <v>0</v>
      </c>
      <c r="AF368">
        <f t="shared" si="136"/>
        <v>70</v>
      </c>
      <c r="AG368">
        <f t="shared" si="137"/>
        <v>1.9285714285714285E-2</v>
      </c>
      <c r="AH368">
        <f t="shared" si="138"/>
        <v>3.214285714285714E-2</v>
      </c>
      <c r="AI368" s="2">
        <f t="shared" si="139"/>
        <v>3.8571428571428568</v>
      </c>
      <c r="AJ368">
        <f t="shared" si="140"/>
        <v>0.46666666666666667</v>
      </c>
      <c r="AK368" t="str">
        <f t="shared" si="141"/>
        <v>YES</v>
      </c>
      <c r="AL368">
        <f t="shared" si="142"/>
        <v>1.9285714285714285E-2</v>
      </c>
      <c r="AM368">
        <f t="shared" si="143"/>
        <v>3.214285714285714E-2</v>
      </c>
      <c r="AN368">
        <f t="shared" si="144"/>
        <v>1.9285714285714285E-2</v>
      </c>
      <c r="AO368">
        <f t="shared" si="145"/>
        <v>3.214285714285714E-2</v>
      </c>
      <c r="AP368">
        <f t="array" ref="AP368">AL368*IF($C368="GKP",10,IF($C368="DEF",6,IF($C368="MID",5,4)))</f>
        <v>9.6428571428571419E-2</v>
      </c>
      <c r="AQ368">
        <f t="shared" si="146"/>
        <v>9.6428571428571419E-2</v>
      </c>
      <c r="AR368">
        <f t="shared" si="147"/>
        <v>2</v>
      </c>
      <c r="AS368" s="2">
        <f>IF($H368=0,0,Player_Analysis!$AM368*$H368/90)</f>
        <v>0</v>
      </c>
      <c r="AT368">
        <f t="shared" si="148"/>
        <v>2.25</v>
      </c>
      <c r="AU368" s="2">
        <f>0</f>
        <v>0</v>
      </c>
      <c r="AV368" s="2">
        <f>IF(INDEX(FPL_Raw_Data!K:K,MATCH(A368,FPL_Raw_Data!AA:AA,0))=0,"",INDEX(FPL_Raw_Data!P:P,MATCH(A368,FPL_Raw_Data!AA:AA,0))/INDEX(FPL_Raw_Data!K:K,MATCH(A368,FPL_Raw_Data!AA:AA,0))*90)</f>
        <v>0</v>
      </c>
      <c r="AW368" s="2">
        <f t="shared" si="149"/>
        <v>0</v>
      </c>
      <c r="AX368" s="2">
        <f>IFERROR(INDEX(TEAM_ANALYSIS!$H$2:$H$21,MATCH($B368,TEAM_ANALYSIS!$A$2:$A$21,0)),0)</f>
        <v>2.6666666666666665</v>
      </c>
      <c r="AY368" s="2">
        <f t="shared" si="150"/>
        <v>0</v>
      </c>
      <c r="AZ368" s="2">
        <f t="shared" si="151"/>
        <v>4.4428571428571431</v>
      </c>
      <c r="BA368">
        <f t="shared" si="152"/>
        <v>0.88857142857142857</v>
      </c>
      <c r="BB368">
        <f>IFERROR(Player_Analysis!$Y368,1)</f>
        <v>1.0097491349480967</v>
      </c>
      <c r="BC368">
        <f t="shared" si="153"/>
        <v>4.4861711566979725</v>
      </c>
      <c r="BD368">
        <f t="shared" si="154"/>
        <v>3.9862835135230554</v>
      </c>
      <c r="BE368">
        <f t="shared" si="155"/>
        <v>4.4861711566979725</v>
      </c>
      <c r="BF368">
        <f t="shared" si="156"/>
        <v>124</v>
      </c>
      <c r="BG368">
        <f>IF($BE368="","",COUNTIFS($C$2:$C$596,$C368,$BE$2:$BE$596,"&gt;"&amp;$BE368)+COUNTIFS($C$2:$C368,$C368,$BE$2:$BE368,$BE368))</f>
        <v>59</v>
      </c>
    </row>
    <row r="369" spans="1:59" x14ac:dyDescent="0.25">
      <c r="A369" t="str">
        <f>Player_Analysis!A369</f>
        <v>Azor Matusiwa</v>
      </c>
      <c r="B369">
        <f>Player_Analysis!C369</f>
        <v>12</v>
      </c>
      <c r="C369" t="str">
        <f>Player_Analysis!B369</f>
        <v>MID</v>
      </c>
      <c r="D369" s="13">
        <f>Player_Analysis!E369</f>
        <v>5</v>
      </c>
      <c r="E369">
        <f>Player_Analysis!I369</f>
        <v>0</v>
      </c>
      <c r="F369" s="8">
        <f>Player_Analysis!Z369</f>
        <v>0</v>
      </c>
      <c r="G369" s="17">
        <f t="shared" si="131"/>
        <v>0</v>
      </c>
      <c r="H369">
        <f t="shared" si="132"/>
        <v>0</v>
      </c>
      <c r="I369" s="8">
        <f>Player_Analysis!AF369</f>
        <v>0</v>
      </c>
      <c r="J369" s="8">
        <f>Player_Analysis!AG369</f>
        <v>0</v>
      </c>
      <c r="K369">
        <f>Player_Analysis!O369</f>
        <v>0</v>
      </c>
      <c r="L369">
        <f>Player_Analysis!P369</f>
        <v>0</v>
      </c>
      <c r="M369" t="str">
        <f t="shared" si="133"/>
        <v/>
      </c>
      <c r="N369" t="str">
        <f t="shared" si="134"/>
        <v/>
      </c>
      <c r="O369" s="2" t="str">
        <f>IF(E369=0,"",Player_Analysis!L369/E369*90)</f>
        <v/>
      </c>
      <c r="P369" t="str">
        <f>IF(E369=0,"",Player_Analysis!Q369/E369*90)</f>
        <v/>
      </c>
      <c r="Q369" t="str">
        <f>IF(E369=0,"",(Player_Analysis!AD369/E369)*90)</f>
        <v/>
      </c>
      <c r="R369" t="str">
        <f>IF(E369=0,"",Player_Analysis!AA369/E369*90)</f>
        <v/>
      </c>
      <c r="S369" t="str">
        <f t="array" ref="S369">IFERROR(INDEX('2023_24'!$O:$O,MATCH($A369,'2023_24'!$A:$A,0)),"")</f>
        <v/>
      </c>
      <c r="T369" t="str">
        <f>IFERROR(INDEX('2024_25'!$P:$P,MATCH($A369,'2024_25'!$A:$A,0)),"")</f>
        <v/>
      </c>
      <c r="U369" t="str">
        <f>IFERROR(INDEX('2025_26'!$P:$P,MATCH($A369,'2025_26'!$A:$A,0)),"")</f>
        <v/>
      </c>
      <c r="V369" t="str">
        <f>IFERROR(INDEX('2023_24'!$P:$P,MATCH($A369,'2023_24'!$A:$A,0)),"")</f>
        <v/>
      </c>
      <c r="W369" t="str">
        <f>IFERROR(INDEX('2024_25'!$Q:$Q,MATCH($A369,'2024_25'!$A:$A,0)),"")</f>
        <v/>
      </c>
      <c r="X369" t="str">
        <f>IFERROR(INDEX('2025_26'!$Q:$Q,MATCH($A369,'2025_26'!$A:$A,0)),"")</f>
        <v/>
      </c>
      <c r="Y369" t="str">
        <f>IFERROR(INDEX('2023_24'!$M:$M,MATCH($A369,'2023_24'!$A:$A,0))/INDEX('2023_24'!$G:$G,MATCH($A369,'2023_24'!$A:$A,0))*90,"")</f>
        <v/>
      </c>
      <c r="Z369" t="str">
        <f>IFERROR(INDEX('2024_25'!$M:$M,MATCH($A369,'2024_25'!$A:$A,0))/INDEX('2024_25'!$G:$G,MATCH($A369,'2024_25'!$A:$A,0))*90,"")</f>
        <v/>
      </c>
      <c r="AA369" t="str">
        <f>IFERROR(INDEX('2025_26'!$M:$M,MATCH($A369,'2025_26'!$A:$A,0))/INDEX('2025_26'!$G:$G,MATCH($A369,'2025_26'!$A:$A,0))*90,"")</f>
        <v/>
      </c>
      <c r="AB369" t="str">
        <f>IFERROR(SUMPRODUCT(S369:U369,{0.2,0.3,0.5})/SUMPRODUCT(--(S369:U369&lt;&gt;""),{0.2,0.3,0.5}),"")</f>
        <v/>
      </c>
      <c r="AC369" t="str">
        <f>IFERROR(SUMPRODUCT(V369:X369,{0.2,0.3,0.5})/SUMPRODUCT(--(V369:X369&lt;&gt;""),{0.2,0.3,0.5}),"")</f>
        <v/>
      </c>
      <c r="AD369" t="str">
        <f>IFERROR(SUMPRODUCT(Y369:AA369,{0.2,0.3,0.5})/SUMPRODUCT((Y369:AA369&lt;&gt;"")*{0.2,0.3,0.5}),O369)</f>
        <v/>
      </c>
      <c r="AE369">
        <f t="shared" si="135"/>
        <v>0</v>
      </c>
      <c r="AF369" t="str">
        <f t="shared" si="136"/>
        <v/>
      </c>
      <c r="AG369">
        <f t="shared" si="137"/>
        <v>0</v>
      </c>
      <c r="AH369">
        <f t="shared" si="138"/>
        <v>0</v>
      </c>
      <c r="AI369" s="2">
        <f t="shared" si="139"/>
        <v>0</v>
      </c>
      <c r="AJ369">
        <f t="shared" si="140"/>
        <v>0</v>
      </c>
      <c r="AK369" t="str">
        <f t="shared" si="141"/>
        <v>YES</v>
      </c>
      <c r="AL369">
        <f t="shared" si="142"/>
        <v>0</v>
      </c>
      <c r="AM369">
        <f t="shared" si="143"/>
        <v>0</v>
      </c>
      <c r="AN369">
        <f t="shared" si="144"/>
        <v>0</v>
      </c>
      <c r="AO369">
        <f t="shared" si="145"/>
        <v>0</v>
      </c>
      <c r="AP369">
        <f t="array" ref="AP369">AL369*IF($C369="GKP",10,IF($C369="DEF",6,IF($C369="MID",5,4)))</f>
        <v>0</v>
      </c>
      <c r="AQ369">
        <f t="shared" si="146"/>
        <v>0</v>
      </c>
      <c r="AR369">
        <f t="shared" si="147"/>
        <v>0</v>
      </c>
      <c r="AS369" s="2">
        <f>IF($H369=0,0,Player_Analysis!$AM369*$H369/90)</f>
        <v>0</v>
      </c>
      <c r="AT369">
        <f t="shared" si="148"/>
        <v>0</v>
      </c>
      <c r="AU369" s="2">
        <f>0</f>
        <v>0</v>
      </c>
      <c r="AV369" s="2" t="str">
        <f>IF(INDEX(FPL_Raw_Data!K:K,MATCH(A369,FPL_Raw_Data!AA:AA,0))=0,"",INDEX(FPL_Raw_Data!P:P,MATCH(A369,FPL_Raw_Data!AA:AA,0))/INDEX(FPL_Raw_Data!K:K,MATCH(A369,FPL_Raw_Data!AA:AA,0))*90)</f>
        <v/>
      </c>
      <c r="AW369" s="2">
        <f t="shared" si="149"/>
        <v>0</v>
      </c>
      <c r="AX369" s="2">
        <f>IFERROR(INDEX(TEAM_ANALYSIS!$H$2:$H$21,MATCH($B369,TEAM_ANALYSIS!$A$2:$A$21,0)),0)</f>
        <v>2.6666666666666665</v>
      </c>
      <c r="AY369" s="2">
        <f t="shared" si="150"/>
        <v>0</v>
      </c>
      <c r="AZ369" s="2">
        <f t="shared" si="151"/>
        <v>0</v>
      </c>
      <c r="BA369">
        <f t="shared" si="152"/>
        <v>0</v>
      </c>
      <c r="BB369">
        <f>IFERROR(Player_Analysis!$Y369,1)</f>
        <v>1.0097491349480967</v>
      </c>
      <c r="BC369">
        <f t="shared" si="153"/>
        <v>0</v>
      </c>
      <c r="BD369">
        <f t="shared" si="154"/>
        <v>0</v>
      </c>
      <c r="BE369">
        <f t="shared" si="155"/>
        <v>0</v>
      </c>
      <c r="BF369">
        <f t="shared" si="156"/>
        <v>253</v>
      </c>
      <c r="BG369">
        <f>IF($BE369="","",COUNTIFS($C$2:$C$596,$C369,$BE$2:$BE$596,"&gt;"&amp;$BE369)+COUNTIFS($C$2:$C369,$C369,$BE$2:$BE369,$BE369))</f>
        <v>206</v>
      </c>
    </row>
    <row r="370" spans="1:59" x14ac:dyDescent="0.25">
      <c r="A370" t="str">
        <f>Player_Analysis!A370</f>
        <v>Wes Burns</v>
      </c>
      <c r="B370">
        <f>Player_Analysis!C370</f>
        <v>12</v>
      </c>
      <c r="C370" t="str">
        <f>Player_Analysis!B370</f>
        <v>MID</v>
      </c>
      <c r="D370" s="13">
        <f>Player_Analysis!E370</f>
        <v>5</v>
      </c>
      <c r="E370">
        <f>Player_Analysis!I370</f>
        <v>0</v>
      </c>
      <c r="F370" s="8">
        <f>Player_Analysis!Z370</f>
        <v>0</v>
      </c>
      <c r="G370" s="17">
        <f t="shared" si="131"/>
        <v>0</v>
      </c>
      <c r="H370">
        <f t="shared" si="132"/>
        <v>0</v>
      </c>
      <c r="I370" s="8">
        <f>Player_Analysis!AF370</f>
        <v>0</v>
      </c>
      <c r="J370" s="8">
        <f>Player_Analysis!AG370</f>
        <v>0</v>
      </c>
      <c r="K370">
        <f>Player_Analysis!O370</f>
        <v>0</v>
      </c>
      <c r="L370">
        <f>Player_Analysis!P370</f>
        <v>0</v>
      </c>
      <c r="M370" t="str">
        <f t="shared" si="133"/>
        <v/>
      </c>
      <c r="N370" t="str">
        <f t="shared" si="134"/>
        <v/>
      </c>
      <c r="O370" s="2" t="str">
        <f>IF(E370=0,"",Player_Analysis!L370/E370*90)</f>
        <v/>
      </c>
      <c r="P370" t="str">
        <f>IF(E370=0,"",Player_Analysis!Q370/E370*90)</f>
        <v/>
      </c>
      <c r="Q370" t="str">
        <f>IF(E370=0,"",(Player_Analysis!AD370/E370)*90)</f>
        <v/>
      </c>
      <c r="R370" t="str">
        <f>IF(E370=0,"",Player_Analysis!AA370/E370*90)</f>
        <v/>
      </c>
      <c r="S370" t="str">
        <f t="array" ref="S370">IFERROR(INDEX('2023_24'!$O:$O,MATCH($A370,'2023_24'!$A:$A,0)),"")</f>
        <v/>
      </c>
      <c r="T370">
        <f>IFERROR(INDEX('2024_25'!$P:$P,MATCH($A370,'2024_25'!$A:$A,0)),"")</f>
        <v>4.8806941431670282E-2</v>
      </c>
      <c r="U370" t="str">
        <f>IFERROR(INDEX('2025_26'!$P:$P,MATCH($A370,'2025_26'!$A:$A,0)),"")</f>
        <v/>
      </c>
      <c r="V370" t="str">
        <f>IFERROR(INDEX('2023_24'!$P:$P,MATCH($A370,'2023_24'!$A:$A,0)),"")</f>
        <v/>
      </c>
      <c r="W370">
        <f>IFERROR(INDEX('2024_25'!$Q:$Q,MATCH($A370,'2024_25'!$A:$A,0)),"")</f>
        <v>0.11420824295010845</v>
      </c>
      <c r="X370" t="str">
        <f>IFERROR(INDEX('2025_26'!$Q:$Q,MATCH($A370,'2025_26'!$A:$A,0)),"")</f>
        <v/>
      </c>
      <c r="Y370" t="str">
        <f>IFERROR(INDEX('2023_24'!$M:$M,MATCH($A370,'2023_24'!$A:$A,0))/INDEX('2023_24'!$G:$G,MATCH($A370,'2023_24'!$A:$A,0))*90,"")</f>
        <v/>
      </c>
      <c r="Z370">
        <f>IFERROR(INDEX('2024_25'!$M:$M,MATCH($A370,'2024_25'!$A:$A,0))/INDEX('2024_25'!$G:$G,MATCH($A370,'2024_25'!$A:$A,0))*90,"")</f>
        <v>2.9284164859002169</v>
      </c>
      <c r="AA370" t="str">
        <f>IFERROR(INDEX('2025_26'!$M:$M,MATCH($A370,'2025_26'!$A:$A,0))/INDEX('2025_26'!$G:$G,MATCH($A370,'2025_26'!$A:$A,0))*90,"")</f>
        <v/>
      </c>
      <c r="AB370">
        <f>IFERROR(SUMPRODUCT(S370:U370,{0.2,0.3,0.5})/SUMPRODUCT(--(S370:U370&lt;&gt;""),{0.2,0.3,0.5}),"")</f>
        <v>4.8806941431670282E-2</v>
      </c>
      <c r="AC370">
        <f>IFERROR(SUMPRODUCT(V370:X370,{0.2,0.3,0.5})/SUMPRODUCT(--(V370:X370&lt;&gt;""),{0.2,0.3,0.5}),"")</f>
        <v>0.11420824295010845</v>
      </c>
      <c r="AD370">
        <f>IFERROR(SUMPRODUCT(Y370:AA370,{0.2,0.3,0.5})/SUMPRODUCT((Y370:AA370&lt;&gt;"")*{0.2,0.3,0.5}),O370)</f>
        <v>2.9284164859002169</v>
      </c>
      <c r="AE370">
        <f t="shared" si="135"/>
        <v>1</v>
      </c>
      <c r="AF370" t="str">
        <f t="shared" si="136"/>
        <v/>
      </c>
      <c r="AG370">
        <f t="shared" si="137"/>
        <v>4.8806941431670282E-2</v>
      </c>
      <c r="AH370">
        <f t="shared" si="138"/>
        <v>0.11420824295010845</v>
      </c>
      <c r="AI370" s="2">
        <f t="shared" si="139"/>
        <v>2.9284164859002169</v>
      </c>
      <c r="AJ370">
        <f t="shared" si="140"/>
        <v>0</v>
      </c>
      <c r="AK370" t="str">
        <f t="shared" si="141"/>
        <v>NO</v>
      </c>
      <c r="AL370">
        <f t="shared" si="142"/>
        <v>0</v>
      </c>
      <c r="AM370">
        <f t="shared" si="143"/>
        <v>0</v>
      </c>
      <c r="AN370">
        <f t="shared" si="144"/>
        <v>0</v>
      </c>
      <c r="AO370">
        <f t="shared" si="145"/>
        <v>0</v>
      </c>
      <c r="AP370">
        <f t="array" ref="AP370">AL370*IF($C370="GKP",10,IF($C370="DEF",6,IF($C370="MID",5,4)))</f>
        <v>0</v>
      </c>
      <c r="AQ370">
        <f t="shared" si="146"/>
        <v>0</v>
      </c>
      <c r="AR370">
        <f t="shared" si="147"/>
        <v>0</v>
      </c>
      <c r="AS370" s="2">
        <f>IF($H370=0,0,Player_Analysis!$AM370*$H370/90)</f>
        <v>0</v>
      </c>
      <c r="AT370">
        <f t="shared" si="148"/>
        <v>0</v>
      </c>
      <c r="AU370" s="2">
        <f>0</f>
        <v>0</v>
      </c>
      <c r="AV370" s="2" t="str">
        <f>IF(INDEX(FPL_Raw_Data!K:K,MATCH(A370,FPL_Raw_Data!AA:AA,0))=0,"",INDEX(FPL_Raw_Data!P:P,MATCH(A370,FPL_Raw_Data!AA:AA,0))/INDEX(FPL_Raw_Data!K:K,MATCH(A370,FPL_Raw_Data!AA:AA,0))*90)</f>
        <v/>
      </c>
      <c r="AW370" s="2">
        <f t="shared" si="149"/>
        <v>0</v>
      </c>
      <c r="AX370" s="2">
        <f>IFERROR(INDEX(TEAM_ANALYSIS!$H$2:$H$21,MATCH($B370,TEAM_ANALYSIS!$A$2:$A$21,0)),0)</f>
        <v>2.6666666666666665</v>
      </c>
      <c r="AY370" s="2">
        <f t="shared" si="150"/>
        <v>0</v>
      </c>
      <c r="AZ370" s="2">
        <f t="shared" si="151"/>
        <v>0</v>
      </c>
      <c r="BA370">
        <f t="shared" si="152"/>
        <v>0</v>
      </c>
      <c r="BB370">
        <f>IFERROR(Player_Analysis!$Y370,1)</f>
        <v>1.0097491349480967</v>
      </c>
      <c r="BC370">
        <f t="shared" si="153"/>
        <v>0</v>
      </c>
      <c r="BD370">
        <f t="shared" si="154"/>
        <v>0</v>
      </c>
      <c r="BE370">
        <f t="shared" si="155"/>
        <v>0</v>
      </c>
      <c r="BF370">
        <f t="shared" si="156"/>
        <v>253</v>
      </c>
      <c r="BG370">
        <f>IF($BE370="","",COUNTIFS($C$2:$C$596,$C370,$BE$2:$BE$596,"&gt;"&amp;$BE370)+COUNTIFS($C$2:$C370,$C370,$BE$2:$BE370,$BE370))</f>
        <v>207</v>
      </c>
    </row>
    <row r="371" spans="1:59" x14ac:dyDescent="0.25">
      <c r="A371" t="str">
        <f>Player_Analysis!A371</f>
        <v>Jack Taylor</v>
      </c>
      <c r="B371">
        <f>Player_Analysis!C371</f>
        <v>12</v>
      </c>
      <c r="C371" t="str">
        <f>Player_Analysis!B371</f>
        <v>MID</v>
      </c>
      <c r="D371" s="13">
        <f>Player_Analysis!E371</f>
        <v>4.5</v>
      </c>
      <c r="E371">
        <f>Player_Analysis!I371</f>
        <v>0</v>
      </c>
      <c r="F371" s="8">
        <f>Player_Analysis!Z371</f>
        <v>0</v>
      </c>
      <c r="G371" s="17">
        <f t="shared" si="131"/>
        <v>0</v>
      </c>
      <c r="H371">
        <f t="shared" si="132"/>
        <v>0</v>
      </c>
      <c r="I371" s="8">
        <f>Player_Analysis!AF371</f>
        <v>0</v>
      </c>
      <c r="J371" s="8">
        <f>Player_Analysis!AG371</f>
        <v>0</v>
      </c>
      <c r="K371">
        <f>Player_Analysis!O371</f>
        <v>0</v>
      </c>
      <c r="L371">
        <f>Player_Analysis!P371</f>
        <v>0</v>
      </c>
      <c r="M371" t="str">
        <f t="shared" si="133"/>
        <v/>
      </c>
      <c r="N371" t="str">
        <f t="shared" si="134"/>
        <v/>
      </c>
      <c r="O371" s="2" t="str">
        <f>IF(E371=0,"",Player_Analysis!L371/E371*90)</f>
        <v/>
      </c>
      <c r="P371" t="str">
        <f>IF(E371=0,"",Player_Analysis!Q371/E371*90)</f>
        <v/>
      </c>
      <c r="Q371" t="str">
        <f>IF(E371=0,"",(Player_Analysis!AD371/E371)*90)</f>
        <v/>
      </c>
      <c r="R371" t="str">
        <f>IF(E371=0,"",Player_Analysis!AA371/E371*90)</f>
        <v/>
      </c>
      <c r="S371" t="str">
        <f t="array" ref="S371">IFERROR(INDEX('2023_24'!$O:$O,MATCH($A371,'2023_24'!$A:$A,0)),"")</f>
        <v/>
      </c>
      <c r="T371">
        <f>IFERROR(INDEX('2024_25'!$P:$P,MATCH($A371,'2024_25'!$A:$A,0)),"")</f>
        <v>8.0645161290322578E-2</v>
      </c>
      <c r="U371" t="str">
        <f>IFERROR(INDEX('2025_26'!$P:$P,MATCH($A371,'2025_26'!$A:$A,0)),"")</f>
        <v/>
      </c>
      <c r="V371" t="str">
        <f>IFERROR(INDEX('2023_24'!$P:$P,MATCH($A371,'2023_24'!$A:$A,0)),"")</f>
        <v/>
      </c>
      <c r="W371">
        <f>IFERROR(INDEX('2024_25'!$Q:$Q,MATCH($A371,'2024_25'!$A:$A,0)),"")</f>
        <v>8.2795698924731195E-2</v>
      </c>
      <c r="X371" t="str">
        <f>IFERROR(INDEX('2025_26'!$Q:$Q,MATCH($A371,'2025_26'!$A:$A,0)),"")</f>
        <v/>
      </c>
      <c r="Y371" t="str">
        <f>IFERROR(INDEX('2023_24'!$M:$M,MATCH($A371,'2023_24'!$A:$A,0))/INDEX('2023_24'!$G:$G,MATCH($A371,'2023_24'!$A:$A,0))*90,"")</f>
        <v/>
      </c>
      <c r="Z371">
        <f>IFERROR(INDEX('2024_25'!$M:$M,MATCH($A371,'2024_25'!$A:$A,0))/INDEX('2024_25'!$G:$G,MATCH($A371,'2024_25'!$A:$A,0))*90,"")</f>
        <v>4.086021505376344</v>
      </c>
      <c r="AA371" t="str">
        <f>IFERROR(INDEX('2025_26'!$M:$M,MATCH($A371,'2025_26'!$A:$A,0))/INDEX('2025_26'!$G:$G,MATCH($A371,'2025_26'!$A:$A,0))*90,"")</f>
        <v/>
      </c>
      <c r="AB371">
        <f>IFERROR(SUMPRODUCT(S371:U371,{0.2,0.3,0.5})/SUMPRODUCT(--(S371:U371&lt;&gt;""),{0.2,0.3,0.5}),"")</f>
        <v>8.0645161290322578E-2</v>
      </c>
      <c r="AC371">
        <f>IFERROR(SUMPRODUCT(V371:X371,{0.2,0.3,0.5})/SUMPRODUCT(--(V371:X371&lt;&gt;""),{0.2,0.3,0.5}),"")</f>
        <v>8.2795698924731195E-2</v>
      </c>
      <c r="AD371">
        <f>IFERROR(SUMPRODUCT(Y371:AA371,{0.2,0.3,0.5})/SUMPRODUCT((Y371:AA371&lt;&gt;"")*{0.2,0.3,0.5}),O371)</f>
        <v>4.086021505376344</v>
      </c>
      <c r="AE371">
        <f t="shared" si="135"/>
        <v>1</v>
      </c>
      <c r="AF371" t="str">
        <f t="shared" si="136"/>
        <v/>
      </c>
      <c r="AG371">
        <f t="shared" si="137"/>
        <v>8.0645161290322578E-2</v>
      </c>
      <c r="AH371">
        <f t="shared" si="138"/>
        <v>8.2795698924731195E-2</v>
      </c>
      <c r="AI371" s="2">
        <f t="shared" si="139"/>
        <v>4.086021505376344</v>
      </c>
      <c r="AJ371">
        <f t="shared" si="140"/>
        <v>0</v>
      </c>
      <c r="AK371" t="str">
        <f t="shared" si="141"/>
        <v>NO</v>
      </c>
      <c r="AL371">
        <f t="shared" si="142"/>
        <v>0</v>
      </c>
      <c r="AM371">
        <f t="shared" si="143"/>
        <v>0</v>
      </c>
      <c r="AN371">
        <f t="shared" si="144"/>
        <v>0</v>
      </c>
      <c r="AO371">
        <f t="shared" si="145"/>
        <v>0</v>
      </c>
      <c r="AP371">
        <f t="array" ref="AP371">AL371*IF($C371="GKP",10,IF($C371="DEF",6,IF($C371="MID",5,4)))</f>
        <v>0</v>
      </c>
      <c r="AQ371">
        <f t="shared" si="146"/>
        <v>0</v>
      </c>
      <c r="AR371">
        <f t="shared" si="147"/>
        <v>0</v>
      </c>
      <c r="AS371" s="2">
        <f>IF($H371=0,0,Player_Analysis!$AM371*$H371/90)</f>
        <v>0</v>
      </c>
      <c r="AT371">
        <f t="shared" si="148"/>
        <v>0</v>
      </c>
      <c r="AU371" s="2">
        <f>0</f>
        <v>0</v>
      </c>
      <c r="AV371" s="2" t="str">
        <f>IF(INDEX(FPL_Raw_Data!K:K,MATCH(A371,FPL_Raw_Data!AA:AA,0))=0,"",INDEX(FPL_Raw_Data!P:P,MATCH(A371,FPL_Raw_Data!AA:AA,0))/INDEX(FPL_Raw_Data!K:K,MATCH(A371,FPL_Raw_Data!AA:AA,0))*90)</f>
        <v/>
      </c>
      <c r="AW371" s="2">
        <f t="shared" si="149"/>
        <v>0</v>
      </c>
      <c r="AX371" s="2">
        <f>IFERROR(INDEX(TEAM_ANALYSIS!$H$2:$H$21,MATCH($B371,TEAM_ANALYSIS!$A$2:$A$21,0)),0)</f>
        <v>2.6666666666666665</v>
      </c>
      <c r="AY371" s="2">
        <f t="shared" si="150"/>
        <v>0</v>
      </c>
      <c r="AZ371" s="2">
        <f t="shared" si="151"/>
        <v>0</v>
      </c>
      <c r="BA371">
        <f t="shared" si="152"/>
        <v>0</v>
      </c>
      <c r="BB371">
        <f>IFERROR(Player_Analysis!$Y371,1)</f>
        <v>1.0097491349480967</v>
      </c>
      <c r="BC371">
        <f t="shared" si="153"/>
        <v>0</v>
      </c>
      <c r="BD371">
        <f t="shared" si="154"/>
        <v>0</v>
      </c>
      <c r="BE371">
        <f t="shared" si="155"/>
        <v>0</v>
      </c>
      <c r="BF371">
        <f t="shared" si="156"/>
        <v>253</v>
      </c>
      <c r="BG371">
        <f>IF($BE371="","",COUNTIFS($C$2:$C$596,$C371,$BE$2:$BE$596,"&gt;"&amp;$BE371)+COUNTIFS($C$2:$C371,$C371,$BE$2:$BE371,$BE371))</f>
        <v>208</v>
      </c>
    </row>
    <row r="372" spans="1:59" x14ac:dyDescent="0.25">
      <c r="A372" t="str">
        <f>Player_Analysis!A372</f>
        <v>Jack Clarke</v>
      </c>
      <c r="B372">
        <f>Player_Analysis!C372</f>
        <v>12</v>
      </c>
      <c r="C372" t="str">
        <f>Player_Analysis!B372</f>
        <v>MID</v>
      </c>
      <c r="D372" s="13">
        <f>Player_Analysis!E372</f>
        <v>5.5</v>
      </c>
      <c r="E372">
        <f>Player_Analysis!I372</f>
        <v>43</v>
      </c>
      <c r="F372" s="8">
        <f>Player_Analysis!Z372</f>
        <v>0</v>
      </c>
      <c r="G372" s="17">
        <f t="shared" si="131"/>
        <v>0</v>
      </c>
      <c r="H372">
        <f t="shared" si="132"/>
        <v>0</v>
      </c>
      <c r="I372" s="8">
        <f>Player_Analysis!AF372</f>
        <v>1</v>
      </c>
      <c r="J372" s="8">
        <f>Player_Analysis!AG372</f>
        <v>0</v>
      </c>
      <c r="K372">
        <f>Player_Analysis!O372</f>
        <v>0.15</v>
      </c>
      <c r="L372">
        <f>Player_Analysis!P372</f>
        <v>0.02</v>
      </c>
      <c r="M372">
        <f t="shared" si="133"/>
        <v>0.31395348837209303</v>
      </c>
      <c r="N372">
        <f t="shared" si="134"/>
        <v>4.1860465116279069E-2</v>
      </c>
      <c r="O372" s="2">
        <f>IF(E372=0,"",Player_Analysis!L372/E372*90)</f>
        <v>16.744186046511629</v>
      </c>
      <c r="P372">
        <f>IF(E372=0,"",Player_Analysis!Q372/E372*90)</f>
        <v>0.35581395348837214</v>
      </c>
      <c r="Q372">
        <f>IF(E372=0,"",(Player_Analysis!AD372/E372)*90)</f>
        <v>62.79069767441861</v>
      </c>
      <c r="R372">
        <f>IF(E372=0,"",Player_Analysis!AA372/E372*90)</f>
        <v>8.3720930232558146</v>
      </c>
      <c r="S372" t="str">
        <f t="array" ref="S372">IFERROR(INDEX('2023_24'!$O:$O,MATCH($A372,'2023_24'!$A:$A,0)),"")</f>
        <v/>
      </c>
      <c r="T372">
        <f>IFERROR(INDEX('2024_25'!$P:$P,MATCH($A372,'2024_25'!$A:$A,0)),"")</f>
        <v>9.0697674418604657E-2</v>
      </c>
      <c r="U372" t="str">
        <f>IFERROR(INDEX('2025_26'!$P:$P,MATCH($A372,'2025_26'!$A:$A,0)),"")</f>
        <v/>
      </c>
      <c r="V372" t="str">
        <f>IFERROR(INDEX('2023_24'!$P:$P,MATCH($A372,'2023_24'!$A:$A,0)),"")</f>
        <v/>
      </c>
      <c r="W372">
        <f>IFERROR(INDEX('2024_25'!$Q:$Q,MATCH($A372,'2024_25'!$A:$A,0)),"")</f>
        <v>8.6046511627906982E-2</v>
      </c>
      <c r="X372" t="str">
        <f>IFERROR(INDEX('2025_26'!$Q:$Q,MATCH($A372,'2025_26'!$A:$A,0)),"")</f>
        <v/>
      </c>
      <c r="Y372" t="str">
        <f>IFERROR(INDEX('2023_24'!$M:$M,MATCH($A372,'2023_24'!$A:$A,0))/INDEX('2023_24'!$G:$G,MATCH($A372,'2023_24'!$A:$A,0))*90,"")</f>
        <v/>
      </c>
      <c r="Z372">
        <f>IFERROR(INDEX('2024_25'!$M:$M,MATCH($A372,'2024_25'!$A:$A,0))/INDEX('2024_25'!$G:$G,MATCH($A372,'2024_25'!$A:$A,0))*90,"")</f>
        <v>4.1085271317829459</v>
      </c>
      <c r="AA372" t="str">
        <f>IFERROR(INDEX('2025_26'!$M:$M,MATCH($A372,'2025_26'!$A:$A,0))/INDEX('2025_26'!$G:$G,MATCH($A372,'2025_26'!$A:$A,0))*90,"")</f>
        <v/>
      </c>
      <c r="AB372">
        <f>IFERROR(SUMPRODUCT(S372:U372,{0.2,0.3,0.5})/SUMPRODUCT(--(S372:U372&lt;&gt;""),{0.2,0.3,0.5}),"")</f>
        <v>9.0697674418604657E-2</v>
      </c>
      <c r="AC372">
        <f>IFERROR(SUMPRODUCT(V372:X372,{0.2,0.3,0.5})/SUMPRODUCT(--(V372:X372&lt;&gt;""),{0.2,0.3,0.5}),"")</f>
        <v>8.6046511627906982E-2</v>
      </c>
      <c r="AD372">
        <f>IFERROR(SUMPRODUCT(Y372:AA372,{0.2,0.3,0.5})/SUMPRODUCT((Y372:AA372&lt;&gt;"")*{0.2,0.3,0.5}),O372)</f>
        <v>4.1085271317829459</v>
      </c>
      <c r="AE372">
        <f t="shared" si="135"/>
        <v>1</v>
      </c>
      <c r="AF372" t="str">
        <f t="shared" si="136"/>
        <v/>
      </c>
      <c r="AG372">
        <f t="shared" si="137"/>
        <v>0.12269767441860466</v>
      </c>
      <c r="AH372">
        <f t="shared" si="138"/>
        <v>7.9713178294573653E-2</v>
      </c>
      <c r="AI372" s="2">
        <f t="shared" si="139"/>
        <v>5.9196382428940577</v>
      </c>
      <c r="AJ372">
        <f t="shared" si="140"/>
        <v>0.14333333333333334</v>
      </c>
      <c r="AK372" t="str">
        <f t="shared" si="141"/>
        <v>NO</v>
      </c>
      <c r="AL372">
        <f t="shared" si="142"/>
        <v>0</v>
      </c>
      <c r="AM372">
        <f t="shared" si="143"/>
        <v>0</v>
      </c>
      <c r="AN372">
        <f t="shared" si="144"/>
        <v>0</v>
      </c>
      <c r="AO372">
        <f t="shared" si="145"/>
        <v>0</v>
      </c>
      <c r="AP372">
        <f t="array" ref="AP372">AL372*IF($C372="GKP",10,IF($C372="DEF",6,IF($C372="MID",5,4)))</f>
        <v>0</v>
      </c>
      <c r="AQ372">
        <f t="shared" si="146"/>
        <v>0</v>
      </c>
      <c r="AR372">
        <f t="shared" si="147"/>
        <v>0</v>
      </c>
      <c r="AS372" s="2">
        <f>IF($H372=0,0,Player_Analysis!$AM372*$H372/90)</f>
        <v>0</v>
      </c>
      <c r="AT372">
        <f t="shared" si="148"/>
        <v>0</v>
      </c>
      <c r="AU372" s="2">
        <f>0</f>
        <v>0</v>
      </c>
      <c r="AV372" s="2">
        <f>IF(INDEX(FPL_Raw_Data!K:K,MATCH(A372,FPL_Raw_Data!AA:AA,0))=0,"",INDEX(FPL_Raw_Data!P:P,MATCH(A372,FPL_Raw_Data!AA:AA,0))/INDEX(FPL_Raw_Data!K:K,MATCH(A372,FPL_Raw_Data!AA:AA,0))*90)</f>
        <v>0</v>
      </c>
      <c r="AW372" s="2">
        <f t="shared" si="149"/>
        <v>0</v>
      </c>
      <c r="AX372" s="2">
        <f>IFERROR(INDEX(TEAM_ANALYSIS!$H$2:$H$21,MATCH($B372,TEAM_ANALYSIS!$A$2:$A$21,0)),0)</f>
        <v>2.6666666666666665</v>
      </c>
      <c r="AY372" s="2">
        <f t="shared" si="150"/>
        <v>0</v>
      </c>
      <c r="AZ372" s="2">
        <f t="shared" si="151"/>
        <v>0</v>
      </c>
      <c r="BA372">
        <f t="shared" si="152"/>
        <v>0</v>
      </c>
      <c r="BB372">
        <f>IFERROR(Player_Analysis!$Y372,1)</f>
        <v>1.0097491349480967</v>
      </c>
      <c r="BC372">
        <f t="shared" si="153"/>
        <v>0</v>
      </c>
      <c r="BD372">
        <f t="shared" si="154"/>
        <v>0</v>
      </c>
      <c r="BE372">
        <f t="shared" si="155"/>
        <v>0</v>
      </c>
      <c r="BF372">
        <f t="shared" si="156"/>
        <v>253</v>
      </c>
      <c r="BG372">
        <f>IF($BE372="","",COUNTIFS($C$2:$C$596,$C372,$BE$2:$BE$596,"&gt;"&amp;$BE372)+COUNTIFS($C$2:$C372,$C372,$BE$2:$BE372,$BE372))</f>
        <v>209</v>
      </c>
    </row>
    <row r="373" spans="1:59" x14ac:dyDescent="0.25">
      <c r="A373" t="str">
        <f>Player_Analysis!A373</f>
        <v>Chiedozie Ogbene</v>
      </c>
      <c r="B373">
        <f>Player_Analysis!C373</f>
        <v>12</v>
      </c>
      <c r="C373" t="str">
        <f>Player_Analysis!B373</f>
        <v>MID</v>
      </c>
      <c r="D373" s="13">
        <f>Player_Analysis!E373</f>
        <v>4.9000000000000004</v>
      </c>
      <c r="E373">
        <f>Player_Analysis!I373</f>
        <v>0</v>
      </c>
      <c r="F373" s="8">
        <f>Player_Analysis!Z373</f>
        <v>0</v>
      </c>
      <c r="G373" s="17">
        <f t="shared" si="131"/>
        <v>0</v>
      </c>
      <c r="H373">
        <f t="shared" si="132"/>
        <v>0</v>
      </c>
      <c r="I373" s="8">
        <f>Player_Analysis!AF373</f>
        <v>0</v>
      </c>
      <c r="J373" s="8">
        <f>Player_Analysis!AG373</f>
        <v>0</v>
      </c>
      <c r="K373">
        <f>Player_Analysis!O373</f>
        <v>0</v>
      </c>
      <c r="L373">
        <f>Player_Analysis!P373</f>
        <v>0</v>
      </c>
      <c r="M373" t="str">
        <f t="shared" si="133"/>
        <v/>
      </c>
      <c r="N373" t="str">
        <f t="shared" si="134"/>
        <v/>
      </c>
      <c r="O373" s="2" t="str">
        <f>IF(E373=0,"",Player_Analysis!L373/E373*90)</f>
        <v/>
      </c>
      <c r="P373" t="str">
        <f>IF(E373=0,"",Player_Analysis!Q373/E373*90)</f>
        <v/>
      </c>
      <c r="Q373" t="str">
        <f>IF(E373=0,"",(Player_Analysis!AD373/E373)*90)</f>
        <v/>
      </c>
      <c r="R373" t="str">
        <f>IF(E373=0,"",Player_Analysis!AA373/E373*90)</f>
        <v/>
      </c>
      <c r="S373">
        <f t="array" ref="S373">IFERROR(INDEX('2023_24'!$O:$O,MATCH($A373,'2023_24'!$A:$A,0)),"")</f>
        <v>0.20246602918973325</v>
      </c>
      <c r="T373">
        <f>IFERROR(INDEX('2024_25'!$P:$P,MATCH($A373,'2024_25'!$A:$A,0)),"")</f>
        <v>0</v>
      </c>
      <c r="U373" t="str">
        <f>IFERROR(INDEX('2025_26'!$P:$P,MATCH($A373,'2025_26'!$A:$A,0)),"")</f>
        <v/>
      </c>
      <c r="V373">
        <f>IFERROR(INDEX('2023_24'!$P:$P,MATCH($A373,'2023_24'!$A:$A,0)),"")</f>
        <v>0.15853044791142426</v>
      </c>
      <c r="W373">
        <f>IFERROR(INDEX('2024_25'!$Q:$Q,MATCH($A373,'2024_25'!$A:$A,0)),"")</f>
        <v>1.8987341772151899E-2</v>
      </c>
      <c r="X373" t="str">
        <f>IFERROR(INDEX('2025_26'!$Q:$Q,MATCH($A373,'2025_26'!$A:$A,0)),"")</f>
        <v/>
      </c>
      <c r="Y373">
        <f>IFERROR(INDEX('2023_24'!$M:$M,MATCH($A373,'2023_24'!$A:$A,0))/INDEX('2023_24'!$G:$G,MATCH($A373,'2023_24'!$A:$A,0))*90,"")</f>
        <v>3.8047307498741825</v>
      </c>
      <c r="Z373">
        <f>IFERROR(INDEX('2024_25'!$M:$M,MATCH($A373,'2024_25'!$A:$A,0))/INDEX('2024_25'!$G:$G,MATCH($A373,'2024_25'!$A:$A,0))*90,"")</f>
        <v>2.6582278481012658</v>
      </c>
      <c r="AA373" t="str">
        <f>IFERROR(INDEX('2025_26'!$M:$M,MATCH($A373,'2025_26'!$A:$A,0))/INDEX('2025_26'!$G:$G,MATCH($A373,'2025_26'!$A:$A,0))*90,"")</f>
        <v/>
      </c>
      <c r="AB373">
        <f>IFERROR(SUMPRODUCT(S373:U373,{0.2,0.3,0.5})/SUMPRODUCT(--(S373:U373&lt;&gt;""),{0.2,0.3,0.5}),"")</f>
        <v>8.0986411675893308E-2</v>
      </c>
      <c r="AC373">
        <f>IFERROR(SUMPRODUCT(V373:X373,{0.2,0.3,0.5})/SUMPRODUCT(--(V373:X373&lt;&gt;""),{0.2,0.3,0.5}),"")</f>
        <v>7.4804584227860849E-2</v>
      </c>
      <c r="AD373">
        <f>IFERROR(SUMPRODUCT(Y373:AA373,{0.2,0.3,0.5})/SUMPRODUCT((Y373:AA373&lt;&gt;"")*{0.2,0.3,0.5}),O373)</f>
        <v>3.1168290088104325</v>
      </c>
      <c r="AE373">
        <f t="shared" si="135"/>
        <v>2</v>
      </c>
      <c r="AF373" t="str">
        <f t="shared" si="136"/>
        <v/>
      </c>
      <c r="AG373">
        <f t="shared" si="137"/>
        <v>8.0986411675893308E-2</v>
      </c>
      <c r="AH373">
        <f t="shared" si="138"/>
        <v>7.4804584227860849E-2</v>
      </c>
      <c r="AI373" s="2">
        <f t="shared" si="139"/>
        <v>3.1168290088104325</v>
      </c>
      <c r="AJ373">
        <f t="shared" si="140"/>
        <v>0</v>
      </c>
      <c r="AK373" t="str">
        <f t="shared" si="141"/>
        <v>NO</v>
      </c>
      <c r="AL373">
        <f t="shared" si="142"/>
        <v>0</v>
      </c>
      <c r="AM373">
        <f t="shared" si="143"/>
        <v>0</v>
      </c>
      <c r="AN373">
        <f t="shared" si="144"/>
        <v>0</v>
      </c>
      <c r="AO373">
        <f t="shared" si="145"/>
        <v>0</v>
      </c>
      <c r="AP373">
        <f t="array" ref="AP373">AL373*IF($C373="GKP",10,IF($C373="DEF",6,IF($C373="MID",5,4)))</f>
        <v>0</v>
      </c>
      <c r="AQ373">
        <f t="shared" si="146"/>
        <v>0</v>
      </c>
      <c r="AR373">
        <f t="shared" si="147"/>
        <v>0</v>
      </c>
      <c r="AS373" s="2">
        <f>IF($H373=0,0,Player_Analysis!$AM373*$H373/90)</f>
        <v>0</v>
      </c>
      <c r="AT373">
        <f t="shared" si="148"/>
        <v>0</v>
      </c>
      <c r="AU373" s="2">
        <f>0</f>
        <v>0</v>
      </c>
      <c r="AV373" s="2" t="str">
        <f>IF(INDEX(FPL_Raw_Data!K:K,MATCH(A373,FPL_Raw_Data!AA:AA,0))=0,"",INDEX(FPL_Raw_Data!P:P,MATCH(A373,FPL_Raw_Data!AA:AA,0))/INDEX(FPL_Raw_Data!K:K,MATCH(A373,FPL_Raw_Data!AA:AA,0))*90)</f>
        <v/>
      </c>
      <c r="AW373" s="2">
        <f t="shared" si="149"/>
        <v>0</v>
      </c>
      <c r="AX373" s="2">
        <f>IFERROR(INDEX(TEAM_ANALYSIS!$H$2:$H$21,MATCH($B373,TEAM_ANALYSIS!$A$2:$A$21,0)),0)</f>
        <v>2.6666666666666665</v>
      </c>
      <c r="AY373" s="2">
        <f t="shared" si="150"/>
        <v>0</v>
      </c>
      <c r="AZ373" s="2">
        <f t="shared" si="151"/>
        <v>0</v>
      </c>
      <c r="BA373">
        <f t="shared" si="152"/>
        <v>0</v>
      </c>
      <c r="BB373">
        <f>IFERROR(Player_Analysis!$Y373,1)</f>
        <v>1.0097491349480967</v>
      </c>
      <c r="BC373">
        <f t="shared" si="153"/>
        <v>0</v>
      </c>
      <c r="BD373">
        <f t="shared" si="154"/>
        <v>0</v>
      </c>
      <c r="BE373">
        <f t="shared" si="155"/>
        <v>0</v>
      </c>
      <c r="BF373">
        <f t="shared" si="156"/>
        <v>253</v>
      </c>
      <c r="BG373">
        <f>IF($BE373="","",COUNTIFS($C$2:$C$596,$C373,$BE$2:$BE$596,"&gt;"&amp;$BE373)+COUNTIFS($C$2:$C373,$C373,$BE$2:$BE373,$BE373))</f>
        <v>210</v>
      </c>
    </row>
    <row r="374" spans="1:59" x14ac:dyDescent="0.25">
      <c r="A374" t="str">
        <f>Player_Analysis!A374</f>
        <v>Abdul Fatawu</v>
      </c>
      <c r="B374">
        <f>Player_Analysis!C374</f>
        <v>12</v>
      </c>
      <c r="C374" t="str">
        <f>Player_Analysis!B374</f>
        <v>MID</v>
      </c>
      <c r="D374" s="13">
        <f>Player_Analysis!E374</f>
        <v>5.5</v>
      </c>
      <c r="E374">
        <f>Player_Analysis!I374</f>
        <v>225</v>
      </c>
      <c r="F374" s="8">
        <f>Player_Analysis!Z374</f>
        <v>3</v>
      </c>
      <c r="G374" s="17">
        <f t="shared" si="131"/>
        <v>1</v>
      </c>
      <c r="H374">
        <f t="shared" si="132"/>
        <v>90</v>
      </c>
      <c r="I374" s="8">
        <f>Player_Analysis!AF374</f>
        <v>0</v>
      </c>
      <c r="J374" s="8">
        <f>Player_Analysis!AG374</f>
        <v>1</v>
      </c>
      <c r="K374">
        <f>Player_Analysis!O374</f>
        <v>0.03</v>
      </c>
      <c r="L374">
        <f>Player_Analysis!P374</f>
        <v>0.78</v>
      </c>
      <c r="M374">
        <f t="shared" si="133"/>
        <v>1.2E-2</v>
      </c>
      <c r="N374">
        <f t="shared" si="134"/>
        <v>0.312</v>
      </c>
      <c r="O374" s="2">
        <f>IF(E374=0,"",Player_Analysis!L374/E374*90)</f>
        <v>3.2</v>
      </c>
      <c r="P374">
        <f>IF(E374=0,"",Player_Analysis!Q374/E374*90)</f>
        <v>0.32400000000000001</v>
      </c>
      <c r="Q374">
        <f>IF(E374=0,"",(Player_Analysis!AD374/E374)*90)</f>
        <v>24.400000000000002</v>
      </c>
      <c r="R374">
        <f>IF(E374=0,"",Player_Analysis!AA374/E374*90)</f>
        <v>6.8</v>
      </c>
      <c r="S374" t="str">
        <f t="array" ref="S374">IFERROR(INDEX('2023_24'!$O:$O,MATCH($A374,'2023_24'!$A:$A,0)),"")</f>
        <v/>
      </c>
      <c r="T374">
        <f>IFERROR(INDEX('2024_25'!$P:$P,MATCH($A374,'2024_25'!$A:$A,0)),"")</f>
        <v>6.4062499999999994E-2</v>
      </c>
      <c r="U374" t="str">
        <f>IFERROR(INDEX('2025_26'!$P:$P,MATCH($A374,'2025_26'!$A:$A,0)),"")</f>
        <v/>
      </c>
      <c r="V374" t="str">
        <f>IFERROR(INDEX('2023_24'!$P:$P,MATCH($A374,'2023_24'!$A:$A,0)),"")</f>
        <v/>
      </c>
      <c r="W374">
        <f>IFERROR(INDEX('2024_25'!$Q:$Q,MATCH($A374,'2024_25'!$A:$A,0)),"")</f>
        <v>0.22187499999999999</v>
      </c>
      <c r="X374" t="str">
        <f>IFERROR(INDEX('2025_26'!$Q:$Q,MATCH($A374,'2025_26'!$A:$A,0)),"")</f>
        <v/>
      </c>
      <c r="Y374" t="str">
        <f>IFERROR(INDEX('2023_24'!$M:$M,MATCH($A374,'2023_24'!$A:$A,0))/INDEX('2023_24'!$G:$G,MATCH($A374,'2023_24'!$A:$A,0))*90,"")</f>
        <v/>
      </c>
      <c r="Z374">
        <f>IFERROR(INDEX('2024_25'!$M:$M,MATCH($A374,'2024_25'!$A:$A,0))/INDEX('2024_25'!$G:$G,MATCH($A374,'2024_25'!$A:$A,0))*90,"")</f>
        <v>4.0625</v>
      </c>
      <c r="AA374" t="str">
        <f>IFERROR(INDEX('2025_26'!$M:$M,MATCH($A374,'2025_26'!$A:$A,0))/INDEX('2025_26'!$G:$G,MATCH($A374,'2025_26'!$A:$A,0))*90,"")</f>
        <v/>
      </c>
      <c r="AB374">
        <f>IFERROR(SUMPRODUCT(S374:U374,{0.2,0.3,0.5})/SUMPRODUCT(--(S374:U374&lt;&gt;""),{0.2,0.3,0.5}),"")</f>
        <v>6.4062499999999994E-2</v>
      </c>
      <c r="AC374">
        <f>IFERROR(SUMPRODUCT(V374:X374,{0.2,0.3,0.5})/SUMPRODUCT(--(V374:X374&lt;&gt;""),{0.2,0.3,0.5}),"")</f>
        <v>0.22187499999999999</v>
      </c>
      <c r="AD374">
        <f>IFERROR(SUMPRODUCT(Y374:AA374,{0.2,0.3,0.5})/SUMPRODUCT((Y374:AA374&lt;&gt;"")*{0.2,0.3,0.5}),O374)</f>
        <v>4.0625</v>
      </c>
      <c r="AE374">
        <f t="shared" si="135"/>
        <v>1</v>
      </c>
      <c r="AF374">
        <f t="shared" si="136"/>
        <v>75</v>
      </c>
      <c r="AG374">
        <f t="shared" si="137"/>
        <v>2.5015625E-2</v>
      </c>
      <c r="AH374">
        <f t="shared" si="138"/>
        <v>0.28946875</v>
      </c>
      <c r="AI374" s="2">
        <f t="shared" si="139"/>
        <v>3.4156250000000004</v>
      </c>
      <c r="AJ374">
        <f t="shared" si="140"/>
        <v>0.75</v>
      </c>
      <c r="AK374" t="str">
        <f t="shared" si="141"/>
        <v>NO</v>
      </c>
      <c r="AL374">
        <f t="shared" si="142"/>
        <v>2.5015625E-2</v>
      </c>
      <c r="AM374">
        <f t="shared" si="143"/>
        <v>0.28946875</v>
      </c>
      <c r="AN374">
        <f t="shared" si="144"/>
        <v>2.5015625E-2</v>
      </c>
      <c r="AO374">
        <f t="shared" si="145"/>
        <v>0.28946875</v>
      </c>
      <c r="AP374">
        <f t="array" ref="AP374">AL374*IF($C374="GKP",10,IF($C374="DEF",6,IF($C374="MID",5,4)))</f>
        <v>0.12507812499999998</v>
      </c>
      <c r="AQ374">
        <f t="shared" si="146"/>
        <v>0.86840625000000005</v>
      </c>
      <c r="AR374">
        <f t="shared" si="147"/>
        <v>2</v>
      </c>
      <c r="AS374" s="2">
        <f>IF($H374=0,0,Player_Analysis!$AM374*$H374/90)</f>
        <v>0</v>
      </c>
      <c r="AT374">
        <f t="shared" si="148"/>
        <v>1.1333333333333333</v>
      </c>
      <c r="AU374" s="2">
        <f>0</f>
        <v>0</v>
      </c>
      <c r="AV374" s="2">
        <f>IF(INDEX(FPL_Raw_Data!K:K,MATCH(A374,FPL_Raw_Data!AA:AA,0))=0,"",INDEX(FPL_Raw_Data!P:P,MATCH(A374,FPL_Raw_Data!AA:AA,0))/INDEX(FPL_Raw_Data!K:K,MATCH(A374,FPL_Raw_Data!AA:AA,0))*90)</f>
        <v>0</v>
      </c>
      <c r="AW374" s="2">
        <f t="shared" si="149"/>
        <v>0</v>
      </c>
      <c r="AX374" s="2">
        <f>IFERROR(INDEX(TEAM_ANALYSIS!$H$2:$H$21,MATCH($B374,TEAM_ANALYSIS!$A$2:$A$21,0)),0)</f>
        <v>2.6666666666666665</v>
      </c>
      <c r="AY374" s="2">
        <f t="shared" si="150"/>
        <v>0</v>
      </c>
      <c r="AZ374" s="2">
        <f t="shared" si="151"/>
        <v>4.1268177083333333</v>
      </c>
      <c r="BA374">
        <f t="shared" si="152"/>
        <v>0.75033049242424243</v>
      </c>
      <c r="BB374">
        <f>IFERROR(Player_Analysis!$Y374,1)</f>
        <v>1.0097491349480967</v>
      </c>
      <c r="BC374">
        <f t="shared" si="153"/>
        <v>4.1670506110780705</v>
      </c>
      <c r="BD374">
        <f t="shared" si="154"/>
        <v>3.1266651369669489</v>
      </c>
      <c r="BE374">
        <f t="shared" si="155"/>
        <v>4.1670506110780705</v>
      </c>
      <c r="BF374">
        <f t="shared" si="156"/>
        <v>144</v>
      </c>
      <c r="BG374">
        <f>IF($BE374="","",COUNTIFS($C$2:$C$596,$C374,$BE$2:$BE$596,"&gt;"&amp;$BE374)+COUNTIFS($C$2:$C374,$C374,$BE$2:$BE374,$BE374))</f>
        <v>70</v>
      </c>
    </row>
    <row r="375" spans="1:59" x14ac:dyDescent="0.25">
      <c r="A375" t="str">
        <f>Player_Analysis!A375</f>
        <v>Emersonn Correia da Silva</v>
      </c>
      <c r="B375">
        <f>Player_Analysis!C375</f>
        <v>12</v>
      </c>
      <c r="C375" t="str">
        <f>Player_Analysis!B375</f>
        <v>FWD</v>
      </c>
      <c r="D375" s="13">
        <f>Player_Analysis!E375</f>
        <v>5.5</v>
      </c>
      <c r="E375">
        <f>Player_Analysis!I375</f>
        <v>175</v>
      </c>
      <c r="F375" s="8">
        <f>Player_Analysis!Z375</f>
        <v>3</v>
      </c>
      <c r="G375" s="17">
        <f t="shared" si="131"/>
        <v>1</v>
      </c>
      <c r="H375">
        <f t="shared" si="132"/>
        <v>90</v>
      </c>
      <c r="I375" s="8">
        <f>Player_Analysis!AF375</f>
        <v>1</v>
      </c>
      <c r="J375" s="8">
        <f>Player_Analysis!AG375</f>
        <v>0</v>
      </c>
      <c r="K375">
        <f>Player_Analysis!O375</f>
        <v>1.04</v>
      </c>
      <c r="L375">
        <f>Player_Analysis!P375</f>
        <v>0.06</v>
      </c>
      <c r="M375">
        <f t="shared" si="133"/>
        <v>0.53485714285714292</v>
      </c>
      <c r="N375">
        <f t="shared" si="134"/>
        <v>3.0857142857142857E-2</v>
      </c>
      <c r="O375" s="2">
        <f>IF(E375=0,"",Player_Analysis!L375/E375*90)</f>
        <v>6.1714285714285717</v>
      </c>
      <c r="P375">
        <f>IF(E375=0,"",Player_Analysis!Q375/E375*90)</f>
        <v>0.56571428571428573</v>
      </c>
      <c r="Q375">
        <f>IF(E375=0,"",(Player_Analysis!AD375/E375)*90)</f>
        <v>28.8</v>
      </c>
      <c r="R375">
        <f>IF(E375=0,"",Player_Analysis!AA375/E375*90)</f>
        <v>3.6</v>
      </c>
      <c r="S375" t="str">
        <f t="array" ref="S375">IFERROR(INDEX('2023_24'!$O:$O,MATCH($A375,'2023_24'!$A:$A,0)),"")</f>
        <v/>
      </c>
      <c r="T375" t="str">
        <f>IFERROR(INDEX('2024_25'!$P:$P,MATCH($A375,'2024_25'!$A:$A,0)),"")</f>
        <v/>
      </c>
      <c r="U375" t="str">
        <f>IFERROR(INDEX('2025_26'!$P:$P,MATCH($A375,'2025_26'!$A:$A,0)),"")</f>
        <v/>
      </c>
      <c r="V375" t="str">
        <f>IFERROR(INDEX('2023_24'!$P:$P,MATCH($A375,'2023_24'!$A:$A,0)),"")</f>
        <v/>
      </c>
      <c r="W375" t="str">
        <f>IFERROR(INDEX('2024_25'!$Q:$Q,MATCH($A375,'2024_25'!$A:$A,0)),"")</f>
        <v/>
      </c>
      <c r="X375" t="str">
        <f>IFERROR(INDEX('2025_26'!$Q:$Q,MATCH($A375,'2025_26'!$A:$A,0)),"")</f>
        <v/>
      </c>
      <c r="Y375" t="str">
        <f>IFERROR(INDEX('2023_24'!$M:$M,MATCH($A375,'2023_24'!$A:$A,0))/INDEX('2023_24'!$G:$G,MATCH($A375,'2023_24'!$A:$A,0))*90,"")</f>
        <v/>
      </c>
      <c r="Z375" t="str">
        <f>IFERROR(INDEX('2024_25'!$M:$M,MATCH($A375,'2024_25'!$A:$A,0))/INDEX('2024_25'!$G:$G,MATCH($A375,'2024_25'!$A:$A,0))*90,"")</f>
        <v/>
      </c>
      <c r="AA375" t="str">
        <f>IFERROR(INDEX('2025_26'!$M:$M,MATCH($A375,'2025_26'!$A:$A,0))/INDEX('2025_26'!$G:$G,MATCH($A375,'2025_26'!$A:$A,0))*90,"")</f>
        <v/>
      </c>
      <c r="AB375" t="str">
        <f>IFERROR(SUMPRODUCT(S375:U375,{0.2,0.3,0.5})/SUMPRODUCT(--(S375:U375&lt;&gt;""),{0.2,0.3,0.5}),"")</f>
        <v/>
      </c>
      <c r="AC375" t="str">
        <f>IFERROR(SUMPRODUCT(V375:X375,{0.2,0.3,0.5})/SUMPRODUCT(--(V375:X375&lt;&gt;""),{0.2,0.3,0.5}),"")</f>
        <v/>
      </c>
      <c r="AD375">
        <f>IFERROR(SUMPRODUCT(Y375:AA375,{0.2,0.3,0.5})/SUMPRODUCT((Y375:AA375&lt;&gt;"")*{0.2,0.3,0.5}),O375)</f>
        <v>6.1714285714285717</v>
      </c>
      <c r="AE375">
        <f t="shared" si="135"/>
        <v>0</v>
      </c>
      <c r="AF375">
        <f t="shared" si="136"/>
        <v>58.333333333333336</v>
      </c>
      <c r="AG375">
        <f t="shared" si="137"/>
        <v>0.53485714285714292</v>
      </c>
      <c r="AH375">
        <f t="shared" si="138"/>
        <v>3.0857142857142857E-2</v>
      </c>
      <c r="AI375" s="2">
        <f t="shared" si="139"/>
        <v>6.1714285714285717</v>
      </c>
      <c r="AJ375">
        <f t="shared" si="140"/>
        <v>0.58333333333333337</v>
      </c>
      <c r="AK375" t="str">
        <f t="shared" si="141"/>
        <v>YES</v>
      </c>
      <c r="AL375">
        <f t="shared" si="142"/>
        <v>0.53485714285714292</v>
      </c>
      <c r="AM375">
        <f t="shared" si="143"/>
        <v>3.0857142857142857E-2</v>
      </c>
      <c r="AN375">
        <f t="shared" si="144"/>
        <v>0.53485714285714292</v>
      </c>
      <c r="AO375">
        <f t="shared" si="145"/>
        <v>3.0857142857142857E-2</v>
      </c>
      <c r="AP375">
        <f t="array" ref="AP375">AL375*IF($C375="GKP",10,IF($C375="DEF",6,IF($C375="MID",5,4)))</f>
        <v>2.1394285714285717</v>
      </c>
      <c r="AQ375">
        <f t="shared" si="146"/>
        <v>9.2571428571428568E-2</v>
      </c>
      <c r="AR375">
        <f t="shared" si="147"/>
        <v>2</v>
      </c>
      <c r="AS375" s="2">
        <f>IF($H375=0,0,Player_Analysis!$AM375*$H375/90)</f>
        <v>0</v>
      </c>
      <c r="AT375">
        <f t="shared" si="148"/>
        <v>0.6</v>
      </c>
      <c r="AU375" s="2">
        <f>0</f>
        <v>0</v>
      </c>
      <c r="AV375" s="2">
        <f>IF(INDEX(FPL_Raw_Data!K:K,MATCH(A375,FPL_Raw_Data!AA:AA,0))=0,"",INDEX(FPL_Raw_Data!P:P,MATCH(A375,FPL_Raw_Data!AA:AA,0))/INDEX(FPL_Raw_Data!K:K,MATCH(A375,FPL_Raw_Data!AA:AA,0))*90)</f>
        <v>0</v>
      </c>
      <c r="AW375" s="2">
        <f t="shared" si="149"/>
        <v>0</v>
      </c>
      <c r="AX375" s="2">
        <f>IFERROR(INDEX(TEAM_ANALYSIS!$H$2:$H$21,MATCH($B375,TEAM_ANALYSIS!$A$2:$A$21,0)),0)</f>
        <v>2.6666666666666665</v>
      </c>
      <c r="AY375" s="2">
        <f t="shared" si="150"/>
        <v>0</v>
      </c>
      <c r="AZ375" s="2">
        <f t="shared" si="151"/>
        <v>4.8319999999999999</v>
      </c>
      <c r="BA375">
        <f t="shared" si="152"/>
        <v>0.87854545454545452</v>
      </c>
      <c r="BB375">
        <f>IFERROR(Player_Analysis!$Y375,1)</f>
        <v>1.0097491349480967</v>
      </c>
      <c r="BC375">
        <f t="shared" si="153"/>
        <v>4.8791078200692031</v>
      </c>
      <c r="BD375">
        <f t="shared" si="154"/>
        <v>4.2865179975589793</v>
      </c>
      <c r="BE375">
        <f t="shared" si="155"/>
        <v>4.8791078200692031</v>
      </c>
      <c r="BF375">
        <f t="shared" si="156"/>
        <v>101</v>
      </c>
      <c r="BG375">
        <f>IF($BE375="","",COUNTIFS($C$2:$C$596,$C375,$BE$2:$BE$596,"&gt;"&amp;$BE375)+COUNTIFS($C$2:$C375,$C375,$BE$2:$BE375,$BE375))</f>
        <v>12</v>
      </c>
    </row>
    <row r="376" spans="1:59" x14ac:dyDescent="0.25">
      <c r="A376" t="str">
        <f>Player_Analysis!A376</f>
        <v>George Hirst</v>
      </c>
      <c r="B376">
        <f>Player_Analysis!C376</f>
        <v>12</v>
      </c>
      <c r="C376" t="str">
        <f>Player_Analysis!B376</f>
        <v>FWD</v>
      </c>
      <c r="D376" s="13">
        <f>Player_Analysis!E376</f>
        <v>5</v>
      </c>
      <c r="E376">
        <f>Player_Analysis!I376</f>
        <v>0</v>
      </c>
      <c r="F376" s="8">
        <f>Player_Analysis!Z376</f>
        <v>0</v>
      </c>
      <c r="G376" s="17">
        <f t="shared" si="131"/>
        <v>0</v>
      </c>
      <c r="H376">
        <f t="shared" si="132"/>
        <v>0</v>
      </c>
      <c r="I376" s="8">
        <f>Player_Analysis!AF376</f>
        <v>0</v>
      </c>
      <c r="J376" s="8">
        <f>Player_Analysis!AG376</f>
        <v>0</v>
      </c>
      <c r="K376">
        <f>Player_Analysis!O376</f>
        <v>0</v>
      </c>
      <c r="L376">
        <f>Player_Analysis!P376</f>
        <v>0</v>
      </c>
      <c r="M376" t="str">
        <f t="shared" si="133"/>
        <v/>
      </c>
      <c r="N376" t="str">
        <f t="shared" si="134"/>
        <v/>
      </c>
      <c r="O376" s="2" t="str">
        <f>IF(E376=0,"",Player_Analysis!L376/E376*90)</f>
        <v/>
      </c>
      <c r="P376" t="str">
        <f>IF(E376=0,"",Player_Analysis!Q376/E376*90)</f>
        <v/>
      </c>
      <c r="Q376" t="str">
        <f>IF(E376=0,"",(Player_Analysis!AD376/E376)*90)</f>
        <v/>
      </c>
      <c r="R376" t="str">
        <f>IF(E376=0,"",Player_Analysis!AA376/E376*90)</f>
        <v/>
      </c>
      <c r="S376" t="str">
        <f t="array" ref="S376">IFERROR(INDEX('2023_24'!$O:$O,MATCH($A376,'2023_24'!$A:$A,0)),"")</f>
        <v/>
      </c>
      <c r="T376">
        <f>IFERROR(INDEX('2024_25'!$P:$P,MATCH($A376,'2024_25'!$A:$A,0)),"")</f>
        <v>0.29860465116279072</v>
      </c>
      <c r="U376" t="str">
        <f>IFERROR(INDEX('2025_26'!$P:$P,MATCH($A376,'2025_26'!$A:$A,0)),"")</f>
        <v/>
      </c>
      <c r="V376" t="str">
        <f>IFERROR(INDEX('2023_24'!$P:$P,MATCH($A376,'2023_24'!$A:$A,0)),"")</f>
        <v/>
      </c>
      <c r="W376">
        <f>IFERROR(INDEX('2024_25'!$Q:$Q,MATCH($A376,'2024_25'!$A:$A,0)),"")</f>
        <v>3.3488372093023251E-2</v>
      </c>
      <c r="X376" t="str">
        <f>IFERROR(INDEX('2025_26'!$Q:$Q,MATCH($A376,'2025_26'!$A:$A,0)),"")</f>
        <v/>
      </c>
      <c r="Y376" t="str">
        <f>IFERROR(INDEX('2023_24'!$M:$M,MATCH($A376,'2023_24'!$A:$A,0))/INDEX('2023_24'!$G:$G,MATCH($A376,'2023_24'!$A:$A,0))*90,"")</f>
        <v/>
      </c>
      <c r="Z376">
        <f>IFERROR(INDEX('2024_25'!$M:$M,MATCH($A376,'2024_25'!$A:$A,0))/INDEX('2024_25'!$G:$G,MATCH($A376,'2024_25'!$A:$A,0))*90,"")</f>
        <v>6.4186046511627906</v>
      </c>
      <c r="AA376" t="str">
        <f>IFERROR(INDEX('2025_26'!$M:$M,MATCH($A376,'2025_26'!$A:$A,0))/INDEX('2025_26'!$G:$G,MATCH($A376,'2025_26'!$A:$A,0))*90,"")</f>
        <v/>
      </c>
      <c r="AB376">
        <f>IFERROR(SUMPRODUCT(S376:U376,{0.2,0.3,0.5})/SUMPRODUCT(--(S376:U376&lt;&gt;""),{0.2,0.3,0.5}),"")</f>
        <v>0.29860465116279072</v>
      </c>
      <c r="AC376">
        <f>IFERROR(SUMPRODUCT(V376:X376,{0.2,0.3,0.5})/SUMPRODUCT(--(V376:X376&lt;&gt;""),{0.2,0.3,0.5}),"")</f>
        <v>3.3488372093023251E-2</v>
      </c>
      <c r="AD376">
        <f>IFERROR(SUMPRODUCT(Y376:AA376,{0.2,0.3,0.5})/SUMPRODUCT((Y376:AA376&lt;&gt;"")*{0.2,0.3,0.5}),O376)</f>
        <v>6.4186046511627906</v>
      </c>
      <c r="AE376">
        <f t="shared" si="135"/>
        <v>1</v>
      </c>
      <c r="AF376" t="str">
        <f t="shared" si="136"/>
        <v/>
      </c>
      <c r="AG376">
        <f t="shared" si="137"/>
        <v>0.29860465116279072</v>
      </c>
      <c r="AH376">
        <f t="shared" si="138"/>
        <v>3.3488372093023251E-2</v>
      </c>
      <c r="AI376" s="2">
        <f t="shared" si="139"/>
        <v>6.4186046511627906</v>
      </c>
      <c r="AJ376">
        <f t="shared" si="140"/>
        <v>0</v>
      </c>
      <c r="AK376" t="str">
        <f t="shared" si="141"/>
        <v>NO</v>
      </c>
      <c r="AL376">
        <f t="shared" si="142"/>
        <v>0</v>
      </c>
      <c r="AM376">
        <f t="shared" si="143"/>
        <v>0</v>
      </c>
      <c r="AN376">
        <f t="shared" si="144"/>
        <v>0</v>
      </c>
      <c r="AO376">
        <f t="shared" si="145"/>
        <v>0</v>
      </c>
      <c r="AP376">
        <f t="array" ref="AP376">AL376*IF($C376="GKP",10,IF($C376="DEF",6,IF($C376="MID",5,4)))</f>
        <v>0</v>
      </c>
      <c r="AQ376">
        <f t="shared" si="146"/>
        <v>0</v>
      </c>
      <c r="AR376">
        <f t="shared" si="147"/>
        <v>0</v>
      </c>
      <c r="AS376" s="2">
        <f>IF($H376=0,0,Player_Analysis!$AM376*$H376/90)</f>
        <v>0</v>
      </c>
      <c r="AT376">
        <f t="shared" si="148"/>
        <v>0</v>
      </c>
      <c r="AU376" s="2">
        <f>0</f>
        <v>0</v>
      </c>
      <c r="AV376" s="2" t="str">
        <f>IF(INDEX(FPL_Raw_Data!K:K,MATCH(A376,FPL_Raw_Data!AA:AA,0))=0,"",INDEX(FPL_Raw_Data!P:P,MATCH(A376,FPL_Raw_Data!AA:AA,0))/INDEX(FPL_Raw_Data!K:K,MATCH(A376,FPL_Raw_Data!AA:AA,0))*90)</f>
        <v/>
      </c>
      <c r="AW376" s="2">
        <f t="shared" si="149"/>
        <v>0</v>
      </c>
      <c r="AX376" s="2">
        <f>IFERROR(INDEX(TEAM_ANALYSIS!$H$2:$H$21,MATCH($B376,TEAM_ANALYSIS!$A$2:$A$21,0)),0)</f>
        <v>2.6666666666666665</v>
      </c>
      <c r="AY376" s="2">
        <f t="shared" si="150"/>
        <v>0</v>
      </c>
      <c r="AZ376" s="2">
        <f t="shared" si="151"/>
        <v>0</v>
      </c>
      <c r="BA376">
        <f t="shared" si="152"/>
        <v>0</v>
      </c>
      <c r="BB376">
        <f>IFERROR(Player_Analysis!$Y376,1)</f>
        <v>1.0097491349480967</v>
      </c>
      <c r="BC376">
        <f t="shared" si="153"/>
        <v>0</v>
      </c>
      <c r="BD376">
        <f t="shared" si="154"/>
        <v>0</v>
      </c>
      <c r="BE376">
        <f t="shared" si="155"/>
        <v>0</v>
      </c>
      <c r="BF376">
        <f t="shared" si="156"/>
        <v>253</v>
      </c>
      <c r="BG376">
        <f>IF($BE376="","",COUNTIFS($C$2:$C$596,$C376,$BE$2:$BE$596,"&gt;"&amp;$BE376)+COUNTIFS($C$2:$C376,$C376,$BE$2:$BE376,$BE376))</f>
        <v>55</v>
      </c>
    </row>
    <row r="377" spans="1:59" x14ac:dyDescent="0.25">
      <c r="A377" t="str">
        <f>Player_Analysis!A377</f>
        <v>Jaden Philogene</v>
      </c>
      <c r="B377">
        <f>Player_Analysis!C377</f>
        <v>12</v>
      </c>
      <c r="C377" t="str">
        <f>Player_Analysis!B377</f>
        <v>MID</v>
      </c>
      <c r="D377" s="13">
        <f>Player_Analysis!E377</f>
        <v>5.4</v>
      </c>
      <c r="E377">
        <f>Player_Analysis!I377</f>
        <v>0</v>
      </c>
      <c r="F377" s="8">
        <f>Player_Analysis!Z377</f>
        <v>0</v>
      </c>
      <c r="G377" s="17">
        <f t="shared" si="131"/>
        <v>0</v>
      </c>
      <c r="H377">
        <f t="shared" si="132"/>
        <v>0</v>
      </c>
      <c r="I377" s="8">
        <f>Player_Analysis!AF377</f>
        <v>0</v>
      </c>
      <c r="J377" s="8">
        <f>Player_Analysis!AG377</f>
        <v>0</v>
      </c>
      <c r="K377">
        <f>Player_Analysis!O377</f>
        <v>0</v>
      </c>
      <c r="L377">
        <f>Player_Analysis!P377</f>
        <v>0</v>
      </c>
      <c r="M377" t="str">
        <f t="shared" si="133"/>
        <v/>
      </c>
      <c r="N377" t="str">
        <f t="shared" si="134"/>
        <v/>
      </c>
      <c r="O377" s="2" t="str">
        <f>IF(E377=0,"",Player_Analysis!L377/E377*90)</f>
        <v/>
      </c>
      <c r="P377" t="str">
        <f>IF(E377=0,"",Player_Analysis!Q377/E377*90)</f>
        <v/>
      </c>
      <c r="Q377" t="str">
        <f>IF(E377=0,"",(Player_Analysis!AD377/E377)*90)</f>
        <v/>
      </c>
      <c r="R377" t="str">
        <f>IF(E377=0,"",Player_Analysis!AA377/E377*90)</f>
        <v/>
      </c>
      <c r="S377" t="str">
        <f t="array" ref="S377">IFERROR(INDEX('2023_24'!$O:$O,MATCH($A377,'2023_24'!$A:$A,0)),"")</f>
        <v/>
      </c>
      <c r="T377">
        <f>IFERROR(INDEX('2024_25'!$P:$P,MATCH($A377,'2024_25'!$A:$A,0)),"")</f>
        <v>0.27474874371859298</v>
      </c>
      <c r="U377" t="str">
        <f>IFERROR(INDEX('2025_26'!$P:$P,MATCH($A377,'2025_26'!$A:$A,0)),"")</f>
        <v/>
      </c>
      <c r="V377" t="str">
        <f>IFERROR(INDEX('2023_24'!$P:$P,MATCH($A377,'2023_24'!$A:$A,0)),"")</f>
        <v/>
      </c>
      <c r="W377">
        <f>IFERROR(INDEX('2024_25'!$Q:$Q,MATCH($A377,'2024_25'!$A:$A,0)),"")</f>
        <v>3.8442211055276385E-2</v>
      </c>
      <c r="X377" t="str">
        <f>IFERROR(INDEX('2025_26'!$Q:$Q,MATCH($A377,'2025_26'!$A:$A,0)),"")</f>
        <v/>
      </c>
      <c r="Y377" t="str">
        <f>IFERROR(INDEX('2023_24'!$M:$M,MATCH($A377,'2023_24'!$A:$A,0))/INDEX('2023_24'!$G:$G,MATCH($A377,'2023_24'!$A:$A,0))*90,"")</f>
        <v/>
      </c>
      <c r="Z377">
        <f>IFERROR(INDEX('2024_25'!$M:$M,MATCH($A377,'2024_25'!$A:$A,0))/INDEX('2024_25'!$G:$G,MATCH($A377,'2024_25'!$A:$A,0))*90,"")</f>
        <v>4.183417085427136</v>
      </c>
      <c r="AA377" t="str">
        <f>IFERROR(INDEX('2025_26'!$M:$M,MATCH($A377,'2025_26'!$A:$A,0))/INDEX('2025_26'!$G:$G,MATCH($A377,'2025_26'!$A:$A,0))*90,"")</f>
        <v/>
      </c>
      <c r="AB377">
        <f>IFERROR(SUMPRODUCT(S377:U377,{0.2,0.3,0.5})/SUMPRODUCT(--(S377:U377&lt;&gt;""),{0.2,0.3,0.5}),"")</f>
        <v>0.27474874371859298</v>
      </c>
      <c r="AC377">
        <f>IFERROR(SUMPRODUCT(V377:X377,{0.2,0.3,0.5})/SUMPRODUCT(--(V377:X377&lt;&gt;""),{0.2,0.3,0.5}),"")</f>
        <v>3.8442211055276385E-2</v>
      </c>
      <c r="AD377">
        <f>IFERROR(SUMPRODUCT(Y377:AA377,{0.2,0.3,0.5})/SUMPRODUCT((Y377:AA377&lt;&gt;"")*{0.2,0.3,0.5}),O377)</f>
        <v>4.183417085427136</v>
      </c>
      <c r="AE377">
        <f t="shared" si="135"/>
        <v>1</v>
      </c>
      <c r="AF377" t="str">
        <f t="shared" si="136"/>
        <v/>
      </c>
      <c r="AG377">
        <f t="shared" si="137"/>
        <v>0.27474874371859298</v>
      </c>
      <c r="AH377">
        <f t="shared" si="138"/>
        <v>3.8442211055276385E-2</v>
      </c>
      <c r="AI377" s="2">
        <f t="shared" si="139"/>
        <v>4.183417085427136</v>
      </c>
      <c r="AJ377">
        <f t="shared" si="140"/>
        <v>0</v>
      </c>
      <c r="AK377" t="str">
        <f t="shared" si="141"/>
        <v>NO</v>
      </c>
      <c r="AL377">
        <f t="shared" si="142"/>
        <v>0</v>
      </c>
      <c r="AM377">
        <f t="shared" si="143"/>
        <v>0</v>
      </c>
      <c r="AN377">
        <f t="shared" si="144"/>
        <v>0</v>
      </c>
      <c r="AO377">
        <f t="shared" si="145"/>
        <v>0</v>
      </c>
      <c r="AP377">
        <f t="array" ref="AP377">AL377*IF($C377="GKP",10,IF($C377="DEF",6,IF($C377="MID",5,4)))</f>
        <v>0</v>
      </c>
      <c r="AQ377">
        <f t="shared" si="146"/>
        <v>0</v>
      </c>
      <c r="AR377">
        <f t="shared" si="147"/>
        <v>0</v>
      </c>
      <c r="AS377" s="2">
        <f>IF($H377=0,0,Player_Analysis!$AM377*$H377/90)</f>
        <v>0</v>
      </c>
      <c r="AT377">
        <f t="shared" si="148"/>
        <v>0</v>
      </c>
      <c r="AU377" s="2">
        <f>0</f>
        <v>0</v>
      </c>
      <c r="AV377" s="2" t="str">
        <f>IF(INDEX(FPL_Raw_Data!K:K,MATCH(A377,FPL_Raw_Data!AA:AA,0))=0,"",INDEX(FPL_Raw_Data!P:P,MATCH(A377,FPL_Raw_Data!AA:AA,0))/INDEX(FPL_Raw_Data!K:K,MATCH(A377,FPL_Raw_Data!AA:AA,0))*90)</f>
        <v/>
      </c>
      <c r="AW377" s="2">
        <f t="shared" si="149"/>
        <v>0</v>
      </c>
      <c r="AX377" s="2">
        <f>IFERROR(INDEX(TEAM_ANALYSIS!$H$2:$H$21,MATCH($B377,TEAM_ANALYSIS!$A$2:$A$21,0)),0)</f>
        <v>2.6666666666666665</v>
      </c>
      <c r="AY377" s="2">
        <f t="shared" si="150"/>
        <v>0</v>
      </c>
      <c r="AZ377" s="2">
        <f t="shared" si="151"/>
        <v>0</v>
      </c>
      <c r="BA377">
        <f t="shared" si="152"/>
        <v>0</v>
      </c>
      <c r="BB377">
        <f>IFERROR(Player_Analysis!$Y377,1)</f>
        <v>1.0097491349480967</v>
      </c>
      <c r="BC377">
        <f t="shared" si="153"/>
        <v>0</v>
      </c>
      <c r="BD377">
        <f t="shared" si="154"/>
        <v>0</v>
      </c>
      <c r="BE377">
        <f t="shared" si="155"/>
        <v>0</v>
      </c>
      <c r="BF377">
        <f t="shared" si="156"/>
        <v>253</v>
      </c>
      <c r="BG377">
        <f>IF($BE377="","",COUNTIFS($C$2:$C$596,$C377,$BE$2:$BE$596,"&gt;"&amp;$BE377)+COUNTIFS($C$2:$C377,$C377,$BE$2:$BE377,$BE377))</f>
        <v>211</v>
      </c>
    </row>
    <row r="378" spans="1:59" x14ac:dyDescent="0.25">
      <c r="A378" t="str">
        <f>Player_Analysis!A378</f>
        <v>Sam Szmodics</v>
      </c>
      <c r="B378">
        <f>Player_Analysis!C378</f>
        <v>12</v>
      </c>
      <c r="C378" t="str">
        <f>Player_Analysis!B378</f>
        <v>MID</v>
      </c>
      <c r="D378" s="13">
        <f>Player_Analysis!E378</f>
        <v>5</v>
      </c>
      <c r="E378">
        <f>Player_Analysis!I378</f>
        <v>0</v>
      </c>
      <c r="F378" s="8">
        <f>Player_Analysis!Z378</f>
        <v>0</v>
      </c>
      <c r="G378" s="17">
        <f t="shared" si="131"/>
        <v>0</v>
      </c>
      <c r="H378">
        <f t="shared" si="132"/>
        <v>0</v>
      </c>
      <c r="I378" s="8">
        <f>Player_Analysis!AF378</f>
        <v>0</v>
      </c>
      <c r="J378" s="8">
        <f>Player_Analysis!AG378</f>
        <v>0</v>
      </c>
      <c r="K378">
        <f>Player_Analysis!O378</f>
        <v>0</v>
      </c>
      <c r="L378">
        <f>Player_Analysis!P378</f>
        <v>0</v>
      </c>
      <c r="M378" t="str">
        <f t="shared" si="133"/>
        <v/>
      </c>
      <c r="N378" t="str">
        <f t="shared" si="134"/>
        <v/>
      </c>
      <c r="O378" s="2" t="str">
        <f>IF(E378=0,"",Player_Analysis!L378/E378*90)</f>
        <v/>
      </c>
      <c r="P378" t="str">
        <f>IF(E378=0,"",Player_Analysis!Q378/E378*90)</f>
        <v/>
      </c>
      <c r="Q378" t="str">
        <f>IF(E378=0,"",(Player_Analysis!AD378/E378)*90)</f>
        <v/>
      </c>
      <c r="R378" t="str">
        <f>IF(E378=0,"",Player_Analysis!AA378/E378*90)</f>
        <v/>
      </c>
      <c r="S378" t="str">
        <f t="array" ref="S378">IFERROR(INDEX('2023_24'!$O:$O,MATCH($A378,'2023_24'!$A:$A,0)),"")</f>
        <v/>
      </c>
      <c r="T378">
        <f>IFERROR(INDEX('2024_25'!$P:$P,MATCH($A378,'2024_25'!$A:$A,0)),"")</f>
        <v>0.3133603238866397</v>
      </c>
      <c r="U378" t="str">
        <f>IFERROR(INDEX('2025_26'!$P:$P,MATCH($A378,'2025_26'!$A:$A,0)),"")</f>
        <v/>
      </c>
      <c r="V378" t="str">
        <f>IFERROR(INDEX('2023_24'!$P:$P,MATCH($A378,'2023_24'!$A:$A,0)),"")</f>
        <v/>
      </c>
      <c r="W378">
        <f>IFERROR(INDEX('2024_25'!$Q:$Q,MATCH($A378,'2024_25'!$A:$A,0)),"")</f>
        <v>4.0991902834008095E-2</v>
      </c>
      <c r="X378" t="str">
        <f>IFERROR(INDEX('2025_26'!$Q:$Q,MATCH($A378,'2025_26'!$A:$A,0)),"")</f>
        <v/>
      </c>
      <c r="Y378" t="str">
        <f>IFERROR(INDEX('2023_24'!$M:$M,MATCH($A378,'2023_24'!$A:$A,0))/INDEX('2023_24'!$G:$G,MATCH($A378,'2023_24'!$A:$A,0))*90,"")</f>
        <v/>
      </c>
      <c r="Z378">
        <f>IFERROR(INDEX('2024_25'!$M:$M,MATCH($A378,'2024_25'!$A:$A,0))/INDEX('2024_25'!$G:$G,MATCH($A378,'2024_25'!$A:$A,0))*90,"")</f>
        <v>4.9190283400809722</v>
      </c>
      <c r="AA378" t="str">
        <f>IFERROR(INDEX('2025_26'!$M:$M,MATCH($A378,'2025_26'!$A:$A,0))/INDEX('2025_26'!$G:$G,MATCH($A378,'2025_26'!$A:$A,0))*90,"")</f>
        <v/>
      </c>
      <c r="AB378">
        <f>IFERROR(SUMPRODUCT(S378:U378,{0.2,0.3,0.5})/SUMPRODUCT(--(S378:U378&lt;&gt;""),{0.2,0.3,0.5}),"")</f>
        <v>0.3133603238866397</v>
      </c>
      <c r="AC378">
        <f>IFERROR(SUMPRODUCT(V378:X378,{0.2,0.3,0.5})/SUMPRODUCT(--(V378:X378&lt;&gt;""),{0.2,0.3,0.5}),"")</f>
        <v>4.0991902834008095E-2</v>
      </c>
      <c r="AD378">
        <f>IFERROR(SUMPRODUCT(Y378:AA378,{0.2,0.3,0.5})/SUMPRODUCT((Y378:AA378&lt;&gt;"")*{0.2,0.3,0.5}),O378)</f>
        <v>4.9190283400809722</v>
      </c>
      <c r="AE378">
        <f t="shared" si="135"/>
        <v>1</v>
      </c>
      <c r="AF378" t="str">
        <f t="shared" si="136"/>
        <v/>
      </c>
      <c r="AG378">
        <f t="shared" si="137"/>
        <v>0.3133603238866397</v>
      </c>
      <c r="AH378">
        <f t="shared" si="138"/>
        <v>4.0991902834008095E-2</v>
      </c>
      <c r="AI378" s="2">
        <f t="shared" si="139"/>
        <v>4.9190283400809722</v>
      </c>
      <c r="AJ378">
        <f t="shared" si="140"/>
        <v>0</v>
      </c>
      <c r="AK378" t="str">
        <f t="shared" si="141"/>
        <v>NO</v>
      </c>
      <c r="AL378">
        <f t="shared" si="142"/>
        <v>0</v>
      </c>
      <c r="AM378">
        <f t="shared" si="143"/>
        <v>0</v>
      </c>
      <c r="AN378">
        <f t="shared" si="144"/>
        <v>0</v>
      </c>
      <c r="AO378">
        <f t="shared" si="145"/>
        <v>0</v>
      </c>
      <c r="AP378">
        <f t="array" ref="AP378">AL378*IF($C378="GKP",10,IF($C378="DEF",6,IF($C378="MID",5,4)))</f>
        <v>0</v>
      </c>
      <c r="AQ378">
        <f t="shared" si="146"/>
        <v>0</v>
      </c>
      <c r="AR378">
        <f t="shared" si="147"/>
        <v>0</v>
      </c>
      <c r="AS378" s="2">
        <f>IF($H378=0,0,Player_Analysis!$AM378*$H378/90)</f>
        <v>0</v>
      </c>
      <c r="AT378">
        <f t="shared" si="148"/>
        <v>0</v>
      </c>
      <c r="AU378" s="2">
        <f>0</f>
        <v>0</v>
      </c>
      <c r="AV378" s="2" t="str">
        <f>IF(INDEX(FPL_Raw_Data!K:K,MATCH(A378,FPL_Raw_Data!AA:AA,0))=0,"",INDEX(FPL_Raw_Data!P:P,MATCH(A378,FPL_Raw_Data!AA:AA,0))/INDEX(FPL_Raw_Data!K:K,MATCH(A378,FPL_Raw_Data!AA:AA,0))*90)</f>
        <v/>
      </c>
      <c r="AW378" s="2">
        <f t="shared" si="149"/>
        <v>0</v>
      </c>
      <c r="AX378" s="2">
        <f>IFERROR(INDEX(TEAM_ANALYSIS!$H$2:$H$21,MATCH($B378,TEAM_ANALYSIS!$A$2:$A$21,0)),0)</f>
        <v>2.6666666666666665</v>
      </c>
      <c r="AY378" s="2">
        <f t="shared" si="150"/>
        <v>0</v>
      </c>
      <c r="AZ378" s="2">
        <f t="shared" si="151"/>
        <v>0</v>
      </c>
      <c r="BA378">
        <f t="shared" si="152"/>
        <v>0</v>
      </c>
      <c r="BB378">
        <f>IFERROR(Player_Analysis!$Y378,1)</f>
        <v>1.0097491349480967</v>
      </c>
      <c r="BC378">
        <f t="shared" si="153"/>
        <v>0</v>
      </c>
      <c r="BD378">
        <f t="shared" si="154"/>
        <v>0</v>
      </c>
      <c r="BE378">
        <f t="shared" si="155"/>
        <v>0</v>
      </c>
      <c r="BF378">
        <f t="shared" si="156"/>
        <v>253</v>
      </c>
      <c r="BG378">
        <f>IF($BE378="","",COUNTIFS($C$2:$C$596,$C378,$BE$2:$BE$596,"&gt;"&amp;$BE378)+COUNTIFS($C$2:$C378,$C378,$BE$2:$BE378,$BE378))</f>
        <v>212</v>
      </c>
    </row>
    <row r="379" spans="1:59" x14ac:dyDescent="0.25">
      <c r="A379" t="str">
        <f>Player_Analysis!A379</f>
        <v>Chuba Akpom</v>
      </c>
      <c r="B379">
        <f>Player_Analysis!C379</f>
        <v>12</v>
      </c>
      <c r="C379" t="str">
        <f>Player_Analysis!B379</f>
        <v>FWD</v>
      </c>
      <c r="D379" s="13">
        <f>Player_Analysis!E379</f>
        <v>5</v>
      </c>
      <c r="E379">
        <f>Player_Analysis!I379</f>
        <v>69</v>
      </c>
      <c r="F379" s="8">
        <f>Player_Analysis!Z379</f>
        <v>0</v>
      </c>
      <c r="G379" s="17">
        <f t="shared" si="131"/>
        <v>0</v>
      </c>
      <c r="H379">
        <f t="shared" si="132"/>
        <v>0</v>
      </c>
      <c r="I379" s="8">
        <f>Player_Analysis!AF379</f>
        <v>1</v>
      </c>
      <c r="J379" s="8">
        <f>Player_Analysis!AG379</f>
        <v>0</v>
      </c>
      <c r="K379">
        <f>Player_Analysis!O379</f>
        <v>0.97</v>
      </c>
      <c r="L379">
        <f>Player_Analysis!P379</f>
        <v>0</v>
      </c>
      <c r="M379">
        <f t="shared" si="133"/>
        <v>1.2652173913043478</v>
      </c>
      <c r="N379">
        <f t="shared" si="134"/>
        <v>0</v>
      </c>
      <c r="O379" s="2">
        <f>IF(E379=0,"",Player_Analysis!L379/E379*90)</f>
        <v>7.8260869565217392</v>
      </c>
      <c r="P379">
        <f>IF(E379=0,"",Player_Analysis!Q379/E379*90)</f>
        <v>1.2652173913043478</v>
      </c>
      <c r="Q379">
        <f>IF(E379=0,"",(Player_Analysis!AD379/E379)*90)</f>
        <v>43.04347826086957</v>
      </c>
      <c r="R379">
        <f>IF(E379=0,"",Player_Analysis!AA379/E379*90)</f>
        <v>3.9130434782608696</v>
      </c>
      <c r="S379" t="str">
        <f t="array" ref="S379">IFERROR(INDEX('2023_24'!$O:$O,MATCH($A379,'2023_24'!$A:$A,0)),"")</f>
        <v/>
      </c>
      <c r="T379" t="str">
        <f>IFERROR(INDEX('2024_25'!$P:$P,MATCH($A379,'2024_25'!$A:$A,0)),"")</f>
        <v/>
      </c>
      <c r="U379" t="str">
        <f>IFERROR(INDEX('2025_26'!$P:$P,MATCH($A379,'2025_26'!$A:$A,0)),"")</f>
        <v/>
      </c>
      <c r="V379" t="str">
        <f>IFERROR(INDEX('2023_24'!$P:$P,MATCH($A379,'2023_24'!$A:$A,0)),"")</f>
        <v/>
      </c>
      <c r="W379" t="str">
        <f>IFERROR(INDEX('2024_25'!$Q:$Q,MATCH($A379,'2024_25'!$A:$A,0)),"")</f>
        <v/>
      </c>
      <c r="X379" t="str">
        <f>IFERROR(INDEX('2025_26'!$Q:$Q,MATCH($A379,'2025_26'!$A:$A,0)),"")</f>
        <v/>
      </c>
      <c r="Y379" t="str">
        <f>IFERROR(INDEX('2023_24'!$M:$M,MATCH($A379,'2023_24'!$A:$A,0))/INDEX('2023_24'!$G:$G,MATCH($A379,'2023_24'!$A:$A,0))*90,"")</f>
        <v/>
      </c>
      <c r="Z379" t="str">
        <f>IFERROR(INDEX('2024_25'!$M:$M,MATCH($A379,'2024_25'!$A:$A,0))/INDEX('2024_25'!$G:$G,MATCH($A379,'2024_25'!$A:$A,0))*90,"")</f>
        <v/>
      </c>
      <c r="AA379" t="str">
        <f>IFERROR(INDEX('2025_26'!$M:$M,MATCH($A379,'2025_26'!$A:$A,0))/INDEX('2025_26'!$G:$G,MATCH($A379,'2025_26'!$A:$A,0))*90,"")</f>
        <v/>
      </c>
      <c r="AB379" t="str">
        <f>IFERROR(SUMPRODUCT(S379:U379,{0.2,0.3,0.5})/SUMPRODUCT(--(S379:U379&lt;&gt;""),{0.2,0.3,0.5}),"")</f>
        <v/>
      </c>
      <c r="AC379" t="str">
        <f>IFERROR(SUMPRODUCT(V379:X379,{0.2,0.3,0.5})/SUMPRODUCT(--(V379:X379&lt;&gt;""),{0.2,0.3,0.5}),"")</f>
        <v/>
      </c>
      <c r="AD379">
        <f>IFERROR(SUMPRODUCT(Y379:AA379,{0.2,0.3,0.5})/SUMPRODUCT((Y379:AA379&lt;&gt;"")*{0.2,0.3,0.5}),O379)</f>
        <v>7.8260869565217392</v>
      </c>
      <c r="AE379">
        <f t="shared" si="135"/>
        <v>0</v>
      </c>
      <c r="AF379" t="str">
        <f t="shared" si="136"/>
        <v/>
      </c>
      <c r="AG379">
        <f t="shared" si="137"/>
        <v>1.2652173913043478</v>
      </c>
      <c r="AH379">
        <f t="shared" si="138"/>
        <v>0</v>
      </c>
      <c r="AI379" s="2">
        <f t="shared" si="139"/>
        <v>7.8260869565217392</v>
      </c>
      <c r="AJ379">
        <f t="shared" si="140"/>
        <v>0.23</v>
      </c>
      <c r="AK379" t="str">
        <f t="shared" si="141"/>
        <v>YES</v>
      </c>
      <c r="AL379">
        <f t="shared" si="142"/>
        <v>0</v>
      </c>
      <c r="AM379">
        <f t="shared" si="143"/>
        <v>0</v>
      </c>
      <c r="AN379">
        <f t="shared" si="144"/>
        <v>0</v>
      </c>
      <c r="AO379">
        <f t="shared" si="145"/>
        <v>0</v>
      </c>
      <c r="AP379">
        <f t="array" ref="AP379">AL379*IF($C379="GKP",10,IF($C379="DEF",6,IF($C379="MID",5,4)))</f>
        <v>0</v>
      </c>
      <c r="AQ379">
        <f t="shared" si="146"/>
        <v>0</v>
      </c>
      <c r="AR379">
        <f t="shared" si="147"/>
        <v>0</v>
      </c>
      <c r="AS379" s="2">
        <f>IF($H379=0,0,Player_Analysis!$AM379*$H379/90)</f>
        <v>0</v>
      </c>
      <c r="AT379">
        <f t="shared" si="148"/>
        <v>0</v>
      </c>
      <c r="AU379" s="2">
        <f>0</f>
        <v>0</v>
      </c>
      <c r="AV379" s="2">
        <f>IF(INDEX(FPL_Raw_Data!K:K,MATCH(A379,FPL_Raw_Data!AA:AA,0))=0,"",INDEX(FPL_Raw_Data!P:P,MATCH(A379,FPL_Raw_Data!AA:AA,0))/INDEX(FPL_Raw_Data!K:K,MATCH(A379,FPL_Raw_Data!AA:AA,0))*90)</f>
        <v>0</v>
      </c>
      <c r="AW379" s="2">
        <f t="shared" si="149"/>
        <v>0</v>
      </c>
      <c r="AX379" s="2">
        <f>IFERROR(INDEX(TEAM_ANALYSIS!$H$2:$H$21,MATCH($B379,TEAM_ANALYSIS!$A$2:$A$21,0)),0)</f>
        <v>2.6666666666666665</v>
      </c>
      <c r="AY379" s="2">
        <f t="shared" si="150"/>
        <v>0</v>
      </c>
      <c r="AZ379" s="2">
        <f t="shared" si="151"/>
        <v>0</v>
      </c>
      <c r="BA379">
        <f t="shared" si="152"/>
        <v>0</v>
      </c>
      <c r="BB379">
        <f>IFERROR(Player_Analysis!$Y379,1)</f>
        <v>1.0097491349480967</v>
      </c>
      <c r="BC379">
        <f t="shared" si="153"/>
        <v>0</v>
      </c>
      <c r="BD379">
        <f t="shared" si="154"/>
        <v>0</v>
      </c>
      <c r="BE379">
        <f t="shared" si="155"/>
        <v>0</v>
      </c>
      <c r="BF379">
        <f t="shared" si="156"/>
        <v>253</v>
      </c>
      <c r="BG379">
        <f>IF($BE379="","",COUNTIFS($C$2:$C$596,$C379,$BE$2:$BE$596,"&gt;"&amp;$BE379)+COUNTIFS($C$2:$C379,$C379,$BE$2:$BE379,$BE379))</f>
        <v>56</v>
      </c>
    </row>
    <row r="380" spans="1:59" x14ac:dyDescent="0.25">
      <c r="A380" t="str">
        <f>Player_Analysis!A380</f>
        <v>Sindre Walle Egeli</v>
      </c>
      <c r="B380">
        <f>Player_Analysis!C380</f>
        <v>12</v>
      </c>
      <c r="C380" t="str">
        <f>Player_Analysis!B380</f>
        <v>FWD</v>
      </c>
      <c r="D380" s="13">
        <f>Player_Analysis!E380</f>
        <v>4.5</v>
      </c>
      <c r="E380">
        <f>Player_Analysis!I380</f>
        <v>10</v>
      </c>
      <c r="F380" s="8">
        <f>Player_Analysis!Z380</f>
        <v>0</v>
      </c>
      <c r="G380" s="17">
        <f t="shared" si="131"/>
        <v>0</v>
      </c>
      <c r="H380">
        <f t="shared" si="132"/>
        <v>0</v>
      </c>
      <c r="I380" s="8">
        <f>Player_Analysis!AF380</f>
        <v>0</v>
      </c>
      <c r="J380" s="8">
        <f>Player_Analysis!AG380</f>
        <v>0</v>
      </c>
      <c r="K380">
        <f>Player_Analysis!O380</f>
        <v>0</v>
      </c>
      <c r="L380">
        <f>Player_Analysis!P380</f>
        <v>0</v>
      </c>
      <c r="M380">
        <f t="shared" si="133"/>
        <v>0</v>
      </c>
      <c r="N380">
        <f t="shared" si="134"/>
        <v>0</v>
      </c>
      <c r="O380" s="2">
        <f>IF(E380=0,"",Player_Analysis!L380/E380*90)</f>
        <v>9</v>
      </c>
      <c r="P380">
        <f>IF(E380=0,"",Player_Analysis!Q380/E380*90)</f>
        <v>0</v>
      </c>
      <c r="Q380">
        <f>IF(E380=0,"",(Player_Analysis!AD380/E380)*90)</f>
        <v>27</v>
      </c>
      <c r="R380">
        <f>IF(E380=0,"",Player_Analysis!AA380/E380*90)</f>
        <v>0</v>
      </c>
      <c r="S380" t="str">
        <f t="array" ref="S380">IFERROR(INDEX('2023_24'!$O:$O,MATCH($A380,'2023_24'!$A:$A,0)),"")</f>
        <v/>
      </c>
      <c r="T380" t="str">
        <f>IFERROR(INDEX('2024_25'!$P:$P,MATCH($A380,'2024_25'!$A:$A,0)),"")</f>
        <v/>
      </c>
      <c r="U380" t="str">
        <f>IFERROR(INDEX('2025_26'!$P:$P,MATCH($A380,'2025_26'!$A:$A,0)),"")</f>
        <v/>
      </c>
      <c r="V380" t="str">
        <f>IFERROR(INDEX('2023_24'!$P:$P,MATCH($A380,'2023_24'!$A:$A,0)),"")</f>
        <v/>
      </c>
      <c r="W380" t="str">
        <f>IFERROR(INDEX('2024_25'!$Q:$Q,MATCH($A380,'2024_25'!$A:$A,0)),"")</f>
        <v/>
      </c>
      <c r="X380" t="str">
        <f>IFERROR(INDEX('2025_26'!$Q:$Q,MATCH($A380,'2025_26'!$A:$A,0)),"")</f>
        <v/>
      </c>
      <c r="Y380" t="str">
        <f>IFERROR(INDEX('2023_24'!$M:$M,MATCH($A380,'2023_24'!$A:$A,0))/INDEX('2023_24'!$G:$G,MATCH($A380,'2023_24'!$A:$A,0))*90,"")</f>
        <v/>
      </c>
      <c r="Z380" t="str">
        <f>IFERROR(INDEX('2024_25'!$M:$M,MATCH($A380,'2024_25'!$A:$A,0))/INDEX('2024_25'!$G:$G,MATCH($A380,'2024_25'!$A:$A,0))*90,"")</f>
        <v/>
      </c>
      <c r="AA380" t="str">
        <f>IFERROR(INDEX('2025_26'!$M:$M,MATCH($A380,'2025_26'!$A:$A,0))/INDEX('2025_26'!$G:$G,MATCH($A380,'2025_26'!$A:$A,0))*90,"")</f>
        <v/>
      </c>
      <c r="AB380" t="str">
        <f>IFERROR(SUMPRODUCT(S380:U380,{0.2,0.3,0.5})/SUMPRODUCT(--(S380:U380&lt;&gt;""),{0.2,0.3,0.5}),"")</f>
        <v/>
      </c>
      <c r="AC380" t="str">
        <f>IFERROR(SUMPRODUCT(V380:X380,{0.2,0.3,0.5})/SUMPRODUCT(--(V380:X380&lt;&gt;""),{0.2,0.3,0.5}),"")</f>
        <v/>
      </c>
      <c r="AD380">
        <f>IFERROR(SUMPRODUCT(Y380:AA380,{0.2,0.3,0.5})/SUMPRODUCT((Y380:AA380&lt;&gt;"")*{0.2,0.3,0.5}),O380)</f>
        <v>9</v>
      </c>
      <c r="AE380">
        <f t="shared" si="135"/>
        <v>0</v>
      </c>
      <c r="AF380" t="str">
        <f t="shared" si="136"/>
        <v/>
      </c>
      <c r="AG380">
        <f t="shared" si="137"/>
        <v>0</v>
      </c>
      <c r="AH380">
        <f t="shared" si="138"/>
        <v>0</v>
      </c>
      <c r="AI380" s="2">
        <f t="shared" si="139"/>
        <v>9</v>
      </c>
      <c r="AJ380">
        <f t="shared" si="140"/>
        <v>3.3333333333333333E-2</v>
      </c>
      <c r="AK380" t="str">
        <f t="shared" si="141"/>
        <v>YES</v>
      </c>
      <c r="AL380">
        <f t="shared" si="142"/>
        <v>0</v>
      </c>
      <c r="AM380">
        <f t="shared" si="143"/>
        <v>0</v>
      </c>
      <c r="AN380">
        <f t="shared" si="144"/>
        <v>0</v>
      </c>
      <c r="AO380">
        <f t="shared" si="145"/>
        <v>0</v>
      </c>
      <c r="AP380">
        <f t="array" ref="AP380">AL380*IF($C380="GKP",10,IF($C380="DEF",6,IF($C380="MID",5,4)))</f>
        <v>0</v>
      </c>
      <c r="AQ380">
        <f t="shared" si="146"/>
        <v>0</v>
      </c>
      <c r="AR380">
        <f t="shared" si="147"/>
        <v>0</v>
      </c>
      <c r="AS380" s="2">
        <f>IF($H380=0,0,Player_Analysis!$AM380*$H380/90)</f>
        <v>0</v>
      </c>
      <c r="AT380">
        <f t="shared" si="148"/>
        <v>0</v>
      </c>
      <c r="AU380" s="2">
        <f>0</f>
        <v>0</v>
      </c>
      <c r="AV380" s="2">
        <f>IF(INDEX(FPL_Raw_Data!K:K,MATCH(A380,FPL_Raw_Data!AA:AA,0))=0,"",INDEX(FPL_Raw_Data!P:P,MATCH(A380,FPL_Raw_Data!AA:AA,0))/INDEX(FPL_Raw_Data!K:K,MATCH(A380,FPL_Raw_Data!AA:AA,0))*90)</f>
        <v>0</v>
      </c>
      <c r="AW380" s="2">
        <f t="shared" si="149"/>
        <v>0</v>
      </c>
      <c r="AX380" s="2">
        <f>IFERROR(INDEX(TEAM_ANALYSIS!$H$2:$H$21,MATCH($B380,TEAM_ANALYSIS!$A$2:$A$21,0)),0)</f>
        <v>2.6666666666666665</v>
      </c>
      <c r="AY380" s="2">
        <f t="shared" si="150"/>
        <v>0</v>
      </c>
      <c r="AZ380" s="2">
        <f t="shared" si="151"/>
        <v>0</v>
      </c>
      <c r="BA380">
        <f t="shared" si="152"/>
        <v>0</v>
      </c>
      <c r="BB380">
        <f>IFERROR(Player_Analysis!$Y380,1)</f>
        <v>1.0097491349480967</v>
      </c>
      <c r="BC380">
        <f t="shared" si="153"/>
        <v>0</v>
      </c>
      <c r="BD380">
        <f t="shared" si="154"/>
        <v>0</v>
      </c>
      <c r="BE380">
        <f t="shared" si="155"/>
        <v>0</v>
      </c>
      <c r="BF380">
        <f t="shared" si="156"/>
        <v>253</v>
      </c>
      <c r="BG380">
        <f>IF($BE380="","",COUNTIFS($C$2:$C$596,$C380,$BE$2:$BE$596,"&gt;"&amp;$BE380)+COUNTIFS($C$2:$C380,$C380,$BE$2:$BE380,$BE380))</f>
        <v>57</v>
      </c>
    </row>
    <row r="381" spans="1:59" x14ac:dyDescent="0.25">
      <c r="A381" t="str">
        <f>Player_Analysis!A381</f>
        <v>Ali Al-Hamadi</v>
      </c>
      <c r="B381">
        <f>Player_Analysis!C381</f>
        <v>12</v>
      </c>
      <c r="C381" t="str">
        <f>Player_Analysis!B381</f>
        <v>FWD</v>
      </c>
      <c r="D381" s="13">
        <f>Player_Analysis!E381</f>
        <v>5</v>
      </c>
      <c r="E381">
        <f>Player_Analysis!I381</f>
        <v>0</v>
      </c>
      <c r="F381" s="8">
        <f>Player_Analysis!Z381</f>
        <v>0</v>
      </c>
      <c r="G381" s="17">
        <f t="shared" si="131"/>
        <v>0</v>
      </c>
      <c r="H381">
        <f t="shared" si="132"/>
        <v>0</v>
      </c>
      <c r="I381" s="8">
        <f>Player_Analysis!AF381</f>
        <v>0</v>
      </c>
      <c r="J381" s="8">
        <f>Player_Analysis!AG381</f>
        <v>0</v>
      </c>
      <c r="K381">
        <f>Player_Analysis!O381</f>
        <v>0</v>
      </c>
      <c r="L381">
        <f>Player_Analysis!P381</f>
        <v>0</v>
      </c>
      <c r="M381" t="str">
        <f t="shared" si="133"/>
        <v/>
      </c>
      <c r="N381" t="str">
        <f t="shared" si="134"/>
        <v/>
      </c>
      <c r="O381" s="2" t="str">
        <f>IF(E381=0,"",Player_Analysis!L381/E381*90)</f>
        <v/>
      </c>
      <c r="P381" t="str">
        <f>IF(E381=0,"",Player_Analysis!Q381/E381*90)</f>
        <v/>
      </c>
      <c r="Q381" t="str">
        <f>IF(E381=0,"",(Player_Analysis!AD381/E381)*90)</f>
        <v/>
      </c>
      <c r="R381" t="str">
        <f>IF(E381=0,"",Player_Analysis!AA381/E381*90)</f>
        <v/>
      </c>
      <c r="S381" t="str">
        <f t="array" ref="S381">IFERROR(INDEX('2023_24'!$O:$O,MATCH($A381,'2023_24'!$A:$A,0)),"")</f>
        <v/>
      </c>
      <c r="T381">
        <f>IFERROR(INDEX('2024_25'!$P:$P,MATCH($A381,'2024_25'!$A:$A,0)),"")</f>
        <v>0.252</v>
      </c>
      <c r="U381" t="str">
        <f>IFERROR(INDEX('2025_26'!$P:$P,MATCH($A381,'2025_26'!$A:$A,0)),"")</f>
        <v/>
      </c>
      <c r="V381" t="str">
        <f>IFERROR(INDEX('2023_24'!$P:$P,MATCH($A381,'2023_24'!$A:$A,0)),"")</f>
        <v/>
      </c>
      <c r="W381">
        <f>IFERROR(INDEX('2024_25'!$Q:$Q,MATCH($A381,'2024_25'!$A:$A,0)),"")</f>
        <v>2.8800000000000003E-2</v>
      </c>
      <c r="X381" t="str">
        <f>IFERROR(INDEX('2025_26'!$Q:$Q,MATCH($A381,'2025_26'!$A:$A,0)),"")</f>
        <v/>
      </c>
      <c r="Y381" t="str">
        <f>IFERROR(INDEX('2023_24'!$M:$M,MATCH($A381,'2023_24'!$A:$A,0))/INDEX('2023_24'!$G:$G,MATCH($A381,'2023_24'!$A:$A,0))*90,"")</f>
        <v/>
      </c>
      <c r="Z381">
        <f>IFERROR(INDEX('2024_25'!$M:$M,MATCH($A381,'2024_25'!$A:$A,0))/INDEX('2024_25'!$G:$G,MATCH($A381,'2024_25'!$A:$A,0))*90,"")</f>
        <v>5.76</v>
      </c>
      <c r="AA381" t="str">
        <f>IFERROR(INDEX('2025_26'!$M:$M,MATCH($A381,'2025_26'!$A:$A,0))/INDEX('2025_26'!$G:$G,MATCH($A381,'2025_26'!$A:$A,0))*90,"")</f>
        <v/>
      </c>
      <c r="AB381">
        <f>IFERROR(SUMPRODUCT(S381:U381,{0.2,0.3,0.5})/SUMPRODUCT(--(S381:U381&lt;&gt;""),{0.2,0.3,0.5}),"")</f>
        <v>0.252</v>
      </c>
      <c r="AC381">
        <f>IFERROR(SUMPRODUCT(V381:X381,{0.2,0.3,0.5})/SUMPRODUCT(--(V381:X381&lt;&gt;""),{0.2,0.3,0.5}),"")</f>
        <v>2.8800000000000003E-2</v>
      </c>
      <c r="AD381">
        <f>IFERROR(SUMPRODUCT(Y381:AA381,{0.2,0.3,0.5})/SUMPRODUCT((Y381:AA381&lt;&gt;"")*{0.2,0.3,0.5}),O381)</f>
        <v>5.76</v>
      </c>
      <c r="AE381">
        <f t="shared" si="135"/>
        <v>1</v>
      </c>
      <c r="AF381" t="str">
        <f t="shared" si="136"/>
        <v/>
      </c>
      <c r="AG381">
        <f t="shared" si="137"/>
        <v>0.252</v>
      </c>
      <c r="AH381">
        <f t="shared" si="138"/>
        <v>2.8800000000000003E-2</v>
      </c>
      <c r="AI381" s="2">
        <f t="shared" si="139"/>
        <v>5.76</v>
      </c>
      <c r="AJ381">
        <f t="shared" si="140"/>
        <v>0</v>
      </c>
      <c r="AK381" t="str">
        <f t="shared" si="141"/>
        <v>NO</v>
      </c>
      <c r="AL381">
        <f t="shared" si="142"/>
        <v>0</v>
      </c>
      <c r="AM381">
        <f t="shared" si="143"/>
        <v>0</v>
      </c>
      <c r="AN381">
        <f t="shared" si="144"/>
        <v>0</v>
      </c>
      <c r="AO381">
        <f t="shared" si="145"/>
        <v>0</v>
      </c>
      <c r="AP381">
        <f t="array" ref="AP381">AL381*IF($C381="GKP",10,IF($C381="DEF",6,IF($C381="MID",5,4)))</f>
        <v>0</v>
      </c>
      <c r="AQ381">
        <f t="shared" si="146"/>
        <v>0</v>
      </c>
      <c r="AR381">
        <f t="shared" si="147"/>
        <v>0</v>
      </c>
      <c r="AS381" s="2">
        <f>IF($H381=0,0,Player_Analysis!$AM381*$H381/90)</f>
        <v>0</v>
      </c>
      <c r="AT381">
        <f t="shared" si="148"/>
        <v>0</v>
      </c>
      <c r="AU381" s="2">
        <f>0</f>
        <v>0</v>
      </c>
      <c r="AV381" s="2" t="str">
        <f>IF(INDEX(FPL_Raw_Data!K:K,MATCH(A381,FPL_Raw_Data!AA:AA,0))=0,"",INDEX(FPL_Raw_Data!P:P,MATCH(A381,FPL_Raw_Data!AA:AA,0))/INDEX(FPL_Raw_Data!K:K,MATCH(A381,FPL_Raw_Data!AA:AA,0))*90)</f>
        <v/>
      </c>
      <c r="AW381" s="2">
        <f t="shared" si="149"/>
        <v>0</v>
      </c>
      <c r="AX381" s="2">
        <f>IFERROR(INDEX(TEAM_ANALYSIS!$H$2:$H$21,MATCH($B381,TEAM_ANALYSIS!$A$2:$A$21,0)),0)</f>
        <v>2.6666666666666665</v>
      </c>
      <c r="AY381" s="2">
        <f t="shared" si="150"/>
        <v>0</v>
      </c>
      <c r="AZ381" s="2">
        <f t="shared" si="151"/>
        <v>0</v>
      </c>
      <c r="BA381">
        <f t="shared" si="152"/>
        <v>0</v>
      </c>
      <c r="BB381">
        <f>IFERROR(Player_Analysis!$Y381,1)</f>
        <v>1.0097491349480967</v>
      </c>
      <c r="BC381">
        <f t="shared" si="153"/>
        <v>0</v>
      </c>
      <c r="BD381">
        <f t="shared" si="154"/>
        <v>0</v>
      </c>
      <c r="BE381">
        <f t="shared" si="155"/>
        <v>0</v>
      </c>
      <c r="BF381">
        <f t="shared" si="156"/>
        <v>253</v>
      </c>
      <c r="BG381">
        <f>IF($BE381="","",COUNTIFS($C$2:$C$596,$C381,$BE$2:$BE$596,"&gt;"&amp;$BE381)+COUNTIFS($C$2:$C381,$C381,$BE$2:$BE381,$BE381))</f>
        <v>58</v>
      </c>
    </row>
    <row r="382" spans="1:59" x14ac:dyDescent="0.25">
      <c r="A382" t="str">
        <f>Player_Analysis!A382</f>
        <v>Kasey McAteer</v>
      </c>
      <c r="B382">
        <f>Player_Analysis!C382</f>
        <v>12</v>
      </c>
      <c r="C382" t="str">
        <f>Player_Analysis!B382</f>
        <v>MID</v>
      </c>
      <c r="D382" s="13">
        <f>Player_Analysis!E382</f>
        <v>4.5</v>
      </c>
      <c r="E382">
        <f>Player_Analysis!I382</f>
        <v>42</v>
      </c>
      <c r="F382" s="8">
        <f>Player_Analysis!Z382</f>
        <v>0</v>
      </c>
      <c r="G382" s="17">
        <f t="shared" si="131"/>
        <v>0</v>
      </c>
      <c r="H382">
        <f t="shared" si="132"/>
        <v>0</v>
      </c>
      <c r="I382" s="8">
        <f>Player_Analysis!AF382</f>
        <v>0</v>
      </c>
      <c r="J382" s="8">
        <f>Player_Analysis!AG382</f>
        <v>0</v>
      </c>
      <c r="K382">
        <f>Player_Analysis!O382</f>
        <v>0.05</v>
      </c>
      <c r="L382">
        <f>Player_Analysis!P382</f>
        <v>0</v>
      </c>
      <c r="M382">
        <f t="shared" si="133"/>
        <v>0.10714285714285715</v>
      </c>
      <c r="N382">
        <f t="shared" si="134"/>
        <v>0</v>
      </c>
      <c r="O382" s="2">
        <f>IF(E382=0,"",Player_Analysis!L382/E382*90)</f>
        <v>6.4285714285714279</v>
      </c>
      <c r="P382">
        <f>IF(E382=0,"",Player_Analysis!Q382/E382*90)</f>
        <v>0.10714285714285715</v>
      </c>
      <c r="Q382">
        <f>IF(E382=0,"",(Player_Analysis!AD382/E382)*90)</f>
        <v>25.714285714285712</v>
      </c>
      <c r="R382">
        <f>IF(E382=0,"",Player_Analysis!AA382/E382*90)</f>
        <v>10.714285714285714</v>
      </c>
      <c r="S382" t="str">
        <f t="array" ref="S382">IFERROR(INDEX('2023_24'!$O:$O,MATCH($A382,'2023_24'!$A:$A,0)),"")</f>
        <v/>
      </c>
      <c r="T382">
        <f>IFERROR(INDEX('2024_25'!$P:$P,MATCH($A382,'2024_25'!$A:$A,0)),"")</f>
        <v>0.10531914893617023</v>
      </c>
      <c r="U382" t="str">
        <f>IFERROR(INDEX('2025_26'!$P:$P,MATCH($A382,'2025_26'!$A:$A,0)),"")</f>
        <v/>
      </c>
      <c r="V382" t="str">
        <f>IFERROR(INDEX('2023_24'!$P:$P,MATCH($A382,'2023_24'!$A:$A,0)),"")</f>
        <v/>
      </c>
      <c r="W382">
        <f>IFERROR(INDEX('2024_25'!$Q:$Q,MATCH($A382,'2024_25'!$A:$A,0)),"")</f>
        <v>6.702127659574468E-2</v>
      </c>
      <c r="X382" t="str">
        <f>IFERROR(INDEX('2025_26'!$Q:$Q,MATCH($A382,'2025_26'!$A:$A,0)),"")</f>
        <v/>
      </c>
      <c r="Y382" t="str">
        <f>IFERROR(INDEX('2023_24'!$M:$M,MATCH($A382,'2023_24'!$A:$A,0))/INDEX('2023_24'!$G:$G,MATCH($A382,'2023_24'!$A:$A,0))*90,"")</f>
        <v/>
      </c>
      <c r="Z382">
        <f>IFERROR(INDEX('2024_25'!$M:$M,MATCH($A382,'2024_25'!$A:$A,0))/INDEX('2024_25'!$G:$G,MATCH($A382,'2024_25'!$A:$A,0))*90,"")</f>
        <v>3.7234042553191489</v>
      </c>
      <c r="AA382" t="str">
        <f>IFERROR(INDEX('2025_26'!$M:$M,MATCH($A382,'2025_26'!$A:$A,0))/INDEX('2025_26'!$G:$G,MATCH($A382,'2025_26'!$A:$A,0))*90,"")</f>
        <v/>
      </c>
      <c r="AB382">
        <f>IFERROR(SUMPRODUCT(S382:U382,{0.2,0.3,0.5})/SUMPRODUCT(--(S382:U382&lt;&gt;""),{0.2,0.3,0.5}),"")</f>
        <v>0.10531914893617023</v>
      </c>
      <c r="AC382">
        <f>IFERROR(SUMPRODUCT(V382:X382,{0.2,0.3,0.5})/SUMPRODUCT(--(V382:X382&lt;&gt;""),{0.2,0.3,0.5}),"")</f>
        <v>6.702127659574468E-2</v>
      </c>
      <c r="AD382">
        <f>IFERROR(SUMPRODUCT(Y382:AA382,{0.2,0.3,0.5})/SUMPRODUCT((Y382:AA382&lt;&gt;"")*{0.2,0.3,0.5}),O382)</f>
        <v>3.7234042553191489</v>
      </c>
      <c r="AE382">
        <f t="shared" si="135"/>
        <v>1</v>
      </c>
      <c r="AF382" t="str">
        <f t="shared" si="136"/>
        <v/>
      </c>
      <c r="AG382">
        <f t="shared" si="137"/>
        <v>0.1055744680851064</v>
      </c>
      <c r="AH382">
        <f t="shared" si="138"/>
        <v>5.7638297872340427E-2</v>
      </c>
      <c r="AI382" s="2">
        <f t="shared" si="139"/>
        <v>4.1021276595744682</v>
      </c>
      <c r="AJ382">
        <f t="shared" si="140"/>
        <v>0.14000000000000001</v>
      </c>
      <c r="AK382" t="str">
        <f t="shared" si="141"/>
        <v>NO</v>
      </c>
      <c r="AL382">
        <f t="shared" si="142"/>
        <v>0</v>
      </c>
      <c r="AM382">
        <f t="shared" si="143"/>
        <v>0</v>
      </c>
      <c r="AN382">
        <f t="shared" si="144"/>
        <v>0</v>
      </c>
      <c r="AO382">
        <f t="shared" si="145"/>
        <v>0</v>
      </c>
      <c r="AP382">
        <f t="array" ref="AP382">AL382*IF($C382="GKP",10,IF($C382="DEF",6,IF($C382="MID",5,4)))</f>
        <v>0</v>
      </c>
      <c r="AQ382">
        <f t="shared" si="146"/>
        <v>0</v>
      </c>
      <c r="AR382">
        <f t="shared" si="147"/>
        <v>0</v>
      </c>
      <c r="AS382" s="2">
        <f>IF($H382=0,0,Player_Analysis!$AM382*$H382/90)</f>
        <v>0</v>
      </c>
      <c r="AT382">
        <f t="shared" si="148"/>
        <v>0</v>
      </c>
      <c r="AU382" s="2">
        <f>0</f>
        <v>0</v>
      </c>
      <c r="AV382" s="2">
        <f>IF(INDEX(FPL_Raw_Data!K:K,MATCH(A382,FPL_Raw_Data!AA:AA,0))=0,"",INDEX(FPL_Raw_Data!P:P,MATCH(A382,FPL_Raw_Data!AA:AA,0))/INDEX(FPL_Raw_Data!K:K,MATCH(A382,FPL_Raw_Data!AA:AA,0))*90)</f>
        <v>0</v>
      </c>
      <c r="AW382" s="2">
        <f t="shared" si="149"/>
        <v>0</v>
      </c>
      <c r="AX382" s="2">
        <f>IFERROR(INDEX(TEAM_ANALYSIS!$H$2:$H$21,MATCH($B382,TEAM_ANALYSIS!$A$2:$A$21,0)),0)</f>
        <v>2.6666666666666665</v>
      </c>
      <c r="AY382" s="2">
        <f t="shared" si="150"/>
        <v>0</v>
      </c>
      <c r="AZ382" s="2">
        <f t="shared" si="151"/>
        <v>0</v>
      </c>
      <c r="BA382">
        <f t="shared" si="152"/>
        <v>0</v>
      </c>
      <c r="BB382">
        <f>IFERROR(Player_Analysis!$Y382,1)</f>
        <v>1.0097491349480967</v>
      </c>
      <c r="BC382">
        <f t="shared" si="153"/>
        <v>0</v>
      </c>
      <c r="BD382">
        <f t="shared" si="154"/>
        <v>0</v>
      </c>
      <c r="BE382">
        <f t="shared" si="155"/>
        <v>0</v>
      </c>
      <c r="BF382">
        <f t="shared" si="156"/>
        <v>253</v>
      </c>
      <c r="BG382">
        <f>IF($BE382="","",COUNTIFS($C$2:$C$596,$C382,$BE$2:$BE$596,"&gt;"&amp;$BE382)+COUNTIFS($C$2:$C382,$C382,$BE$2:$BE382,$BE382))</f>
        <v>213</v>
      </c>
    </row>
    <row r="383" spans="1:59" x14ac:dyDescent="0.25">
      <c r="A383" t="str">
        <f>Player_Analysis!A383</f>
        <v>Anis Mehmeti</v>
      </c>
      <c r="B383">
        <f>Player_Analysis!C383</f>
        <v>12</v>
      </c>
      <c r="C383" t="str">
        <f>Player_Analysis!B383</f>
        <v>MID</v>
      </c>
      <c r="D383" s="13">
        <f>Player_Analysis!E383</f>
        <v>4.9000000000000004</v>
      </c>
      <c r="E383">
        <f>Player_Analysis!I383</f>
        <v>0</v>
      </c>
      <c r="F383" s="8">
        <f>Player_Analysis!Z383</f>
        <v>0</v>
      </c>
      <c r="G383" s="17">
        <f t="shared" si="131"/>
        <v>0</v>
      </c>
      <c r="H383">
        <f t="shared" si="132"/>
        <v>0</v>
      </c>
      <c r="I383" s="8">
        <f>Player_Analysis!AF383</f>
        <v>0</v>
      </c>
      <c r="J383" s="8">
        <f>Player_Analysis!AG383</f>
        <v>0</v>
      </c>
      <c r="K383">
        <f>Player_Analysis!O383</f>
        <v>0</v>
      </c>
      <c r="L383">
        <f>Player_Analysis!P383</f>
        <v>0</v>
      </c>
      <c r="M383" t="str">
        <f t="shared" si="133"/>
        <v/>
      </c>
      <c r="N383" t="str">
        <f t="shared" si="134"/>
        <v/>
      </c>
      <c r="O383" s="2" t="str">
        <f>IF(E383=0,"",Player_Analysis!L383/E383*90)</f>
        <v/>
      </c>
      <c r="P383" t="str">
        <f>IF(E383=0,"",Player_Analysis!Q383/E383*90)</f>
        <v/>
      </c>
      <c r="Q383" t="str">
        <f>IF(E383=0,"",(Player_Analysis!AD383/E383)*90)</f>
        <v/>
      </c>
      <c r="R383" t="str">
        <f>IF(E383=0,"",Player_Analysis!AA383/E383*90)</f>
        <v/>
      </c>
      <c r="S383" t="str">
        <f t="array" ref="S383">IFERROR(INDEX('2023_24'!$O:$O,MATCH($A383,'2023_24'!$A:$A,0)),"")</f>
        <v/>
      </c>
      <c r="T383" t="str">
        <f>IFERROR(INDEX('2024_25'!$P:$P,MATCH($A383,'2024_25'!$A:$A,0)),"")</f>
        <v/>
      </c>
      <c r="U383" t="str">
        <f>IFERROR(INDEX('2025_26'!$P:$P,MATCH($A383,'2025_26'!$A:$A,0)),"")</f>
        <v/>
      </c>
      <c r="V383" t="str">
        <f>IFERROR(INDEX('2023_24'!$P:$P,MATCH($A383,'2023_24'!$A:$A,0)),"")</f>
        <v/>
      </c>
      <c r="W383" t="str">
        <f>IFERROR(INDEX('2024_25'!$Q:$Q,MATCH($A383,'2024_25'!$A:$A,0)),"")</f>
        <v/>
      </c>
      <c r="X383" t="str">
        <f>IFERROR(INDEX('2025_26'!$Q:$Q,MATCH($A383,'2025_26'!$A:$A,0)),"")</f>
        <v/>
      </c>
      <c r="Y383" t="str">
        <f>IFERROR(INDEX('2023_24'!$M:$M,MATCH($A383,'2023_24'!$A:$A,0))/INDEX('2023_24'!$G:$G,MATCH($A383,'2023_24'!$A:$A,0))*90,"")</f>
        <v/>
      </c>
      <c r="Z383" t="str">
        <f>IFERROR(INDEX('2024_25'!$M:$M,MATCH($A383,'2024_25'!$A:$A,0))/INDEX('2024_25'!$G:$G,MATCH($A383,'2024_25'!$A:$A,0))*90,"")</f>
        <v/>
      </c>
      <c r="AA383" t="str">
        <f>IFERROR(INDEX('2025_26'!$M:$M,MATCH($A383,'2025_26'!$A:$A,0))/INDEX('2025_26'!$G:$G,MATCH($A383,'2025_26'!$A:$A,0))*90,"")</f>
        <v/>
      </c>
      <c r="AB383" t="str">
        <f>IFERROR(SUMPRODUCT(S383:U383,{0.2,0.3,0.5})/SUMPRODUCT(--(S383:U383&lt;&gt;""),{0.2,0.3,0.5}),"")</f>
        <v/>
      </c>
      <c r="AC383" t="str">
        <f>IFERROR(SUMPRODUCT(V383:X383,{0.2,0.3,0.5})/SUMPRODUCT(--(V383:X383&lt;&gt;""),{0.2,0.3,0.5}),"")</f>
        <v/>
      </c>
      <c r="AD383" t="str">
        <f>IFERROR(SUMPRODUCT(Y383:AA383,{0.2,0.3,0.5})/SUMPRODUCT((Y383:AA383&lt;&gt;"")*{0.2,0.3,0.5}),O383)</f>
        <v/>
      </c>
      <c r="AE383">
        <f t="shared" si="135"/>
        <v>0</v>
      </c>
      <c r="AF383" t="str">
        <f t="shared" si="136"/>
        <v/>
      </c>
      <c r="AG383">
        <f t="shared" si="137"/>
        <v>0</v>
      </c>
      <c r="AH383">
        <f t="shared" si="138"/>
        <v>0</v>
      </c>
      <c r="AI383" s="2">
        <f t="shared" si="139"/>
        <v>0</v>
      </c>
      <c r="AJ383">
        <f t="shared" si="140"/>
        <v>0</v>
      </c>
      <c r="AK383" t="str">
        <f t="shared" si="141"/>
        <v>YES</v>
      </c>
      <c r="AL383">
        <f t="shared" si="142"/>
        <v>0</v>
      </c>
      <c r="AM383">
        <f t="shared" si="143"/>
        <v>0</v>
      </c>
      <c r="AN383">
        <f t="shared" si="144"/>
        <v>0</v>
      </c>
      <c r="AO383">
        <f t="shared" si="145"/>
        <v>0</v>
      </c>
      <c r="AP383">
        <f t="array" ref="AP383">AL383*IF($C383="GKP",10,IF($C383="DEF",6,IF($C383="MID",5,4)))</f>
        <v>0</v>
      </c>
      <c r="AQ383">
        <f t="shared" si="146"/>
        <v>0</v>
      </c>
      <c r="AR383">
        <f t="shared" si="147"/>
        <v>0</v>
      </c>
      <c r="AS383" s="2">
        <f>IF($H383=0,0,Player_Analysis!$AM383*$H383/90)</f>
        <v>0</v>
      </c>
      <c r="AT383">
        <f t="shared" si="148"/>
        <v>0</v>
      </c>
      <c r="AU383" s="2">
        <f>0</f>
        <v>0</v>
      </c>
      <c r="AV383" s="2" t="str">
        <f>IF(INDEX(FPL_Raw_Data!K:K,MATCH(A383,FPL_Raw_Data!AA:AA,0))=0,"",INDEX(FPL_Raw_Data!P:P,MATCH(A383,FPL_Raw_Data!AA:AA,0))/INDEX(FPL_Raw_Data!K:K,MATCH(A383,FPL_Raw_Data!AA:AA,0))*90)</f>
        <v/>
      </c>
      <c r="AW383" s="2">
        <f t="shared" si="149"/>
        <v>0</v>
      </c>
      <c r="AX383" s="2">
        <f>IFERROR(INDEX(TEAM_ANALYSIS!$H$2:$H$21,MATCH($B383,TEAM_ANALYSIS!$A$2:$A$21,0)),0)</f>
        <v>2.6666666666666665</v>
      </c>
      <c r="AY383" s="2">
        <f t="shared" si="150"/>
        <v>0</v>
      </c>
      <c r="AZ383" s="2">
        <f t="shared" si="151"/>
        <v>0</v>
      </c>
      <c r="BA383">
        <f t="shared" si="152"/>
        <v>0</v>
      </c>
      <c r="BB383">
        <f>IFERROR(Player_Analysis!$Y383,1)</f>
        <v>1.0097491349480967</v>
      </c>
      <c r="BC383">
        <f t="shared" si="153"/>
        <v>0</v>
      </c>
      <c r="BD383">
        <f t="shared" si="154"/>
        <v>0</v>
      </c>
      <c r="BE383">
        <f t="shared" si="155"/>
        <v>0</v>
      </c>
      <c r="BF383">
        <f t="shared" si="156"/>
        <v>253</v>
      </c>
      <c r="BG383">
        <f>IF($BE383="","",COUNTIFS($C$2:$C$596,$C383,$BE$2:$BE$596,"&gt;"&amp;$BE383)+COUNTIFS($C$2:$C383,$C383,$BE$2:$BE383,$BE383))</f>
        <v>214</v>
      </c>
    </row>
    <row r="384" spans="1:59" x14ac:dyDescent="0.25">
      <c r="A384" t="str">
        <f>Player_Analysis!A384</f>
        <v>Kayne van Oevelen</v>
      </c>
      <c r="B384">
        <f>Player_Analysis!C384</f>
        <v>12</v>
      </c>
      <c r="C384" t="str">
        <f>Player_Analysis!B384</f>
        <v>GK</v>
      </c>
      <c r="D384" s="13">
        <f>Player_Analysis!E384</f>
        <v>4.5</v>
      </c>
      <c r="E384">
        <f>Player_Analysis!I384</f>
        <v>0</v>
      </c>
      <c r="F384" s="8">
        <f>Player_Analysis!Z384</f>
        <v>0</v>
      </c>
      <c r="G384" s="17">
        <f t="shared" si="131"/>
        <v>0</v>
      </c>
      <c r="H384">
        <f t="shared" si="132"/>
        <v>0</v>
      </c>
      <c r="I384" s="8">
        <f>Player_Analysis!AF384</f>
        <v>0</v>
      </c>
      <c r="J384" s="8">
        <f>Player_Analysis!AG384</f>
        <v>0</v>
      </c>
      <c r="K384">
        <f>Player_Analysis!O384</f>
        <v>0</v>
      </c>
      <c r="L384">
        <f>Player_Analysis!P384</f>
        <v>0</v>
      </c>
      <c r="M384" t="str">
        <f t="shared" si="133"/>
        <v/>
      </c>
      <c r="N384" t="str">
        <f t="shared" si="134"/>
        <v/>
      </c>
      <c r="O384" s="2" t="str">
        <f>IF(E384=0,"",Player_Analysis!L384/E384*90)</f>
        <v/>
      </c>
      <c r="P384" t="str">
        <f>IF(E384=0,"",Player_Analysis!Q384/E384*90)</f>
        <v/>
      </c>
      <c r="Q384" t="str">
        <f>IF(E384=0,"",(Player_Analysis!AD384/E384)*90)</f>
        <v/>
      </c>
      <c r="R384" t="str">
        <f>IF(E384=0,"",Player_Analysis!AA384/E384*90)</f>
        <v/>
      </c>
      <c r="S384" t="str">
        <f t="array" ref="S384">IFERROR(INDEX('2023_24'!$O:$O,MATCH($A384,'2023_24'!$A:$A,0)),"")</f>
        <v/>
      </c>
      <c r="T384" t="str">
        <f>IFERROR(INDEX('2024_25'!$P:$P,MATCH($A384,'2024_25'!$A:$A,0)),"")</f>
        <v/>
      </c>
      <c r="U384" t="str">
        <f>IFERROR(INDEX('2025_26'!$P:$P,MATCH($A384,'2025_26'!$A:$A,0)),"")</f>
        <v/>
      </c>
      <c r="V384" t="str">
        <f>IFERROR(INDEX('2023_24'!$P:$P,MATCH($A384,'2023_24'!$A:$A,0)),"")</f>
        <v/>
      </c>
      <c r="W384" t="str">
        <f>IFERROR(INDEX('2024_25'!$Q:$Q,MATCH($A384,'2024_25'!$A:$A,0)),"")</f>
        <v/>
      </c>
      <c r="X384" t="str">
        <f>IFERROR(INDEX('2025_26'!$Q:$Q,MATCH($A384,'2025_26'!$A:$A,0)),"")</f>
        <v/>
      </c>
      <c r="Y384" t="str">
        <f>IFERROR(INDEX('2023_24'!$M:$M,MATCH($A384,'2023_24'!$A:$A,0))/INDEX('2023_24'!$G:$G,MATCH($A384,'2023_24'!$A:$A,0))*90,"")</f>
        <v/>
      </c>
      <c r="Z384" t="str">
        <f>IFERROR(INDEX('2024_25'!$M:$M,MATCH($A384,'2024_25'!$A:$A,0))/INDEX('2024_25'!$G:$G,MATCH($A384,'2024_25'!$A:$A,0))*90,"")</f>
        <v/>
      </c>
      <c r="AA384" t="str">
        <f>IFERROR(INDEX('2025_26'!$M:$M,MATCH($A384,'2025_26'!$A:$A,0))/INDEX('2025_26'!$G:$G,MATCH($A384,'2025_26'!$A:$A,0))*90,"")</f>
        <v/>
      </c>
      <c r="AB384" t="str">
        <f>IFERROR(SUMPRODUCT(S384:U384,{0.2,0.3,0.5})/SUMPRODUCT(--(S384:U384&lt;&gt;""),{0.2,0.3,0.5}),"")</f>
        <v/>
      </c>
      <c r="AC384" t="str">
        <f>IFERROR(SUMPRODUCT(V384:X384,{0.2,0.3,0.5})/SUMPRODUCT(--(V384:X384&lt;&gt;""),{0.2,0.3,0.5}),"")</f>
        <v/>
      </c>
      <c r="AD384" t="str">
        <f>IFERROR(SUMPRODUCT(Y384:AA384,{0.2,0.3,0.5})/SUMPRODUCT((Y384:AA384&lt;&gt;"")*{0.2,0.3,0.5}),O384)</f>
        <v/>
      </c>
      <c r="AE384">
        <f t="shared" si="135"/>
        <v>0</v>
      </c>
      <c r="AF384" t="str">
        <f t="shared" si="136"/>
        <v/>
      </c>
      <c r="AG384">
        <f t="shared" si="137"/>
        <v>0</v>
      </c>
      <c r="AH384">
        <f t="shared" si="138"/>
        <v>0</v>
      </c>
      <c r="AI384" s="2">
        <f t="shared" si="139"/>
        <v>0</v>
      </c>
      <c r="AJ384">
        <f t="shared" si="140"/>
        <v>0</v>
      </c>
      <c r="AK384" t="str">
        <f t="shared" si="141"/>
        <v>YES</v>
      </c>
      <c r="AL384">
        <f t="shared" si="142"/>
        <v>0</v>
      </c>
      <c r="AM384">
        <f t="shared" si="143"/>
        <v>0</v>
      </c>
      <c r="AN384">
        <f t="shared" si="144"/>
        <v>0</v>
      </c>
      <c r="AO384">
        <f t="shared" si="145"/>
        <v>0</v>
      </c>
      <c r="AP384">
        <f t="array" ref="AP384">AL384*IF($C384="GKP",10,IF($C384="DEF",6,IF($C384="MID",5,4)))</f>
        <v>0</v>
      </c>
      <c r="AQ384">
        <f t="shared" si="146"/>
        <v>0</v>
      </c>
      <c r="AR384">
        <f t="shared" si="147"/>
        <v>0</v>
      </c>
      <c r="AS384" s="2">
        <f>IF($H384=0,0,Player_Analysis!$AM384*$H384/90)</f>
        <v>0</v>
      </c>
      <c r="AT384">
        <f t="shared" si="148"/>
        <v>0</v>
      </c>
      <c r="AU384" s="2">
        <f>0</f>
        <v>0</v>
      </c>
      <c r="AV384" s="2" t="str">
        <f>IF(INDEX(FPL_Raw_Data!K:K,MATCH(A384,FPL_Raw_Data!AA:AA,0))=0,"",INDEX(FPL_Raw_Data!P:P,MATCH(A384,FPL_Raw_Data!AA:AA,0))/INDEX(FPL_Raw_Data!K:K,MATCH(A384,FPL_Raw_Data!AA:AA,0))*90)</f>
        <v/>
      </c>
      <c r="AW384" s="2">
        <f t="shared" si="149"/>
        <v>0</v>
      </c>
      <c r="AX384" s="2">
        <f>IFERROR(INDEX(TEAM_ANALYSIS!$H$2:$H$21,MATCH($B384,TEAM_ANALYSIS!$A$2:$A$21,0)),0)</f>
        <v>2.6666666666666665</v>
      </c>
      <c r="AY384" s="2">
        <f t="shared" si="150"/>
        <v>0</v>
      </c>
      <c r="AZ384" s="2">
        <f t="shared" si="151"/>
        <v>0</v>
      </c>
      <c r="BA384">
        <f t="shared" si="152"/>
        <v>0</v>
      </c>
      <c r="BB384">
        <f>IFERROR(Player_Analysis!$Y384,1)</f>
        <v>0.81436734693877555</v>
      </c>
      <c r="BC384">
        <f t="shared" si="153"/>
        <v>0</v>
      </c>
      <c r="BD384">
        <f t="shared" si="154"/>
        <v>0</v>
      </c>
      <c r="BE384">
        <f t="shared" si="155"/>
        <v>0</v>
      </c>
      <c r="BF384">
        <f t="shared" si="156"/>
        <v>253</v>
      </c>
      <c r="BG384">
        <f>IF($BE384="","",COUNTIFS($C$2:$C$596,$C384,$BE$2:$BE$596,"&gt;"&amp;$BE384)+COUNTIFS($C$2:$C384,$C384,$BE$2:$BE384,$BE384))</f>
        <v>47</v>
      </c>
    </row>
    <row r="385" spans="1:59" x14ac:dyDescent="0.25">
      <c r="A385" t="str">
        <f>Player_Analysis!A385</f>
        <v>Daizen Maeda</v>
      </c>
      <c r="B385">
        <f>Player_Analysis!C385</f>
        <v>12</v>
      </c>
      <c r="C385" t="str">
        <f>Player_Analysis!B385</f>
        <v>MID</v>
      </c>
      <c r="D385" s="13">
        <f>Player_Analysis!E385</f>
        <v>5.4</v>
      </c>
      <c r="E385">
        <f>Player_Analysis!I385</f>
        <v>216</v>
      </c>
      <c r="F385" s="8">
        <f>Player_Analysis!Z385</f>
        <v>3</v>
      </c>
      <c r="G385" s="17">
        <f t="shared" si="131"/>
        <v>1</v>
      </c>
      <c r="H385">
        <f t="shared" si="132"/>
        <v>90</v>
      </c>
      <c r="I385" s="8">
        <f>Player_Analysis!AF385</f>
        <v>0</v>
      </c>
      <c r="J385" s="8">
        <f>Player_Analysis!AG385</f>
        <v>0</v>
      </c>
      <c r="K385">
        <f>Player_Analysis!O385</f>
        <v>0.71</v>
      </c>
      <c r="L385">
        <f>Player_Analysis!P385</f>
        <v>0.01</v>
      </c>
      <c r="M385">
        <f t="shared" si="133"/>
        <v>0.29583333333333328</v>
      </c>
      <c r="N385">
        <f t="shared" si="134"/>
        <v>4.1666666666666666E-3</v>
      </c>
      <c r="O385" s="2">
        <f>IF(E385=0,"",Player_Analysis!L385/E385*90)</f>
        <v>2.5</v>
      </c>
      <c r="P385">
        <f>IF(E385=0,"",Player_Analysis!Q385/E385*90)</f>
        <v>0.3</v>
      </c>
      <c r="Q385">
        <f>IF(E385=0,"",(Player_Analysis!AD385/E385)*90)</f>
        <v>10.833333333333332</v>
      </c>
      <c r="R385">
        <f>IF(E385=0,"",Player_Analysis!AA385/E385*90)</f>
        <v>7.916666666666667</v>
      </c>
      <c r="S385" t="str">
        <f t="array" ref="S385">IFERROR(INDEX('2023_24'!$O:$O,MATCH($A385,'2023_24'!$A:$A,0)),"")</f>
        <v/>
      </c>
      <c r="T385" t="str">
        <f>IFERROR(INDEX('2024_25'!$P:$P,MATCH($A385,'2024_25'!$A:$A,0)),"")</f>
        <v/>
      </c>
      <c r="U385" t="str">
        <f>IFERROR(INDEX('2025_26'!$P:$P,MATCH($A385,'2025_26'!$A:$A,0)),"")</f>
        <v/>
      </c>
      <c r="V385" t="str">
        <f>IFERROR(INDEX('2023_24'!$P:$P,MATCH($A385,'2023_24'!$A:$A,0)),"")</f>
        <v/>
      </c>
      <c r="W385" t="str">
        <f>IFERROR(INDEX('2024_25'!$Q:$Q,MATCH($A385,'2024_25'!$A:$A,0)),"")</f>
        <v/>
      </c>
      <c r="X385" t="str">
        <f>IFERROR(INDEX('2025_26'!$Q:$Q,MATCH($A385,'2025_26'!$A:$A,0)),"")</f>
        <v/>
      </c>
      <c r="Y385" t="str">
        <f>IFERROR(INDEX('2023_24'!$M:$M,MATCH($A385,'2023_24'!$A:$A,0))/INDEX('2023_24'!$G:$G,MATCH($A385,'2023_24'!$A:$A,0))*90,"")</f>
        <v/>
      </c>
      <c r="Z385" t="str">
        <f>IFERROR(INDEX('2024_25'!$M:$M,MATCH($A385,'2024_25'!$A:$A,0))/INDEX('2024_25'!$G:$G,MATCH($A385,'2024_25'!$A:$A,0))*90,"")</f>
        <v/>
      </c>
      <c r="AA385" t="str">
        <f>IFERROR(INDEX('2025_26'!$M:$M,MATCH($A385,'2025_26'!$A:$A,0))/INDEX('2025_26'!$G:$G,MATCH($A385,'2025_26'!$A:$A,0))*90,"")</f>
        <v/>
      </c>
      <c r="AB385" t="str">
        <f>IFERROR(SUMPRODUCT(S385:U385,{0.2,0.3,0.5})/SUMPRODUCT(--(S385:U385&lt;&gt;""),{0.2,0.3,0.5}),"")</f>
        <v/>
      </c>
      <c r="AC385" t="str">
        <f>IFERROR(SUMPRODUCT(V385:X385,{0.2,0.3,0.5})/SUMPRODUCT(--(V385:X385&lt;&gt;""),{0.2,0.3,0.5}),"")</f>
        <v/>
      </c>
      <c r="AD385">
        <f>IFERROR(SUMPRODUCT(Y385:AA385,{0.2,0.3,0.5})/SUMPRODUCT((Y385:AA385&lt;&gt;"")*{0.2,0.3,0.5}),O385)</f>
        <v>2.5</v>
      </c>
      <c r="AE385">
        <f t="shared" si="135"/>
        <v>0</v>
      </c>
      <c r="AF385">
        <f t="shared" si="136"/>
        <v>72</v>
      </c>
      <c r="AG385">
        <f t="shared" si="137"/>
        <v>0.29583333333333328</v>
      </c>
      <c r="AH385">
        <f t="shared" si="138"/>
        <v>4.1666666666666666E-3</v>
      </c>
      <c r="AI385" s="2">
        <f t="shared" si="139"/>
        <v>2.5</v>
      </c>
      <c r="AJ385">
        <f t="shared" si="140"/>
        <v>0.72</v>
      </c>
      <c r="AK385" t="str">
        <f t="shared" si="141"/>
        <v>YES</v>
      </c>
      <c r="AL385">
        <f t="shared" si="142"/>
        <v>0.29583333333333328</v>
      </c>
      <c r="AM385">
        <f t="shared" si="143"/>
        <v>4.1666666666666666E-3</v>
      </c>
      <c r="AN385">
        <f t="shared" si="144"/>
        <v>0.29583333333333328</v>
      </c>
      <c r="AO385">
        <f t="shared" si="145"/>
        <v>4.1666666666666666E-3</v>
      </c>
      <c r="AP385">
        <f t="array" ref="AP385">AL385*IF($C385="GKP",10,IF($C385="DEF",6,IF($C385="MID",5,4)))</f>
        <v>1.4791666666666665</v>
      </c>
      <c r="AQ385">
        <f t="shared" si="146"/>
        <v>1.2500000000000001E-2</v>
      </c>
      <c r="AR385">
        <f t="shared" si="147"/>
        <v>2</v>
      </c>
      <c r="AS385" s="2">
        <f>IF($H385=0,0,Player_Analysis!$AM385*$H385/90)</f>
        <v>0</v>
      </c>
      <c r="AT385">
        <f t="shared" si="148"/>
        <v>1.3194444444444444</v>
      </c>
      <c r="AU385" s="2">
        <f>0</f>
        <v>0</v>
      </c>
      <c r="AV385" s="2">
        <f>IF(INDEX(FPL_Raw_Data!K:K,MATCH(A385,FPL_Raw_Data!AA:AA,0))=0,"",INDEX(FPL_Raw_Data!P:P,MATCH(A385,FPL_Raw_Data!AA:AA,0))/INDEX(FPL_Raw_Data!K:K,MATCH(A385,FPL_Raw_Data!AA:AA,0))*90)</f>
        <v>0</v>
      </c>
      <c r="AW385" s="2">
        <f t="shared" si="149"/>
        <v>0</v>
      </c>
      <c r="AX385" s="2">
        <f>IFERROR(INDEX(TEAM_ANALYSIS!$H$2:$H$21,MATCH($B385,TEAM_ANALYSIS!$A$2:$A$21,0)),0)</f>
        <v>2.6666666666666665</v>
      </c>
      <c r="AY385" s="2">
        <f t="shared" si="150"/>
        <v>0</v>
      </c>
      <c r="AZ385" s="2">
        <f t="shared" si="151"/>
        <v>4.8111111111111109</v>
      </c>
      <c r="BA385">
        <f t="shared" si="152"/>
        <v>0.89094650205761305</v>
      </c>
      <c r="BB385">
        <f>IFERROR(Player_Analysis!$Y385,1)</f>
        <v>1.0097491349480967</v>
      </c>
      <c r="BC385">
        <f t="shared" si="153"/>
        <v>4.8580152825836205</v>
      </c>
      <c r="BD385">
        <f t="shared" si="154"/>
        <v>4.3282317229603029</v>
      </c>
      <c r="BE385">
        <f t="shared" si="155"/>
        <v>4.8580152825836205</v>
      </c>
      <c r="BF385">
        <f t="shared" si="156"/>
        <v>105</v>
      </c>
      <c r="BG385">
        <f>IF($BE385="","",COUNTIFS($C$2:$C$596,$C385,$BE$2:$BE$596,"&gt;"&amp;$BE385)+COUNTIFS($C$2:$C385,$C385,$BE$2:$BE385,$BE385))</f>
        <v>48</v>
      </c>
    </row>
    <row r="386" spans="1:59" x14ac:dyDescent="0.25">
      <c r="A386" t="str">
        <f>Player_Analysis!A386</f>
        <v>Kjell Scherpen</v>
      </c>
      <c r="B386">
        <f>Player_Analysis!C386</f>
        <v>12</v>
      </c>
      <c r="C386" t="str">
        <f>Player_Analysis!B386</f>
        <v>GK</v>
      </c>
      <c r="D386" s="13">
        <f>Player_Analysis!E386</f>
        <v>4.5</v>
      </c>
      <c r="E386">
        <f>Player_Analysis!I386</f>
        <v>270</v>
      </c>
      <c r="F386" s="8">
        <f>Player_Analysis!Z386</f>
        <v>3</v>
      </c>
      <c r="G386" s="17">
        <f t="shared" ref="G386:G449" si="157">IF(E386=0,0,MIN(1,F386/(E386/90)))</f>
        <v>1</v>
      </c>
      <c r="H386">
        <f t="shared" ref="H386:H449" si="158">IF($E386=0,0,MIN(90,$G386*90))</f>
        <v>90</v>
      </c>
      <c r="I386" s="8">
        <f>Player_Analysis!AF386</f>
        <v>0</v>
      </c>
      <c r="J386" s="8">
        <f>Player_Analysis!AG386</f>
        <v>0</v>
      </c>
      <c r="K386">
        <f>Player_Analysis!O386</f>
        <v>0</v>
      </c>
      <c r="L386">
        <f>Player_Analysis!P386</f>
        <v>0.01</v>
      </c>
      <c r="M386">
        <f t="shared" ref="M386:M449" si="159">IF(E386=0,"",K386/E386*90)</f>
        <v>0</v>
      </c>
      <c r="N386">
        <f t="shared" ref="N386:N449" si="160">IF(E386=0,"",L386/E386*90)</f>
        <v>3.3333333333333331E-3</v>
      </c>
      <c r="O386" s="2">
        <f>IF(E386=0,"",Player_Analysis!L386/E386*90)</f>
        <v>2</v>
      </c>
      <c r="P386">
        <f>IF(E386=0,"",Player_Analysis!Q386/E386*90)</f>
        <v>3.3333333333333331E-3</v>
      </c>
      <c r="Q386">
        <f>IF(E386=0,"",(Player_Analysis!AD386/E386)*90)</f>
        <v>11.333333333333332</v>
      </c>
      <c r="R386">
        <f>IF(E386=0,"",Player_Analysis!AA386/E386*90)</f>
        <v>0</v>
      </c>
      <c r="S386">
        <f t="array" ref="S386">IFERROR(INDEX('2023_24'!$O:$O,MATCH($A386,'2023_24'!$A:$A,0)),"")</f>
        <v>0</v>
      </c>
      <c r="T386" t="str">
        <f>IFERROR(INDEX('2024_25'!$P:$P,MATCH($A386,'2024_25'!$A:$A,0)),"")</f>
        <v/>
      </c>
      <c r="U386">
        <f>IFERROR(INDEX('2025_26'!$P:$P,MATCH($A386,'2025_26'!$A:$A,0)),"")</f>
        <v>0</v>
      </c>
      <c r="V386">
        <f>IFERROR(INDEX('2023_24'!$P:$P,MATCH($A386,'2023_24'!$A:$A,0)),"")</f>
        <v>0</v>
      </c>
      <c r="W386" t="str">
        <f>IFERROR(INDEX('2024_25'!$Q:$Q,MATCH($A386,'2024_25'!$A:$A,0)),"")</f>
        <v/>
      </c>
      <c r="X386">
        <f>IFERROR(INDEX('2025_26'!$Q:$Q,MATCH($A386,'2025_26'!$A:$A,0)),"")</f>
        <v>0</v>
      </c>
      <c r="Y386" t="str">
        <f>IFERROR(INDEX('2023_24'!$M:$M,MATCH($A386,'2023_24'!$A:$A,0))/INDEX('2023_24'!$G:$G,MATCH($A386,'2023_24'!$A:$A,0))*90,"")</f>
        <v/>
      </c>
      <c r="Z386" t="str">
        <f>IFERROR(INDEX('2024_25'!$M:$M,MATCH($A386,'2024_25'!$A:$A,0))/INDEX('2024_25'!$G:$G,MATCH($A386,'2024_25'!$A:$A,0))*90,"")</f>
        <v/>
      </c>
      <c r="AA386" t="str">
        <f>IFERROR(INDEX('2025_26'!$M:$M,MATCH($A386,'2025_26'!$A:$A,0))/INDEX('2025_26'!$G:$G,MATCH($A386,'2025_26'!$A:$A,0))*90,"")</f>
        <v/>
      </c>
      <c r="AB386">
        <f>IFERROR(SUMPRODUCT(S386:U386,{0.2,0.3,0.5})/SUMPRODUCT(--(S386:U386&lt;&gt;""),{0.2,0.3,0.5}),"")</f>
        <v>0</v>
      </c>
      <c r="AC386">
        <f>IFERROR(SUMPRODUCT(V386:X386,{0.2,0.3,0.5})/SUMPRODUCT(--(V386:X386&lt;&gt;""),{0.2,0.3,0.5}),"")</f>
        <v>0</v>
      </c>
      <c r="AD386">
        <f>IFERROR(SUMPRODUCT(Y386:AA386,{0.2,0.3,0.5})/SUMPRODUCT((Y386:AA386&lt;&gt;"")*{0.2,0.3,0.5}),O386)</f>
        <v>2</v>
      </c>
      <c r="AE386">
        <f t="shared" ref="AE386:AE449" si="161">COUNT(S386:U386)</f>
        <v>2</v>
      </c>
      <c r="AF386">
        <f t="shared" ref="AF386:AF449" si="162">IF(F386=0,"",E386/F386)</f>
        <v>90</v>
      </c>
      <c r="AG386">
        <f t="shared" ref="AG386:AG449" si="163">IF(AND(M386="",AB386=""),0,IF(M386="",AB386,IF(AB386="",M386,M386*AJ386+AB386*(1-AJ386))))</f>
        <v>0</v>
      </c>
      <c r="AH386">
        <f t="shared" ref="AH386:AH449" si="164">IF(AND(N386="",AC386=""),0,IF(N386="",AC386,IF(AC386="",N386,N386*AJ386+AC386*(1-AJ386))))</f>
        <v>3.0000000000000001E-3</v>
      </c>
      <c r="AI386" s="2">
        <f t="shared" ref="AI386:AI449" si="165">IF(AND(O386="",AD386=""),0,IF(O386="",AD386,IF(AD386="",O386,O386*AJ386+AD386*(1-AJ386))))</f>
        <v>2</v>
      </c>
      <c r="AJ386">
        <f t="shared" ref="AJ386:AJ449" si="166">IF($E386=0,0,MIN(0.9,$E386/300))</f>
        <v>0.9</v>
      </c>
      <c r="AK386" t="str">
        <f t="shared" ref="AK386:AK449" si="167">IF(AE386=0,"YES","NO")</f>
        <v>NO</v>
      </c>
      <c r="AL386">
        <f t="shared" ref="AL386:AL449" si="168">IF($H386=0,0,$AG386*$H386/90)</f>
        <v>0</v>
      </c>
      <c r="AM386">
        <f t="shared" ref="AM386:AM449" si="169">IF($H386=0,0,$AH386*$H386/90)</f>
        <v>3.0000000000000001E-3</v>
      </c>
      <c r="AN386">
        <f t="shared" ref="AN386:AN449" si="170">AL386</f>
        <v>0</v>
      </c>
      <c r="AO386">
        <f t="shared" ref="AO386:AO449" si="171">AM386</f>
        <v>3.0000000000000001E-3</v>
      </c>
      <c r="AP386">
        <f t="array" ref="AP386">AL386*IF($C386="GKP",10,IF($C386="DEF",6,IF($C386="MID",5,4)))</f>
        <v>0</v>
      </c>
      <c r="AQ386">
        <f t="shared" ref="AQ386:AQ449" si="172">AM386*3</f>
        <v>9.0000000000000011E-3</v>
      </c>
      <c r="AR386">
        <f t="shared" ref="AR386:AR449" si="173">$G386*2</f>
        <v>2</v>
      </c>
      <c r="AS386" s="2">
        <f>IF($H386=0,0,Player_Analysis!$AM386*$H386/90)</f>
        <v>0</v>
      </c>
      <c r="AT386">
        <f t="shared" ref="AT386:AT449" si="174">IF($H386=0,0,$R386*$H386/90*2/IF(OR($C386="GKP",$C386="DEF"),10,12))</f>
        <v>0</v>
      </c>
      <c r="AU386" s="2">
        <f>0</f>
        <v>0</v>
      </c>
      <c r="AV386" s="2">
        <f>IF(INDEX(FPL_Raw_Data!K:K,MATCH(A386,FPL_Raw_Data!AA:AA,0))=0,"",INDEX(FPL_Raw_Data!P:P,MATCH(A386,FPL_Raw_Data!AA:AA,0))/INDEX(FPL_Raw_Data!K:K,MATCH(A386,FPL_Raw_Data!AA:AA,0))*90)</f>
        <v>4.333333333333333</v>
      </c>
      <c r="AW386" s="2">
        <f t="shared" ref="AW386:AW449" si="175">IF(AV386="",0,AV386/3)</f>
        <v>1.4444444444444444</v>
      </c>
      <c r="AX386" s="2">
        <f>IFERROR(INDEX(TEAM_ANALYSIS!$H$2:$H$21,MATCH($B386,TEAM_ANALYSIS!$A$2:$A$21,0)),0)</f>
        <v>2.6666666666666665</v>
      </c>
      <c r="AY386" s="2">
        <f t="shared" ref="AY386:AY449" si="176">IF(OR($C386="GKP",$C386="DEF"),-($AX386/2),0)</f>
        <v>0</v>
      </c>
      <c r="AZ386" s="2">
        <f t="shared" ref="AZ386:AZ449" si="177">SUM(AP386:AU386)+AW386+AY386</f>
        <v>3.4534444444444441</v>
      </c>
      <c r="BA386">
        <f t="shared" ref="BA386:BA449" si="178">IF($D386=0,0,$AZ386/$D386)</f>
        <v>0.76743209876543206</v>
      </c>
      <c r="BB386">
        <f>IFERROR(Player_Analysis!$Y386,1)</f>
        <v>0.81436734693877555</v>
      </c>
      <c r="BC386">
        <f t="shared" ref="BC386:BC449" si="179">BB386*AZ386</f>
        <v>2.8123723900226758</v>
      </c>
      <c r="BD386">
        <f t="shared" ref="BD386:BD449" si="180">BA386*BC386</f>
        <v>2.1583048457850564</v>
      </c>
      <c r="BE386">
        <f t="shared" ref="BE386:BE449" si="181">BC386</f>
        <v>2.8123723900226758</v>
      </c>
      <c r="BF386">
        <f t="shared" ref="BF386:BF449" si="182">IF($BE386="","",_xlfn.RANK.EQ($BE386,$BE$2:$BE$596,0))</f>
        <v>211</v>
      </c>
      <c r="BG386">
        <f>IF($BE386="","",COUNTIFS($C$2:$C$596,$C386,$BE$2:$BE$596,"&gt;"&amp;$BE386)+COUNTIFS($C$2:$C386,$C386,$BE$2:$BE386,$BE386))</f>
        <v>16</v>
      </c>
    </row>
    <row r="387" spans="1:59" x14ac:dyDescent="0.25">
      <c r="A387" t="str">
        <f>Player_Analysis!A387</f>
        <v>Florentino Ibrain Morris Luís</v>
      </c>
      <c r="B387">
        <f>Player_Analysis!C387</f>
        <v>12</v>
      </c>
      <c r="C387" t="str">
        <f>Player_Analysis!B387</f>
        <v>MID</v>
      </c>
      <c r="D387" s="13">
        <f>Player_Analysis!E387</f>
        <v>4.9000000000000004</v>
      </c>
      <c r="E387">
        <f>Player_Analysis!I387</f>
        <v>0</v>
      </c>
      <c r="F387" s="8">
        <f>Player_Analysis!Z387</f>
        <v>0</v>
      </c>
      <c r="G387" s="17">
        <f t="shared" si="157"/>
        <v>0</v>
      </c>
      <c r="H387">
        <f t="shared" si="158"/>
        <v>0</v>
      </c>
      <c r="I387" s="8">
        <f>Player_Analysis!AF387</f>
        <v>0</v>
      </c>
      <c r="J387" s="8">
        <f>Player_Analysis!AG387</f>
        <v>0</v>
      </c>
      <c r="K387">
        <f>Player_Analysis!O387</f>
        <v>0</v>
      </c>
      <c r="L387">
        <f>Player_Analysis!P387</f>
        <v>0</v>
      </c>
      <c r="M387" t="str">
        <f t="shared" si="159"/>
        <v/>
      </c>
      <c r="N387" t="str">
        <f t="shared" si="160"/>
        <v/>
      </c>
      <c r="O387" s="2" t="str">
        <f>IF(E387=0,"",Player_Analysis!L387/E387*90)</f>
        <v/>
      </c>
      <c r="P387" t="str">
        <f>IF(E387=0,"",Player_Analysis!Q387/E387*90)</f>
        <v/>
      </c>
      <c r="Q387" t="str">
        <f>IF(E387=0,"",(Player_Analysis!AD387/E387)*90)</f>
        <v/>
      </c>
      <c r="R387" t="str">
        <f>IF(E387=0,"",Player_Analysis!AA387/E387*90)</f>
        <v/>
      </c>
      <c r="S387" t="str">
        <f t="array" ref="S387">IFERROR(INDEX('2023_24'!$O:$O,MATCH($A387,'2023_24'!$A:$A,0)),"")</f>
        <v/>
      </c>
      <c r="T387" t="str">
        <f>IFERROR(INDEX('2024_25'!$P:$P,MATCH($A387,'2024_25'!$A:$A,0)),"")</f>
        <v/>
      </c>
      <c r="U387">
        <f>IFERROR(INDEX('2025_26'!$P:$P,MATCH($A387,'2025_26'!$A:$A,0)),"")</f>
        <v>2.7428571428571431E-2</v>
      </c>
      <c r="V387" t="str">
        <f>IFERROR(INDEX('2023_24'!$P:$P,MATCH($A387,'2023_24'!$A:$A,0)),"")</f>
        <v/>
      </c>
      <c r="W387" t="str">
        <f>IFERROR(INDEX('2024_25'!$Q:$Q,MATCH($A387,'2024_25'!$A:$A,0)),"")</f>
        <v/>
      </c>
      <c r="X387">
        <f>IFERROR(INDEX('2025_26'!$Q:$Q,MATCH($A387,'2025_26'!$A:$A,0)),"")</f>
        <v>2.2285714285714287E-2</v>
      </c>
      <c r="Y387" t="str">
        <f>IFERROR(INDEX('2023_24'!$M:$M,MATCH($A387,'2023_24'!$A:$A,0))/INDEX('2023_24'!$G:$G,MATCH($A387,'2023_24'!$A:$A,0))*90,"")</f>
        <v/>
      </c>
      <c r="Z387" t="str">
        <f>IFERROR(INDEX('2024_25'!$M:$M,MATCH($A387,'2024_25'!$A:$A,0))/INDEX('2024_25'!$G:$G,MATCH($A387,'2024_25'!$A:$A,0))*90,"")</f>
        <v/>
      </c>
      <c r="AA387">
        <f>IFERROR(INDEX('2025_26'!$M:$M,MATCH($A387,'2025_26'!$A:$A,0))/INDEX('2025_26'!$G:$G,MATCH($A387,'2025_26'!$A:$A,0))*90,"")</f>
        <v>3.6</v>
      </c>
      <c r="AB387">
        <f>IFERROR(SUMPRODUCT(S387:U387,{0.2,0.3,0.5})/SUMPRODUCT(--(S387:U387&lt;&gt;""),{0.2,0.3,0.5}),"")</f>
        <v>2.7428571428571431E-2</v>
      </c>
      <c r="AC387">
        <f>IFERROR(SUMPRODUCT(V387:X387,{0.2,0.3,0.5})/SUMPRODUCT(--(V387:X387&lt;&gt;""),{0.2,0.3,0.5}),"")</f>
        <v>2.2285714285714287E-2</v>
      </c>
      <c r="AD387">
        <f>IFERROR(SUMPRODUCT(Y387:AA387,{0.2,0.3,0.5})/SUMPRODUCT((Y387:AA387&lt;&gt;"")*{0.2,0.3,0.5}),O387)</f>
        <v>3.6</v>
      </c>
      <c r="AE387">
        <f t="shared" si="161"/>
        <v>1</v>
      </c>
      <c r="AF387" t="str">
        <f t="shared" si="162"/>
        <v/>
      </c>
      <c r="AG387">
        <f t="shared" si="163"/>
        <v>2.7428571428571431E-2</v>
      </c>
      <c r="AH387">
        <f t="shared" si="164"/>
        <v>2.2285714285714287E-2</v>
      </c>
      <c r="AI387" s="2">
        <f t="shared" si="165"/>
        <v>3.6</v>
      </c>
      <c r="AJ387">
        <f t="shared" si="166"/>
        <v>0</v>
      </c>
      <c r="AK387" t="str">
        <f t="shared" si="167"/>
        <v>NO</v>
      </c>
      <c r="AL387">
        <f t="shared" si="168"/>
        <v>0</v>
      </c>
      <c r="AM387">
        <f t="shared" si="169"/>
        <v>0</v>
      </c>
      <c r="AN387">
        <f t="shared" si="170"/>
        <v>0</v>
      </c>
      <c r="AO387">
        <f t="shared" si="171"/>
        <v>0</v>
      </c>
      <c r="AP387">
        <f t="array" ref="AP387">AL387*IF($C387="GKP",10,IF($C387="DEF",6,IF($C387="MID",5,4)))</f>
        <v>0</v>
      </c>
      <c r="AQ387">
        <f t="shared" si="172"/>
        <v>0</v>
      </c>
      <c r="AR387">
        <f t="shared" si="173"/>
        <v>0</v>
      </c>
      <c r="AS387" s="2">
        <f>IF($H387=0,0,Player_Analysis!$AM387*$H387/90)</f>
        <v>0</v>
      </c>
      <c r="AT387">
        <f t="shared" si="174"/>
        <v>0</v>
      </c>
      <c r="AU387" s="2">
        <f>0</f>
        <v>0</v>
      </c>
      <c r="AV387" s="2" t="str">
        <f>IF(INDEX(FPL_Raw_Data!K:K,MATCH(A387,FPL_Raw_Data!AA:AA,0))=0,"",INDEX(FPL_Raw_Data!P:P,MATCH(A387,FPL_Raw_Data!AA:AA,0))/INDEX(FPL_Raw_Data!K:K,MATCH(A387,FPL_Raw_Data!AA:AA,0))*90)</f>
        <v/>
      </c>
      <c r="AW387" s="2">
        <f t="shared" si="175"/>
        <v>0</v>
      </c>
      <c r="AX387" s="2">
        <f>IFERROR(INDEX(TEAM_ANALYSIS!$H$2:$H$21,MATCH($B387,TEAM_ANALYSIS!$A$2:$A$21,0)),0)</f>
        <v>2.6666666666666665</v>
      </c>
      <c r="AY387" s="2">
        <f t="shared" si="176"/>
        <v>0</v>
      </c>
      <c r="AZ387" s="2">
        <f t="shared" si="177"/>
        <v>0</v>
      </c>
      <c r="BA387">
        <f t="shared" si="178"/>
        <v>0</v>
      </c>
      <c r="BB387">
        <f>IFERROR(Player_Analysis!$Y387,1)</f>
        <v>1.0097491349480967</v>
      </c>
      <c r="BC387">
        <f t="shared" si="179"/>
        <v>0</v>
      </c>
      <c r="BD387">
        <f t="shared" si="180"/>
        <v>0</v>
      </c>
      <c r="BE387">
        <f t="shared" si="181"/>
        <v>0</v>
      </c>
      <c r="BF387">
        <f t="shared" si="182"/>
        <v>253</v>
      </c>
      <c r="BG387">
        <f>IF($BE387="","",COUNTIFS($C$2:$C$596,$C387,$BE$2:$BE$596,"&gt;"&amp;$BE387)+COUNTIFS($C$2:$C387,$C387,$BE$2:$BE387,$BE387))</f>
        <v>215</v>
      </c>
    </row>
    <row r="388" spans="1:59" x14ac:dyDescent="0.25">
      <c r="A388" t="str">
        <f>Player_Analysis!A388</f>
        <v>Julio Enciso</v>
      </c>
      <c r="B388">
        <f>Player_Analysis!C388</f>
        <v>12</v>
      </c>
      <c r="C388" t="str">
        <f>Player_Analysis!B388</f>
        <v>MID</v>
      </c>
      <c r="D388" s="13">
        <f>Player_Analysis!E388</f>
        <v>5.5</v>
      </c>
      <c r="E388">
        <f>Player_Analysis!I388</f>
        <v>250</v>
      </c>
      <c r="F388" s="8">
        <f>Player_Analysis!Z388</f>
        <v>3</v>
      </c>
      <c r="G388" s="17">
        <f t="shared" si="157"/>
        <v>1</v>
      </c>
      <c r="H388">
        <f t="shared" si="158"/>
        <v>90</v>
      </c>
      <c r="I388" s="8">
        <f>Player_Analysis!AF388</f>
        <v>0</v>
      </c>
      <c r="J388" s="8">
        <f>Player_Analysis!AG388</f>
        <v>2</v>
      </c>
      <c r="K388">
        <f>Player_Analysis!O388</f>
        <v>0.87</v>
      </c>
      <c r="L388">
        <f>Player_Analysis!P388</f>
        <v>0.64</v>
      </c>
      <c r="M388">
        <f t="shared" si="159"/>
        <v>0.31319999999999998</v>
      </c>
      <c r="N388">
        <f t="shared" si="160"/>
        <v>0.23040000000000002</v>
      </c>
      <c r="O388" s="2">
        <f>IF(E388=0,"",Player_Analysis!L388/E388*90)</f>
        <v>3.96</v>
      </c>
      <c r="P388">
        <f>IF(E388=0,"",Player_Analysis!Q388/E388*90)</f>
        <v>0.54359999999999997</v>
      </c>
      <c r="Q388">
        <f>IF(E388=0,"",(Player_Analysis!AD388/E388)*90)</f>
        <v>23.400000000000002</v>
      </c>
      <c r="R388">
        <f>IF(E388=0,"",Player_Analysis!AA388/E388*90)</f>
        <v>7.5600000000000005</v>
      </c>
      <c r="S388">
        <f t="array" ref="S388">IFERROR(INDEX('2023_24'!$O:$O,MATCH($A388,'2023_24'!$A:$A,0)),"")</f>
        <v>0.26538461538461533</v>
      </c>
      <c r="T388">
        <f>IFERROR(INDEX('2024_25'!$P:$P,MATCH($A388,'2024_25'!$A:$A,0)),"")</f>
        <v>0.21974025974025971</v>
      </c>
      <c r="U388" t="str">
        <f>IFERROR(INDEX('2025_26'!$P:$P,MATCH($A388,'2025_26'!$A:$A,0)),"")</f>
        <v/>
      </c>
      <c r="V388">
        <f>IFERROR(INDEX('2023_24'!$P:$P,MATCH($A388,'2023_24'!$A:$A,0)),"")</f>
        <v>0.24615384615384617</v>
      </c>
      <c r="W388">
        <f>IFERROR(INDEX('2024_25'!$Q:$Q,MATCH($A388,'2024_25'!$A:$A,0)),"")</f>
        <v>0.10285714285714287</v>
      </c>
      <c r="X388" t="str">
        <f>IFERROR(INDEX('2025_26'!$Q:$Q,MATCH($A388,'2025_26'!$A:$A,0)),"")</f>
        <v/>
      </c>
      <c r="Y388">
        <f>IFERROR(INDEX('2023_24'!$M:$M,MATCH($A388,'2023_24'!$A:$A,0))/INDEX('2023_24'!$G:$G,MATCH($A388,'2023_24'!$A:$A,0))*90,"")</f>
        <v>3.8461538461538463</v>
      </c>
      <c r="Z388">
        <f>IFERROR(INDEX('2024_25'!$M:$M,MATCH($A388,'2024_25'!$A:$A,0))/INDEX('2024_25'!$G:$G,MATCH($A388,'2024_25'!$A:$A,0))*90,"")</f>
        <v>4.5974025974025974</v>
      </c>
      <c r="AA388" t="str">
        <f>IFERROR(INDEX('2025_26'!$M:$M,MATCH($A388,'2025_26'!$A:$A,0))/INDEX('2025_26'!$G:$G,MATCH($A388,'2025_26'!$A:$A,0))*90,"")</f>
        <v/>
      </c>
      <c r="AB388">
        <f>IFERROR(SUMPRODUCT(S388:U388,{0.2,0.3,0.5})/SUMPRODUCT(--(S388:U388&lt;&gt;""),{0.2,0.3,0.5}),"")</f>
        <v>0.23799800199800197</v>
      </c>
      <c r="AC388">
        <f>IFERROR(SUMPRODUCT(V388:X388,{0.2,0.3,0.5})/SUMPRODUCT(--(V388:X388&lt;&gt;""),{0.2,0.3,0.5}),"")</f>
        <v>0.16017582417582421</v>
      </c>
      <c r="AD388">
        <f>IFERROR(SUMPRODUCT(Y388:AA388,{0.2,0.3,0.5})/SUMPRODUCT((Y388:AA388&lt;&gt;"")*{0.2,0.3,0.5}),O388)</f>
        <v>4.2969030969030966</v>
      </c>
      <c r="AE388">
        <f t="shared" si="161"/>
        <v>2</v>
      </c>
      <c r="AF388">
        <f t="shared" si="162"/>
        <v>83.333333333333329</v>
      </c>
      <c r="AG388">
        <f t="shared" si="163"/>
        <v>0.30066633366633366</v>
      </c>
      <c r="AH388">
        <f t="shared" si="164"/>
        <v>0.21869597069597074</v>
      </c>
      <c r="AI388" s="2">
        <f t="shared" si="165"/>
        <v>4.0161505161505158</v>
      </c>
      <c r="AJ388">
        <f t="shared" si="166"/>
        <v>0.83333333333333337</v>
      </c>
      <c r="AK388" t="str">
        <f t="shared" si="167"/>
        <v>NO</v>
      </c>
      <c r="AL388">
        <f t="shared" si="168"/>
        <v>0.30066633366633366</v>
      </c>
      <c r="AM388">
        <f t="shared" si="169"/>
        <v>0.21869597069597072</v>
      </c>
      <c r="AN388">
        <f t="shared" si="170"/>
        <v>0.30066633366633366</v>
      </c>
      <c r="AO388">
        <f t="shared" si="171"/>
        <v>0.21869597069597072</v>
      </c>
      <c r="AP388">
        <f t="array" ref="AP388">AL388*IF($C388="GKP",10,IF($C388="DEF",6,IF($C388="MID",5,4)))</f>
        <v>1.5033316683316684</v>
      </c>
      <c r="AQ388">
        <f t="shared" si="172"/>
        <v>0.65608791208791217</v>
      </c>
      <c r="AR388">
        <f t="shared" si="173"/>
        <v>2</v>
      </c>
      <c r="AS388" s="2">
        <f>IF($H388=0,0,Player_Analysis!$AM388*$H388/90)</f>
        <v>0</v>
      </c>
      <c r="AT388">
        <f t="shared" si="174"/>
        <v>1.2600000000000002</v>
      </c>
      <c r="AU388" s="2">
        <f>0</f>
        <v>0</v>
      </c>
      <c r="AV388" s="2">
        <f>IF(INDEX(FPL_Raw_Data!K:K,MATCH(A388,FPL_Raw_Data!AA:AA,0))=0,"",INDEX(FPL_Raw_Data!P:P,MATCH(A388,FPL_Raw_Data!AA:AA,0))/INDEX(FPL_Raw_Data!K:K,MATCH(A388,FPL_Raw_Data!AA:AA,0))*90)</f>
        <v>0</v>
      </c>
      <c r="AW388" s="2">
        <f t="shared" si="175"/>
        <v>0</v>
      </c>
      <c r="AX388" s="2">
        <f>IFERROR(INDEX(TEAM_ANALYSIS!$H$2:$H$21,MATCH($B388,TEAM_ANALYSIS!$A$2:$A$21,0)),0)</f>
        <v>2.6666666666666665</v>
      </c>
      <c r="AY388" s="2">
        <f t="shared" si="176"/>
        <v>0</v>
      </c>
      <c r="AZ388" s="2">
        <f t="shared" si="177"/>
        <v>5.4194195804195804</v>
      </c>
      <c r="BA388">
        <f t="shared" si="178"/>
        <v>0.98534901462174185</v>
      </c>
      <c r="BB388">
        <f>IFERROR(Player_Analysis!$Y388,1)</f>
        <v>1.0097491349480967</v>
      </c>
      <c r="BC388">
        <f t="shared" si="179"/>
        <v>5.4722542332494486</v>
      </c>
      <c r="BD388">
        <f t="shared" si="180"/>
        <v>5.3920803164919997</v>
      </c>
      <c r="BE388">
        <f t="shared" si="181"/>
        <v>5.4722542332494486</v>
      </c>
      <c r="BF388">
        <f t="shared" si="182"/>
        <v>67</v>
      </c>
      <c r="BG388">
        <f>IF($BE388="","",COUNTIFS($C$2:$C$596,$C388,$BE$2:$BE$596,"&gt;"&amp;$BE388)+COUNTIFS($C$2:$C388,$C388,$BE$2:$BE388,$BE388))</f>
        <v>29</v>
      </c>
    </row>
    <row r="389" spans="1:59" x14ac:dyDescent="0.25">
      <c r="A389" t="str">
        <f>Player_Analysis!A389</f>
        <v>Abdoul Ouattara</v>
      </c>
      <c r="B389">
        <f>Player_Analysis!C389</f>
        <v>12</v>
      </c>
      <c r="C389" t="str">
        <f>Player_Analysis!B389</f>
        <v>DEF</v>
      </c>
      <c r="D389" s="13">
        <f>Player_Analysis!E389</f>
        <v>4</v>
      </c>
      <c r="E389">
        <f>Player_Analysis!I389</f>
        <v>39</v>
      </c>
      <c r="F389" s="8">
        <f>Player_Analysis!Z389</f>
        <v>0</v>
      </c>
      <c r="G389" s="17">
        <f t="shared" si="157"/>
        <v>0</v>
      </c>
      <c r="H389">
        <f t="shared" si="158"/>
        <v>0</v>
      </c>
      <c r="I389" s="8">
        <f>Player_Analysis!AF389</f>
        <v>0</v>
      </c>
      <c r="J389" s="8">
        <f>Player_Analysis!AG389</f>
        <v>0</v>
      </c>
      <c r="K389">
        <f>Player_Analysis!O389</f>
        <v>0</v>
      </c>
      <c r="L389">
        <f>Player_Analysis!P389</f>
        <v>0.02</v>
      </c>
      <c r="M389">
        <f t="shared" si="159"/>
        <v>0</v>
      </c>
      <c r="N389">
        <f t="shared" si="160"/>
        <v>4.6153846153846156E-2</v>
      </c>
      <c r="O389" s="2">
        <f>IF(E389=0,"",Player_Analysis!L389/E389*90)</f>
        <v>6.9230769230769234</v>
      </c>
      <c r="P389">
        <f>IF(E389=0,"",Player_Analysis!Q389/E389*90)</f>
        <v>4.6153846153846156E-2</v>
      </c>
      <c r="Q389">
        <f>IF(E389=0,"",(Player_Analysis!AD389/E389)*90)</f>
        <v>16.153846153846153</v>
      </c>
      <c r="R389">
        <f>IF(E389=0,"",Player_Analysis!AA389/E389*90)</f>
        <v>4.615384615384615</v>
      </c>
      <c r="S389" t="str">
        <f t="array" ref="S389">IFERROR(INDEX('2023_24'!$O:$O,MATCH($A389,'2023_24'!$A:$A,0)),"")</f>
        <v/>
      </c>
      <c r="T389" t="str">
        <f>IFERROR(INDEX('2024_25'!$P:$P,MATCH($A389,'2024_25'!$A:$A,0)),"")</f>
        <v/>
      </c>
      <c r="U389" t="str">
        <f>IFERROR(INDEX('2025_26'!$P:$P,MATCH($A389,'2025_26'!$A:$A,0)),"")</f>
        <v/>
      </c>
      <c r="V389" t="str">
        <f>IFERROR(INDEX('2023_24'!$P:$P,MATCH($A389,'2023_24'!$A:$A,0)),"")</f>
        <v/>
      </c>
      <c r="W389" t="str">
        <f>IFERROR(INDEX('2024_25'!$Q:$Q,MATCH($A389,'2024_25'!$A:$A,0)),"")</f>
        <v/>
      </c>
      <c r="X389" t="str">
        <f>IFERROR(INDEX('2025_26'!$Q:$Q,MATCH($A389,'2025_26'!$A:$A,0)),"")</f>
        <v/>
      </c>
      <c r="Y389" t="str">
        <f>IFERROR(INDEX('2023_24'!$M:$M,MATCH($A389,'2023_24'!$A:$A,0))/INDEX('2023_24'!$G:$G,MATCH($A389,'2023_24'!$A:$A,0))*90,"")</f>
        <v/>
      </c>
      <c r="Z389" t="str">
        <f>IFERROR(INDEX('2024_25'!$M:$M,MATCH($A389,'2024_25'!$A:$A,0))/INDEX('2024_25'!$G:$G,MATCH($A389,'2024_25'!$A:$A,0))*90,"")</f>
        <v/>
      </c>
      <c r="AA389" t="str">
        <f>IFERROR(INDEX('2025_26'!$M:$M,MATCH($A389,'2025_26'!$A:$A,0))/INDEX('2025_26'!$G:$G,MATCH($A389,'2025_26'!$A:$A,0))*90,"")</f>
        <v/>
      </c>
      <c r="AB389" t="str">
        <f>IFERROR(SUMPRODUCT(S389:U389,{0.2,0.3,0.5})/SUMPRODUCT(--(S389:U389&lt;&gt;""),{0.2,0.3,0.5}),"")</f>
        <v/>
      </c>
      <c r="AC389" t="str">
        <f>IFERROR(SUMPRODUCT(V389:X389,{0.2,0.3,0.5})/SUMPRODUCT(--(V389:X389&lt;&gt;""),{0.2,0.3,0.5}),"")</f>
        <v/>
      </c>
      <c r="AD389">
        <f>IFERROR(SUMPRODUCT(Y389:AA389,{0.2,0.3,0.5})/SUMPRODUCT((Y389:AA389&lt;&gt;"")*{0.2,0.3,0.5}),O389)</f>
        <v>6.9230769230769234</v>
      </c>
      <c r="AE389">
        <f t="shared" si="161"/>
        <v>0</v>
      </c>
      <c r="AF389" t="str">
        <f t="shared" si="162"/>
        <v/>
      </c>
      <c r="AG389">
        <f t="shared" si="163"/>
        <v>0</v>
      </c>
      <c r="AH389">
        <f t="shared" si="164"/>
        <v>4.6153846153846156E-2</v>
      </c>
      <c r="AI389" s="2">
        <f t="shared" si="165"/>
        <v>6.9230769230769234</v>
      </c>
      <c r="AJ389">
        <f t="shared" si="166"/>
        <v>0.13</v>
      </c>
      <c r="AK389" t="str">
        <f t="shared" si="167"/>
        <v>YES</v>
      </c>
      <c r="AL389">
        <f t="shared" si="168"/>
        <v>0</v>
      </c>
      <c r="AM389">
        <f t="shared" si="169"/>
        <v>0</v>
      </c>
      <c r="AN389">
        <f t="shared" si="170"/>
        <v>0</v>
      </c>
      <c r="AO389">
        <f t="shared" si="171"/>
        <v>0</v>
      </c>
      <c r="AP389">
        <f t="array" ref="AP389">AL389*IF($C389="GKP",10,IF($C389="DEF",6,IF($C389="MID",5,4)))</f>
        <v>0</v>
      </c>
      <c r="AQ389">
        <f t="shared" si="172"/>
        <v>0</v>
      </c>
      <c r="AR389">
        <f t="shared" si="173"/>
        <v>0</v>
      </c>
      <c r="AS389" s="2">
        <f>IF($H389=0,0,Player_Analysis!$AM389*$H389/90)</f>
        <v>0</v>
      </c>
      <c r="AT389">
        <f t="shared" si="174"/>
        <v>0</v>
      </c>
      <c r="AU389" s="2">
        <f>0</f>
        <v>0</v>
      </c>
      <c r="AV389" s="2">
        <f>IF(INDEX(FPL_Raw_Data!K:K,MATCH(A389,FPL_Raw_Data!AA:AA,0))=0,"",INDEX(FPL_Raw_Data!P:P,MATCH(A389,FPL_Raw_Data!AA:AA,0))/INDEX(FPL_Raw_Data!K:K,MATCH(A389,FPL_Raw_Data!AA:AA,0))*90)</f>
        <v>0</v>
      </c>
      <c r="AW389" s="2">
        <f t="shared" si="175"/>
        <v>0</v>
      </c>
      <c r="AX389" s="2">
        <f>IFERROR(INDEX(TEAM_ANALYSIS!$H$2:$H$21,MATCH($B389,TEAM_ANALYSIS!$A$2:$A$21,0)),0)</f>
        <v>2.6666666666666665</v>
      </c>
      <c r="AY389" s="2">
        <f t="shared" si="176"/>
        <v>-1.3333333333333333</v>
      </c>
      <c r="AZ389" s="2">
        <f t="shared" si="177"/>
        <v>-1.3333333333333333</v>
      </c>
      <c r="BA389">
        <f t="shared" si="178"/>
        <v>-0.33333333333333331</v>
      </c>
      <c r="BB389">
        <f>IFERROR(Player_Analysis!$Y389,1)</f>
        <v>0.81436734693877555</v>
      </c>
      <c r="BC389">
        <f t="shared" si="179"/>
        <v>-1.0858231292517007</v>
      </c>
      <c r="BD389">
        <f t="shared" si="180"/>
        <v>0.36194104308390018</v>
      </c>
      <c r="BE389">
        <f t="shared" si="181"/>
        <v>-1.0858231292517007</v>
      </c>
      <c r="BF389">
        <f t="shared" si="182"/>
        <v>587</v>
      </c>
      <c r="BG389">
        <f>IF($BE389="","",COUNTIFS($C$2:$C$596,$C389,$BE$2:$BE$596,"&gt;"&amp;$BE389)+COUNTIFS($C$2:$C389,$C389,$BE$2:$BE389,$BE389))</f>
        <v>187</v>
      </c>
    </row>
    <row r="390" spans="1:59" x14ac:dyDescent="0.25">
      <c r="A390" t="str">
        <f>Player_Analysis!A390</f>
        <v>Cameron Humphreys</v>
      </c>
      <c r="B390">
        <f>Player_Analysis!C390</f>
        <v>12</v>
      </c>
      <c r="C390" t="str">
        <f>Player_Analysis!B390</f>
        <v>MID</v>
      </c>
      <c r="D390" s="13">
        <f>Player_Analysis!E390</f>
        <v>4.5</v>
      </c>
      <c r="E390">
        <f>Player_Analysis!I390</f>
        <v>0</v>
      </c>
      <c r="F390" s="8">
        <f>Player_Analysis!Z390</f>
        <v>0</v>
      </c>
      <c r="G390" s="17">
        <f t="shared" si="157"/>
        <v>0</v>
      </c>
      <c r="H390">
        <f t="shared" si="158"/>
        <v>0</v>
      </c>
      <c r="I390" s="8">
        <f>Player_Analysis!AF390</f>
        <v>0</v>
      </c>
      <c r="J390" s="8">
        <f>Player_Analysis!AG390</f>
        <v>0</v>
      </c>
      <c r="K390">
        <f>Player_Analysis!O390</f>
        <v>0</v>
      </c>
      <c r="L390">
        <f>Player_Analysis!P390</f>
        <v>0</v>
      </c>
      <c r="M390" t="str">
        <f t="shared" si="159"/>
        <v/>
      </c>
      <c r="N390" t="str">
        <f t="shared" si="160"/>
        <v/>
      </c>
      <c r="O390" s="2" t="str">
        <f>IF(E390=0,"",Player_Analysis!L390/E390*90)</f>
        <v/>
      </c>
      <c r="P390" t="str">
        <f>IF(E390=0,"",Player_Analysis!Q390/E390*90)</f>
        <v/>
      </c>
      <c r="Q390" t="str">
        <f>IF(E390=0,"",(Player_Analysis!AD390/E390)*90)</f>
        <v/>
      </c>
      <c r="R390" t="str">
        <f>IF(E390=0,"",Player_Analysis!AA390/E390*90)</f>
        <v/>
      </c>
      <c r="S390" t="str">
        <f t="array" ref="S390">IFERROR(INDEX('2023_24'!$O:$O,MATCH($A390,'2023_24'!$A:$A,0)),"")</f>
        <v/>
      </c>
      <c r="T390">
        <f>IFERROR(INDEX('2024_25'!$P:$P,MATCH($A390,'2024_25'!$A:$A,0)),"")</f>
        <v>0</v>
      </c>
      <c r="U390" t="str">
        <f>IFERROR(INDEX('2025_26'!$P:$P,MATCH($A390,'2025_26'!$A:$A,0)),"")</f>
        <v/>
      </c>
      <c r="V390" t="str">
        <f>IFERROR(INDEX('2023_24'!$P:$P,MATCH($A390,'2023_24'!$A:$A,0)),"")</f>
        <v/>
      </c>
      <c r="W390">
        <f>IFERROR(INDEX('2024_25'!$Q:$Q,MATCH($A390,'2024_25'!$A:$A,0)),"")</f>
        <v>0</v>
      </c>
      <c r="X390" t="str">
        <f>IFERROR(INDEX('2025_26'!$Q:$Q,MATCH($A390,'2025_26'!$A:$A,0)),"")</f>
        <v/>
      </c>
      <c r="Y390" t="str">
        <f>IFERROR(INDEX('2023_24'!$M:$M,MATCH($A390,'2023_24'!$A:$A,0))/INDEX('2023_24'!$G:$G,MATCH($A390,'2023_24'!$A:$A,0))*90,"")</f>
        <v/>
      </c>
      <c r="Z390" t="str">
        <f>IFERROR(INDEX('2024_25'!$M:$M,MATCH($A390,'2024_25'!$A:$A,0))/INDEX('2024_25'!$G:$G,MATCH($A390,'2024_25'!$A:$A,0))*90,"")</f>
        <v/>
      </c>
      <c r="AA390" t="str">
        <f>IFERROR(INDEX('2025_26'!$M:$M,MATCH($A390,'2025_26'!$A:$A,0))/INDEX('2025_26'!$G:$G,MATCH($A390,'2025_26'!$A:$A,0))*90,"")</f>
        <v/>
      </c>
      <c r="AB390">
        <f>IFERROR(SUMPRODUCT(S390:U390,{0.2,0.3,0.5})/SUMPRODUCT(--(S390:U390&lt;&gt;""),{0.2,0.3,0.5}),"")</f>
        <v>0</v>
      </c>
      <c r="AC390">
        <f>IFERROR(SUMPRODUCT(V390:X390,{0.2,0.3,0.5})/SUMPRODUCT(--(V390:X390&lt;&gt;""),{0.2,0.3,0.5}),"")</f>
        <v>0</v>
      </c>
      <c r="AD390" t="str">
        <f>IFERROR(SUMPRODUCT(Y390:AA390,{0.2,0.3,0.5})/SUMPRODUCT((Y390:AA390&lt;&gt;"")*{0.2,0.3,0.5}),O390)</f>
        <v/>
      </c>
      <c r="AE390">
        <f t="shared" si="161"/>
        <v>1</v>
      </c>
      <c r="AF390" t="str">
        <f t="shared" si="162"/>
        <v/>
      </c>
      <c r="AG390">
        <f t="shared" si="163"/>
        <v>0</v>
      </c>
      <c r="AH390">
        <f t="shared" si="164"/>
        <v>0</v>
      </c>
      <c r="AI390" s="2">
        <f t="shared" si="165"/>
        <v>0</v>
      </c>
      <c r="AJ390">
        <f t="shared" si="166"/>
        <v>0</v>
      </c>
      <c r="AK390" t="str">
        <f t="shared" si="167"/>
        <v>NO</v>
      </c>
      <c r="AL390">
        <f t="shared" si="168"/>
        <v>0</v>
      </c>
      <c r="AM390">
        <f t="shared" si="169"/>
        <v>0</v>
      </c>
      <c r="AN390">
        <f t="shared" si="170"/>
        <v>0</v>
      </c>
      <c r="AO390">
        <f t="shared" si="171"/>
        <v>0</v>
      </c>
      <c r="AP390">
        <f t="array" ref="AP390">AL390*IF($C390="GKP",10,IF($C390="DEF",6,IF($C390="MID",5,4)))</f>
        <v>0</v>
      </c>
      <c r="AQ390">
        <f t="shared" si="172"/>
        <v>0</v>
      </c>
      <c r="AR390">
        <f t="shared" si="173"/>
        <v>0</v>
      </c>
      <c r="AS390" s="2">
        <f>IF($H390=0,0,Player_Analysis!$AM390*$H390/90)</f>
        <v>0</v>
      </c>
      <c r="AT390">
        <f t="shared" si="174"/>
        <v>0</v>
      </c>
      <c r="AU390" s="2">
        <f>0</f>
        <v>0</v>
      </c>
      <c r="AV390" s="2" t="str">
        <f>IF(INDEX(FPL_Raw_Data!K:K,MATCH(A390,FPL_Raw_Data!AA:AA,0))=0,"",INDEX(FPL_Raw_Data!P:P,MATCH(A390,FPL_Raw_Data!AA:AA,0))/INDEX(FPL_Raw_Data!K:K,MATCH(A390,FPL_Raw_Data!AA:AA,0))*90)</f>
        <v/>
      </c>
      <c r="AW390" s="2">
        <f t="shared" si="175"/>
        <v>0</v>
      </c>
      <c r="AX390" s="2">
        <f>IFERROR(INDEX(TEAM_ANALYSIS!$H$2:$H$21,MATCH($B390,TEAM_ANALYSIS!$A$2:$A$21,0)),0)</f>
        <v>2.6666666666666665</v>
      </c>
      <c r="AY390" s="2">
        <f t="shared" si="176"/>
        <v>0</v>
      </c>
      <c r="AZ390" s="2">
        <f t="shared" si="177"/>
        <v>0</v>
      </c>
      <c r="BA390">
        <f t="shared" si="178"/>
        <v>0</v>
      </c>
      <c r="BB390">
        <f>IFERROR(Player_Analysis!$Y390,1)</f>
        <v>1.0097491349480967</v>
      </c>
      <c r="BC390">
        <f t="shared" si="179"/>
        <v>0</v>
      </c>
      <c r="BD390">
        <f t="shared" si="180"/>
        <v>0</v>
      </c>
      <c r="BE390">
        <f t="shared" si="181"/>
        <v>0</v>
      </c>
      <c r="BF390">
        <f t="shared" si="182"/>
        <v>253</v>
      </c>
      <c r="BG390">
        <f>IF($BE390="","",COUNTIFS($C$2:$C$596,$C390,$BE$2:$BE$596,"&gt;"&amp;$BE390)+COUNTIFS($C$2:$C390,$C390,$BE$2:$BE390,$BE390))</f>
        <v>216</v>
      </c>
    </row>
    <row r="391" spans="1:59" x14ac:dyDescent="0.25">
      <c r="A391" t="str">
        <f>Player_Analysis!A391</f>
        <v>Exequiel Palacios</v>
      </c>
      <c r="B391">
        <f>Player_Analysis!C391</f>
        <v>12</v>
      </c>
      <c r="C391" t="str">
        <f>Player_Analysis!B391</f>
        <v>MID</v>
      </c>
      <c r="D391" s="13">
        <f>Player_Analysis!E391</f>
        <v>5</v>
      </c>
      <c r="E391">
        <f>Player_Analysis!I391</f>
        <v>105</v>
      </c>
      <c r="F391" s="8">
        <f>Player_Analysis!Z391</f>
        <v>1</v>
      </c>
      <c r="G391" s="17">
        <f t="shared" si="157"/>
        <v>0.8571428571428571</v>
      </c>
      <c r="H391">
        <f t="shared" si="158"/>
        <v>77.142857142857139</v>
      </c>
      <c r="I391" s="8">
        <f>Player_Analysis!AF391</f>
        <v>0</v>
      </c>
      <c r="J391" s="8">
        <f>Player_Analysis!AG391</f>
        <v>0</v>
      </c>
      <c r="K391">
        <f>Player_Analysis!O391</f>
        <v>0</v>
      </c>
      <c r="L391">
        <f>Player_Analysis!P391</f>
        <v>0.03</v>
      </c>
      <c r="M391">
        <f t="shared" si="159"/>
        <v>0</v>
      </c>
      <c r="N391">
        <f t="shared" si="160"/>
        <v>2.571428571428571E-2</v>
      </c>
      <c r="O391" s="2">
        <f>IF(E391=0,"",Player_Analysis!L391/E391*90)</f>
        <v>4.2857142857142856</v>
      </c>
      <c r="P391">
        <f>IF(E391=0,"",Player_Analysis!Q391/E391*90)</f>
        <v>2.571428571428571E-2</v>
      </c>
      <c r="Q391">
        <f>IF(E391=0,"",(Player_Analysis!AD391/E391)*90)</f>
        <v>30</v>
      </c>
      <c r="R391">
        <f>IF(E391=0,"",Player_Analysis!AA391/E391*90)</f>
        <v>21.428571428571427</v>
      </c>
      <c r="S391" t="str">
        <f t="array" ref="S391">IFERROR(INDEX('2023_24'!$O:$O,MATCH($A391,'2023_24'!$A:$A,0)),"")</f>
        <v/>
      </c>
      <c r="T391" t="str">
        <f>IFERROR(INDEX('2024_25'!$P:$P,MATCH($A391,'2024_25'!$A:$A,0)),"")</f>
        <v/>
      </c>
      <c r="U391" t="str">
        <f>IFERROR(INDEX('2025_26'!$P:$P,MATCH($A391,'2025_26'!$A:$A,0)),"")</f>
        <v/>
      </c>
      <c r="V391" t="str">
        <f>IFERROR(INDEX('2023_24'!$P:$P,MATCH($A391,'2023_24'!$A:$A,0)),"")</f>
        <v/>
      </c>
      <c r="W391" t="str">
        <f>IFERROR(INDEX('2024_25'!$Q:$Q,MATCH($A391,'2024_25'!$A:$A,0)),"")</f>
        <v/>
      </c>
      <c r="X391" t="str">
        <f>IFERROR(INDEX('2025_26'!$Q:$Q,MATCH($A391,'2025_26'!$A:$A,0)),"")</f>
        <v/>
      </c>
      <c r="Y391" t="str">
        <f>IFERROR(INDEX('2023_24'!$M:$M,MATCH($A391,'2023_24'!$A:$A,0))/INDEX('2023_24'!$G:$G,MATCH($A391,'2023_24'!$A:$A,0))*90,"")</f>
        <v/>
      </c>
      <c r="Z391" t="str">
        <f>IFERROR(INDEX('2024_25'!$M:$M,MATCH($A391,'2024_25'!$A:$A,0))/INDEX('2024_25'!$G:$G,MATCH($A391,'2024_25'!$A:$A,0))*90,"")</f>
        <v/>
      </c>
      <c r="AA391" t="str">
        <f>IFERROR(INDEX('2025_26'!$M:$M,MATCH($A391,'2025_26'!$A:$A,0))/INDEX('2025_26'!$G:$G,MATCH($A391,'2025_26'!$A:$A,0))*90,"")</f>
        <v/>
      </c>
      <c r="AB391" t="str">
        <f>IFERROR(SUMPRODUCT(S391:U391,{0.2,0.3,0.5})/SUMPRODUCT(--(S391:U391&lt;&gt;""),{0.2,0.3,0.5}),"")</f>
        <v/>
      </c>
      <c r="AC391" t="str">
        <f>IFERROR(SUMPRODUCT(V391:X391,{0.2,0.3,0.5})/SUMPRODUCT(--(V391:X391&lt;&gt;""),{0.2,0.3,0.5}),"")</f>
        <v/>
      </c>
      <c r="AD391">
        <f>IFERROR(SUMPRODUCT(Y391:AA391,{0.2,0.3,0.5})/SUMPRODUCT((Y391:AA391&lt;&gt;"")*{0.2,0.3,0.5}),O391)</f>
        <v>4.2857142857142856</v>
      </c>
      <c r="AE391">
        <f t="shared" si="161"/>
        <v>0</v>
      </c>
      <c r="AF391">
        <f t="shared" si="162"/>
        <v>105</v>
      </c>
      <c r="AG391">
        <f t="shared" si="163"/>
        <v>0</v>
      </c>
      <c r="AH391">
        <f t="shared" si="164"/>
        <v>2.571428571428571E-2</v>
      </c>
      <c r="AI391" s="2">
        <f t="shared" si="165"/>
        <v>4.2857142857142856</v>
      </c>
      <c r="AJ391">
        <f t="shared" si="166"/>
        <v>0.35</v>
      </c>
      <c r="AK391" t="str">
        <f t="shared" si="167"/>
        <v>YES</v>
      </c>
      <c r="AL391">
        <f t="shared" si="168"/>
        <v>0</v>
      </c>
      <c r="AM391">
        <f t="shared" si="169"/>
        <v>2.2040816326530606E-2</v>
      </c>
      <c r="AN391">
        <f t="shared" si="170"/>
        <v>0</v>
      </c>
      <c r="AO391">
        <f t="shared" si="171"/>
        <v>2.2040816326530606E-2</v>
      </c>
      <c r="AP391">
        <f t="array" ref="AP391">AL391*IF($C391="GKP",10,IF($C391="DEF",6,IF($C391="MID",5,4)))</f>
        <v>0</v>
      </c>
      <c r="AQ391">
        <f t="shared" si="172"/>
        <v>6.6122448979591825E-2</v>
      </c>
      <c r="AR391">
        <f t="shared" si="173"/>
        <v>1.7142857142857142</v>
      </c>
      <c r="AS391" s="2">
        <f>IF($H391=0,0,Player_Analysis!$AM391*$H391/90)</f>
        <v>0</v>
      </c>
      <c r="AT391">
        <f t="shared" si="174"/>
        <v>3.0612244897959182</v>
      </c>
      <c r="AU391" s="2">
        <f>0</f>
        <v>0</v>
      </c>
      <c r="AV391" s="2">
        <f>IF(INDEX(FPL_Raw_Data!K:K,MATCH(A391,FPL_Raw_Data!AA:AA,0))=0,"",INDEX(FPL_Raw_Data!P:P,MATCH(A391,FPL_Raw_Data!AA:AA,0))/INDEX(FPL_Raw_Data!K:K,MATCH(A391,FPL_Raw_Data!AA:AA,0))*90)</f>
        <v>0</v>
      </c>
      <c r="AW391" s="2">
        <f t="shared" si="175"/>
        <v>0</v>
      </c>
      <c r="AX391" s="2">
        <f>IFERROR(INDEX(TEAM_ANALYSIS!$H$2:$H$21,MATCH($B391,TEAM_ANALYSIS!$A$2:$A$21,0)),0)</f>
        <v>2.6666666666666665</v>
      </c>
      <c r="AY391" s="2">
        <f t="shared" si="176"/>
        <v>0</v>
      </c>
      <c r="AZ391" s="2">
        <f t="shared" si="177"/>
        <v>4.8416326530612244</v>
      </c>
      <c r="BA391">
        <f t="shared" si="178"/>
        <v>0.96832653061224483</v>
      </c>
      <c r="BB391">
        <f>IFERROR(Player_Analysis!$Y391,1)</f>
        <v>1.0097491349480967</v>
      </c>
      <c r="BC391">
        <f t="shared" si="179"/>
        <v>4.8888343831650296</v>
      </c>
      <c r="BD391">
        <f t="shared" si="180"/>
        <v>4.7339880369880474</v>
      </c>
      <c r="BE391">
        <f t="shared" si="181"/>
        <v>4.8888343831650296</v>
      </c>
      <c r="BF391">
        <f t="shared" si="182"/>
        <v>100</v>
      </c>
      <c r="BG391">
        <f>IF($BE391="","",COUNTIFS($C$2:$C$596,$C391,$BE$2:$BE$596,"&gt;"&amp;$BE391)+COUNTIFS($C$2:$C391,$C391,$BE$2:$BE391,$BE391))</f>
        <v>47</v>
      </c>
    </row>
    <row r="392" spans="1:59" x14ac:dyDescent="0.25">
      <c r="A392" t="str">
        <f>Player_Analysis!A392</f>
        <v>Zian Flemming</v>
      </c>
      <c r="B392">
        <f>Player_Analysis!C392</f>
        <v>12</v>
      </c>
      <c r="C392" t="str">
        <f>Player_Analysis!B392</f>
        <v>FWD</v>
      </c>
      <c r="D392" s="13">
        <f>Player_Analysis!E392</f>
        <v>5.5</v>
      </c>
      <c r="E392">
        <f>Player_Analysis!I392</f>
        <v>24</v>
      </c>
      <c r="F392" s="8">
        <f>Player_Analysis!Z392</f>
        <v>0</v>
      </c>
      <c r="G392" s="17">
        <f t="shared" si="157"/>
        <v>0</v>
      </c>
      <c r="H392">
        <f t="shared" si="158"/>
        <v>0</v>
      </c>
      <c r="I392" s="8">
        <f>Player_Analysis!AF392</f>
        <v>0</v>
      </c>
      <c r="J392" s="8">
        <f>Player_Analysis!AG392</f>
        <v>0</v>
      </c>
      <c r="K392">
        <f>Player_Analysis!O392</f>
        <v>0.02</v>
      </c>
      <c r="L392">
        <f>Player_Analysis!P392</f>
        <v>0.01</v>
      </c>
      <c r="M392">
        <f t="shared" si="159"/>
        <v>7.5000000000000011E-2</v>
      </c>
      <c r="N392">
        <f t="shared" si="160"/>
        <v>3.7500000000000006E-2</v>
      </c>
      <c r="O392" s="2">
        <f>IF(E392=0,"",Player_Analysis!L392/E392*90)</f>
        <v>3.75</v>
      </c>
      <c r="P392">
        <f>IF(E392=0,"",Player_Analysis!Q392/E392*90)</f>
        <v>0.1125</v>
      </c>
      <c r="Q392">
        <f>IF(E392=0,"",(Player_Analysis!AD392/E392)*90)</f>
        <v>15</v>
      </c>
      <c r="R392">
        <f>IF(E392=0,"",Player_Analysis!AA392/E392*90)</f>
        <v>0</v>
      </c>
      <c r="S392" t="str">
        <f t="array" ref="S392">IFERROR(INDEX('2023_24'!$O:$O,MATCH($A392,'2023_24'!$A:$A,0)),"")</f>
        <v/>
      </c>
      <c r="T392" t="str">
        <f>IFERROR(INDEX('2024_25'!$P:$P,MATCH($A392,'2024_25'!$A:$A,0)),"")</f>
        <v/>
      </c>
      <c r="U392">
        <f>IFERROR(INDEX('2025_26'!$P:$P,MATCH($A392,'2025_26'!$A:$A,0)),"")</f>
        <v>0.40510204081632656</v>
      </c>
      <c r="V392" t="str">
        <f>IFERROR(INDEX('2023_24'!$P:$P,MATCH($A392,'2023_24'!$A:$A,0)),"")</f>
        <v/>
      </c>
      <c r="W392" t="str">
        <f>IFERROR(INDEX('2024_25'!$Q:$Q,MATCH($A392,'2024_25'!$A:$A,0)),"")</f>
        <v/>
      </c>
      <c r="X392">
        <f>IFERROR(INDEX('2025_26'!$Q:$Q,MATCH($A392,'2025_26'!$A:$A,0)),"")</f>
        <v>2.0918367346938777E-2</v>
      </c>
      <c r="Y392" t="str">
        <f>IFERROR(INDEX('2023_24'!$M:$M,MATCH($A392,'2023_24'!$A:$A,0))/INDEX('2023_24'!$G:$G,MATCH($A392,'2023_24'!$A:$A,0))*90,"")</f>
        <v/>
      </c>
      <c r="Z392" t="str">
        <f>IFERROR(INDEX('2024_25'!$M:$M,MATCH($A392,'2024_25'!$A:$A,0))/INDEX('2024_25'!$G:$G,MATCH($A392,'2024_25'!$A:$A,0))*90,"")</f>
        <v/>
      </c>
      <c r="AA392">
        <f>IFERROR(INDEX('2025_26'!$M:$M,MATCH($A392,'2025_26'!$A:$A,0))/INDEX('2025_26'!$G:$G,MATCH($A392,'2025_26'!$A:$A,0))*90,"")</f>
        <v>5.0510204081632653</v>
      </c>
      <c r="AB392">
        <f>IFERROR(SUMPRODUCT(S392:U392,{0.2,0.3,0.5})/SUMPRODUCT(--(S392:U392&lt;&gt;""),{0.2,0.3,0.5}),"")</f>
        <v>0.40510204081632656</v>
      </c>
      <c r="AC392">
        <f>IFERROR(SUMPRODUCT(V392:X392,{0.2,0.3,0.5})/SUMPRODUCT(--(V392:X392&lt;&gt;""),{0.2,0.3,0.5}),"")</f>
        <v>2.0918367346938777E-2</v>
      </c>
      <c r="AD392">
        <f>IFERROR(SUMPRODUCT(Y392:AA392,{0.2,0.3,0.5})/SUMPRODUCT((Y392:AA392&lt;&gt;"")*{0.2,0.3,0.5}),O392)</f>
        <v>5.0510204081632653</v>
      </c>
      <c r="AE392">
        <f t="shared" si="161"/>
        <v>1</v>
      </c>
      <c r="AF392" t="str">
        <f t="shared" si="162"/>
        <v/>
      </c>
      <c r="AG392">
        <f t="shared" si="163"/>
        <v>0.37869387755102046</v>
      </c>
      <c r="AH392">
        <f t="shared" si="164"/>
        <v>2.2244897959183673E-2</v>
      </c>
      <c r="AI392" s="2">
        <f t="shared" si="165"/>
        <v>4.9469387755102039</v>
      </c>
      <c r="AJ392">
        <f t="shared" si="166"/>
        <v>0.08</v>
      </c>
      <c r="AK392" t="str">
        <f t="shared" si="167"/>
        <v>NO</v>
      </c>
      <c r="AL392">
        <f t="shared" si="168"/>
        <v>0</v>
      </c>
      <c r="AM392">
        <f t="shared" si="169"/>
        <v>0</v>
      </c>
      <c r="AN392">
        <f t="shared" si="170"/>
        <v>0</v>
      </c>
      <c r="AO392">
        <f t="shared" si="171"/>
        <v>0</v>
      </c>
      <c r="AP392">
        <f t="array" ref="AP392">AL392*IF($C392="GKP",10,IF($C392="DEF",6,IF($C392="MID",5,4)))</f>
        <v>0</v>
      </c>
      <c r="AQ392">
        <f t="shared" si="172"/>
        <v>0</v>
      </c>
      <c r="AR392">
        <f t="shared" si="173"/>
        <v>0</v>
      </c>
      <c r="AS392" s="2">
        <f>IF($H392=0,0,Player_Analysis!$AM392*$H392/90)</f>
        <v>0</v>
      </c>
      <c r="AT392">
        <f t="shared" si="174"/>
        <v>0</v>
      </c>
      <c r="AU392" s="2">
        <f>0</f>
        <v>0</v>
      </c>
      <c r="AV392" s="2">
        <f>IF(INDEX(FPL_Raw_Data!K:K,MATCH(A392,FPL_Raw_Data!AA:AA,0))=0,"",INDEX(FPL_Raw_Data!P:P,MATCH(A392,FPL_Raw_Data!AA:AA,0))/INDEX(FPL_Raw_Data!K:K,MATCH(A392,FPL_Raw_Data!AA:AA,0))*90)</f>
        <v>0</v>
      </c>
      <c r="AW392" s="2">
        <f t="shared" si="175"/>
        <v>0</v>
      </c>
      <c r="AX392" s="2">
        <f>IFERROR(INDEX(TEAM_ANALYSIS!$H$2:$H$21,MATCH($B392,TEAM_ANALYSIS!$A$2:$A$21,0)),0)</f>
        <v>2.6666666666666665</v>
      </c>
      <c r="AY392" s="2">
        <f t="shared" si="176"/>
        <v>0</v>
      </c>
      <c r="AZ392" s="2">
        <f t="shared" si="177"/>
        <v>0</v>
      </c>
      <c r="BA392">
        <f t="shared" si="178"/>
        <v>0</v>
      </c>
      <c r="BB392">
        <f>IFERROR(Player_Analysis!$Y392,1)</f>
        <v>1.0097491349480967</v>
      </c>
      <c r="BC392">
        <f t="shared" si="179"/>
        <v>0</v>
      </c>
      <c r="BD392">
        <f t="shared" si="180"/>
        <v>0</v>
      </c>
      <c r="BE392">
        <f t="shared" si="181"/>
        <v>0</v>
      </c>
      <c r="BF392">
        <f t="shared" si="182"/>
        <v>253</v>
      </c>
      <c r="BG392">
        <f>IF($BE392="","",COUNTIFS($C$2:$C$596,$C392,$BE$2:$BE$596,"&gt;"&amp;$BE392)+COUNTIFS($C$2:$C392,$C392,$BE$2:$BE392,$BE392))</f>
        <v>59</v>
      </c>
    </row>
    <row r="393" spans="1:59" x14ac:dyDescent="0.25">
      <c r="A393" t="str">
        <f>Player_Analysis!A393</f>
        <v>Harry Wilson</v>
      </c>
      <c r="B393">
        <f>Player_Analysis!C393</f>
        <v>13</v>
      </c>
      <c r="C393" t="str">
        <f>Player_Analysis!B393</f>
        <v>MID</v>
      </c>
      <c r="D393" s="13">
        <f>Player_Analysis!E393</f>
        <v>6.4</v>
      </c>
      <c r="E393">
        <f>Player_Analysis!I393</f>
        <v>127</v>
      </c>
      <c r="F393" s="8">
        <f>Player_Analysis!Z393</f>
        <v>1</v>
      </c>
      <c r="G393" s="17">
        <f t="shared" si="157"/>
        <v>0.70866141732283461</v>
      </c>
      <c r="H393">
        <f t="shared" si="158"/>
        <v>63.779527559055111</v>
      </c>
      <c r="I393" s="8">
        <f>Player_Analysis!AF393</f>
        <v>0</v>
      </c>
      <c r="J393" s="8">
        <f>Player_Analysis!AG393</f>
        <v>0</v>
      </c>
      <c r="K393">
        <f>Player_Analysis!O393</f>
        <v>0.01</v>
      </c>
      <c r="L393">
        <f>Player_Analysis!P393</f>
        <v>0.06</v>
      </c>
      <c r="M393">
        <f t="shared" si="159"/>
        <v>7.0866141732283464E-3</v>
      </c>
      <c r="N393">
        <f t="shared" si="160"/>
        <v>4.2519685039370078E-2</v>
      </c>
      <c r="O393" s="2">
        <f>IF(E393=0,"",Player_Analysis!L393/E393*90)</f>
        <v>2.8346456692913384</v>
      </c>
      <c r="P393">
        <f>IF(E393=0,"",Player_Analysis!Q393/E393*90)</f>
        <v>4.9606299212598425E-2</v>
      </c>
      <c r="Q393">
        <f>IF(E393=0,"",(Player_Analysis!AD393/E393)*90)</f>
        <v>10.62992125984252</v>
      </c>
      <c r="R393">
        <f>IF(E393=0,"",Player_Analysis!AA393/E393*90)</f>
        <v>6.377952755905512</v>
      </c>
      <c r="S393">
        <f t="array" ref="S393">IFERROR(INDEX('2023_24'!$O:$O,MATCH($A393,'2023_24'!$A:$A,0)),"")</f>
        <v>0.19369931378665006</v>
      </c>
      <c r="T393">
        <f>IFERROR(INDEX('2024_25'!$P:$P,MATCH($A393,'2024_25'!$A:$A,0)),"")</f>
        <v>0.32848432055749133</v>
      </c>
      <c r="U393">
        <f>IFERROR(INDEX('2025_26'!$P:$P,MATCH($A393,'2025_26'!$A:$A,0)),"")</f>
        <v>0.19790575916230368</v>
      </c>
      <c r="V393">
        <f>IFERROR(INDEX('2023_24'!$P:$P,MATCH($A393,'2023_24'!$A:$A,0)),"")</f>
        <v>0.1476606363069245</v>
      </c>
      <c r="W393">
        <f>IFERROR(INDEX('2024_25'!$Q:$Q,MATCH($A393,'2024_25'!$A:$A,0)),"")</f>
        <v>9.1724738675958178E-2</v>
      </c>
      <c r="X393">
        <f>IFERROR(INDEX('2025_26'!$Q:$Q,MATCH($A393,'2025_26'!$A:$A,0)),"")</f>
        <v>0.16054599850411369</v>
      </c>
      <c r="Y393">
        <f>IFERROR(INDEX('2023_24'!$M:$M,MATCH($A393,'2023_24'!$A:$A,0))/INDEX('2023_24'!$G:$G,MATCH($A393,'2023_24'!$A:$A,0))*90,"")</f>
        <v>5.2776044915782911</v>
      </c>
      <c r="Z393">
        <f>IFERROR(INDEX('2024_25'!$M:$M,MATCH($A393,'2024_25'!$A:$A,0))/INDEX('2024_25'!$G:$G,MATCH($A393,'2024_25'!$A:$A,0))*90,"")</f>
        <v>6.1149825783972123</v>
      </c>
      <c r="AA393">
        <f>IFERROR(INDEX('2025_26'!$M:$M,MATCH($A393,'2025_26'!$A:$A,0))/INDEX('2025_26'!$G:$G,MATCH($A393,'2025_26'!$A:$A,0))*90,"")</f>
        <v>5.654450261780104</v>
      </c>
      <c r="AB393">
        <f>IFERROR(SUMPRODUCT(S393:U393,{0.2,0.3,0.5})/SUMPRODUCT(--(S393:U393&lt;&gt;""),{0.2,0.3,0.5}),"")</f>
        <v>0.23623803850572928</v>
      </c>
      <c r="AC393">
        <f>IFERROR(SUMPRODUCT(V393:X393,{0.2,0.3,0.5})/SUMPRODUCT(--(V393:X393&lt;&gt;""),{0.2,0.3,0.5}),"")</f>
        <v>0.13732254811622918</v>
      </c>
      <c r="AD393">
        <f>IFERROR(SUMPRODUCT(Y393:AA393,{0.2,0.3,0.5})/SUMPRODUCT((Y393:AA393&lt;&gt;"")*{0.2,0.3,0.5}),O393)</f>
        <v>5.7172408027248736</v>
      </c>
      <c r="AE393">
        <f t="shared" si="161"/>
        <v>3</v>
      </c>
      <c r="AF393">
        <f t="shared" si="162"/>
        <v>127</v>
      </c>
      <c r="AG393">
        <f t="shared" si="163"/>
        <v>0.13923060220497055</v>
      </c>
      <c r="AH393">
        <f t="shared" si="164"/>
        <v>9.7189336080358832E-2</v>
      </c>
      <c r="AI393" s="2">
        <f t="shared" si="165"/>
        <v>4.4969421962380105</v>
      </c>
      <c r="AJ393">
        <f t="shared" si="166"/>
        <v>0.42333333333333334</v>
      </c>
      <c r="AK393" t="str">
        <f t="shared" si="167"/>
        <v>NO</v>
      </c>
      <c r="AL393">
        <f t="shared" si="168"/>
        <v>9.8667355893286221E-2</v>
      </c>
      <c r="AM393">
        <f t="shared" si="169"/>
        <v>6.8874332655372392E-2</v>
      </c>
      <c r="AN393">
        <f t="shared" si="170"/>
        <v>9.8667355893286221E-2</v>
      </c>
      <c r="AO393">
        <f t="shared" si="171"/>
        <v>6.8874332655372392E-2</v>
      </c>
      <c r="AP393">
        <f t="array" ref="AP393">AL393*IF($C393="GKP",10,IF($C393="DEF",6,IF($C393="MID",5,4)))</f>
        <v>0.49333677946643112</v>
      </c>
      <c r="AQ393">
        <f t="shared" si="172"/>
        <v>0.20662299796611716</v>
      </c>
      <c r="AR393">
        <f t="shared" si="173"/>
        <v>1.4173228346456692</v>
      </c>
      <c r="AS393" s="2">
        <f>IF($H393=0,0,Player_Analysis!$AM393*$H393/90)</f>
        <v>0.70866141732283461</v>
      </c>
      <c r="AT393">
        <f t="shared" si="174"/>
        <v>0.7533015066030132</v>
      </c>
      <c r="AU393" s="2">
        <f>0</f>
        <v>0</v>
      </c>
      <c r="AV393" s="2">
        <f>IF(INDEX(FPL_Raw_Data!K:K,MATCH(A393,FPL_Raw_Data!AA:AA,0))=0,"",INDEX(FPL_Raw_Data!P:P,MATCH(A393,FPL_Raw_Data!AA:AA,0))/INDEX(FPL_Raw_Data!K:K,MATCH(A393,FPL_Raw_Data!AA:AA,0))*90)</f>
        <v>0</v>
      </c>
      <c r="AW393" s="2">
        <f t="shared" si="175"/>
        <v>0</v>
      </c>
      <c r="AX393" s="2">
        <f>IFERROR(INDEX(TEAM_ANALYSIS!$H$2:$H$21,MATCH($B393,TEAM_ANALYSIS!$A$2:$A$21,0)),0)</f>
        <v>0.66666666666666663</v>
      </c>
      <c r="AY393" s="2">
        <f t="shared" si="176"/>
        <v>0</v>
      </c>
      <c r="AZ393" s="2">
        <f t="shared" si="177"/>
        <v>3.5792455360040658</v>
      </c>
      <c r="BA393">
        <f t="shared" si="178"/>
        <v>0.55925711500063524</v>
      </c>
      <c r="BB393">
        <f>IFERROR(Player_Analysis!$Y393,1)</f>
        <v>0.9426384083044983</v>
      </c>
      <c r="BC393">
        <f t="shared" si="179"/>
        <v>3.3739343149898535</v>
      </c>
      <c r="BD393">
        <f t="shared" si="180"/>
        <v>1.8868967712028699</v>
      </c>
      <c r="BE393">
        <f t="shared" si="181"/>
        <v>3.3739343149898535</v>
      </c>
      <c r="BF393">
        <f t="shared" si="182"/>
        <v>185</v>
      </c>
      <c r="BG393">
        <f>IF($BE393="","",COUNTIFS($C$2:$C$596,$C393,$BE$2:$BE$596,"&gt;"&amp;$BE393)+COUNTIFS($C$2:$C393,$C393,$BE$2:$BE393,$BE393))</f>
        <v>96</v>
      </c>
    </row>
    <row r="394" spans="1:59" x14ac:dyDescent="0.25">
      <c r="A394" t="str">
        <f>Player_Analysis!A394</f>
        <v>Lucas Estella Perri</v>
      </c>
      <c r="B394">
        <f>Player_Analysis!C394</f>
        <v>13</v>
      </c>
      <c r="C394" t="str">
        <f>Player_Analysis!B394</f>
        <v>GK</v>
      </c>
      <c r="D394" s="13">
        <f>Player_Analysis!E394</f>
        <v>4.5</v>
      </c>
      <c r="E394">
        <f>Player_Analysis!I394</f>
        <v>0</v>
      </c>
      <c r="F394" s="8">
        <f>Player_Analysis!Z394</f>
        <v>0</v>
      </c>
      <c r="G394" s="17">
        <f t="shared" si="157"/>
        <v>0</v>
      </c>
      <c r="H394">
        <f t="shared" si="158"/>
        <v>0</v>
      </c>
      <c r="I394" s="8">
        <f>Player_Analysis!AF394</f>
        <v>0</v>
      </c>
      <c r="J394" s="8">
        <f>Player_Analysis!AG394</f>
        <v>0</v>
      </c>
      <c r="K394">
        <f>Player_Analysis!O394</f>
        <v>0</v>
      </c>
      <c r="L394">
        <f>Player_Analysis!P394</f>
        <v>0</v>
      </c>
      <c r="M394" t="str">
        <f t="shared" si="159"/>
        <v/>
      </c>
      <c r="N394" t="str">
        <f t="shared" si="160"/>
        <v/>
      </c>
      <c r="O394" s="2" t="str">
        <f>IF(E394=0,"",Player_Analysis!L394/E394*90)</f>
        <v/>
      </c>
      <c r="P394" t="str">
        <f>IF(E394=0,"",Player_Analysis!Q394/E394*90)</f>
        <v/>
      </c>
      <c r="Q394" t="str">
        <f>IF(E394=0,"",(Player_Analysis!AD394/E394)*90)</f>
        <v/>
      </c>
      <c r="R394" t="str">
        <f>IF(E394=0,"",Player_Analysis!AA394/E394*90)</f>
        <v/>
      </c>
      <c r="S394" t="str">
        <f t="array" ref="S394">IFERROR(INDEX('2023_24'!$O:$O,MATCH($A394,'2023_24'!$A:$A,0)),"")</f>
        <v/>
      </c>
      <c r="T394" t="str">
        <f>IFERROR(INDEX('2024_25'!$P:$P,MATCH($A394,'2024_25'!$A:$A,0)),"")</f>
        <v/>
      </c>
      <c r="U394">
        <f>IFERROR(INDEX('2025_26'!$P:$P,MATCH($A394,'2025_26'!$A:$A,0)),"")</f>
        <v>0</v>
      </c>
      <c r="V394" t="str">
        <f>IFERROR(INDEX('2023_24'!$P:$P,MATCH($A394,'2023_24'!$A:$A,0)),"")</f>
        <v/>
      </c>
      <c r="W394" t="str">
        <f>IFERROR(INDEX('2024_25'!$Q:$Q,MATCH($A394,'2024_25'!$A:$A,0)),"")</f>
        <v/>
      </c>
      <c r="X394">
        <f>IFERROR(INDEX('2025_26'!$Q:$Q,MATCH($A394,'2025_26'!$A:$A,0)),"")</f>
        <v>0</v>
      </c>
      <c r="Y394" t="str">
        <f>IFERROR(INDEX('2023_24'!$M:$M,MATCH($A394,'2023_24'!$A:$A,0))/INDEX('2023_24'!$G:$G,MATCH($A394,'2023_24'!$A:$A,0))*90,"")</f>
        <v/>
      </c>
      <c r="Z394" t="str">
        <f>IFERROR(INDEX('2024_25'!$M:$M,MATCH($A394,'2024_25'!$A:$A,0))/INDEX('2024_25'!$G:$G,MATCH($A394,'2024_25'!$A:$A,0))*90,"")</f>
        <v/>
      </c>
      <c r="AA394">
        <f>IFERROR(INDEX('2025_26'!$M:$M,MATCH($A394,'2025_26'!$A:$A,0))/INDEX('2025_26'!$G:$G,MATCH($A394,'2025_26'!$A:$A,0))*90,"")</f>
        <v>2.6875</v>
      </c>
      <c r="AB394">
        <f>IFERROR(SUMPRODUCT(S394:U394,{0.2,0.3,0.5})/SUMPRODUCT(--(S394:U394&lt;&gt;""),{0.2,0.3,0.5}),"")</f>
        <v>0</v>
      </c>
      <c r="AC394">
        <f>IFERROR(SUMPRODUCT(V394:X394,{0.2,0.3,0.5})/SUMPRODUCT(--(V394:X394&lt;&gt;""),{0.2,0.3,0.5}),"")</f>
        <v>0</v>
      </c>
      <c r="AD394">
        <f>IFERROR(SUMPRODUCT(Y394:AA394,{0.2,0.3,0.5})/SUMPRODUCT((Y394:AA394&lt;&gt;"")*{0.2,0.3,0.5}),O394)</f>
        <v>2.6875</v>
      </c>
      <c r="AE394">
        <f t="shared" si="161"/>
        <v>1</v>
      </c>
      <c r="AF394" t="str">
        <f t="shared" si="162"/>
        <v/>
      </c>
      <c r="AG394">
        <f t="shared" si="163"/>
        <v>0</v>
      </c>
      <c r="AH394">
        <f t="shared" si="164"/>
        <v>0</v>
      </c>
      <c r="AI394" s="2">
        <f t="shared" si="165"/>
        <v>2.6875</v>
      </c>
      <c r="AJ394">
        <f t="shared" si="166"/>
        <v>0</v>
      </c>
      <c r="AK394" t="str">
        <f t="shared" si="167"/>
        <v>NO</v>
      </c>
      <c r="AL394">
        <f t="shared" si="168"/>
        <v>0</v>
      </c>
      <c r="AM394">
        <f t="shared" si="169"/>
        <v>0</v>
      </c>
      <c r="AN394">
        <f t="shared" si="170"/>
        <v>0</v>
      </c>
      <c r="AO394">
        <f t="shared" si="171"/>
        <v>0</v>
      </c>
      <c r="AP394">
        <f t="array" ref="AP394">AL394*IF($C394="GKP",10,IF($C394="DEF",6,IF($C394="MID",5,4)))</f>
        <v>0</v>
      </c>
      <c r="AQ394">
        <f t="shared" si="172"/>
        <v>0</v>
      </c>
      <c r="AR394">
        <f t="shared" si="173"/>
        <v>0</v>
      </c>
      <c r="AS394" s="2">
        <f>IF($H394=0,0,Player_Analysis!$AM394*$H394/90)</f>
        <v>0</v>
      </c>
      <c r="AT394">
        <f t="shared" si="174"/>
        <v>0</v>
      </c>
      <c r="AU394" s="2">
        <f>0</f>
        <v>0</v>
      </c>
      <c r="AV394" s="2" t="str">
        <f>IF(INDEX(FPL_Raw_Data!K:K,MATCH(A394,FPL_Raw_Data!AA:AA,0))=0,"",INDEX(FPL_Raw_Data!P:P,MATCH(A394,FPL_Raw_Data!AA:AA,0))/INDEX(FPL_Raw_Data!K:K,MATCH(A394,FPL_Raw_Data!AA:AA,0))*90)</f>
        <v/>
      </c>
      <c r="AW394" s="2">
        <f t="shared" si="175"/>
        <v>0</v>
      </c>
      <c r="AX394" s="2">
        <f>IFERROR(INDEX(TEAM_ANALYSIS!$H$2:$H$21,MATCH($B394,TEAM_ANALYSIS!$A$2:$A$21,0)),0)</f>
        <v>0.66666666666666663</v>
      </c>
      <c r="AY394" s="2">
        <f t="shared" si="176"/>
        <v>0</v>
      </c>
      <c r="AZ394" s="2">
        <f t="shared" si="177"/>
        <v>0</v>
      </c>
      <c r="BA394">
        <f t="shared" si="178"/>
        <v>0</v>
      </c>
      <c r="BB394">
        <f>IFERROR(Player_Analysis!$Y394,1)</f>
        <v>1.1380357723577235</v>
      </c>
      <c r="BC394">
        <f t="shared" si="179"/>
        <v>0</v>
      </c>
      <c r="BD394">
        <f t="shared" si="180"/>
        <v>0</v>
      </c>
      <c r="BE394">
        <f t="shared" si="181"/>
        <v>0</v>
      </c>
      <c r="BF394">
        <f t="shared" si="182"/>
        <v>253</v>
      </c>
      <c r="BG394">
        <f>IF($BE394="","",COUNTIFS($C$2:$C$596,$C394,$BE$2:$BE$596,"&gt;"&amp;$BE394)+COUNTIFS($C$2:$C394,$C394,$BE$2:$BE394,$BE394))</f>
        <v>48</v>
      </c>
    </row>
    <row r="395" spans="1:59" x14ac:dyDescent="0.25">
      <c r="A395" t="str">
        <f>Player_Analysis!A395</f>
        <v>Jaka Bijol</v>
      </c>
      <c r="B395">
        <f>Player_Analysis!C395</f>
        <v>13</v>
      </c>
      <c r="C395" t="str">
        <f>Player_Analysis!B395</f>
        <v>DEF</v>
      </c>
      <c r="D395" s="13">
        <f>Player_Analysis!E395</f>
        <v>5</v>
      </c>
      <c r="E395">
        <f>Player_Analysis!I395</f>
        <v>164</v>
      </c>
      <c r="F395" s="8">
        <f>Player_Analysis!Z395</f>
        <v>2</v>
      </c>
      <c r="G395" s="17">
        <f t="shared" si="157"/>
        <v>1</v>
      </c>
      <c r="H395">
        <f t="shared" si="158"/>
        <v>90</v>
      </c>
      <c r="I395" s="8">
        <f>Player_Analysis!AF395</f>
        <v>0</v>
      </c>
      <c r="J395" s="8">
        <f>Player_Analysis!AG395</f>
        <v>0</v>
      </c>
      <c r="K395">
        <f>Player_Analysis!O395</f>
        <v>0.11</v>
      </c>
      <c r="L395">
        <f>Player_Analysis!P395</f>
        <v>0</v>
      </c>
      <c r="M395">
        <f t="shared" si="159"/>
        <v>6.036585365853659E-2</v>
      </c>
      <c r="N395">
        <f t="shared" si="160"/>
        <v>0</v>
      </c>
      <c r="O395" s="2">
        <f>IF(E395=0,"",Player_Analysis!L395/E395*90)</f>
        <v>6.5853658536585362</v>
      </c>
      <c r="P395">
        <f>IF(E395=0,"",Player_Analysis!Q395/E395*90)</f>
        <v>6.036585365853659E-2</v>
      </c>
      <c r="Q395">
        <f>IF(E395=0,"",(Player_Analysis!AD395/E395)*90)</f>
        <v>15.914634146341463</v>
      </c>
      <c r="R395">
        <f>IF(E395=0,"",Player_Analysis!AA395/E395*90)</f>
        <v>11.52439024390244</v>
      </c>
      <c r="S395" t="str">
        <f t="array" ref="S395">IFERROR(INDEX('2023_24'!$O:$O,MATCH($A395,'2023_24'!$A:$A,0)),"")</f>
        <v/>
      </c>
      <c r="T395" t="str">
        <f>IFERROR(INDEX('2024_25'!$P:$P,MATCH($A395,'2024_25'!$A:$A,0)),"")</f>
        <v/>
      </c>
      <c r="U395">
        <f>IFERROR(INDEX('2025_26'!$P:$P,MATCH($A395,'2025_26'!$A:$A,0)),"")</f>
        <v>4.290254237288136E-2</v>
      </c>
      <c r="V395" t="str">
        <f>IFERROR(INDEX('2023_24'!$P:$P,MATCH($A395,'2023_24'!$A:$A,0)),"")</f>
        <v/>
      </c>
      <c r="W395" t="str">
        <f>IFERROR(INDEX('2024_25'!$Q:$Q,MATCH($A395,'2024_25'!$A:$A,0)),"")</f>
        <v/>
      </c>
      <c r="X395">
        <f>IFERROR(INDEX('2025_26'!$Q:$Q,MATCH($A395,'2025_26'!$A:$A,0)),"")</f>
        <v>3.5752118644067798E-2</v>
      </c>
      <c r="Y395" t="str">
        <f>IFERROR(INDEX('2023_24'!$M:$M,MATCH($A395,'2023_24'!$A:$A,0))/INDEX('2023_24'!$G:$G,MATCH($A395,'2023_24'!$A:$A,0))*90,"")</f>
        <v/>
      </c>
      <c r="Z395" t="str">
        <f>IFERROR(INDEX('2024_25'!$M:$M,MATCH($A395,'2024_25'!$A:$A,0))/INDEX('2024_25'!$G:$G,MATCH($A395,'2024_25'!$A:$A,0))*90,"")</f>
        <v/>
      </c>
      <c r="AA395">
        <f>IFERROR(INDEX('2025_26'!$M:$M,MATCH($A395,'2025_26'!$A:$A,0))/INDEX('2025_26'!$G:$G,MATCH($A395,'2025_26'!$A:$A,0))*90,"")</f>
        <v>4.719279661016949</v>
      </c>
      <c r="AB395">
        <f>IFERROR(SUMPRODUCT(S395:U395,{0.2,0.3,0.5})/SUMPRODUCT(--(S395:U395&lt;&gt;""),{0.2,0.3,0.5}),"")</f>
        <v>4.290254237288136E-2</v>
      </c>
      <c r="AC395">
        <f>IFERROR(SUMPRODUCT(V395:X395,{0.2,0.3,0.5})/SUMPRODUCT(--(V395:X395&lt;&gt;""),{0.2,0.3,0.5}),"")</f>
        <v>3.5752118644067798E-2</v>
      </c>
      <c r="AD395">
        <f>IFERROR(SUMPRODUCT(Y395:AA395,{0.2,0.3,0.5})/SUMPRODUCT((Y395:AA395&lt;&gt;"")*{0.2,0.3,0.5}),O395)</f>
        <v>4.719279661016949</v>
      </c>
      <c r="AE395">
        <f t="shared" si="161"/>
        <v>1</v>
      </c>
      <c r="AF395">
        <f t="shared" si="162"/>
        <v>82</v>
      </c>
      <c r="AG395">
        <f t="shared" si="163"/>
        <v>5.2449152542372882E-2</v>
      </c>
      <c r="AH395">
        <f t="shared" si="164"/>
        <v>1.6207627118644069E-2</v>
      </c>
      <c r="AI395" s="2">
        <f t="shared" si="165"/>
        <v>5.7394067796610173</v>
      </c>
      <c r="AJ395">
        <f t="shared" si="166"/>
        <v>0.54666666666666663</v>
      </c>
      <c r="AK395" t="str">
        <f t="shared" si="167"/>
        <v>NO</v>
      </c>
      <c r="AL395">
        <f t="shared" si="168"/>
        <v>5.2449152542372882E-2</v>
      </c>
      <c r="AM395">
        <f t="shared" si="169"/>
        <v>1.6207627118644069E-2</v>
      </c>
      <c r="AN395">
        <f t="shared" si="170"/>
        <v>5.2449152542372882E-2</v>
      </c>
      <c r="AO395">
        <f t="shared" si="171"/>
        <v>1.6207627118644069E-2</v>
      </c>
      <c r="AP395">
        <f t="array" ref="AP395">AL395*IF($C395="GKP",10,IF($C395="DEF",6,IF($C395="MID",5,4)))</f>
        <v>0.31469491525423732</v>
      </c>
      <c r="AQ395">
        <f t="shared" si="172"/>
        <v>4.8622881355932207E-2</v>
      </c>
      <c r="AR395">
        <f t="shared" si="173"/>
        <v>2</v>
      </c>
      <c r="AS395" s="2">
        <f>IF($H395=0,0,Player_Analysis!$AM395*$H395/90)</f>
        <v>2</v>
      </c>
      <c r="AT395">
        <f t="shared" si="174"/>
        <v>2.3048780487804881</v>
      </c>
      <c r="AU395" s="2">
        <f>0</f>
        <v>0</v>
      </c>
      <c r="AV395" s="2">
        <f>IF(INDEX(FPL_Raw_Data!K:K,MATCH(A395,FPL_Raw_Data!AA:AA,0))=0,"",INDEX(FPL_Raw_Data!P:P,MATCH(A395,FPL_Raw_Data!AA:AA,0))/INDEX(FPL_Raw_Data!K:K,MATCH(A395,FPL_Raw_Data!AA:AA,0))*90)</f>
        <v>0</v>
      </c>
      <c r="AW395" s="2">
        <f t="shared" si="175"/>
        <v>0</v>
      </c>
      <c r="AX395" s="2">
        <f>IFERROR(INDEX(TEAM_ANALYSIS!$H$2:$H$21,MATCH($B395,TEAM_ANALYSIS!$A$2:$A$21,0)),0)</f>
        <v>0.66666666666666663</v>
      </c>
      <c r="AY395" s="2">
        <f t="shared" si="176"/>
        <v>-0.33333333333333331</v>
      </c>
      <c r="AZ395" s="2">
        <f t="shared" si="177"/>
        <v>6.3348625120573248</v>
      </c>
      <c r="BA395">
        <f t="shared" si="178"/>
        <v>1.2669725024114649</v>
      </c>
      <c r="BB395">
        <f>IFERROR(Player_Analysis!$Y395,1)</f>
        <v>1.1380357723577235</v>
      </c>
      <c r="BC395">
        <f t="shared" si="179"/>
        <v>7.2093001516891455</v>
      </c>
      <c r="BD395">
        <f t="shared" si="180"/>
        <v>9.1339850538209504</v>
      </c>
      <c r="BE395">
        <f t="shared" si="181"/>
        <v>7.2093001516891455</v>
      </c>
      <c r="BF395">
        <f t="shared" si="182"/>
        <v>19</v>
      </c>
      <c r="BG395">
        <f>IF($BE395="","",COUNTIFS($C$2:$C$596,$C395,$BE$2:$BE$596,"&gt;"&amp;$BE395)+COUNTIFS($C$2:$C395,$C395,$BE$2:$BE395,$BE395))</f>
        <v>10</v>
      </c>
    </row>
    <row r="396" spans="1:59" x14ac:dyDescent="0.25">
      <c r="A396" t="str">
        <f>Player_Analysis!A396</f>
        <v>Joe Rodon</v>
      </c>
      <c r="B396">
        <f>Player_Analysis!C396</f>
        <v>13</v>
      </c>
      <c r="C396" t="str">
        <f>Player_Analysis!B396</f>
        <v>DEF</v>
      </c>
      <c r="D396" s="13">
        <f>Player_Analysis!E396</f>
        <v>4.4000000000000004</v>
      </c>
      <c r="E396">
        <f>Player_Analysis!I396</f>
        <v>123</v>
      </c>
      <c r="F396" s="8">
        <f>Player_Analysis!Z396</f>
        <v>2</v>
      </c>
      <c r="G396" s="17">
        <f t="shared" si="157"/>
        <v>1</v>
      </c>
      <c r="H396">
        <f t="shared" si="158"/>
        <v>90</v>
      </c>
      <c r="I396" s="8">
        <f>Player_Analysis!AF396</f>
        <v>0</v>
      </c>
      <c r="J396" s="8">
        <f>Player_Analysis!AG396</f>
        <v>0</v>
      </c>
      <c r="K396">
        <f>Player_Analysis!O396</f>
        <v>0.03</v>
      </c>
      <c r="L396">
        <f>Player_Analysis!P396</f>
        <v>0.06</v>
      </c>
      <c r="M396">
        <f t="shared" si="159"/>
        <v>2.1951219512195121E-2</v>
      </c>
      <c r="N396">
        <f t="shared" si="160"/>
        <v>4.3902439024390241E-2</v>
      </c>
      <c r="O396" s="2">
        <f>IF(E396=0,"",Player_Analysis!L396/E396*90)</f>
        <v>5.1219512195121952</v>
      </c>
      <c r="P396">
        <f>IF(E396=0,"",Player_Analysis!Q396/E396*90)</f>
        <v>6.5853658536585369E-2</v>
      </c>
      <c r="Q396">
        <f>IF(E396=0,"",(Player_Analysis!AD396/E396)*90)</f>
        <v>18.292682926829269</v>
      </c>
      <c r="R396">
        <f>IF(E396=0,"",Player_Analysis!AA396/E396*90)</f>
        <v>8.0487804878048781</v>
      </c>
      <c r="S396">
        <f t="array" ref="S396">IFERROR(INDEX('2023_24'!$O:$O,MATCH($A396,'2023_24'!$A:$A,0)),"")</f>
        <v>0</v>
      </c>
      <c r="T396" t="str">
        <f>IFERROR(INDEX('2024_25'!$P:$P,MATCH($A396,'2024_25'!$A:$A,0)),"")</f>
        <v/>
      </c>
      <c r="U396">
        <f>IFERROR(INDEX('2025_26'!$P:$P,MATCH($A396,'2025_26'!$A:$A,0)),"")</f>
        <v>4.2682926829268289E-2</v>
      </c>
      <c r="V396">
        <f>IFERROR(INDEX('2023_24'!$P:$P,MATCH($A396,'2023_24'!$A:$A,0)),"")</f>
        <v>0</v>
      </c>
      <c r="W396" t="str">
        <f>IFERROR(INDEX('2024_25'!$Q:$Q,MATCH($A396,'2024_25'!$A:$A,0)),"")</f>
        <v/>
      </c>
      <c r="X396">
        <f>IFERROR(INDEX('2025_26'!$Q:$Q,MATCH($A396,'2025_26'!$A:$A,0)),"")</f>
        <v>1.7073170731707318E-2</v>
      </c>
      <c r="Y396" t="str">
        <f>IFERROR(INDEX('2023_24'!$M:$M,MATCH($A396,'2023_24'!$A:$A,0))/INDEX('2023_24'!$G:$G,MATCH($A396,'2023_24'!$A:$A,0))*90,"")</f>
        <v/>
      </c>
      <c r="Z396" t="str">
        <f>IFERROR(INDEX('2024_25'!$M:$M,MATCH($A396,'2024_25'!$A:$A,0))/INDEX('2024_25'!$G:$G,MATCH($A396,'2024_25'!$A:$A,0))*90,"")</f>
        <v/>
      </c>
      <c r="AA396">
        <f>IFERROR(INDEX('2025_26'!$M:$M,MATCH($A396,'2025_26'!$A:$A,0))/INDEX('2025_26'!$G:$G,MATCH($A396,'2025_26'!$A:$A,0))*90,"")</f>
        <v>3.3231707317073171</v>
      </c>
      <c r="AB396">
        <f>IFERROR(SUMPRODUCT(S396:U396,{0.2,0.3,0.5})/SUMPRODUCT(--(S396:U396&lt;&gt;""),{0.2,0.3,0.5}),"")</f>
        <v>3.048780487804878E-2</v>
      </c>
      <c r="AC396">
        <f>IFERROR(SUMPRODUCT(V396:X396,{0.2,0.3,0.5})/SUMPRODUCT(--(V396:X396&lt;&gt;""),{0.2,0.3,0.5}),"")</f>
        <v>1.2195121951219514E-2</v>
      </c>
      <c r="AD396">
        <f>IFERROR(SUMPRODUCT(Y396:AA396,{0.2,0.3,0.5})/SUMPRODUCT((Y396:AA396&lt;&gt;"")*{0.2,0.3,0.5}),O396)</f>
        <v>3.3231707317073171</v>
      </c>
      <c r="AE396">
        <f t="shared" si="161"/>
        <v>2</v>
      </c>
      <c r="AF396">
        <f t="shared" si="162"/>
        <v>61.5</v>
      </c>
      <c r="AG396">
        <f t="shared" si="163"/>
        <v>2.6987804878048784E-2</v>
      </c>
      <c r="AH396">
        <f t="shared" si="164"/>
        <v>2.5195121951219514E-2</v>
      </c>
      <c r="AI396" s="2">
        <f t="shared" si="165"/>
        <v>4.060670731707317</v>
      </c>
      <c r="AJ396">
        <f t="shared" si="166"/>
        <v>0.41</v>
      </c>
      <c r="AK396" t="str">
        <f t="shared" si="167"/>
        <v>NO</v>
      </c>
      <c r="AL396">
        <f t="shared" si="168"/>
        <v>2.6987804878048784E-2</v>
      </c>
      <c r="AM396">
        <f t="shared" si="169"/>
        <v>2.5195121951219514E-2</v>
      </c>
      <c r="AN396">
        <f t="shared" si="170"/>
        <v>2.6987804878048784E-2</v>
      </c>
      <c r="AO396">
        <f t="shared" si="171"/>
        <v>2.5195121951219514E-2</v>
      </c>
      <c r="AP396">
        <f t="array" ref="AP396">AL396*IF($C396="GKP",10,IF($C396="DEF",6,IF($C396="MID",5,4)))</f>
        <v>0.16192682926829272</v>
      </c>
      <c r="AQ396">
        <f t="shared" si="172"/>
        <v>7.5585365853658548E-2</v>
      </c>
      <c r="AR396">
        <f t="shared" si="173"/>
        <v>2</v>
      </c>
      <c r="AS396" s="2">
        <f>IF($H396=0,0,Player_Analysis!$AM396*$H396/90)</f>
        <v>2</v>
      </c>
      <c r="AT396">
        <f t="shared" si="174"/>
        <v>1.6097560975609757</v>
      </c>
      <c r="AU396" s="2">
        <f>0</f>
        <v>0</v>
      </c>
      <c r="AV396" s="2">
        <f>IF(INDEX(FPL_Raw_Data!K:K,MATCH(A396,FPL_Raw_Data!AA:AA,0))=0,"",INDEX(FPL_Raw_Data!P:P,MATCH(A396,FPL_Raw_Data!AA:AA,0))/INDEX(FPL_Raw_Data!K:K,MATCH(A396,FPL_Raw_Data!AA:AA,0))*90)</f>
        <v>0</v>
      </c>
      <c r="AW396" s="2">
        <f t="shared" si="175"/>
        <v>0</v>
      </c>
      <c r="AX396" s="2">
        <f>IFERROR(INDEX(TEAM_ANALYSIS!$H$2:$H$21,MATCH($B396,TEAM_ANALYSIS!$A$2:$A$21,0)),0)</f>
        <v>0.66666666666666663</v>
      </c>
      <c r="AY396" s="2">
        <f t="shared" si="176"/>
        <v>-0.33333333333333331</v>
      </c>
      <c r="AZ396" s="2">
        <f t="shared" si="177"/>
        <v>5.5139349593495934</v>
      </c>
      <c r="BA396">
        <f t="shared" si="178"/>
        <v>1.2531670362158165</v>
      </c>
      <c r="BB396">
        <f>IFERROR(Player_Analysis!$Y396,1)</f>
        <v>1.1380357723577235</v>
      </c>
      <c r="BC396">
        <f t="shared" si="179"/>
        <v>6.2750552301936668</v>
      </c>
      <c r="BD396">
        <f t="shared" si="180"/>
        <v>7.8636923649123558</v>
      </c>
      <c r="BE396">
        <f t="shared" si="181"/>
        <v>6.2750552301936668</v>
      </c>
      <c r="BF396">
        <f t="shared" si="182"/>
        <v>35</v>
      </c>
      <c r="BG396">
        <f>IF($BE396="","",COUNTIFS($C$2:$C$596,$C396,$BE$2:$BE$596,"&gt;"&amp;$BE396)+COUNTIFS($C$2:$C396,$C396,$BE$2:$BE396,$BE396))</f>
        <v>18</v>
      </c>
    </row>
    <row r="397" spans="1:59" x14ac:dyDescent="0.25">
      <c r="A397" t="str">
        <f>Player_Analysis!A397</f>
        <v>Jayden Bogle</v>
      </c>
      <c r="B397">
        <f>Player_Analysis!C397</f>
        <v>13</v>
      </c>
      <c r="C397" t="str">
        <f>Player_Analysis!B397</f>
        <v>DEF</v>
      </c>
      <c r="D397" s="13">
        <f>Player_Analysis!E397</f>
        <v>4.5</v>
      </c>
      <c r="E397">
        <f>Player_Analysis!I397</f>
        <v>217</v>
      </c>
      <c r="F397" s="8">
        <f>Player_Analysis!Z397</f>
        <v>3</v>
      </c>
      <c r="G397" s="17">
        <f t="shared" si="157"/>
        <v>1</v>
      </c>
      <c r="H397">
        <f t="shared" si="158"/>
        <v>90</v>
      </c>
      <c r="I397" s="8">
        <f>Player_Analysis!AF397</f>
        <v>1</v>
      </c>
      <c r="J397" s="8">
        <f>Player_Analysis!AG397</f>
        <v>0</v>
      </c>
      <c r="K397">
        <f>Player_Analysis!O397</f>
        <v>0.9</v>
      </c>
      <c r="L397">
        <f>Player_Analysis!P397</f>
        <v>0.03</v>
      </c>
      <c r="M397">
        <f t="shared" si="159"/>
        <v>0.37327188940092171</v>
      </c>
      <c r="N397">
        <f t="shared" si="160"/>
        <v>1.2442396313364055E-2</v>
      </c>
      <c r="O397" s="2">
        <f>IF(E397=0,"",Player_Analysis!L397/E397*90)</f>
        <v>9.1244239631336406</v>
      </c>
      <c r="P397">
        <f>IF(E397=0,"",Player_Analysis!Q397/E397*90)</f>
        <v>0.38571428571428573</v>
      </c>
      <c r="Q397">
        <f>IF(E397=0,"",(Player_Analysis!AD397/E397)*90)</f>
        <v>26.12903225806452</v>
      </c>
      <c r="R397">
        <f>IF(E397=0,"",Player_Analysis!AA397/E397*90)</f>
        <v>4.9769585253456228</v>
      </c>
      <c r="S397">
        <f t="array" ref="S397">IFERROR(INDEX('2023_24'!$O:$O,MATCH($A397,'2023_24'!$A:$A,0)),"")</f>
        <v>7.6210979547900973E-2</v>
      </c>
      <c r="T397" t="str">
        <f>IFERROR(INDEX('2024_25'!$P:$P,MATCH($A397,'2024_25'!$A:$A,0)),"")</f>
        <v/>
      </c>
      <c r="U397">
        <f>IFERROR(INDEX('2025_26'!$P:$P,MATCH($A397,'2025_26'!$A:$A,0)),"")</f>
        <v>6.6976744186046516E-2</v>
      </c>
      <c r="V397">
        <f>IFERROR(INDEX('2023_24'!$P:$P,MATCH($A397,'2023_24'!$A:$A,0)),"")</f>
        <v>3.681377825618945E-2</v>
      </c>
      <c r="W397" t="str">
        <f>IFERROR(INDEX('2024_25'!$Q:$Q,MATCH($A397,'2024_25'!$A:$A,0)),"")</f>
        <v/>
      </c>
      <c r="X397">
        <f>IFERROR(INDEX('2025_26'!$Q:$Q,MATCH($A397,'2025_26'!$A:$A,0)),"")</f>
        <v>0.10014311270125223</v>
      </c>
      <c r="Y397">
        <f>IFERROR(INDEX('2023_24'!$M:$M,MATCH($A397,'2023_24'!$A:$A,0))/INDEX('2023_24'!$G:$G,MATCH($A397,'2023_24'!$A:$A,0))*90,"")</f>
        <v>2.0344456404736277</v>
      </c>
      <c r="Z397" t="str">
        <f>IFERROR(INDEX('2024_25'!$M:$M,MATCH($A397,'2024_25'!$A:$A,0))/INDEX('2024_25'!$G:$G,MATCH($A397,'2024_25'!$A:$A,0))*90,"")</f>
        <v/>
      </c>
      <c r="AA397">
        <f>IFERROR(INDEX('2025_26'!$M:$M,MATCH($A397,'2025_26'!$A:$A,0))/INDEX('2025_26'!$G:$G,MATCH($A397,'2025_26'!$A:$A,0))*90,"")</f>
        <v>3.0912343470483004</v>
      </c>
      <c r="AB397">
        <f>IFERROR(SUMPRODUCT(S397:U397,{0.2,0.3,0.5})/SUMPRODUCT(--(S397:U397&lt;&gt;""),{0.2,0.3,0.5}),"")</f>
        <v>6.9615097146576363E-2</v>
      </c>
      <c r="AC397">
        <f>IFERROR(SUMPRODUCT(V397:X397,{0.2,0.3,0.5})/SUMPRODUCT(--(V397:X397&lt;&gt;""),{0.2,0.3,0.5}),"")</f>
        <v>8.2049017145520015E-2</v>
      </c>
      <c r="AD397">
        <f>IFERROR(SUMPRODUCT(Y397:AA397,{0.2,0.3,0.5})/SUMPRODUCT((Y397:AA397&lt;&gt;"")*{0.2,0.3,0.5}),O397)</f>
        <v>2.7892947165983939</v>
      </c>
      <c r="AE397">
        <f t="shared" si="161"/>
        <v>2</v>
      </c>
      <c r="AF397">
        <f t="shared" si="162"/>
        <v>72.333333333333329</v>
      </c>
      <c r="AG397">
        <f t="shared" si="163"/>
        <v>0.28926017687721955</v>
      </c>
      <c r="AH397">
        <f t="shared" si="164"/>
        <v>3.1700228076927198E-2</v>
      </c>
      <c r="AI397" s="2">
        <f t="shared" si="165"/>
        <v>7.3717048715922227</v>
      </c>
      <c r="AJ397">
        <f t="shared" si="166"/>
        <v>0.72333333333333338</v>
      </c>
      <c r="AK397" t="str">
        <f t="shared" si="167"/>
        <v>NO</v>
      </c>
      <c r="AL397">
        <f t="shared" si="168"/>
        <v>0.28926017687721955</v>
      </c>
      <c r="AM397">
        <f t="shared" si="169"/>
        <v>3.1700228076927198E-2</v>
      </c>
      <c r="AN397">
        <f t="shared" si="170"/>
        <v>0.28926017687721955</v>
      </c>
      <c r="AO397">
        <f t="shared" si="171"/>
        <v>3.1700228076927198E-2</v>
      </c>
      <c r="AP397">
        <f t="array" ref="AP397">AL397*IF($C397="GKP",10,IF($C397="DEF",6,IF($C397="MID",5,4)))</f>
        <v>1.7355610612633172</v>
      </c>
      <c r="AQ397">
        <f t="shared" si="172"/>
        <v>9.5100684230781593E-2</v>
      </c>
      <c r="AR397">
        <f t="shared" si="173"/>
        <v>2</v>
      </c>
      <c r="AS397" s="2">
        <f>IF($H397=0,0,Player_Analysis!$AM397*$H397/90)</f>
        <v>2.6666666666666665</v>
      </c>
      <c r="AT397">
        <f t="shared" si="174"/>
        <v>0.99539170506912455</v>
      </c>
      <c r="AU397" s="2">
        <f>0</f>
        <v>0</v>
      </c>
      <c r="AV397" s="2">
        <f>IF(INDEX(FPL_Raw_Data!K:K,MATCH(A397,FPL_Raw_Data!AA:AA,0))=0,"",INDEX(FPL_Raw_Data!P:P,MATCH(A397,FPL_Raw_Data!AA:AA,0))/INDEX(FPL_Raw_Data!K:K,MATCH(A397,FPL_Raw_Data!AA:AA,0))*90)</f>
        <v>0</v>
      </c>
      <c r="AW397" s="2">
        <f t="shared" si="175"/>
        <v>0</v>
      </c>
      <c r="AX397" s="2">
        <f>IFERROR(INDEX(TEAM_ANALYSIS!$H$2:$H$21,MATCH($B397,TEAM_ANALYSIS!$A$2:$A$21,0)),0)</f>
        <v>0.66666666666666663</v>
      </c>
      <c r="AY397" s="2">
        <f t="shared" si="176"/>
        <v>-0.33333333333333331</v>
      </c>
      <c r="AZ397" s="2">
        <f t="shared" si="177"/>
        <v>7.159386783896557</v>
      </c>
      <c r="BA397">
        <f t="shared" si="178"/>
        <v>1.5909748408659015</v>
      </c>
      <c r="BB397">
        <f>IFERROR(Player_Analysis!$Y397,1)</f>
        <v>1.1380357723577235</v>
      </c>
      <c r="BC397">
        <f t="shared" si="179"/>
        <v>8.1476382682193957</v>
      </c>
      <c r="BD397">
        <f t="shared" si="180"/>
        <v>12.962687497213283</v>
      </c>
      <c r="BE397">
        <f t="shared" si="181"/>
        <v>8.1476382682193957</v>
      </c>
      <c r="BF397">
        <f t="shared" si="182"/>
        <v>8</v>
      </c>
      <c r="BG397">
        <f>IF($BE397="","",COUNTIFS($C$2:$C$596,$C397,$BE$2:$BE$596,"&gt;"&amp;$BE397)+COUNTIFS($C$2:$C397,$C397,$BE$2:$BE397,$BE397))</f>
        <v>7</v>
      </c>
    </row>
    <row r="398" spans="1:59" x14ac:dyDescent="0.25">
      <c r="A398" t="str">
        <f>Player_Analysis!A398</f>
        <v>Gabriel Gudmundsson</v>
      </c>
      <c r="B398">
        <f>Player_Analysis!C398</f>
        <v>13</v>
      </c>
      <c r="C398" t="str">
        <f>Player_Analysis!B398</f>
        <v>DEF</v>
      </c>
      <c r="D398" s="13">
        <f>Player_Analysis!E398</f>
        <v>4.5</v>
      </c>
      <c r="E398">
        <f>Player_Analysis!I398</f>
        <v>90</v>
      </c>
      <c r="F398" s="8">
        <f>Player_Analysis!Z398</f>
        <v>1</v>
      </c>
      <c r="G398" s="17">
        <f t="shared" si="157"/>
        <v>1</v>
      </c>
      <c r="H398">
        <f t="shared" si="158"/>
        <v>90</v>
      </c>
      <c r="I398" s="8">
        <f>Player_Analysis!AF398</f>
        <v>0</v>
      </c>
      <c r="J398" s="8">
        <f>Player_Analysis!AG398</f>
        <v>0</v>
      </c>
      <c r="K398">
        <f>Player_Analysis!O398</f>
        <v>0</v>
      </c>
      <c r="L398">
        <f>Player_Analysis!P398</f>
        <v>0</v>
      </c>
      <c r="M398">
        <f t="shared" si="159"/>
        <v>0</v>
      </c>
      <c r="N398">
        <f t="shared" si="160"/>
        <v>0</v>
      </c>
      <c r="O398" s="2">
        <f>IF(E398=0,"",Player_Analysis!L398/E398*90)</f>
        <v>2</v>
      </c>
      <c r="P398">
        <f>IF(E398=0,"",Player_Analysis!Q398/E398*90)</f>
        <v>0</v>
      </c>
      <c r="Q398">
        <f>IF(E398=0,"",(Player_Analysis!AD398/E398)*90)</f>
        <v>9</v>
      </c>
      <c r="R398">
        <f>IF(E398=0,"",Player_Analysis!AA398/E398*90)</f>
        <v>5</v>
      </c>
      <c r="S398" t="str">
        <f t="array" ref="S398">IFERROR(INDEX('2023_24'!$O:$O,MATCH($A398,'2023_24'!$A:$A,0)),"")</f>
        <v/>
      </c>
      <c r="T398" t="str">
        <f>IFERROR(INDEX('2024_25'!$P:$P,MATCH($A398,'2024_25'!$A:$A,0)),"")</f>
        <v/>
      </c>
      <c r="U398">
        <f>IFERROR(INDEX('2025_26'!$P:$P,MATCH($A398,'2025_26'!$A:$A,0)),"")</f>
        <v>3.7542662116040959E-2</v>
      </c>
      <c r="V398" t="str">
        <f>IFERROR(INDEX('2023_24'!$P:$P,MATCH($A398,'2023_24'!$A:$A,0)),"")</f>
        <v/>
      </c>
      <c r="W398" t="str">
        <f>IFERROR(INDEX('2024_25'!$Q:$Q,MATCH($A398,'2024_25'!$A:$A,0)),"")</f>
        <v/>
      </c>
      <c r="X398">
        <f>IFERROR(INDEX('2025_26'!$Q:$Q,MATCH($A398,'2025_26'!$A:$A,0)),"")</f>
        <v>9.8634812286689424E-2</v>
      </c>
      <c r="Y398" t="str">
        <f>IFERROR(INDEX('2023_24'!$M:$M,MATCH($A398,'2023_24'!$A:$A,0))/INDEX('2023_24'!$G:$G,MATCH($A398,'2023_24'!$A:$A,0))*90,"")</f>
        <v/>
      </c>
      <c r="Z398" t="str">
        <f>IFERROR(INDEX('2024_25'!$M:$M,MATCH($A398,'2024_25'!$A:$A,0))/INDEX('2024_25'!$G:$G,MATCH($A398,'2024_25'!$A:$A,0))*90,"")</f>
        <v/>
      </c>
      <c r="AA398">
        <f>IFERROR(INDEX('2025_26'!$M:$M,MATCH($A398,'2025_26'!$A:$A,0))/INDEX('2025_26'!$G:$G,MATCH($A398,'2025_26'!$A:$A,0))*90,"")</f>
        <v>2.3208191126279862</v>
      </c>
      <c r="AB398">
        <f>IFERROR(SUMPRODUCT(S398:U398,{0.2,0.3,0.5})/SUMPRODUCT(--(S398:U398&lt;&gt;""),{0.2,0.3,0.5}),"")</f>
        <v>3.7542662116040959E-2</v>
      </c>
      <c r="AC398">
        <f>IFERROR(SUMPRODUCT(V398:X398,{0.2,0.3,0.5})/SUMPRODUCT(--(V398:X398&lt;&gt;""),{0.2,0.3,0.5}),"")</f>
        <v>9.8634812286689424E-2</v>
      </c>
      <c r="AD398">
        <f>IFERROR(SUMPRODUCT(Y398:AA398,{0.2,0.3,0.5})/SUMPRODUCT((Y398:AA398&lt;&gt;"")*{0.2,0.3,0.5}),O398)</f>
        <v>2.3208191126279862</v>
      </c>
      <c r="AE398">
        <f t="shared" si="161"/>
        <v>1</v>
      </c>
      <c r="AF398">
        <f t="shared" si="162"/>
        <v>90</v>
      </c>
      <c r="AG398">
        <f t="shared" si="163"/>
        <v>2.6279863481228669E-2</v>
      </c>
      <c r="AH398">
        <f t="shared" si="164"/>
        <v>6.9044368600682596E-2</v>
      </c>
      <c r="AI398" s="2">
        <f t="shared" si="165"/>
        <v>2.2245733788395903</v>
      </c>
      <c r="AJ398">
        <f t="shared" si="166"/>
        <v>0.3</v>
      </c>
      <c r="AK398" t="str">
        <f t="shared" si="167"/>
        <v>NO</v>
      </c>
      <c r="AL398">
        <f t="shared" si="168"/>
        <v>2.6279863481228669E-2</v>
      </c>
      <c r="AM398">
        <f t="shared" si="169"/>
        <v>6.9044368600682596E-2</v>
      </c>
      <c r="AN398">
        <f t="shared" si="170"/>
        <v>2.6279863481228669E-2</v>
      </c>
      <c r="AO398">
        <f t="shared" si="171"/>
        <v>6.9044368600682596E-2</v>
      </c>
      <c r="AP398">
        <f t="array" ref="AP398">AL398*IF($C398="GKP",10,IF($C398="DEF",6,IF($C398="MID",5,4)))</f>
        <v>0.15767918088737201</v>
      </c>
      <c r="AQ398">
        <f t="shared" si="172"/>
        <v>0.2071331058020478</v>
      </c>
      <c r="AR398">
        <f t="shared" si="173"/>
        <v>2</v>
      </c>
      <c r="AS398" s="2">
        <f>IF($H398=0,0,Player_Analysis!$AM398*$H398/90)</f>
        <v>0</v>
      </c>
      <c r="AT398">
        <f t="shared" si="174"/>
        <v>1</v>
      </c>
      <c r="AU398" s="2">
        <f>0</f>
        <v>0</v>
      </c>
      <c r="AV398" s="2">
        <f>IF(INDEX(FPL_Raw_Data!K:K,MATCH(A398,FPL_Raw_Data!AA:AA,0))=0,"",INDEX(FPL_Raw_Data!P:P,MATCH(A398,FPL_Raw_Data!AA:AA,0))/INDEX(FPL_Raw_Data!K:K,MATCH(A398,FPL_Raw_Data!AA:AA,0))*90)</f>
        <v>0</v>
      </c>
      <c r="AW398" s="2">
        <f t="shared" si="175"/>
        <v>0</v>
      </c>
      <c r="AX398" s="2">
        <f>IFERROR(INDEX(TEAM_ANALYSIS!$H$2:$H$21,MATCH($B398,TEAM_ANALYSIS!$A$2:$A$21,0)),0)</f>
        <v>0.66666666666666663</v>
      </c>
      <c r="AY398" s="2">
        <f t="shared" si="176"/>
        <v>-0.33333333333333331</v>
      </c>
      <c r="AZ398" s="2">
        <f t="shared" si="177"/>
        <v>3.0314789533560864</v>
      </c>
      <c r="BA398">
        <f t="shared" si="178"/>
        <v>0.67366198963468582</v>
      </c>
      <c r="BB398">
        <f>IFERROR(Player_Analysis!$Y398,1)</f>
        <v>1.1380357723577235</v>
      </c>
      <c r="BC398">
        <f t="shared" si="179"/>
        <v>3.4499314920687771</v>
      </c>
      <c r="BD398">
        <f t="shared" si="180"/>
        <v>2.324087713050413</v>
      </c>
      <c r="BE398">
        <f t="shared" si="181"/>
        <v>3.4499314920687771</v>
      </c>
      <c r="BF398">
        <f t="shared" si="182"/>
        <v>180</v>
      </c>
      <c r="BG398">
        <f>IF($BE398="","",COUNTIFS($C$2:$C$596,$C398,$BE$2:$BE$596,"&gt;"&amp;$BE398)+COUNTIFS($C$2:$C398,$C398,$BE$2:$BE398,$BE398))</f>
        <v>58</v>
      </c>
    </row>
    <row r="399" spans="1:59" x14ac:dyDescent="0.25">
      <c r="A399" t="str">
        <f>Player_Analysis!A399</f>
        <v>James Justin</v>
      </c>
      <c r="B399">
        <f>Player_Analysis!C399</f>
        <v>13</v>
      </c>
      <c r="C399" t="str">
        <f>Player_Analysis!B399</f>
        <v>DEF</v>
      </c>
      <c r="D399" s="13">
        <f>Player_Analysis!E399</f>
        <v>4.5</v>
      </c>
      <c r="E399">
        <f>Player_Analysis!I399</f>
        <v>270</v>
      </c>
      <c r="F399" s="8">
        <f>Player_Analysis!Z399</f>
        <v>3</v>
      </c>
      <c r="G399" s="17">
        <f t="shared" si="157"/>
        <v>1</v>
      </c>
      <c r="H399">
        <f t="shared" si="158"/>
        <v>90</v>
      </c>
      <c r="I399" s="8">
        <f>Player_Analysis!AF399</f>
        <v>0</v>
      </c>
      <c r="J399" s="8">
        <f>Player_Analysis!AG399</f>
        <v>0</v>
      </c>
      <c r="K399">
        <f>Player_Analysis!O399</f>
        <v>0.17</v>
      </c>
      <c r="L399">
        <f>Player_Analysis!P399</f>
        <v>0.02</v>
      </c>
      <c r="M399">
        <f t="shared" si="159"/>
        <v>5.6666666666666678E-2</v>
      </c>
      <c r="N399">
        <f t="shared" si="160"/>
        <v>6.6666666666666662E-3</v>
      </c>
      <c r="O399" s="2">
        <f>IF(E399=0,"",Player_Analysis!L399/E399*90)</f>
        <v>5.3333333333333339</v>
      </c>
      <c r="P399">
        <f>IF(E399=0,"",Player_Analysis!Q399/E399*90)</f>
        <v>6.3333333333333325E-2</v>
      </c>
      <c r="Q399">
        <f>IF(E399=0,"",(Player_Analysis!AD399/E399)*90)</f>
        <v>16.333333333333336</v>
      </c>
      <c r="R399">
        <f>IF(E399=0,"",Player_Analysis!AA399/E399*90)</f>
        <v>10</v>
      </c>
      <c r="S399" t="str">
        <f t="array" ref="S399">IFERROR(INDEX('2023_24'!$O:$O,MATCH($A399,'2023_24'!$A:$A,0)),"")</f>
        <v/>
      </c>
      <c r="T399">
        <f>IFERROR(INDEX('2024_25'!$P:$P,MATCH($A399,'2024_25'!$A:$A,0)),"")</f>
        <v>4.5432692307692306E-2</v>
      </c>
      <c r="U399">
        <f>IFERROR(INDEX('2025_26'!$P:$P,MATCH($A399,'2025_26'!$A:$A,0)),"")</f>
        <v>8.7004754358161657E-2</v>
      </c>
      <c r="V399" t="str">
        <f>IFERROR(INDEX('2023_24'!$P:$P,MATCH($A399,'2023_24'!$A:$A,0)),"")</f>
        <v/>
      </c>
      <c r="W399">
        <f>IFERROR(INDEX('2024_25'!$Q:$Q,MATCH($A399,'2024_25'!$A:$A,0)),"")</f>
        <v>2.4725274725274724E-2</v>
      </c>
      <c r="X399">
        <f>IFERROR(INDEX('2025_26'!$Q:$Q,MATCH($A399,'2025_26'!$A:$A,0)),"")</f>
        <v>5.5150554675118861E-2</v>
      </c>
      <c r="Y399" t="str">
        <f>IFERROR(INDEX('2023_24'!$M:$M,MATCH($A399,'2023_24'!$A:$A,0))/INDEX('2023_24'!$G:$G,MATCH($A399,'2023_24'!$A:$A,0))*90,"")</f>
        <v/>
      </c>
      <c r="Z399">
        <f>IFERROR(INDEX('2024_25'!$M:$M,MATCH($A399,'2024_25'!$A:$A,0))/INDEX('2024_25'!$G:$G,MATCH($A399,'2024_25'!$A:$A,0))*90,"")</f>
        <v>2.1634615384615388</v>
      </c>
      <c r="AA399">
        <f>IFERROR(INDEX('2025_26'!$M:$M,MATCH($A399,'2025_26'!$A:$A,0))/INDEX('2025_26'!$G:$G,MATCH($A399,'2025_26'!$A:$A,0))*90,"")</f>
        <v>4.4690966719492868</v>
      </c>
      <c r="AB399">
        <f>IFERROR(SUMPRODUCT(S399:U399,{0.2,0.3,0.5})/SUMPRODUCT(--(S399:U399&lt;&gt;""),{0.2,0.3,0.5}),"")</f>
        <v>7.1415231089235642E-2</v>
      </c>
      <c r="AC399">
        <f>IFERROR(SUMPRODUCT(V399:X399,{0.2,0.3,0.5})/SUMPRODUCT(--(V399:X399&lt;&gt;""),{0.2,0.3,0.5}),"")</f>
        <v>4.3741074693927302E-2</v>
      </c>
      <c r="AD399">
        <f>IFERROR(SUMPRODUCT(Y399:AA399,{0.2,0.3,0.5})/SUMPRODUCT((Y399:AA399&lt;&gt;"")*{0.2,0.3,0.5}),O399)</f>
        <v>3.604483496891381</v>
      </c>
      <c r="AE399">
        <f t="shared" si="161"/>
        <v>2</v>
      </c>
      <c r="AF399">
        <f t="shared" si="162"/>
        <v>90</v>
      </c>
      <c r="AG399">
        <f t="shared" si="163"/>
        <v>5.8141523108923572E-2</v>
      </c>
      <c r="AH399">
        <f t="shared" si="164"/>
        <v>1.037410746939273E-2</v>
      </c>
      <c r="AI399" s="2">
        <f t="shared" si="165"/>
        <v>5.1604483496891387</v>
      </c>
      <c r="AJ399">
        <f t="shared" si="166"/>
        <v>0.9</v>
      </c>
      <c r="AK399" t="str">
        <f t="shared" si="167"/>
        <v>NO</v>
      </c>
      <c r="AL399">
        <f t="shared" si="168"/>
        <v>5.8141523108923572E-2</v>
      </c>
      <c r="AM399">
        <f t="shared" si="169"/>
        <v>1.037410746939273E-2</v>
      </c>
      <c r="AN399">
        <f t="shared" si="170"/>
        <v>5.8141523108923572E-2</v>
      </c>
      <c r="AO399">
        <f t="shared" si="171"/>
        <v>1.037410746939273E-2</v>
      </c>
      <c r="AP399">
        <f t="array" ref="AP399">AL399*IF($C399="GKP",10,IF($C399="DEF",6,IF($C399="MID",5,4)))</f>
        <v>0.34884913865354145</v>
      </c>
      <c r="AQ399">
        <f t="shared" si="172"/>
        <v>3.112232240817819E-2</v>
      </c>
      <c r="AR399">
        <f t="shared" si="173"/>
        <v>2</v>
      </c>
      <c r="AS399" s="2">
        <f>IF($H399=0,0,Player_Analysis!$AM399*$H399/90)</f>
        <v>1.3333333333333333</v>
      </c>
      <c r="AT399">
        <f t="shared" si="174"/>
        <v>2</v>
      </c>
      <c r="AU399" s="2">
        <f>0</f>
        <v>0</v>
      </c>
      <c r="AV399" s="2">
        <f>IF(INDEX(FPL_Raw_Data!K:K,MATCH(A399,FPL_Raw_Data!AA:AA,0))=0,"",INDEX(FPL_Raw_Data!P:P,MATCH(A399,FPL_Raw_Data!AA:AA,0))/INDEX(FPL_Raw_Data!K:K,MATCH(A399,FPL_Raw_Data!AA:AA,0))*90)</f>
        <v>0</v>
      </c>
      <c r="AW399" s="2">
        <f t="shared" si="175"/>
        <v>0</v>
      </c>
      <c r="AX399" s="2">
        <f>IFERROR(INDEX(TEAM_ANALYSIS!$H$2:$H$21,MATCH($B399,TEAM_ANALYSIS!$A$2:$A$21,0)),0)</f>
        <v>0.66666666666666663</v>
      </c>
      <c r="AY399" s="2">
        <f t="shared" si="176"/>
        <v>-0.33333333333333331</v>
      </c>
      <c r="AZ399" s="2">
        <f t="shared" si="177"/>
        <v>5.3799714610617198</v>
      </c>
      <c r="BA399">
        <f t="shared" si="178"/>
        <v>1.1955492135692711</v>
      </c>
      <c r="BB399">
        <f>IFERROR(Player_Analysis!$Y399,1)</f>
        <v>1.1380357723577235</v>
      </c>
      <c r="BC399">
        <f t="shared" si="179"/>
        <v>6.122599976951884</v>
      </c>
      <c r="BD399">
        <f t="shared" si="180"/>
        <v>7.319869587444062</v>
      </c>
      <c r="BE399">
        <f t="shared" si="181"/>
        <v>6.122599976951884</v>
      </c>
      <c r="BF399">
        <f t="shared" si="182"/>
        <v>41</v>
      </c>
      <c r="BG399">
        <f>IF($BE399="","",COUNTIFS($C$2:$C$596,$C399,$BE$2:$BE$596,"&gt;"&amp;$BE399)+COUNTIFS($C$2:$C399,$C399,$BE$2:$BE399,$BE399))</f>
        <v>20</v>
      </c>
    </row>
    <row r="400" spans="1:59" x14ac:dyDescent="0.25">
      <c r="A400" t="str">
        <f>Player_Analysis!A400</f>
        <v>Sebastiaan Bornauw</v>
      </c>
      <c r="B400">
        <f>Player_Analysis!C400</f>
        <v>13</v>
      </c>
      <c r="C400" t="str">
        <f>Player_Analysis!B400</f>
        <v>DEF</v>
      </c>
      <c r="D400" s="13">
        <f>Player_Analysis!E400</f>
        <v>4.5</v>
      </c>
      <c r="E400">
        <f>Player_Analysis!I400</f>
        <v>0</v>
      </c>
      <c r="F400" s="8">
        <f>Player_Analysis!Z400</f>
        <v>0</v>
      </c>
      <c r="G400" s="17">
        <f t="shared" si="157"/>
        <v>0</v>
      </c>
      <c r="H400">
        <f t="shared" si="158"/>
        <v>0</v>
      </c>
      <c r="I400" s="8">
        <f>Player_Analysis!AF400</f>
        <v>0</v>
      </c>
      <c r="J400" s="8">
        <f>Player_Analysis!AG400</f>
        <v>0</v>
      </c>
      <c r="K400">
        <f>Player_Analysis!O400</f>
        <v>0</v>
      </c>
      <c r="L400">
        <f>Player_Analysis!P400</f>
        <v>0</v>
      </c>
      <c r="M400" t="str">
        <f t="shared" si="159"/>
        <v/>
      </c>
      <c r="N400" t="str">
        <f t="shared" si="160"/>
        <v/>
      </c>
      <c r="O400" s="2" t="str">
        <f>IF(E400=0,"",Player_Analysis!L400/E400*90)</f>
        <v/>
      </c>
      <c r="P400" t="str">
        <f>IF(E400=0,"",Player_Analysis!Q400/E400*90)</f>
        <v/>
      </c>
      <c r="Q400" t="str">
        <f>IF(E400=0,"",(Player_Analysis!AD400/E400)*90)</f>
        <v/>
      </c>
      <c r="R400" t="str">
        <f>IF(E400=0,"",Player_Analysis!AA400/E400*90)</f>
        <v/>
      </c>
      <c r="S400" t="str">
        <f t="array" ref="S400">IFERROR(INDEX('2023_24'!$O:$O,MATCH($A400,'2023_24'!$A:$A,0)),"")</f>
        <v/>
      </c>
      <c r="T400" t="str">
        <f>IFERROR(INDEX('2024_25'!$P:$P,MATCH($A400,'2024_25'!$A:$A,0)),"")</f>
        <v/>
      </c>
      <c r="U400">
        <f>IFERROR(INDEX('2025_26'!$P:$P,MATCH($A400,'2025_26'!$A:$A,0)),"")</f>
        <v>4.195804195804196E-2</v>
      </c>
      <c r="V400" t="str">
        <f>IFERROR(INDEX('2023_24'!$P:$P,MATCH($A400,'2023_24'!$A:$A,0)),"")</f>
        <v/>
      </c>
      <c r="W400" t="str">
        <f>IFERROR(INDEX('2024_25'!$Q:$Q,MATCH($A400,'2024_25'!$A:$A,0)),"")</f>
        <v/>
      </c>
      <c r="X400">
        <f>IFERROR(INDEX('2025_26'!$Q:$Q,MATCH($A400,'2025_26'!$A:$A,0)),"")</f>
        <v>2.0979020979020979E-3</v>
      </c>
      <c r="Y400" t="str">
        <f>IFERROR(INDEX('2023_24'!$M:$M,MATCH($A400,'2023_24'!$A:$A,0))/INDEX('2023_24'!$G:$G,MATCH($A400,'2023_24'!$A:$A,0))*90,"")</f>
        <v/>
      </c>
      <c r="Z400" t="str">
        <f>IFERROR(INDEX('2024_25'!$M:$M,MATCH($A400,'2024_25'!$A:$A,0))/INDEX('2024_25'!$G:$G,MATCH($A400,'2024_25'!$A:$A,0))*90,"")</f>
        <v/>
      </c>
      <c r="AA400">
        <f>IFERROR(INDEX('2025_26'!$M:$M,MATCH($A400,'2025_26'!$A:$A,0))/INDEX('2025_26'!$G:$G,MATCH($A400,'2025_26'!$A:$A,0))*90,"")</f>
        <v>5.2447552447552441</v>
      </c>
      <c r="AB400">
        <f>IFERROR(SUMPRODUCT(S400:U400,{0.2,0.3,0.5})/SUMPRODUCT(--(S400:U400&lt;&gt;""),{0.2,0.3,0.5}),"")</f>
        <v>4.195804195804196E-2</v>
      </c>
      <c r="AC400">
        <f>IFERROR(SUMPRODUCT(V400:X400,{0.2,0.3,0.5})/SUMPRODUCT(--(V400:X400&lt;&gt;""),{0.2,0.3,0.5}),"")</f>
        <v>2.0979020979020979E-3</v>
      </c>
      <c r="AD400">
        <f>IFERROR(SUMPRODUCT(Y400:AA400,{0.2,0.3,0.5})/SUMPRODUCT((Y400:AA400&lt;&gt;"")*{0.2,0.3,0.5}),O400)</f>
        <v>5.2447552447552441</v>
      </c>
      <c r="AE400">
        <f t="shared" si="161"/>
        <v>1</v>
      </c>
      <c r="AF400" t="str">
        <f t="shared" si="162"/>
        <v/>
      </c>
      <c r="AG400">
        <f t="shared" si="163"/>
        <v>4.195804195804196E-2</v>
      </c>
      <c r="AH400">
        <f t="shared" si="164"/>
        <v>2.0979020979020979E-3</v>
      </c>
      <c r="AI400" s="2">
        <f t="shared" si="165"/>
        <v>5.2447552447552441</v>
      </c>
      <c r="AJ400">
        <f t="shared" si="166"/>
        <v>0</v>
      </c>
      <c r="AK400" t="str">
        <f t="shared" si="167"/>
        <v>NO</v>
      </c>
      <c r="AL400">
        <f t="shared" si="168"/>
        <v>0</v>
      </c>
      <c r="AM400">
        <f t="shared" si="169"/>
        <v>0</v>
      </c>
      <c r="AN400">
        <f t="shared" si="170"/>
        <v>0</v>
      </c>
      <c r="AO400">
        <f t="shared" si="171"/>
        <v>0</v>
      </c>
      <c r="AP400">
        <f t="array" ref="AP400">AL400*IF($C400="GKP",10,IF($C400="DEF",6,IF($C400="MID",5,4)))</f>
        <v>0</v>
      </c>
      <c r="AQ400">
        <f t="shared" si="172"/>
        <v>0</v>
      </c>
      <c r="AR400">
        <f t="shared" si="173"/>
        <v>0</v>
      </c>
      <c r="AS400" s="2">
        <f>IF($H400=0,0,Player_Analysis!$AM400*$H400/90)</f>
        <v>0</v>
      </c>
      <c r="AT400">
        <f t="shared" si="174"/>
        <v>0</v>
      </c>
      <c r="AU400" s="2">
        <f>0</f>
        <v>0</v>
      </c>
      <c r="AV400" s="2" t="str">
        <f>IF(INDEX(FPL_Raw_Data!K:K,MATCH(A400,FPL_Raw_Data!AA:AA,0))=0,"",INDEX(FPL_Raw_Data!P:P,MATCH(A400,FPL_Raw_Data!AA:AA,0))/INDEX(FPL_Raw_Data!K:K,MATCH(A400,FPL_Raw_Data!AA:AA,0))*90)</f>
        <v/>
      </c>
      <c r="AW400" s="2">
        <f t="shared" si="175"/>
        <v>0</v>
      </c>
      <c r="AX400" s="2">
        <f>IFERROR(INDEX(TEAM_ANALYSIS!$H$2:$H$21,MATCH($B400,TEAM_ANALYSIS!$A$2:$A$21,0)),0)</f>
        <v>0.66666666666666663</v>
      </c>
      <c r="AY400" s="2">
        <f t="shared" si="176"/>
        <v>-0.33333333333333331</v>
      </c>
      <c r="AZ400" s="2">
        <f t="shared" si="177"/>
        <v>-0.33333333333333331</v>
      </c>
      <c r="BA400">
        <f t="shared" si="178"/>
        <v>-7.407407407407407E-2</v>
      </c>
      <c r="BB400">
        <f>IFERROR(Player_Analysis!$Y400,1)</f>
        <v>1.1380357723577235</v>
      </c>
      <c r="BC400">
        <f t="shared" si="179"/>
        <v>-0.37934525745257447</v>
      </c>
      <c r="BD400">
        <f t="shared" si="180"/>
        <v>2.8099648700190698E-2</v>
      </c>
      <c r="BE400">
        <f t="shared" si="181"/>
        <v>-0.37934525745257447</v>
      </c>
      <c r="BF400">
        <f t="shared" si="182"/>
        <v>522</v>
      </c>
      <c r="BG400">
        <f>IF($BE400="","",COUNTIFS($C$2:$C$596,$C400,$BE$2:$BE$596,"&gt;"&amp;$BE400)+COUNTIFS($C$2:$C400,$C400,$BE$2:$BE400,$BE400))</f>
        <v>119</v>
      </c>
    </row>
    <row r="401" spans="1:59" x14ac:dyDescent="0.25">
      <c r="A401" t="str">
        <f>Player_Analysis!A401</f>
        <v>Tarik Muharemović</v>
      </c>
      <c r="B401">
        <f>Player_Analysis!C401</f>
        <v>13</v>
      </c>
      <c r="C401" t="str">
        <f>Player_Analysis!B401</f>
        <v>DEF</v>
      </c>
      <c r="D401" s="13">
        <f>Player_Analysis!E401</f>
        <v>5</v>
      </c>
      <c r="E401">
        <f>Player_Analysis!I401</f>
        <v>270</v>
      </c>
      <c r="F401" s="8">
        <f>Player_Analysis!Z401</f>
        <v>3</v>
      </c>
      <c r="G401" s="17">
        <f t="shared" si="157"/>
        <v>1</v>
      </c>
      <c r="H401">
        <f t="shared" si="158"/>
        <v>90</v>
      </c>
      <c r="I401" s="8">
        <f>Player_Analysis!AF401</f>
        <v>0</v>
      </c>
      <c r="J401" s="8">
        <f>Player_Analysis!AG401</f>
        <v>0</v>
      </c>
      <c r="K401">
        <f>Player_Analysis!O401</f>
        <v>0.09</v>
      </c>
      <c r="L401">
        <f>Player_Analysis!P401</f>
        <v>0.02</v>
      </c>
      <c r="M401">
        <f t="shared" si="159"/>
        <v>0.03</v>
      </c>
      <c r="N401">
        <f t="shared" si="160"/>
        <v>6.6666666666666662E-3</v>
      </c>
      <c r="O401" s="2">
        <f>IF(E401=0,"",Player_Analysis!L401/E401*90)</f>
        <v>4.666666666666667</v>
      </c>
      <c r="P401">
        <f>IF(E401=0,"",Player_Analysis!Q401/E401*90)</f>
        <v>3.6666666666666667E-2</v>
      </c>
      <c r="Q401">
        <f>IF(E401=0,"",(Player_Analysis!AD401/E401)*90)</f>
        <v>17.333333333333332</v>
      </c>
      <c r="R401">
        <f>IF(E401=0,"",Player_Analysis!AA401/E401*90)</f>
        <v>12.999999999999998</v>
      </c>
      <c r="S401" t="str">
        <f t="array" ref="S401">IFERROR(INDEX('2023_24'!$O:$O,MATCH($A401,'2023_24'!$A:$A,0)),"")</f>
        <v/>
      </c>
      <c r="T401" t="str">
        <f>IFERROR(INDEX('2024_25'!$P:$P,MATCH($A401,'2024_25'!$A:$A,0)),"")</f>
        <v/>
      </c>
      <c r="U401" t="str">
        <f>IFERROR(INDEX('2025_26'!$P:$P,MATCH($A401,'2025_26'!$A:$A,0)),"")</f>
        <v/>
      </c>
      <c r="V401" t="str">
        <f>IFERROR(INDEX('2023_24'!$P:$P,MATCH($A401,'2023_24'!$A:$A,0)),"")</f>
        <v/>
      </c>
      <c r="W401" t="str">
        <f>IFERROR(INDEX('2024_25'!$Q:$Q,MATCH($A401,'2024_25'!$A:$A,0)),"")</f>
        <v/>
      </c>
      <c r="X401" t="str">
        <f>IFERROR(INDEX('2025_26'!$Q:$Q,MATCH($A401,'2025_26'!$A:$A,0)),"")</f>
        <v/>
      </c>
      <c r="Y401" t="str">
        <f>IFERROR(INDEX('2023_24'!$M:$M,MATCH($A401,'2023_24'!$A:$A,0))/INDEX('2023_24'!$G:$G,MATCH($A401,'2023_24'!$A:$A,0))*90,"")</f>
        <v/>
      </c>
      <c r="Z401" t="str">
        <f>IFERROR(INDEX('2024_25'!$M:$M,MATCH($A401,'2024_25'!$A:$A,0))/INDEX('2024_25'!$G:$G,MATCH($A401,'2024_25'!$A:$A,0))*90,"")</f>
        <v/>
      </c>
      <c r="AA401" t="str">
        <f>IFERROR(INDEX('2025_26'!$M:$M,MATCH($A401,'2025_26'!$A:$A,0))/INDEX('2025_26'!$G:$G,MATCH($A401,'2025_26'!$A:$A,0))*90,"")</f>
        <v/>
      </c>
      <c r="AB401" t="str">
        <f>IFERROR(SUMPRODUCT(S401:U401,{0.2,0.3,0.5})/SUMPRODUCT(--(S401:U401&lt;&gt;""),{0.2,0.3,0.5}),"")</f>
        <v/>
      </c>
      <c r="AC401" t="str">
        <f>IFERROR(SUMPRODUCT(V401:X401,{0.2,0.3,0.5})/SUMPRODUCT(--(V401:X401&lt;&gt;""),{0.2,0.3,0.5}),"")</f>
        <v/>
      </c>
      <c r="AD401">
        <f>IFERROR(SUMPRODUCT(Y401:AA401,{0.2,0.3,0.5})/SUMPRODUCT((Y401:AA401&lt;&gt;"")*{0.2,0.3,0.5}),O401)</f>
        <v>4.666666666666667</v>
      </c>
      <c r="AE401">
        <f t="shared" si="161"/>
        <v>0</v>
      </c>
      <c r="AF401">
        <f t="shared" si="162"/>
        <v>90</v>
      </c>
      <c r="AG401">
        <f t="shared" si="163"/>
        <v>0.03</v>
      </c>
      <c r="AH401">
        <f t="shared" si="164"/>
        <v>6.6666666666666662E-3</v>
      </c>
      <c r="AI401" s="2">
        <f t="shared" si="165"/>
        <v>4.666666666666667</v>
      </c>
      <c r="AJ401">
        <f t="shared" si="166"/>
        <v>0.9</v>
      </c>
      <c r="AK401" t="str">
        <f t="shared" si="167"/>
        <v>YES</v>
      </c>
      <c r="AL401">
        <f t="shared" si="168"/>
        <v>2.9999999999999995E-2</v>
      </c>
      <c r="AM401">
        <f t="shared" si="169"/>
        <v>6.6666666666666662E-3</v>
      </c>
      <c r="AN401">
        <f t="shared" si="170"/>
        <v>2.9999999999999995E-2</v>
      </c>
      <c r="AO401">
        <f t="shared" si="171"/>
        <v>6.6666666666666662E-3</v>
      </c>
      <c r="AP401">
        <f t="array" ref="AP401">AL401*IF($C401="GKP",10,IF($C401="DEF",6,IF($C401="MID",5,4)))</f>
        <v>0.17999999999999997</v>
      </c>
      <c r="AQ401">
        <f t="shared" si="172"/>
        <v>1.9999999999999997E-2</v>
      </c>
      <c r="AR401">
        <f t="shared" si="173"/>
        <v>2</v>
      </c>
      <c r="AS401" s="2">
        <f>IF($H401=0,0,Player_Analysis!$AM401*$H401/90)</f>
        <v>1.3333333333333333</v>
      </c>
      <c r="AT401">
        <f t="shared" si="174"/>
        <v>2.5999999999999996</v>
      </c>
      <c r="AU401" s="2">
        <f>0</f>
        <v>0</v>
      </c>
      <c r="AV401" s="2">
        <f>IF(INDEX(FPL_Raw_Data!K:K,MATCH(A401,FPL_Raw_Data!AA:AA,0))=0,"",INDEX(FPL_Raw_Data!P:P,MATCH(A401,FPL_Raw_Data!AA:AA,0))/INDEX(FPL_Raw_Data!K:K,MATCH(A401,FPL_Raw_Data!AA:AA,0))*90)</f>
        <v>0</v>
      </c>
      <c r="AW401" s="2">
        <f t="shared" si="175"/>
        <v>0</v>
      </c>
      <c r="AX401" s="2">
        <f>IFERROR(INDEX(TEAM_ANALYSIS!$H$2:$H$21,MATCH($B401,TEAM_ANALYSIS!$A$2:$A$21,0)),0)</f>
        <v>0.66666666666666663</v>
      </c>
      <c r="AY401" s="2">
        <f t="shared" si="176"/>
        <v>-0.33333333333333331</v>
      </c>
      <c r="AZ401" s="2">
        <f t="shared" si="177"/>
        <v>5.8</v>
      </c>
      <c r="BA401">
        <f t="shared" si="178"/>
        <v>1.1599999999999999</v>
      </c>
      <c r="BB401">
        <f>IFERROR(Player_Analysis!$Y401,1)</f>
        <v>1.1380357723577235</v>
      </c>
      <c r="BC401">
        <f t="shared" si="179"/>
        <v>6.600607479674796</v>
      </c>
      <c r="BD401">
        <f t="shared" si="180"/>
        <v>7.6567046764227626</v>
      </c>
      <c r="BE401">
        <f t="shared" si="181"/>
        <v>6.600607479674796</v>
      </c>
      <c r="BF401">
        <f t="shared" si="182"/>
        <v>28</v>
      </c>
      <c r="BG401">
        <f>IF($BE401="","",COUNTIFS($C$2:$C$596,$C401,$BE$2:$BE$596,"&gt;"&amp;$BE401)+COUNTIFS($C$2:$C401,$C401,$BE$2:$BE401,$BE401))</f>
        <v>13</v>
      </c>
    </row>
    <row r="402" spans="1:59" x14ac:dyDescent="0.25">
      <c r="A402" t="str">
        <f>Player_Analysis!A402</f>
        <v>Anton Stach</v>
      </c>
      <c r="B402">
        <f>Player_Analysis!C402</f>
        <v>13</v>
      </c>
      <c r="C402" t="str">
        <f>Player_Analysis!B402</f>
        <v>MID</v>
      </c>
      <c r="D402" s="13">
        <f>Player_Analysis!E402</f>
        <v>6</v>
      </c>
      <c r="E402">
        <f>Player_Analysis!I402</f>
        <v>270</v>
      </c>
      <c r="F402" s="8">
        <f>Player_Analysis!Z402</f>
        <v>3</v>
      </c>
      <c r="G402" s="17">
        <f t="shared" si="157"/>
        <v>1</v>
      </c>
      <c r="H402">
        <f t="shared" si="158"/>
        <v>90</v>
      </c>
      <c r="I402" s="8">
        <f>Player_Analysis!AF402</f>
        <v>1</v>
      </c>
      <c r="J402" s="8">
        <f>Player_Analysis!AG402</f>
        <v>0</v>
      </c>
      <c r="K402">
        <f>Player_Analysis!O402</f>
        <v>0.49</v>
      </c>
      <c r="L402">
        <f>Player_Analysis!P402</f>
        <v>0.16</v>
      </c>
      <c r="M402">
        <f t="shared" si="159"/>
        <v>0.16333333333333333</v>
      </c>
      <c r="N402">
        <f t="shared" si="160"/>
        <v>5.333333333333333E-2</v>
      </c>
      <c r="O402" s="2">
        <f>IF(E402=0,"",Player_Analysis!L402/E402*90)</f>
        <v>6.3333333333333339</v>
      </c>
      <c r="P402">
        <f>IF(E402=0,"",Player_Analysis!Q402/E402*90)</f>
        <v>0.21666666666666667</v>
      </c>
      <c r="Q402">
        <f>IF(E402=0,"",(Player_Analysis!AD402/E402)*90)</f>
        <v>19</v>
      </c>
      <c r="R402">
        <f>IF(E402=0,"",Player_Analysis!AA402/E402*90)</f>
        <v>12.666666666666668</v>
      </c>
      <c r="S402" t="str">
        <f t="array" ref="S402">IFERROR(INDEX('2023_24'!$O:$O,MATCH($A402,'2023_24'!$A:$A,0)),"")</f>
        <v/>
      </c>
      <c r="T402" t="str">
        <f>IFERROR(INDEX('2024_25'!$P:$P,MATCH($A402,'2024_25'!$A:$A,0)),"")</f>
        <v/>
      </c>
      <c r="U402">
        <f>IFERROR(INDEX('2025_26'!$P:$P,MATCH($A402,'2025_26'!$A:$A,0)),"")</f>
        <v>0.10941325453777966</v>
      </c>
      <c r="V402" t="str">
        <f>IFERROR(INDEX('2023_24'!$P:$P,MATCH($A402,'2023_24'!$A:$A,0)),"")</f>
        <v/>
      </c>
      <c r="W402" t="str">
        <f>IFERROR(INDEX('2024_25'!$Q:$Q,MATCH($A402,'2024_25'!$A:$A,0)),"")</f>
        <v/>
      </c>
      <c r="X402">
        <f>IFERROR(INDEX('2025_26'!$Q:$Q,MATCH($A402,'2025_26'!$A:$A,0)),"")</f>
        <v>0.16981848881384548</v>
      </c>
      <c r="Y402" t="str">
        <f>IFERROR(INDEX('2023_24'!$M:$M,MATCH($A402,'2023_24'!$A:$A,0))/INDEX('2023_24'!$G:$G,MATCH($A402,'2023_24'!$A:$A,0))*90,"")</f>
        <v/>
      </c>
      <c r="Z402" t="str">
        <f>IFERROR(INDEX('2024_25'!$M:$M,MATCH($A402,'2024_25'!$A:$A,0))/INDEX('2024_25'!$G:$G,MATCH($A402,'2024_25'!$A:$A,0))*90,"")</f>
        <v/>
      </c>
      <c r="AA402">
        <f>IFERROR(INDEX('2025_26'!$M:$M,MATCH($A402,'2025_26'!$A:$A,0))/INDEX('2025_26'!$G:$G,MATCH($A402,'2025_26'!$A:$A,0))*90,"")</f>
        <v>5.2047277332207678</v>
      </c>
      <c r="AB402">
        <f>IFERROR(SUMPRODUCT(S402:U402,{0.2,0.3,0.5})/SUMPRODUCT(--(S402:U402&lt;&gt;""),{0.2,0.3,0.5}),"")</f>
        <v>0.10941325453777966</v>
      </c>
      <c r="AC402">
        <f>IFERROR(SUMPRODUCT(V402:X402,{0.2,0.3,0.5})/SUMPRODUCT(--(V402:X402&lt;&gt;""),{0.2,0.3,0.5}),"")</f>
        <v>0.16981848881384548</v>
      </c>
      <c r="AD402">
        <f>IFERROR(SUMPRODUCT(Y402:AA402,{0.2,0.3,0.5})/SUMPRODUCT((Y402:AA402&lt;&gt;"")*{0.2,0.3,0.5}),O402)</f>
        <v>5.2047277332207678</v>
      </c>
      <c r="AE402">
        <f t="shared" si="161"/>
        <v>1</v>
      </c>
      <c r="AF402">
        <f t="shared" si="162"/>
        <v>90</v>
      </c>
      <c r="AG402">
        <f t="shared" si="163"/>
        <v>0.15794132545377795</v>
      </c>
      <c r="AH402">
        <f t="shared" si="164"/>
        <v>6.4981848881384544E-2</v>
      </c>
      <c r="AI402" s="2">
        <f t="shared" si="165"/>
        <v>6.2204727733220775</v>
      </c>
      <c r="AJ402">
        <f t="shared" si="166"/>
        <v>0.9</v>
      </c>
      <c r="AK402" t="str">
        <f t="shared" si="167"/>
        <v>NO</v>
      </c>
      <c r="AL402">
        <f t="shared" si="168"/>
        <v>0.15794132545377795</v>
      </c>
      <c r="AM402">
        <f t="shared" si="169"/>
        <v>6.4981848881384544E-2</v>
      </c>
      <c r="AN402">
        <f t="shared" si="170"/>
        <v>0.15794132545377795</v>
      </c>
      <c r="AO402">
        <f t="shared" si="171"/>
        <v>6.4981848881384544E-2</v>
      </c>
      <c r="AP402">
        <f t="array" ref="AP402">AL402*IF($C402="GKP",10,IF($C402="DEF",6,IF($C402="MID",5,4)))</f>
        <v>0.78970662726888974</v>
      </c>
      <c r="AQ402">
        <f t="shared" si="172"/>
        <v>0.19494554664415364</v>
      </c>
      <c r="AR402">
        <f t="shared" si="173"/>
        <v>2</v>
      </c>
      <c r="AS402" s="2">
        <f>IF($H402=0,0,Player_Analysis!$AM402*$H402/90)</f>
        <v>0.33333333333333331</v>
      </c>
      <c r="AT402">
        <f t="shared" si="174"/>
        <v>2.1111111111111112</v>
      </c>
      <c r="AU402" s="2">
        <f>0</f>
        <v>0</v>
      </c>
      <c r="AV402" s="2">
        <f>IF(INDEX(FPL_Raw_Data!K:K,MATCH(A402,FPL_Raw_Data!AA:AA,0))=0,"",INDEX(FPL_Raw_Data!P:P,MATCH(A402,FPL_Raw_Data!AA:AA,0))/INDEX(FPL_Raw_Data!K:K,MATCH(A402,FPL_Raw_Data!AA:AA,0))*90)</f>
        <v>0</v>
      </c>
      <c r="AW402" s="2">
        <f t="shared" si="175"/>
        <v>0</v>
      </c>
      <c r="AX402" s="2">
        <f>IFERROR(INDEX(TEAM_ANALYSIS!$H$2:$H$21,MATCH($B402,TEAM_ANALYSIS!$A$2:$A$21,0)),0)</f>
        <v>0.66666666666666663</v>
      </c>
      <c r="AY402" s="2">
        <f t="shared" si="176"/>
        <v>0</v>
      </c>
      <c r="AZ402" s="2">
        <f t="shared" si="177"/>
        <v>5.4290966183574882</v>
      </c>
      <c r="BA402">
        <f t="shared" si="178"/>
        <v>0.90484943639291471</v>
      </c>
      <c r="BB402">
        <f>IFERROR(Player_Analysis!$Y402,1)</f>
        <v>0.9426384083044983</v>
      </c>
      <c r="BC402">
        <f t="shared" si="179"/>
        <v>5.1176749948598372</v>
      </c>
      <c r="BD402">
        <f t="shared" si="180"/>
        <v>4.6307253347410366</v>
      </c>
      <c r="BE402">
        <f t="shared" si="181"/>
        <v>5.1176749948598372</v>
      </c>
      <c r="BF402">
        <f t="shared" si="182"/>
        <v>86</v>
      </c>
      <c r="BG402">
        <f>IF($BE402="","",COUNTIFS($C$2:$C$596,$C402,$BE$2:$BE$596,"&gt;"&amp;$BE402)+COUNTIFS($C$2:$C402,$C402,$BE$2:$BE402,$BE402))</f>
        <v>40</v>
      </c>
    </row>
    <row r="403" spans="1:59" x14ac:dyDescent="0.25">
      <c r="A403" t="str">
        <f>Player_Analysis!A403</f>
        <v>Noah Okafor</v>
      </c>
      <c r="B403">
        <f>Player_Analysis!C403</f>
        <v>13</v>
      </c>
      <c r="C403" t="str">
        <f>Player_Analysis!B403</f>
        <v>MID</v>
      </c>
      <c r="D403" s="13">
        <f>Player_Analysis!E403</f>
        <v>5.9</v>
      </c>
      <c r="E403">
        <f>Player_Analysis!I403</f>
        <v>153</v>
      </c>
      <c r="F403" s="8">
        <f>Player_Analysis!Z403</f>
        <v>2</v>
      </c>
      <c r="G403" s="17">
        <f t="shared" si="157"/>
        <v>1</v>
      </c>
      <c r="H403">
        <f t="shared" si="158"/>
        <v>90</v>
      </c>
      <c r="I403" s="8">
        <f>Player_Analysis!AF403</f>
        <v>0</v>
      </c>
      <c r="J403" s="8">
        <f>Player_Analysis!AG403</f>
        <v>0</v>
      </c>
      <c r="K403">
        <f>Player_Analysis!O403</f>
        <v>0.08</v>
      </c>
      <c r="L403">
        <f>Player_Analysis!P403</f>
        <v>0.18</v>
      </c>
      <c r="M403">
        <f t="shared" si="159"/>
        <v>4.7058823529411771E-2</v>
      </c>
      <c r="N403">
        <f t="shared" si="160"/>
        <v>0.10588235294117646</v>
      </c>
      <c r="O403" s="2">
        <f>IF(E403=0,"",Player_Analysis!L403/E403*90)</f>
        <v>3.5294117647058822</v>
      </c>
      <c r="P403">
        <f>IF(E403=0,"",Player_Analysis!Q403/E403*90)</f>
        <v>0.15294117647058825</v>
      </c>
      <c r="Q403">
        <f>IF(E403=0,"",(Player_Analysis!AD403/E403)*90)</f>
        <v>17.647058823529413</v>
      </c>
      <c r="R403">
        <f>IF(E403=0,"",Player_Analysis!AA403/E403*90)</f>
        <v>4.117647058823529</v>
      </c>
      <c r="S403" t="str">
        <f t="array" ref="S403">IFERROR(INDEX('2023_24'!$O:$O,MATCH($A403,'2023_24'!$A:$A,0)),"")</f>
        <v/>
      </c>
      <c r="T403" t="str">
        <f>IFERROR(INDEX('2024_25'!$P:$P,MATCH($A403,'2024_25'!$A:$A,0)),"")</f>
        <v/>
      </c>
      <c r="U403">
        <f>IFERROR(INDEX('2025_26'!$P:$P,MATCH($A403,'2025_26'!$A:$A,0)),"")</f>
        <v>0.30424983902124919</v>
      </c>
      <c r="V403" t="str">
        <f>IFERROR(INDEX('2023_24'!$P:$P,MATCH($A403,'2023_24'!$A:$A,0)),"")</f>
        <v/>
      </c>
      <c r="W403" t="str">
        <f>IFERROR(INDEX('2024_25'!$Q:$Q,MATCH($A403,'2024_25'!$A:$A,0)),"")</f>
        <v/>
      </c>
      <c r="X403">
        <f>IFERROR(INDEX('2025_26'!$Q:$Q,MATCH($A403,'2025_26'!$A:$A,0)),"")</f>
        <v>7.6497102382485513E-2</v>
      </c>
      <c r="Y403" t="str">
        <f>IFERROR(INDEX('2023_24'!$M:$M,MATCH($A403,'2023_24'!$A:$A,0))/INDEX('2023_24'!$G:$G,MATCH($A403,'2023_24'!$A:$A,0))*90,"")</f>
        <v/>
      </c>
      <c r="Z403" t="str">
        <f>IFERROR(INDEX('2024_25'!$M:$M,MATCH($A403,'2024_25'!$A:$A,0))/INDEX('2024_25'!$G:$G,MATCH($A403,'2024_25'!$A:$A,0))*90,"")</f>
        <v/>
      </c>
      <c r="AA403">
        <f>IFERROR(INDEX('2025_26'!$M:$M,MATCH($A403,'2025_26'!$A:$A,0))/INDEX('2025_26'!$G:$G,MATCH($A403,'2025_26'!$A:$A,0))*90,"")</f>
        <v>6.3168061815840302</v>
      </c>
      <c r="AB403">
        <f>IFERROR(SUMPRODUCT(S403:U403,{0.2,0.3,0.5})/SUMPRODUCT(--(S403:U403&lt;&gt;""),{0.2,0.3,0.5}),"")</f>
        <v>0.30424983902124919</v>
      </c>
      <c r="AC403">
        <f>IFERROR(SUMPRODUCT(V403:X403,{0.2,0.3,0.5})/SUMPRODUCT(--(V403:X403&lt;&gt;""),{0.2,0.3,0.5}),"")</f>
        <v>7.6497102382485513E-2</v>
      </c>
      <c r="AD403">
        <f>IFERROR(SUMPRODUCT(Y403:AA403,{0.2,0.3,0.5})/SUMPRODUCT((Y403:AA403&lt;&gt;"")*{0.2,0.3,0.5}),O403)</f>
        <v>6.3168061815840302</v>
      </c>
      <c r="AE403">
        <f t="shared" si="161"/>
        <v>1</v>
      </c>
      <c r="AF403">
        <f t="shared" si="162"/>
        <v>76.5</v>
      </c>
      <c r="AG403">
        <f t="shared" si="163"/>
        <v>0.17308242112041208</v>
      </c>
      <c r="AH403">
        <f t="shared" si="164"/>
        <v>9.1483580167417894E-2</v>
      </c>
      <c r="AI403" s="2">
        <f t="shared" si="165"/>
        <v>4.8952350289761748</v>
      </c>
      <c r="AJ403">
        <f t="shared" si="166"/>
        <v>0.51</v>
      </c>
      <c r="AK403" t="str">
        <f t="shared" si="167"/>
        <v>NO</v>
      </c>
      <c r="AL403">
        <f t="shared" si="168"/>
        <v>0.17308242112041208</v>
      </c>
      <c r="AM403">
        <f t="shared" si="169"/>
        <v>9.1483580167417894E-2</v>
      </c>
      <c r="AN403">
        <f t="shared" si="170"/>
        <v>0.17308242112041208</v>
      </c>
      <c r="AO403">
        <f t="shared" si="171"/>
        <v>9.1483580167417894E-2</v>
      </c>
      <c r="AP403">
        <f t="array" ref="AP403">AL403*IF($C403="GKP",10,IF($C403="DEF",6,IF($C403="MID",5,4)))</f>
        <v>0.86541210560206039</v>
      </c>
      <c r="AQ403">
        <f t="shared" si="172"/>
        <v>0.27445074050225371</v>
      </c>
      <c r="AR403">
        <f t="shared" si="173"/>
        <v>2</v>
      </c>
      <c r="AS403" s="2">
        <f>IF($H403=0,0,Player_Analysis!$AM403*$H403/90)</f>
        <v>0.5</v>
      </c>
      <c r="AT403">
        <f t="shared" si="174"/>
        <v>0.68627450980392146</v>
      </c>
      <c r="AU403" s="2">
        <f>0</f>
        <v>0</v>
      </c>
      <c r="AV403" s="2">
        <f>IF(INDEX(FPL_Raw_Data!K:K,MATCH(A403,FPL_Raw_Data!AA:AA,0))=0,"",INDEX(FPL_Raw_Data!P:P,MATCH(A403,FPL_Raw_Data!AA:AA,0))/INDEX(FPL_Raw_Data!K:K,MATCH(A403,FPL_Raw_Data!AA:AA,0))*90)</f>
        <v>0</v>
      </c>
      <c r="AW403" s="2">
        <f t="shared" si="175"/>
        <v>0</v>
      </c>
      <c r="AX403" s="2">
        <f>IFERROR(INDEX(TEAM_ANALYSIS!$H$2:$H$21,MATCH($B403,TEAM_ANALYSIS!$A$2:$A$21,0)),0)</f>
        <v>0.66666666666666663</v>
      </c>
      <c r="AY403" s="2">
        <f t="shared" si="176"/>
        <v>0</v>
      </c>
      <c r="AZ403" s="2">
        <f t="shared" si="177"/>
        <v>4.3261373559082354</v>
      </c>
      <c r="BA403">
        <f t="shared" si="178"/>
        <v>0.73324361964546358</v>
      </c>
      <c r="BB403">
        <f>IFERROR(Player_Analysis!$Y403,1)</f>
        <v>0.9426384083044983</v>
      </c>
      <c r="BC403">
        <f t="shared" si="179"/>
        <v>4.07798323127997</v>
      </c>
      <c r="BD403">
        <f t="shared" si="180"/>
        <v>2.9901551853572288</v>
      </c>
      <c r="BE403">
        <f t="shared" si="181"/>
        <v>4.07798323127997</v>
      </c>
      <c r="BF403">
        <f t="shared" si="182"/>
        <v>150</v>
      </c>
      <c r="BG403">
        <f>IF($BE403="","",COUNTIFS($C$2:$C$596,$C403,$BE$2:$BE$596,"&gt;"&amp;$BE403)+COUNTIFS($C$2:$C403,$C403,$BE$2:$BE403,$BE403))</f>
        <v>74</v>
      </c>
    </row>
    <row r="404" spans="1:59" x14ac:dyDescent="0.25">
      <c r="A404" t="str">
        <f>Player_Analysis!A404</f>
        <v>Brenden Aaronson</v>
      </c>
      <c r="B404">
        <f>Player_Analysis!C404</f>
        <v>13</v>
      </c>
      <c r="C404" t="str">
        <f>Player_Analysis!B404</f>
        <v>MID</v>
      </c>
      <c r="D404" s="13">
        <f>Player_Analysis!E404</f>
        <v>5.4</v>
      </c>
      <c r="E404">
        <f>Player_Analysis!I404</f>
        <v>154</v>
      </c>
      <c r="F404" s="8">
        <f>Player_Analysis!Z404</f>
        <v>2</v>
      </c>
      <c r="G404" s="17">
        <f t="shared" si="157"/>
        <v>1</v>
      </c>
      <c r="H404">
        <f t="shared" si="158"/>
        <v>90</v>
      </c>
      <c r="I404" s="8">
        <f>Player_Analysis!AF404</f>
        <v>0</v>
      </c>
      <c r="J404" s="8">
        <f>Player_Analysis!AG404</f>
        <v>0</v>
      </c>
      <c r="K404">
        <f>Player_Analysis!O404</f>
        <v>0.01</v>
      </c>
      <c r="L404">
        <f>Player_Analysis!P404</f>
        <v>0.02</v>
      </c>
      <c r="M404">
        <f t="shared" si="159"/>
        <v>5.8441558441558444E-3</v>
      </c>
      <c r="N404">
        <f t="shared" si="160"/>
        <v>1.1688311688311689E-2</v>
      </c>
      <c r="O404" s="2">
        <f>IF(E404=0,"",Player_Analysis!L404/E404*90)</f>
        <v>2.9220779220779218</v>
      </c>
      <c r="P404">
        <f>IF(E404=0,"",Player_Analysis!Q404/E404*90)</f>
        <v>1.7532467532467531E-2</v>
      </c>
      <c r="Q404">
        <f>IF(E404=0,"",(Player_Analysis!AD404/E404)*90)</f>
        <v>15.779220779220779</v>
      </c>
      <c r="R404">
        <f>IF(E404=0,"",Player_Analysis!AA404/E404*90)</f>
        <v>5.8441558441558437</v>
      </c>
      <c r="S404" t="str">
        <f t="array" ref="S404">IFERROR(INDEX('2023_24'!$O:$O,MATCH($A404,'2023_24'!$A:$A,0)),"")</f>
        <v/>
      </c>
      <c r="T404" t="str">
        <f>IFERROR(INDEX('2024_25'!$P:$P,MATCH($A404,'2024_25'!$A:$A,0)),"")</f>
        <v/>
      </c>
      <c r="U404">
        <f>IFERROR(INDEX('2025_26'!$P:$P,MATCH($A404,'2025_26'!$A:$A,0)),"")</f>
        <v>0.16647611269906085</v>
      </c>
      <c r="V404" t="str">
        <f>IFERROR(INDEX('2023_24'!$P:$P,MATCH($A404,'2023_24'!$A:$A,0)),"")</f>
        <v/>
      </c>
      <c r="W404" t="str">
        <f>IFERROR(INDEX('2024_25'!$Q:$Q,MATCH($A404,'2024_25'!$A:$A,0)),"")</f>
        <v/>
      </c>
      <c r="X404">
        <f>IFERROR(INDEX('2025_26'!$Q:$Q,MATCH($A404,'2025_26'!$A:$A,0)),"")</f>
        <v>0.13229889750918741</v>
      </c>
      <c r="Y404" t="str">
        <f>IFERROR(INDEX('2023_24'!$M:$M,MATCH($A404,'2023_24'!$A:$A,0))/INDEX('2023_24'!$G:$G,MATCH($A404,'2023_24'!$A:$A,0))*90,"")</f>
        <v/>
      </c>
      <c r="Z404" t="str">
        <f>IFERROR(INDEX('2024_25'!$M:$M,MATCH($A404,'2024_25'!$A:$A,0))/INDEX('2024_25'!$G:$G,MATCH($A404,'2024_25'!$A:$A,0))*90,"")</f>
        <v/>
      </c>
      <c r="AA404">
        <f>IFERROR(INDEX('2025_26'!$M:$M,MATCH($A404,'2025_26'!$A:$A,0))/INDEX('2025_26'!$G:$G,MATCH($A404,'2025_26'!$A:$A,0))*90,"")</f>
        <v>4.6304614128215595</v>
      </c>
      <c r="AB404">
        <f>IFERROR(SUMPRODUCT(S404:U404,{0.2,0.3,0.5})/SUMPRODUCT(--(S404:U404&lt;&gt;""),{0.2,0.3,0.5}),"")</f>
        <v>0.16647611269906085</v>
      </c>
      <c r="AC404">
        <f>IFERROR(SUMPRODUCT(V404:X404,{0.2,0.3,0.5})/SUMPRODUCT(--(V404:X404&lt;&gt;""),{0.2,0.3,0.5}),"")</f>
        <v>0.13229889750918741</v>
      </c>
      <c r="AD404">
        <f>IFERROR(SUMPRODUCT(Y404:AA404,{0.2,0.3,0.5})/SUMPRODUCT((Y404:AA404&lt;&gt;"")*{0.2,0.3,0.5}),O404)</f>
        <v>4.6304614128215595</v>
      </c>
      <c r="AE404">
        <f t="shared" si="161"/>
        <v>1</v>
      </c>
      <c r="AF404">
        <f t="shared" si="162"/>
        <v>77</v>
      </c>
      <c r="AG404">
        <f t="shared" si="163"/>
        <v>8.4018374846876284E-2</v>
      </c>
      <c r="AH404">
        <f t="shared" si="164"/>
        <v>7.038546345447122E-2</v>
      </c>
      <c r="AI404" s="2">
        <f t="shared" si="165"/>
        <v>3.7534912209064926</v>
      </c>
      <c r="AJ404">
        <f t="shared" si="166"/>
        <v>0.51333333333333331</v>
      </c>
      <c r="AK404" t="str">
        <f t="shared" si="167"/>
        <v>NO</v>
      </c>
      <c r="AL404">
        <f t="shared" si="168"/>
        <v>8.4018374846876284E-2</v>
      </c>
      <c r="AM404">
        <f t="shared" si="169"/>
        <v>7.038546345447122E-2</v>
      </c>
      <c r="AN404">
        <f t="shared" si="170"/>
        <v>8.4018374846876284E-2</v>
      </c>
      <c r="AO404">
        <f t="shared" si="171"/>
        <v>7.038546345447122E-2</v>
      </c>
      <c r="AP404">
        <f t="array" ref="AP404">AL404*IF($C404="GKP",10,IF($C404="DEF",6,IF($C404="MID",5,4)))</f>
        <v>0.42009187423438143</v>
      </c>
      <c r="AQ404">
        <f t="shared" si="172"/>
        <v>0.21115639036341366</v>
      </c>
      <c r="AR404">
        <f t="shared" si="173"/>
        <v>2</v>
      </c>
      <c r="AS404" s="2">
        <f>IF($H404=0,0,Player_Analysis!$AM404*$H404/90)</f>
        <v>0.5</v>
      </c>
      <c r="AT404">
        <f t="shared" si="174"/>
        <v>0.97402597402597391</v>
      </c>
      <c r="AU404" s="2">
        <f>0</f>
        <v>0</v>
      </c>
      <c r="AV404" s="2">
        <f>IF(INDEX(FPL_Raw_Data!K:K,MATCH(A404,FPL_Raw_Data!AA:AA,0))=0,"",INDEX(FPL_Raw_Data!P:P,MATCH(A404,FPL_Raw_Data!AA:AA,0))/INDEX(FPL_Raw_Data!K:K,MATCH(A404,FPL_Raw_Data!AA:AA,0))*90)</f>
        <v>0</v>
      </c>
      <c r="AW404" s="2">
        <f t="shared" si="175"/>
        <v>0</v>
      </c>
      <c r="AX404" s="2">
        <f>IFERROR(INDEX(TEAM_ANALYSIS!$H$2:$H$21,MATCH($B404,TEAM_ANALYSIS!$A$2:$A$21,0)),0)</f>
        <v>0.66666666666666663</v>
      </c>
      <c r="AY404" s="2">
        <f t="shared" si="176"/>
        <v>0</v>
      </c>
      <c r="AZ404" s="2">
        <f t="shared" si="177"/>
        <v>4.1052742386237693</v>
      </c>
      <c r="BA404">
        <f t="shared" si="178"/>
        <v>0.7602359701155128</v>
      </c>
      <c r="BB404">
        <f>IFERROR(Player_Analysis!$Y404,1)</f>
        <v>0.9426384083044983</v>
      </c>
      <c r="BC404">
        <f t="shared" si="179"/>
        <v>3.869789173949771</v>
      </c>
      <c r="BD404">
        <f t="shared" si="180"/>
        <v>2.9419529268002131</v>
      </c>
      <c r="BE404">
        <f t="shared" si="181"/>
        <v>3.869789173949771</v>
      </c>
      <c r="BF404">
        <f t="shared" si="182"/>
        <v>162</v>
      </c>
      <c r="BG404">
        <f>IF($BE404="","",COUNTIFS($C$2:$C$596,$C404,$BE$2:$BE$596,"&gt;"&amp;$BE404)+COUNTIFS($C$2:$C404,$C404,$BE$2:$BE404,$BE404))</f>
        <v>81</v>
      </c>
    </row>
    <row r="405" spans="1:59" x14ac:dyDescent="0.25">
      <c r="A405" t="str">
        <f>Player_Analysis!A405</f>
        <v>Ethan Ampadu</v>
      </c>
      <c r="B405">
        <f>Player_Analysis!C405</f>
        <v>13</v>
      </c>
      <c r="C405" t="str">
        <f>Player_Analysis!B405</f>
        <v>MID</v>
      </c>
      <c r="D405" s="13">
        <f>Player_Analysis!E405</f>
        <v>5.5</v>
      </c>
      <c r="E405">
        <f>Player_Analysis!I405</f>
        <v>270</v>
      </c>
      <c r="F405" s="8">
        <f>Player_Analysis!Z405</f>
        <v>3</v>
      </c>
      <c r="G405" s="17">
        <f t="shared" si="157"/>
        <v>1</v>
      </c>
      <c r="H405">
        <f t="shared" si="158"/>
        <v>90</v>
      </c>
      <c r="I405" s="8">
        <f>Player_Analysis!AF405</f>
        <v>0</v>
      </c>
      <c r="J405" s="8">
        <f>Player_Analysis!AG405</f>
        <v>0</v>
      </c>
      <c r="K405">
        <f>Player_Analysis!O405</f>
        <v>0.01</v>
      </c>
      <c r="L405">
        <f>Player_Analysis!P405</f>
        <v>0.14000000000000001</v>
      </c>
      <c r="M405">
        <f t="shared" si="159"/>
        <v>3.3333333333333331E-3</v>
      </c>
      <c r="N405">
        <f t="shared" si="160"/>
        <v>4.6666666666666669E-2</v>
      </c>
      <c r="O405" s="2">
        <f>IF(E405=0,"",Player_Analysis!L405/E405*90)</f>
        <v>3</v>
      </c>
      <c r="P405">
        <f>IF(E405=0,"",Player_Analysis!Q405/E405*90)</f>
        <v>0.05</v>
      </c>
      <c r="Q405">
        <f>IF(E405=0,"",(Player_Analysis!AD405/E405)*90)</f>
        <v>14.333333333333334</v>
      </c>
      <c r="R405">
        <f>IF(E405=0,"",Player_Analysis!AA405/E405*90)</f>
        <v>11.333333333333332</v>
      </c>
      <c r="S405">
        <f t="array" ref="S405">IFERROR(INDEX('2023_24'!$O:$O,MATCH($A405,'2023_24'!$A:$A,0)),"")</f>
        <v>0</v>
      </c>
      <c r="T405" t="str">
        <f>IFERROR(INDEX('2024_25'!$P:$P,MATCH($A405,'2024_25'!$A:$A,0)),"")</f>
        <v/>
      </c>
      <c r="U405">
        <f>IFERROR(INDEX('2025_26'!$P:$P,MATCH($A405,'2025_26'!$A:$A,0)),"")</f>
        <v>7.1272843860211613E-2</v>
      </c>
      <c r="V405">
        <f>IFERROR(INDEX('2023_24'!$P:$P,MATCH($A405,'2023_24'!$A:$A,0)),"")</f>
        <v>0</v>
      </c>
      <c r="W405" t="str">
        <f>IFERROR(INDEX('2024_25'!$Q:$Q,MATCH($A405,'2024_25'!$A:$A,0)),"")</f>
        <v/>
      </c>
      <c r="X405">
        <f>IFERROR(INDEX('2025_26'!$Q:$Q,MATCH($A405,'2025_26'!$A:$A,0)),"")</f>
        <v>6.3481885219621684E-2</v>
      </c>
      <c r="Y405" t="str">
        <f>IFERROR(INDEX('2023_24'!$M:$M,MATCH($A405,'2023_24'!$A:$A,0))/INDEX('2023_24'!$G:$G,MATCH($A405,'2023_24'!$A:$A,0))*90,"")</f>
        <v/>
      </c>
      <c r="Z405" t="str">
        <f>IFERROR(INDEX('2024_25'!$M:$M,MATCH($A405,'2024_25'!$A:$A,0))/INDEX('2024_25'!$G:$G,MATCH($A405,'2024_25'!$A:$A,0))*90,"")</f>
        <v/>
      </c>
      <c r="AA405">
        <f>IFERROR(INDEX('2025_26'!$M:$M,MATCH($A405,'2025_26'!$A:$A,0))/INDEX('2025_26'!$G:$G,MATCH($A405,'2025_26'!$A:$A,0))*90,"")</f>
        <v>3.8666239179224111</v>
      </c>
      <c r="AB405">
        <f>IFERROR(SUMPRODUCT(S405:U405,{0.2,0.3,0.5})/SUMPRODUCT(--(S405:U405&lt;&gt;""),{0.2,0.3,0.5}),"")</f>
        <v>5.0909174185865443E-2</v>
      </c>
      <c r="AC405">
        <f>IFERROR(SUMPRODUCT(V405:X405,{0.2,0.3,0.5})/SUMPRODUCT(--(V405:X405&lt;&gt;""),{0.2,0.3,0.5}),"")</f>
        <v>4.5344203728301204E-2</v>
      </c>
      <c r="AD405">
        <f>IFERROR(SUMPRODUCT(Y405:AA405,{0.2,0.3,0.5})/SUMPRODUCT((Y405:AA405&lt;&gt;"")*{0.2,0.3,0.5}),O405)</f>
        <v>3.8666239179224111</v>
      </c>
      <c r="AE405">
        <f t="shared" si="161"/>
        <v>2</v>
      </c>
      <c r="AF405">
        <f t="shared" si="162"/>
        <v>90</v>
      </c>
      <c r="AG405">
        <f t="shared" si="163"/>
        <v>8.0909174185865435E-3</v>
      </c>
      <c r="AH405">
        <f t="shared" si="164"/>
        <v>4.6534420372830121E-2</v>
      </c>
      <c r="AI405" s="2">
        <f t="shared" si="165"/>
        <v>3.0866623917922413</v>
      </c>
      <c r="AJ405">
        <f t="shared" si="166"/>
        <v>0.9</v>
      </c>
      <c r="AK405" t="str">
        <f t="shared" si="167"/>
        <v>NO</v>
      </c>
      <c r="AL405">
        <f t="shared" si="168"/>
        <v>8.0909174185865435E-3</v>
      </c>
      <c r="AM405">
        <f t="shared" si="169"/>
        <v>4.6534420372830114E-2</v>
      </c>
      <c r="AN405">
        <f t="shared" si="170"/>
        <v>8.0909174185865435E-3</v>
      </c>
      <c r="AO405">
        <f t="shared" si="171"/>
        <v>4.6534420372830114E-2</v>
      </c>
      <c r="AP405">
        <f t="array" ref="AP405">AL405*IF($C405="GKP",10,IF($C405="DEF",6,IF($C405="MID",5,4)))</f>
        <v>4.0454587092932717E-2</v>
      </c>
      <c r="AQ405">
        <f t="shared" si="172"/>
        <v>0.13960326111849033</v>
      </c>
      <c r="AR405">
        <f t="shared" si="173"/>
        <v>2</v>
      </c>
      <c r="AS405" s="2">
        <f>IF($H405=0,0,Player_Analysis!$AM405*$H405/90)</f>
        <v>0.33333333333333331</v>
      </c>
      <c r="AT405">
        <f t="shared" si="174"/>
        <v>1.8888888888888886</v>
      </c>
      <c r="AU405" s="2">
        <f>0</f>
        <v>0</v>
      </c>
      <c r="AV405" s="2">
        <f>IF(INDEX(FPL_Raw_Data!K:K,MATCH(A405,FPL_Raw_Data!AA:AA,0))=0,"",INDEX(FPL_Raw_Data!P:P,MATCH(A405,FPL_Raw_Data!AA:AA,0))/INDEX(FPL_Raw_Data!K:K,MATCH(A405,FPL_Raw_Data!AA:AA,0))*90)</f>
        <v>0</v>
      </c>
      <c r="AW405" s="2">
        <f t="shared" si="175"/>
        <v>0</v>
      </c>
      <c r="AX405" s="2">
        <f>IFERROR(INDEX(TEAM_ANALYSIS!$H$2:$H$21,MATCH($B405,TEAM_ANALYSIS!$A$2:$A$21,0)),0)</f>
        <v>0.66666666666666663</v>
      </c>
      <c r="AY405" s="2">
        <f t="shared" si="176"/>
        <v>0</v>
      </c>
      <c r="AZ405" s="2">
        <f t="shared" si="177"/>
        <v>4.4022800704336449</v>
      </c>
      <c r="BA405">
        <f t="shared" si="178"/>
        <v>0.80041455826066266</v>
      </c>
      <c r="BB405">
        <f>IFERROR(Player_Analysis!$Y405,1)</f>
        <v>0.9426384083044983</v>
      </c>
      <c r="BC405">
        <f t="shared" si="179"/>
        <v>4.1497582785041853</v>
      </c>
      <c r="BD405">
        <f t="shared" si="180"/>
        <v>3.3215269393774554</v>
      </c>
      <c r="BE405">
        <f t="shared" si="181"/>
        <v>4.1497582785041853</v>
      </c>
      <c r="BF405">
        <f t="shared" si="182"/>
        <v>148</v>
      </c>
      <c r="BG405">
        <f>IF($BE405="","",COUNTIFS($C$2:$C$596,$C405,$BE$2:$BE$596,"&gt;"&amp;$BE405)+COUNTIFS($C$2:$C405,$C405,$BE$2:$BE405,$BE405))</f>
        <v>73</v>
      </c>
    </row>
    <row r="406" spans="1:59" x14ac:dyDescent="0.25">
      <c r="A406" t="str">
        <f>Player_Analysis!A406</f>
        <v>Sean Longstaff</v>
      </c>
      <c r="B406">
        <f>Player_Analysis!C406</f>
        <v>13</v>
      </c>
      <c r="C406" t="str">
        <f>Player_Analysis!B406</f>
        <v>MID</v>
      </c>
      <c r="D406" s="13">
        <f>Player_Analysis!E406</f>
        <v>4.9000000000000004</v>
      </c>
      <c r="E406">
        <f>Player_Analysis!I406</f>
        <v>8</v>
      </c>
      <c r="F406" s="8">
        <f>Player_Analysis!Z406</f>
        <v>0</v>
      </c>
      <c r="G406" s="17">
        <f t="shared" si="157"/>
        <v>0</v>
      </c>
      <c r="H406">
        <f t="shared" si="158"/>
        <v>0</v>
      </c>
      <c r="I406" s="8">
        <f>Player_Analysis!AF406</f>
        <v>0</v>
      </c>
      <c r="J406" s="8">
        <f>Player_Analysis!AG406</f>
        <v>0</v>
      </c>
      <c r="K406">
        <f>Player_Analysis!O406</f>
        <v>0</v>
      </c>
      <c r="L406">
        <f>Player_Analysis!P406</f>
        <v>0</v>
      </c>
      <c r="M406">
        <f t="shared" si="159"/>
        <v>0</v>
      </c>
      <c r="N406">
        <f t="shared" si="160"/>
        <v>0</v>
      </c>
      <c r="O406" s="2">
        <f>IF(E406=0,"",Player_Analysis!L406/E406*90)</f>
        <v>11.25</v>
      </c>
      <c r="P406">
        <f>IF(E406=0,"",Player_Analysis!Q406/E406*90)</f>
        <v>0</v>
      </c>
      <c r="Q406">
        <f>IF(E406=0,"",(Player_Analysis!AD406/E406)*90)</f>
        <v>33.75</v>
      </c>
      <c r="R406">
        <f>IF(E406=0,"",Player_Analysis!AA406/E406*90)</f>
        <v>0</v>
      </c>
      <c r="S406">
        <f t="array" ref="S406">IFERROR(INDEX('2023_24'!$O:$O,MATCH($A406,'2023_24'!$A:$A,0)),"")</f>
        <v>0.22188183807439824</v>
      </c>
      <c r="T406">
        <f>IFERROR(INDEX('2024_25'!$P:$P,MATCH($A406,'2024_25'!$A:$A,0)),"")</f>
        <v>6.8965517241379309E-2</v>
      </c>
      <c r="U406">
        <f>IFERROR(INDEX('2025_26'!$P:$P,MATCH($A406,'2025_26'!$A:$A,0)),"")</f>
        <v>0.11036889332003988</v>
      </c>
      <c r="V406">
        <f>IFERROR(INDEX('2023_24'!$P:$P,MATCH($A406,'2023_24'!$A:$A,0)),"")</f>
        <v>9.1903719912472648E-2</v>
      </c>
      <c r="W406">
        <f>IFERROR(INDEX('2024_25'!$Q:$Q,MATCH($A406,'2024_25'!$A:$A,0)),"")</f>
        <v>2.528735632183908E-2</v>
      </c>
      <c r="X406">
        <f>IFERROR(INDEX('2025_26'!$Q:$Q,MATCH($A406,'2025_26'!$A:$A,0)),"")</f>
        <v>0.16779661016949154</v>
      </c>
      <c r="Y406">
        <f>IFERROR(INDEX('2023_24'!$M:$M,MATCH($A406,'2023_24'!$A:$A,0))/INDEX('2023_24'!$G:$G,MATCH($A406,'2023_24'!$A:$A,0))*90,"")</f>
        <v>3.6105032822757113</v>
      </c>
      <c r="Z406">
        <f>IFERROR(INDEX('2024_25'!$M:$M,MATCH($A406,'2024_25'!$A:$A,0))/INDEX('2024_25'!$G:$G,MATCH($A406,'2024_25'!$A:$A,0))*90,"")</f>
        <v>3.9080459770114944</v>
      </c>
      <c r="AA406">
        <f>IFERROR(INDEX('2025_26'!$M:$M,MATCH($A406,'2025_26'!$A:$A,0))/INDEX('2025_26'!$G:$G,MATCH($A406,'2025_26'!$A:$A,0))*90,"")</f>
        <v>5.0249252243270188</v>
      </c>
      <c r="AB406">
        <f>IFERROR(SUMPRODUCT(S406:U406,{0.2,0.3,0.5})/SUMPRODUCT(--(S406:U406&lt;&gt;""),{0.2,0.3,0.5}),"")</f>
        <v>0.12025046944731338</v>
      </c>
      <c r="AC406">
        <f>IFERROR(SUMPRODUCT(V406:X406,{0.2,0.3,0.5})/SUMPRODUCT(--(V406:X406&lt;&gt;""),{0.2,0.3,0.5}),"")</f>
        <v>0.10986525596379203</v>
      </c>
      <c r="AD406">
        <f>IFERROR(SUMPRODUCT(Y406:AA406,{0.2,0.3,0.5})/SUMPRODUCT((Y406:AA406&lt;&gt;"")*{0.2,0.3,0.5}),O406)</f>
        <v>4.4069770617220998</v>
      </c>
      <c r="AE406">
        <f t="shared" si="161"/>
        <v>3</v>
      </c>
      <c r="AF406" t="str">
        <f t="shared" si="162"/>
        <v/>
      </c>
      <c r="AG406">
        <f t="shared" si="163"/>
        <v>0.11704379026205169</v>
      </c>
      <c r="AH406">
        <f t="shared" si="164"/>
        <v>0.10693551580475757</v>
      </c>
      <c r="AI406" s="2">
        <f t="shared" si="165"/>
        <v>4.5894576734095107</v>
      </c>
      <c r="AJ406">
        <f t="shared" si="166"/>
        <v>2.6666666666666668E-2</v>
      </c>
      <c r="AK406" t="str">
        <f t="shared" si="167"/>
        <v>NO</v>
      </c>
      <c r="AL406">
        <f t="shared" si="168"/>
        <v>0</v>
      </c>
      <c r="AM406">
        <f t="shared" si="169"/>
        <v>0</v>
      </c>
      <c r="AN406">
        <f t="shared" si="170"/>
        <v>0</v>
      </c>
      <c r="AO406">
        <f t="shared" si="171"/>
        <v>0</v>
      </c>
      <c r="AP406">
        <f t="array" ref="AP406">AL406*IF($C406="GKP",10,IF($C406="DEF",6,IF($C406="MID",5,4)))</f>
        <v>0</v>
      </c>
      <c r="AQ406">
        <f t="shared" si="172"/>
        <v>0</v>
      </c>
      <c r="AR406">
        <f t="shared" si="173"/>
        <v>0</v>
      </c>
      <c r="AS406" s="2">
        <f>IF($H406=0,0,Player_Analysis!$AM406*$H406/90)</f>
        <v>0</v>
      </c>
      <c r="AT406">
        <f t="shared" si="174"/>
        <v>0</v>
      </c>
      <c r="AU406" s="2">
        <f>0</f>
        <v>0</v>
      </c>
      <c r="AV406" s="2">
        <f>IF(INDEX(FPL_Raw_Data!K:K,MATCH(A406,FPL_Raw_Data!AA:AA,0))=0,"",INDEX(FPL_Raw_Data!P:P,MATCH(A406,FPL_Raw_Data!AA:AA,0))/INDEX(FPL_Raw_Data!K:K,MATCH(A406,FPL_Raw_Data!AA:AA,0))*90)</f>
        <v>0</v>
      </c>
      <c r="AW406" s="2">
        <f t="shared" si="175"/>
        <v>0</v>
      </c>
      <c r="AX406" s="2">
        <f>IFERROR(INDEX(TEAM_ANALYSIS!$H$2:$H$21,MATCH($B406,TEAM_ANALYSIS!$A$2:$A$21,0)),0)</f>
        <v>0.66666666666666663</v>
      </c>
      <c r="AY406" s="2">
        <f t="shared" si="176"/>
        <v>0</v>
      </c>
      <c r="AZ406" s="2">
        <f t="shared" si="177"/>
        <v>0</v>
      </c>
      <c r="BA406">
        <f t="shared" si="178"/>
        <v>0</v>
      </c>
      <c r="BB406">
        <f>IFERROR(Player_Analysis!$Y406,1)</f>
        <v>0.9426384083044983</v>
      </c>
      <c r="BC406">
        <f t="shared" si="179"/>
        <v>0</v>
      </c>
      <c r="BD406">
        <f t="shared" si="180"/>
        <v>0</v>
      </c>
      <c r="BE406">
        <f t="shared" si="181"/>
        <v>0</v>
      </c>
      <c r="BF406">
        <f t="shared" si="182"/>
        <v>253</v>
      </c>
      <c r="BG406">
        <f>IF($BE406="","",COUNTIFS($C$2:$C$596,$C406,$BE$2:$BE$596,"&gt;"&amp;$BE406)+COUNTIFS($C$2:$C406,$C406,$BE$2:$BE406,$BE406))</f>
        <v>217</v>
      </c>
    </row>
    <row r="407" spans="1:59" x14ac:dyDescent="0.25">
      <c r="A407" t="str">
        <f>Player_Analysis!A407</f>
        <v>Wilfried Gnonto</v>
      </c>
      <c r="B407">
        <f>Player_Analysis!C407</f>
        <v>13</v>
      </c>
      <c r="C407" t="str">
        <f>Player_Analysis!B407</f>
        <v>MID</v>
      </c>
      <c r="D407" s="13">
        <f>Player_Analysis!E407</f>
        <v>5</v>
      </c>
      <c r="E407">
        <f>Player_Analysis!I407</f>
        <v>0</v>
      </c>
      <c r="F407" s="8">
        <f>Player_Analysis!Z407</f>
        <v>0</v>
      </c>
      <c r="G407" s="17">
        <f t="shared" si="157"/>
        <v>0</v>
      </c>
      <c r="H407">
        <f t="shared" si="158"/>
        <v>0</v>
      </c>
      <c r="I407" s="8">
        <f>Player_Analysis!AF407</f>
        <v>0</v>
      </c>
      <c r="J407" s="8">
        <f>Player_Analysis!AG407</f>
        <v>0</v>
      </c>
      <c r="K407">
        <f>Player_Analysis!O407</f>
        <v>0</v>
      </c>
      <c r="L407">
        <f>Player_Analysis!P407</f>
        <v>0</v>
      </c>
      <c r="M407" t="str">
        <f t="shared" si="159"/>
        <v/>
      </c>
      <c r="N407" t="str">
        <f t="shared" si="160"/>
        <v/>
      </c>
      <c r="O407" s="2" t="str">
        <f>IF(E407=0,"",Player_Analysis!L407/E407*90)</f>
        <v/>
      </c>
      <c r="P407" t="str">
        <f>IF(E407=0,"",Player_Analysis!Q407/E407*90)</f>
        <v/>
      </c>
      <c r="Q407" t="str">
        <f>IF(E407=0,"",(Player_Analysis!AD407/E407)*90)</f>
        <v/>
      </c>
      <c r="R407" t="str">
        <f>IF(E407=0,"",Player_Analysis!AA407/E407*90)</f>
        <v/>
      </c>
      <c r="S407" t="str">
        <f t="array" ref="S407">IFERROR(INDEX('2023_24'!$O:$O,MATCH($A407,'2023_24'!$A:$A,0)),"")</f>
        <v/>
      </c>
      <c r="T407" t="str">
        <f>IFERROR(INDEX('2024_25'!$P:$P,MATCH($A407,'2024_25'!$A:$A,0)),"")</f>
        <v/>
      </c>
      <c r="U407">
        <f>IFERROR(INDEX('2025_26'!$P:$P,MATCH($A407,'2025_26'!$A:$A,0)),"")</f>
        <v>6.9097888675623803E-2</v>
      </c>
      <c r="V407" t="str">
        <f>IFERROR(INDEX('2023_24'!$P:$P,MATCH($A407,'2023_24'!$A:$A,0)),"")</f>
        <v/>
      </c>
      <c r="W407" t="str">
        <f>IFERROR(INDEX('2024_25'!$Q:$Q,MATCH($A407,'2024_25'!$A:$A,0)),"")</f>
        <v/>
      </c>
      <c r="X407">
        <f>IFERROR(INDEX('2025_26'!$Q:$Q,MATCH($A407,'2025_26'!$A:$A,0)),"")</f>
        <v>0.13301343570057581</v>
      </c>
      <c r="Y407" t="str">
        <f>IFERROR(INDEX('2023_24'!$M:$M,MATCH($A407,'2023_24'!$A:$A,0))/INDEX('2023_24'!$G:$G,MATCH($A407,'2023_24'!$A:$A,0))*90,"")</f>
        <v/>
      </c>
      <c r="Z407" t="str">
        <f>IFERROR(INDEX('2024_25'!$M:$M,MATCH($A407,'2024_25'!$A:$A,0))/INDEX('2024_25'!$G:$G,MATCH($A407,'2024_25'!$A:$A,0))*90,"")</f>
        <v/>
      </c>
      <c r="AA407">
        <f>IFERROR(INDEX('2025_26'!$M:$M,MATCH($A407,'2025_26'!$A:$A,0))/INDEX('2025_26'!$G:$G,MATCH($A407,'2025_26'!$A:$A,0))*90,"")</f>
        <v>5.5278310940499038</v>
      </c>
      <c r="AB407">
        <f>IFERROR(SUMPRODUCT(S407:U407,{0.2,0.3,0.5})/SUMPRODUCT(--(S407:U407&lt;&gt;""),{0.2,0.3,0.5}),"")</f>
        <v>6.9097888675623803E-2</v>
      </c>
      <c r="AC407">
        <f>IFERROR(SUMPRODUCT(V407:X407,{0.2,0.3,0.5})/SUMPRODUCT(--(V407:X407&lt;&gt;""),{0.2,0.3,0.5}),"")</f>
        <v>0.13301343570057581</v>
      </c>
      <c r="AD407">
        <f>IFERROR(SUMPRODUCT(Y407:AA407,{0.2,0.3,0.5})/SUMPRODUCT((Y407:AA407&lt;&gt;"")*{0.2,0.3,0.5}),O407)</f>
        <v>5.5278310940499038</v>
      </c>
      <c r="AE407">
        <f t="shared" si="161"/>
        <v>1</v>
      </c>
      <c r="AF407" t="str">
        <f t="shared" si="162"/>
        <v/>
      </c>
      <c r="AG407">
        <f t="shared" si="163"/>
        <v>6.9097888675623803E-2</v>
      </c>
      <c r="AH407">
        <f t="shared" si="164"/>
        <v>0.13301343570057581</v>
      </c>
      <c r="AI407" s="2">
        <f t="shared" si="165"/>
        <v>5.5278310940499038</v>
      </c>
      <c r="AJ407">
        <f t="shared" si="166"/>
        <v>0</v>
      </c>
      <c r="AK407" t="str">
        <f t="shared" si="167"/>
        <v>NO</v>
      </c>
      <c r="AL407">
        <f t="shared" si="168"/>
        <v>0</v>
      </c>
      <c r="AM407">
        <f t="shared" si="169"/>
        <v>0</v>
      </c>
      <c r="AN407">
        <f t="shared" si="170"/>
        <v>0</v>
      </c>
      <c r="AO407">
        <f t="shared" si="171"/>
        <v>0</v>
      </c>
      <c r="AP407">
        <f t="array" ref="AP407">AL407*IF($C407="GKP",10,IF($C407="DEF",6,IF($C407="MID",5,4)))</f>
        <v>0</v>
      </c>
      <c r="AQ407">
        <f t="shared" si="172"/>
        <v>0</v>
      </c>
      <c r="AR407">
        <f t="shared" si="173"/>
        <v>0</v>
      </c>
      <c r="AS407" s="2">
        <f>IF($H407=0,0,Player_Analysis!$AM407*$H407/90)</f>
        <v>0</v>
      </c>
      <c r="AT407">
        <f t="shared" si="174"/>
        <v>0</v>
      </c>
      <c r="AU407" s="2">
        <f>0</f>
        <v>0</v>
      </c>
      <c r="AV407" s="2" t="str">
        <f>IF(INDEX(FPL_Raw_Data!K:K,MATCH(A407,FPL_Raw_Data!AA:AA,0))=0,"",INDEX(FPL_Raw_Data!P:P,MATCH(A407,FPL_Raw_Data!AA:AA,0))/INDEX(FPL_Raw_Data!K:K,MATCH(A407,FPL_Raw_Data!AA:AA,0))*90)</f>
        <v/>
      </c>
      <c r="AW407" s="2">
        <f t="shared" si="175"/>
        <v>0</v>
      </c>
      <c r="AX407" s="2">
        <f>IFERROR(INDEX(TEAM_ANALYSIS!$H$2:$H$21,MATCH($B407,TEAM_ANALYSIS!$A$2:$A$21,0)),0)</f>
        <v>0.66666666666666663</v>
      </c>
      <c r="AY407" s="2">
        <f t="shared" si="176"/>
        <v>0</v>
      </c>
      <c r="AZ407" s="2">
        <f t="shared" si="177"/>
        <v>0</v>
      </c>
      <c r="BA407">
        <f t="shared" si="178"/>
        <v>0</v>
      </c>
      <c r="BB407">
        <f>IFERROR(Player_Analysis!$Y407,1)</f>
        <v>0.9426384083044983</v>
      </c>
      <c r="BC407">
        <f t="shared" si="179"/>
        <v>0</v>
      </c>
      <c r="BD407">
        <f t="shared" si="180"/>
        <v>0</v>
      </c>
      <c r="BE407">
        <f t="shared" si="181"/>
        <v>0</v>
      </c>
      <c r="BF407">
        <f t="shared" si="182"/>
        <v>253</v>
      </c>
      <c r="BG407">
        <f>IF($BE407="","",COUNTIFS($C$2:$C$596,$C407,$BE$2:$BE$596,"&gt;"&amp;$BE407)+COUNTIFS($C$2:$C407,$C407,$BE$2:$BE407,$BE407))</f>
        <v>218</v>
      </c>
    </row>
    <row r="408" spans="1:59" x14ac:dyDescent="0.25">
      <c r="A408" t="str">
        <f>Player_Analysis!A408</f>
        <v>Jack Harrison</v>
      </c>
      <c r="B408">
        <f>Player_Analysis!C408</f>
        <v>13</v>
      </c>
      <c r="C408" t="str">
        <f>Player_Analysis!B408</f>
        <v>MID</v>
      </c>
      <c r="D408" s="13">
        <f>Player_Analysis!E408</f>
        <v>5</v>
      </c>
      <c r="E408">
        <f>Player_Analysis!I408</f>
        <v>0</v>
      </c>
      <c r="F408" s="8">
        <f>Player_Analysis!Z408</f>
        <v>0</v>
      </c>
      <c r="G408" s="17">
        <f t="shared" si="157"/>
        <v>0</v>
      </c>
      <c r="H408">
        <f t="shared" si="158"/>
        <v>0</v>
      </c>
      <c r="I408" s="8">
        <f>Player_Analysis!AF408</f>
        <v>0</v>
      </c>
      <c r="J408" s="8">
        <f>Player_Analysis!AG408</f>
        <v>0</v>
      </c>
      <c r="K408">
        <f>Player_Analysis!O408</f>
        <v>0</v>
      </c>
      <c r="L408">
        <f>Player_Analysis!P408</f>
        <v>0</v>
      </c>
      <c r="M408" t="str">
        <f t="shared" si="159"/>
        <v/>
      </c>
      <c r="N408" t="str">
        <f t="shared" si="160"/>
        <v/>
      </c>
      <c r="O408" s="2" t="str">
        <f>IF(E408=0,"",Player_Analysis!L408/E408*90)</f>
        <v/>
      </c>
      <c r="P408" t="str">
        <f>IF(E408=0,"",Player_Analysis!Q408/E408*90)</f>
        <v/>
      </c>
      <c r="Q408" t="str">
        <f>IF(E408=0,"",(Player_Analysis!AD408/E408)*90)</f>
        <v/>
      </c>
      <c r="R408" t="str">
        <f>IF(E408=0,"",Player_Analysis!AA408/E408*90)</f>
        <v/>
      </c>
      <c r="S408">
        <f t="array" ref="S408">IFERROR(INDEX('2023_24'!$O:$O,MATCH($A408,'2023_24'!$A:$A,0)),"")</f>
        <v>0.14972875226039783</v>
      </c>
      <c r="T408">
        <f>IFERROR(INDEX('2024_25'!$P:$P,MATCH($A408,'2024_25'!$A:$A,0)),"")</f>
        <v>0.15406189555125724</v>
      </c>
      <c r="U408">
        <f>IFERROR(INDEX('2025_26'!$P:$P,MATCH($A408,'2025_26'!$A:$A,0)),"")</f>
        <v>9.6183206106870228E-2</v>
      </c>
      <c r="V408">
        <f>IFERROR(INDEX('2023_24'!$P:$P,MATCH($A408,'2023_24'!$A:$A,0)),"")</f>
        <v>0.122875226039783</v>
      </c>
      <c r="W408">
        <f>IFERROR(INDEX('2024_25'!$Q:$Q,MATCH($A408,'2024_25'!$A:$A,0)),"")</f>
        <v>0.13578336557059961</v>
      </c>
      <c r="X408">
        <f>IFERROR(INDEX('2025_26'!$Q:$Q,MATCH($A408,'2025_26'!$A:$A,0)),"")</f>
        <v>7.9007633587786272E-2</v>
      </c>
      <c r="Y408">
        <f>IFERROR(INDEX('2023_24'!$M:$M,MATCH($A408,'2023_24'!$A:$A,0))/INDEX('2023_24'!$G:$G,MATCH($A408,'2023_24'!$A:$A,0))*90,"")</f>
        <v>3.7432188065099457</v>
      </c>
      <c r="Z408">
        <f>IFERROR(INDEX('2024_25'!$M:$M,MATCH($A408,'2024_25'!$A:$A,0))/INDEX('2024_25'!$G:$G,MATCH($A408,'2024_25'!$A:$A,0))*90,"")</f>
        <v>3.5251450676982592</v>
      </c>
      <c r="AA408">
        <f>IFERROR(INDEX('2025_26'!$M:$M,MATCH($A408,'2025_26'!$A:$A,0))/INDEX('2025_26'!$G:$G,MATCH($A408,'2025_26'!$A:$A,0))*90,"")</f>
        <v>4.1221374045801529</v>
      </c>
      <c r="AB408">
        <f>IFERROR(SUMPRODUCT(S408:U408,{0.2,0.3,0.5})/SUMPRODUCT(--(S408:U408&lt;&gt;""),{0.2,0.3,0.5}),"")</f>
        <v>0.12425592217089186</v>
      </c>
      <c r="AC408">
        <f>IFERROR(SUMPRODUCT(V408:X408,{0.2,0.3,0.5})/SUMPRODUCT(--(V408:X408&lt;&gt;""),{0.2,0.3,0.5}),"")</f>
        <v>0.10481387167302963</v>
      </c>
      <c r="AD408">
        <f>IFERROR(SUMPRODUCT(Y408:AA408,{0.2,0.3,0.5})/SUMPRODUCT((Y408:AA408&lt;&gt;"")*{0.2,0.3,0.5}),O408)</f>
        <v>3.8672559839015435</v>
      </c>
      <c r="AE408">
        <f t="shared" si="161"/>
        <v>3</v>
      </c>
      <c r="AF408" t="str">
        <f t="shared" si="162"/>
        <v/>
      </c>
      <c r="AG408">
        <f t="shared" si="163"/>
        <v>0.12425592217089186</v>
      </c>
      <c r="AH408">
        <f t="shared" si="164"/>
        <v>0.10481387167302963</v>
      </c>
      <c r="AI408" s="2">
        <f t="shared" si="165"/>
        <v>3.8672559839015435</v>
      </c>
      <c r="AJ408">
        <f t="shared" si="166"/>
        <v>0</v>
      </c>
      <c r="AK408" t="str">
        <f t="shared" si="167"/>
        <v>NO</v>
      </c>
      <c r="AL408">
        <f t="shared" si="168"/>
        <v>0</v>
      </c>
      <c r="AM408">
        <f t="shared" si="169"/>
        <v>0</v>
      </c>
      <c r="AN408">
        <f t="shared" si="170"/>
        <v>0</v>
      </c>
      <c r="AO408">
        <f t="shared" si="171"/>
        <v>0</v>
      </c>
      <c r="AP408">
        <f t="array" ref="AP408">AL408*IF($C408="GKP",10,IF($C408="DEF",6,IF($C408="MID",5,4)))</f>
        <v>0</v>
      </c>
      <c r="AQ408">
        <f t="shared" si="172"/>
        <v>0</v>
      </c>
      <c r="AR408">
        <f t="shared" si="173"/>
        <v>0</v>
      </c>
      <c r="AS408" s="2">
        <f>IF($H408=0,0,Player_Analysis!$AM408*$H408/90)</f>
        <v>0</v>
      </c>
      <c r="AT408">
        <f t="shared" si="174"/>
        <v>0</v>
      </c>
      <c r="AU408" s="2">
        <f>0</f>
        <v>0</v>
      </c>
      <c r="AV408" s="2" t="str">
        <f>IF(INDEX(FPL_Raw_Data!K:K,MATCH(A408,FPL_Raw_Data!AA:AA,0))=0,"",INDEX(FPL_Raw_Data!P:P,MATCH(A408,FPL_Raw_Data!AA:AA,0))/INDEX(FPL_Raw_Data!K:K,MATCH(A408,FPL_Raw_Data!AA:AA,0))*90)</f>
        <v/>
      </c>
      <c r="AW408" s="2">
        <f t="shared" si="175"/>
        <v>0</v>
      </c>
      <c r="AX408" s="2">
        <f>IFERROR(INDEX(TEAM_ANALYSIS!$H$2:$H$21,MATCH($B408,TEAM_ANALYSIS!$A$2:$A$21,0)),0)</f>
        <v>0.66666666666666663</v>
      </c>
      <c r="AY408" s="2">
        <f t="shared" si="176"/>
        <v>0</v>
      </c>
      <c r="AZ408" s="2">
        <f t="shared" si="177"/>
        <v>0</v>
      </c>
      <c r="BA408">
        <f t="shared" si="178"/>
        <v>0</v>
      </c>
      <c r="BB408">
        <f>IFERROR(Player_Analysis!$Y408,1)</f>
        <v>0.9426384083044983</v>
      </c>
      <c r="BC408">
        <f t="shared" si="179"/>
        <v>0</v>
      </c>
      <c r="BD408">
        <f t="shared" si="180"/>
        <v>0</v>
      </c>
      <c r="BE408">
        <f t="shared" si="181"/>
        <v>0</v>
      </c>
      <c r="BF408">
        <f t="shared" si="182"/>
        <v>253</v>
      </c>
      <c r="BG408">
        <f>IF($BE408="","",COUNTIFS($C$2:$C$596,$C408,$BE$2:$BE$596,"&gt;"&amp;$BE408)+COUNTIFS($C$2:$C408,$C408,$BE$2:$BE408,$BE408))</f>
        <v>219</v>
      </c>
    </row>
    <row r="409" spans="1:59" x14ac:dyDescent="0.25">
      <c r="A409" t="str">
        <f>Player_Analysis!A409</f>
        <v>Daniel James</v>
      </c>
      <c r="B409">
        <f>Player_Analysis!C409</f>
        <v>13</v>
      </c>
      <c r="C409" t="str">
        <f>Player_Analysis!B409</f>
        <v>MID</v>
      </c>
      <c r="D409" s="13">
        <f>Player_Analysis!E409</f>
        <v>5</v>
      </c>
      <c r="E409">
        <f>Player_Analysis!I409</f>
        <v>22</v>
      </c>
      <c r="F409" s="8">
        <f>Player_Analysis!Z409</f>
        <v>0</v>
      </c>
      <c r="G409" s="17">
        <f t="shared" si="157"/>
        <v>0</v>
      </c>
      <c r="H409">
        <f t="shared" si="158"/>
        <v>0</v>
      </c>
      <c r="I409" s="8">
        <f>Player_Analysis!AF409</f>
        <v>0</v>
      </c>
      <c r="J409" s="8">
        <f>Player_Analysis!AG409</f>
        <v>0</v>
      </c>
      <c r="K409">
        <f>Player_Analysis!O409</f>
        <v>0.24</v>
      </c>
      <c r="L409">
        <f>Player_Analysis!P409</f>
        <v>0.01</v>
      </c>
      <c r="M409">
        <f t="shared" si="159"/>
        <v>0.9818181818181817</v>
      </c>
      <c r="N409">
        <f t="shared" si="160"/>
        <v>4.0909090909090909E-2</v>
      </c>
      <c r="O409" s="2">
        <f>IF(E409=0,"",Player_Analysis!L409/E409*90)</f>
        <v>4.0909090909090908</v>
      </c>
      <c r="P409">
        <f>IF(E409=0,"",Player_Analysis!Q409/E409*90)</f>
        <v>1.0227272727272727</v>
      </c>
      <c r="Q409">
        <f>IF(E409=0,"",(Player_Analysis!AD409/E409)*90)</f>
        <v>8.1818181818181817</v>
      </c>
      <c r="R409">
        <f>IF(E409=0,"",Player_Analysis!AA409/E409*90)</f>
        <v>8.1818181818181817</v>
      </c>
      <c r="S409" t="str">
        <f t="array" ref="S409">IFERROR(INDEX('2023_24'!$O:$O,MATCH($A409,'2023_24'!$A:$A,0)),"")</f>
        <v/>
      </c>
      <c r="T409" t="str">
        <f>IFERROR(INDEX('2024_25'!$P:$P,MATCH($A409,'2024_25'!$A:$A,0)),"")</f>
        <v/>
      </c>
      <c r="U409">
        <f>IFERROR(INDEX('2025_26'!$P:$P,MATCH($A409,'2025_26'!$A:$A,0)),"")</f>
        <v>0.14972577696526507</v>
      </c>
      <c r="V409" t="str">
        <f>IFERROR(INDEX('2023_24'!$P:$P,MATCH($A409,'2023_24'!$A:$A,0)),"")</f>
        <v/>
      </c>
      <c r="W409" t="str">
        <f>IFERROR(INDEX('2024_25'!$Q:$Q,MATCH($A409,'2024_25'!$A:$A,0)),"")</f>
        <v/>
      </c>
      <c r="X409">
        <f>IFERROR(INDEX('2025_26'!$Q:$Q,MATCH($A409,'2025_26'!$A:$A,0)),"")</f>
        <v>0.11681901279707493</v>
      </c>
      <c r="Y409" t="str">
        <f>IFERROR(INDEX('2023_24'!$M:$M,MATCH($A409,'2023_24'!$A:$A,0))/INDEX('2023_24'!$G:$G,MATCH($A409,'2023_24'!$A:$A,0))*90,"")</f>
        <v/>
      </c>
      <c r="Z409" t="str">
        <f>IFERROR(INDEX('2024_25'!$M:$M,MATCH($A409,'2024_25'!$A:$A,0))/INDEX('2024_25'!$G:$G,MATCH($A409,'2024_25'!$A:$A,0))*90,"")</f>
        <v/>
      </c>
      <c r="AA409">
        <f>IFERROR(INDEX('2025_26'!$M:$M,MATCH($A409,'2025_26'!$A:$A,0))/INDEX('2025_26'!$G:$G,MATCH($A409,'2025_26'!$A:$A,0))*90,"")</f>
        <v>3.7842778793418645</v>
      </c>
      <c r="AB409">
        <f>IFERROR(SUMPRODUCT(S409:U409,{0.2,0.3,0.5})/SUMPRODUCT(--(S409:U409&lt;&gt;""),{0.2,0.3,0.5}),"")</f>
        <v>0.14972577696526507</v>
      </c>
      <c r="AC409">
        <f>IFERROR(SUMPRODUCT(V409:X409,{0.2,0.3,0.5})/SUMPRODUCT(--(V409:X409&lt;&gt;""),{0.2,0.3,0.5}),"")</f>
        <v>0.11681901279707493</v>
      </c>
      <c r="AD409">
        <f>IFERROR(SUMPRODUCT(Y409:AA409,{0.2,0.3,0.5})/SUMPRODUCT((Y409:AA409&lt;&gt;"")*{0.2,0.3,0.5}),O409)</f>
        <v>3.7842778793418645</v>
      </c>
      <c r="AE409">
        <f t="shared" si="161"/>
        <v>1</v>
      </c>
      <c r="AF409" t="str">
        <f t="shared" si="162"/>
        <v/>
      </c>
      <c r="AG409">
        <f t="shared" si="163"/>
        <v>0.21074588665447896</v>
      </c>
      <c r="AH409">
        <f t="shared" si="164"/>
        <v>0.11125228519195611</v>
      </c>
      <c r="AI409" s="2">
        <f t="shared" si="165"/>
        <v>3.8067641681901274</v>
      </c>
      <c r="AJ409">
        <f t="shared" si="166"/>
        <v>7.3333333333333334E-2</v>
      </c>
      <c r="AK409" t="str">
        <f t="shared" si="167"/>
        <v>NO</v>
      </c>
      <c r="AL409">
        <f t="shared" si="168"/>
        <v>0</v>
      </c>
      <c r="AM409">
        <f t="shared" si="169"/>
        <v>0</v>
      </c>
      <c r="AN409">
        <f t="shared" si="170"/>
        <v>0</v>
      </c>
      <c r="AO409">
        <f t="shared" si="171"/>
        <v>0</v>
      </c>
      <c r="AP409">
        <f t="array" ref="AP409">AL409*IF($C409="GKP",10,IF($C409="DEF",6,IF($C409="MID",5,4)))</f>
        <v>0</v>
      </c>
      <c r="AQ409">
        <f t="shared" si="172"/>
        <v>0</v>
      </c>
      <c r="AR409">
        <f t="shared" si="173"/>
        <v>0</v>
      </c>
      <c r="AS409" s="2">
        <f>IF($H409=0,0,Player_Analysis!$AM409*$H409/90)</f>
        <v>0</v>
      </c>
      <c r="AT409">
        <f t="shared" si="174"/>
        <v>0</v>
      </c>
      <c r="AU409" s="2">
        <f>0</f>
        <v>0</v>
      </c>
      <c r="AV409" s="2">
        <f>IF(INDEX(FPL_Raw_Data!K:K,MATCH(A409,FPL_Raw_Data!AA:AA,0))=0,"",INDEX(FPL_Raw_Data!P:P,MATCH(A409,FPL_Raw_Data!AA:AA,0))/INDEX(FPL_Raw_Data!K:K,MATCH(A409,FPL_Raw_Data!AA:AA,0))*90)</f>
        <v>0</v>
      </c>
      <c r="AW409" s="2">
        <f t="shared" si="175"/>
        <v>0</v>
      </c>
      <c r="AX409" s="2">
        <f>IFERROR(INDEX(TEAM_ANALYSIS!$H$2:$H$21,MATCH($B409,TEAM_ANALYSIS!$A$2:$A$21,0)),0)</f>
        <v>0.66666666666666663</v>
      </c>
      <c r="AY409" s="2">
        <f t="shared" si="176"/>
        <v>0</v>
      </c>
      <c r="AZ409" s="2">
        <f t="shared" si="177"/>
        <v>0</v>
      </c>
      <c r="BA409">
        <f t="shared" si="178"/>
        <v>0</v>
      </c>
      <c r="BB409">
        <f>IFERROR(Player_Analysis!$Y409,1)</f>
        <v>0.9426384083044983</v>
      </c>
      <c r="BC409">
        <f t="shared" si="179"/>
        <v>0</v>
      </c>
      <c r="BD409">
        <f t="shared" si="180"/>
        <v>0</v>
      </c>
      <c r="BE409">
        <f t="shared" si="181"/>
        <v>0</v>
      </c>
      <c r="BF409">
        <f t="shared" si="182"/>
        <v>253</v>
      </c>
      <c r="BG409">
        <f>IF($BE409="","",COUNTIFS($C$2:$C$596,$C409,$BE$2:$BE$596,"&gt;"&amp;$BE409)+COUNTIFS($C$2:$C409,$C409,$BE$2:$BE409,$BE409))</f>
        <v>220</v>
      </c>
    </row>
    <row r="410" spans="1:59" x14ac:dyDescent="0.25">
      <c r="A410" t="str">
        <f>Player_Analysis!A410</f>
        <v>Ilia Gruev</v>
      </c>
      <c r="B410">
        <f>Player_Analysis!C410</f>
        <v>13</v>
      </c>
      <c r="C410" t="str">
        <f>Player_Analysis!B410</f>
        <v>MID</v>
      </c>
      <c r="D410" s="13">
        <f>Player_Analysis!E410</f>
        <v>5</v>
      </c>
      <c r="E410">
        <f>Player_Analysis!I410</f>
        <v>0</v>
      </c>
      <c r="F410" s="8">
        <f>Player_Analysis!Z410</f>
        <v>0</v>
      </c>
      <c r="G410" s="17">
        <f t="shared" si="157"/>
        <v>0</v>
      </c>
      <c r="H410">
        <f t="shared" si="158"/>
        <v>0</v>
      </c>
      <c r="I410" s="8">
        <f>Player_Analysis!AF410</f>
        <v>0</v>
      </c>
      <c r="J410" s="8">
        <f>Player_Analysis!AG410</f>
        <v>0</v>
      </c>
      <c r="K410">
        <f>Player_Analysis!O410</f>
        <v>0</v>
      </c>
      <c r="L410">
        <f>Player_Analysis!P410</f>
        <v>0</v>
      </c>
      <c r="M410" t="str">
        <f t="shared" si="159"/>
        <v/>
      </c>
      <c r="N410" t="str">
        <f t="shared" si="160"/>
        <v/>
      </c>
      <c r="O410" s="2" t="str">
        <f>IF(E410=0,"",Player_Analysis!L410/E410*90)</f>
        <v/>
      </c>
      <c r="P410" t="str">
        <f>IF(E410=0,"",Player_Analysis!Q410/E410*90)</f>
        <v/>
      </c>
      <c r="Q410" t="str">
        <f>IF(E410=0,"",(Player_Analysis!AD410/E410)*90)</f>
        <v/>
      </c>
      <c r="R410" t="str">
        <f>IF(E410=0,"",Player_Analysis!AA410/E410*90)</f>
        <v/>
      </c>
      <c r="S410" t="str">
        <f t="array" ref="S410">IFERROR(INDEX('2023_24'!$O:$O,MATCH($A410,'2023_24'!$A:$A,0)),"")</f>
        <v/>
      </c>
      <c r="T410" t="str">
        <f>IFERROR(INDEX('2024_25'!$P:$P,MATCH($A410,'2024_25'!$A:$A,0)),"")</f>
        <v/>
      </c>
      <c r="U410">
        <f>IFERROR(INDEX('2025_26'!$P:$P,MATCH($A410,'2025_26'!$A:$A,0)),"")</f>
        <v>3.3459787556904402E-2</v>
      </c>
      <c r="V410" t="str">
        <f>IFERROR(INDEX('2023_24'!$P:$P,MATCH($A410,'2023_24'!$A:$A,0)),"")</f>
        <v/>
      </c>
      <c r="W410" t="str">
        <f>IFERROR(INDEX('2024_25'!$Q:$Q,MATCH($A410,'2024_25'!$A:$A,0)),"")</f>
        <v/>
      </c>
      <c r="X410">
        <f>IFERROR(INDEX('2025_26'!$Q:$Q,MATCH($A410,'2025_26'!$A:$A,0)),"")</f>
        <v>5.8725341426403642E-2</v>
      </c>
      <c r="Y410" t="str">
        <f>IFERROR(INDEX('2023_24'!$M:$M,MATCH($A410,'2023_24'!$A:$A,0))/INDEX('2023_24'!$G:$G,MATCH($A410,'2023_24'!$A:$A,0))*90,"")</f>
        <v/>
      </c>
      <c r="Z410" t="str">
        <f>IFERROR(INDEX('2024_25'!$M:$M,MATCH($A410,'2024_25'!$A:$A,0))/INDEX('2024_25'!$G:$G,MATCH($A410,'2024_25'!$A:$A,0))*90,"")</f>
        <v/>
      </c>
      <c r="AA410">
        <f>IFERROR(INDEX('2025_26'!$M:$M,MATCH($A410,'2025_26'!$A:$A,0))/INDEX('2025_26'!$G:$G,MATCH($A410,'2025_26'!$A:$A,0))*90,"")</f>
        <v>3.8239757207890746</v>
      </c>
      <c r="AB410">
        <f>IFERROR(SUMPRODUCT(S410:U410,{0.2,0.3,0.5})/SUMPRODUCT(--(S410:U410&lt;&gt;""),{0.2,0.3,0.5}),"")</f>
        <v>3.3459787556904402E-2</v>
      </c>
      <c r="AC410">
        <f>IFERROR(SUMPRODUCT(V410:X410,{0.2,0.3,0.5})/SUMPRODUCT(--(V410:X410&lt;&gt;""),{0.2,0.3,0.5}),"")</f>
        <v>5.8725341426403642E-2</v>
      </c>
      <c r="AD410">
        <f>IFERROR(SUMPRODUCT(Y410:AA410,{0.2,0.3,0.5})/SUMPRODUCT((Y410:AA410&lt;&gt;"")*{0.2,0.3,0.5}),O410)</f>
        <v>3.8239757207890746</v>
      </c>
      <c r="AE410">
        <f t="shared" si="161"/>
        <v>1</v>
      </c>
      <c r="AF410" t="str">
        <f t="shared" si="162"/>
        <v/>
      </c>
      <c r="AG410">
        <f t="shared" si="163"/>
        <v>3.3459787556904402E-2</v>
      </c>
      <c r="AH410">
        <f t="shared" si="164"/>
        <v>5.8725341426403642E-2</v>
      </c>
      <c r="AI410" s="2">
        <f t="shared" si="165"/>
        <v>3.8239757207890746</v>
      </c>
      <c r="AJ410">
        <f t="shared" si="166"/>
        <v>0</v>
      </c>
      <c r="AK410" t="str">
        <f t="shared" si="167"/>
        <v>NO</v>
      </c>
      <c r="AL410">
        <f t="shared" si="168"/>
        <v>0</v>
      </c>
      <c r="AM410">
        <f t="shared" si="169"/>
        <v>0</v>
      </c>
      <c r="AN410">
        <f t="shared" si="170"/>
        <v>0</v>
      </c>
      <c r="AO410">
        <f t="shared" si="171"/>
        <v>0</v>
      </c>
      <c r="AP410">
        <f t="array" ref="AP410">AL410*IF($C410="GKP",10,IF($C410="DEF",6,IF($C410="MID",5,4)))</f>
        <v>0</v>
      </c>
      <c r="AQ410">
        <f t="shared" si="172"/>
        <v>0</v>
      </c>
      <c r="AR410">
        <f t="shared" si="173"/>
        <v>0</v>
      </c>
      <c r="AS410" s="2">
        <f>IF($H410=0,0,Player_Analysis!$AM410*$H410/90)</f>
        <v>0</v>
      </c>
      <c r="AT410">
        <f t="shared" si="174"/>
        <v>0</v>
      </c>
      <c r="AU410" s="2">
        <f>0</f>
        <v>0</v>
      </c>
      <c r="AV410" s="2" t="str">
        <f>IF(INDEX(FPL_Raw_Data!K:K,MATCH(A410,FPL_Raw_Data!AA:AA,0))=0,"",INDEX(FPL_Raw_Data!P:P,MATCH(A410,FPL_Raw_Data!AA:AA,0))/INDEX(FPL_Raw_Data!K:K,MATCH(A410,FPL_Raw_Data!AA:AA,0))*90)</f>
        <v/>
      </c>
      <c r="AW410" s="2">
        <f t="shared" si="175"/>
        <v>0</v>
      </c>
      <c r="AX410" s="2">
        <f>IFERROR(INDEX(TEAM_ANALYSIS!$H$2:$H$21,MATCH($B410,TEAM_ANALYSIS!$A$2:$A$21,0)),0)</f>
        <v>0.66666666666666663</v>
      </c>
      <c r="AY410" s="2">
        <f t="shared" si="176"/>
        <v>0</v>
      </c>
      <c r="AZ410" s="2">
        <f t="shared" si="177"/>
        <v>0</v>
      </c>
      <c r="BA410">
        <f t="shared" si="178"/>
        <v>0</v>
      </c>
      <c r="BB410">
        <f>IFERROR(Player_Analysis!$Y410,1)</f>
        <v>0.9426384083044983</v>
      </c>
      <c r="BC410">
        <f t="shared" si="179"/>
        <v>0</v>
      </c>
      <c r="BD410">
        <f t="shared" si="180"/>
        <v>0</v>
      </c>
      <c r="BE410">
        <f t="shared" si="181"/>
        <v>0</v>
      </c>
      <c r="BF410">
        <f t="shared" si="182"/>
        <v>253</v>
      </c>
      <c r="BG410">
        <f>IF($BE410="","",COUNTIFS($C$2:$C$596,$C410,$BE$2:$BE$596,"&gt;"&amp;$BE410)+COUNTIFS($C$2:$C410,$C410,$BE$2:$BE410,$BE410))</f>
        <v>221</v>
      </c>
    </row>
    <row r="411" spans="1:59" x14ac:dyDescent="0.25">
      <c r="A411" t="str">
        <f>Player_Analysis!A411</f>
        <v>Tanaka Ao</v>
      </c>
      <c r="B411">
        <f>Player_Analysis!C411</f>
        <v>13</v>
      </c>
      <c r="C411" t="str">
        <f>Player_Analysis!B411</f>
        <v>MID</v>
      </c>
      <c r="D411" s="13">
        <f>Player_Analysis!E411</f>
        <v>4.9000000000000004</v>
      </c>
      <c r="E411">
        <f>Player_Analysis!I411</f>
        <v>117</v>
      </c>
      <c r="F411" s="8">
        <f>Player_Analysis!Z411</f>
        <v>1</v>
      </c>
      <c r="G411" s="17">
        <f t="shared" si="157"/>
        <v>0.76923076923076916</v>
      </c>
      <c r="H411">
        <f t="shared" si="158"/>
        <v>69.230769230769226</v>
      </c>
      <c r="I411" s="8">
        <f>Player_Analysis!AF411</f>
        <v>0</v>
      </c>
      <c r="J411" s="8">
        <f>Player_Analysis!AG411</f>
        <v>1</v>
      </c>
      <c r="K411">
        <f>Player_Analysis!O411</f>
        <v>0.53</v>
      </c>
      <c r="L411">
        <f>Player_Analysis!P411</f>
        <v>0.02</v>
      </c>
      <c r="M411">
        <f t="shared" si="159"/>
        <v>0.40769230769230769</v>
      </c>
      <c r="N411">
        <f t="shared" si="160"/>
        <v>1.5384615384615385E-2</v>
      </c>
      <c r="O411" s="2">
        <f>IF(E411=0,"",Player_Analysis!L411/E411*90)</f>
        <v>4.615384615384615</v>
      </c>
      <c r="P411">
        <f>IF(E411=0,"",Player_Analysis!Q411/E411*90)</f>
        <v>0.42307692307692313</v>
      </c>
      <c r="Q411">
        <f>IF(E411=0,"",(Player_Analysis!AD411/E411)*90)</f>
        <v>18.46153846153846</v>
      </c>
      <c r="R411">
        <f>IF(E411=0,"",Player_Analysis!AA411/E411*90)</f>
        <v>14.615384615384617</v>
      </c>
      <c r="S411" t="str">
        <f t="array" ref="S411">IFERROR(INDEX('2023_24'!$O:$O,MATCH($A411,'2023_24'!$A:$A,0)),"")</f>
        <v/>
      </c>
      <c r="T411" t="str">
        <f>IFERROR(INDEX('2024_25'!$P:$P,MATCH($A411,'2024_25'!$A:$A,0)),"")</f>
        <v/>
      </c>
      <c r="U411">
        <f>IFERROR(INDEX('2025_26'!$P:$P,MATCH($A411,'2025_26'!$A:$A,0)),"")</f>
        <v>9.9158377964804895E-2</v>
      </c>
      <c r="V411" t="str">
        <f>IFERROR(INDEX('2023_24'!$P:$P,MATCH($A411,'2023_24'!$A:$A,0)),"")</f>
        <v/>
      </c>
      <c r="W411" t="str">
        <f>IFERROR(INDEX('2024_25'!$Q:$Q,MATCH($A411,'2024_25'!$A:$A,0)),"")</f>
        <v/>
      </c>
      <c r="X411">
        <f>IFERROR(INDEX('2025_26'!$Q:$Q,MATCH($A411,'2025_26'!$A:$A,0)),"")</f>
        <v>9.5715378729915826E-2</v>
      </c>
      <c r="Y411" t="str">
        <f>IFERROR(INDEX('2023_24'!$M:$M,MATCH($A411,'2023_24'!$A:$A,0))/INDEX('2023_24'!$G:$G,MATCH($A411,'2023_24'!$A:$A,0))*90,"")</f>
        <v/>
      </c>
      <c r="Z411" t="str">
        <f>IFERROR(INDEX('2024_25'!$M:$M,MATCH($A411,'2024_25'!$A:$A,0))/INDEX('2024_25'!$G:$G,MATCH($A411,'2024_25'!$A:$A,0))*90,"")</f>
        <v/>
      </c>
      <c r="AA411">
        <f>IFERROR(INDEX('2025_26'!$M:$M,MATCH($A411,'2025_26'!$A:$A,0))/INDEX('2025_26'!$G:$G,MATCH($A411,'2025_26'!$A:$A,0))*90,"")</f>
        <v>4.613618974751339</v>
      </c>
      <c r="AB411">
        <f>IFERROR(SUMPRODUCT(S411:U411,{0.2,0.3,0.5})/SUMPRODUCT(--(S411:U411&lt;&gt;""),{0.2,0.3,0.5}),"")</f>
        <v>9.9158377964804895E-2</v>
      </c>
      <c r="AC411">
        <f>IFERROR(SUMPRODUCT(V411:X411,{0.2,0.3,0.5})/SUMPRODUCT(--(V411:X411&lt;&gt;""),{0.2,0.3,0.5}),"")</f>
        <v>9.5715378729915826E-2</v>
      </c>
      <c r="AD411">
        <f>IFERROR(SUMPRODUCT(Y411:AA411,{0.2,0.3,0.5})/SUMPRODUCT((Y411:AA411&lt;&gt;"")*{0.2,0.3,0.5}),O411)</f>
        <v>4.613618974751339</v>
      </c>
      <c r="AE411">
        <f t="shared" si="161"/>
        <v>1</v>
      </c>
      <c r="AF411">
        <f t="shared" si="162"/>
        <v>117</v>
      </c>
      <c r="AG411">
        <f t="shared" si="163"/>
        <v>0.21948661055853097</v>
      </c>
      <c r="AH411">
        <f t="shared" si="164"/>
        <v>6.4386381025248657E-2</v>
      </c>
      <c r="AI411" s="2">
        <f t="shared" si="165"/>
        <v>4.6143075745983166</v>
      </c>
      <c r="AJ411">
        <f t="shared" si="166"/>
        <v>0.39</v>
      </c>
      <c r="AK411" t="str">
        <f t="shared" si="167"/>
        <v>NO</v>
      </c>
      <c r="AL411">
        <f t="shared" si="168"/>
        <v>0.16883585427579303</v>
      </c>
      <c r="AM411">
        <f t="shared" si="169"/>
        <v>4.9527985404037425E-2</v>
      </c>
      <c r="AN411">
        <f t="shared" si="170"/>
        <v>0.16883585427579303</v>
      </c>
      <c r="AO411">
        <f t="shared" si="171"/>
        <v>4.9527985404037425E-2</v>
      </c>
      <c r="AP411">
        <f t="array" ref="AP411">AL411*IF($C411="GKP",10,IF($C411="DEF",6,IF($C411="MID",5,4)))</f>
        <v>0.8441792713789652</v>
      </c>
      <c r="AQ411">
        <f t="shared" si="172"/>
        <v>0.14858395621211229</v>
      </c>
      <c r="AR411">
        <f t="shared" si="173"/>
        <v>1.5384615384615383</v>
      </c>
      <c r="AS411" s="2">
        <f>IF($H411=0,0,Player_Analysis!$AM411*$H411/90)</f>
        <v>0</v>
      </c>
      <c r="AT411">
        <f t="shared" si="174"/>
        <v>1.873767258382643</v>
      </c>
      <c r="AU411" s="2">
        <f>0</f>
        <v>0</v>
      </c>
      <c r="AV411" s="2">
        <f>IF(INDEX(FPL_Raw_Data!K:K,MATCH(A411,FPL_Raw_Data!AA:AA,0))=0,"",INDEX(FPL_Raw_Data!P:P,MATCH(A411,FPL_Raw_Data!AA:AA,0))/INDEX(FPL_Raw_Data!K:K,MATCH(A411,FPL_Raw_Data!AA:AA,0))*90)</f>
        <v>0</v>
      </c>
      <c r="AW411" s="2">
        <f t="shared" si="175"/>
        <v>0</v>
      </c>
      <c r="AX411" s="2">
        <f>IFERROR(INDEX(TEAM_ANALYSIS!$H$2:$H$21,MATCH($B411,TEAM_ANALYSIS!$A$2:$A$21,0)),0)</f>
        <v>0.66666666666666663</v>
      </c>
      <c r="AY411" s="2">
        <f t="shared" si="176"/>
        <v>0</v>
      </c>
      <c r="AZ411" s="2">
        <f t="shared" si="177"/>
        <v>4.4049920244352592</v>
      </c>
      <c r="BA411">
        <f t="shared" si="178"/>
        <v>0.89897796417046094</v>
      </c>
      <c r="BB411">
        <f>IFERROR(Player_Analysis!$Y411,1)</f>
        <v>0.9426384083044983</v>
      </c>
      <c r="BC411">
        <f t="shared" si="179"/>
        <v>4.1523146705076623</v>
      </c>
      <c r="BD411">
        <f t="shared" si="180"/>
        <v>3.7328393890881166</v>
      </c>
      <c r="BE411">
        <f t="shared" si="181"/>
        <v>4.1523146705076623</v>
      </c>
      <c r="BF411">
        <f t="shared" si="182"/>
        <v>146</v>
      </c>
      <c r="BG411">
        <f>IF($BE411="","",COUNTIFS($C$2:$C$596,$C411,$BE$2:$BE$596,"&gt;"&amp;$BE411)+COUNTIFS($C$2:$C411,$C411,$BE$2:$BE411,$BE411))</f>
        <v>71</v>
      </c>
    </row>
    <row r="412" spans="1:59" x14ac:dyDescent="0.25">
      <c r="A412" t="str">
        <f>Player_Analysis!A412</f>
        <v>Dominic Calvert-Lewin</v>
      </c>
      <c r="B412">
        <f>Player_Analysis!C412</f>
        <v>13</v>
      </c>
      <c r="C412" t="str">
        <f>Player_Analysis!B412</f>
        <v>FWD</v>
      </c>
      <c r="D412" s="13">
        <f>Player_Analysis!E412</f>
        <v>6</v>
      </c>
      <c r="E412">
        <f>Player_Analysis!I412</f>
        <v>252</v>
      </c>
      <c r="F412" s="8">
        <f>Player_Analysis!Z412</f>
        <v>3</v>
      </c>
      <c r="G412" s="17">
        <f t="shared" si="157"/>
        <v>1</v>
      </c>
      <c r="H412">
        <f t="shared" si="158"/>
        <v>90</v>
      </c>
      <c r="I412" s="8">
        <f>Player_Analysis!AF412</f>
        <v>1</v>
      </c>
      <c r="J412" s="8">
        <f>Player_Analysis!AG412</f>
        <v>0</v>
      </c>
      <c r="K412">
        <f>Player_Analysis!O412</f>
        <v>1.61</v>
      </c>
      <c r="L412">
        <f>Player_Analysis!P412</f>
        <v>0.08</v>
      </c>
      <c r="M412">
        <f t="shared" si="159"/>
        <v>0.57500000000000007</v>
      </c>
      <c r="N412">
        <f t="shared" si="160"/>
        <v>2.8571428571428571E-2</v>
      </c>
      <c r="O412" s="2">
        <f>IF(E412=0,"",Player_Analysis!L412/E412*90)</f>
        <v>3.5714285714285712</v>
      </c>
      <c r="P412">
        <f>IF(E412=0,"",Player_Analysis!Q412/E412*90)</f>
        <v>0.60357142857142854</v>
      </c>
      <c r="Q412">
        <f>IF(E412=0,"",(Player_Analysis!AD412/E412)*90)</f>
        <v>10.357142857142856</v>
      </c>
      <c r="R412">
        <f>IF(E412=0,"",Player_Analysis!AA412/E412*90)</f>
        <v>3.214285714285714</v>
      </c>
      <c r="S412">
        <f t="array" ref="S412">IFERROR(INDEX('2023_24'!$O:$O,MATCH($A412,'2023_24'!$A:$A,0)),"")</f>
        <v>0.53434903047091409</v>
      </c>
      <c r="T412">
        <f>IFERROR(INDEX('2024_25'!$P:$P,MATCH($A412,'2024_25'!$A:$A,0)),"")</f>
        <v>0.36685393258426968</v>
      </c>
      <c r="U412">
        <f>IFERROR(INDEX('2025_26'!$P:$P,MATCH($A412,'2025_26'!$A:$A,0)),"")</f>
        <v>0.51499448732083797</v>
      </c>
      <c r="V412">
        <f>IFERROR(INDEX('2023_24'!$P:$P,MATCH($A412,'2023_24'!$A:$A,0)),"")</f>
        <v>6.5650969529085876E-2</v>
      </c>
      <c r="W412">
        <f>IFERROR(INDEX('2024_25'!$Q:$Q,MATCH($A412,'2024_25'!$A:$A,0)),"")</f>
        <v>3.5393258426966293E-2</v>
      </c>
      <c r="X412">
        <f>IFERROR(INDEX('2025_26'!$Q:$Q,MATCH($A412,'2025_26'!$A:$A,0)),"")</f>
        <v>3.5060639470782806E-2</v>
      </c>
      <c r="Y412">
        <f>IFERROR(INDEX('2023_24'!$M:$M,MATCH($A412,'2023_24'!$A:$A,0))/INDEX('2023_24'!$G:$G,MATCH($A412,'2023_24'!$A:$A,0))*90,"")</f>
        <v>4.1966759002770084</v>
      </c>
      <c r="Z412">
        <f>IFERROR(INDEX('2024_25'!$M:$M,MATCH($A412,'2024_25'!$A:$A,0))/INDEX('2024_25'!$G:$G,MATCH($A412,'2024_25'!$A:$A,0))*90,"")</f>
        <v>3.5393258426966292</v>
      </c>
      <c r="AA412">
        <f>IFERROR(INDEX('2025_26'!$M:$M,MATCH($A412,'2025_26'!$A:$A,0))/INDEX('2025_26'!$G:$G,MATCH($A412,'2025_26'!$A:$A,0))*90,"")</f>
        <v>4.696802646085998</v>
      </c>
      <c r="AB412">
        <f>IFERROR(SUMPRODUCT(S412:U412,{0.2,0.3,0.5})/SUMPRODUCT(--(S412:U412&lt;&gt;""),{0.2,0.3,0.5}),"")</f>
        <v>0.4744232295298827</v>
      </c>
      <c r="AC412">
        <f>IFERROR(SUMPRODUCT(V412:X412,{0.2,0.3,0.5})/SUMPRODUCT(--(V412:X412&lt;&gt;""),{0.2,0.3,0.5}),"")</f>
        <v>4.1278491169298465E-2</v>
      </c>
      <c r="AD412">
        <f>IFERROR(SUMPRODUCT(Y412:AA412,{0.2,0.3,0.5})/SUMPRODUCT((Y412:AA412&lt;&gt;"")*{0.2,0.3,0.5}),O412)</f>
        <v>4.2495342559073901</v>
      </c>
      <c r="AE412">
        <f t="shared" si="161"/>
        <v>3</v>
      </c>
      <c r="AF412">
        <f t="shared" si="162"/>
        <v>84</v>
      </c>
      <c r="AG412">
        <f t="shared" si="163"/>
        <v>0.55890771672478134</v>
      </c>
      <c r="AH412">
        <f t="shared" si="164"/>
        <v>3.0604558587087754E-2</v>
      </c>
      <c r="AI412" s="2">
        <f t="shared" si="165"/>
        <v>3.6799254809451822</v>
      </c>
      <c r="AJ412">
        <f t="shared" si="166"/>
        <v>0.84</v>
      </c>
      <c r="AK412" t="str">
        <f t="shared" si="167"/>
        <v>NO</v>
      </c>
      <c r="AL412">
        <f t="shared" si="168"/>
        <v>0.55890771672478134</v>
      </c>
      <c r="AM412">
        <f t="shared" si="169"/>
        <v>3.060455858708775E-2</v>
      </c>
      <c r="AN412">
        <f t="shared" si="170"/>
        <v>0.55890771672478134</v>
      </c>
      <c r="AO412">
        <f t="shared" si="171"/>
        <v>3.060455858708775E-2</v>
      </c>
      <c r="AP412">
        <f t="array" ref="AP412">AL412*IF($C412="GKP",10,IF($C412="DEF",6,IF($C412="MID",5,4)))</f>
        <v>2.2356308668991254</v>
      </c>
      <c r="AQ412">
        <f t="shared" si="172"/>
        <v>9.1813675761263258E-2</v>
      </c>
      <c r="AR412">
        <f t="shared" si="173"/>
        <v>2</v>
      </c>
      <c r="AS412" s="2">
        <f>IF($H412=0,0,Player_Analysis!$AM412*$H412/90)</f>
        <v>0</v>
      </c>
      <c r="AT412">
        <f t="shared" si="174"/>
        <v>0.5357142857142857</v>
      </c>
      <c r="AU412" s="2">
        <f>0</f>
        <v>0</v>
      </c>
      <c r="AV412" s="2">
        <f>IF(INDEX(FPL_Raw_Data!K:K,MATCH(A412,FPL_Raw_Data!AA:AA,0))=0,"",INDEX(FPL_Raw_Data!P:P,MATCH(A412,FPL_Raw_Data!AA:AA,0))/INDEX(FPL_Raw_Data!K:K,MATCH(A412,FPL_Raw_Data!AA:AA,0))*90)</f>
        <v>0</v>
      </c>
      <c r="AW412" s="2">
        <f t="shared" si="175"/>
        <v>0</v>
      </c>
      <c r="AX412" s="2">
        <f>IFERROR(INDEX(TEAM_ANALYSIS!$H$2:$H$21,MATCH($B412,TEAM_ANALYSIS!$A$2:$A$21,0)),0)</f>
        <v>0.66666666666666663</v>
      </c>
      <c r="AY412" s="2">
        <f t="shared" si="176"/>
        <v>0</v>
      </c>
      <c r="AZ412" s="2">
        <f t="shared" si="177"/>
        <v>4.8631588283746741</v>
      </c>
      <c r="BA412">
        <f t="shared" si="178"/>
        <v>0.81052647139577905</v>
      </c>
      <c r="BB412">
        <f>IFERROR(Player_Analysis!$Y412,1)</f>
        <v>0.9426384083044983</v>
      </c>
      <c r="BC412">
        <f t="shared" si="179"/>
        <v>4.5842002973110718</v>
      </c>
      <c r="BD412">
        <f t="shared" si="180"/>
        <v>3.7156156911510241</v>
      </c>
      <c r="BE412">
        <f t="shared" si="181"/>
        <v>4.5842002973110718</v>
      </c>
      <c r="BF412">
        <f t="shared" si="182"/>
        <v>121</v>
      </c>
      <c r="BG412">
        <f>IF($BE412="","",COUNTIFS($C$2:$C$596,$C412,$BE$2:$BE$596,"&gt;"&amp;$BE412)+COUNTIFS($C$2:$C412,$C412,$BE$2:$BE412,$BE412))</f>
        <v>14</v>
      </c>
    </row>
    <row r="413" spans="1:59" x14ac:dyDescent="0.25">
      <c r="A413" t="str">
        <f>Player_Analysis!A413</f>
        <v>Lukas Nmecha</v>
      </c>
      <c r="B413">
        <f>Player_Analysis!C413</f>
        <v>13</v>
      </c>
      <c r="C413" t="str">
        <f>Player_Analysis!B413</f>
        <v>FWD</v>
      </c>
      <c r="D413" s="13">
        <f>Player_Analysis!E413</f>
        <v>5.4</v>
      </c>
      <c r="E413">
        <f>Player_Analysis!I413</f>
        <v>38</v>
      </c>
      <c r="F413" s="8">
        <f>Player_Analysis!Z413</f>
        <v>0</v>
      </c>
      <c r="G413" s="17">
        <f t="shared" si="157"/>
        <v>0</v>
      </c>
      <c r="H413">
        <f t="shared" si="158"/>
        <v>0</v>
      </c>
      <c r="I413" s="8">
        <f>Player_Analysis!AF413</f>
        <v>0</v>
      </c>
      <c r="J413" s="8">
        <f>Player_Analysis!AG413</f>
        <v>1</v>
      </c>
      <c r="K413">
        <f>Player_Analysis!O413</f>
        <v>0.27</v>
      </c>
      <c r="L413">
        <f>Player_Analysis!P413</f>
        <v>0.14000000000000001</v>
      </c>
      <c r="M413">
        <f t="shared" si="159"/>
        <v>0.63947368421052631</v>
      </c>
      <c r="N413">
        <f t="shared" si="160"/>
        <v>0.33157894736842108</v>
      </c>
      <c r="O413" s="2">
        <f>IF(E413=0,"",Player_Analysis!L413/E413*90)</f>
        <v>11.842105263157894</v>
      </c>
      <c r="P413">
        <f>IF(E413=0,"",Player_Analysis!Q413/E413*90)</f>
        <v>0.97105263157894728</v>
      </c>
      <c r="Q413">
        <f>IF(E413=0,"",(Player_Analysis!AD413/E413)*90)</f>
        <v>47.368421052631575</v>
      </c>
      <c r="R413">
        <f>IF(E413=0,"",Player_Analysis!AA413/E413*90)</f>
        <v>2.3684210526315788</v>
      </c>
      <c r="S413" t="str">
        <f t="array" ref="S413">IFERROR(INDEX('2023_24'!$O:$O,MATCH($A413,'2023_24'!$A:$A,0)),"")</f>
        <v/>
      </c>
      <c r="T413" t="str">
        <f>IFERROR(INDEX('2024_25'!$P:$P,MATCH($A413,'2024_25'!$A:$A,0)),"")</f>
        <v/>
      </c>
      <c r="U413">
        <f>IFERROR(INDEX('2025_26'!$P:$P,MATCH($A413,'2025_26'!$A:$A,0)),"")</f>
        <v>0.61267605633802813</v>
      </c>
      <c r="V413" t="str">
        <f>IFERROR(INDEX('2023_24'!$P:$P,MATCH($A413,'2023_24'!$A:$A,0)),"")</f>
        <v/>
      </c>
      <c r="W413" t="str">
        <f>IFERROR(INDEX('2024_25'!$Q:$Q,MATCH($A413,'2024_25'!$A:$A,0)),"")</f>
        <v/>
      </c>
      <c r="X413">
        <f>IFERROR(INDEX('2025_26'!$Q:$Q,MATCH($A413,'2025_26'!$A:$A,0)),"")</f>
        <v>0.13352112676056338</v>
      </c>
      <c r="Y413" t="str">
        <f>IFERROR(INDEX('2023_24'!$M:$M,MATCH($A413,'2023_24'!$A:$A,0))/INDEX('2023_24'!$G:$G,MATCH($A413,'2023_24'!$A:$A,0))*90,"")</f>
        <v/>
      </c>
      <c r="Z413" t="str">
        <f>IFERROR(INDEX('2024_25'!$M:$M,MATCH($A413,'2024_25'!$A:$A,0))/INDEX('2024_25'!$G:$G,MATCH($A413,'2024_25'!$A:$A,0))*90,"")</f>
        <v/>
      </c>
      <c r="AA413">
        <f>IFERROR(INDEX('2025_26'!$M:$M,MATCH($A413,'2025_26'!$A:$A,0))/INDEX('2025_26'!$G:$G,MATCH($A413,'2025_26'!$A:$A,0))*90,"")</f>
        <v>6.169014084507042</v>
      </c>
      <c r="AB413">
        <f>IFERROR(SUMPRODUCT(S413:U413,{0.2,0.3,0.5})/SUMPRODUCT(--(S413:U413&lt;&gt;""),{0.2,0.3,0.5}),"")</f>
        <v>0.61267605633802813</v>
      </c>
      <c r="AC413">
        <f>IFERROR(SUMPRODUCT(V413:X413,{0.2,0.3,0.5})/SUMPRODUCT(--(V413:X413&lt;&gt;""),{0.2,0.3,0.5}),"")</f>
        <v>0.13352112676056338</v>
      </c>
      <c r="AD413">
        <f>IFERROR(SUMPRODUCT(Y413:AA413,{0.2,0.3,0.5})/SUMPRODUCT((Y413:AA413&lt;&gt;"")*{0.2,0.3,0.5}),O413)</f>
        <v>6.169014084507042</v>
      </c>
      <c r="AE413">
        <f t="shared" si="161"/>
        <v>1</v>
      </c>
      <c r="AF413" t="str">
        <f t="shared" si="162"/>
        <v/>
      </c>
      <c r="AG413">
        <f t="shared" si="163"/>
        <v>0.61607042253521116</v>
      </c>
      <c r="AH413">
        <f t="shared" si="164"/>
        <v>0.15860845070422536</v>
      </c>
      <c r="AI413" s="2">
        <f t="shared" si="165"/>
        <v>6.8876056338028162</v>
      </c>
      <c r="AJ413">
        <f t="shared" si="166"/>
        <v>0.12666666666666668</v>
      </c>
      <c r="AK413" t="str">
        <f t="shared" si="167"/>
        <v>NO</v>
      </c>
      <c r="AL413">
        <f t="shared" si="168"/>
        <v>0</v>
      </c>
      <c r="AM413">
        <f t="shared" si="169"/>
        <v>0</v>
      </c>
      <c r="AN413">
        <f t="shared" si="170"/>
        <v>0</v>
      </c>
      <c r="AO413">
        <f t="shared" si="171"/>
        <v>0</v>
      </c>
      <c r="AP413">
        <f t="array" ref="AP413">AL413*IF($C413="GKP",10,IF($C413="DEF",6,IF($C413="MID",5,4)))</f>
        <v>0</v>
      </c>
      <c r="AQ413">
        <f t="shared" si="172"/>
        <v>0</v>
      </c>
      <c r="AR413">
        <f t="shared" si="173"/>
        <v>0</v>
      </c>
      <c r="AS413" s="2">
        <f>IF($H413=0,0,Player_Analysis!$AM413*$H413/90)</f>
        <v>0</v>
      </c>
      <c r="AT413">
        <f t="shared" si="174"/>
        <v>0</v>
      </c>
      <c r="AU413" s="2">
        <f>0</f>
        <v>0</v>
      </c>
      <c r="AV413" s="2">
        <f>IF(INDEX(FPL_Raw_Data!K:K,MATCH(A413,FPL_Raw_Data!AA:AA,0))=0,"",INDEX(FPL_Raw_Data!P:P,MATCH(A413,FPL_Raw_Data!AA:AA,0))/INDEX(FPL_Raw_Data!K:K,MATCH(A413,FPL_Raw_Data!AA:AA,0))*90)</f>
        <v>0</v>
      </c>
      <c r="AW413" s="2">
        <f t="shared" si="175"/>
        <v>0</v>
      </c>
      <c r="AX413" s="2">
        <f>IFERROR(INDEX(TEAM_ANALYSIS!$H$2:$H$21,MATCH($B413,TEAM_ANALYSIS!$A$2:$A$21,0)),0)</f>
        <v>0.66666666666666663</v>
      </c>
      <c r="AY413" s="2">
        <f t="shared" si="176"/>
        <v>0</v>
      </c>
      <c r="AZ413" s="2">
        <f t="shared" si="177"/>
        <v>0</v>
      </c>
      <c r="BA413">
        <f t="shared" si="178"/>
        <v>0</v>
      </c>
      <c r="BB413">
        <f>IFERROR(Player_Analysis!$Y413,1)</f>
        <v>0.9426384083044983</v>
      </c>
      <c r="BC413">
        <f t="shared" si="179"/>
        <v>0</v>
      </c>
      <c r="BD413">
        <f t="shared" si="180"/>
        <v>0</v>
      </c>
      <c r="BE413">
        <f t="shared" si="181"/>
        <v>0</v>
      </c>
      <c r="BF413">
        <f t="shared" si="182"/>
        <v>253</v>
      </c>
      <c r="BG413">
        <f>IF($BE413="","",COUNTIFS($C$2:$C$596,$C413,$BE$2:$BE$596,"&gt;"&amp;$BE413)+COUNTIFS($C$2:$C413,$C413,$BE$2:$BE413,$BE413))</f>
        <v>60</v>
      </c>
    </row>
    <row r="414" spans="1:59" x14ac:dyDescent="0.25">
      <c r="A414" t="str">
        <f>Player_Analysis!A414</f>
        <v>Joël Piroe</v>
      </c>
      <c r="B414">
        <f>Player_Analysis!C414</f>
        <v>13</v>
      </c>
      <c r="C414" t="str">
        <f>Player_Analysis!B414</f>
        <v>FWD</v>
      </c>
      <c r="D414" s="13">
        <f>Player_Analysis!E414</f>
        <v>5</v>
      </c>
      <c r="E414">
        <f>Player_Analysis!I414</f>
        <v>0</v>
      </c>
      <c r="F414" s="8">
        <f>Player_Analysis!Z414</f>
        <v>0</v>
      </c>
      <c r="G414" s="17">
        <f t="shared" si="157"/>
        <v>0</v>
      </c>
      <c r="H414">
        <f t="shared" si="158"/>
        <v>0</v>
      </c>
      <c r="I414" s="8">
        <f>Player_Analysis!AF414</f>
        <v>0</v>
      </c>
      <c r="J414" s="8">
        <f>Player_Analysis!AG414</f>
        <v>0</v>
      </c>
      <c r="K414">
        <f>Player_Analysis!O414</f>
        <v>0</v>
      </c>
      <c r="L414">
        <f>Player_Analysis!P414</f>
        <v>0</v>
      </c>
      <c r="M414" t="str">
        <f t="shared" si="159"/>
        <v/>
      </c>
      <c r="N414" t="str">
        <f t="shared" si="160"/>
        <v/>
      </c>
      <c r="O414" s="2" t="str">
        <f>IF(E414=0,"",Player_Analysis!L414/E414*90)</f>
        <v/>
      </c>
      <c r="P414" t="str">
        <f>IF(E414=0,"",Player_Analysis!Q414/E414*90)</f>
        <v/>
      </c>
      <c r="Q414" t="str">
        <f>IF(E414=0,"",(Player_Analysis!AD414/E414)*90)</f>
        <v/>
      </c>
      <c r="R414" t="str">
        <f>IF(E414=0,"",Player_Analysis!AA414/E414*90)</f>
        <v/>
      </c>
      <c r="S414" t="str">
        <f t="array" ref="S414">IFERROR(INDEX('2023_24'!$O:$O,MATCH($A414,'2023_24'!$A:$A,0)),"")</f>
        <v/>
      </c>
      <c r="T414" t="str">
        <f>IFERROR(INDEX('2024_25'!$P:$P,MATCH($A414,'2024_25'!$A:$A,0)),"")</f>
        <v/>
      </c>
      <c r="U414">
        <f>IFERROR(INDEX('2025_26'!$P:$P,MATCH($A414,'2025_26'!$A:$A,0)),"")</f>
        <v>0.33196721311475413</v>
      </c>
      <c r="V414" t="str">
        <f>IFERROR(INDEX('2023_24'!$P:$P,MATCH($A414,'2023_24'!$A:$A,0)),"")</f>
        <v/>
      </c>
      <c r="W414" t="str">
        <f>IFERROR(INDEX('2024_25'!$Q:$Q,MATCH($A414,'2024_25'!$A:$A,0)),"")</f>
        <v/>
      </c>
      <c r="X414">
        <f>IFERROR(INDEX('2025_26'!$Q:$Q,MATCH($A414,'2025_26'!$A:$A,0)),"")</f>
        <v>4.7950819672131155E-2</v>
      </c>
      <c r="Y414" t="str">
        <f>IFERROR(INDEX('2023_24'!$M:$M,MATCH($A414,'2023_24'!$A:$A,0))/INDEX('2023_24'!$G:$G,MATCH($A414,'2023_24'!$A:$A,0))*90,"")</f>
        <v/>
      </c>
      <c r="Z414" t="str">
        <f>IFERROR(INDEX('2024_25'!$M:$M,MATCH($A414,'2024_25'!$A:$A,0))/INDEX('2024_25'!$G:$G,MATCH($A414,'2024_25'!$A:$A,0))*90,"")</f>
        <v/>
      </c>
      <c r="AA414">
        <f>IFERROR(INDEX('2025_26'!$M:$M,MATCH($A414,'2025_26'!$A:$A,0))/INDEX('2025_26'!$G:$G,MATCH($A414,'2025_26'!$A:$A,0))*90,"")</f>
        <v>6.2704918032786878</v>
      </c>
      <c r="AB414">
        <f>IFERROR(SUMPRODUCT(S414:U414,{0.2,0.3,0.5})/SUMPRODUCT(--(S414:U414&lt;&gt;""),{0.2,0.3,0.5}),"")</f>
        <v>0.33196721311475413</v>
      </c>
      <c r="AC414">
        <f>IFERROR(SUMPRODUCT(V414:X414,{0.2,0.3,0.5})/SUMPRODUCT(--(V414:X414&lt;&gt;""),{0.2,0.3,0.5}),"")</f>
        <v>4.7950819672131155E-2</v>
      </c>
      <c r="AD414">
        <f>IFERROR(SUMPRODUCT(Y414:AA414,{0.2,0.3,0.5})/SUMPRODUCT((Y414:AA414&lt;&gt;"")*{0.2,0.3,0.5}),O414)</f>
        <v>6.2704918032786878</v>
      </c>
      <c r="AE414">
        <f t="shared" si="161"/>
        <v>1</v>
      </c>
      <c r="AF414" t="str">
        <f t="shared" si="162"/>
        <v/>
      </c>
      <c r="AG414">
        <f t="shared" si="163"/>
        <v>0.33196721311475413</v>
      </c>
      <c r="AH414">
        <f t="shared" si="164"/>
        <v>4.7950819672131155E-2</v>
      </c>
      <c r="AI414" s="2">
        <f t="shared" si="165"/>
        <v>6.2704918032786878</v>
      </c>
      <c r="AJ414">
        <f t="shared" si="166"/>
        <v>0</v>
      </c>
      <c r="AK414" t="str">
        <f t="shared" si="167"/>
        <v>NO</v>
      </c>
      <c r="AL414">
        <f t="shared" si="168"/>
        <v>0</v>
      </c>
      <c r="AM414">
        <f t="shared" si="169"/>
        <v>0</v>
      </c>
      <c r="AN414">
        <f t="shared" si="170"/>
        <v>0</v>
      </c>
      <c r="AO414">
        <f t="shared" si="171"/>
        <v>0</v>
      </c>
      <c r="AP414">
        <f t="array" ref="AP414">AL414*IF($C414="GKP",10,IF($C414="DEF",6,IF($C414="MID",5,4)))</f>
        <v>0</v>
      </c>
      <c r="AQ414">
        <f t="shared" si="172"/>
        <v>0</v>
      </c>
      <c r="AR414">
        <f t="shared" si="173"/>
        <v>0</v>
      </c>
      <c r="AS414" s="2">
        <f>IF($H414=0,0,Player_Analysis!$AM414*$H414/90)</f>
        <v>0</v>
      </c>
      <c r="AT414">
        <f t="shared" si="174"/>
        <v>0</v>
      </c>
      <c r="AU414" s="2">
        <f>0</f>
        <v>0</v>
      </c>
      <c r="AV414" s="2" t="str">
        <f>IF(INDEX(FPL_Raw_Data!K:K,MATCH(A414,FPL_Raw_Data!AA:AA,0))=0,"",INDEX(FPL_Raw_Data!P:P,MATCH(A414,FPL_Raw_Data!AA:AA,0))/INDEX(FPL_Raw_Data!K:K,MATCH(A414,FPL_Raw_Data!AA:AA,0))*90)</f>
        <v/>
      </c>
      <c r="AW414" s="2">
        <f t="shared" si="175"/>
        <v>0</v>
      </c>
      <c r="AX414" s="2">
        <f>IFERROR(INDEX(TEAM_ANALYSIS!$H$2:$H$21,MATCH($B414,TEAM_ANALYSIS!$A$2:$A$21,0)),0)</f>
        <v>0.66666666666666663</v>
      </c>
      <c r="AY414" s="2">
        <f t="shared" si="176"/>
        <v>0</v>
      </c>
      <c r="AZ414" s="2">
        <f t="shared" si="177"/>
        <v>0</v>
      </c>
      <c r="BA414">
        <f t="shared" si="178"/>
        <v>0</v>
      </c>
      <c r="BB414">
        <f>IFERROR(Player_Analysis!$Y414,1)</f>
        <v>0.9426384083044983</v>
      </c>
      <c r="BC414">
        <f t="shared" si="179"/>
        <v>0</v>
      </c>
      <c r="BD414">
        <f t="shared" si="180"/>
        <v>0</v>
      </c>
      <c r="BE414">
        <f t="shared" si="181"/>
        <v>0</v>
      </c>
      <c r="BF414">
        <f t="shared" si="182"/>
        <v>253</v>
      </c>
      <c r="BG414">
        <f>IF($BE414="","",COUNTIFS($C$2:$C$596,$C414,$BE$2:$BE$596,"&gt;"&amp;$BE414)+COUNTIFS($C$2:$C414,$C414,$BE$2:$BE414,$BE414))</f>
        <v>61</v>
      </c>
    </row>
    <row r="415" spans="1:59" x14ac:dyDescent="0.25">
      <c r="A415" t="str">
        <f>Player_Analysis!A415</f>
        <v>Mateo Joseph Fernández-Regatillo</v>
      </c>
      <c r="B415">
        <f>Player_Analysis!C415</f>
        <v>13</v>
      </c>
      <c r="C415" t="str">
        <f>Player_Analysis!B415</f>
        <v>FWD</v>
      </c>
      <c r="D415" s="13">
        <f>Player_Analysis!E415</f>
        <v>4.5</v>
      </c>
      <c r="E415">
        <f>Player_Analysis!I415</f>
        <v>0</v>
      </c>
      <c r="F415" s="8">
        <f>Player_Analysis!Z415</f>
        <v>0</v>
      </c>
      <c r="G415" s="17">
        <f t="shared" si="157"/>
        <v>0</v>
      </c>
      <c r="H415">
        <f t="shared" si="158"/>
        <v>0</v>
      </c>
      <c r="I415" s="8">
        <f>Player_Analysis!AF415</f>
        <v>0</v>
      </c>
      <c r="J415" s="8">
        <f>Player_Analysis!AG415</f>
        <v>0</v>
      </c>
      <c r="K415">
        <f>Player_Analysis!O415</f>
        <v>0</v>
      </c>
      <c r="L415">
        <f>Player_Analysis!P415</f>
        <v>0</v>
      </c>
      <c r="M415" t="str">
        <f t="shared" si="159"/>
        <v/>
      </c>
      <c r="N415" t="str">
        <f t="shared" si="160"/>
        <v/>
      </c>
      <c r="O415" s="2" t="str">
        <f>IF(E415=0,"",Player_Analysis!L415/E415*90)</f>
        <v/>
      </c>
      <c r="P415" t="str">
        <f>IF(E415=0,"",Player_Analysis!Q415/E415*90)</f>
        <v/>
      </c>
      <c r="Q415" t="str">
        <f>IF(E415=0,"",(Player_Analysis!AD415/E415)*90)</f>
        <v/>
      </c>
      <c r="R415" t="str">
        <f>IF(E415=0,"",Player_Analysis!AA415/E415*90)</f>
        <v/>
      </c>
      <c r="S415" t="str">
        <f t="array" ref="S415">IFERROR(INDEX('2023_24'!$O:$O,MATCH($A415,'2023_24'!$A:$A,0)),"")</f>
        <v/>
      </c>
      <c r="T415" t="str">
        <f>IFERROR(INDEX('2024_25'!$P:$P,MATCH($A415,'2024_25'!$A:$A,0)),"")</f>
        <v/>
      </c>
      <c r="U415">
        <f>IFERROR(INDEX('2025_26'!$P:$P,MATCH($A415,'2025_26'!$A:$A,0)),"")</f>
        <v>0</v>
      </c>
      <c r="V415" t="str">
        <f>IFERROR(INDEX('2023_24'!$P:$P,MATCH($A415,'2023_24'!$A:$A,0)),"")</f>
        <v/>
      </c>
      <c r="W415" t="str">
        <f>IFERROR(INDEX('2024_25'!$Q:$Q,MATCH($A415,'2024_25'!$A:$A,0)),"")</f>
        <v/>
      </c>
      <c r="X415">
        <f>IFERROR(INDEX('2025_26'!$Q:$Q,MATCH($A415,'2025_26'!$A:$A,0)),"")</f>
        <v>0</v>
      </c>
      <c r="Y415" t="str">
        <f>IFERROR(INDEX('2023_24'!$M:$M,MATCH($A415,'2023_24'!$A:$A,0))/INDEX('2023_24'!$G:$G,MATCH($A415,'2023_24'!$A:$A,0))*90,"")</f>
        <v/>
      </c>
      <c r="Z415" t="str">
        <f>IFERROR(INDEX('2024_25'!$M:$M,MATCH($A415,'2024_25'!$A:$A,0))/INDEX('2024_25'!$G:$G,MATCH($A415,'2024_25'!$A:$A,0))*90,"")</f>
        <v/>
      </c>
      <c r="AA415" t="str">
        <f>IFERROR(INDEX('2025_26'!$M:$M,MATCH($A415,'2025_26'!$A:$A,0))/INDEX('2025_26'!$G:$G,MATCH($A415,'2025_26'!$A:$A,0))*90,"")</f>
        <v/>
      </c>
      <c r="AB415">
        <f>IFERROR(SUMPRODUCT(S415:U415,{0.2,0.3,0.5})/SUMPRODUCT(--(S415:U415&lt;&gt;""),{0.2,0.3,0.5}),"")</f>
        <v>0</v>
      </c>
      <c r="AC415">
        <f>IFERROR(SUMPRODUCT(V415:X415,{0.2,0.3,0.5})/SUMPRODUCT(--(V415:X415&lt;&gt;""),{0.2,0.3,0.5}),"")</f>
        <v>0</v>
      </c>
      <c r="AD415" t="str">
        <f>IFERROR(SUMPRODUCT(Y415:AA415,{0.2,0.3,0.5})/SUMPRODUCT((Y415:AA415&lt;&gt;"")*{0.2,0.3,0.5}),O415)</f>
        <v/>
      </c>
      <c r="AE415">
        <f t="shared" si="161"/>
        <v>1</v>
      </c>
      <c r="AF415" t="str">
        <f t="shared" si="162"/>
        <v/>
      </c>
      <c r="AG415">
        <f t="shared" si="163"/>
        <v>0</v>
      </c>
      <c r="AH415">
        <f t="shared" si="164"/>
        <v>0</v>
      </c>
      <c r="AI415" s="2">
        <f t="shared" si="165"/>
        <v>0</v>
      </c>
      <c r="AJ415">
        <f t="shared" si="166"/>
        <v>0</v>
      </c>
      <c r="AK415" t="str">
        <f t="shared" si="167"/>
        <v>NO</v>
      </c>
      <c r="AL415">
        <f t="shared" si="168"/>
        <v>0</v>
      </c>
      <c r="AM415">
        <f t="shared" si="169"/>
        <v>0</v>
      </c>
      <c r="AN415">
        <f t="shared" si="170"/>
        <v>0</v>
      </c>
      <c r="AO415">
        <f t="shared" si="171"/>
        <v>0</v>
      </c>
      <c r="AP415">
        <f t="array" ref="AP415">AL415*IF($C415="GKP",10,IF($C415="DEF",6,IF($C415="MID",5,4)))</f>
        <v>0</v>
      </c>
      <c r="AQ415">
        <f t="shared" si="172"/>
        <v>0</v>
      </c>
      <c r="AR415">
        <f t="shared" si="173"/>
        <v>0</v>
      </c>
      <c r="AS415" s="2">
        <f>IF($H415=0,0,Player_Analysis!$AM415*$H415/90)</f>
        <v>0</v>
      </c>
      <c r="AT415">
        <f t="shared" si="174"/>
        <v>0</v>
      </c>
      <c r="AU415" s="2">
        <f>0</f>
        <v>0</v>
      </c>
      <c r="AV415" s="2" t="str">
        <f>IF(INDEX(FPL_Raw_Data!K:K,MATCH(A415,FPL_Raw_Data!AA:AA,0))=0,"",INDEX(FPL_Raw_Data!P:P,MATCH(A415,FPL_Raw_Data!AA:AA,0))/INDEX(FPL_Raw_Data!K:K,MATCH(A415,FPL_Raw_Data!AA:AA,0))*90)</f>
        <v/>
      </c>
      <c r="AW415" s="2">
        <f t="shared" si="175"/>
        <v>0</v>
      </c>
      <c r="AX415" s="2">
        <f>IFERROR(INDEX(TEAM_ANALYSIS!$H$2:$H$21,MATCH($B415,TEAM_ANALYSIS!$A$2:$A$21,0)),0)</f>
        <v>0.66666666666666663</v>
      </c>
      <c r="AY415" s="2">
        <f t="shared" si="176"/>
        <v>0</v>
      </c>
      <c r="AZ415" s="2">
        <f t="shared" si="177"/>
        <v>0</v>
      </c>
      <c r="BA415">
        <f t="shared" si="178"/>
        <v>0</v>
      </c>
      <c r="BB415">
        <f>IFERROR(Player_Analysis!$Y415,1)</f>
        <v>0.9426384083044983</v>
      </c>
      <c r="BC415">
        <f t="shared" si="179"/>
        <v>0</v>
      </c>
      <c r="BD415">
        <f t="shared" si="180"/>
        <v>0</v>
      </c>
      <c r="BE415">
        <f t="shared" si="181"/>
        <v>0</v>
      </c>
      <c r="BF415">
        <f t="shared" si="182"/>
        <v>253</v>
      </c>
      <c r="BG415">
        <f>IF($BE415="","",COUNTIFS($C$2:$C$596,$C415,$BE$2:$BE$596,"&gt;"&amp;$BE415)+COUNTIFS($C$2:$C415,$C415,$BE$2:$BE415,$BE415))</f>
        <v>62</v>
      </c>
    </row>
    <row r="416" spans="1:59" x14ac:dyDescent="0.25">
      <c r="A416" t="str">
        <f>Player_Analysis!A416</f>
        <v>James Trafford</v>
      </c>
      <c r="B416">
        <f>Player_Analysis!C416</f>
        <v>13</v>
      </c>
      <c r="C416" t="str">
        <f>Player_Analysis!B416</f>
        <v>GK</v>
      </c>
      <c r="D416" s="13">
        <f>Player_Analysis!E416</f>
        <v>5</v>
      </c>
      <c r="E416">
        <f>Player_Analysis!I416</f>
        <v>270</v>
      </c>
      <c r="F416" s="8">
        <f>Player_Analysis!Z416</f>
        <v>3</v>
      </c>
      <c r="G416" s="17">
        <f t="shared" si="157"/>
        <v>1</v>
      </c>
      <c r="H416">
        <f t="shared" si="158"/>
        <v>90</v>
      </c>
      <c r="I416" s="8">
        <f>Player_Analysis!AF416</f>
        <v>0</v>
      </c>
      <c r="J416" s="8">
        <f>Player_Analysis!AG416</f>
        <v>0</v>
      </c>
      <c r="K416">
        <f>Player_Analysis!O416</f>
        <v>0</v>
      </c>
      <c r="L416">
        <f>Player_Analysis!P416</f>
        <v>0</v>
      </c>
      <c r="M416">
        <f t="shared" si="159"/>
        <v>0</v>
      </c>
      <c r="N416">
        <f t="shared" si="160"/>
        <v>0</v>
      </c>
      <c r="O416" s="2">
        <f>IF(E416=0,"",Player_Analysis!L416/E416*90)</f>
        <v>5</v>
      </c>
      <c r="P416">
        <f>IF(E416=0,"",Player_Analysis!Q416/E416*90)</f>
        <v>0</v>
      </c>
      <c r="Q416">
        <f>IF(E416=0,"",(Player_Analysis!AD416/E416)*90)</f>
        <v>22</v>
      </c>
      <c r="R416">
        <f>IF(E416=0,"",Player_Analysis!AA416/E416*90)</f>
        <v>0</v>
      </c>
      <c r="S416">
        <f t="array" ref="S416">IFERROR(INDEX('2023_24'!$O:$O,MATCH($A416,'2023_24'!$A:$A,0)),"")</f>
        <v>0</v>
      </c>
      <c r="T416" t="str">
        <f>IFERROR(INDEX('2024_25'!$P:$P,MATCH($A416,'2024_25'!$A:$A,0)),"")</f>
        <v/>
      </c>
      <c r="U416">
        <f>IFERROR(INDEX('2025_26'!$P:$P,MATCH($A416,'2025_26'!$A:$A,0)),"")</f>
        <v>0</v>
      </c>
      <c r="V416">
        <f>IFERROR(INDEX('2023_24'!$P:$P,MATCH($A416,'2023_24'!$A:$A,0)),"")</f>
        <v>1.4285714285714286E-3</v>
      </c>
      <c r="W416" t="str">
        <f>IFERROR(INDEX('2024_25'!$Q:$Q,MATCH($A416,'2024_25'!$A:$A,0)),"")</f>
        <v/>
      </c>
      <c r="X416">
        <f>IFERROR(INDEX('2025_26'!$Q:$Q,MATCH($A416,'2025_26'!$A:$A,0)),"")</f>
        <v>0</v>
      </c>
      <c r="Y416">
        <f>IFERROR(INDEX('2023_24'!$M:$M,MATCH($A416,'2023_24'!$A:$A,0))/INDEX('2023_24'!$G:$G,MATCH($A416,'2023_24'!$A:$A,0))*90,"")</f>
        <v>2.5</v>
      </c>
      <c r="Z416" t="str">
        <f>IFERROR(INDEX('2024_25'!$M:$M,MATCH($A416,'2024_25'!$A:$A,0))/INDEX('2024_25'!$G:$G,MATCH($A416,'2024_25'!$A:$A,0))*90,"")</f>
        <v/>
      </c>
      <c r="AA416">
        <f>IFERROR(INDEX('2025_26'!$M:$M,MATCH($A416,'2025_26'!$A:$A,0))/INDEX('2025_26'!$G:$G,MATCH($A416,'2025_26'!$A:$A,0))*90,"")</f>
        <v>3.2499999999999996</v>
      </c>
      <c r="AB416">
        <f>IFERROR(SUMPRODUCT(S416:U416,{0.2,0.3,0.5})/SUMPRODUCT(--(S416:U416&lt;&gt;""),{0.2,0.3,0.5}),"")</f>
        <v>0</v>
      </c>
      <c r="AC416">
        <f>IFERROR(SUMPRODUCT(V416:X416,{0.2,0.3,0.5})/SUMPRODUCT(--(V416:X416&lt;&gt;""),{0.2,0.3,0.5}),"")</f>
        <v>4.0816326530612252E-4</v>
      </c>
      <c r="AD416">
        <f>IFERROR(SUMPRODUCT(Y416:AA416,{0.2,0.3,0.5})/SUMPRODUCT((Y416:AA416&lt;&gt;"")*{0.2,0.3,0.5}),O416)</f>
        <v>3.035714285714286</v>
      </c>
      <c r="AE416">
        <f t="shared" si="161"/>
        <v>2</v>
      </c>
      <c r="AF416">
        <f t="shared" si="162"/>
        <v>90</v>
      </c>
      <c r="AG416">
        <f t="shared" si="163"/>
        <v>0</v>
      </c>
      <c r="AH416">
        <f t="shared" si="164"/>
        <v>4.0816326530612245E-5</v>
      </c>
      <c r="AI416" s="2">
        <f t="shared" si="165"/>
        <v>4.8035714285714288</v>
      </c>
      <c r="AJ416">
        <f t="shared" si="166"/>
        <v>0.9</v>
      </c>
      <c r="AK416" t="str">
        <f t="shared" si="167"/>
        <v>NO</v>
      </c>
      <c r="AL416">
        <f t="shared" si="168"/>
        <v>0</v>
      </c>
      <c r="AM416">
        <f t="shared" si="169"/>
        <v>4.0816326530612245E-5</v>
      </c>
      <c r="AN416">
        <f t="shared" si="170"/>
        <v>0</v>
      </c>
      <c r="AO416">
        <f t="shared" si="171"/>
        <v>4.0816326530612245E-5</v>
      </c>
      <c r="AP416">
        <f t="array" ref="AP416">AL416*IF($C416="GKP",10,IF($C416="DEF",6,IF($C416="MID",5,4)))</f>
        <v>0</v>
      </c>
      <c r="AQ416">
        <f t="shared" si="172"/>
        <v>1.2244897959183673E-4</v>
      </c>
      <c r="AR416">
        <f t="shared" si="173"/>
        <v>2</v>
      </c>
      <c r="AS416" s="2">
        <f>IF($H416=0,0,Player_Analysis!$AM416*$H416/90)</f>
        <v>1.3333333333333333</v>
      </c>
      <c r="AT416">
        <f t="shared" si="174"/>
        <v>0</v>
      </c>
      <c r="AU416" s="2">
        <f>0</f>
        <v>0</v>
      </c>
      <c r="AV416" s="2">
        <f>IF(INDEX(FPL_Raw_Data!K:K,MATCH(A416,FPL_Raw_Data!AA:AA,0))=0,"",INDEX(FPL_Raw_Data!P:P,MATCH(A416,FPL_Raw_Data!AA:AA,0))/INDEX(FPL_Raw_Data!K:K,MATCH(A416,FPL_Raw_Data!AA:AA,0))*90)</f>
        <v>3.666666666666667</v>
      </c>
      <c r="AW416" s="2">
        <f t="shared" si="175"/>
        <v>1.2222222222222223</v>
      </c>
      <c r="AX416" s="2">
        <f>IFERROR(INDEX(TEAM_ANALYSIS!$H$2:$H$21,MATCH($B416,TEAM_ANALYSIS!$A$2:$A$21,0)),0)</f>
        <v>0.66666666666666663</v>
      </c>
      <c r="AY416" s="2">
        <f t="shared" si="176"/>
        <v>0</v>
      </c>
      <c r="AZ416" s="2">
        <f t="shared" si="177"/>
        <v>4.5556780045351477</v>
      </c>
      <c r="BA416">
        <f t="shared" si="178"/>
        <v>0.9111356009070295</v>
      </c>
      <c r="BB416">
        <f>IFERROR(Player_Analysis!$Y416,1)</f>
        <v>1.1380357723577235</v>
      </c>
      <c r="BC416">
        <f t="shared" si="179"/>
        <v>5.1845245365042496</v>
      </c>
      <c r="BD416">
        <f t="shared" si="180"/>
        <v>4.723804878985038</v>
      </c>
      <c r="BE416">
        <f t="shared" si="181"/>
        <v>5.1845245365042496</v>
      </c>
      <c r="BF416">
        <f t="shared" si="182"/>
        <v>83</v>
      </c>
      <c r="BG416">
        <f>IF($BE416="","",COUNTIFS($C$2:$C$596,$C416,$BE$2:$BE$596,"&gt;"&amp;$BE416)+COUNTIFS($C$2:$C416,$C416,$BE$2:$BE416,$BE416))</f>
        <v>4</v>
      </c>
    </row>
    <row r="417" spans="1:59" x14ac:dyDescent="0.25">
      <c r="A417" t="str">
        <f>Player_Analysis!A417</f>
        <v>Nico Elvedi</v>
      </c>
      <c r="B417">
        <f>Player_Analysis!C417</f>
        <v>13</v>
      </c>
      <c r="C417" t="str">
        <f>Player_Analysis!B417</f>
        <v>DEF</v>
      </c>
      <c r="D417" s="13">
        <f>Player_Analysis!E417</f>
        <v>4.5</v>
      </c>
      <c r="E417">
        <f>Player_Analysis!I417</f>
        <v>146</v>
      </c>
      <c r="F417" s="8">
        <f>Player_Analysis!Z417</f>
        <v>1</v>
      </c>
      <c r="G417" s="17">
        <f t="shared" si="157"/>
        <v>0.61643835616438358</v>
      </c>
      <c r="H417">
        <f t="shared" si="158"/>
        <v>55.479452054794521</v>
      </c>
      <c r="I417" s="8">
        <f>Player_Analysis!AF417</f>
        <v>0</v>
      </c>
      <c r="J417" s="8">
        <f>Player_Analysis!AG417</f>
        <v>0</v>
      </c>
      <c r="K417">
        <f>Player_Analysis!O417</f>
        <v>0</v>
      </c>
      <c r="L417">
        <f>Player_Analysis!P417</f>
        <v>0.56999999999999995</v>
      </c>
      <c r="M417">
        <f t="shared" si="159"/>
        <v>0</v>
      </c>
      <c r="N417">
        <f t="shared" si="160"/>
        <v>0.3513698630136986</v>
      </c>
      <c r="O417" s="2">
        <f>IF(E417=0,"",Player_Analysis!L417/E417*90)</f>
        <v>3.0821917808219177</v>
      </c>
      <c r="P417">
        <f>IF(E417=0,"",Player_Analysis!Q417/E417*90)</f>
        <v>0.3513698630136986</v>
      </c>
      <c r="Q417">
        <f>IF(E417=0,"",(Player_Analysis!AD417/E417)*90)</f>
        <v>12.945205479452055</v>
      </c>
      <c r="R417">
        <f>IF(E417=0,"",Player_Analysis!AA417/E417*90)</f>
        <v>9.8630136986301373</v>
      </c>
      <c r="S417" t="str">
        <f t="array" ref="S417">IFERROR(INDEX('2023_24'!$O:$O,MATCH($A417,'2023_24'!$A:$A,0)),"")</f>
        <v/>
      </c>
      <c r="T417" t="str">
        <f>IFERROR(INDEX('2024_25'!$P:$P,MATCH($A417,'2024_25'!$A:$A,0)),"")</f>
        <v/>
      </c>
      <c r="U417" t="str">
        <f>IFERROR(INDEX('2025_26'!$P:$P,MATCH($A417,'2025_26'!$A:$A,0)),"")</f>
        <v/>
      </c>
      <c r="V417" t="str">
        <f>IFERROR(INDEX('2023_24'!$P:$P,MATCH($A417,'2023_24'!$A:$A,0)),"")</f>
        <v/>
      </c>
      <c r="W417" t="str">
        <f>IFERROR(INDEX('2024_25'!$Q:$Q,MATCH($A417,'2024_25'!$A:$A,0)),"")</f>
        <v/>
      </c>
      <c r="X417" t="str">
        <f>IFERROR(INDEX('2025_26'!$Q:$Q,MATCH($A417,'2025_26'!$A:$A,0)),"")</f>
        <v/>
      </c>
      <c r="Y417" t="str">
        <f>IFERROR(INDEX('2023_24'!$M:$M,MATCH($A417,'2023_24'!$A:$A,0))/INDEX('2023_24'!$G:$G,MATCH($A417,'2023_24'!$A:$A,0))*90,"")</f>
        <v/>
      </c>
      <c r="Z417" t="str">
        <f>IFERROR(INDEX('2024_25'!$M:$M,MATCH($A417,'2024_25'!$A:$A,0))/INDEX('2024_25'!$G:$G,MATCH($A417,'2024_25'!$A:$A,0))*90,"")</f>
        <v/>
      </c>
      <c r="AA417" t="str">
        <f>IFERROR(INDEX('2025_26'!$M:$M,MATCH($A417,'2025_26'!$A:$A,0))/INDEX('2025_26'!$G:$G,MATCH($A417,'2025_26'!$A:$A,0))*90,"")</f>
        <v/>
      </c>
      <c r="AB417" t="str">
        <f>IFERROR(SUMPRODUCT(S417:U417,{0.2,0.3,0.5})/SUMPRODUCT(--(S417:U417&lt;&gt;""),{0.2,0.3,0.5}),"")</f>
        <v/>
      </c>
      <c r="AC417" t="str">
        <f>IFERROR(SUMPRODUCT(V417:X417,{0.2,0.3,0.5})/SUMPRODUCT(--(V417:X417&lt;&gt;""),{0.2,0.3,0.5}),"")</f>
        <v/>
      </c>
      <c r="AD417">
        <f>IFERROR(SUMPRODUCT(Y417:AA417,{0.2,0.3,0.5})/SUMPRODUCT((Y417:AA417&lt;&gt;"")*{0.2,0.3,0.5}),O417)</f>
        <v>3.0821917808219177</v>
      </c>
      <c r="AE417">
        <f t="shared" si="161"/>
        <v>0</v>
      </c>
      <c r="AF417">
        <f t="shared" si="162"/>
        <v>146</v>
      </c>
      <c r="AG417">
        <f t="shared" si="163"/>
        <v>0</v>
      </c>
      <c r="AH417">
        <f t="shared" si="164"/>
        <v>0.3513698630136986</v>
      </c>
      <c r="AI417" s="2">
        <f t="shared" si="165"/>
        <v>3.0821917808219177</v>
      </c>
      <c r="AJ417">
        <f t="shared" si="166"/>
        <v>0.48666666666666669</v>
      </c>
      <c r="AK417" t="str">
        <f t="shared" si="167"/>
        <v>YES</v>
      </c>
      <c r="AL417">
        <f t="shared" si="168"/>
        <v>0</v>
      </c>
      <c r="AM417">
        <f t="shared" si="169"/>
        <v>0.21659786076186902</v>
      </c>
      <c r="AN417">
        <f t="shared" si="170"/>
        <v>0</v>
      </c>
      <c r="AO417">
        <f t="shared" si="171"/>
        <v>0.21659786076186902</v>
      </c>
      <c r="AP417">
        <f t="array" ref="AP417">AL417*IF($C417="GKP",10,IF($C417="DEF",6,IF($C417="MID",5,4)))</f>
        <v>0</v>
      </c>
      <c r="AQ417">
        <f t="shared" si="172"/>
        <v>0.64979358228560702</v>
      </c>
      <c r="AR417">
        <f t="shared" si="173"/>
        <v>1.2328767123287672</v>
      </c>
      <c r="AS417" s="2">
        <f>IF($H417=0,0,Player_Analysis!$AM417*$H417/90)</f>
        <v>0</v>
      </c>
      <c r="AT417">
        <f t="shared" si="174"/>
        <v>1.2159879902420718</v>
      </c>
      <c r="AU417" s="2">
        <f>0</f>
        <v>0</v>
      </c>
      <c r="AV417" s="2">
        <f>IF(INDEX(FPL_Raw_Data!K:K,MATCH(A417,FPL_Raw_Data!AA:AA,0))=0,"",INDEX(FPL_Raw_Data!P:P,MATCH(A417,FPL_Raw_Data!AA:AA,0))/INDEX(FPL_Raw_Data!K:K,MATCH(A417,FPL_Raw_Data!AA:AA,0))*90)</f>
        <v>0</v>
      </c>
      <c r="AW417" s="2">
        <f t="shared" si="175"/>
        <v>0</v>
      </c>
      <c r="AX417" s="2">
        <f>IFERROR(INDEX(TEAM_ANALYSIS!$H$2:$H$21,MATCH($B417,TEAM_ANALYSIS!$A$2:$A$21,0)),0)</f>
        <v>0.66666666666666663</v>
      </c>
      <c r="AY417" s="2">
        <f t="shared" si="176"/>
        <v>-0.33333333333333331</v>
      </c>
      <c r="AZ417" s="2">
        <f t="shared" si="177"/>
        <v>2.7653249515231129</v>
      </c>
      <c r="BA417">
        <f t="shared" si="178"/>
        <v>0.61451665589402504</v>
      </c>
      <c r="BB417">
        <f>IFERROR(Player_Analysis!$Y417,1)</f>
        <v>1.1380357723577235</v>
      </c>
      <c r="BC417">
        <f t="shared" si="179"/>
        <v>3.1470387170266898</v>
      </c>
      <c r="BD417">
        <f t="shared" si="180"/>
        <v>1.9339077083562644</v>
      </c>
      <c r="BE417">
        <f t="shared" si="181"/>
        <v>3.1470387170266898</v>
      </c>
      <c r="BF417">
        <f t="shared" si="182"/>
        <v>195</v>
      </c>
      <c r="BG417">
        <f>IF($BE417="","",COUNTIFS($C$2:$C$596,$C417,$BE$2:$BE$596,"&gt;"&amp;$BE417)+COUNTIFS($C$2:$C417,$C417,$BE$2:$BE417,$BE417))</f>
        <v>61</v>
      </c>
    </row>
    <row r="418" spans="1:59" x14ac:dyDescent="0.25">
      <c r="A418" t="str">
        <f>Player_Analysis!A418</f>
        <v>Jayden Lienou</v>
      </c>
      <c r="B418">
        <f>Player_Analysis!C418</f>
        <v>13</v>
      </c>
      <c r="C418" t="str">
        <f>Player_Analysis!B418</f>
        <v>DEF</v>
      </c>
      <c r="D418" s="13">
        <f>Player_Analysis!E418</f>
        <v>4</v>
      </c>
      <c r="E418">
        <f>Player_Analysis!I418</f>
        <v>0</v>
      </c>
      <c r="F418" s="8">
        <f>Player_Analysis!Z418</f>
        <v>0</v>
      </c>
      <c r="G418" s="17">
        <f t="shared" si="157"/>
        <v>0</v>
      </c>
      <c r="H418">
        <f t="shared" si="158"/>
        <v>0</v>
      </c>
      <c r="I418" s="8">
        <f>Player_Analysis!AF418</f>
        <v>0</v>
      </c>
      <c r="J418" s="8">
        <f>Player_Analysis!AG418</f>
        <v>0</v>
      </c>
      <c r="K418">
        <f>Player_Analysis!O418</f>
        <v>0</v>
      </c>
      <c r="L418">
        <f>Player_Analysis!P418</f>
        <v>0</v>
      </c>
      <c r="M418" t="str">
        <f t="shared" si="159"/>
        <v/>
      </c>
      <c r="N418" t="str">
        <f t="shared" si="160"/>
        <v/>
      </c>
      <c r="O418" s="2" t="str">
        <f>IF(E418=0,"",Player_Analysis!L418/E418*90)</f>
        <v/>
      </c>
      <c r="P418" t="str">
        <f>IF(E418=0,"",Player_Analysis!Q418/E418*90)</f>
        <v/>
      </c>
      <c r="Q418" t="str">
        <f>IF(E418=0,"",(Player_Analysis!AD418/E418)*90)</f>
        <v/>
      </c>
      <c r="R418" t="str">
        <f>IF(E418=0,"",Player_Analysis!AA418/E418*90)</f>
        <v/>
      </c>
      <c r="S418" t="str">
        <f t="array" ref="S418">IFERROR(INDEX('2023_24'!$O:$O,MATCH($A418,'2023_24'!$A:$A,0)),"")</f>
        <v/>
      </c>
      <c r="T418" t="str">
        <f>IFERROR(INDEX('2024_25'!$P:$P,MATCH($A418,'2024_25'!$A:$A,0)),"")</f>
        <v/>
      </c>
      <c r="U418">
        <f>IFERROR(INDEX('2025_26'!$P:$P,MATCH($A418,'2025_26'!$A:$A,0)),"")</f>
        <v>0</v>
      </c>
      <c r="V418" t="str">
        <f>IFERROR(INDEX('2023_24'!$P:$P,MATCH($A418,'2023_24'!$A:$A,0)),"")</f>
        <v/>
      </c>
      <c r="W418" t="str">
        <f>IFERROR(INDEX('2024_25'!$Q:$Q,MATCH($A418,'2024_25'!$A:$A,0)),"")</f>
        <v/>
      </c>
      <c r="X418">
        <f>IFERROR(INDEX('2025_26'!$Q:$Q,MATCH($A418,'2025_26'!$A:$A,0)),"")</f>
        <v>0</v>
      </c>
      <c r="Y418" t="str">
        <f>IFERROR(INDEX('2023_24'!$M:$M,MATCH($A418,'2023_24'!$A:$A,0))/INDEX('2023_24'!$G:$G,MATCH($A418,'2023_24'!$A:$A,0))*90,"")</f>
        <v/>
      </c>
      <c r="Z418" t="str">
        <f>IFERROR(INDEX('2024_25'!$M:$M,MATCH($A418,'2024_25'!$A:$A,0))/INDEX('2024_25'!$G:$G,MATCH($A418,'2024_25'!$A:$A,0))*90,"")</f>
        <v/>
      </c>
      <c r="AA418" t="str">
        <f>IFERROR(INDEX('2025_26'!$M:$M,MATCH($A418,'2025_26'!$A:$A,0))/INDEX('2025_26'!$G:$G,MATCH($A418,'2025_26'!$A:$A,0))*90,"")</f>
        <v/>
      </c>
      <c r="AB418">
        <f>IFERROR(SUMPRODUCT(S418:U418,{0.2,0.3,0.5})/SUMPRODUCT(--(S418:U418&lt;&gt;""),{0.2,0.3,0.5}),"")</f>
        <v>0</v>
      </c>
      <c r="AC418">
        <f>IFERROR(SUMPRODUCT(V418:X418,{0.2,0.3,0.5})/SUMPRODUCT(--(V418:X418&lt;&gt;""),{0.2,0.3,0.5}),"")</f>
        <v>0</v>
      </c>
      <c r="AD418" t="str">
        <f>IFERROR(SUMPRODUCT(Y418:AA418,{0.2,0.3,0.5})/SUMPRODUCT((Y418:AA418&lt;&gt;"")*{0.2,0.3,0.5}),O418)</f>
        <v/>
      </c>
      <c r="AE418">
        <f t="shared" si="161"/>
        <v>1</v>
      </c>
      <c r="AF418" t="str">
        <f t="shared" si="162"/>
        <v/>
      </c>
      <c r="AG418">
        <f t="shared" si="163"/>
        <v>0</v>
      </c>
      <c r="AH418">
        <f t="shared" si="164"/>
        <v>0</v>
      </c>
      <c r="AI418" s="2">
        <f t="shared" si="165"/>
        <v>0</v>
      </c>
      <c r="AJ418">
        <f t="shared" si="166"/>
        <v>0</v>
      </c>
      <c r="AK418" t="str">
        <f t="shared" si="167"/>
        <v>NO</v>
      </c>
      <c r="AL418">
        <f t="shared" si="168"/>
        <v>0</v>
      </c>
      <c r="AM418">
        <f t="shared" si="169"/>
        <v>0</v>
      </c>
      <c r="AN418">
        <f t="shared" si="170"/>
        <v>0</v>
      </c>
      <c r="AO418">
        <f t="shared" si="171"/>
        <v>0</v>
      </c>
      <c r="AP418">
        <f t="array" ref="AP418">AL418*IF($C418="GKP",10,IF($C418="DEF",6,IF($C418="MID",5,4)))</f>
        <v>0</v>
      </c>
      <c r="AQ418">
        <f t="shared" si="172"/>
        <v>0</v>
      </c>
      <c r="AR418">
        <f t="shared" si="173"/>
        <v>0</v>
      </c>
      <c r="AS418" s="2">
        <f>IF($H418=0,0,Player_Analysis!$AM418*$H418/90)</f>
        <v>0</v>
      </c>
      <c r="AT418">
        <f t="shared" si="174"/>
        <v>0</v>
      </c>
      <c r="AU418" s="2">
        <f>0</f>
        <v>0</v>
      </c>
      <c r="AV418" s="2" t="str">
        <f>IF(INDEX(FPL_Raw_Data!K:K,MATCH(A418,FPL_Raw_Data!AA:AA,0))=0,"",INDEX(FPL_Raw_Data!P:P,MATCH(A418,FPL_Raw_Data!AA:AA,0))/INDEX(FPL_Raw_Data!K:K,MATCH(A418,FPL_Raw_Data!AA:AA,0))*90)</f>
        <v/>
      </c>
      <c r="AW418" s="2">
        <f t="shared" si="175"/>
        <v>0</v>
      </c>
      <c r="AX418" s="2">
        <f>IFERROR(INDEX(TEAM_ANALYSIS!$H$2:$H$21,MATCH($B418,TEAM_ANALYSIS!$A$2:$A$21,0)),0)</f>
        <v>0.66666666666666663</v>
      </c>
      <c r="AY418" s="2">
        <f t="shared" si="176"/>
        <v>-0.33333333333333331</v>
      </c>
      <c r="AZ418" s="2">
        <f t="shared" si="177"/>
        <v>-0.33333333333333331</v>
      </c>
      <c r="BA418">
        <f t="shared" si="178"/>
        <v>-8.3333333333333329E-2</v>
      </c>
      <c r="BB418">
        <f>IFERROR(Player_Analysis!$Y418,1)</f>
        <v>1.1380357723577235</v>
      </c>
      <c r="BC418">
        <f t="shared" si="179"/>
        <v>-0.37934525745257447</v>
      </c>
      <c r="BD418">
        <f t="shared" si="180"/>
        <v>3.1612104787714534E-2</v>
      </c>
      <c r="BE418">
        <f t="shared" si="181"/>
        <v>-0.37934525745257447</v>
      </c>
      <c r="BF418">
        <f t="shared" si="182"/>
        <v>522</v>
      </c>
      <c r="BG418">
        <f>IF($BE418="","",COUNTIFS($C$2:$C$596,$C418,$BE$2:$BE$596,"&gt;"&amp;$BE418)+COUNTIFS($C$2:$C418,$C418,$BE$2:$BE418,$BE418))</f>
        <v>120</v>
      </c>
    </row>
    <row r="419" spans="1:59" x14ac:dyDescent="0.25">
      <c r="A419" t="str">
        <f>Player_Analysis!A419</f>
        <v>Alfie Cresswell</v>
      </c>
      <c r="B419">
        <f>Player_Analysis!C419</f>
        <v>13</v>
      </c>
      <c r="C419" t="str">
        <f>Player_Analysis!B419</f>
        <v>MID</v>
      </c>
      <c r="D419" s="13">
        <f>Player_Analysis!E419</f>
        <v>4.5</v>
      </c>
      <c r="E419">
        <f>Player_Analysis!I419</f>
        <v>0</v>
      </c>
      <c r="F419" s="8">
        <f>Player_Analysis!Z419</f>
        <v>0</v>
      </c>
      <c r="G419" s="17">
        <f t="shared" si="157"/>
        <v>0</v>
      </c>
      <c r="H419">
        <f t="shared" si="158"/>
        <v>0</v>
      </c>
      <c r="I419" s="8">
        <f>Player_Analysis!AF419</f>
        <v>0</v>
      </c>
      <c r="J419" s="8">
        <f>Player_Analysis!AG419</f>
        <v>0</v>
      </c>
      <c r="K419">
        <f>Player_Analysis!O419</f>
        <v>0</v>
      </c>
      <c r="L419">
        <f>Player_Analysis!P419</f>
        <v>0</v>
      </c>
      <c r="M419" t="str">
        <f t="shared" si="159"/>
        <v/>
      </c>
      <c r="N419" t="str">
        <f t="shared" si="160"/>
        <v/>
      </c>
      <c r="O419" s="2" t="str">
        <f>IF(E419=0,"",Player_Analysis!L419/E419*90)</f>
        <v/>
      </c>
      <c r="P419" t="str">
        <f>IF(E419=0,"",Player_Analysis!Q419/E419*90)</f>
        <v/>
      </c>
      <c r="Q419" t="str">
        <f>IF(E419=0,"",(Player_Analysis!AD419/E419)*90)</f>
        <v/>
      </c>
      <c r="R419" t="str">
        <f>IF(E419=0,"",Player_Analysis!AA419/E419*90)</f>
        <v/>
      </c>
      <c r="S419" t="str">
        <f t="array" ref="S419">IFERROR(INDEX('2023_24'!$O:$O,MATCH($A419,'2023_24'!$A:$A,0)),"")</f>
        <v/>
      </c>
      <c r="T419" t="str">
        <f>IFERROR(INDEX('2024_25'!$P:$P,MATCH($A419,'2024_25'!$A:$A,0)),"")</f>
        <v/>
      </c>
      <c r="U419">
        <f>IFERROR(INDEX('2025_26'!$P:$P,MATCH($A419,'2025_26'!$A:$A,0)),"")</f>
        <v>0</v>
      </c>
      <c r="V419" t="str">
        <f>IFERROR(INDEX('2023_24'!$P:$P,MATCH($A419,'2023_24'!$A:$A,0)),"")</f>
        <v/>
      </c>
      <c r="W419" t="str">
        <f>IFERROR(INDEX('2024_25'!$Q:$Q,MATCH($A419,'2024_25'!$A:$A,0)),"")</f>
        <v/>
      </c>
      <c r="X419">
        <f>IFERROR(INDEX('2025_26'!$Q:$Q,MATCH($A419,'2025_26'!$A:$A,0)),"")</f>
        <v>0</v>
      </c>
      <c r="Y419" t="str">
        <f>IFERROR(INDEX('2023_24'!$M:$M,MATCH($A419,'2023_24'!$A:$A,0))/INDEX('2023_24'!$G:$G,MATCH($A419,'2023_24'!$A:$A,0))*90,"")</f>
        <v/>
      </c>
      <c r="Z419" t="str">
        <f>IFERROR(INDEX('2024_25'!$M:$M,MATCH($A419,'2024_25'!$A:$A,0))/INDEX('2024_25'!$G:$G,MATCH($A419,'2024_25'!$A:$A,0))*90,"")</f>
        <v/>
      </c>
      <c r="AA419" t="str">
        <f>IFERROR(INDEX('2025_26'!$M:$M,MATCH($A419,'2025_26'!$A:$A,0))/INDEX('2025_26'!$G:$G,MATCH($A419,'2025_26'!$A:$A,0))*90,"")</f>
        <v/>
      </c>
      <c r="AB419">
        <f>IFERROR(SUMPRODUCT(S419:U419,{0.2,0.3,0.5})/SUMPRODUCT(--(S419:U419&lt;&gt;""),{0.2,0.3,0.5}),"")</f>
        <v>0</v>
      </c>
      <c r="AC419">
        <f>IFERROR(SUMPRODUCT(V419:X419,{0.2,0.3,0.5})/SUMPRODUCT(--(V419:X419&lt;&gt;""),{0.2,0.3,0.5}),"")</f>
        <v>0</v>
      </c>
      <c r="AD419" t="str">
        <f>IFERROR(SUMPRODUCT(Y419:AA419,{0.2,0.3,0.5})/SUMPRODUCT((Y419:AA419&lt;&gt;"")*{0.2,0.3,0.5}),O419)</f>
        <v/>
      </c>
      <c r="AE419">
        <f t="shared" si="161"/>
        <v>1</v>
      </c>
      <c r="AF419" t="str">
        <f t="shared" si="162"/>
        <v/>
      </c>
      <c r="AG419">
        <f t="shared" si="163"/>
        <v>0</v>
      </c>
      <c r="AH419">
        <f t="shared" si="164"/>
        <v>0</v>
      </c>
      <c r="AI419" s="2">
        <f t="shared" si="165"/>
        <v>0</v>
      </c>
      <c r="AJ419">
        <f t="shared" si="166"/>
        <v>0</v>
      </c>
      <c r="AK419" t="str">
        <f t="shared" si="167"/>
        <v>NO</v>
      </c>
      <c r="AL419">
        <f t="shared" si="168"/>
        <v>0</v>
      </c>
      <c r="AM419">
        <f t="shared" si="169"/>
        <v>0</v>
      </c>
      <c r="AN419">
        <f t="shared" si="170"/>
        <v>0</v>
      </c>
      <c r="AO419">
        <f t="shared" si="171"/>
        <v>0</v>
      </c>
      <c r="AP419">
        <f t="array" ref="AP419">AL419*IF($C419="GKP",10,IF($C419="DEF",6,IF($C419="MID",5,4)))</f>
        <v>0</v>
      </c>
      <c r="AQ419">
        <f t="shared" si="172"/>
        <v>0</v>
      </c>
      <c r="AR419">
        <f t="shared" si="173"/>
        <v>0</v>
      </c>
      <c r="AS419" s="2">
        <f>IF($H419=0,0,Player_Analysis!$AM419*$H419/90)</f>
        <v>0</v>
      </c>
      <c r="AT419">
        <f t="shared" si="174"/>
        <v>0</v>
      </c>
      <c r="AU419" s="2">
        <f>0</f>
        <v>0</v>
      </c>
      <c r="AV419" s="2" t="str">
        <f>IF(INDEX(FPL_Raw_Data!K:K,MATCH(A419,FPL_Raw_Data!AA:AA,0))=0,"",INDEX(FPL_Raw_Data!P:P,MATCH(A419,FPL_Raw_Data!AA:AA,0))/INDEX(FPL_Raw_Data!K:K,MATCH(A419,FPL_Raw_Data!AA:AA,0))*90)</f>
        <v/>
      </c>
      <c r="AW419" s="2">
        <f t="shared" si="175"/>
        <v>0</v>
      </c>
      <c r="AX419" s="2">
        <f>IFERROR(INDEX(TEAM_ANALYSIS!$H$2:$H$21,MATCH($B419,TEAM_ANALYSIS!$A$2:$A$21,0)),0)</f>
        <v>0.66666666666666663</v>
      </c>
      <c r="AY419" s="2">
        <f t="shared" si="176"/>
        <v>0</v>
      </c>
      <c r="AZ419" s="2">
        <f t="shared" si="177"/>
        <v>0</v>
      </c>
      <c r="BA419">
        <f t="shared" si="178"/>
        <v>0</v>
      </c>
      <c r="BB419">
        <f>IFERROR(Player_Analysis!$Y419,1)</f>
        <v>0.9426384083044983</v>
      </c>
      <c r="BC419">
        <f t="shared" si="179"/>
        <v>0</v>
      </c>
      <c r="BD419">
        <f t="shared" si="180"/>
        <v>0</v>
      </c>
      <c r="BE419">
        <f t="shared" si="181"/>
        <v>0</v>
      </c>
      <c r="BF419">
        <f t="shared" si="182"/>
        <v>253</v>
      </c>
      <c r="BG419">
        <f>IF($BE419="","",COUNTIFS($C$2:$C$596,$C419,$BE$2:$BE$596,"&gt;"&amp;$BE419)+COUNTIFS($C$2:$C419,$C419,$BE$2:$BE419,$BE419))</f>
        <v>222</v>
      </c>
    </row>
    <row r="420" spans="1:59" x14ac:dyDescent="0.25">
      <c r="A420" t="str">
        <f>Player_Analysis!A420</f>
        <v>Alex Cairns</v>
      </c>
      <c r="B420">
        <f>Player_Analysis!C420</f>
        <v>13</v>
      </c>
      <c r="C420" t="str">
        <f>Player_Analysis!B420</f>
        <v>GK</v>
      </c>
      <c r="D420" s="13">
        <f>Player_Analysis!E420</f>
        <v>4</v>
      </c>
      <c r="E420">
        <f>Player_Analysis!I420</f>
        <v>0</v>
      </c>
      <c r="F420" s="8">
        <f>Player_Analysis!Z420</f>
        <v>0</v>
      </c>
      <c r="G420" s="17">
        <f t="shared" si="157"/>
        <v>0</v>
      </c>
      <c r="H420">
        <f t="shared" si="158"/>
        <v>0</v>
      </c>
      <c r="I420" s="8">
        <f>Player_Analysis!AF420</f>
        <v>0</v>
      </c>
      <c r="J420" s="8">
        <f>Player_Analysis!AG420</f>
        <v>0</v>
      </c>
      <c r="K420">
        <f>Player_Analysis!O420</f>
        <v>0</v>
      </c>
      <c r="L420">
        <f>Player_Analysis!P420</f>
        <v>0</v>
      </c>
      <c r="M420" t="str">
        <f t="shared" si="159"/>
        <v/>
      </c>
      <c r="N420" t="str">
        <f t="shared" si="160"/>
        <v/>
      </c>
      <c r="O420" s="2" t="str">
        <f>IF(E420=0,"",Player_Analysis!L420/E420*90)</f>
        <v/>
      </c>
      <c r="P420" t="str">
        <f>IF(E420=0,"",Player_Analysis!Q420/E420*90)</f>
        <v/>
      </c>
      <c r="Q420" t="str">
        <f>IF(E420=0,"",(Player_Analysis!AD420/E420)*90)</f>
        <v/>
      </c>
      <c r="R420" t="str">
        <f>IF(E420=0,"",Player_Analysis!AA420/E420*90)</f>
        <v/>
      </c>
      <c r="S420" t="str">
        <f t="array" ref="S420">IFERROR(INDEX('2023_24'!$O:$O,MATCH($A420,'2023_24'!$A:$A,0)),"")</f>
        <v/>
      </c>
      <c r="T420" t="str">
        <f>IFERROR(INDEX('2024_25'!$P:$P,MATCH($A420,'2024_25'!$A:$A,0)),"")</f>
        <v/>
      </c>
      <c r="U420">
        <f>IFERROR(INDEX('2025_26'!$P:$P,MATCH($A420,'2025_26'!$A:$A,0)),"")</f>
        <v>0</v>
      </c>
      <c r="V420" t="str">
        <f>IFERROR(INDEX('2023_24'!$P:$P,MATCH($A420,'2023_24'!$A:$A,0)),"")</f>
        <v/>
      </c>
      <c r="W420" t="str">
        <f>IFERROR(INDEX('2024_25'!$Q:$Q,MATCH($A420,'2024_25'!$A:$A,0)),"")</f>
        <v/>
      </c>
      <c r="X420">
        <f>IFERROR(INDEX('2025_26'!$Q:$Q,MATCH($A420,'2025_26'!$A:$A,0)),"")</f>
        <v>0</v>
      </c>
      <c r="Y420" t="str">
        <f>IFERROR(INDEX('2023_24'!$M:$M,MATCH($A420,'2023_24'!$A:$A,0))/INDEX('2023_24'!$G:$G,MATCH($A420,'2023_24'!$A:$A,0))*90,"")</f>
        <v/>
      </c>
      <c r="Z420" t="str">
        <f>IFERROR(INDEX('2024_25'!$M:$M,MATCH($A420,'2024_25'!$A:$A,0))/INDEX('2024_25'!$G:$G,MATCH($A420,'2024_25'!$A:$A,0))*90,"")</f>
        <v/>
      </c>
      <c r="AA420" t="str">
        <f>IFERROR(INDEX('2025_26'!$M:$M,MATCH($A420,'2025_26'!$A:$A,0))/INDEX('2025_26'!$G:$G,MATCH($A420,'2025_26'!$A:$A,0))*90,"")</f>
        <v/>
      </c>
      <c r="AB420">
        <f>IFERROR(SUMPRODUCT(S420:U420,{0.2,0.3,0.5})/SUMPRODUCT(--(S420:U420&lt;&gt;""),{0.2,0.3,0.5}),"")</f>
        <v>0</v>
      </c>
      <c r="AC420">
        <f>IFERROR(SUMPRODUCT(V420:X420,{0.2,0.3,0.5})/SUMPRODUCT(--(V420:X420&lt;&gt;""),{0.2,0.3,0.5}),"")</f>
        <v>0</v>
      </c>
      <c r="AD420" t="str">
        <f>IFERROR(SUMPRODUCT(Y420:AA420,{0.2,0.3,0.5})/SUMPRODUCT((Y420:AA420&lt;&gt;"")*{0.2,0.3,0.5}),O420)</f>
        <v/>
      </c>
      <c r="AE420">
        <f t="shared" si="161"/>
        <v>1</v>
      </c>
      <c r="AF420" t="str">
        <f t="shared" si="162"/>
        <v/>
      </c>
      <c r="AG420">
        <f t="shared" si="163"/>
        <v>0</v>
      </c>
      <c r="AH420">
        <f t="shared" si="164"/>
        <v>0</v>
      </c>
      <c r="AI420" s="2">
        <f t="shared" si="165"/>
        <v>0</v>
      </c>
      <c r="AJ420">
        <f t="shared" si="166"/>
        <v>0</v>
      </c>
      <c r="AK420" t="str">
        <f t="shared" si="167"/>
        <v>NO</v>
      </c>
      <c r="AL420">
        <f t="shared" si="168"/>
        <v>0</v>
      </c>
      <c r="AM420">
        <f t="shared" si="169"/>
        <v>0</v>
      </c>
      <c r="AN420">
        <f t="shared" si="170"/>
        <v>0</v>
      </c>
      <c r="AO420">
        <f t="shared" si="171"/>
        <v>0</v>
      </c>
      <c r="AP420">
        <f t="array" ref="AP420">AL420*IF($C420="GKP",10,IF($C420="DEF",6,IF($C420="MID",5,4)))</f>
        <v>0</v>
      </c>
      <c r="AQ420">
        <f t="shared" si="172"/>
        <v>0</v>
      </c>
      <c r="AR420">
        <f t="shared" si="173"/>
        <v>0</v>
      </c>
      <c r="AS420" s="2">
        <f>IF($H420=0,0,Player_Analysis!$AM420*$H420/90)</f>
        <v>0</v>
      </c>
      <c r="AT420">
        <f t="shared" si="174"/>
        <v>0</v>
      </c>
      <c r="AU420" s="2">
        <f>0</f>
        <v>0</v>
      </c>
      <c r="AV420" s="2" t="str">
        <f>IF(INDEX(FPL_Raw_Data!K:K,MATCH(A420,FPL_Raw_Data!AA:AA,0))=0,"",INDEX(FPL_Raw_Data!P:P,MATCH(A420,FPL_Raw_Data!AA:AA,0))/INDEX(FPL_Raw_Data!K:K,MATCH(A420,FPL_Raw_Data!AA:AA,0))*90)</f>
        <v/>
      </c>
      <c r="AW420" s="2">
        <f t="shared" si="175"/>
        <v>0</v>
      </c>
      <c r="AX420" s="2">
        <f>IFERROR(INDEX(TEAM_ANALYSIS!$H$2:$H$21,MATCH($B420,TEAM_ANALYSIS!$A$2:$A$21,0)),0)</f>
        <v>0.66666666666666663</v>
      </c>
      <c r="AY420" s="2">
        <f t="shared" si="176"/>
        <v>0</v>
      </c>
      <c r="AZ420" s="2">
        <f t="shared" si="177"/>
        <v>0</v>
      </c>
      <c r="BA420">
        <f t="shared" si="178"/>
        <v>0</v>
      </c>
      <c r="BB420">
        <f>IFERROR(Player_Analysis!$Y420,1)</f>
        <v>1.1380357723577235</v>
      </c>
      <c r="BC420">
        <f t="shared" si="179"/>
        <v>0</v>
      </c>
      <c r="BD420">
        <f t="shared" si="180"/>
        <v>0</v>
      </c>
      <c r="BE420">
        <f t="shared" si="181"/>
        <v>0</v>
      </c>
      <c r="BF420">
        <f t="shared" si="182"/>
        <v>253</v>
      </c>
      <c r="BG420">
        <f>IF($BE420="","",COUNTIFS($C$2:$C$596,$C420,$BE$2:$BE$596,"&gt;"&amp;$BE420)+COUNTIFS($C$2:$C420,$C420,$BE$2:$BE420,$BE420))</f>
        <v>49</v>
      </c>
    </row>
    <row r="421" spans="1:59" x14ac:dyDescent="0.25">
      <c r="A421" t="str">
        <f>Player_Analysis!A421</f>
        <v>Michael Zetterer</v>
      </c>
      <c r="B421">
        <f>Player_Analysis!C421</f>
        <v>13</v>
      </c>
      <c r="C421" t="str">
        <f>Player_Analysis!B421</f>
        <v>GK</v>
      </c>
      <c r="D421" s="13">
        <f>Player_Analysis!E421</f>
        <v>4</v>
      </c>
      <c r="E421">
        <f>Player_Analysis!I421</f>
        <v>0</v>
      </c>
      <c r="F421" s="8">
        <f>Player_Analysis!Z421</f>
        <v>0</v>
      </c>
      <c r="G421" s="17">
        <f t="shared" si="157"/>
        <v>0</v>
      </c>
      <c r="H421">
        <f t="shared" si="158"/>
        <v>0</v>
      </c>
      <c r="I421" s="8">
        <f>Player_Analysis!AF421</f>
        <v>0</v>
      </c>
      <c r="J421" s="8">
        <f>Player_Analysis!AG421</f>
        <v>0</v>
      </c>
      <c r="K421">
        <f>Player_Analysis!O421</f>
        <v>0</v>
      </c>
      <c r="L421">
        <f>Player_Analysis!P421</f>
        <v>0</v>
      </c>
      <c r="M421" t="str">
        <f t="shared" si="159"/>
        <v/>
      </c>
      <c r="N421" t="str">
        <f t="shared" si="160"/>
        <v/>
      </c>
      <c r="O421" s="2" t="str">
        <f>IF(E421=0,"",Player_Analysis!L421/E421*90)</f>
        <v/>
      </c>
      <c r="P421" t="str">
        <f>IF(E421=0,"",Player_Analysis!Q421/E421*90)</f>
        <v/>
      </c>
      <c r="Q421" t="str">
        <f>IF(E421=0,"",(Player_Analysis!AD421/E421)*90)</f>
        <v/>
      </c>
      <c r="R421" t="str">
        <f>IF(E421=0,"",Player_Analysis!AA421/E421*90)</f>
        <v/>
      </c>
      <c r="S421" t="str">
        <f t="array" ref="S421">IFERROR(INDEX('2023_24'!$O:$O,MATCH($A421,'2023_24'!$A:$A,0)),"")</f>
        <v/>
      </c>
      <c r="T421" t="str">
        <f>IFERROR(INDEX('2024_25'!$P:$P,MATCH($A421,'2024_25'!$A:$A,0)),"")</f>
        <v/>
      </c>
      <c r="U421" t="str">
        <f>IFERROR(INDEX('2025_26'!$P:$P,MATCH($A421,'2025_26'!$A:$A,0)),"")</f>
        <v/>
      </c>
      <c r="V421" t="str">
        <f>IFERROR(INDEX('2023_24'!$P:$P,MATCH($A421,'2023_24'!$A:$A,0)),"")</f>
        <v/>
      </c>
      <c r="W421" t="str">
        <f>IFERROR(INDEX('2024_25'!$Q:$Q,MATCH($A421,'2024_25'!$A:$A,0)),"")</f>
        <v/>
      </c>
      <c r="X421" t="str">
        <f>IFERROR(INDEX('2025_26'!$Q:$Q,MATCH($A421,'2025_26'!$A:$A,0)),"")</f>
        <v/>
      </c>
      <c r="Y421" t="str">
        <f>IFERROR(INDEX('2023_24'!$M:$M,MATCH($A421,'2023_24'!$A:$A,0))/INDEX('2023_24'!$G:$G,MATCH($A421,'2023_24'!$A:$A,0))*90,"")</f>
        <v/>
      </c>
      <c r="Z421" t="str">
        <f>IFERROR(INDEX('2024_25'!$M:$M,MATCH($A421,'2024_25'!$A:$A,0))/INDEX('2024_25'!$G:$G,MATCH($A421,'2024_25'!$A:$A,0))*90,"")</f>
        <v/>
      </c>
      <c r="AA421" t="str">
        <f>IFERROR(INDEX('2025_26'!$M:$M,MATCH($A421,'2025_26'!$A:$A,0))/INDEX('2025_26'!$G:$G,MATCH($A421,'2025_26'!$A:$A,0))*90,"")</f>
        <v/>
      </c>
      <c r="AB421" t="str">
        <f>IFERROR(SUMPRODUCT(S421:U421,{0.2,0.3,0.5})/SUMPRODUCT(--(S421:U421&lt;&gt;""),{0.2,0.3,0.5}),"")</f>
        <v/>
      </c>
      <c r="AC421" t="str">
        <f>IFERROR(SUMPRODUCT(V421:X421,{0.2,0.3,0.5})/SUMPRODUCT(--(V421:X421&lt;&gt;""),{0.2,0.3,0.5}),"")</f>
        <v/>
      </c>
      <c r="AD421" t="str">
        <f>IFERROR(SUMPRODUCT(Y421:AA421,{0.2,0.3,0.5})/SUMPRODUCT((Y421:AA421&lt;&gt;"")*{0.2,0.3,0.5}),O421)</f>
        <v/>
      </c>
      <c r="AE421">
        <f t="shared" si="161"/>
        <v>0</v>
      </c>
      <c r="AF421" t="str">
        <f t="shared" si="162"/>
        <v/>
      </c>
      <c r="AG421">
        <f t="shared" si="163"/>
        <v>0</v>
      </c>
      <c r="AH421">
        <f t="shared" si="164"/>
        <v>0</v>
      </c>
      <c r="AI421" s="2">
        <f t="shared" si="165"/>
        <v>0</v>
      </c>
      <c r="AJ421">
        <f t="shared" si="166"/>
        <v>0</v>
      </c>
      <c r="AK421" t="str">
        <f t="shared" si="167"/>
        <v>YES</v>
      </c>
      <c r="AL421">
        <f t="shared" si="168"/>
        <v>0</v>
      </c>
      <c r="AM421">
        <f t="shared" si="169"/>
        <v>0</v>
      </c>
      <c r="AN421">
        <f t="shared" si="170"/>
        <v>0</v>
      </c>
      <c r="AO421">
        <f t="shared" si="171"/>
        <v>0</v>
      </c>
      <c r="AP421">
        <f t="array" ref="AP421">AL421*IF($C421="GKP",10,IF($C421="DEF",6,IF($C421="MID",5,4)))</f>
        <v>0</v>
      </c>
      <c r="AQ421">
        <f t="shared" si="172"/>
        <v>0</v>
      </c>
      <c r="AR421">
        <f t="shared" si="173"/>
        <v>0</v>
      </c>
      <c r="AS421" s="2">
        <f>IF($H421=0,0,Player_Analysis!$AM421*$H421/90)</f>
        <v>0</v>
      </c>
      <c r="AT421">
        <f t="shared" si="174"/>
        <v>0</v>
      </c>
      <c r="AU421" s="2">
        <f>0</f>
        <v>0</v>
      </c>
      <c r="AV421" s="2" t="str">
        <f>IF(INDEX(FPL_Raw_Data!K:K,MATCH(A421,FPL_Raw_Data!AA:AA,0))=0,"",INDEX(FPL_Raw_Data!P:P,MATCH(A421,FPL_Raw_Data!AA:AA,0))/INDEX(FPL_Raw_Data!K:K,MATCH(A421,FPL_Raw_Data!AA:AA,0))*90)</f>
        <v/>
      </c>
      <c r="AW421" s="2">
        <f t="shared" si="175"/>
        <v>0</v>
      </c>
      <c r="AX421" s="2">
        <f>IFERROR(INDEX(TEAM_ANALYSIS!$H$2:$H$21,MATCH($B421,TEAM_ANALYSIS!$A$2:$A$21,0)),0)</f>
        <v>0.66666666666666663</v>
      </c>
      <c r="AY421" s="2">
        <f t="shared" si="176"/>
        <v>0</v>
      </c>
      <c r="AZ421" s="2">
        <f t="shared" si="177"/>
        <v>0</v>
      </c>
      <c r="BA421">
        <f t="shared" si="178"/>
        <v>0</v>
      </c>
      <c r="BB421">
        <f>IFERROR(Player_Analysis!$Y421,1)</f>
        <v>1.1380357723577235</v>
      </c>
      <c r="BC421">
        <f t="shared" si="179"/>
        <v>0</v>
      </c>
      <c r="BD421">
        <f t="shared" si="180"/>
        <v>0</v>
      </c>
      <c r="BE421">
        <f t="shared" si="181"/>
        <v>0</v>
      </c>
      <c r="BF421">
        <f t="shared" si="182"/>
        <v>253</v>
      </c>
      <c r="BG421">
        <f>IF($BE421="","",COUNTIFS($C$2:$C$596,$C421,$BE$2:$BE$596,"&gt;"&amp;$BE421)+COUNTIFS($C$2:$C421,$C421,$BE$2:$BE421,$BE421))</f>
        <v>50</v>
      </c>
    </row>
    <row r="422" spans="1:59" x14ac:dyDescent="0.25">
      <c r="A422" t="str">
        <f>Player_Analysis!A422</f>
        <v>Melvin Bard</v>
      </c>
      <c r="B422">
        <f>Player_Analysis!C422</f>
        <v>13</v>
      </c>
      <c r="C422" t="str">
        <f>Player_Analysis!B422</f>
        <v>DEF</v>
      </c>
      <c r="D422" s="13">
        <f>Player_Analysis!E422</f>
        <v>4.5</v>
      </c>
      <c r="E422">
        <f>Player_Analysis!I422</f>
        <v>0</v>
      </c>
      <c r="F422" s="8">
        <f>Player_Analysis!Z422</f>
        <v>0</v>
      </c>
      <c r="G422" s="17">
        <f t="shared" si="157"/>
        <v>0</v>
      </c>
      <c r="H422">
        <f t="shared" si="158"/>
        <v>0</v>
      </c>
      <c r="I422" s="8">
        <f>Player_Analysis!AF422</f>
        <v>0</v>
      </c>
      <c r="J422" s="8">
        <f>Player_Analysis!AG422</f>
        <v>0</v>
      </c>
      <c r="K422">
        <f>Player_Analysis!O422</f>
        <v>0</v>
      </c>
      <c r="L422">
        <f>Player_Analysis!P422</f>
        <v>0</v>
      </c>
      <c r="M422" t="str">
        <f t="shared" si="159"/>
        <v/>
      </c>
      <c r="N422" t="str">
        <f t="shared" si="160"/>
        <v/>
      </c>
      <c r="O422" s="2" t="str">
        <f>IF(E422=0,"",Player_Analysis!L422/E422*90)</f>
        <v/>
      </c>
      <c r="P422" t="str">
        <f>IF(E422=0,"",Player_Analysis!Q422/E422*90)</f>
        <v/>
      </c>
      <c r="Q422" t="str">
        <f>IF(E422=0,"",(Player_Analysis!AD422/E422)*90)</f>
        <v/>
      </c>
      <c r="R422" t="str">
        <f>IF(E422=0,"",Player_Analysis!AA422/E422*90)</f>
        <v/>
      </c>
      <c r="S422" t="str">
        <f t="array" ref="S422">IFERROR(INDEX('2023_24'!$O:$O,MATCH($A422,'2023_24'!$A:$A,0)),"")</f>
        <v/>
      </c>
      <c r="T422" t="str">
        <f>IFERROR(INDEX('2024_25'!$P:$P,MATCH($A422,'2024_25'!$A:$A,0)),"")</f>
        <v/>
      </c>
      <c r="U422" t="str">
        <f>IFERROR(INDEX('2025_26'!$P:$P,MATCH($A422,'2025_26'!$A:$A,0)),"")</f>
        <v/>
      </c>
      <c r="V422" t="str">
        <f>IFERROR(INDEX('2023_24'!$P:$P,MATCH($A422,'2023_24'!$A:$A,0)),"")</f>
        <v/>
      </c>
      <c r="W422" t="str">
        <f>IFERROR(INDEX('2024_25'!$Q:$Q,MATCH($A422,'2024_25'!$A:$A,0)),"")</f>
        <v/>
      </c>
      <c r="X422" t="str">
        <f>IFERROR(INDEX('2025_26'!$Q:$Q,MATCH($A422,'2025_26'!$A:$A,0)),"")</f>
        <v/>
      </c>
      <c r="Y422" t="str">
        <f>IFERROR(INDEX('2023_24'!$M:$M,MATCH($A422,'2023_24'!$A:$A,0))/INDEX('2023_24'!$G:$G,MATCH($A422,'2023_24'!$A:$A,0))*90,"")</f>
        <v/>
      </c>
      <c r="Z422" t="str">
        <f>IFERROR(INDEX('2024_25'!$M:$M,MATCH($A422,'2024_25'!$A:$A,0))/INDEX('2024_25'!$G:$G,MATCH($A422,'2024_25'!$A:$A,0))*90,"")</f>
        <v/>
      </c>
      <c r="AA422" t="str">
        <f>IFERROR(INDEX('2025_26'!$M:$M,MATCH($A422,'2025_26'!$A:$A,0))/INDEX('2025_26'!$G:$G,MATCH($A422,'2025_26'!$A:$A,0))*90,"")</f>
        <v/>
      </c>
      <c r="AB422" t="str">
        <f>IFERROR(SUMPRODUCT(S422:U422,{0.2,0.3,0.5})/SUMPRODUCT(--(S422:U422&lt;&gt;""),{0.2,0.3,0.5}),"")</f>
        <v/>
      </c>
      <c r="AC422" t="str">
        <f>IFERROR(SUMPRODUCT(V422:X422,{0.2,0.3,0.5})/SUMPRODUCT(--(V422:X422&lt;&gt;""),{0.2,0.3,0.5}),"")</f>
        <v/>
      </c>
      <c r="AD422" t="str">
        <f>IFERROR(SUMPRODUCT(Y422:AA422,{0.2,0.3,0.5})/SUMPRODUCT((Y422:AA422&lt;&gt;"")*{0.2,0.3,0.5}),O422)</f>
        <v/>
      </c>
      <c r="AE422">
        <f t="shared" si="161"/>
        <v>0</v>
      </c>
      <c r="AF422" t="str">
        <f t="shared" si="162"/>
        <v/>
      </c>
      <c r="AG422">
        <f t="shared" si="163"/>
        <v>0</v>
      </c>
      <c r="AH422">
        <f t="shared" si="164"/>
        <v>0</v>
      </c>
      <c r="AI422" s="2">
        <f t="shared" si="165"/>
        <v>0</v>
      </c>
      <c r="AJ422">
        <f t="shared" si="166"/>
        <v>0</v>
      </c>
      <c r="AK422" t="str">
        <f t="shared" si="167"/>
        <v>YES</v>
      </c>
      <c r="AL422">
        <f t="shared" si="168"/>
        <v>0</v>
      </c>
      <c r="AM422">
        <f t="shared" si="169"/>
        <v>0</v>
      </c>
      <c r="AN422">
        <f t="shared" si="170"/>
        <v>0</v>
      </c>
      <c r="AO422">
        <f t="shared" si="171"/>
        <v>0</v>
      </c>
      <c r="AP422">
        <f t="array" ref="AP422">AL422*IF($C422="GKP",10,IF($C422="DEF",6,IF($C422="MID",5,4)))</f>
        <v>0</v>
      </c>
      <c r="AQ422">
        <f t="shared" si="172"/>
        <v>0</v>
      </c>
      <c r="AR422">
        <f t="shared" si="173"/>
        <v>0</v>
      </c>
      <c r="AS422" s="2">
        <f>IF($H422=0,0,Player_Analysis!$AM422*$H422/90)</f>
        <v>0</v>
      </c>
      <c r="AT422">
        <f t="shared" si="174"/>
        <v>0</v>
      </c>
      <c r="AU422" s="2">
        <f>0</f>
        <v>0</v>
      </c>
      <c r="AV422" s="2" t="str">
        <f>IF(INDEX(FPL_Raw_Data!K:K,MATCH(A422,FPL_Raw_Data!AA:AA,0))=0,"",INDEX(FPL_Raw_Data!P:P,MATCH(A422,FPL_Raw_Data!AA:AA,0))/INDEX(FPL_Raw_Data!K:K,MATCH(A422,FPL_Raw_Data!AA:AA,0))*90)</f>
        <v/>
      </c>
      <c r="AW422" s="2">
        <f t="shared" si="175"/>
        <v>0</v>
      </c>
      <c r="AX422" s="2">
        <f>IFERROR(INDEX(TEAM_ANALYSIS!$H$2:$H$21,MATCH($B422,TEAM_ANALYSIS!$A$2:$A$21,0)),0)</f>
        <v>0.66666666666666663</v>
      </c>
      <c r="AY422" s="2">
        <f t="shared" si="176"/>
        <v>-0.33333333333333331</v>
      </c>
      <c r="AZ422" s="2">
        <f t="shared" si="177"/>
        <v>-0.33333333333333331</v>
      </c>
      <c r="BA422">
        <f t="shared" si="178"/>
        <v>-7.407407407407407E-2</v>
      </c>
      <c r="BB422">
        <f>IFERROR(Player_Analysis!$Y422,1)</f>
        <v>1.1380357723577235</v>
      </c>
      <c r="BC422">
        <f t="shared" si="179"/>
        <v>-0.37934525745257447</v>
      </c>
      <c r="BD422">
        <f t="shared" si="180"/>
        <v>2.8099648700190698E-2</v>
      </c>
      <c r="BE422">
        <f t="shared" si="181"/>
        <v>-0.37934525745257447</v>
      </c>
      <c r="BF422">
        <f t="shared" si="182"/>
        <v>522</v>
      </c>
      <c r="BG422">
        <f>IF($BE422="","",COUNTIFS($C$2:$C$596,$C422,$BE$2:$BE$596,"&gt;"&amp;$BE422)+COUNTIFS($C$2:$C422,$C422,$BE$2:$BE422,$BE422))</f>
        <v>121</v>
      </c>
    </row>
    <row r="423" spans="1:59" x14ac:dyDescent="0.25">
      <c r="A423" t="str">
        <f>Player_Analysis!A423</f>
        <v>Jean-Mattéo Bahoya</v>
      </c>
      <c r="B423">
        <f>Player_Analysis!C423</f>
        <v>13</v>
      </c>
      <c r="C423" t="str">
        <f>Player_Analysis!B423</f>
        <v>MID</v>
      </c>
      <c r="D423" s="13">
        <f>Player_Analysis!E423</f>
        <v>5</v>
      </c>
      <c r="E423">
        <f>Player_Analysis!I423</f>
        <v>0</v>
      </c>
      <c r="F423" s="8">
        <f>Player_Analysis!Z423</f>
        <v>0</v>
      </c>
      <c r="G423" s="17">
        <f t="shared" si="157"/>
        <v>0</v>
      </c>
      <c r="H423">
        <f t="shared" si="158"/>
        <v>0</v>
      </c>
      <c r="I423" s="8">
        <f>Player_Analysis!AF423</f>
        <v>0</v>
      </c>
      <c r="J423" s="8">
        <f>Player_Analysis!AG423</f>
        <v>0</v>
      </c>
      <c r="K423">
        <f>Player_Analysis!O423</f>
        <v>0</v>
      </c>
      <c r="L423">
        <f>Player_Analysis!P423</f>
        <v>0</v>
      </c>
      <c r="M423" t="str">
        <f t="shared" si="159"/>
        <v/>
      </c>
      <c r="N423" t="str">
        <f t="shared" si="160"/>
        <v/>
      </c>
      <c r="O423" s="2" t="str">
        <f>IF(E423=0,"",Player_Analysis!L423/E423*90)</f>
        <v/>
      </c>
      <c r="P423" t="str">
        <f>IF(E423=0,"",Player_Analysis!Q423/E423*90)</f>
        <v/>
      </c>
      <c r="Q423" t="str">
        <f>IF(E423=0,"",(Player_Analysis!AD423/E423)*90)</f>
        <v/>
      </c>
      <c r="R423" t="str">
        <f>IF(E423=0,"",Player_Analysis!AA423/E423*90)</f>
        <v/>
      </c>
      <c r="S423" t="str">
        <f t="array" ref="S423">IFERROR(INDEX('2023_24'!$O:$O,MATCH($A423,'2023_24'!$A:$A,0)),"")</f>
        <v/>
      </c>
      <c r="T423" t="str">
        <f>IFERROR(INDEX('2024_25'!$P:$P,MATCH($A423,'2024_25'!$A:$A,0)),"")</f>
        <v/>
      </c>
      <c r="U423" t="str">
        <f>IFERROR(INDEX('2025_26'!$P:$P,MATCH($A423,'2025_26'!$A:$A,0)),"")</f>
        <v/>
      </c>
      <c r="V423" t="str">
        <f>IFERROR(INDEX('2023_24'!$P:$P,MATCH($A423,'2023_24'!$A:$A,0)),"")</f>
        <v/>
      </c>
      <c r="W423" t="str">
        <f>IFERROR(INDEX('2024_25'!$Q:$Q,MATCH($A423,'2024_25'!$A:$A,0)),"")</f>
        <v/>
      </c>
      <c r="X423" t="str">
        <f>IFERROR(INDEX('2025_26'!$Q:$Q,MATCH($A423,'2025_26'!$A:$A,0)),"")</f>
        <v/>
      </c>
      <c r="Y423" t="str">
        <f>IFERROR(INDEX('2023_24'!$M:$M,MATCH($A423,'2023_24'!$A:$A,0))/INDEX('2023_24'!$G:$G,MATCH($A423,'2023_24'!$A:$A,0))*90,"")</f>
        <v/>
      </c>
      <c r="Z423" t="str">
        <f>IFERROR(INDEX('2024_25'!$M:$M,MATCH($A423,'2024_25'!$A:$A,0))/INDEX('2024_25'!$G:$G,MATCH($A423,'2024_25'!$A:$A,0))*90,"")</f>
        <v/>
      </c>
      <c r="AA423" t="str">
        <f>IFERROR(INDEX('2025_26'!$M:$M,MATCH($A423,'2025_26'!$A:$A,0))/INDEX('2025_26'!$G:$G,MATCH($A423,'2025_26'!$A:$A,0))*90,"")</f>
        <v/>
      </c>
      <c r="AB423" t="str">
        <f>IFERROR(SUMPRODUCT(S423:U423,{0.2,0.3,0.5})/SUMPRODUCT(--(S423:U423&lt;&gt;""),{0.2,0.3,0.5}),"")</f>
        <v/>
      </c>
      <c r="AC423" t="str">
        <f>IFERROR(SUMPRODUCT(V423:X423,{0.2,0.3,0.5})/SUMPRODUCT(--(V423:X423&lt;&gt;""),{0.2,0.3,0.5}),"")</f>
        <v/>
      </c>
      <c r="AD423" t="str">
        <f>IFERROR(SUMPRODUCT(Y423:AA423,{0.2,0.3,0.5})/SUMPRODUCT((Y423:AA423&lt;&gt;"")*{0.2,0.3,0.5}),O423)</f>
        <v/>
      </c>
      <c r="AE423">
        <f t="shared" si="161"/>
        <v>0</v>
      </c>
      <c r="AF423" t="str">
        <f t="shared" si="162"/>
        <v/>
      </c>
      <c r="AG423">
        <f t="shared" si="163"/>
        <v>0</v>
      </c>
      <c r="AH423">
        <f t="shared" si="164"/>
        <v>0</v>
      </c>
      <c r="AI423" s="2">
        <f t="shared" si="165"/>
        <v>0</v>
      </c>
      <c r="AJ423">
        <f t="shared" si="166"/>
        <v>0</v>
      </c>
      <c r="AK423" t="str">
        <f t="shared" si="167"/>
        <v>YES</v>
      </c>
      <c r="AL423">
        <f t="shared" si="168"/>
        <v>0</v>
      </c>
      <c r="AM423">
        <f t="shared" si="169"/>
        <v>0</v>
      </c>
      <c r="AN423">
        <f t="shared" si="170"/>
        <v>0</v>
      </c>
      <c r="AO423">
        <f t="shared" si="171"/>
        <v>0</v>
      </c>
      <c r="AP423">
        <f t="array" ref="AP423">AL423*IF($C423="GKP",10,IF($C423="DEF",6,IF($C423="MID",5,4)))</f>
        <v>0</v>
      </c>
      <c r="AQ423">
        <f t="shared" si="172"/>
        <v>0</v>
      </c>
      <c r="AR423">
        <f t="shared" si="173"/>
        <v>0</v>
      </c>
      <c r="AS423" s="2">
        <f>IF($H423=0,0,Player_Analysis!$AM423*$H423/90)</f>
        <v>0</v>
      </c>
      <c r="AT423">
        <f t="shared" si="174"/>
        <v>0</v>
      </c>
      <c r="AU423" s="2">
        <f>0</f>
        <v>0</v>
      </c>
      <c r="AV423" s="2" t="str">
        <f>IF(INDEX(FPL_Raw_Data!K:K,MATCH(A423,FPL_Raw_Data!AA:AA,0))=0,"",INDEX(FPL_Raw_Data!P:P,MATCH(A423,FPL_Raw_Data!AA:AA,0))/INDEX(FPL_Raw_Data!K:K,MATCH(A423,FPL_Raw_Data!AA:AA,0))*90)</f>
        <v/>
      </c>
      <c r="AW423" s="2">
        <f t="shared" si="175"/>
        <v>0</v>
      </c>
      <c r="AX423" s="2">
        <f>IFERROR(INDEX(TEAM_ANALYSIS!$H$2:$H$21,MATCH($B423,TEAM_ANALYSIS!$A$2:$A$21,0)),0)</f>
        <v>0.66666666666666663</v>
      </c>
      <c r="AY423" s="2">
        <f t="shared" si="176"/>
        <v>0</v>
      </c>
      <c r="AZ423" s="2">
        <f t="shared" si="177"/>
        <v>0</v>
      </c>
      <c r="BA423">
        <f t="shared" si="178"/>
        <v>0</v>
      </c>
      <c r="BB423">
        <f>IFERROR(Player_Analysis!$Y423,1)</f>
        <v>0.9426384083044983</v>
      </c>
      <c r="BC423">
        <f t="shared" si="179"/>
        <v>0</v>
      </c>
      <c r="BD423">
        <f t="shared" si="180"/>
        <v>0</v>
      </c>
      <c r="BE423">
        <f t="shared" si="181"/>
        <v>0</v>
      </c>
      <c r="BF423">
        <f t="shared" si="182"/>
        <v>253</v>
      </c>
      <c r="BG423">
        <f>IF($BE423="","",COUNTIFS($C$2:$C$596,$C423,$BE$2:$BE$596,"&gt;"&amp;$BE423)+COUNTIFS($C$2:$C423,$C423,$BE$2:$BE423,$BE423))</f>
        <v>223</v>
      </c>
    </row>
    <row r="424" spans="1:59" x14ac:dyDescent="0.25">
      <c r="A424" t="str">
        <f>Player_Analysis!A424</f>
        <v>Alisson Becker</v>
      </c>
      <c r="B424">
        <f>Player_Analysis!C424</f>
        <v>14</v>
      </c>
      <c r="C424" t="str">
        <f>Player_Analysis!B424</f>
        <v>GK</v>
      </c>
      <c r="D424" s="13">
        <f>Player_Analysis!E424</f>
        <v>5.5</v>
      </c>
      <c r="E424">
        <f>Player_Analysis!I424</f>
        <v>270</v>
      </c>
      <c r="F424" s="8">
        <f>Player_Analysis!Z424</f>
        <v>3</v>
      </c>
      <c r="G424" s="17">
        <f t="shared" si="157"/>
        <v>1</v>
      </c>
      <c r="H424">
        <f t="shared" si="158"/>
        <v>90</v>
      </c>
      <c r="I424" s="8">
        <f>Player_Analysis!AF424</f>
        <v>0</v>
      </c>
      <c r="J424" s="8">
        <f>Player_Analysis!AG424</f>
        <v>0</v>
      </c>
      <c r="K424">
        <f>Player_Analysis!O424</f>
        <v>0</v>
      </c>
      <c r="L424">
        <f>Player_Analysis!P424</f>
        <v>0</v>
      </c>
      <c r="M424">
        <f t="shared" si="159"/>
        <v>0</v>
      </c>
      <c r="N424">
        <f t="shared" si="160"/>
        <v>0</v>
      </c>
      <c r="O424" s="2">
        <f>IF(E424=0,"",Player_Analysis!L424/E424*90)</f>
        <v>3.333333333333333</v>
      </c>
      <c r="P424">
        <f>IF(E424=0,"",Player_Analysis!Q424/E424*90)</f>
        <v>0</v>
      </c>
      <c r="Q424">
        <f>IF(E424=0,"",(Player_Analysis!AD424/E424)*90)</f>
        <v>12.333333333333334</v>
      </c>
      <c r="R424">
        <f>IF(E424=0,"",Player_Analysis!AA424/E424*90)</f>
        <v>0</v>
      </c>
      <c r="S424" t="str">
        <f t="array" ref="S424">IFERROR(INDEX('2023_24'!$O:$O,MATCH($A424,'2023_24'!$A:$A,0)),"")</f>
        <v/>
      </c>
      <c r="T424" t="str">
        <f>IFERROR(INDEX('2024_25'!$P:$P,MATCH($A424,'2024_25'!$A:$A,0)),"")</f>
        <v/>
      </c>
      <c r="U424">
        <f>IFERROR(INDEX('2025_26'!$P:$P,MATCH($A424,'2025_26'!$A:$A,0)),"")</f>
        <v>0</v>
      </c>
      <c r="V424" t="str">
        <f>IFERROR(INDEX('2023_24'!$P:$P,MATCH($A424,'2023_24'!$A:$A,0)),"")</f>
        <v/>
      </c>
      <c r="W424" t="str">
        <f>IFERROR(INDEX('2024_25'!$Q:$Q,MATCH($A424,'2024_25'!$A:$A,0)),"")</f>
        <v/>
      </c>
      <c r="X424">
        <f>IFERROR(INDEX('2025_26'!$Q:$Q,MATCH($A424,'2025_26'!$A:$A,0)),"")</f>
        <v>1.1538461538461537E-3</v>
      </c>
      <c r="Y424" t="str">
        <f>IFERROR(INDEX('2023_24'!$M:$M,MATCH($A424,'2023_24'!$A:$A,0))/INDEX('2023_24'!$G:$G,MATCH($A424,'2023_24'!$A:$A,0))*90,"")</f>
        <v/>
      </c>
      <c r="Z424" t="str">
        <f>IFERROR(INDEX('2024_25'!$M:$M,MATCH($A424,'2024_25'!$A:$A,0))/INDEX('2024_25'!$G:$G,MATCH($A424,'2024_25'!$A:$A,0))*90,"")</f>
        <v/>
      </c>
      <c r="AA424">
        <f>IFERROR(INDEX('2025_26'!$M:$M,MATCH($A424,'2025_26'!$A:$A,0))/INDEX('2025_26'!$G:$G,MATCH($A424,'2025_26'!$A:$A,0))*90,"")</f>
        <v>3.5</v>
      </c>
      <c r="AB424">
        <f>IFERROR(SUMPRODUCT(S424:U424,{0.2,0.3,0.5})/SUMPRODUCT(--(S424:U424&lt;&gt;""),{0.2,0.3,0.5}),"")</f>
        <v>0</v>
      </c>
      <c r="AC424">
        <f>IFERROR(SUMPRODUCT(V424:X424,{0.2,0.3,0.5})/SUMPRODUCT(--(V424:X424&lt;&gt;""),{0.2,0.3,0.5}),"")</f>
        <v>1.1538461538461537E-3</v>
      </c>
      <c r="AD424">
        <f>IFERROR(SUMPRODUCT(Y424:AA424,{0.2,0.3,0.5})/SUMPRODUCT((Y424:AA424&lt;&gt;"")*{0.2,0.3,0.5}),O424)</f>
        <v>3.5</v>
      </c>
      <c r="AE424">
        <f t="shared" si="161"/>
        <v>1</v>
      </c>
      <c r="AF424">
        <f t="shared" si="162"/>
        <v>90</v>
      </c>
      <c r="AG424">
        <f t="shared" si="163"/>
        <v>0</v>
      </c>
      <c r="AH424">
        <f t="shared" si="164"/>
        <v>1.1538461538461535E-4</v>
      </c>
      <c r="AI424" s="2">
        <f t="shared" si="165"/>
        <v>3.35</v>
      </c>
      <c r="AJ424">
        <f t="shared" si="166"/>
        <v>0.9</v>
      </c>
      <c r="AK424" t="str">
        <f t="shared" si="167"/>
        <v>NO</v>
      </c>
      <c r="AL424">
        <f t="shared" si="168"/>
        <v>0</v>
      </c>
      <c r="AM424">
        <f t="shared" si="169"/>
        <v>1.1538461538461537E-4</v>
      </c>
      <c r="AN424">
        <f t="shared" si="170"/>
        <v>0</v>
      </c>
      <c r="AO424">
        <f t="shared" si="171"/>
        <v>1.1538461538461537E-4</v>
      </c>
      <c r="AP424">
        <f t="array" ref="AP424">AL424*IF($C424="GKP",10,IF($C424="DEF",6,IF($C424="MID",5,4)))</f>
        <v>0</v>
      </c>
      <c r="AQ424">
        <f t="shared" si="172"/>
        <v>3.4615384615384608E-4</v>
      </c>
      <c r="AR424">
        <f t="shared" si="173"/>
        <v>2</v>
      </c>
      <c r="AS424" s="2">
        <f>IF($H424=0,0,Player_Analysis!$AM424*$H424/90)</f>
        <v>1.3333333333333333</v>
      </c>
      <c r="AT424">
        <f t="shared" si="174"/>
        <v>0</v>
      </c>
      <c r="AU424" s="2">
        <f>0</f>
        <v>0</v>
      </c>
      <c r="AV424" s="2">
        <f>IF(INDEX(FPL_Raw_Data!K:K,MATCH(A424,FPL_Raw_Data!AA:AA,0))=0,"",INDEX(FPL_Raw_Data!P:P,MATCH(A424,FPL_Raw_Data!AA:AA,0))/INDEX(FPL_Raw_Data!K:K,MATCH(A424,FPL_Raw_Data!AA:AA,0))*90)</f>
        <v>3</v>
      </c>
      <c r="AW424" s="2">
        <f t="shared" si="175"/>
        <v>1</v>
      </c>
      <c r="AX424" s="2">
        <f>IFERROR(INDEX(TEAM_ANALYSIS!$H$2:$H$21,MATCH($B424,TEAM_ANALYSIS!$A$2:$A$21,0)),0)</f>
        <v>1.3333333333333333</v>
      </c>
      <c r="AY424" s="2">
        <f t="shared" si="176"/>
        <v>0</v>
      </c>
      <c r="AZ424" s="2">
        <f t="shared" si="177"/>
        <v>4.333679487179487</v>
      </c>
      <c r="BA424">
        <f t="shared" si="178"/>
        <v>0.78794172494172487</v>
      </c>
      <c r="BB424">
        <f>IFERROR(Player_Analysis!$Y424,1)</f>
        <v>0.96585312585312599</v>
      </c>
      <c r="BC424">
        <f t="shared" si="179"/>
        <v>4.1856978791378792</v>
      </c>
      <c r="BD424">
        <f t="shared" si="180"/>
        <v>3.2980860069728202</v>
      </c>
      <c r="BE424">
        <f t="shared" si="181"/>
        <v>4.1856978791378792</v>
      </c>
      <c r="BF424">
        <f t="shared" si="182"/>
        <v>143</v>
      </c>
      <c r="BG424">
        <f>IF($BE424="","",COUNTIFS($C$2:$C$596,$C424,$BE$2:$BE$596,"&gt;"&amp;$BE424)+COUNTIFS($C$2:$C424,$C424,$BE$2:$BE424,$BE424))</f>
        <v>10</v>
      </c>
    </row>
    <row r="425" spans="1:59" x14ac:dyDescent="0.25">
      <c r="A425" t="str">
        <f>Player_Analysis!A425</f>
        <v>Giorgi Mamardashvili</v>
      </c>
      <c r="B425">
        <f>Player_Analysis!C425</f>
        <v>14</v>
      </c>
      <c r="C425" t="str">
        <f>Player_Analysis!B425</f>
        <v>GK</v>
      </c>
      <c r="D425" s="13">
        <f>Player_Analysis!E425</f>
        <v>4.9000000000000004</v>
      </c>
      <c r="E425">
        <f>Player_Analysis!I425</f>
        <v>0</v>
      </c>
      <c r="F425" s="8">
        <f>Player_Analysis!Z425</f>
        <v>0</v>
      </c>
      <c r="G425" s="17">
        <f t="shared" si="157"/>
        <v>0</v>
      </c>
      <c r="H425">
        <f t="shared" si="158"/>
        <v>0</v>
      </c>
      <c r="I425" s="8">
        <f>Player_Analysis!AF425</f>
        <v>0</v>
      </c>
      <c r="J425" s="8">
        <f>Player_Analysis!AG425</f>
        <v>0</v>
      </c>
      <c r="K425">
        <f>Player_Analysis!O425</f>
        <v>0</v>
      </c>
      <c r="L425">
        <f>Player_Analysis!P425</f>
        <v>0</v>
      </c>
      <c r="M425" t="str">
        <f t="shared" si="159"/>
        <v/>
      </c>
      <c r="N425" t="str">
        <f t="shared" si="160"/>
        <v/>
      </c>
      <c r="O425" s="2" t="str">
        <f>IF(E425=0,"",Player_Analysis!L425/E425*90)</f>
        <v/>
      </c>
      <c r="P425" t="str">
        <f>IF(E425=0,"",Player_Analysis!Q425/E425*90)</f>
        <v/>
      </c>
      <c r="Q425" t="str">
        <f>IF(E425=0,"",(Player_Analysis!AD425/E425)*90)</f>
        <v/>
      </c>
      <c r="R425" t="str">
        <f>IF(E425=0,"",Player_Analysis!AA425/E425*90)</f>
        <v/>
      </c>
      <c r="S425" t="str">
        <f t="array" ref="S425">IFERROR(INDEX('2023_24'!$O:$O,MATCH($A425,'2023_24'!$A:$A,0)),"")</f>
        <v/>
      </c>
      <c r="T425" t="str">
        <f>IFERROR(INDEX('2024_25'!$P:$P,MATCH($A425,'2024_25'!$A:$A,0)),"")</f>
        <v/>
      </c>
      <c r="U425">
        <f>IFERROR(INDEX('2025_26'!$P:$P,MATCH($A425,'2025_26'!$A:$A,0)),"")</f>
        <v>0</v>
      </c>
      <c r="V425" t="str">
        <f>IFERROR(INDEX('2023_24'!$P:$P,MATCH($A425,'2023_24'!$A:$A,0)),"")</f>
        <v/>
      </c>
      <c r="W425" t="str">
        <f>IFERROR(INDEX('2024_25'!$Q:$Q,MATCH($A425,'2024_25'!$A:$A,0)),"")</f>
        <v/>
      </c>
      <c r="X425">
        <f>IFERROR(INDEX('2025_26'!$Q:$Q,MATCH($A425,'2025_26'!$A:$A,0)),"")</f>
        <v>0</v>
      </c>
      <c r="Y425" t="str">
        <f>IFERROR(INDEX('2023_24'!$M:$M,MATCH($A425,'2023_24'!$A:$A,0))/INDEX('2023_24'!$G:$G,MATCH($A425,'2023_24'!$A:$A,0))*90,"")</f>
        <v/>
      </c>
      <c r="Z425" t="str">
        <f>IFERROR(INDEX('2024_25'!$M:$M,MATCH($A425,'2024_25'!$A:$A,0))/INDEX('2024_25'!$G:$G,MATCH($A425,'2024_25'!$A:$A,0))*90,"")</f>
        <v/>
      </c>
      <c r="AA425">
        <f>IFERROR(INDEX('2025_26'!$M:$M,MATCH($A425,'2025_26'!$A:$A,0))/INDEX('2025_26'!$G:$G,MATCH($A425,'2025_26'!$A:$A,0))*90,"")</f>
        <v>3.5294117647058822</v>
      </c>
      <c r="AB425">
        <f>IFERROR(SUMPRODUCT(S425:U425,{0.2,0.3,0.5})/SUMPRODUCT(--(S425:U425&lt;&gt;""),{0.2,0.3,0.5}),"")</f>
        <v>0</v>
      </c>
      <c r="AC425">
        <f>IFERROR(SUMPRODUCT(V425:X425,{0.2,0.3,0.5})/SUMPRODUCT(--(V425:X425&lt;&gt;""),{0.2,0.3,0.5}),"")</f>
        <v>0</v>
      </c>
      <c r="AD425">
        <f>IFERROR(SUMPRODUCT(Y425:AA425,{0.2,0.3,0.5})/SUMPRODUCT((Y425:AA425&lt;&gt;"")*{0.2,0.3,0.5}),O425)</f>
        <v>3.5294117647058822</v>
      </c>
      <c r="AE425">
        <f t="shared" si="161"/>
        <v>1</v>
      </c>
      <c r="AF425" t="str">
        <f t="shared" si="162"/>
        <v/>
      </c>
      <c r="AG425">
        <f t="shared" si="163"/>
        <v>0</v>
      </c>
      <c r="AH425">
        <f t="shared" si="164"/>
        <v>0</v>
      </c>
      <c r="AI425" s="2">
        <f t="shared" si="165"/>
        <v>3.5294117647058822</v>
      </c>
      <c r="AJ425">
        <f t="shared" si="166"/>
        <v>0</v>
      </c>
      <c r="AK425" t="str">
        <f t="shared" si="167"/>
        <v>NO</v>
      </c>
      <c r="AL425">
        <f t="shared" si="168"/>
        <v>0</v>
      </c>
      <c r="AM425">
        <f t="shared" si="169"/>
        <v>0</v>
      </c>
      <c r="AN425">
        <f t="shared" si="170"/>
        <v>0</v>
      </c>
      <c r="AO425">
        <f t="shared" si="171"/>
        <v>0</v>
      </c>
      <c r="AP425">
        <f t="array" ref="AP425">AL425*IF($C425="GKP",10,IF($C425="DEF",6,IF($C425="MID",5,4)))</f>
        <v>0</v>
      </c>
      <c r="AQ425">
        <f t="shared" si="172"/>
        <v>0</v>
      </c>
      <c r="AR425">
        <f t="shared" si="173"/>
        <v>0</v>
      </c>
      <c r="AS425" s="2">
        <f>IF($H425=0,0,Player_Analysis!$AM425*$H425/90)</f>
        <v>0</v>
      </c>
      <c r="AT425">
        <f t="shared" si="174"/>
        <v>0</v>
      </c>
      <c r="AU425" s="2">
        <f>0</f>
        <v>0</v>
      </c>
      <c r="AV425" s="2" t="str">
        <f>IF(INDEX(FPL_Raw_Data!K:K,MATCH(A425,FPL_Raw_Data!AA:AA,0))=0,"",INDEX(FPL_Raw_Data!P:P,MATCH(A425,FPL_Raw_Data!AA:AA,0))/INDEX(FPL_Raw_Data!K:K,MATCH(A425,FPL_Raw_Data!AA:AA,0))*90)</f>
        <v/>
      </c>
      <c r="AW425" s="2">
        <f t="shared" si="175"/>
        <v>0</v>
      </c>
      <c r="AX425" s="2">
        <f>IFERROR(INDEX(TEAM_ANALYSIS!$H$2:$H$21,MATCH($B425,TEAM_ANALYSIS!$A$2:$A$21,0)),0)</f>
        <v>1.3333333333333333</v>
      </c>
      <c r="AY425" s="2">
        <f t="shared" si="176"/>
        <v>0</v>
      </c>
      <c r="AZ425" s="2">
        <f t="shared" si="177"/>
        <v>0</v>
      </c>
      <c r="BA425">
        <f t="shared" si="178"/>
        <v>0</v>
      </c>
      <c r="BB425">
        <f>IFERROR(Player_Analysis!$Y425,1)</f>
        <v>0.96585312585312599</v>
      </c>
      <c r="BC425">
        <f t="shared" si="179"/>
        <v>0</v>
      </c>
      <c r="BD425">
        <f t="shared" si="180"/>
        <v>0</v>
      </c>
      <c r="BE425">
        <f t="shared" si="181"/>
        <v>0</v>
      </c>
      <c r="BF425">
        <f t="shared" si="182"/>
        <v>253</v>
      </c>
      <c r="BG425">
        <f>IF($BE425="","",COUNTIFS($C$2:$C$596,$C425,$BE$2:$BE$596,"&gt;"&amp;$BE425)+COUNTIFS($C$2:$C425,$C425,$BE$2:$BE425,$BE425))</f>
        <v>51</v>
      </c>
    </row>
    <row r="426" spans="1:59" x14ac:dyDescent="0.25">
      <c r="A426" t="str">
        <f>Player_Analysis!A426</f>
        <v>Freddie Woodman</v>
      </c>
      <c r="B426">
        <f>Player_Analysis!C426</f>
        <v>14</v>
      </c>
      <c r="C426" t="str">
        <f>Player_Analysis!B426</f>
        <v>GK</v>
      </c>
      <c r="D426" s="13">
        <f>Player_Analysis!E426</f>
        <v>4</v>
      </c>
      <c r="E426">
        <f>Player_Analysis!I426</f>
        <v>0</v>
      </c>
      <c r="F426" s="8">
        <f>Player_Analysis!Z426</f>
        <v>0</v>
      </c>
      <c r="G426" s="17">
        <f t="shared" si="157"/>
        <v>0</v>
      </c>
      <c r="H426">
        <f t="shared" si="158"/>
        <v>0</v>
      </c>
      <c r="I426" s="8">
        <f>Player_Analysis!AF426</f>
        <v>0</v>
      </c>
      <c r="J426" s="8">
        <f>Player_Analysis!AG426</f>
        <v>0</v>
      </c>
      <c r="K426">
        <f>Player_Analysis!O426</f>
        <v>0</v>
      </c>
      <c r="L426">
        <f>Player_Analysis!P426</f>
        <v>0</v>
      </c>
      <c r="M426" t="str">
        <f t="shared" si="159"/>
        <v/>
      </c>
      <c r="N426" t="str">
        <f t="shared" si="160"/>
        <v/>
      </c>
      <c r="O426" s="2" t="str">
        <f>IF(E426=0,"",Player_Analysis!L426/E426*90)</f>
        <v/>
      </c>
      <c r="P426" t="str">
        <f>IF(E426=0,"",Player_Analysis!Q426/E426*90)</f>
        <v/>
      </c>
      <c r="Q426" t="str">
        <f>IF(E426=0,"",(Player_Analysis!AD426/E426)*90)</f>
        <v/>
      </c>
      <c r="R426" t="str">
        <f>IF(E426=0,"",Player_Analysis!AA426/E426*90)</f>
        <v/>
      </c>
      <c r="S426" t="str">
        <f t="array" ref="S426">IFERROR(INDEX('2023_24'!$O:$O,MATCH($A426,'2023_24'!$A:$A,0)),"")</f>
        <v/>
      </c>
      <c r="T426" t="str">
        <f>IFERROR(INDEX('2024_25'!$P:$P,MATCH($A426,'2024_25'!$A:$A,0)),"")</f>
        <v/>
      </c>
      <c r="U426">
        <f>IFERROR(INDEX('2025_26'!$P:$P,MATCH($A426,'2025_26'!$A:$A,0)),"")</f>
        <v>0</v>
      </c>
      <c r="V426" t="str">
        <f>IFERROR(INDEX('2023_24'!$P:$P,MATCH($A426,'2023_24'!$A:$A,0)),"")</f>
        <v/>
      </c>
      <c r="W426" t="str">
        <f>IFERROR(INDEX('2024_25'!$Q:$Q,MATCH($A426,'2024_25'!$A:$A,0)),"")</f>
        <v/>
      </c>
      <c r="X426">
        <f>IFERROR(INDEX('2025_26'!$Q:$Q,MATCH($A426,'2025_26'!$A:$A,0)),"")</f>
        <v>0</v>
      </c>
      <c r="Y426" t="str">
        <f>IFERROR(INDEX('2023_24'!$M:$M,MATCH($A426,'2023_24'!$A:$A,0))/INDEX('2023_24'!$G:$G,MATCH($A426,'2023_24'!$A:$A,0))*90,"")</f>
        <v/>
      </c>
      <c r="Z426" t="str">
        <f>IFERROR(INDEX('2024_25'!$M:$M,MATCH($A426,'2024_25'!$A:$A,0))/INDEX('2024_25'!$G:$G,MATCH($A426,'2024_25'!$A:$A,0))*90,"")</f>
        <v/>
      </c>
      <c r="AA426">
        <f>IFERROR(INDEX('2025_26'!$M:$M,MATCH($A426,'2025_26'!$A:$A,0))/INDEX('2025_26'!$G:$G,MATCH($A426,'2025_26'!$A:$A,0))*90,"")</f>
        <v>2.5471698113207548</v>
      </c>
      <c r="AB426">
        <f>IFERROR(SUMPRODUCT(S426:U426,{0.2,0.3,0.5})/SUMPRODUCT(--(S426:U426&lt;&gt;""),{0.2,0.3,0.5}),"")</f>
        <v>0</v>
      </c>
      <c r="AC426">
        <f>IFERROR(SUMPRODUCT(V426:X426,{0.2,0.3,0.5})/SUMPRODUCT(--(V426:X426&lt;&gt;""),{0.2,0.3,0.5}),"")</f>
        <v>0</v>
      </c>
      <c r="AD426">
        <f>IFERROR(SUMPRODUCT(Y426:AA426,{0.2,0.3,0.5})/SUMPRODUCT((Y426:AA426&lt;&gt;"")*{0.2,0.3,0.5}),O426)</f>
        <v>2.5471698113207548</v>
      </c>
      <c r="AE426">
        <f t="shared" si="161"/>
        <v>1</v>
      </c>
      <c r="AF426" t="str">
        <f t="shared" si="162"/>
        <v/>
      </c>
      <c r="AG426">
        <f t="shared" si="163"/>
        <v>0</v>
      </c>
      <c r="AH426">
        <f t="shared" si="164"/>
        <v>0</v>
      </c>
      <c r="AI426" s="2">
        <f t="shared" si="165"/>
        <v>2.5471698113207548</v>
      </c>
      <c r="AJ426">
        <f t="shared" si="166"/>
        <v>0</v>
      </c>
      <c r="AK426" t="str">
        <f t="shared" si="167"/>
        <v>NO</v>
      </c>
      <c r="AL426">
        <f t="shared" si="168"/>
        <v>0</v>
      </c>
      <c r="AM426">
        <f t="shared" si="169"/>
        <v>0</v>
      </c>
      <c r="AN426">
        <f t="shared" si="170"/>
        <v>0</v>
      </c>
      <c r="AO426">
        <f t="shared" si="171"/>
        <v>0</v>
      </c>
      <c r="AP426">
        <f t="array" ref="AP426">AL426*IF($C426="GKP",10,IF($C426="DEF",6,IF($C426="MID",5,4)))</f>
        <v>0</v>
      </c>
      <c r="AQ426">
        <f t="shared" si="172"/>
        <v>0</v>
      </c>
      <c r="AR426">
        <f t="shared" si="173"/>
        <v>0</v>
      </c>
      <c r="AS426" s="2">
        <f>IF($H426=0,0,Player_Analysis!$AM426*$H426/90)</f>
        <v>0</v>
      </c>
      <c r="AT426">
        <f t="shared" si="174"/>
        <v>0</v>
      </c>
      <c r="AU426" s="2">
        <f>0</f>
        <v>0</v>
      </c>
      <c r="AV426" s="2" t="str">
        <f>IF(INDEX(FPL_Raw_Data!K:K,MATCH(A426,FPL_Raw_Data!AA:AA,0))=0,"",INDEX(FPL_Raw_Data!P:P,MATCH(A426,FPL_Raw_Data!AA:AA,0))/INDEX(FPL_Raw_Data!K:K,MATCH(A426,FPL_Raw_Data!AA:AA,0))*90)</f>
        <v/>
      </c>
      <c r="AW426" s="2">
        <f t="shared" si="175"/>
        <v>0</v>
      </c>
      <c r="AX426" s="2">
        <f>IFERROR(INDEX(TEAM_ANALYSIS!$H$2:$H$21,MATCH($B426,TEAM_ANALYSIS!$A$2:$A$21,0)),0)</f>
        <v>1.3333333333333333</v>
      </c>
      <c r="AY426" s="2">
        <f t="shared" si="176"/>
        <v>0</v>
      </c>
      <c r="AZ426" s="2">
        <f t="shared" si="177"/>
        <v>0</v>
      </c>
      <c r="BA426">
        <f t="shared" si="178"/>
        <v>0</v>
      </c>
      <c r="BB426">
        <f>IFERROR(Player_Analysis!$Y426,1)</f>
        <v>0.96585312585312599</v>
      </c>
      <c r="BC426">
        <f t="shared" si="179"/>
        <v>0</v>
      </c>
      <c r="BD426">
        <f t="shared" si="180"/>
        <v>0</v>
      </c>
      <c r="BE426">
        <f t="shared" si="181"/>
        <v>0</v>
      </c>
      <c r="BF426">
        <f t="shared" si="182"/>
        <v>253</v>
      </c>
      <c r="BG426">
        <f>IF($BE426="","",COUNTIFS($C$2:$C$596,$C426,$BE$2:$BE$596,"&gt;"&amp;$BE426)+COUNTIFS($C$2:$C426,$C426,$BE$2:$BE426,$BE426))</f>
        <v>52</v>
      </c>
    </row>
    <row r="427" spans="1:59" x14ac:dyDescent="0.25">
      <c r="A427" t="str">
        <f>Player_Analysis!A427</f>
        <v>Armin Pecsi</v>
      </c>
      <c r="B427">
        <f>Player_Analysis!C427</f>
        <v>14</v>
      </c>
      <c r="C427" t="str">
        <f>Player_Analysis!B427</f>
        <v>GK</v>
      </c>
      <c r="D427" s="13">
        <f>Player_Analysis!E427</f>
        <v>4</v>
      </c>
      <c r="E427">
        <f>Player_Analysis!I427</f>
        <v>0</v>
      </c>
      <c r="F427" s="8">
        <f>Player_Analysis!Z427</f>
        <v>0</v>
      </c>
      <c r="G427" s="17">
        <f t="shared" si="157"/>
        <v>0</v>
      </c>
      <c r="H427">
        <f t="shared" si="158"/>
        <v>0</v>
      </c>
      <c r="I427" s="8">
        <f>Player_Analysis!AF427</f>
        <v>0</v>
      </c>
      <c r="J427" s="8">
        <f>Player_Analysis!AG427</f>
        <v>0</v>
      </c>
      <c r="K427">
        <f>Player_Analysis!O427</f>
        <v>0</v>
      </c>
      <c r="L427">
        <f>Player_Analysis!P427</f>
        <v>0</v>
      </c>
      <c r="M427" t="str">
        <f t="shared" si="159"/>
        <v/>
      </c>
      <c r="N427" t="str">
        <f t="shared" si="160"/>
        <v/>
      </c>
      <c r="O427" s="2" t="str">
        <f>IF(E427=0,"",Player_Analysis!L427/E427*90)</f>
        <v/>
      </c>
      <c r="P427" t="str">
        <f>IF(E427=0,"",Player_Analysis!Q427/E427*90)</f>
        <v/>
      </c>
      <c r="Q427" t="str">
        <f>IF(E427=0,"",(Player_Analysis!AD427/E427)*90)</f>
        <v/>
      </c>
      <c r="R427" t="str">
        <f>IF(E427=0,"",Player_Analysis!AA427/E427*90)</f>
        <v/>
      </c>
      <c r="S427" t="str">
        <f t="array" ref="S427">IFERROR(INDEX('2023_24'!$O:$O,MATCH($A427,'2023_24'!$A:$A,0)),"")</f>
        <v/>
      </c>
      <c r="T427" t="str">
        <f>IFERROR(INDEX('2024_25'!$P:$P,MATCH($A427,'2024_25'!$A:$A,0)),"")</f>
        <v/>
      </c>
      <c r="U427" t="str">
        <f>IFERROR(INDEX('2025_26'!$P:$P,MATCH($A427,'2025_26'!$A:$A,0)),"")</f>
        <v/>
      </c>
      <c r="V427" t="str">
        <f>IFERROR(INDEX('2023_24'!$P:$P,MATCH($A427,'2023_24'!$A:$A,0)),"")</f>
        <v/>
      </c>
      <c r="W427" t="str">
        <f>IFERROR(INDEX('2024_25'!$Q:$Q,MATCH($A427,'2024_25'!$A:$A,0)),"")</f>
        <v/>
      </c>
      <c r="X427" t="str">
        <f>IFERROR(INDEX('2025_26'!$Q:$Q,MATCH($A427,'2025_26'!$A:$A,0)),"")</f>
        <v/>
      </c>
      <c r="Y427" t="str">
        <f>IFERROR(INDEX('2023_24'!$M:$M,MATCH($A427,'2023_24'!$A:$A,0))/INDEX('2023_24'!$G:$G,MATCH($A427,'2023_24'!$A:$A,0))*90,"")</f>
        <v/>
      </c>
      <c r="Z427" t="str">
        <f>IFERROR(INDEX('2024_25'!$M:$M,MATCH($A427,'2024_25'!$A:$A,0))/INDEX('2024_25'!$G:$G,MATCH($A427,'2024_25'!$A:$A,0))*90,"")</f>
        <v/>
      </c>
      <c r="AA427" t="str">
        <f>IFERROR(INDEX('2025_26'!$M:$M,MATCH($A427,'2025_26'!$A:$A,0))/INDEX('2025_26'!$G:$G,MATCH($A427,'2025_26'!$A:$A,0))*90,"")</f>
        <v/>
      </c>
      <c r="AB427" t="str">
        <f>IFERROR(SUMPRODUCT(S427:U427,{0.2,0.3,0.5})/SUMPRODUCT(--(S427:U427&lt;&gt;""),{0.2,0.3,0.5}),"")</f>
        <v/>
      </c>
      <c r="AC427" t="str">
        <f>IFERROR(SUMPRODUCT(V427:X427,{0.2,0.3,0.5})/SUMPRODUCT(--(V427:X427&lt;&gt;""),{0.2,0.3,0.5}),"")</f>
        <v/>
      </c>
      <c r="AD427" t="str">
        <f>IFERROR(SUMPRODUCT(Y427:AA427,{0.2,0.3,0.5})/SUMPRODUCT((Y427:AA427&lt;&gt;"")*{0.2,0.3,0.5}),O427)</f>
        <v/>
      </c>
      <c r="AE427">
        <f t="shared" si="161"/>
        <v>0</v>
      </c>
      <c r="AF427" t="str">
        <f t="shared" si="162"/>
        <v/>
      </c>
      <c r="AG427">
        <f t="shared" si="163"/>
        <v>0</v>
      </c>
      <c r="AH427">
        <f t="shared" si="164"/>
        <v>0</v>
      </c>
      <c r="AI427" s="2">
        <f t="shared" si="165"/>
        <v>0</v>
      </c>
      <c r="AJ427">
        <f t="shared" si="166"/>
        <v>0</v>
      </c>
      <c r="AK427" t="str">
        <f t="shared" si="167"/>
        <v>YES</v>
      </c>
      <c r="AL427">
        <f t="shared" si="168"/>
        <v>0</v>
      </c>
      <c r="AM427">
        <f t="shared" si="169"/>
        <v>0</v>
      </c>
      <c r="AN427">
        <f t="shared" si="170"/>
        <v>0</v>
      </c>
      <c r="AO427">
        <f t="shared" si="171"/>
        <v>0</v>
      </c>
      <c r="AP427">
        <f t="array" ref="AP427">AL427*IF($C427="GKP",10,IF($C427="DEF",6,IF($C427="MID",5,4)))</f>
        <v>0</v>
      </c>
      <c r="AQ427">
        <f t="shared" si="172"/>
        <v>0</v>
      </c>
      <c r="AR427">
        <f t="shared" si="173"/>
        <v>0</v>
      </c>
      <c r="AS427" s="2">
        <f>IF($H427=0,0,Player_Analysis!$AM427*$H427/90)</f>
        <v>0</v>
      </c>
      <c r="AT427">
        <f t="shared" si="174"/>
        <v>0</v>
      </c>
      <c r="AU427" s="2">
        <f>0</f>
        <v>0</v>
      </c>
      <c r="AV427" s="2" t="str">
        <f>IF(INDEX(FPL_Raw_Data!K:K,MATCH(A427,FPL_Raw_Data!AA:AA,0))=0,"",INDEX(FPL_Raw_Data!P:P,MATCH(A427,FPL_Raw_Data!AA:AA,0))/INDEX(FPL_Raw_Data!K:K,MATCH(A427,FPL_Raw_Data!AA:AA,0))*90)</f>
        <v/>
      </c>
      <c r="AW427" s="2">
        <f t="shared" si="175"/>
        <v>0</v>
      </c>
      <c r="AX427" s="2">
        <f>IFERROR(INDEX(TEAM_ANALYSIS!$H$2:$H$21,MATCH($B427,TEAM_ANALYSIS!$A$2:$A$21,0)),0)</f>
        <v>1.3333333333333333</v>
      </c>
      <c r="AY427" s="2">
        <f t="shared" si="176"/>
        <v>0</v>
      </c>
      <c r="AZ427" s="2">
        <f t="shared" si="177"/>
        <v>0</v>
      </c>
      <c r="BA427">
        <f t="shared" si="178"/>
        <v>0</v>
      </c>
      <c r="BB427">
        <f>IFERROR(Player_Analysis!$Y427,1)</f>
        <v>0.96585312585312599</v>
      </c>
      <c r="BC427">
        <f t="shared" si="179"/>
        <v>0</v>
      </c>
      <c r="BD427">
        <f t="shared" si="180"/>
        <v>0</v>
      </c>
      <c r="BE427">
        <f t="shared" si="181"/>
        <v>0</v>
      </c>
      <c r="BF427">
        <f t="shared" si="182"/>
        <v>253</v>
      </c>
      <c r="BG427">
        <f>IF($BE427="","",COUNTIFS($C$2:$C$596,$C427,$BE$2:$BE$596,"&gt;"&amp;$BE427)+COUNTIFS($C$2:$C427,$C427,$BE$2:$BE427,$BE427))</f>
        <v>53</v>
      </c>
    </row>
    <row r="428" spans="1:59" x14ac:dyDescent="0.25">
      <c r="A428" t="str">
        <f>Player_Analysis!A428</f>
        <v>Vitezslav Jaros</v>
      </c>
      <c r="B428">
        <f>Player_Analysis!C428</f>
        <v>14</v>
      </c>
      <c r="C428" t="str">
        <f>Player_Analysis!B428</f>
        <v>GK</v>
      </c>
      <c r="D428" s="13">
        <f>Player_Analysis!E428</f>
        <v>4</v>
      </c>
      <c r="E428">
        <f>Player_Analysis!I428</f>
        <v>0</v>
      </c>
      <c r="F428" s="8">
        <f>Player_Analysis!Z428</f>
        <v>0</v>
      </c>
      <c r="G428" s="17">
        <f t="shared" si="157"/>
        <v>0</v>
      </c>
      <c r="H428">
        <f t="shared" si="158"/>
        <v>0</v>
      </c>
      <c r="I428" s="8">
        <f>Player_Analysis!AF428</f>
        <v>0</v>
      </c>
      <c r="J428" s="8">
        <f>Player_Analysis!AG428</f>
        <v>0</v>
      </c>
      <c r="K428">
        <f>Player_Analysis!O428</f>
        <v>0</v>
      </c>
      <c r="L428">
        <f>Player_Analysis!P428</f>
        <v>0</v>
      </c>
      <c r="M428" t="str">
        <f t="shared" si="159"/>
        <v/>
      </c>
      <c r="N428" t="str">
        <f t="shared" si="160"/>
        <v/>
      </c>
      <c r="O428" s="2" t="str">
        <f>IF(E428=0,"",Player_Analysis!L428/E428*90)</f>
        <v/>
      </c>
      <c r="P428" t="str">
        <f>IF(E428=0,"",Player_Analysis!Q428/E428*90)</f>
        <v/>
      </c>
      <c r="Q428" t="str">
        <f>IF(E428=0,"",(Player_Analysis!AD428/E428)*90)</f>
        <v/>
      </c>
      <c r="R428" t="str">
        <f>IF(E428=0,"",Player_Analysis!AA428/E428*90)</f>
        <v/>
      </c>
      <c r="S428" t="str">
        <f t="array" ref="S428">IFERROR(INDEX('2023_24'!$O:$O,MATCH($A428,'2023_24'!$A:$A,0)),"")</f>
        <v/>
      </c>
      <c r="T428" t="str">
        <f>IFERROR(INDEX('2024_25'!$P:$P,MATCH($A428,'2024_25'!$A:$A,0)),"")</f>
        <v/>
      </c>
      <c r="U428" t="str">
        <f>IFERROR(INDEX('2025_26'!$P:$P,MATCH($A428,'2025_26'!$A:$A,0)),"")</f>
        <v/>
      </c>
      <c r="V428" t="str">
        <f>IFERROR(INDEX('2023_24'!$P:$P,MATCH($A428,'2023_24'!$A:$A,0)),"")</f>
        <v/>
      </c>
      <c r="W428" t="str">
        <f>IFERROR(INDEX('2024_25'!$Q:$Q,MATCH($A428,'2024_25'!$A:$A,0)),"")</f>
        <v/>
      </c>
      <c r="X428" t="str">
        <f>IFERROR(INDEX('2025_26'!$Q:$Q,MATCH($A428,'2025_26'!$A:$A,0)),"")</f>
        <v/>
      </c>
      <c r="Y428" t="str">
        <f>IFERROR(INDEX('2023_24'!$M:$M,MATCH($A428,'2023_24'!$A:$A,0))/INDEX('2023_24'!$G:$G,MATCH($A428,'2023_24'!$A:$A,0))*90,"")</f>
        <v/>
      </c>
      <c r="Z428" t="str">
        <f>IFERROR(INDEX('2024_25'!$M:$M,MATCH($A428,'2024_25'!$A:$A,0))/INDEX('2024_25'!$G:$G,MATCH($A428,'2024_25'!$A:$A,0))*90,"")</f>
        <v/>
      </c>
      <c r="AA428" t="str">
        <f>IFERROR(INDEX('2025_26'!$M:$M,MATCH($A428,'2025_26'!$A:$A,0))/INDEX('2025_26'!$G:$G,MATCH($A428,'2025_26'!$A:$A,0))*90,"")</f>
        <v/>
      </c>
      <c r="AB428" t="str">
        <f>IFERROR(SUMPRODUCT(S428:U428,{0.2,0.3,0.5})/SUMPRODUCT(--(S428:U428&lt;&gt;""),{0.2,0.3,0.5}),"")</f>
        <v/>
      </c>
      <c r="AC428" t="str">
        <f>IFERROR(SUMPRODUCT(V428:X428,{0.2,0.3,0.5})/SUMPRODUCT(--(V428:X428&lt;&gt;""),{0.2,0.3,0.5}),"")</f>
        <v/>
      </c>
      <c r="AD428" t="str">
        <f>IFERROR(SUMPRODUCT(Y428:AA428,{0.2,0.3,0.5})/SUMPRODUCT((Y428:AA428&lt;&gt;"")*{0.2,0.3,0.5}),O428)</f>
        <v/>
      </c>
      <c r="AE428">
        <f t="shared" si="161"/>
        <v>0</v>
      </c>
      <c r="AF428" t="str">
        <f t="shared" si="162"/>
        <v/>
      </c>
      <c r="AG428">
        <f t="shared" si="163"/>
        <v>0</v>
      </c>
      <c r="AH428">
        <f t="shared" si="164"/>
        <v>0</v>
      </c>
      <c r="AI428" s="2">
        <f t="shared" si="165"/>
        <v>0</v>
      </c>
      <c r="AJ428">
        <f t="shared" si="166"/>
        <v>0</v>
      </c>
      <c r="AK428" t="str">
        <f t="shared" si="167"/>
        <v>YES</v>
      </c>
      <c r="AL428">
        <f t="shared" si="168"/>
        <v>0</v>
      </c>
      <c r="AM428">
        <f t="shared" si="169"/>
        <v>0</v>
      </c>
      <c r="AN428">
        <f t="shared" si="170"/>
        <v>0</v>
      </c>
      <c r="AO428">
        <f t="shared" si="171"/>
        <v>0</v>
      </c>
      <c r="AP428">
        <f t="array" ref="AP428">AL428*IF($C428="GKP",10,IF($C428="DEF",6,IF($C428="MID",5,4)))</f>
        <v>0</v>
      </c>
      <c r="AQ428">
        <f t="shared" si="172"/>
        <v>0</v>
      </c>
      <c r="AR428">
        <f t="shared" si="173"/>
        <v>0</v>
      </c>
      <c r="AS428" s="2">
        <f>IF($H428=0,0,Player_Analysis!$AM428*$H428/90)</f>
        <v>0</v>
      </c>
      <c r="AT428">
        <f t="shared" si="174"/>
        <v>0</v>
      </c>
      <c r="AU428" s="2">
        <f>0</f>
        <v>0</v>
      </c>
      <c r="AV428" s="2" t="str">
        <f>IF(INDEX(FPL_Raw_Data!K:K,MATCH(A428,FPL_Raw_Data!AA:AA,0))=0,"",INDEX(FPL_Raw_Data!P:P,MATCH(A428,FPL_Raw_Data!AA:AA,0))/INDEX(FPL_Raw_Data!K:K,MATCH(A428,FPL_Raw_Data!AA:AA,0))*90)</f>
        <v/>
      </c>
      <c r="AW428" s="2">
        <f t="shared" si="175"/>
        <v>0</v>
      </c>
      <c r="AX428" s="2">
        <f>IFERROR(INDEX(TEAM_ANALYSIS!$H$2:$H$21,MATCH($B428,TEAM_ANALYSIS!$A$2:$A$21,0)),0)</f>
        <v>1.3333333333333333</v>
      </c>
      <c r="AY428" s="2">
        <f t="shared" si="176"/>
        <v>0</v>
      </c>
      <c r="AZ428" s="2">
        <f t="shared" si="177"/>
        <v>0</v>
      </c>
      <c r="BA428">
        <f t="shared" si="178"/>
        <v>0</v>
      </c>
      <c r="BB428">
        <f>IFERROR(Player_Analysis!$Y428,1)</f>
        <v>0.96585312585312599</v>
      </c>
      <c r="BC428">
        <f t="shared" si="179"/>
        <v>0</v>
      </c>
      <c r="BD428">
        <f t="shared" si="180"/>
        <v>0</v>
      </c>
      <c r="BE428">
        <f t="shared" si="181"/>
        <v>0</v>
      </c>
      <c r="BF428">
        <f t="shared" si="182"/>
        <v>253</v>
      </c>
      <c r="BG428">
        <f>IF($BE428="","",COUNTIFS($C$2:$C$596,$C428,$BE$2:$BE$596,"&gt;"&amp;$BE428)+COUNTIFS($C$2:$C428,$C428,$BE$2:$BE428,$BE428))</f>
        <v>54</v>
      </c>
    </row>
    <row r="429" spans="1:59" x14ac:dyDescent="0.25">
      <c r="A429" t="str">
        <f>Player_Analysis!A429</f>
        <v>Harvey Davies</v>
      </c>
      <c r="B429">
        <f>Player_Analysis!C429</f>
        <v>14</v>
      </c>
      <c r="C429" t="str">
        <f>Player_Analysis!B429</f>
        <v>GK</v>
      </c>
      <c r="D429" s="13">
        <f>Player_Analysis!E429</f>
        <v>4</v>
      </c>
      <c r="E429">
        <f>Player_Analysis!I429</f>
        <v>0</v>
      </c>
      <c r="F429" s="8">
        <f>Player_Analysis!Z429</f>
        <v>0</v>
      </c>
      <c r="G429" s="17">
        <f t="shared" si="157"/>
        <v>0</v>
      </c>
      <c r="H429">
        <f t="shared" si="158"/>
        <v>0</v>
      </c>
      <c r="I429" s="8">
        <f>Player_Analysis!AF429</f>
        <v>0</v>
      </c>
      <c r="J429" s="8">
        <f>Player_Analysis!AG429</f>
        <v>0</v>
      </c>
      <c r="K429">
        <f>Player_Analysis!O429</f>
        <v>0</v>
      </c>
      <c r="L429">
        <f>Player_Analysis!P429</f>
        <v>0</v>
      </c>
      <c r="M429" t="str">
        <f t="shared" si="159"/>
        <v/>
      </c>
      <c r="N429" t="str">
        <f t="shared" si="160"/>
        <v/>
      </c>
      <c r="O429" s="2" t="str">
        <f>IF(E429=0,"",Player_Analysis!L429/E429*90)</f>
        <v/>
      </c>
      <c r="P429" t="str">
        <f>IF(E429=0,"",Player_Analysis!Q429/E429*90)</f>
        <v/>
      </c>
      <c r="Q429" t="str">
        <f>IF(E429=0,"",(Player_Analysis!AD429/E429)*90)</f>
        <v/>
      </c>
      <c r="R429" t="str">
        <f>IF(E429=0,"",Player_Analysis!AA429/E429*90)</f>
        <v/>
      </c>
      <c r="S429" t="str">
        <f t="array" ref="S429">IFERROR(INDEX('2023_24'!$O:$O,MATCH($A429,'2023_24'!$A:$A,0)),"")</f>
        <v/>
      </c>
      <c r="T429">
        <f>IFERROR(INDEX('2024_25'!$P:$P,MATCH($A429,'2024_25'!$A:$A,0)),"")</f>
        <v>0</v>
      </c>
      <c r="U429" t="str">
        <f>IFERROR(INDEX('2025_26'!$P:$P,MATCH($A429,'2025_26'!$A:$A,0)),"")</f>
        <v/>
      </c>
      <c r="V429" t="str">
        <f>IFERROR(INDEX('2023_24'!$P:$P,MATCH($A429,'2023_24'!$A:$A,0)),"")</f>
        <v/>
      </c>
      <c r="W429">
        <f>IFERROR(INDEX('2024_25'!$Q:$Q,MATCH($A429,'2024_25'!$A:$A,0)),"")</f>
        <v>0</v>
      </c>
      <c r="X429" t="str">
        <f>IFERROR(INDEX('2025_26'!$Q:$Q,MATCH($A429,'2025_26'!$A:$A,0)),"")</f>
        <v/>
      </c>
      <c r="Y429" t="str">
        <f>IFERROR(INDEX('2023_24'!$M:$M,MATCH($A429,'2023_24'!$A:$A,0))/INDEX('2023_24'!$G:$G,MATCH($A429,'2023_24'!$A:$A,0))*90,"")</f>
        <v/>
      </c>
      <c r="Z429" t="str">
        <f>IFERROR(INDEX('2024_25'!$M:$M,MATCH($A429,'2024_25'!$A:$A,0))/INDEX('2024_25'!$G:$G,MATCH($A429,'2024_25'!$A:$A,0))*90,"")</f>
        <v/>
      </c>
      <c r="AA429" t="str">
        <f>IFERROR(INDEX('2025_26'!$M:$M,MATCH($A429,'2025_26'!$A:$A,0))/INDEX('2025_26'!$G:$G,MATCH($A429,'2025_26'!$A:$A,0))*90,"")</f>
        <v/>
      </c>
      <c r="AB429">
        <f>IFERROR(SUMPRODUCT(S429:U429,{0.2,0.3,0.5})/SUMPRODUCT(--(S429:U429&lt;&gt;""),{0.2,0.3,0.5}),"")</f>
        <v>0</v>
      </c>
      <c r="AC429">
        <f>IFERROR(SUMPRODUCT(V429:X429,{0.2,0.3,0.5})/SUMPRODUCT(--(V429:X429&lt;&gt;""),{0.2,0.3,0.5}),"")</f>
        <v>0</v>
      </c>
      <c r="AD429" t="str">
        <f>IFERROR(SUMPRODUCT(Y429:AA429,{0.2,0.3,0.5})/SUMPRODUCT((Y429:AA429&lt;&gt;"")*{0.2,0.3,0.5}),O429)</f>
        <v/>
      </c>
      <c r="AE429">
        <f t="shared" si="161"/>
        <v>1</v>
      </c>
      <c r="AF429" t="str">
        <f t="shared" si="162"/>
        <v/>
      </c>
      <c r="AG429">
        <f t="shared" si="163"/>
        <v>0</v>
      </c>
      <c r="AH429">
        <f t="shared" si="164"/>
        <v>0</v>
      </c>
      <c r="AI429" s="2">
        <f t="shared" si="165"/>
        <v>0</v>
      </c>
      <c r="AJ429">
        <f t="shared" si="166"/>
        <v>0</v>
      </c>
      <c r="AK429" t="str">
        <f t="shared" si="167"/>
        <v>NO</v>
      </c>
      <c r="AL429">
        <f t="shared" si="168"/>
        <v>0</v>
      </c>
      <c r="AM429">
        <f t="shared" si="169"/>
        <v>0</v>
      </c>
      <c r="AN429">
        <f t="shared" si="170"/>
        <v>0</v>
      </c>
      <c r="AO429">
        <f t="shared" si="171"/>
        <v>0</v>
      </c>
      <c r="AP429">
        <f t="array" ref="AP429">AL429*IF($C429="GKP",10,IF($C429="DEF",6,IF($C429="MID",5,4)))</f>
        <v>0</v>
      </c>
      <c r="AQ429">
        <f t="shared" si="172"/>
        <v>0</v>
      </c>
      <c r="AR429">
        <f t="shared" si="173"/>
        <v>0</v>
      </c>
      <c r="AS429" s="2">
        <f>IF($H429=0,0,Player_Analysis!$AM429*$H429/90)</f>
        <v>0</v>
      </c>
      <c r="AT429">
        <f t="shared" si="174"/>
        <v>0</v>
      </c>
      <c r="AU429" s="2">
        <f>0</f>
        <v>0</v>
      </c>
      <c r="AV429" s="2" t="str">
        <f>IF(INDEX(FPL_Raw_Data!K:K,MATCH(A429,FPL_Raw_Data!AA:AA,0))=0,"",INDEX(FPL_Raw_Data!P:P,MATCH(A429,FPL_Raw_Data!AA:AA,0))/INDEX(FPL_Raw_Data!K:K,MATCH(A429,FPL_Raw_Data!AA:AA,0))*90)</f>
        <v/>
      </c>
      <c r="AW429" s="2">
        <f t="shared" si="175"/>
        <v>0</v>
      </c>
      <c r="AX429" s="2">
        <f>IFERROR(INDEX(TEAM_ANALYSIS!$H$2:$H$21,MATCH($B429,TEAM_ANALYSIS!$A$2:$A$21,0)),0)</f>
        <v>1.3333333333333333</v>
      </c>
      <c r="AY429" s="2">
        <f t="shared" si="176"/>
        <v>0</v>
      </c>
      <c r="AZ429" s="2">
        <f t="shared" si="177"/>
        <v>0</v>
      </c>
      <c r="BA429">
        <f t="shared" si="178"/>
        <v>0</v>
      </c>
      <c r="BB429">
        <f>IFERROR(Player_Analysis!$Y429,1)</f>
        <v>0.96585312585312599</v>
      </c>
      <c r="BC429">
        <f t="shared" si="179"/>
        <v>0</v>
      </c>
      <c r="BD429">
        <f t="shared" si="180"/>
        <v>0</v>
      </c>
      <c r="BE429">
        <f t="shared" si="181"/>
        <v>0</v>
      </c>
      <c r="BF429">
        <f t="shared" si="182"/>
        <v>253</v>
      </c>
      <c r="BG429">
        <f>IF($BE429="","",COUNTIFS($C$2:$C$596,$C429,$BE$2:$BE$596,"&gt;"&amp;$BE429)+COUNTIFS($C$2:$C429,$C429,$BE$2:$BE429,$BE429))</f>
        <v>55</v>
      </c>
    </row>
    <row r="430" spans="1:59" x14ac:dyDescent="0.25">
      <c r="A430" t="str">
        <f>Player_Analysis!A430</f>
        <v>Virgil van Dijk</v>
      </c>
      <c r="B430">
        <f>Player_Analysis!C430</f>
        <v>14</v>
      </c>
      <c r="C430" t="str">
        <f>Player_Analysis!B430</f>
        <v>DEF</v>
      </c>
      <c r="D430" s="13">
        <f>Player_Analysis!E430</f>
        <v>6.5</v>
      </c>
      <c r="E430">
        <f>Player_Analysis!I430</f>
        <v>270</v>
      </c>
      <c r="F430" s="8">
        <f>Player_Analysis!Z430</f>
        <v>3</v>
      </c>
      <c r="G430" s="17">
        <f t="shared" si="157"/>
        <v>1</v>
      </c>
      <c r="H430">
        <f t="shared" si="158"/>
        <v>90</v>
      </c>
      <c r="I430" s="8">
        <f>Player_Analysis!AF430</f>
        <v>0</v>
      </c>
      <c r="J430" s="8">
        <f>Player_Analysis!AG430</f>
        <v>0</v>
      </c>
      <c r="K430">
        <f>Player_Analysis!O430</f>
        <v>0.25</v>
      </c>
      <c r="L430">
        <f>Player_Analysis!P430</f>
        <v>0.06</v>
      </c>
      <c r="M430">
        <f t="shared" si="159"/>
        <v>8.3333333333333343E-2</v>
      </c>
      <c r="N430">
        <f t="shared" si="160"/>
        <v>1.9999999999999997E-2</v>
      </c>
      <c r="O430" s="2">
        <f>IF(E430=0,"",Player_Analysis!L430/E430*90)</f>
        <v>3</v>
      </c>
      <c r="P430">
        <f>IF(E430=0,"",Player_Analysis!Q430/E430*90)</f>
        <v>0.10333333333333333</v>
      </c>
      <c r="Q430">
        <f>IF(E430=0,"",(Player_Analysis!AD430/E430)*90)</f>
        <v>15</v>
      </c>
      <c r="R430">
        <f>IF(E430=0,"",Player_Analysis!AA430/E430*90)</f>
        <v>8.3333333333333321</v>
      </c>
      <c r="S430">
        <f t="array" ref="S430">IFERROR(INDEX('2023_24'!$O:$O,MATCH($A430,'2023_24'!$A:$A,0)),"")</f>
        <v>8.1586402266288952E-2</v>
      </c>
      <c r="T430">
        <f>IFERROR(INDEX('2024_25'!$P:$P,MATCH($A430,'2024_25'!$A:$A,0)),"")</f>
        <v>6.0000000000000005E-2</v>
      </c>
      <c r="U430">
        <f>IFERROR(INDEX('2025_26'!$P:$P,MATCH($A430,'2025_26'!$A:$A,0)),"")</f>
        <v>9.9210526315789471E-2</v>
      </c>
      <c r="V430">
        <f>IFERROR(INDEX('2023_24'!$P:$P,MATCH($A430,'2023_24'!$A:$A,0)),"")</f>
        <v>2.9461756373937678E-2</v>
      </c>
      <c r="W430">
        <f>IFERROR(INDEX('2024_25'!$Q:$Q,MATCH($A430,'2024_25'!$A:$A,0)),"")</f>
        <v>2.6486486486486487E-2</v>
      </c>
      <c r="X430">
        <f>IFERROR(INDEX('2025_26'!$Q:$Q,MATCH($A430,'2025_26'!$A:$A,0)),"")</f>
        <v>3.7894736842105259E-2</v>
      </c>
      <c r="Y430">
        <f>IFERROR(INDEX('2023_24'!$M:$M,MATCH($A430,'2023_24'!$A:$A,0))/INDEX('2023_24'!$G:$G,MATCH($A430,'2023_24'!$A:$A,0))*90,"")</f>
        <v>3.3144475920679883</v>
      </c>
      <c r="Z430">
        <f>IFERROR(INDEX('2024_25'!$M:$M,MATCH($A430,'2024_25'!$A:$A,0))/INDEX('2024_25'!$G:$G,MATCH($A430,'2024_25'!$A:$A,0))*90,"")</f>
        <v>3.8648648648648649</v>
      </c>
      <c r="AA430">
        <f>IFERROR(INDEX('2025_26'!$M:$M,MATCH($A430,'2025_26'!$A:$A,0))/INDEX('2025_26'!$G:$G,MATCH($A430,'2025_26'!$A:$A,0))*90,"")</f>
        <v>4.6052631578947363</v>
      </c>
      <c r="AB430">
        <f>IFERROR(SUMPRODUCT(S430:U430,{0.2,0.3,0.5})/SUMPRODUCT(--(S430:U430&lt;&gt;""),{0.2,0.3,0.5}),"")</f>
        <v>8.3922543611152534E-2</v>
      </c>
      <c r="AC430">
        <f>IFERROR(SUMPRODUCT(V430:X430,{0.2,0.3,0.5})/SUMPRODUCT(--(V430:X430&lt;&gt;""),{0.2,0.3,0.5}),"")</f>
        <v>3.2785665641786116E-2</v>
      </c>
      <c r="AD430">
        <f>IFERROR(SUMPRODUCT(Y430:AA430,{0.2,0.3,0.5})/SUMPRODUCT((Y430:AA430&lt;&gt;"")*{0.2,0.3,0.5}),O430)</f>
        <v>4.1249805568204252</v>
      </c>
      <c r="AE430">
        <f t="shared" si="161"/>
        <v>3</v>
      </c>
      <c r="AF430">
        <f t="shared" si="162"/>
        <v>90</v>
      </c>
      <c r="AG430">
        <f t="shared" si="163"/>
        <v>8.3392254361115262E-2</v>
      </c>
      <c r="AH430">
        <f t="shared" si="164"/>
        <v>2.1278566564178609E-2</v>
      </c>
      <c r="AI430" s="2">
        <f t="shared" si="165"/>
        <v>3.1124980556820425</v>
      </c>
      <c r="AJ430">
        <f t="shared" si="166"/>
        <v>0.9</v>
      </c>
      <c r="AK430" t="str">
        <f t="shared" si="167"/>
        <v>NO</v>
      </c>
      <c r="AL430">
        <f t="shared" si="168"/>
        <v>8.3392254361115262E-2</v>
      </c>
      <c r="AM430">
        <f t="shared" si="169"/>
        <v>2.1278566564178609E-2</v>
      </c>
      <c r="AN430">
        <f t="shared" si="170"/>
        <v>8.3392254361115262E-2</v>
      </c>
      <c r="AO430">
        <f t="shared" si="171"/>
        <v>2.1278566564178609E-2</v>
      </c>
      <c r="AP430">
        <f t="array" ref="AP430">AL430*IF($C430="GKP",10,IF($C430="DEF",6,IF($C430="MID",5,4)))</f>
        <v>0.5003535261666916</v>
      </c>
      <c r="AQ430">
        <f t="shared" si="172"/>
        <v>6.383569969253583E-2</v>
      </c>
      <c r="AR430">
        <f t="shared" si="173"/>
        <v>2</v>
      </c>
      <c r="AS430" s="2">
        <f>IF($H430=0,0,Player_Analysis!$AM430*$H430/90)</f>
        <v>1.3333333333333333</v>
      </c>
      <c r="AT430">
        <f t="shared" si="174"/>
        <v>1.6666666666666665</v>
      </c>
      <c r="AU430" s="2">
        <f>0</f>
        <v>0</v>
      </c>
      <c r="AV430" s="2">
        <f>IF(INDEX(FPL_Raw_Data!K:K,MATCH(A430,FPL_Raw_Data!AA:AA,0))=0,"",INDEX(FPL_Raw_Data!P:P,MATCH(A430,FPL_Raw_Data!AA:AA,0))/INDEX(FPL_Raw_Data!K:K,MATCH(A430,FPL_Raw_Data!AA:AA,0))*90)</f>
        <v>0</v>
      </c>
      <c r="AW430" s="2">
        <f t="shared" si="175"/>
        <v>0</v>
      </c>
      <c r="AX430" s="2">
        <f>IFERROR(INDEX(TEAM_ANALYSIS!$H$2:$H$21,MATCH($B430,TEAM_ANALYSIS!$A$2:$A$21,0)),0)</f>
        <v>1.3333333333333333</v>
      </c>
      <c r="AY430" s="2">
        <f t="shared" si="176"/>
        <v>-0.66666666666666663</v>
      </c>
      <c r="AZ430" s="2">
        <f t="shared" si="177"/>
        <v>4.8975225591925602</v>
      </c>
      <c r="BA430">
        <f t="shared" si="178"/>
        <v>0.75346500910654768</v>
      </c>
      <c r="BB430">
        <f>IFERROR(Player_Analysis!$Y430,1)</f>
        <v>0.96585312585312599</v>
      </c>
      <c r="BC430">
        <f t="shared" si="179"/>
        <v>4.7302874727323356</v>
      </c>
      <c r="BD430">
        <f t="shared" si="180"/>
        <v>3.5641060937188578</v>
      </c>
      <c r="BE430">
        <f t="shared" si="181"/>
        <v>4.7302874727323356</v>
      </c>
      <c r="BF430">
        <f t="shared" si="182"/>
        <v>111</v>
      </c>
      <c r="BG430">
        <f>IF($BE430="","",COUNTIFS($C$2:$C$596,$C430,$BE$2:$BE$596,"&gt;"&amp;$BE430)+COUNTIFS($C$2:$C430,$C430,$BE$2:$BE430,$BE430))</f>
        <v>41</v>
      </c>
    </row>
    <row r="431" spans="1:59" x14ac:dyDescent="0.25">
      <c r="A431" t="str">
        <f>Player_Analysis!A431</f>
        <v>Jeremie Frimpong</v>
      </c>
      <c r="B431">
        <f>Player_Analysis!C431</f>
        <v>14</v>
      </c>
      <c r="C431" t="str">
        <f>Player_Analysis!B431</f>
        <v>DEF</v>
      </c>
      <c r="D431" s="13">
        <f>Player_Analysis!E431</f>
        <v>5.4</v>
      </c>
      <c r="E431">
        <f>Player_Analysis!I431</f>
        <v>160</v>
      </c>
      <c r="F431" s="8">
        <f>Player_Analysis!Z431</f>
        <v>2</v>
      </c>
      <c r="G431" s="17">
        <f t="shared" si="157"/>
        <v>1</v>
      </c>
      <c r="H431">
        <f t="shared" si="158"/>
        <v>90</v>
      </c>
      <c r="I431" s="8">
        <f>Player_Analysis!AF431</f>
        <v>0</v>
      </c>
      <c r="J431" s="8">
        <f>Player_Analysis!AG431</f>
        <v>0</v>
      </c>
      <c r="K431">
        <f>Player_Analysis!O431</f>
        <v>0.01</v>
      </c>
      <c r="L431">
        <f>Player_Analysis!P431</f>
        <v>0.11</v>
      </c>
      <c r="M431">
        <f t="shared" si="159"/>
        <v>5.6249999999999998E-3</v>
      </c>
      <c r="N431">
        <f t="shared" si="160"/>
        <v>6.1874999999999999E-2</v>
      </c>
      <c r="O431" s="2">
        <f>IF(E431=0,"",Player_Analysis!L431/E431*90)</f>
        <v>0.5625</v>
      </c>
      <c r="P431">
        <f>IF(E431=0,"",Player_Analysis!Q431/E431*90)</f>
        <v>6.7500000000000004E-2</v>
      </c>
      <c r="Q431">
        <f>IF(E431=0,"",(Player_Analysis!AD431/E431)*90)</f>
        <v>6.75</v>
      </c>
      <c r="R431">
        <f>IF(E431=0,"",Player_Analysis!AA431/E431*90)</f>
        <v>4.5</v>
      </c>
      <c r="S431" t="str">
        <f t="array" ref="S431">IFERROR(INDEX('2023_24'!$O:$O,MATCH($A431,'2023_24'!$A:$A,0)),"")</f>
        <v/>
      </c>
      <c r="T431" t="str">
        <f>IFERROR(INDEX('2024_25'!$P:$P,MATCH($A431,'2024_25'!$A:$A,0)),"")</f>
        <v/>
      </c>
      <c r="U431">
        <f>IFERROR(INDEX('2025_26'!$P:$P,MATCH($A431,'2025_26'!$A:$A,0)),"")</f>
        <v>4.3604651162790699E-2</v>
      </c>
      <c r="V431" t="str">
        <f>IFERROR(INDEX('2023_24'!$P:$P,MATCH($A431,'2023_24'!$A:$A,0)),"")</f>
        <v/>
      </c>
      <c r="W431" t="str">
        <f>IFERROR(INDEX('2024_25'!$Q:$Q,MATCH($A431,'2024_25'!$A:$A,0)),"")</f>
        <v/>
      </c>
      <c r="X431">
        <f>IFERROR(INDEX('2025_26'!$Q:$Q,MATCH($A431,'2025_26'!$A:$A,0)),"")</f>
        <v>0.13517441860465115</v>
      </c>
      <c r="Y431" t="str">
        <f>IFERROR(INDEX('2023_24'!$M:$M,MATCH($A431,'2023_24'!$A:$A,0))/INDEX('2023_24'!$G:$G,MATCH($A431,'2023_24'!$A:$A,0))*90,"")</f>
        <v/>
      </c>
      <c r="Z431" t="str">
        <f>IFERROR(INDEX('2024_25'!$M:$M,MATCH($A431,'2024_25'!$A:$A,0))/INDEX('2024_25'!$G:$G,MATCH($A431,'2024_25'!$A:$A,0))*90,"")</f>
        <v/>
      </c>
      <c r="AA431">
        <f>IFERROR(INDEX('2025_26'!$M:$M,MATCH($A431,'2025_26'!$A:$A,0))/INDEX('2025_26'!$G:$G,MATCH($A431,'2025_26'!$A:$A,0))*90,"")</f>
        <v>5.4941860465116275</v>
      </c>
      <c r="AB431">
        <f>IFERROR(SUMPRODUCT(S431:U431,{0.2,0.3,0.5})/SUMPRODUCT(--(S431:U431&lt;&gt;""),{0.2,0.3,0.5}),"")</f>
        <v>4.3604651162790699E-2</v>
      </c>
      <c r="AC431">
        <f>IFERROR(SUMPRODUCT(V431:X431,{0.2,0.3,0.5})/SUMPRODUCT(--(V431:X431&lt;&gt;""),{0.2,0.3,0.5}),"")</f>
        <v>0.13517441860465115</v>
      </c>
      <c r="AD431">
        <f>IFERROR(SUMPRODUCT(Y431:AA431,{0.2,0.3,0.5})/SUMPRODUCT((Y431:AA431&lt;&gt;"")*{0.2,0.3,0.5}),O431)</f>
        <v>5.4941860465116275</v>
      </c>
      <c r="AE431">
        <f t="shared" si="161"/>
        <v>1</v>
      </c>
      <c r="AF431">
        <f t="shared" si="162"/>
        <v>80</v>
      </c>
      <c r="AG431">
        <f t="shared" si="163"/>
        <v>2.3348837209302326E-2</v>
      </c>
      <c r="AH431">
        <f t="shared" si="164"/>
        <v>9.6081395348837209E-2</v>
      </c>
      <c r="AI431" s="2">
        <f t="shared" si="165"/>
        <v>2.8639534883720925</v>
      </c>
      <c r="AJ431">
        <f t="shared" si="166"/>
        <v>0.53333333333333333</v>
      </c>
      <c r="AK431" t="str">
        <f t="shared" si="167"/>
        <v>NO</v>
      </c>
      <c r="AL431">
        <f t="shared" si="168"/>
        <v>2.3348837209302326E-2</v>
      </c>
      <c r="AM431">
        <f t="shared" si="169"/>
        <v>9.6081395348837209E-2</v>
      </c>
      <c r="AN431">
        <f t="shared" si="170"/>
        <v>2.3348837209302326E-2</v>
      </c>
      <c r="AO431">
        <f t="shared" si="171"/>
        <v>9.6081395348837209E-2</v>
      </c>
      <c r="AP431">
        <f t="array" ref="AP431">AL431*IF($C431="GKP",10,IF($C431="DEF",6,IF($C431="MID",5,4)))</f>
        <v>0.14009302325581396</v>
      </c>
      <c r="AQ431">
        <f t="shared" si="172"/>
        <v>0.28824418604651164</v>
      </c>
      <c r="AR431">
        <f t="shared" si="173"/>
        <v>2</v>
      </c>
      <c r="AS431" s="2">
        <f>IF($H431=0,0,Player_Analysis!$AM431*$H431/90)</f>
        <v>0</v>
      </c>
      <c r="AT431">
        <f t="shared" si="174"/>
        <v>0.9</v>
      </c>
      <c r="AU431" s="2">
        <f>0</f>
        <v>0</v>
      </c>
      <c r="AV431" s="2">
        <f>IF(INDEX(FPL_Raw_Data!K:K,MATCH(A431,FPL_Raw_Data!AA:AA,0))=0,"",INDEX(FPL_Raw_Data!P:P,MATCH(A431,FPL_Raw_Data!AA:AA,0))/INDEX(FPL_Raw_Data!K:K,MATCH(A431,FPL_Raw_Data!AA:AA,0))*90)</f>
        <v>0</v>
      </c>
      <c r="AW431" s="2">
        <f t="shared" si="175"/>
        <v>0</v>
      </c>
      <c r="AX431" s="2">
        <f>IFERROR(INDEX(TEAM_ANALYSIS!$H$2:$H$21,MATCH($B431,TEAM_ANALYSIS!$A$2:$A$21,0)),0)</f>
        <v>1.3333333333333333</v>
      </c>
      <c r="AY431" s="2">
        <f t="shared" si="176"/>
        <v>-0.66666666666666663</v>
      </c>
      <c r="AZ431" s="2">
        <f t="shared" si="177"/>
        <v>2.6616705426356591</v>
      </c>
      <c r="BA431">
        <f t="shared" si="178"/>
        <v>0.49290195233993683</v>
      </c>
      <c r="BB431">
        <f>IFERROR(Player_Analysis!$Y431,1)</f>
        <v>0.96585312585312599</v>
      </c>
      <c r="BC431">
        <f t="shared" si="179"/>
        <v>2.5707828135958373</v>
      </c>
      <c r="BD431">
        <f t="shared" si="180"/>
        <v>1.267143867863344</v>
      </c>
      <c r="BE431">
        <f t="shared" si="181"/>
        <v>2.5707828135958373</v>
      </c>
      <c r="BF431">
        <f t="shared" si="182"/>
        <v>222</v>
      </c>
      <c r="BG431">
        <f>IF($BE431="","",COUNTIFS($C$2:$C$596,$C431,$BE$2:$BE$596,"&gt;"&amp;$BE431)+COUNTIFS($C$2:$C431,$C431,$BE$2:$BE431,$BE431))</f>
        <v>73</v>
      </c>
    </row>
    <row r="432" spans="1:59" x14ac:dyDescent="0.25">
      <c r="A432" t="str">
        <f>Player_Analysis!A432</f>
        <v>Milos Kerkez</v>
      </c>
      <c r="B432">
        <f>Player_Analysis!C432</f>
        <v>14</v>
      </c>
      <c r="C432" t="str">
        <f>Player_Analysis!B432</f>
        <v>DEF</v>
      </c>
      <c r="D432" s="13">
        <f>Player_Analysis!E432</f>
        <v>5.4</v>
      </c>
      <c r="E432">
        <f>Player_Analysis!I432</f>
        <v>250</v>
      </c>
      <c r="F432" s="8">
        <f>Player_Analysis!Z432</f>
        <v>3</v>
      </c>
      <c r="G432" s="17">
        <f t="shared" si="157"/>
        <v>1</v>
      </c>
      <c r="H432">
        <f t="shared" si="158"/>
        <v>90</v>
      </c>
      <c r="I432" s="8">
        <f>Player_Analysis!AF432</f>
        <v>0</v>
      </c>
      <c r="J432" s="8">
        <f>Player_Analysis!AG432</f>
        <v>0</v>
      </c>
      <c r="K432">
        <f>Player_Analysis!O432</f>
        <v>0.02</v>
      </c>
      <c r="L432">
        <f>Player_Analysis!P432</f>
        <v>0.06</v>
      </c>
      <c r="M432">
        <f t="shared" si="159"/>
        <v>7.2000000000000007E-3</v>
      </c>
      <c r="N432">
        <f t="shared" si="160"/>
        <v>2.1599999999999998E-2</v>
      </c>
      <c r="O432" s="2">
        <f>IF(E432=0,"",Player_Analysis!L432/E432*90)</f>
        <v>2.16</v>
      </c>
      <c r="P432">
        <f>IF(E432=0,"",Player_Analysis!Q432/E432*90)</f>
        <v>2.8800000000000003E-2</v>
      </c>
      <c r="Q432">
        <f>IF(E432=0,"",(Player_Analysis!AD432/E432)*90)</f>
        <v>12.600000000000001</v>
      </c>
      <c r="R432">
        <f>IF(E432=0,"",Player_Analysis!AA432/E432*90)</f>
        <v>7.2</v>
      </c>
      <c r="S432">
        <f t="array" ref="S432">IFERROR(INDEX('2023_24'!$O:$O,MATCH($A432,'2023_24'!$A:$A,0)),"")</f>
        <v>6.0427263479145475E-2</v>
      </c>
      <c r="T432">
        <f>IFERROR(INDEX('2024_25'!$P:$P,MATCH($A432,'2024_25'!$A:$A,0)),"")</f>
        <v>1.618705035971223E-2</v>
      </c>
      <c r="U432">
        <f>IFERROR(INDEX('2025_26'!$P:$P,MATCH($A432,'2025_26'!$A:$A,0)),"")</f>
        <v>5.9973345179920041E-2</v>
      </c>
      <c r="V432">
        <f>IFERROR(INDEX('2023_24'!$P:$P,MATCH($A432,'2023_24'!$A:$A,0)),"")</f>
        <v>4.8524923702950154E-2</v>
      </c>
      <c r="W432">
        <f>IFERROR(INDEX('2024_25'!$Q:$Q,MATCH($A432,'2024_25'!$A:$A,0)),"")</f>
        <v>6.9334532374100713E-2</v>
      </c>
      <c r="X432">
        <f>IFERROR(INDEX('2025_26'!$Q:$Q,MATCH($A432,'2025_26'!$A:$A,0)),"")</f>
        <v>2.7587738782763212E-2</v>
      </c>
      <c r="Y432">
        <f>IFERROR(INDEX('2023_24'!$M:$M,MATCH($A432,'2023_24'!$A:$A,0))/INDEX('2023_24'!$G:$G,MATCH($A432,'2023_24'!$A:$A,0))*90,"")</f>
        <v>2.7009155645981688</v>
      </c>
      <c r="Z432">
        <f>IFERROR(INDEX('2024_25'!$M:$M,MATCH($A432,'2024_25'!$A:$A,0))/INDEX('2024_25'!$G:$G,MATCH($A432,'2024_25'!$A:$A,0))*90,"")</f>
        <v>3.6151079136690649</v>
      </c>
      <c r="AA432">
        <f>IFERROR(INDEX('2025_26'!$M:$M,MATCH($A432,'2025_26'!$A:$A,0))/INDEX('2025_26'!$G:$G,MATCH($A432,'2025_26'!$A:$A,0))*90,"")</f>
        <v>3.3984895601954688</v>
      </c>
      <c r="AB432">
        <f>IFERROR(SUMPRODUCT(S432:U432,{0.2,0.3,0.5})/SUMPRODUCT(--(S432:U432&lt;&gt;""),{0.2,0.3,0.5}),"")</f>
        <v>4.6928240393702789E-2</v>
      </c>
      <c r="AC432">
        <f>IFERROR(SUMPRODUCT(V432:X432,{0.2,0.3,0.5})/SUMPRODUCT(--(V432:X432&lt;&gt;""),{0.2,0.3,0.5}),"")</f>
        <v>4.4299213844201851E-2</v>
      </c>
      <c r="AD432">
        <f>IFERROR(SUMPRODUCT(Y432:AA432,{0.2,0.3,0.5})/SUMPRODUCT((Y432:AA432&lt;&gt;"")*{0.2,0.3,0.5}),O432)</f>
        <v>3.3239602671180872</v>
      </c>
      <c r="AE432">
        <f t="shared" si="161"/>
        <v>3</v>
      </c>
      <c r="AF432">
        <f t="shared" si="162"/>
        <v>83.333333333333329</v>
      </c>
      <c r="AG432">
        <f t="shared" si="163"/>
        <v>1.3821373398950464E-2</v>
      </c>
      <c r="AH432">
        <f t="shared" si="164"/>
        <v>2.5383202307366973E-2</v>
      </c>
      <c r="AI432" s="2">
        <f t="shared" si="165"/>
        <v>2.3539933778530147</v>
      </c>
      <c r="AJ432">
        <f t="shared" si="166"/>
        <v>0.83333333333333337</v>
      </c>
      <c r="AK432" t="str">
        <f t="shared" si="167"/>
        <v>NO</v>
      </c>
      <c r="AL432">
        <f t="shared" si="168"/>
        <v>1.3821373398950464E-2</v>
      </c>
      <c r="AM432">
        <f t="shared" si="169"/>
        <v>2.5383202307366976E-2</v>
      </c>
      <c r="AN432">
        <f t="shared" si="170"/>
        <v>1.3821373398950464E-2</v>
      </c>
      <c r="AO432">
        <f t="shared" si="171"/>
        <v>2.5383202307366976E-2</v>
      </c>
      <c r="AP432">
        <f t="array" ref="AP432">AL432*IF($C432="GKP",10,IF($C432="DEF",6,IF($C432="MID",5,4)))</f>
        <v>8.2928240393702779E-2</v>
      </c>
      <c r="AQ432">
        <f t="shared" si="172"/>
        <v>7.6149606922100932E-2</v>
      </c>
      <c r="AR432">
        <f t="shared" si="173"/>
        <v>2</v>
      </c>
      <c r="AS432" s="2">
        <f>IF($H432=0,0,Player_Analysis!$AM432*$H432/90)</f>
        <v>1.3333333333333333</v>
      </c>
      <c r="AT432">
        <f t="shared" si="174"/>
        <v>1.44</v>
      </c>
      <c r="AU432" s="2">
        <f>0</f>
        <v>0</v>
      </c>
      <c r="AV432" s="2">
        <f>IF(INDEX(FPL_Raw_Data!K:K,MATCH(A432,FPL_Raw_Data!AA:AA,0))=0,"",INDEX(FPL_Raw_Data!P:P,MATCH(A432,FPL_Raw_Data!AA:AA,0))/INDEX(FPL_Raw_Data!K:K,MATCH(A432,FPL_Raw_Data!AA:AA,0))*90)</f>
        <v>0</v>
      </c>
      <c r="AW432" s="2">
        <f t="shared" si="175"/>
        <v>0</v>
      </c>
      <c r="AX432" s="2">
        <f>IFERROR(INDEX(TEAM_ANALYSIS!$H$2:$H$21,MATCH($B432,TEAM_ANALYSIS!$A$2:$A$21,0)),0)</f>
        <v>1.3333333333333333</v>
      </c>
      <c r="AY432" s="2">
        <f t="shared" si="176"/>
        <v>-0.66666666666666663</v>
      </c>
      <c r="AZ432" s="2">
        <f t="shared" si="177"/>
        <v>4.2657445139824697</v>
      </c>
      <c r="BA432">
        <f t="shared" si="178"/>
        <v>0.78995268777453131</v>
      </c>
      <c r="BB432">
        <f>IFERROR(Player_Analysis!$Y432,1)</f>
        <v>0.96585312585312599</v>
      </c>
      <c r="BC432">
        <f t="shared" si="179"/>
        <v>4.120082672920792</v>
      </c>
      <c r="BD432">
        <f t="shared" si="180"/>
        <v>3.2546703813270548</v>
      </c>
      <c r="BE432">
        <f t="shared" si="181"/>
        <v>4.120082672920792</v>
      </c>
      <c r="BF432">
        <f t="shared" si="182"/>
        <v>149</v>
      </c>
      <c r="BG432">
        <f>IF($BE432="","",COUNTIFS($C$2:$C$596,$C432,$BE$2:$BE$596,"&gt;"&amp;$BE432)+COUNTIFS($C$2:$C432,$C432,$BE$2:$BE432,$BE432))</f>
        <v>50</v>
      </c>
    </row>
    <row r="433" spans="1:59" x14ac:dyDescent="0.25">
      <c r="A433" t="str">
        <f>Player_Analysis!A433</f>
        <v>Joe Gomez</v>
      </c>
      <c r="B433">
        <f>Player_Analysis!C433</f>
        <v>14</v>
      </c>
      <c r="C433" t="str">
        <f>Player_Analysis!B433</f>
        <v>DEF</v>
      </c>
      <c r="D433" s="13">
        <f>Player_Analysis!E433</f>
        <v>5</v>
      </c>
      <c r="E433">
        <f>Player_Analysis!I433</f>
        <v>0</v>
      </c>
      <c r="F433" s="8">
        <f>Player_Analysis!Z433</f>
        <v>0</v>
      </c>
      <c r="G433" s="17">
        <f t="shared" si="157"/>
        <v>0</v>
      </c>
      <c r="H433">
        <f t="shared" si="158"/>
        <v>0</v>
      </c>
      <c r="I433" s="8">
        <f>Player_Analysis!AF433</f>
        <v>0</v>
      </c>
      <c r="J433" s="8">
        <f>Player_Analysis!AG433</f>
        <v>0</v>
      </c>
      <c r="K433">
        <f>Player_Analysis!O433</f>
        <v>0</v>
      </c>
      <c r="L433">
        <f>Player_Analysis!P433</f>
        <v>0</v>
      </c>
      <c r="M433" t="str">
        <f t="shared" si="159"/>
        <v/>
      </c>
      <c r="N433" t="str">
        <f t="shared" si="160"/>
        <v/>
      </c>
      <c r="O433" s="2" t="str">
        <f>IF(E433=0,"",Player_Analysis!L433/E433*90)</f>
        <v/>
      </c>
      <c r="P433" t="str">
        <f>IF(E433=0,"",Player_Analysis!Q433/E433*90)</f>
        <v/>
      </c>
      <c r="Q433" t="str">
        <f>IF(E433=0,"",(Player_Analysis!AD433/E433)*90)</f>
        <v/>
      </c>
      <c r="R433" t="str">
        <f>IF(E433=0,"",Player_Analysis!AA433/E433*90)</f>
        <v/>
      </c>
      <c r="S433">
        <f t="array" ref="S433">IFERROR(INDEX('2023_24'!$O:$O,MATCH($A433,'2023_24'!$A:$A,0)),"")</f>
        <v>5.1805869074492104E-2</v>
      </c>
      <c r="T433">
        <f>IFERROR(INDEX('2024_25'!$P:$P,MATCH($A433,'2024_25'!$A:$A,0)),"")</f>
        <v>5.7446808510638304E-2</v>
      </c>
      <c r="U433">
        <f>IFERROR(INDEX('2025_26'!$P:$P,MATCH($A433,'2025_26'!$A:$A,0)),"")</f>
        <v>4.2424242424242427E-2</v>
      </c>
      <c r="V433">
        <f>IFERROR(INDEX('2023_24'!$P:$P,MATCH($A433,'2023_24'!$A:$A,0)),"")</f>
        <v>5.4345372460496623E-2</v>
      </c>
      <c r="W433">
        <f>IFERROR(INDEX('2024_25'!$Q:$Q,MATCH($A433,'2024_25'!$A:$A,0)),"")</f>
        <v>1.5667311411992263E-2</v>
      </c>
      <c r="X433">
        <f>IFERROR(INDEX('2025_26'!$Q:$Q,MATCH($A433,'2025_26'!$A:$A,0)),"")</f>
        <v>9.696969696969697E-2</v>
      </c>
      <c r="Y433">
        <f>IFERROR(INDEX('2023_24'!$M:$M,MATCH($A433,'2023_24'!$A:$A,0))/INDEX('2023_24'!$G:$G,MATCH($A433,'2023_24'!$A:$A,0))*90,"")</f>
        <v>3.8600451467268622</v>
      </c>
      <c r="Z433">
        <f>IFERROR(INDEX('2024_25'!$M:$M,MATCH($A433,'2024_25'!$A:$A,0))/INDEX('2024_25'!$G:$G,MATCH($A433,'2024_25'!$A:$A,0))*90,"")</f>
        <v>2.4371373307543522</v>
      </c>
      <c r="AA433">
        <f>IFERROR(INDEX('2025_26'!$M:$M,MATCH($A433,'2025_26'!$A:$A,0))/INDEX('2025_26'!$G:$G,MATCH($A433,'2025_26'!$A:$A,0))*90,"")</f>
        <v>5</v>
      </c>
      <c r="AB433">
        <f>IFERROR(SUMPRODUCT(S433:U433,{0.2,0.3,0.5})/SUMPRODUCT(--(S433:U433&lt;&gt;""),{0.2,0.3,0.5}),"")</f>
        <v>4.8807337580211121E-2</v>
      </c>
      <c r="AC433">
        <f>IFERROR(SUMPRODUCT(V433:X433,{0.2,0.3,0.5})/SUMPRODUCT(--(V433:X433&lt;&gt;""),{0.2,0.3,0.5}),"")</f>
        <v>6.4054116400545494E-2</v>
      </c>
      <c r="AD433">
        <f>IFERROR(SUMPRODUCT(Y433:AA433,{0.2,0.3,0.5})/SUMPRODUCT((Y433:AA433&lt;&gt;"")*{0.2,0.3,0.5}),O433)</f>
        <v>4.0031502285716787</v>
      </c>
      <c r="AE433">
        <f t="shared" si="161"/>
        <v>3</v>
      </c>
      <c r="AF433" t="str">
        <f t="shared" si="162"/>
        <v/>
      </c>
      <c r="AG433">
        <f t="shared" si="163"/>
        <v>4.8807337580211121E-2</v>
      </c>
      <c r="AH433">
        <f t="shared" si="164"/>
        <v>6.4054116400545494E-2</v>
      </c>
      <c r="AI433" s="2">
        <f t="shared" si="165"/>
        <v>4.0031502285716787</v>
      </c>
      <c r="AJ433">
        <f t="shared" si="166"/>
        <v>0</v>
      </c>
      <c r="AK433" t="str">
        <f t="shared" si="167"/>
        <v>NO</v>
      </c>
      <c r="AL433">
        <f t="shared" si="168"/>
        <v>0</v>
      </c>
      <c r="AM433">
        <f t="shared" si="169"/>
        <v>0</v>
      </c>
      <c r="AN433">
        <f t="shared" si="170"/>
        <v>0</v>
      </c>
      <c r="AO433">
        <f t="shared" si="171"/>
        <v>0</v>
      </c>
      <c r="AP433">
        <f t="array" ref="AP433">AL433*IF($C433="GKP",10,IF($C433="DEF",6,IF($C433="MID",5,4)))</f>
        <v>0</v>
      </c>
      <c r="AQ433">
        <f t="shared" si="172"/>
        <v>0</v>
      </c>
      <c r="AR433">
        <f t="shared" si="173"/>
        <v>0</v>
      </c>
      <c r="AS433" s="2">
        <f>IF($H433=0,0,Player_Analysis!$AM433*$H433/90)</f>
        <v>0</v>
      </c>
      <c r="AT433">
        <f t="shared" si="174"/>
        <v>0</v>
      </c>
      <c r="AU433" s="2">
        <f>0</f>
        <v>0</v>
      </c>
      <c r="AV433" s="2" t="str">
        <f>IF(INDEX(FPL_Raw_Data!K:K,MATCH(A433,FPL_Raw_Data!AA:AA,0))=0,"",INDEX(FPL_Raw_Data!P:P,MATCH(A433,FPL_Raw_Data!AA:AA,0))/INDEX(FPL_Raw_Data!K:K,MATCH(A433,FPL_Raw_Data!AA:AA,0))*90)</f>
        <v/>
      </c>
      <c r="AW433" s="2">
        <f t="shared" si="175"/>
        <v>0</v>
      </c>
      <c r="AX433" s="2">
        <f>IFERROR(INDEX(TEAM_ANALYSIS!$H$2:$H$21,MATCH($B433,TEAM_ANALYSIS!$A$2:$A$21,0)),0)</f>
        <v>1.3333333333333333</v>
      </c>
      <c r="AY433" s="2">
        <f t="shared" si="176"/>
        <v>-0.66666666666666663</v>
      </c>
      <c r="AZ433" s="2">
        <f t="shared" si="177"/>
        <v>-0.66666666666666663</v>
      </c>
      <c r="BA433">
        <f t="shared" si="178"/>
        <v>-0.13333333333333333</v>
      </c>
      <c r="BB433">
        <f>IFERROR(Player_Analysis!$Y433,1)</f>
        <v>0.96585312585312599</v>
      </c>
      <c r="BC433">
        <f t="shared" si="179"/>
        <v>-0.64390208390208392</v>
      </c>
      <c r="BD433">
        <f t="shared" si="180"/>
        <v>8.5853611186944526E-2</v>
      </c>
      <c r="BE433">
        <f t="shared" si="181"/>
        <v>-0.64390208390208392</v>
      </c>
      <c r="BF433">
        <f t="shared" si="182"/>
        <v>537</v>
      </c>
      <c r="BG433">
        <f>IF($BE433="","",COUNTIFS($C$2:$C$596,$C433,$BE$2:$BE$596,"&gt;"&amp;$BE433)+COUNTIFS($C$2:$C433,$C433,$BE$2:$BE433,$BE433))</f>
        <v>134</v>
      </c>
    </row>
    <row r="434" spans="1:59" x14ac:dyDescent="0.25">
      <c r="A434" t="str">
        <f>Player_Analysis!A434</f>
        <v>Conor Bradley</v>
      </c>
      <c r="B434">
        <f>Player_Analysis!C434</f>
        <v>14</v>
      </c>
      <c r="C434" t="str">
        <f>Player_Analysis!B434</f>
        <v>DEF</v>
      </c>
      <c r="D434" s="13">
        <f>Player_Analysis!E434</f>
        <v>5</v>
      </c>
      <c r="E434">
        <f>Player_Analysis!I434</f>
        <v>0</v>
      </c>
      <c r="F434" s="8">
        <f>Player_Analysis!Z434</f>
        <v>0</v>
      </c>
      <c r="G434" s="17">
        <f t="shared" si="157"/>
        <v>0</v>
      </c>
      <c r="H434">
        <f t="shared" si="158"/>
        <v>0</v>
      </c>
      <c r="I434" s="8">
        <f>Player_Analysis!AF434</f>
        <v>0</v>
      </c>
      <c r="J434" s="8">
        <f>Player_Analysis!AG434</f>
        <v>0</v>
      </c>
      <c r="K434">
        <f>Player_Analysis!O434</f>
        <v>0</v>
      </c>
      <c r="L434">
        <f>Player_Analysis!P434</f>
        <v>0</v>
      </c>
      <c r="M434" t="str">
        <f t="shared" si="159"/>
        <v/>
      </c>
      <c r="N434" t="str">
        <f t="shared" si="160"/>
        <v/>
      </c>
      <c r="O434" s="2" t="str">
        <f>IF(E434=0,"",Player_Analysis!L434/E434*90)</f>
        <v/>
      </c>
      <c r="P434" t="str">
        <f>IF(E434=0,"",Player_Analysis!Q434/E434*90)</f>
        <v/>
      </c>
      <c r="Q434" t="str">
        <f>IF(E434=0,"",(Player_Analysis!AD434/E434)*90)</f>
        <v/>
      </c>
      <c r="R434" t="str">
        <f>IF(E434=0,"",Player_Analysis!AA434/E434*90)</f>
        <v/>
      </c>
      <c r="S434">
        <f t="array" ref="S434">IFERROR(INDEX('2023_24'!$O:$O,MATCH($A434,'2023_24'!$A:$A,0)),"")</f>
        <v>0.10890957446808511</v>
      </c>
      <c r="T434">
        <f>IFERROR(INDEX('2024_25'!$P:$P,MATCH($A434,'2024_25'!$A:$A,0)),"")</f>
        <v>8.4677419354838704E-2</v>
      </c>
      <c r="U434">
        <f>IFERROR(INDEX('2025_26'!$P:$P,MATCH($A434,'2025_26'!$A:$A,0)),"")</f>
        <v>1.7456896551724138E-2</v>
      </c>
      <c r="V434">
        <f>IFERROR(INDEX('2023_24'!$P:$P,MATCH($A434,'2023_24'!$A:$A,0)),"")</f>
        <v>0.14840425531914894</v>
      </c>
      <c r="W434">
        <f>IFERROR(INDEX('2024_25'!$Q:$Q,MATCH($A434,'2024_25'!$A:$A,0)),"")</f>
        <v>0.17298387096774193</v>
      </c>
      <c r="X434">
        <f>IFERROR(INDEX('2025_26'!$Q:$Q,MATCH($A434,'2025_26'!$A:$A,0)),"")</f>
        <v>8.1465517241379307E-2</v>
      </c>
      <c r="Y434">
        <f>IFERROR(INDEX('2023_24'!$M:$M,MATCH($A434,'2023_24'!$A:$A,0))/INDEX('2023_24'!$G:$G,MATCH($A434,'2023_24'!$A:$A,0))*90,"")</f>
        <v>5.9840425531914896</v>
      </c>
      <c r="Z434">
        <f>IFERROR(INDEX('2024_25'!$M:$M,MATCH($A434,'2024_25'!$A:$A,0))/INDEX('2024_25'!$G:$G,MATCH($A434,'2024_25'!$A:$A,0))*90,"")</f>
        <v>4.959677419354839</v>
      </c>
      <c r="AA434">
        <f>IFERROR(INDEX('2025_26'!$M:$M,MATCH($A434,'2025_26'!$A:$A,0))/INDEX('2025_26'!$G:$G,MATCH($A434,'2025_26'!$A:$A,0))*90,"")</f>
        <v>4.0732758620689653</v>
      </c>
      <c r="AB434">
        <f>IFERROR(SUMPRODUCT(S434:U434,{0.2,0.3,0.5})/SUMPRODUCT(--(S434:U434&lt;&gt;""),{0.2,0.3,0.5}),"")</f>
        <v>5.5913588975930704E-2</v>
      </c>
      <c r="AC434">
        <f>IFERROR(SUMPRODUCT(V434:X434,{0.2,0.3,0.5})/SUMPRODUCT(--(V434:X434&lt;&gt;""),{0.2,0.3,0.5}),"")</f>
        <v>0.12230877097484202</v>
      </c>
      <c r="AD434">
        <f>IFERROR(SUMPRODUCT(Y434:AA434,{0.2,0.3,0.5})/SUMPRODUCT((Y434:AA434&lt;&gt;"")*{0.2,0.3,0.5}),O434)</f>
        <v>4.7213496674792328</v>
      </c>
      <c r="AE434">
        <f t="shared" si="161"/>
        <v>3</v>
      </c>
      <c r="AF434" t="str">
        <f t="shared" si="162"/>
        <v/>
      </c>
      <c r="AG434">
        <f t="shared" si="163"/>
        <v>5.5913588975930704E-2</v>
      </c>
      <c r="AH434">
        <f t="shared" si="164"/>
        <v>0.12230877097484202</v>
      </c>
      <c r="AI434" s="2">
        <f t="shared" si="165"/>
        <v>4.7213496674792328</v>
      </c>
      <c r="AJ434">
        <f t="shared" si="166"/>
        <v>0</v>
      </c>
      <c r="AK434" t="str">
        <f t="shared" si="167"/>
        <v>NO</v>
      </c>
      <c r="AL434">
        <f t="shared" si="168"/>
        <v>0</v>
      </c>
      <c r="AM434">
        <f t="shared" si="169"/>
        <v>0</v>
      </c>
      <c r="AN434">
        <f t="shared" si="170"/>
        <v>0</v>
      </c>
      <c r="AO434">
        <f t="shared" si="171"/>
        <v>0</v>
      </c>
      <c r="AP434">
        <f t="array" ref="AP434">AL434*IF($C434="GKP",10,IF($C434="DEF",6,IF($C434="MID",5,4)))</f>
        <v>0</v>
      </c>
      <c r="AQ434">
        <f t="shared" si="172"/>
        <v>0</v>
      </c>
      <c r="AR434">
        <f t="shared" si="173"/>
        <v>0</v>
      </c>
      <c r="AS434" s="2">
        <f>IF($H434=0,0,Player_Analysis!$AM434*$H434/90)</f>
        <v>0</v>
      </c>
      <c r="AT434">
        <f t="shared" si="174"/>
        <v>0</v>
      </c>
      <c r="AU434" s="2">
        <f>0</f>
        <v>0</v>
      </c>
      <c r="AV434" s="2" t="str">
        <f>IF(INDEX(FPL_Raw_Data!K:K,MATCH(A434,FPL_Raw_Data!AA:AA,0))=0,"",INDEX(FPL_Raw_Data!P:P,MATCH(A434,FPL_Raw_Data!AA:AA,0))/INDEX(FPL_Raw_Data!K:K,MATCH(A434,FPL_Raw_Data!AA:AA,0))*90)</f>
        <v/>
      </c>
      <c r="AW434" s="2">
        <f t="shared" si="175"/>
        <v>0</v>
      </c>
      <c r="AX434" s="2">
        <f>IFERROR(INDEX(TEAM_ANALYSIS!$H$2:$H$21,MATCH($B434,TEAM_ANALYSIS!$A$2:$A$21,0)),0)</f>
        <v>1.3333333333333333</v>
      </c>
      <c r="AY434" s="2">
        <f t="shared" si="176"/>
        <v>-0.66666666666666663</v>
      </c>
      <c r="AZ434" s="2">
        <f t="shared" si="177"/>
        <v>-0.66666666666666663</v>
      </c>
      <c r="BA434">
        <f t="shared" si="178"/>
        <v>-0.13333333333333333</v>
      </c>
      <c r="BB434">
        <f>IFERROR(Player_Analysis!$Y434,1)</f>
        <v>0.96585312585312599</v>
      </c>
      <c r="BC434">
        <f t="shared" si="179"/>
        <v>-0.64390208390208392</v>
      </c>
      <c r="BD434">
        <f t="shared" si="180"/>
        <v>8.5853611186944526E-2</v>
      </c>
      <c r="BE434">
        <f t="shared" si="181"/>
        <v>-0.64390208390208392</v>
      </c>
      <c r="BF434">
        <f t="shared" si="182"/>
        <v>537</v>
      </c>
      <c r="BG434">
        <f>IF($BE434="","",COUNTIFS($C$2:$C$596,$C434,$BE$2:$BE$596,"&gt;"&amp;$BE434)+COUNTIFS($C$2:$C434,$C434,$BE$2:$BE434,$BE434))</f>
        <v>135</v>
      </c>
    </row>
    <row r="435" spans="1:59" x14ac:dyDescent="0.25">
      <c r="A435" t="str">
        <f>Player_Analysis!A435</f>
        <v>Wellity Lucky</v>
      </c>
      <c r="B435">
        <f>Player_Analysis!C435</f>
        <v>14</v>
      </c>
      <c r="C435" t="str">
        <f>Player_Analysis!B435</f>
        <v>DEF</v>
      </c>
      <c r="D435" s="13">
        <f>Player_Analysis!E435</f>
        <v>4</v>
      </c>
      <c r="E435">
        <f>Player_Analysis!I435</f>
        <v>0</v>
      </c>
      <c r="F435" s="8">
        <f>Player_Analysis!Z435</f>
        <v>0</v>
      </c>
      <c r="G435" s="17">
        <f t="shared" si="157"/>
        <v>0</v>
      </c>
      <c r="H435">
        <f t="shared" si="158"/>
        <v>0</v>
      </c>
      <c r="I435" s="8">
        <f>Player_Analysis!AF435</f>
        <v>0</v>
      </c>
      <c r="J435" s="8">
        <f>Player_Analysis!AG435</f>
        <v>0</v>
      </c>
      <c r="K435">
        <f>Player_Analysis!O435</f>
        <v>0</v>
      </c>
      <c r="L435">
        <f>Player_Analysis!P435</f>
        <v>0</v>
      </c>
      <c r="M435" t="str">
        <f t="shared" si="159"/>
        <v/>
      </c>
      <c r="N435" t="str">
        <f t="shared" si="160"/>
        <v/>
      </c>
      <c r="O435" s="2" t="str">
        <f>IF(E435=0,"",Player_Analysis!L435/E435*90)</f>
        <v/>
      </c>
      <c r="P435" t="str">
        <f>IF(E435=0,"",Player_Analysis!Q435/E435*90)</f>
        <v/>
      </c>
      <c r="Q435" t="str">
        <f>IF(E435=0,"",(Player_Analysis!AD435/E435)*90)</f>
        <v/>
      </c>
      <c r="R435" t="str">
        <f>IF(E435=0,"",Player_Analysis!AA435/E435*90)</f>
        <v/>
      </c>
      <c r="S435" t="str">
        <f t="array" ref="S435">IFERROR(INDEX('2023_24'!$O:$O,MATCH($A435,'2023_24'!$A:$A,0)),"")</f>
        <v/>
      </c>
      <c r="T435" t="str">
        <f>IFERROR(INDEX('2024_25'!$P:$P,MATCH($A435,'2024_25'!$A:$A,0)),"")</f>
        <v/>
      </c>
      <c r="U435">
        <f>IFERROR(INDEX('2025_26'!$P:$P,MATCH($A435,'2025_26'!$A:$A,0)),"")</f>
        <v>0</v>
      </c>
      <c r="V435" t="str">
        <f>IFERROR(INDEX('2023_24'!$P:$P,MATCH($A435,'2023_24'!$A:$A,0)),"")</f>
        <v/>
      </c>
      <c r="W435" t="str">
        <f>IFERROR(INDEX('2024_25'!$Q:$Q,MATCH($A435,'2024_25'!$A:$A,0)),"")</f>
        <v/>
      </c>
      <c r="X435">
        <f>IFERROR(INDEX('2025_26'!$Q:$Q,MATCH($A435,'2025_26'!$A:$A,0)),"")</f>
        <v>0</v>
      </c>
      <c r="Y435" t="str">
        <f>IFERROR(INDEX('2023_24'!$M:$M,MATCH($A435,'2023_24'!$A:$A,0))/INDEX('2023_24'!$G:$G,MATCH($A435,'2023_24'!$A:$A,0))*90,"")</f>
        <v/>
      </c>
      <c r="Z435" t="str">
        <f>IFERROR(INDEX('2024_25'!$M:$M,MATCH($A435,'2024_25'!$A:$A,0))/INDEX('2024_25'!$G:$G,MATCH($A435,'2024_25'!$A:$A,0))*90,"")</f>
        <v/>
      </c>
      <c r="AA435" t="str">
        <f>IFERROR(INDEX('2025_26'!$M:$M,MATCH($A435,'2025_26'!$A:$A,0))/INDEX('2025_26'!$G:$G,MATCH($A435,'2025_26'!$A:$A,0))*90,"")</f>
        <v/>
      </c>
      <c r="AB435">
        <f>IFERROR(SUMPRODUCT(S435:U435,{0.2,0.3,0.5})/SUMPRODUCT(--(S435:U435&lt;&gt;""),{0.2,0.3,0.5}),"")</f>
        <v>0</v>
      </c>
      <c r="AC435">
        <f>IFERROR(SUMPRODUCT(V435:X435,{0.2,0.3,0.5})/SUMPRODUCT(--(V435:X435&lt;&gt;""),{0.2,0.3,0.5}),"")</f>
        <v>0</v>
      </c>
      <c r="AD435" t="str">
        <f>IFERROR(SUMPRODUCT(Y435:AA435,{0.2,0.3,0.5})/SUMPRODUCT((Y435:AA435&lt;&gt;"")*{0.2,0.3,0.5}),O435)</f>
        <v/>
      </c>
      <c r="AE435">
        <f t="shared" si="161"/>
        <v>1</v>
      </c>
      <c r="AF435" t="str">
        <f t="shared" si="162"/>
        <v/>
      </c>
      <c r="AG435">
        <f t="shared" si="163"/>
        <v>0</v>
      </c>
      <c r="AH435">
        <f t="shared" si="164"/>
        <v>0</v>
      </c>
      <c r="AI435" s="2">
        <f t="shared" si="165"/>
        <v>0</v>
      </c>
      <c r="AJ435">
        <f t="shared" si="166"/>
        <v>0</v>
      </c>
      <c r="AK435" t="str">
        <f t="shared" si="167"/>
        <v>NO</v>
      </c>
      <c r="AL435">
        <f t="shared" si="168"/>
        <v>0</v>
      </c>
      <c r="AM435">
        <f t="shared" si="169"/>
        <v>0</v>
      </c>
      <c r="AN435">
        <f t="shared" si="170"/>
        <v>0</v>
      </c>
      <c r="AO435">
        <f t="shared" si="171"/>
        <v>0</v>
      </c>
      <c r="AP435">
        <f t="array" ref="AP435">AL435*IF($C435="GKP",10,IF($C435="DEF",6,IF($C435="MID",5,4)))</f>
        <v>0</v>
      </c>
      <c r="AQ435">
        <f t="shared" si="172"/>
        <v>0</v>
      </c>
      <c r="AR435">
        <f t="shared" si="173"/>
        <v>0</v>
      </c>
      <c r="AS435" s="2">
        <f>IF($H435=0,0,Player_Analysis!$AM435*$H435/90)</f>
        <v>0</v>
      </c>
      <c r="AT435">
        <f t="shared" si="174"/>
        <v>0</v>
      </c>
      <c r="AU435" s="2">
        <f>0</f>
        <v>0</v>
      </c>
      <c r="AV435" s="2" t="str">
        <f>IF(INDEX(FPL_Raw_Data!K:K,MATCH(A435,FPL_Raw_Data!AA:AA,0))=0,"",INDEX(FPL_Raw_Data!P:P,MATCH(A435,FPL_Raw_Data!AA:AA,0))/INDEX(FPL_Raw_Data!K:K,MATCH(A435,FPL_Raw_Data!AA:AA,0))*90)</f>
        <v/>
      </c>
      <c r="AW435" s="2">
        <f t="shared" si="175"/>
        <v>0</v>
      </c>
      <c r="AX435" s="2">
        <f>IFERROR(INDEX(TEAM_ANALYSIS!$H$2:$H$21,MATCH($B435,TEAM_ANALYSIS!$A$2:$A$21,0)),0)</f>
        <v>1.3333333333333333</v>
      </c>
      <c r="AY435" s="2">
        <f t="shared" si="176"/>
        <v>-0.66666666666666663</v>
      </c>
      <c r="AZ435" s="2">
        <f t="shared" si="177"/>
        <v>-0.66666666666666663</v>
      </c>
      <c r="BA435">
        <f t="shared" si="178"/>
        <v>-0.16666666666666666</v>
      </c>
      <c r="BB435">
        <f>IFERROR(Player_Analysis!$Y435,1)</f>
        <v>0.96585312585312599</v>
      </c>
      <c r="BC435">
        <f t="shared" si="179"/>
        <v>-0.64390208390208392</v>
      </c>
      <c r="BD435">
        <f t="shared" si="180"/>
        <v>0.10731701398368065</v>
      </c>
      <c r="BE435">
        <f t="shared" si="181"/>
        <v>-0.64390208390208392</v>
      </c>
      <c r="BF435">
        <f t="shared" si="182"/>
        <v>537</v>
      </c>
      <c r="BG435">
        <f>IF($BE435="","",COUNTIFS($C$2:$C$596,$C435,$BE$2:$BE$596,"&gt;"&amp;$BE435)+COUNTIFS($C$2:$C435,$C435,$BE$2:$BE435,$BE435))</f>
        <v>136</v>
      </c>
    </row>
    <row r="436" spans="1:59" x14ac:dyDescent="0.25">
      <c r="A436" t="str">
        <f>Player_Analysis!A436</f>
        <v>Jeremy Jacquet</v>
      </c>
      <c r="B436">
        <f>Player_Analysis!C436</f>
        <v>14</v>
      </c>
      <c r="C436" t="str">
        <f>Player_Analysis!B436</f>
        <v>DEF</v>
      </c>
      <c r="D436" s="13">
        <f>Player_Analysis!E436</f>
        <v>5</v>
      </c>
      <c r="E436">
        <f>Player_Analysis!I436</f>
        <v>235</v>
      </c>
      <c r="F436" s="8">
        <f>Player_Analysis!Z436</f>
        <v>3</v>
      </c>
      <c r="G436" s="17">
        <f t="shared" si="157"/>
        <v>1</v>
      </c>
      <c r="H436">
        <f t="shared" si="158"/>
        <v>90</v>
      </c>
      <c r="I436" s="8">
        <f>Player_Analysis!AF436</f>
        <v>0</v>
      </c>
      <c r="J436" s="8">
        <f>Player_Analysis!AG436</f>
        <v>0</v>
      </c>
      <c r="K436">
        <f>Player_Analysis!O436</f>
        <v>0</v>
      </c>
      <c r="L436">
        <f>Player_Analysis!P436</f>
        <v>0.1</v>
      </c>
      <c r="M436">
        <f t="shared" si="159"/>
        <v>0</v>
      </c>
      <c r="N436">
        <f t="shared" si="160"/>
        <v>3.8297872340425539E-2</v>
      </c>
      <c r="O436" s="2">
        <f>IF(E436=0,"",Player_Analysis!L436/E436*90)</f>
        <v>3.4468085106382977</v>
      </c>
      <c r="P436">
        <f>IF(E436=0,"",Player_Analysis!Q436/E436*90)</f>
        <v>3.8297872340425539E-2</v>
      </c>
      <c r="Q436">
        <f>IF(E436=0,"",(Player_Analysis!AD436/E436)*90)</f>
        <v>19.148936170212767</v>
      </c>
      <c r="R436">
        <f>IF(E436=0,"",Player_Analysis!AA436/E436*90)</f>
        <v>8.8085106382978733</v>
      </c>
      <c r="S436" t="str">
        <f t="array" ref="S436">IFERROR(INDEX('2023_24'!$O:$O,MATCH($A436,'2023_24'!$A:$A,0)),"")</f>
        <v/>
      </c>
      <c r="T436" t="str">
        <f>IFERROR(INDEX('2024_25'!$P:$P,MATCH($A436,'2024_25'!$A:$A,0)),"")</f>
        <v/>
      </c>
      <c r="U436" t="str">
        <f>IFERROR(INDEX('2025_26'!$P:$P,MATCH($A436,'2025_26'!$A:$A,0)),"")</f>
        <v/>
      </c>
      <c r="V436" t="str">
        <f>IFERROR(INDEX('2023_24'!$P:$P,MATCH($A436,'2023_24'!$A:$A,0)),"")</f>
        <v/>
      </c>
      <c r="W436" t="str">
        <f>IFERROR(INDEX('2024_25'!$Q:$Q,MATCH($A436,'2024_25'!$A:$A,0)),"")</f>
        <v/>
      </c>
      <c r="X436" t="str">
        <f>IFERROR(INDEX('2025_26'!$Q:$Q,MATCH($A436,'2025_26'!$A:$A,0)),"")</f>
        <v/>
      </c>
      <c r="Y436" t="str">
        <f>IFERROR(INDEX('2023_24'!$M:$M,MATCH($A436,'2023_24'!$A:$A,0))/INDEX('2023_24'!$G:$G,MATCH($A436,'2023_24'!$A:$A,0))*90,"")</f>
        <v/>
      </c>
      <c r="Z436" t="str">
        <f>IFERROR(INDEX('2024_25'!$M:$M,MATCH($A436,'2024_25'!$A:$A,0))/INDEX('2024_25'!$G:$G,MATCH($A436,'2024_25'!$A:$A,0))*90,"")</f>
        <v/>
      </c>
      <c r="AA436" t="str">
        <f>IFERROR(INDEX('2025_26'!$M:$M,MATCH($A436,'2025_26'!$A:$A,0))/INDEX('2025_26'!$G:$G,MATCH($A436,'2025_26'!$A:$A,0))*90,"")</f>
        <v/>
      </c>
      <c r="AB436" t="str">
        <f>IFERROR(SUMPRODUCT(S436:U436,{0.2,0.3,0.5})/SUMPRODUCT(--(S436:U436&lt;&gt;""),{0.2,0.3,0.5}),"")</f>
        <v/>
      </c>
      <c r="AC436" t="str">
        <f>IFERROR(SUMPRODUCT(V436:X436,{0.2,0.3,0.5})/SUMPRODUCT(--(V436:X436&lt;&gt;""),{0.2,0.3,0.5}),"")</f>
        <v/>
      </c>
      <c r="AD436">
        <f>IFERROR(SUMPRODUCT(Y436:AA436,{0.2,0.3,0.5})/SUMPRODUCT((Y436:AA436&lt;&gt;"")*{0.2,0.3,0.5}),O436)</f>
        <v>3.4468085106382977</v>
      </c>
      <c r="AE436">
        <f t="shared" si="161"/>
        <v>0</v>
      </c>
      <c r="AF436">
        <f t="shared" si="162"/>
        <v>78.333333333333329</v>
      </c>
      <c r="AG436">
        <f t="shared" si="163"/>
        <v>0</v>
      </c>
      <c r="AH436">
        <f t="shared" si="164"/>
        <v>3.8297872340425539E-2</v>
      </c>
      <c r="AI436" s="2">
        <f t="shared" si="165"/>
        <v>3.4468085106382977</v>
      </c>
      <c r="AJ436">
        <f t="shared" si="166"/>
        <v>0.78333333333333333</v>
      </c>
      <c r="AK436" t="str">
        <f t="shared" si="167"/>
        <v>YES</v>
      </c>
      <c r="AL436">
        <f t="shared" si="168"/>
        <v>0</v>
      </c>
      <c r="AM436">
        <f t="shared" si="169"/>
        <v>3.8297872340425539E-2</v>
      </c>
      <c r="AN436">
        <f t="shared" si="170"/>
        <v>0</v>
      </c>
      <c r="AO436">
        <f t="shared" si="171"/>
        <v>3.8297872340425539E-2</v>
      </c>
      <c r="AP436">
        <f t="array" ref="AP436">AL436*IF($C436="GKP",10,IF($C436="DEF",6,IF($C436="MID",5,4)))</f>
        <v>0</v>
      </c>
      <c r="AQ436">
        <f t="shared" si="172"/>
        <v>0.11489361702127662</v>
      </c>
      <c r="AR436">
        <f t="shared" si="173"/>
        <v>2</v>
      </c>
      <c r="AS436" s="2">
        <f>IF($H436=0,0,Player_Analysis!$AM436*$H436/90)</f>
        <v>1.3333333333333333</v>
      </c>
      <c r="AT436">
        <f t="shared" si="174"/>
        <v>1.7617021276595746</v>
      </c>
      <c r="AU436" s="2">
        <f>0</f>
        <v>0</v>
      </c>
      <c r="AV436" s="2">
        <f>IF(INDEX(FPL_Raw_Data!K:K,MATCH(A436,FPL_Raw_Data!AA:AA,0))=0,"",INDEX(FPL_Raw_Data!P:P,MATCH(A436,FPL_Raw_Data!AA:AA,0))/INDEX(FPL_Raw_Data!K:K,MATCH(A436,FPL_Raw_Data!AA:AA,0))*90)</f>
        <v>0</v>
      </c>
      <c r="AW436" s="2">
        <f t="shared" si="175"/>
        <v>0</v>
      </c>
      <c r="AX436" s="2">
        <f>IFERROR(INDEX(TEAM_ANALYSIS!$H$2:$H$21,MATCH($B436,TEAM_ANALYSIS!$A$2:$A$21,0)),0)</f>
        <v>1.3333333333333333</v>
      </c>
      <c r="AY436" s="2">
        <f t="shared" si="176"/>
        <v>-0.66666666666666663</v>
      </c>
      <c r="AZ436" s="2">
        <f t="shared" si="177"/>
        <v>4.5432624113475173</v>
      </c>
      <c r="BA436">
        <f t="shared" si="178"/>
        <v>0.90865248226950346</v>
      </c>
      <c r="BB436">
        <f>IFERROR(Player_Analysis!$Y436,1)</f>
        <v>0.96585312585312599</v>
      </c>
      <c r="BC436">
        <f t="shared" si="179"/>
        <v>4.38812420157101</v>
      </c>
      <c r="BD436">
        <f t="shared" si="180"/>
        <v>3.9872799482643813</v>
      </c>
      <c r="BE436">
        <f t="shared" si="181"/>
        <v>4.38812420157101</v>
      </c>
      <c r="BF436">
        <f t="shared" si="182"/>
        <v>130</v>
      </c>
      <c r="BG436">
        <f>IF($BE436="","",COUNTIFS($C$2:$C$596,$C436,$BE$2:$BE$596,"&gt;"&amp;$BE436)+COUNTIFS($C$2:$C436,$C436,$BE$2:$BE436,$BE436))</f>
        <v>44</v>
      </c>
    </row>
    <row r="437" spans="1:59" x14ac:dyDescent="0.25">
      <c r="A437" t="str">
        <f>Player_Analysis!A437</f>
        <v>Giovanni Leoni</v>
      </c>
      <c r="B437">
        <f>Player_Analysis!C437</f>
        <v>14</v>
      </c>
      <c r="C437" t="str">
        <f>Player_Analysis!B437</f>
        <v>DEF</v>
      </c>
      <c r="D437" s="13">
        <f>Player_Analysis!E437</f>
        <v>4</v>
      </c>
      <c r="E437">
        <f>Player_Analysis!I437</f>
        <v>0</v>
      </c>
      <c r="F437" s="8">
        <f>Player_Analysis!Z437</f>
        <v>0</v>
      </c>
      <c r="G437" s="17">
        <f t="shared" si="157"/>
        <v>0</v>
      </c>
      <c r="H437">
        <f t="shared" si="158"/>
        <v>0</v>
      </c>
      <c r="I437" s="8">
        <f>Player_Analysis!AF437</f>
        <v>0</v>
      </c>
      <c r="J437" s="8">
        <f>Player_Analysis!AG437</f>
        <v>0</v>
      </c>
      <c r="K437">
        <f>Player_Analysis!O437</f>
        <v>0</v>
      </c>
      <c r="L437">
        <f>Player_Analysis!P437</f>
        <v>0</v>
      </c>
      <c r="M437" t="str">
        <f t="shared" si="159"/>
        <v/>
      </c>
      <c r="N437" t="str">
        <f t="shared" si="160"/>
        <v/>
      </c>
      <c r="O437" s="2" t="str">
        <f>IF(E437=0,"",Player_Analysis!L437/E437*90)</f>
        <v/>
      </c>
      <c r="P437" t="str">
        <f>IF(E437=0,"",Player_Analysis!Q437/E437*90)</f>
        <v/>
      </c>
      <c r="Q437" t="str">
        <f>IF(E437=0,"",(Player_Analysis!AD437/E437)*90)</f>
        <v/>
      </c>
      <c r="R437" t="str">
        <f>IF(E437=0,"",Player_Analysis!AA437/E437*90)</f>
        <v/>
      </c>
      <c r="S437" t="str">
        <f t="array" ref="S437">IFERROR(INDEX('2023_24'!$O:$O,MATCH($A437,'2023_24'!$A:$A,0)),"")</f>
        <v/>
      </c>
      <c r="T437" t="str">
        <f>IFERROR(INDEX('2024_25'!$P:$P,MATCH($A437,'2024_25'!$A:$A,0)),"")</f>
        <v/>
      </c>
      <c r="U437">
        <f>IFERROR(INDEX('2025_26'!$P:$P,MATCH($A437,'2025_26'!$A:$A,0)),"")</f>
        <v>0</v>
      </c>
      <c r="V437" t="str">
        <f>IFERROR(INDEX('2023_24'!$P:$P,MATCH($A437,'2023_24'!$A:$A,0)),"")</f>
        <v/>
      </c>
      <c r="W437" t="str">
        <f>IFERROR(INDEX('2024_25'!$Q:$Q,MATCH($A437,'2024_25'!$A:$A,0)),"")</f>
        <v/>
      </c>
      <c r="X437">
        <f>IFERROR(INDEX('2025_26'!$Q:$Q,MATCH($A437,'2025_26'!$A:$A,0)),"")</f>
        <v>0</v>
      </c>
      <c r="Y437" t="str">
        <f>IFERROR(INDEX('2023_24'!$M:$M,MATCH($A437,'2023_24'!$A:$A,0))/INDEX('2023_24'!$G:$G,MATCH($A437,'2023_24'!$A:$A,0))*90,"")</f>
        <v/>
      </c>
      <c r="Z437" t="str">
        <f>IFERROR(INDEX('2024_25'!$M:$M,MATCH($A437,'2024_25'!$A:$A,0))/INDEX('2024_25'!$G:$G,MATCH($A437,'2024_25'!$A:$A,0))*90,"")</f>
        <v/>
      </c>
      <c r="AA437" t="str">
        <f>IFERROR(INDEX('2025_26'!$M:$M,MATCH($A437,'2025_26'!$A:$A,0))/INDEX('2025_26'!$G:$G,MATCH($A437,'2025_26'!$A:$A,0))*90,"")</f>
        <v/>
      </c>
      <c r="AB437">
        <f>IFERROR(SUMPRODUCT(S437:U437,{0.2,0.3,0.5})/SUMPRODUCT(--(S437:U437&lt;&gt;""),{0.2,0.3,0.5}),"")</f>
        <v>0</v>
      </c>
      <c r="AC437">
        <f>IFERROR(SUMPRODUCT(V437:X437,{0.2,0.3,0.5})/SUMPRODUCT(--(V437:X437&lt;&gt;""),{0.2,0.3,0.5}),"")</f>
        <v>0</v>
      </c>
      <c r="AD437" t="str">
        <f>IFERROR(SUMPRODUCT(Y437:AA437,{0.2,0.3,0.5})/SUMPRODUCT((Y437:AA437&lt;&gt;"")*{0.2,0.3,0.5}),O437)</f>
        <v/>
      </c>
      <c r="AE437">
        <f t="shared" si="161"/>
        <v>1</v>
      </c>
      <c r="AF437" t="str">
        <f t="shared" si="162"/>
        <v/>
      </c>
      <c r="AG437">
        <f t="shared" si="163"/>
        <v>0</v>
      </c>
      <c r="AH437">
        <f t="shared" si="164"/>
        <v>0</v>
      </c>
      <c r="AI437" s="2">
        <f t="shared" si="165"/>
        <v>0</v>
      </c>
      <c r="AJ437">
        <f t="shared" si="166"/>
        <v>0</v>
      </c>
      <c r="AK437" t="str">
        <f t="shared" si="167"/>
        <v>NO</v>
      </c>
      <c r="AL437">
        <f t="shared" si="168"/>
        <v>0</v>
      </c>
      <c r="AM437">
        <f t="shared" si="169"/>
        <v>0</v>
      </c>
      <c r="AN437">
        <f t="shared" si="170"/>
        <v>0</v>
      </c>
      <c r="AO437">
        <f t="shared" si="171"/>
        <v>0</v>
      </c>
      <c r="AP437">
        <f t="array" ref="AP437">AL437*IF($C437="GKP",10,IF($C437="DEF",6,IF($C437="MID",5,4)))</f>
        <v>0</v>
      </c>
      <c r="AQ437">
        <f t="shared" si="172"/>
        <v>0</v>
      </c>
      <c r="AR437">
        <f t="shared" si="173"/>
        <v>0</v>
      </c>
      <c r="AS437" s="2">
        <f>IF($H437=0,0,Player_Analysis!$AM437*$H437/90)</f>
        <v>0</v>
      </c>
      <c r="AT437">
        <f t="shared" si="174"/>
        <v>0</v>
      </c>
      <c r="AU437" s="2">
        <f>0</f>
        <v>0</v>
      </c>
      <c r="AV437" s="2" t="str">
        <f>IF(INDEX(FPL_Raw_Data!K:K,MATCH(A437,FPL_Raw_Data!AA:AA,0))=0,"",INDEX(FPL_Raw_Data!P:P,MATCH(A437,FPL_Raw_Data!AA:AA,0))/INDEX(FPL_Raw_Data!K:K,MATCH(A437,FPL_Raw_Data!AA:AA,0))*90)</f>
        <v/>
      </c>
      <c r="AW437" s="2">
        <f t="shared" si="175"/>
        <v>0</v>
      </c>
      <c r="AX437" s="2">
        <f>IFERROR(INDEX(TEAM_ANALYSIS!$H$2:$H$21,MATCH($B437,TEAM_ANALYSIS!$A$2:$A$21,0)),0)</f>
        <v>1.3333333333333333</v>
      </c>
      <c r="AY437" s="2">
        <f t="shared" si="176"/>
        <v>-0.66666666666666663</v>
      </c>
      <c r="AZ437" s="2">
        <f t="shared" si="177"/>
        <v>-0.66666666666666663</v>
      </c>
      <c r="BA437">
        <f t="shared" si="178"/>
        <v>-0.16666666666666666</v>
      </c>
      <c r="BB437">
        <f>IFERROR(Player_Analysis!$Y437,1)</f>
        <v>0.96585312585312599</v>
      </c>
      <c r="BC437">
        <f t="shared" si="179"/>
        <v>-0.64390208390208392</v>
      </c>
      <c r="BD437">
        <f t="shared" si="180"/>
        <v>0.10731701398368065</v>
      </c>
      <c r="BE437">
        <f t="shared" si="181"/>
        <v>-0.64390208390208392</v>
      </c>
      <c r="BF437">
        <f t="shared" si="182"/>
        <v>537</v>
      </c>
      <c r="BG437">
        <f>IF($BE437="","",COUNTIFS($C$2:$C$596,$C437,$BE$2:$BE$596,"&gt;"&amp;$BE437)+COUNTIFS($C$2:$C437,$C437,$BE$2:$BE437,$BE437))</f>
        <v>137</v>
      </c>
    </row>
    <row r="438" spans="1:59" x14ac:dyDescent="0.25">
      <c r="A438" t="str">
        <f>Player_Analysis!A438</f>
        <v>Kostas Tsimikas</v>
      </c>
      <c r="B438">
        <f>Player_Analysis!C438</f>
        <v>14</v>
      </c>
      <c r="C438" t="str">
        <f>Player_Analysis!B438</f>
        <v>DEF</v>
      </c>
      <c r="D438" s="13">
        <f>Player_Analysis!E438</f>
        <v>4.9000000000000004</v>
      </c>
      <c r="E438">
        <f>Player_Analysis!I438</f>
        <v>19</v>
      </c>
      <c r="F438" s="8">
        <f>Player_Analysis!Z438</f>
        <v>0</v>
      </c>
      <c r="G438" s="17">
        <f t="shared" si="157"/>
        <v>0</v>
      </c>
      <c r="H438">
        <f t="shared" si="158"/>
        <v>0</v>
      </c>
      <c r="I438" s="8">
        <f>Player_Analysis!AF438</f>
        <v>0</v>
      </c>
      <c r="J438" s="8">
        <f>Player_Analysis!AG438</f>
        <v>0</v>
      </c>
      <c r="K438">
        <f>Player_Analysis!O438</f>
        <v>0.04</v>
      </c>
      <c r="L438">
        <f>Player_Analysis!P438</f>
        <v>0.01</v>
      </c>
      <c r="M438">
        <f t="shared" si="159"/>
        <v>0.18947368421052632</v>
      </c>
      <c r="N438">
        <f t="shared" si="160"/>
        <v>4.736842105263158E-2</v>
      </c>
      <c r="O438" s="2">
        <f>IF(E438=0,"",Player_Analysis!L438/E438*90)</f>
        <v>4.7368421052631575</v>
      </c>
      <c r="P438">
        <f>IF(E438=0,"",Player_Analysis!Q438/E438*90)</f>
        <v>0.23684210526315788</v>
      </c>
      <c r="Q438">
        <f>IF(E438=0,"",(Player_Analysis!AD438/E438)*90)</f>
        <v>18.94736842105263</v>
      </c>
      <c r="R438">
        <f>IF(E438=0,"",Player_Analysis!AA438/E438*90)</f>
        <v>0</v>
      </c>
      <c r="S438" t="str">
        <f t="array" ref="S438">IFERROR(INDEX('2023_24'!$O:$O,MATCH($A438,'2023_24'!$A:$A,0)),"")</f>
        <v/>
      </c>
      <c r="T438" t="str">
        <f>IFERROR(INDEX('2024_25'!$P:$P,MATCH($A438,'2024_25'!$A:$A,0)),"")</f>
        <v/>
      </c>
      <c r="U438" t="str">
        <f>IFERROR(INDEX('2025_26'!$P:$P,MATCH($A438,'2025_26'!$A:$A,0)),"")</f>
        <v/>
      </c>
      <c r="V438" t="str">
        <f>IFERROR(INDEX('2023_24'!$P:$P,MATCH($A438,'2023_24'!$A:$A,0)),"")</f>
        <v/>
      </c>
      <c r="W438" t="str">
        <f>IFERROR(INDEX('2024_25'!$Q:$Q,MATCH($A438,'2024_25'!$A:$A,0)),"")</f>
        <v/>
      </c>
      <c r="X438" t="str">
        <f>IFERROR(INDEX('2025_26'!$Q:$Q,MATCH($A438,'2025_26'!$A:$A,0)),"")</f>
        <v/>
      </c>
      <c r="Y438" t="str">
        <f>IFERROR(INDEX('2023_24'!$M:$M,MATCH($A438,'2023_24'!$A:$A,0))/INDEX('2023_24'!$G:$G,MATCH($A438,'2023_24'!$A:$A,0))*90,"")</f>
        <v/>
      </c>
      <c r="Z438" t="str">
        <f>IFERROR(INDEX('2024_25'!$M:$M,MATCH($A438,'2024_25'!$A:$A,0))/INDEX('2024_25'!$G:$G,MATCH($A438,'2024_25'!$A:$A,0))*90,"")</f>
        <v/>
      </c>
      <c r="AA438" t="str">
        <f>IFERROR(INDEX('2025_26'!$M:$M,MATCH($A438,'2025_26'!$A:$A,0))/INDEX('2025_26'!$G:$G,MATCH($A438,'2025_26'!$A:$A,0))*90,"")</f>
        <v/>
      </c>
      <c r="AB438" t="str">
        <f>IFERROR(SUMPRODUCT(S438:U438,{0.2,0.3,0.5})/SUMPRODUCT(--(S438:U438&lt;&gt;""),{0.2,0.3,0.5}),"")</f>
        <v/>
      </c>
      <c r="AC438" t="str">
        <f>IFERROR(SUMPRODUCT(V438:X438,{0.2,0.3,0.5})/SUMPRODUCT(--(V438:X438&lt;&gt;""),{0.2,0.3,0.5}),"")</f>
        <v/>
      </c>
      <c r="AD438">
        <f>IFERROR(SUMPRODUCT(Y438:AA438,{0.2,0.3,0.5})/SUMPRODUCT((Y438:AA438&lt;&gt;"")*{0.2,0.3,0.5}),O438)</f>
        <v>4.7368421052631575</v>
      </c>
      <c r="AE438">
        <f t="shared" si="161"/>
        <v>0</v>
      </c>
      <c r="AF438" t="str">
        <f t="shared" si="162"/>
        <v/>
      </c>
      <c r="AG438">
        <f t="shared" si="163"/>
        <v>0.18947368421052632</v>
      </c>
      <c r="AH438">
        <f t="shared" si="164"/>
        <v>4.736842105263158E-2</v>
      </c>
      <c r="AI438" s="2">
        <f t="shared" si="165"/>
        <v>4.7368421052631575</v>
      </c>
      <c r="AJ438">
        <f t="shared" si="166"/>
        <v>6.3333333333333339E-2</v>
      </c>
      <c r="AK438" t="str">
        <f t="shared" si="167"/>
        <v>YES</v>
      </c>
      <c r="AL438">
        <f t="shared" si="168"/>
        <v>0</v>
      </c>
      <c r="AM438">
        <f t="shared" si="169"/>
        <v>0</v>
      </c>
      <c r="AN438">
        <f t="shared" si="170"/>
        <v>0</v>
      </c>
      <c r="AO438">
        <f t="shared" si="171"/>
        <v>0</v>
      </c>
      <c r="AP438">
        <f t="array" ref="AP438">AL438*IF($C438="GKP",10,IF($C438="DEF",6,IF($C438="MID",5,4)))</f>
        <v>0</v>
      </c>
      <c r="AQ438">
        <f t="shared" si="172"/>
        <v>0</v>
      </c>
      <c r="AR438">
        <f t="shared" si="173"/>
        <v>0</v>
      </c>
      <c r="AS438" s="2">
        <f>IF($H438=0,0,Player_Analysis!$AM438*$H438/90)</f>
        <v>0</v>
      </c>
      <c r="AT438">
        <f t="shared" si="174"/>
        <v>0</v>
      </c>
      <c r="AU438" s="2">
        <f>0</f>
        <v>0</v>
      </c>
      <c r="AV438" s="2">
        <f>IF(INDEX(FPL_Raw_Data!K:K,MATCH(A438,FPL_Raw_Data!AA:AA,0))=0,"",INDEX(FPL_Raw_Data!P:P,MATCH(A438,FPL_Raw_Data!AA:AA,0))/INDEX(FPL_Raw_Data!K:K,MATCH(A438,FPL_Raw_Data!AA:AA,0))*90)</f>
        <v>0</v>
      </c>
      <c r="AW438" s="2">
        <f t="shared" si="175"/>
        <v>0</v>
      </c>
      <c r="AX438" s="2">
        <f>IFERROR(INDEX(TEAM_ANALYSIS!$H$2:$H$21,MATCH($B438,TEAM_ANALYSIS!$A$2:$A$21,0)),0)</f>
        <v>1.3333333333333333</v>
      </c>
      <c r="AY438" s="2">
        <f t="shared" si="176"/>
        <v>-0.66666666666666663</v>
      </c>
      <c r="AZ438" s="2">
        <f t="shared" si="177"/>
        <v>-0.66666666666666663</v>
      </c>
      <c r="BA438">
        <f t="shared" si="178"/>
        <v>-0.13605442176870747</v>
      </c>
      <c r="BB438">
        <f>IFERROR(Player_Analysis!$Y438,1)</f>
        <v>0.96585312585312599</v>
      </c>
      <c r="BC438">
        <f t="shared" si="179"/>
        <v>-0.64390208390208392</v>
      </c>
      <c r="BD438">
        <f t="shared" si="180"/>
        <v>8.7605725700963782E-2</v>
      </c>
      <c r="BE438">
        <f t="shared" si="181"/>
        <v>-0.64390208390208392</v>
      </c>
      <c r="BF438">
        <f t="shared" si="182"/>
        <v>537</v>
      </c>
      <c r="BG438">
        <f>IF($BE438="","",COUNTIFS($C$2:$C$596,$C438,$BE$2:$BE$596,"&gt;"&amp;$BE438)+COUNTIFS($C$2:$C438,$C438,$BE$2:$BE438,$BE438))</f>
        <v>138</v>
      </c>
    </row>
    <row r="439" spans="1:59" x14ac:dyDescent="0.25">
      <c r="A439" t="str">
        <f>Player_Analysis!A439</f>
        <v>Calvin Ramsay</v>
      </c>
      <c r="B439">
        <f>Player_Analysis!C439</f>
        <v>14</v>
      </c>
      <c r="C439" t="str">
        <f>Player_Analysis!B439</f>
        <v>DEF</v>
      </c>
      <c r="D439" s="13">
        <f>Player_Analysis!E439</f>
        <v>4</v>
      </c>
      <c r="E439">
        <f>Player_Analysis!I439</f>
        <v>0</v>
      </c>
      <c r="F439" s="8">
        <f>Player_Analysis!Z439</f>
        <v>0</v>
      </c>
      <c r="G439" s="17">
        <f t="shared" si="157"/>
        <v>0</v>
      </c>
      <c r="H439">
        <f t="shared" si="158"/>
        <v>0</v>
      </c>
      <c r="I439" s="8">
        <f>Player_Analysis!AF439</f>
        <v>0</v>
      </c>
      <c r="J439" s="8">
        <f>Player_Analysis!AG439</f>
        <v>0</v>
      </c>
      <c r="K439">
        <f>Player_Analysis!O439</f>
        <v>0</v>
      </c>
      <c r="L439">
        <f>Player_Analysis!P439</f>
        <v>0</v>
      </c>
      <c r="M439" t="str">
        <f t="shared" si="159"/>
        <v/>
      </c>
      <c r="N439" t="str">
        <f t="shared" si="160"/>
        <v/>
      </c>
      <c r="O439" s="2" t="str">
        <f>IF(E439=0,"",Player_Analysis!L439/E439*90)</f>
        <v/>
      </c>
      <c r="P439" t="str">
        <f>IF(E439=0,"",Player_Analysis!Q439/E439*90)</f>
        <v/>
      </c>
      <c r="Q439" t="str">
        <f>IF(E439=0,"",(Player_Analysis!AD439/E439)*90)</f>
        <v/>
      </c>
      <c r="R439" t="str">
        <f>IF(E439=0,"",Player_Analysis!AA439/E439*90)</f>
        <v/>
      </c>
      <c r="S439" t="str">
        <f t="array" ref="S439">IFERROR(INDEX('2023_24'!$O:$O,MATCH($A439,'2023_24'!$A:$A,0)),"")</f>
        <v/>
      </c>
      <c r="T439" t="str">
        <f>IFERROR(INDEX('2024_25'!$P:$P,MATCH($A439,'2024_25'!$A:$A,0)),"")</f>
        <v/>
      </c>
      <c r="U439">
        <f>IFERROR(INDEX('2025_26'!$P:$P,MATCH($A439,'2025_26'!$A:$A,0)),"")</f>
        <v>0</v>
      </c>
      <c r="V439" t="str">
        <f>IFERROR(INDEX('2023_24'!$P:$P,MATCH($A439,'2023_24'!$A:$A,0)),"")</f>
        <v/>
      </c>
      <c r="W439" t="str">
        <f>IFERROR(INDEX('2024_25'!$Q:$Q,MATCH($A439,'2024_25'!$A:$A,0)),"")</f>
        <v/>
      </c>
      <c r="X439">
        <f>IFERROR(INDEX('2025_26'!$Q:$Q,MATCH($A439,'2025_26'!$A:$A,0)),"")</f>
        <v>0</v>
      </c>
      <c r="Y439" t="str">
        <f>IFERROR(INDEX('2023_24'!$M:$M,MATCH($A439,'2023_24'!$A:$A,0))/INDEX('2023_24'!$G:$G,MATCH($A439,'2023_24'!$A:$A,0))*90,"")</f>
        <v/>
      </c>
      <c r="Z439" t="str">
        <f>IFERROR(INDEX('2024_25'!$M:$M,MATCH($A439,'2024_25'!$A:$A,0))/INDEX('2024_25'!$G:$G,MATCH($A439,'2024_25'!$A:$A,0))*90,"")</f>
        <v/>
      </c>
      <c r="AA439" t="str">
        <f>IFERROR(INDEX('2025_26'!$M:$M,MATCH($A439,'2025_26'!$A:$A,0))/INDEX('2025_26'!$G:$G,MATCH($A439,'2025_26'!$A:$A,0))*90,"")</f>
        <v/>
      </c>
      <c r="AB439">
        <f>IFERROR(SUMPRODUCT(S439:U439,{0.2,0.3,0.5})/SUMPRODUCT(--(S439:U439&lt;&gt;""),{0.2,0.3,0.5}),"")</f>
        <v>0</v>
      </c>
      <c r="AC439">
        <f>IFERROR(SUMPRODUCT(V439:X439,{0.2,0.3,0.5})/SUMPRODUCT(--(V439:X439&lt;&gt;""),{0.2,0.3,0.5}),"")</f>
        <v>0</v>
      </c>
      <c r="AD439" t="str">
        <f>IFERROR(SUMPRODUCT(Y439:AA439,{0.2,0.3,0.5})/SUMPRODUCT((Y439:AA439&lt;&gt;"")*{0.2,0.3,0.5}),O439)</f>
        <v/>
      </c>
      <c r="AE439">
        <f t="shared" si="161"/>
        <v>1</v>
      </c>
      <c r="AF439" t="str">
        <f t="shared" si="162"/>
        <v/>
      </c>
      <c r="AG439">
        <f t="shared" si="163"/>
        <v>0</v>
      </c>
      <c r="AH439">
        <f t="shared" si="164"/>
        <v>0</v>
      </c>
      <c r="AI439" s="2">
        <f t="shared" si="165"/>
        <v>0</v>
      </c>
      <c r="AJ439">
        <f t="shared" si="166"/>
        <v>0</v>
      </c>
      <c r="AK439" t="str">
        <f t="shared" si="167"/>
        <v>NO</v>
      </c>
      <c r="AL439">
        <f t="shared" si="168"/>
        <v>0</v>
      </c>
      <c r="AM439">
        <f t="shared" si="169"/>
        <v>0</v>
      </c>
      <c r="AN439">
        <f t="shared" si="170"/>
        <v>0</v>
      </c>
      <c r="AO439">
        <f t="shared" si="171"/>
        <v>0</v>
      </c>
      <c r="AP439">
        <f t="array" ref="AP439">AL439*IF($C439="GKP",10,IF($C439="DEF",6,IF($C439="MID",5,4)))</f>
        <v>0</v>
      </c>
      <c r="AQ439">
        <f t="shared" si="172"/>
        <v>0</v>
      </c>
      <c r="AR439">
        <f t="shared" si="173"/>
        <v>0</v>
      </c>
      <c r="AS439" s="2">
        <f>IF($H439=0,0,Player_Analysis!$AM439*$H439/90)</f>
        <v>0</v>
      </c>
      <c r="AT439">
        <f t="shared" si="174"/>
        <v>0</v>
      </c>
      <c r="AU439" s="2">
        <f>0</f>
        <v>0</v>
      </c>
      <c r="AV439" s="2" t="str">
        <f>IF(INDEX(FPL_Raw_Data!K:K,MATCH(A439,FPL_Raw_Data!AA:AA,0))=0,"",INDEX(FPL_Raw_Data!P:P,MATCH(A439,FPL_Raw_Data!AA:AA,0))/INDEX(FPL_Raw_Data!K:K,MATCH(A439,FPL_Raw_Data!AA:AA,0))*90)</f>
        <v/>
      </c>
      <c r="AW439" s="2">
        <f t="shared" si="175"/>
        <v>0</v>
      </c>
      <c r="AX439" s="2">
        <f>IFERROR(INDEX(TEAM_ANALYSIS!$H$2:$H$21,MATCH($B439,TEAM_ANALYSIS!$A$2:$A$21,0)),0)</f>
        <v>1.3333333333333333</v>
      </c>
      <c r="AY439" s="2">
        <f t="shared" si="176"/>
        <v>-0.66666666666666663</v>
      </c>
      <c r="AZ439" s="2">
        <f t="shared" si="177"/>
        <v>-0.66666666666666663</v>
      </c>
      <c r="BA439">
        <f t="shared" si="178"/>
        <v>-0.16666666666666666</v>
      </c>
      <c r="BB439">
        <f>IFERROR(Player_Analysis!$Y439,1)</f>
        <v>0.96585312585312599</v>
      </c>
      <c r="BC439">
        <f t="shared" si="179"/>
        <v>-0.64390208390208392</v>
      </c>
      <c r="BD439">
        <f t="shared" si="180"/>
        <v>0.10731701398368065</v>
      </c>
      <c r="BE439">
        <f t="shared" si="181"/>
        <v>-0.64390208390208392</v>
      </c>
      <c r="BF439">
        <f t="shared" si="182"/>
        <v>537</v>
      </c>
      <c r="BG439">
        <f>IF($BE439="","",COUNTIFS($C$2:$C$596,$C439,$BE$2:$BE$596,"&gt;"&amp;$BE439)+COUNTIFS($C$2:$C439,$C439,$BE$2:$BE439,$BE439))</f>
        <v>139</v>
      </c>
    </row>
    <row r="440" spans="1:59" x14ac:dyDescent="0.25">
      <c r="A440" t="str">
        <f>Player_Analysis!A440</f>
        <v>Florian Wirtz</v>
      </c>
      <c r="B440">
        <f>Player_Analysis!C440</f>
        <v>14</v>
      </c>
      <c r="C440" t="str">
        <f>Player_Analysis!B440</f>
        <v>MID</v>
      </c>
      <c r="D440" s="13">
        <f>Player_Analysis!E440</f>
        <v>7.4</v>
      </c>
      <c r="E440">
        <f>Player_Analysis!I440</f>
        <v>242</v>
      </c>
      <c r="F440" s="8">
        <f>Player_Analysis!Z440</f>
        <v>3</v>
      </c>
      <c r="G440" s="17">
        <f t="shared" si="157"/>
        <v>1</v>
      </c>
      <c r="H440">
        <f t="shared" si="158"/>
        <v>90</v>
      </c>
      <c r="I440" s="8">
        <f>Player_Analysis!AF440</f>
        <v>0</v>
      </c>
      <c r="J440" s="8">
        <f>Player_Analysis!AG440</f>
        <v>1</v>
      </c>
      <c r="K440">
        <f>Player_Analysis!O440</f>
        <v>0.67</v>
      </c>
      <c r="L440">
        <f>Player_Analysis!P440</f>
        <v>0.28999999999999998</v>
      </c>
      <c r="M440">
        <f t="shared" si="159"/>
        <v>0.24917355371900826</v>
      </c>
      <c r="N440">
        <f t="shared" si="160"/>
        <v>0.10785123966942148</v>
      </c>
      <c r="O440" s="2">
        <f>IF(E440=0,"",Player_Analysis!L440/E440*90)</f>
        <v>3.3471074380165291</v>
      </c>
      <c r="P440">
        <f>IF(E440=0,"",Player_Analysis!Q440/E440*90)</f>
        <v>0.35702479338842974</v>
      </c>
      <c r="Q440">
        <f>IF(E440=0,"",(Player_Analysis!AD440/E440)*90)</f>
        <v>19.710743801652892</v>
      </c>
      <c r="R440">
        <f>IF(E440=0,"",Player_Analysis!AA440/E440*90)</f>
        <v>7.0661157024793386</v>
      </c>
      <c r="S440" t="str">
        <f t="array" ref="S440">IFERROR(INDEX('2023_24'!$O:$O,MATCH($A440,'2023_24'!$A:$A,0)),"")</f>
        <v/>
      </c>
      <c r="T440" t="str">
        <f>IFERROR(INDEX('2024_25'!$P:$P,MATCH($A440,'2024_25'!$A:$A,0)),"")</f>
        <v/>
      </c>
      <c r="U440">
        <f>IFERROR(INDEX('2025_26'!$P:$P,MATCH($A440,'2025_26'!$A:$A,0)),"")</f>
        <v>0.25893007582139849</v>
      </c>
      <c r="V440" t="str">
        <f>IFERROR(INDEX('2023_24'!$P:$P,MATCH($A440,'2023_24'!$A:$A,0)),"")</f>
        <v/>
      </c>
      <c r="W440" t="str">
        <f>IFERROR(INDEX('2024_25'!$Q:$Q,MATCH($A440,'2024_25'!$A:$A,0)),"")</f>
        <v/>
      </c>
      <c r="X440">
        <f>IFERROR(INDEX('2025_26'!$Q:$Q,MATCH($A440,'2025_26'!$A:$A,0)),"")</f>
        <v>0.1948609941027801</v>
      </c>
      <c r="Y440" t="str">
        <f>IFERROR(INDEX('2023_24'!$M:$M,MATCH($A440,'2023_24'!$A:$A,0))/INDEX('2023_24'!$G:$G,MATCH($A440,'2023_24'!$A:$A,0))*90,"")</f>
        <v/>
      </c>
      <c r="Z440" t="str">
        <f>IFERROR(INDEX('2024_25'!$M:$M,MATCH($A440,'2024_25'!$A:$A,0))/INDEX('2024_25'!$G:$G,MATCH($A440,'2024_25'!$A:$A,0))*90,"")</f>
        <v/>
      </c>
      <c r="AA440">
        <f>IFERROR(INDEX('2025_26'!$M:$M,MATCH($A440,'2025_26'!$A:$A,0))/INDEX('2025_26'!$G:$G,MATCH($A440,'2025_26'!$A:$A,0))*90,"")</f>
        <v>4.7388374052232516</v>
      </c>
      <c r="AB440">
        <f>IFERROR(SUMPRODUCT(S440:U440,{0.2,0.3,0.5})/SUMPRODUCT(--(S440:U440&lt;&gt;""),{0.2,0.3,0.5}),"")</f>
        <v>0.25893007582139849</v>
      </c>
      <c r="AC440">
        <f>IFERROR(SUMPRODUCT(V440:X440,{0.2,0.3,0.5})/SUMPRODUCT(--(V440:X440&lt;&gt;""),{0.2,0.3,0.5}),"")</f>
        <v>0.1948609941027801</v>
      </c>
      <c r="AD440">
        <f>IFERROR(SUMPRODUCT(Y440:AA440,{0.2,0.3,0.5})/SUMPRODUCT((Y440:AA440&lt;&gt;"")*{0.2,0.3,0.5}),O440)</f>
        <v>4.7388374052232516</v>
      </c>
      <c r="AE440">
        <f t="shared" si="161"/>
        <v>1</v>
      </c>
      <c r="AF440">
        <f t="shared" si="162"/>
        <v>80.666666666666671</v>
      </c>
      <c r="AG440">
        <f t="shared" si="163"/>
        <v>0.25105981465880367</v>
      </c>
      <c r="AH440">
        <f t="shared" si="164"/>
        <v>0.12467312552653748</v>
      </c>
      <c r="AI440" s="2">
        <f t="shared" si="165"/>
        <v>3.6161752316764955</v>
      </c>
      <c r="AJ440">
        <f t="shared" si="166"/>
        <v>0.80666666666666664</v>
      </c>
      <c r="AK440" t="str">
        <f t="shared" si="167"/>
        <v>NO</v>
      </c>
      <c r="AL440">
        <f t="shared" si="168"/>
        <v>0.25105981465880367</v>
      </c>
      <c r="AM440">
        <f t="shared" si="169"/>
        <v>0.12467312552653748</v>
      </c>
      <c r="AN440">
        <f t="shared" si="170"/>
        <v>0.25105981465880367</v>
      </c>
      <c r="AO440">
        <f t="shared" si="171"/>
        <v>0.12467312552653748</v>
      </c>
      <c r="AP440">
        <f t="array" ref="AP440">AL440*IF($C440="GKP",10,IF($C440="DEF",6,IF($C440="MID",5,4)))</f>
        <v>1.2552990732940184</v>
      </c>
      <c r="AQ440">
        <f t="shared" si="172"/>
        <v>0.37401937657961243</v>
      </c>
      <c r="AR440">
        <f t="shared" si="173"/>
        <v>2</v>
      </c>
      <c r="AS440" s="2">
        <f>IF($H440=0,0,Player_Analysis!$AM440*$H440/90)</f>
        <v>0.33333333333333331</v>
      </c>
      <c r="AT440">
        <f t="shared" si="174"/>
        <v>1.1776859504132231</v>
      </c>
      <c r="AU440" s="2">
        <f>0</f>
        <v>0</v>
      </c>
      <c r="AV440" s="2">
        <f>IF(INDEX(FPL_Raw_Data!K:K,MATCH(A440,FPL_Raw_Data!AA:AA,0))=0,"",INDEX(FPL_Raw_Data!P:P,MATCH(A440,FPL_Raw_Data!AA:AA,0))/INDEX(FPL_Raw_Data!K:K,MATCH(A440,FPL_Raw_Data!AA:AA,0))*90)</f>
        <v>0</v>
      </c>
      <c r="AW440" s="2">
        <f t="shared" si="175"/>
        <v>0</v>
      </c>
      <c r="AX440" s="2">
        <f>IFERROR(INDEX(TEAM_ANALYSIS!$H$2:$H$21,MATCH($B440,TEAM_ANALYSIS!$A$2:$A$21,0)),0)</f>
        <v>1.3333333333333333</v>
      </c>
      <c r="AY440" s="2">
        <f t="shared" si="176"/>
        <v>0</v>
      </c>
      <c r="AZ440" s="2">
        <f t="shared" si="177"/>
        <v>5.1403377336201874</v>
      </c>
      <c r="BA440">
        <f t="shared" si="178"/>
        <v>0.69464023427299826</v>
      </c>
      <c r="BB440">
        <f>IFERROR(Player_Analysis!$Y440,1)</f>
        <v>1.0903373702422146</v>
      </c>
      <c r="BC440">
        <f t="shared" si="179"/>
        <v>5.6047023266322604</v>
      </c>
      <c r="BD440">
        <f t="shared" si="180"/>
        <v>3.8932517372022519</v>
      </c>
      <c r="BE440">
        <f t="shared" si="181"/>
        <v>5.6047023266322604</v>
      </c>
      <c r="BF440">
        <f t="shared" si="182"/>
        <v>60</v>
      </c>
      <c r="BG440">
        <f>IF($BE440="","",COUNTIFS($C$2:$C$596,$C440,$BE$2:$BE$596,"&gt;"&amp;$BE440)+COUNTIFS($C$2:$C440,$C440,$BE$2:$BE440,$BE440))</f>
        <v>26</v>
      </c>
    </row>
    <row r="441" spans="1:59" x14ac:dyDescent="0.25">
      <c r="A441" t="str">
        <f>Player_Analysis!A441</f>
        <v>Cody Gakpo</v>
      </c>
      <c r="B441">
        <f>Player_Analysis!C441</f>
        <v>14</v>
      </c>
      <c r="C441" t="str">
        <f>Player_Analysis!B441</f>
        <v>MID</v>
      </c>
      <c r="D441" s="13">
        <f>Player_Analysis!E441</f>
        <v>7.2</v>
      </c>
      <c r="E441">
        <f>Player_Analysis!I441</f>
        <v>250</v>
      </c>
      <c r="F441" s="8">
        <f>Player_Analysis!Z441</f>
        <v>3</v>
      </c>
      <c r="G441" s="17">
        <f t="shared" si="157"/>
        <v>1</v>
      </c>
      <c r="H441">
        <f t="shared" si="158"/>
        <v>90</v>
      </c>
      <c r="I441" s="8">
        <f>Player_Analysis!AF441</f>
        <v>1</v>
      </c>
      <c r="J441" s="8">
        <f>Player_Analysis!AG441</f>
        <v>3</v>
      </c>
      <c r="K441">
        <f>Player_Analysis!O441</f>
        <v>0.36</v>
      </c>
      <c r="L441">
        <f>Player_Analysis!P441</f>
        <v>1.2</v>
      </c>
      <c r="M441">
        <f t="shared" si="159"/>
        <v>0.12959999999999999</v>
      </c>
      <c r="N441">
        <f t="shared" si="160"/>
        <v>0.43199999999999994</v>
      </c>
      <c r="O441" s="2">
        <f>IF(E441=0,"",Player_Analysis!L441/E441*90)</f>
        <v>10.08</v>
      </c>
      <c r="P441">
        <f>IF(E441=0,"",Player_Analysis!Q441/E441*90)</f>
        <v>0.56159999999999999</v>
      </c>
      <c r="Q441">
        <f>IF(E441=0,"",(Player_Analysis!AD441/E441)*90)</f>
        <v>34.92</v>
      </c>
      <c r="R441">
        <f>IF(E441=0,"",Player_Analysis!AA441/E441*90)</f>
        <v>9</v>
      </c>
      <c r="S441">
        <f t="array" ref="S441">IFERROR(INDEX('2023_24'!$O:$O,MATCH($A441,'2023_24'!$A:$A,0)),"")</f>
        <v>0.4998775260257195</v>
      </c>
      <c r="T441">
        <f>IFERROR(INDEX('2024_25'!$P:$P,MATCH($A441,'2024_25'!$A:$A,0)),"")</f>
        <v>0.33357626236335242</v>
      </c>
      <c r="U441">
        <f>IFERROR(INDEX('2025_26'!$P:$P,MATCH($A441,'2025_26'!$A:$A,0)),"")</f>
        <v>0.27467105263157893</v>
      </c>
      <c r="V441">
        <f>IFERROR(INDEX('2023_24'!$P:$P,MATCH($A441,'2023_24'!$A:$A,0)),"")</f>
        <v>0.14935701163502754</v>
      </c>
      <c r="W441">
        <f>IFERROR(INDEX('2024_25'!$Q:$Q,MATCH($A441,'2024_25'!$A:$A,0)),"")</f>
        <v>0.17615825091098386</v>
      </c>
      <c r="X441">
        <f>IFERROR(INDEX('2025_26'!$Q:$Q,MATCH($A441,'2025_26'!$A:$A,0)),"")</f>
        <v>0.15361842105263157</v>
      </c>
      <c r="Y441">
        <f>IFERROR(INDEX('2023_24'!$M:$M,MATCH($A441,'2023_24'!$A:$A,0))/INDEX('2023_24'!$G:$G,MATCH($A441,'2023_24'!$A:$A,0))*90,"")</f>
        <v>5.8420085731781999</v>
      </c>
      <c r="Z441">
        <f>IFERROR(INDEX('2024_25'!$M:$M,MATCH($A441,'2024_25'!$A:$A,0))/INDEX('2024_25'!$G:$G,MATCH($A441,'2024_25'!$A:$A,0))*90,"")</f>
        <v>5.9500260281103587</v>
      </c>
      <c r="AA441">
        <f>IFERROR(INDEX('2025_26'!$M:$M,MATCH($A441,'2025_26'!$A:$A,0))/INDEX('2025_26'!$G:$G,MATCH($A441,'2025_26'!$A:$A,0))*90,"")</f>
        <v>4.3092105263157894</v>
      </c>
      <c r="AB441">
        <f>IFERROR(SUMPRODUCT(S441:U441,{0.2,0.3,0.5})/SUMPRODUCT(--(S441:U441&lt;&gt;""),{0.2,0.3,0.5}),"")</f>
        <v>0.33738391022993908</v>
      </c>
      <c r="AC441">
        <f>IFERROR(SUMPRODUCT(V441:X441,{0.2,0.3,0.5})/SUMPRODUCT(--(V441:X441&lt;&gt;""),{0.2,0.3,0.5}),"")</f>
        <v>0.15952808812661645</v>
      </c>
      <c r="AD441">
        <f>IFERROR(SUMPRODUCT(Y441:AA441,{0.2,0.3,0.5})/SUMPRODUCT((Y441:AA441&lt;&gt;"")*{0.2,0.3,0.5}),O441)</f>
        <v>5.1080147862266418</v>
      </c>
      <c r="AE441">
        <f t="shared" si="161"/>
        <v>3</v>
      </c>
      <c r="AF441">
        <f t="shared" si="162"/>
        <v>83.333333333333329</v>
      </c>
      <c r="AG441">
        <f t="shared" si="163"/>
        <v>0.16423065170498985</v>
      </c>
      <c r="AH441">
        <f t="shared" si="164"/>
        <v>0.38658801468776938</v>
      </c>
      <c r="AI441" s="2">
        <f t="shared" si="165"/>
        <v>9.2513357977044404</v>
      </c>
      <c r="AJ441">
        <f t="shared" si="166"/>
        <v>0.83333333333333337</v>
      </c>
      <c r="AK441" t="str">
        <f t="shared" si="167"/>
        <v>NO</v>
      </c>
      <c r="AL441">
        <f t="shared" si="168"/>
        <v>0.16423065170498985</v>
      </c>
      <c r="AM441">
        <f t="shared" si="169"/>
        <v>0.38658801468776938</v>
      </c>
      <c r="AN441">
        <f t="shared" si="170"/>
        <v>0.16423065170498985</v>
      </c>
      <c r="AO441">
        <f t="shared" si="171"/>
        <v>0.38658801468776938</v>
      </c>
      <c r="AP441">
        <f t="array" ref="AP441">AL441*IF($C441="GKP",10,IF($C441="DEF",6,IF($C441="MID",5,4)))</f>
        <v>0.82115325852494925</v>
      </c>
      <c r="AQ441">
        <f t="shared" si="172"/>
        <v>1.1597640440633081</v>
      </c>
      <c r="AR441">
        <f t="shared" si="173"/>
        <v>2</v>
      </c>
      <c r="AS441" s="2">
        <f>IF($H441=0,0,Player_Analysis!$AM441*$H441/90)</f>
        <v>0.33333333333333331</v>
      </c>
      <c r="AT441">
        <f t="shared" si="174"/>
        <v>1.5</v>
      </c>
      <c r="AU441" s="2">
        <f>0</f>
        <v>0</v>
      </c>
      <c r="AV441" s="2">
        <f>IF(INDEX(FPL_Raw_Data!K:K,MATCH(A441,FPL_Raw_Data!AA:AA,0))=0,"",INDEX(FPL_Raw_Data!P:P,MATCH(A441,FPL_Raw_Data!AA:AA,0))/INDEX(FPL_Raw_Data!K:K,MATCH(A441,FPL_Raw_Data!AA:AA,0))*90)</f>
        <v>0</v>
      </c>
      <c r="AW441" s="2">
        <f t="shared" si="175"/>
        <v>0</v>
      </c>
      <c r="AX441" s="2">
        <f>IFERROR(INDEX(TEAM_ANALYSIS!$H$2:$H$21,MATCH($B441,TEAM_ANALYSIS!$A$2:$A$21,0)),0)</f>
        <v>1.3333333333333333</v>
      </c>
      <c r="AY441" s="2">
        <f t="shared" si="176"/>
        <v>0</v>
      </c>
      <c r="AZ441" s="2">
        <f t="shared" si="177"/>
        <v>5.8142506359215904</v>
      </c>
      <c r="BA441">
        <f t="shared" si="178"/>
        <v>0.80753481054466536</v>
      </c>
      <c r="BB441">
        <f>IFERROR(Player_Analysis!$Y441,1)</f>
        <v>1.0903373702422146</v>
      </c>
      <c r="BC441">
        <f t="shared" si="179"/>
        <v>6.3394947482998703</v>
      </c>
      <c r="BD441">
        <f t="shared" si="180"/>
        <v>5.1193626905172369</v>
      </c>
      <c r="BE441">
        <f t="shared" si="181"/>
        <v>6.3394947482998703</v>
      </c>
      <c r="BF441">
        <f t="shared" si="182"/>
        <v>33</v>
      </c>
      <c r="BG441">
        <f>IF($BE441="","",COUNTIFS($C$2:$C$596,$C441,$BE$2:$BE$596,"&gt;"&amp;$BE441)+COUNTIFS($C$2:$C441,$C441,$BE$2:$BE441,$BE441))</f>
        <v>13</v>
      </c>
    </row>
    <row r="442" spans="1:59" x14ac:dyDescent="0.25">
      <c r="A442" t="str">
        <f>Player_Analysis!A442</f>
        <v>Dominik Szoboszlai</v>
      </c>
      <c r="B442">
        <f>Player_Analysis!C442</f>
        <v>14</v>
      </c>
      <c r="C442" t="str">
        <f>Player_Analysis!B442</f>
        <v>MID</v>
      </c>
      <c r="D442" s="13">
        <f>Player_Analysis!E442</f>
        <v>7</v>
      </c>
      <c r="E442">
        <f>Player_Analysis!I442</f>
        <v>270</v>
      </c>
      <c r="F442" s="8">
        <f>Player_Analysis!Z442</f>
        <v>3</v>
      </c>
      <c r="G442" s="17">
        <f t="shared" si="157"/>
        <v>1</v>
      </c>
      <c r="H442">
        <f t="shared" si="158"/>
        <v>90</v>
      </c>
      <c r="I442" s="8">
        <f>Player_Analysis!AF442</f>
        <v>1</v>
      </c>
      <c r="J442" s="8">
        <f>Player_Analysis!AG442</f>
        <v>0</v>
      </c>
      <c r="K442">
        <f>Player_Analysis!O442</f>
        <v>1.17</v>
      </c>
      <c r="L442">
        <f>Player_Analysis!P442</f>
        <v>0.52</v>
      </c>
      <c r="M442">
        <f t="shared" si="159"/>
        <v>0.38999999999999996</v>
      </c>
      <c r="N442">
        <f t="shared" si="160"/>
        <v>0.17333333333333334</v>
      </c>
      <c r="O442" s="2">
        <f>IF(E442=0,"",Player_Analysis!L442/E442*90)</f>
        <v>5</v>
      </c>
      <c r="P442">
        <f>IF(E442=0,"",Player_Analysis!Q442/E442*90)</f>
        <v>0.56333333333333324</v>
      </c>
      <c r="Q442">
        <f>IF(E442=0,"",(Player_Analysis!AD442/E442)*90)</f>
        <v>24.333333333333332</v>
      </c>
      <c r="R442">
        <f>IF(E442=0,"",Player_Analysis!AA442/E442*90)</f>
        <v>9.6666666666666661</v>
      </c>
      <c r="S442">
        <f t="array" ref="S442">IFERROR(INDEX('2023_24'!$O:$O,MATCH($A442,'2023_24'!$A:$A,0)),"")</f>
        <v>0.15585156993339677</v>
      </c>
      <c r="T442">
        <f>IFERROR(INDEX('2024_25'!$P:$P,MATCH($A442,'2024_25'!$A:$A,0)),"")</f>
        <v>0.25134808853118717</v>
      </c>
      <c r="U442">
        <f>IFERROR(INDEX('2025_26'!$P:$P,MATCH($A442,'2025_26'!$A:$A,0)),"")</f>
        <v>0.13254950495049506</v>
      </c>
      <c r="V442">
        <f>IFERROR(INDEX('2023_24'!$P:$P,MATCH($A442,'2023_24'!$A:$A,0)),"")</f>
        <v>0.21964795432921028</v>
      </c>
      <c r="W442">
        <f>IFERROR(INDEX('2024_25'!$Q:$Q,MATCH($A442,'2024_25'!$A:$A,0)),"")</f>
        <v>0.21947686116700199</v>
      </c>
      <c r="X442">
        <f>IFERROR(INDEX('2025_26'!$Q:$Q,MATCH($A442,'2025_26'!$A:$A,0)),"")</f>
        <v>0.19019183168316833</v>
      </c>
      <c r="Y442">
        <f>IFERROR(INDEX('2023_24'!$M:$M,MATCH($A442,'2023_24'!$A:$A,0))/INDEX('2023_24'!$G:$G,MATCH($A442,'2023_24'!$A:$A,0))*90,"")</f>
        <v>4.238820171265461</v>
      </c>
      <c r="Z442">
        <f>IFERROR(INDEX('2024_25'!$M:$M,MATCH($A442,'2024_25'!$A:$A,0))/INDEX('2024_25'!$G:$G,MATCH($A442,'2024_25'!$A:$A,0))*90,"")</f>
        <v>5.1790744466800804</v>
      </c>
      <c r="AA442">
        <f>IFERROR(INDEX('2025_26'!$M:$M,MATCH($A442,'2025_26'!$A:$A,0))/INDEX('2025_26'!$G:$G,MATCH($A442,'2025_26'!$A:$A,0))*90,"")</f>
        <v>4.4554455445544559</v>
      </c>
      <c r="AB442">
        <f>IFERROR(SUMPRODUCT(S442:U442,{0.2,0.3,0.5})/SUMPRODUCT(--(S442:U442&lt;&gt;""),{0.2,0.3,0.5}),"")</f>
        <v>0.17284949302128305</v>
      </c>
      <c r="AC442">
        <f>IFERROR(SUMPRODUCT(V442:X442,{0.2,0.3,0.5})/SUMPRODUCT(--(V442:X442&lt;&gt;""),{0.2,0.3,0.5}),"")</f>
        <v>0.20486856505752682</v>
      </c>
      <c r="AD442">
        <f>IFERROR(SUMPRODUCT(Y442:AA442,{0.2,0.3,0.5})/SUMPRODUCT((Y442:AA442&lt;&gt;"")*{0.2,0.3,0.5}),O442)</f>
        <v>4.6292091405343445</v>
      </c>
      <c r="AE442">
        <f t="shared" si="161"/>
        <v>3</v>
      </c>
      <c r="AF442">
        <f t="shared" si="162"/>
        <v>90</v>
      </c>
      <c r="AG442">
        <f t="shared" si="163"/>
        <v>0.36828494930212829</v>
      </c>
      <c r="AH442">
        <f t="shared" si="164"/>
        <v>0.17648685650575269</v>
      </c>
      <c r="AI442" s="2">
        <f t="shared" si="165"/>
        <v>4.9629209140534343</v>
      </c>
      <c r="AJ442">
        <f t="shared" si="166"/>
        <v>0.9</v>
      </c>
      <c r="AK442" t="str">
        <f t="shared" si="167"/>
        <v>NO</v>
      </c>
      <c r="AL442">
        <f t="shared" si="168"/>
        <v>0.36828494930212829</v>
      </c>
      <c r="AM442">
        <f t="shared" si="169"/>
        <v>0.17648685650575269</v>
      </c>
      <c r="AN442">
        <f t="shared" si="170"/>
        <v>0.36828494930212829</v>
      </c>
      <c r="AO442">
        <f t="shared" si="171"/>
        <v>0.17648685650575269</v>
      </c>
      <c r="AP442">
        <f t="array" ref="AP442">AL442*IF($C442="GKP",10,IF($C442="DEF",6,IF($C442="MID",5,4)))</f>
        <v>1.8414247465106415</v>
      </c>
      <c r="AQ442">
        <f t="shared" si="172"/>
        <v>0.52946056951725806</v>
      </c>
      <c r="AR442">
        <f t="shared" si="173"/>
        <v>2</v>
      </c>
      <c r="AS442" s="2">
        <f>IF($H442=0,0,Player_Analysis!$AM442*$H442/90)</f>
        <v>0.33333333333333331</v>
      </c>
      <c r="AT442">
        <f t="shared" si="174"/>
        <v>1.6111111111111109</v>
      </c>
      <c r="AU442" s="2">
        <f>0</f>
        <v>0</v>
      </c>
      <c r="AV442" s="2">
        <f>IF(INDEX(FPL_Raw_Data!K:K,MATCH(A442,FPL_Raw_Data!AA:AA,0))=0,"",INDEX(FPL_Raw_Data!P:P,MATCH(A442,FPL_Raw_Data!AA:AA,0))/INDEX(FPL_Raw_Data!K:K,MATCH(A442,FPL_Raw_Data!AA:AA,0))*90)</f>
        <v>0</v>
      </c>
      <c r="AW442" s="2">
        <f t="shared" si="175"/>
        <v>0</v>
      </c>
      <c r="AX442" s="2">
        <f>IFERROR(INDEX(TEAM_ANALYSIS!$H$2:$H$21,MATCH($B442,TEAM_ANALYSIS!$A$2:$A$21,0)),0)</f>
        <v>1.3333333333333333</v>
      </c>
      <c r="AY442" s="2">
        <f t="shared" si="176"/>
        <v>0</v>
      </c>
      <c r="AZ442" s="2">
        <f t="shared" si="177"/>
        <v>6.3153297604723431</v>
      </c>
      <c r="BA442">
        <f t="shared" si="178"/>
        <v>0.90218996578176325</v>
      </c>
      <c r="BB442">
        <f>IFERROR(Player_Analysis!$Y442,1)</f>
        <v>1.0903373702422146</v>
      </c>
      <c r="BC442">
        <f t="shared" si="179"/>
        <v>6.8858400432458096</v>
      </c>
      <c r="BD442">
        <f t="shared" si="180"/>
        <v>6.2123357929946321</v>
      </c>
      <c r="BE442">
        <f t="shared" si="181"/>
        <v>6.8858400432458096</v>
      </c>
      <c r="BF442">
        <f t="shared" si="182"/>
        <v>24</v>
      </c>
      <c r="BG442">
        <f>IF($BE442="","",COUNTIFS($C$2:$C$596,$C442,$BE$2:$BE$596,"&gt;"&amp;$BE442)+COUNTIFS($C$2:$C442,$C442,$BE$2:$BE442,$BE442))</f>
        <v>11</v>
      </c>
    </row>
    <row r="443" spans="1:59" x14ac:dyDescent="0.25">
      <c r="A443" t="str">
        <f>Player_Analysis!A443</f>
        <v>Rio Ngumoha</v>
      </c>
      <c r="B443">
        <f>Player_Analysis!C443</f>
        <v>14</v>
      </c>
      <c r="C443" t="str">
        <f>Player_Analysis!B443</f>
        <v>MID</v>
      </c>
      <c r="D443" s="13">
        <f>Player_Analysis!E443</f>
        <v>5.8</v>
      </c>
      <c r="E443">
        <f>Player_Analysis!I443</f>
        <v>81</v>
      </c>
      <c r="F443" s="8">
        <f>Player_Analysis!Z443</f>
        <v>1</v>
      </c>
      <c r="G443" s="17">
        <f t="shared" si="157"/>
        <v>1</v>
      </c>
      <c r="H443">
        <f t="shared" si="158"/>
        <v>90</v>
      </c>
      <c r="I443" s="8">
        <f>Player_Analysis!AF443</f>
        <v>0</v>
      </c>
      <c r="J443" s="8">
        <f>Player_Analysis!AG443</f>
        <v>0</v>
      </c>
      <c r="K443">
        <f>Player_Analysis!O443</f>
        <v>0.04</v>
      </c>
      <c r="L443">
        <f>Player_Analysis!P443</f>
        <v>0.05</v>
      </c>
      <c r="M443">
        <f t="shared" si="159"/>
        <v>4.4444444444444446E-2</v>
      </c>
      <c r="N443">
        <f t="shared" si="160"/>
        <v>5.5555555555555552E-2</v>
      </c>
      <c r="O443" s="2">
        <f>IF(E443=0,"",Player_Analysis!L443/E443*90)</f>
        <v>3.333333333333333</v>
      </c>
      <c r="P443">
        <f>IF(E443=0,"",Player_Analysis!Q443/E443*90)</f>
        <v>0.1</v>
      </c>
      <c r="Q443">
        <f>IF(E443=0,"",(Player_Analysis!AD443/E443)*90)</f>
        <v>15.555555555555555</v>
      </c>
      <c r="R443">
        <f>IF(E443=0,"",Player_Analysis!AA443/E443*90)</f>
        <v>3.333333333333333</v>
      </c>
      <c r="S443" t="str">
        <f t="array" ref="S443">IFERROR(INDEX('2023_24'!$O:$O,MATCH($A443,'2023_24'!$A:$A,0)),"")</f>
        <v/>
      </c>
      <c r="T443" t="str">
        <f>IFERROR(INDEX('2024_25'!$P:$P,MATCH($A443,'2024_25'!$A:$A,0)),"")</f>
        <v/>
      </c>
      <c r="U443">
        <f>IFERROR(INDEX('2025_26'!$P:$P,MATCH($A443,'2025_26'!$A:$A,0)),"")</f>
        <v>0.22047531992687389</v>
      </c>
      <c r="V443" t="str">
        <f>IFERROR(INDEX('2023_24'!$P:$P,MATCH($A443,'2023_24'!$A:$A,0)),"")</f>
        <v/>
      </c>
      <c r="W443" t="str">
        <f>IFERROR(INDEX('2024_25'!$Q:$Q,MATCH($A443,'2024_25'!$A:$A,0)),"")</f>
        <v/>
      </c>
      <c r="X443">
        <f>IFERROR(INDEX('2025_26'!$Q:$Q,MATCH($A443,'2025_26'!$A:$A,0)),"")</f>
        <v>0.33071297989031073</v>
      </c>
      <c r="Y443" t="str">
        <f>IFERROR(INDEX('2023_24'!$M:$M,MATCH($A443,'2023_24'!$A:$A,0))/INDEX('2023_24'!$G:$G,MATCH($A443,'2023_24'!$A:$A,0))*90,"")</f>
        <v/>
      </c>
      <c r="Z443" t="str">
        <f>IFERROR(INDEX('2024_25'!$M:$M,MATCH($A443,'2024_25'!$A:$A,0))/INDEX('2024_25'!$G:$G,MATCH($A443,'2024_25'!$A:$A,0))*90,"")</f>
        <v/>
      </c>
      <c r="AA443">
        <f>IFERROR(INDEX('2025_26'!$M:$M,MATCH($A443,'2025_26'!$A:$A,0))/INDEX('2025_26'!$G:$G,MATCH($A443,'2025_26'!$A:$A,0))*90,"")</f>
        <v>7.0749542961608771</v>
      </c>
      <c r="AB443">
        <f>IFERROR(SUMPRODUCT(S443:U443,{0.2,0.3,0.5})/SUMPRODUCT(--(S443:U443&lt;&gt;""),{0.2,0.3,0.5}),"")</f>
        <v>0.22047531992687389</v>
      </c>
      <c r="AC443">
        <f>IFERROR(SUMPRODUCT(V443:X443,{0.2,0.3,0.5})/SUMPRODUCT(--(V443:X443&lt;&gt;""),{0.2,0.3,0.5}),"")</f>
        <v>0.33071297989031073</v>
      </c>
      <c r="AD443">
        <f>IFERROR(SUMPRODUCT(Y443:AA443,{0.2,0.3,0.5})/SUMPRODUCT((Y443:AA443&lt;&gt;"")*{0.2,0.3,0.5}),O443)</f>
        <v>7.0749542961608771</v>
      </c>
      <c r="AE443">
        <f t="shared" si="161"/>
        <v>1</v>
      </c>
      <c r="AF443">
        <f t="shared" si="162"/>
        <v>81</v>
      </c>
      <c r="AG443">
        <f t="shared" si="163"/>
        <v>0.17294698354661794</v>
      </c>
      <c r="AH443">
        <f t="shared" si="164"/>
        <v>0.25642047531992684</v>
      </c>
      <c r="AI443" s="2">
        <f t="shared" si="165"/>
        <v>6.0647166361974403</v>
      </c>
      <c r="AJ443">
        <f t="shared" si="166"/>
        <v>0.27</v>
      </c>
      <c r="AK443" t="str">
        <f t="shared" si="167"/>
        <v>NO</v>
      </c>
      <c r="AL443">
        <f t="shared" si="168"/>
        <v>0.17294698354661794</v>
      </c>
      <c r="AM443">
        <f t="shared" si="169"/>
        <v>0.25642047531992684</v>
      </c>
      <c r="AN443">
        <f t="shared" si="170"/>
        <v>0.17294698354661794</v>
      </c>
      <c r="AO443">
        <f t="shared" si="171"/>
        <v>0.25642047531992684</v>
      </c>
      <c r="AP443">
        <f t="array" ref="AP443">AL443*IF($C443="GKP",10,IF($C443="DEF",6,IF($C443="MID",5,4)))</f>
        <v>0.86473491773308975</v>
      </c>
      <c r="AQ443">
        <f t="shared" si="172"/>
        <v>0.76926142595978053</v>
      </c>
      <c r="AR443">
        <f t="shared" si="173"/>
        <v>2</v>
      </c>
      <c r="AS443" s="2">
        <f>IF($H443=0,0,Player_Analysis!$AM443*$H443/90)</f>
        <v>0</v>
      </c>
      <c r="AT443">
        <f t="shared" si="174"/>
        <v>0.55555555555555558</v>
      </c>
      <c r="AU443" s="2">
        <f>0</f>
        <v>0</v>
      </c>
      <c r="AV443" s="2">
        <f>IF(INDEX(FPL_Raw_Data!K:K,MATCH(A443,FPL_Raw_Data!AA:AA,0))=0,"",INDEX(FPL_Raw_Data!P:P,MATCH(A443,FPL_Raw_Data!AA:AA,0))/INDEX(FPL_Raw_Data!K:K,MATCH(A443,FPL_Raw_Data!AA:AA,0))*90)</f>
        <v>0</v>
      </c>
      <c r="AW443" s="2">
        <f t="shared" si="175"/>
        <v>0</v>
      </c>
      <c r="AX443" s="2">
        <f>IFERROR(INDEX(TEAM_ANALYSIS!$H$2:$H$21,MATCH($B443,TEAM_ANALYSIS!$A$2:$A$21,0)),0)</f>
        <v>1.3333333333333333</v>
      </c>
      <c r="AY443" s="2">
        <f t="shared" si="176"/>
        <v>0</v>
      </c>
      <c r="AZ443" s="2">
        <f t="shared" si="177"/>
        <v>4.1895518992484257</v>
      </c>
      <c r="BA443">
        <f t="shared" si="178"/>
        <v>0.72233653435317691</v>
      </c>
      <c r="BB443">
        <f>IFERROR(Player_Analysis!$Y443,1)</f>
        <v>1.0903373702422146</v>
      </c>
      <c r="BC443">
        <f t="shared" si="179"/>
        <v>4.5680250003198042</v>
      </c>
      <c r="BD443">
        <f t="shared" si="180"/>
        <v>3.2996513475696774</v>
      </c>
      <c r="BE443">
        <f t="shared" si="181"/>
        <v>4.5680250003198042</v>
      </c>
      <c r="BF443">
        <f t="shared" si="182"/>
        <v>122</v>
      </c>
      <c r="BG443">
        <f>IF($BE443="","",COUNTIFS($C$2:$C$596,$C443,$BE$2:$BE$596,"&gt;"&amp;$BE443)+COUNTIFS($C$2:$C443,$C443,$BE$2:$BE443,$BE443))</f>
        <v>57</v>
      </c>
    </row>
    <row r="444" spans="1:59" x14ac:dyDescent="0.25">
      <c r="A444" t="str">
        <f>Player_Analysis!A444</f>
        <v>Federico Chiesa</v>
      </c>
      <c r="B444">
        <f>Player_Analysis!C444</f>
        <v>14</v>
      </c>
      <c r="C444" t="str">
        <f>Player_Analysis!B444</f>
        <v>MID</v>
      </c>
      <c r="D444" s="13">
        <f>Player_Analysis!E444</f>
        <v>5.4</v>
      </c>
      <c r="E444">
        <f>Player_Analysis!I444</f>
        <v>0</v>
      </c>
      <c r="F444" s="8">
        <f>Player_Analysis!Z444</f>
        <v>0</v>
      </c>
      <c r="G444" s="17">
        <f t="shared" si="157"/>
        <v>0</v>
      </c>
      <c r="H444">
        <f t="shared" si="158"/>
        <v>0</v>
      </c>
      <c r="I444" s="8">
        <f>Player_Analysis!AF444</f>
        <v>0</v>
      </c>
      <c r="J444" s="8">
        <f>Player_Analysis!AG444</f>
        <v>0</v>
      </c>
      <c r="K444">
        <f>Player_Analysis!O444</f>
        <v>0</v>
      </c>
      <c r="L444">
        <f>Player_Analysis!P444</f>
        <v>0</v>
      </c>
      <c r="M444" t="str">
        <f t="shared" si="159"/>
        <v/>
      </c>
      <c r="N444" t="str">
        <f t="shared" si="160"/>
        <v/>
      </c>
      <c r="O444" s="2" t="str">
        <f>IF(E444=0,"",Player_Analysis!L444/E444*90)</f>
        <v/>
      </c>
      <c r="P444" t="str">
        <f>IF(E444=0,"",Player_Analysis!Q444/E444*90)</f>
        <v/>
      </c>
      <c r="Q444" t="str">
        <f>IF(E444=0,"",(Player_Analysis!AD444/E444)*90)</f>
        <v/>
      </c>
      <c r="R444" t="str">
        <f>IF(E444=0,"",Player_Analysis!AA444/E444*90)</f>
        <v/>
      </c>
      <c r="S444" t="str">
        <f t="array" ref="S444">IFERROR(INDEX('2023_24'!$O:$O,MATCH($A444,'2023_24'!$A:$A,0)),"")</f>
        <v/>
      </c>
      <c r="T444">
        <f>IFERROR(INDEX('2024_25'!$P:$P,MATCH($A444,'2024_25'!$A:$A,0)),"")</f>
        <v>0.29708737864077672</v>
      </c>
      <c r="U444">
        <f>IFERROR(INDEX('2025_26'!$P:$P,MATCH($A444,'2025_26'!$A:$A,0)),"")</f>
        <v>0.41167192429022076</v>
      </c>
      <c r="V444" t="str">
        <f>IFERROR(INDEX('2023_24'!$P:$P,MATCH($A444,'2023_24'!$A:$A,0)),"")</f>
        <v/>
      </c>
      <c r="W444">
        <f>IFERROR(INDEX('2024_25'!$Q:$Q,MATCH($A444,'2024_25'!$A:$A,0)),"")</f>
        <v>0.13106796116504854</v>
      </c>
      <c r="X444">
        <f>IFERROR(INDEX('2025_26'!$Q:$Q,MATCH($A444,'2025_26'!$A:$A,0)),"")</f>
        <v>0.17318611987381705</v>
      </c>
      <c r="Y444" t="str">
        <f>IFERROR(INDEX('2023_24'!$M:$M,MATCH($A444,'2023_24'!$A:$A,0))/INDEX('2023_24'!$G:$G,MATCH($A444,'2023_24'!$A:$A,0))*90,"")</f>
        <v/>
      </c>
      <c r="Z444">
        <f>IFERROR(INDEX('2024_25'!$M:$M,MATCH($A444,'2024_25'!$A:$A,0))/INDEX('2024_25'!$G:$G,MATCH($A444,'2024_25'!$A:$A,0))*90,"")</f>
        <v>6.116504854368932</v>
      </c>
      <c r="AA444">
        <f>IFERROR(INDEX('2025_26'!$M:$M,MATCH($A444,'2025_26'!$A:$A,0))/INDEX('2025_26'!$G:$G,MATCH($A444,'2025_26'!$A:$A,0))*90,"")</f>
        <v>10.504731861198739</v>
      </c>
      <c r="AB444">
        <f>IFERROR(SUMPRODUCT(S444:U444,{0.2,0.3,0.5})/SUMPRODUCT(--(S444:U444&lt;&gt;""),{0.2,0.3,0.5}),"")</f>
        <v>0.36870271967167922</v>
      </c>
      <c r="AC444">
        <f>IFERROR(SUMPRODUCT(V444:X444,{0.2,0.3,0.5})/SUMPRODUCT(--(V444:X444&lt;&gt;""),{0.2,0.3,0.5}),"")</f>
        <v>0.15739181035802885</v>
      </c>
      <c r="AD444">
        <f>IFERROR(SUMPRODUCT(Y444:AA444,{0.2,0.3,0.5})/SUMPRODUCT((Y444:AA444&lt;&gt;"")*{0.2,0.3,0.5}),O444)</f>
        <v>8.8591467336375604</v>
      </c>
      <c r="AE444">
        <f t="shared" si="161"/>
        <v>2</v>
      </c>
      <c r="AF444" t="str">
        <f t="shared" si="162"/>
        <v/>
      </c>
      <c r="AG444">
        <f t="shared" si="163"/>
        <v>0.36870271967167922</v>
      </c>
      <c r="AH444">
        <f t="shared" si="164"/>
        <v>0.15739181035802885</v>
      </c>
      <c r="AI444" s="2">
        <f t="shared" si="165"/>
        <v>8.8591467336375604</v>
      </c>
      <c r="AJ444">
        <f t="shared" si="166"/>
        <v>0</v>
      </c>
      <c r="AK444" t="str">
        <f t="shared" si="167"/>
        <v>NO</v>
      </c>
      <c r="AL444">
        <f t="shared" si="168"/>
        <v>0</v>
      </c>
      <c r="AM444">
        <f t="shared" si="169"/>
        <v>0</v>
      </c>
      <c r="AN444">
        <f t="shared" si="170"/>
        <v>0</v>
      </c>
      <c r="AO444">
        <f t="shared" si="171"/>
        <v>0</v>
      </c>
      <c r="AP444">
        <f t="array" ref="AP444">AL444*IF($C444="GKP",10,IF($C444="DEF",6,IF($C444="MID",5,4)))</f>
        <v>0</v>
      </c>
      <c r="AQ444">
        <f t="shared" si="172"/>
        <v>0</v>
      </c>
      <c r="AR444">
        <f t="shared" si="173"/>
        <v>0</v>
      </c>
      <c r="AS444" s="2">
        <f>IF($H444=0,0,Player_Analysis!$AM444*$H444/90)</f>
        <v>0</v>
      </c>
      <c r="AT444">
        <f t="shared" si="174"/>
        <v>0</v>
      </c>
      <c r="AU444" s="2">
        <f>0</f>
        <v>0</v>
      </c>
      <c r="AV444" s="2" t="str">
        <f>IF(INDEX(FPL_Raw_Data!K:K,MATCH(A444,FPL_Raw_Data!AA:AA,0))=0,"",INDEX(FPL_Raw_Data!P:P,MATCH(A444,FPL_Raw_Data!AA:AA,0))/INDEX(FPL_Raw_Data!K:K,MATCH(A444,FPL_Raw_Data!AA:AA,0))*90)</f>
        <v/>
      </c>
      <c r="AW444" s="2">
        <f t="shared" si="175"/>
        <v>0</v>
      </c>
      <c r="AX444" s="2">
        <f>IFERROR(INDEX(TEAM_ANALYSIS!$H$2:$H$21,MATCH($B444,TEAM_ANALYSIS!$A$2:$A$21,0)),0)</f>
        <v>1.3333333333333333</v>
      </c>
      <c r="AY444" s="2">
        <f t="shared" si="176"/>
        <v>0</v>
      </c>
      <c r="AZ444" s="2">
        <f t="shared" si="177"/>
        <v>0</v>
      </c>
      <c r="BA444">
        <f t="shared" si="178"/>
        <v>0</v>
      </c>
      <c r="BB444">
        <f>IFERROR(Player_Analysis!$Y444,1)</f>
        <v>1.0903373702422146</v>
      </c>
      <c r="BC444">
        <f t="shared" si="179"/>
        <v>0</v>
      </c>
      <c r="BD444">
        <f t="shared" si="180"/>
        <v>0</v>
      </c>
      <c r="BE444">
        <f t="shared" si="181"/>
        <v>0</v>
      </c>
      <c r="BF444">
        <f t="shared" si="182"/>
        <v>253</v>
      </c>
      <c r="BG444">
        <f>IF($BE444="","",COUNTIFS($C$2:$C$596,$C444,$BE$2:$BE$596,"&gt;"&amp;$BE444)+COUNTIFS($C$2:$C444,$C444,$BE$2:$BE444,$BE444))</f>
        <v>224</v>
      </c>
    </row>
    <row r="445" spans="1:59" x14ac:dyDescent="0.25">
      <c r="A445" t="str">
        <f>Player_Analysis!A445</f>
        <v>Ryan Gravenberch</v>
      </c>
      <c r="B445">
        <f>Player_Analysis!C445</f>
        <v>14</v>
      </c>
      <c r="C445" t="str">
        <f>Player_Analysis!B445</f>
        <v>MID</v>
      </c>
      <c r="D445" s="13">
        <f>Player_Analysis!E445</f>
        <v>5.9</v>
      </c>
      <c r="E445">
        <f>Player_Analysis!I445</f>
        <v>122</v>
      </c>
      <c r="F445" s="8">
        <f>Player_Analysis!Z445</f>
        <v>1</v>
      </c>
      <c r="G445" s="17">
        <f t="shared" si="157"/>
        <v>0.73770491803278682</v>
      </c>
      <c r="H445">
        <f t="shared" si="158"/>
        <v>66.393442622950815</v>
      </c>
      <c r="I445" s="8">
        <f>Player_Analysis!AF445</f>
        <v>0</v>
      </c>
      <c r="J445" s="8">
        <f>Player_Analysis!AG445</f>
        <v>1</v>
      </c>
      <c r="K445">
        <f>Player_Analysis!O445</f>
        <v>0.06</v>
      </c>
      <c r="L445">
        <f>Player_Analysis!P445</f>
        <v>0.06</v>
      </c>
      <c r="M445">
        <f t="shared" si="159"/>
        <v>4.4262295081967211E-2</v>
      </c>
      <c r="N445">
        <f t="shared" si="160"/>
        <v>4.4262295081967211E-2</v>
      </c>
      <c r="O445" s="2">
        <f>IF(E445=0,"",Player_Analysis!L445/E445*90)</f>
        <v>5.1639344262295079</v>
      </c>
      <c r="P445">
        <f>IF(E445=0,"",Player_Analysis!Q445/E445*90)</f>
        <v>8.8524590163934422E-2</v>
      </c>
      <c r="Q445">
        <f>IF(E445=0,"",(Player_Analysis!AD445/E445)*90)</f>
        <v>25.819672131147541</v>
      </c>
      <c r="R445">
        <f>IF(E445=0,"",Player_Analysis!AA445/E445*90)</f>
        <v>10.327868852459016</v>
      </c>
      <c r="S445">
        <f t="array" ref="S445">IFERROR(INDEX('2023_24'!$O:$O,MATCH($A445,'2023_24'!$A:$A,0)),"")</f>
        <v>0.16864864864864865</v>
      </c>
      <c r="T445">
        <f>IFERROR(INDEX('2024_25'!$P:$P,MATCH($A445,'2024_25'!$A:$A,0)),"")</f>
        <v>3.2183544303797468E-2</v>
      </c>
      <c r="U445">
        <f>IFERROR(INDEX('2025_26'!$P:$P,MATCH($A445,'2025_26'!$A:$A,0)),"")</f>
        <v>5.6870611835506513E-2</v>
      </c>
      <c r="V445">
        <f>IFERROR(INDEX('2023_24'!$P:$P,MATCH($A445,'2023_24'!$A:$A,0)),"")</f>
        <v>0.10945945945945948</v>
      </c>
      <c r="W445">
        <f>IFERROR(INDEX('2024_25'!$Q:$Q,MATCH($A445,'2024_25'!$A:$A,0)),"")</f>
        <v>9.9683544303797472E-2</v>
      </c>
      <c r="X445">
        <f>IFERROR(INDEX('2025_26'!$Q:$Q,MATCH($A445,'2025_26'!$A:$A,0)),"")</f>
        <v>6.8004012036108313E-2</v>
      </c>
      <c r="Y445">
        <f>IFERROR(INDEX('2023_24'!$M:$M,MATCH($A445,'2023_24'!$A:$A,0))/INDEX('2023_24'!$G:$G,MATCH($A445,'2023_24'!$A:$A,0))*90,"")</f>
        <v>3.6486486486486487</v>
      </c>
      <c r="Z445">
        <f>IFERROR(INDEX('2024_25'!$M:$M,MATCH($A445,'2024_25'!$A:$A,0))/INDEX('2024_25'!$G:$G,MATCH($A445,'2024_25'!$A:$A,0))*90,"")</f>
        <v>2.6202531645569618</v>
      </c>
      <c r="AA445">
        <f>IFERROR(INDEX('2025_26'!$M:$M,MATCH($A445,'2025_26'!$A:$A,0))/INDEX('2025_26'!$G:$G,MATCH($A445,'2025_26'!$A:$A,0))*90,"")</f>
        <v>4.3329989969909724</v>
      </c>
      <c r="AB445">
        <f>IFERROR(SUMPRODUCT(S445:U445,{0.2,0.3,0.5})/SUMPRODUCT(--(S445:U445&lt;&gt;""),{0.2,0.3,0.5}),"")</f>
        <v>7.182009893862222E-2</v>
      </c>
      <c r="AC445">
        <f>IFERROR(SUMPRODUCT(V445:X445,{0.2,0.3,0.5})/SUMPRODUCT(--(V445:X445&lt;&gt;""),{0.2,0.3,0.5}),"")</f>
        <v>8.5798961201085294E-2</v>
      </c>
      <c r="AD445">
        <f>IFERROR(SUMPRODUCT(Y445:AA445,{0.2,0.3,0.5})/SUMPRODUCT((Y445:AA445&lt;&gt;"")*{0.2,0.3,0.5}),O445)</f>
        <v>3.6823051775923044</v>
      </c>
      <c r="AE445">
        <f t="shared" si="161"/>
        <v>3</v>
      </c>
      <c r="AF445">
        <f t="shared" si="162"/>
        <v>122</v>
      </c>
      <c r="AG445">
        <f t="shared" si="163"/>
        <v>6.0613258703582515E-2</v>
      </c>
      <c r="AH445">
        <f t="shared" si="164"/>
        <v>6.8907383645977274E-2</v>
      </c>
      <c r="AI445" s="2">
        <f t="shared" si="165"/>
        <v>4.2848344053714342</v>
      </c>
      <c r="AJ445">
        <f t="shared" si="166"/>
        <v>0.40666666666666668</v>
      </c>
      <c r="AK445" t="str">
        <f t="shared" si="167"/>
        <v>NO</v>
      </c>
      <c r="AL445">
        <f t="shared" si="168"/>
        <v>4.4714699043626439E-2</v>
      </c>
      <c r="AM445">
        <f t="shared" si="169"/>
        <v>5.083331580440946E-2</v>
      </c>
      <c r="AN445">
        <f t="shared" si="170"/>
        <v>4.4714699043626439E-2</v>
      </c>
      <c r="AO445">
        <f t="shared" si="171"/>
        <v>5.083331580440946E-2</v>
      </c>
      <c r="AP445">
        <f t="array" ref="AP445">AL445*IF($C445="GKP",10,IF($C445="DEF",6,IF($C445="MID",5,4)))</f>
        <v>0.22357349521813219</v>
      </c>
      <c r="AQ445">
        <f t="shared" si="172"/>
        <v>0.15249994741322837</v>
      </c>
      <c r="AR445">
        <f t="shared" si="173"/>
        <v>1.4754098360655736</v>
      </c>
      <c r="AS445" s="2">
        <f>IF($H445=0,0,Player_Analysis!$AM445*$H445/90)</f>
        <v>0</v>
      </c>
      <c r="AT445">
        <f t="shared" si="174"/>
        <v>1.2698199408761084</v>
      </c>
      <c r="AU445" s="2">
        <f>0</f>
        <v>0</v>
      </c>
      <c r="AV445" s="2">
        <f>IF(INDEX(FPL_Raw_Data!K:K,MATCH(A445,FPL_Raw_Data!AA:AA,0))=0,"",INDEX(FPL_Raw_Data!P:P,MATCH(A445,FPL_Raw_Data!AA:AA,0))/INDEX(FPL_Raw_Data!K:K,MATCH(A445,FPL_Raw_Data!AA:AA,0))*90)</f>
        <v>0</v>
      </c>
      <c r="AW445" s="2">
        <f t="shared" si="175"/>
        <v>0</v>
      </c>
      <c r="AX445" s="2">
        <f>IFERROR(INDEX(TEAM_ANALYSIS!$H$2:$H$21,MATCH($B445,TEAM_ANALYSIS!$A$2:$A$21,0)),0)</f>
        <v>1.3333333333333333</v>
      </c>
      <c r="AY445" s="2">
        <f t="shared" si="176"/>
        <v>0</v>
      </c>
      <c r="AZ445" s="2">
        <f t="shared" si="177"/>
        <v>3.1213032195730426</v>
      </c>
      <c r="BA445">
        <f t="shared" si="178"/>
        <v>0.52903444399543087</v>
      </c>
      <c r="BB445">
        <f>IFERROR(Player_Analysis!$Y445,1)</f>
        <v>1.0903373702422146</v>
      </c>
      <c r="BC445">
        <f t="shared" si="179"/>
        <v>3.403273544157829</v>
      </c>
      <c r="BD445">
        <f t="shared" si="180"/>
        <v>1.8004489271978965</v>
      </c>
      <c r="BE445">
        <f t="shared" si="181"/>
        <v>3.403273544157829</v>
      </c>
      <c r="BF445">
        <f t="shared" si="182"/>
        <v>183</v>
      </c>
      <c r="BG445">
        <f>IF($BE445="","",COUNTIFS($C$2:$C$596,$C445,$BE$2:$BE$596,"&gt;"&amp;$BE445)+COUNTIFS($C$2:$C445,$C445,$BE$2:$BE445,$BE445))</f>
        <v>94</v>
      </c>
    </row>
    <row r="446" spans="1:59" x14ac:dyDescent="0.25">
      <c r="A446" t="str">
        <f>Player_Analysis!A446</f>
        <v>Alexis Mac Allister</v>
      </c>
      <c r="B446">
        <f>Player_Analysis!C446</f>
        <v>14</v>
      </c>
      <c r="C446" t="str">
        <f>Player_Analysis!B446</f>
        <v>MID</v>
      </c>
      <c r="D446" s="13">
        <f>Player_Analysis!E446</f>
        <v>5.4</v>
      </c>
      <c r="E446">
        <f>Player_Analysis!I446</f>
        <v>186</v>
      </c>
      <c r="F446" s="8">
        <f>Player_Analysis!Z446</f>
        <v>2</v>
      </c>
      <c r="G446" s="17">
        <f t="shared" si="157"/>
        <v>0.96774193548387089</v>
      </c>
      <c r="H446">
        <f t="shared" si="158"/>
        <v>87.096774193548384</v>
      </c>
      <c r="I446" s="8">
        <f>Player_Analysis!AF446</f>
        <v>0</v>
      </c>
      <c r="J446" s="8">
        <f>Player_Analysis!AG446</f>
        <v>0</v>
      </c>
      <c r="K446">
        <f>Player_Analysis!O446</f>
        <v>0.08</v>
      </c>
      <c r="L446">
        <f>Player_Analysis!P446</f>
        <v>0.42</v>
      </c>
      <c r="M446">
        <f t="shared" si="159"/>
        <v>3.870967741935484E-2</v>
      </c>
      <c r="N446">
        <f t="shared" si="160"/>
        <v>0.20322580645161289</v>
      </c>
      <c r="O446" s="2">
        <f>IF(E446=0,"",Player_Analysis!L446/E446*90)</f>
        <v>2.4193548387096775</v>
      </c>
      <c r="P446">
        <f>IF(E446=0,"",Player_Analysis!Q446/E446*90)</f>
        <v>0.24193548387096775</v>
      </c>
      <c r="Q446">
        <f>IF(E446=0,"",(Player_Analysis!AD446/E446)*90)</f>
        <v>15.967741935483872</v>
      </c>
      <c r="R446">
        <f>IF(E446=0,"",Player_Analysis!AA446/E446*90)</f>
        <v>11.612903225806452</v>
      </c>
      <c r="S446">
        <f t="array" ref="S446">IFERROR(INDEX('2023_24'!$O:$O,MATCH($A446,'2023_24'!$A:$A,0)),"")</f>
        <v>0.12426923076923077</v>
      </c>
      <c r="T446">
        <f>IFERROR(INDEX('2024_25'!$P:$P,MATCH($A446,'2024_25'!$A:$A,0)),"")</f>
        <v>0.10015402387370043</v>
      </c>
      <c r="U446">
        <f>IFERROR(INDEX('2025_26'!$P:$P,MATCH($A446,'2025_26'!$A:$A,0)),"")</f>
        <v>0.13191409193669934</v>
      </c>
      <c r="V446">
        <f>IFERROR(INDEX('2023_24'!$P:$P,MATCH($A446,'2023_24'!$A:$A,0)),"")</f>
        <v>0.16926923076923076</v>
      </c>
      <c r="W446">
        <f>IFERROR(INDEX('2024_25'!$Q:$Q,MATCH($A446,'2024_25'!$A:$A,0)),"")</f>
        <v>0.19303041971505586</v>
      </c>
      <c r="X446">
        <f>IFERROR(INDEX('2025_26'!$Q:$Q,MATCH($A446,'2025_26'!$A:$A,0)),"")</f>
        <v>5.7309721175584021E-2</v>
      </c>
      <c r="Y446">
        <f>IFERROR(INDEX('2023_24'!$M:$M,MATCH($A446,'2023_24'!$A:$A,0))/INDEX('2023_24'!$G:$G,MATCH($A446,'2023_24'!$A:$A,0))*90,"")</f>
        <v>3.773076923076923</v>
      </c>
      <c r="Z446">
        <f>IFERROR(INDEX('2024_25'!$M:$M,MATCH($A446,'2024_25'!$A:$A,0))/INDEX('2024_25'!$G:$G,MATCH($A446,'2024_25'!$A:$A,0))*90,"")</f>
        <v>4.2279553330766273</v>
      </c>
      <c r="AA446">
        <f>IFERROR(INDEX('2025_26'!$M:$M,MATCH($A446,'2025_26'!$A:$A,0))/INDEX('2025_26'!$G:$G,MATCH($A446,'2025_26'!$A:$A,0))*90,"")</f>
        <v>3.6623963828183874</v>
      </c>
      <c r="AB446">
        <f>IFERROR(SUMPRODUCT(S446:U446,{0.2,0.3,0.5})/SUMPRODUCT(--(S446:U446&lt;&gt;""),{0.2,0.3,0.5}),"")</f>
        <v>0.12085709928430595</v>
      </c>
      <c r="AC446">
        <f>IFERROR(SUMPRODUCT(V446:X446,{0.2,0.3,0.5})/SUMPRODUCT(--(V446:X446&lt;&gt;""),{0.2,0.3,0.5}),"")</f>
        <v>0.12041783265615491</v>
      </c>
      <c r="AD446">
        <f>IFERROR(SUMPRODUCT(Y446:AA446,{0.2,0.3,0.5})/SUMPRODUCT((Y446:AA446&lt;&gt;"")*{0.2,0.3,0.5}),O446)</f>
        <v>3.8542001759475664</v>
      </c>
      <c r="AE446">
        <f t="shared" si="161"/>
        <v>3</v>
      </c>
      <c r="AF446">
        <f t="shared" si="162"/>
        <v>93</v>
      </c>
      <c r="AG446">
        <f t="shared" si="163"/>
        <v>6.9925697728036265E-2</v>
      </c>
      <c r="AH446">
        <f t="shared" si="164"/>
        <v>0.17175877640933887</v>
      </c>
      <c r="AI446" s="2">
        <f t="shared" si="165"/>
        <v>2.964596066860075</v>
      </c>
      <c r="AJ446">
        <f t="shared" si="166"/>
        <v>0.62</v>
      </c>
      <c r="AK446" t="str">
        <f t="shared" si="167"/>
        <v>NO</v>
      </c>
      <c r="AL446">
        <f t="shared" si="168"/>
        <v>6.767003005938993E-2</v>
      </c>
      <c r="AM446">
        <f t="shared" si="169"/>
        <v>0.16621817071871503</v>
      </c>
      <c r="AN446">
        <f t="shared" si="170"/>
        <v>6.767003005938993E-2</v>
      </c>
      <c r="AO446">
        <f t="shared" si="171"/>
        <v>0.16621817071871503</v>
      </c>
      <c r="AP446">
        <f t="array" ref="AP446">AL446*IF($C446="GKP",10,IF($C446="DEF",6,IF($C446="MID",5,4)))</f>
        <v>0.33835015029694965</v>
      </c>
      <c r="AQ446">
        <f t="shared" si="172"/>
        <v>0.49865451215614509</v>
      </c>
      <c r="AR446">
        <f t="shared" si="173"/>
        <v>1.9354838709677418</v>
      </c>
      <c r="AS446" s="2">
        <f>IF($H446=0,0,Player_Analysis!$AM446*$H446/90)</f>
        <v>0.48387096774193544</v>
      </c>
      <c r="AT446">
        <f t="shared" si="174"/>
        <v>1.8730489073881371</v>
      </c>
      <c r="AU446" s="2">
        <f>0</f>
        <v>0</v>
      </c>
      <c r="AV446" s="2">
        <f>IF(INDEX(FPL_Raw_Data!K:K,MATCH(A446,FPL_Raw_Data!AA:AA,0))=0,"",INDEX(FPL_Raw_Data!P:P,MATCH(A446,FPL_Raw_Data!AA:AA,0))/INDEX(FPL_Raw_Data!K:K,MATCH(A446,FPL_Raw_Data!AA:AA,0))*90)</f>
        <v>0</v>
      </c>
      <c r="AW446" s="2">
        <f t="shared" si="175"/>
        <v>0</v>
      </c>
      <c r="AX446" s="2">
        <f>IFERROR(INDEX(TEAM_ANALYSIS!$H$2:$H$21,MATCH($B446,TEAM_ANALYSIS!$A$2:$A$21,0)),0)</f>
        <v>1.3333333333333333</v>
      </c>
      <c r="AY446" s="2">
        <f t="shared" si="176"/>
        <v>0</v>
      </c>
      <c r="AZ446" s="2">
        <f t="shared" si="177"/>
        <v>5.1294084085509093</v>
      </c>
      <c r="BA446">
        <f t="shared" si="178"/>
        <v>0.94989044602794614</v>
      </c>
      <c r="BB446">
        <f>IFERROR(Player_Analysis!$Y446,1)</f>
        <v>1.0903373702422146</v>
      </c>
      <c r="BC446">
        <f t="shared" si="179"/>
        <v>5.5927856750777014</v>
      </c>
      <c r="BD446">
        <f t="shared" si="180"/>
        <v>5.3125336794382658</v>
      </c>
      <c r="BE446">
        <f t="shared" si="181"/>
        <v>5.5927856750777014</v>
      </c>
      <c r="BF446">
        <f t="shared" si="182"/>
        <v>61</v>
      </c>
      <c r="BG446">
        <f>IF($BE446="","",COUNTIFS($C$2:$C$596,$C446,$BE$2:$BE$596,"&gt;"&amp;$BE446)+COUNTIFS($C$2:$C446,$C446,$BE$2:$BE446,$BE446))</f>
        <v>27</v>
      </c>
    </row>
    <row r="447" spans="1:59" x14ac:dyDescent="0.25">
      <c r="A447" t="str">
        <f>Player_Analysis!A447</f>
        <v>Curtis Jones</v>
      </c>
      <c r="B447">
        <f>Player_Analysis!C447</f>
        <v>14</v>
      </c>
      <c r="C447" t="str">
        <f>Player_Analysis!B447</f>
        <v>MID</v>
      </c>
      <c r="D447" s="13">
        <f>Player_Analysis!E447</f>
        <v>5.5</v>
      </c>
      <c r="E447">
        <f>Player_Analysis!I447</f>
        <v>0</v>
      </c>
      <c r="F447" s="8">
        <f>Player_Analysis!Z447</f>
        <v>0</v>
      </c>
      <c r="G447" s="17">
        <f t="shared" si="157"/>
        <v>0</v>
      </c>
      <c r="H447">
        <f t="shared" si="158"/>
        <v>0</v>
      </c>
      <c r="I447" s="8">
        <f>Player_Analysis!AF447</f>
        <v>0</v>
      </c>
      <c r="J447" s="8">
        <f>Player_Analysis!AG447</f>
        <v>0</v>
      </c>
      <c r="K447">
        <f>Player_Analysis!O447</f>
        <v>0</v>
      </c>
      <c r="L447">
        <f>Player_Analysis!P447</f>
        <v>0</v>
      </c>
      <c r="M447" t="str">
        <f t="shared" si="159"/>
        <v/>
      </c>
      <c r="N447" t="str">
        <f t="shared" si="160"/>
        <v/>
      </c>
      <c r="O447" s="2" t="str">
        <f>IF(E447=0,"",Player_Analysis!L447/E447*90)</f>
        <v/>
      </c>
      <c r="P447" t="str">
        <f>IF(E447=0,"",Player_Analysis!Q447/E447*90)</f>
        <v/>
      </c>
      <c r="Q447" t="str">
        <f>IF(E447=0,"",(Player_Analysis!AD447/E447)*90)</f>
        <v/>
      </c>
      <c r="R447" t="str">
        <f>IF(E447=0,"",Player_Analysis!AA447/E447*90)</f>
        <v/>
      </c>
      <c r="S447">
        <f t="array" ref="S447">IFERROR(INDEX('2023_24'!$O:$O,MATCH($A447,'2023_24'!$A:$A,0)),"")</f>
        <v>0.2133217993079585</v>
      </c>
      <c r="T447">
        <f>IFERROR(INDEX('2024_25'!$P:$P,MATCH($A447,'2024_25'!$A:$A,0)),"")</f>
        <v>0.22949471210340774</v>
      </c>
      <c r="U447">
        <f>IFERROR(INDEX('2025_26'!$P:$P,MATCH($A447,'2025_26'!$A:$A,0)),"")</f>
        <v>0.10343213728549143</v>
      </c>
      <c r="V447">
        <f>IFERROR(INDEX('2023_24'!$P:$P,MATCH($A447,'2023_24'!$A:$A,0)),"")</f>
        <v>8.0968858131487895E-2</v>
      </c>
      <c r="W447">
        <f>IFERROR(INDEX('2024_25'!$Q:$Q,MATCH($A447,'2024_25'!$A:$A,0)),"")</f>
        <v>7.7203290246768502E-2</v>
      </c>
      <c r="X447">
        <f>IFERROR(INDEX('2025_26'!$Q:$Q,MATCH($A447,'2025_26'!$A:$A,0)),"")</f>
        <v>0.12964118564742591</v>
      </c>
      <c r="Y447">
        <f>IFERROR(INDEX('2023_24'!$M:$M,MATCH($A447,'2023_24'!$A:$A,0))/INDEX('2023_24'!$G:$G,MATCH($A447,'2023_24'!$A:$A,0))*90,"")</f>
        <v>3.1141868512110729</v>
      </c>
      <c r="Z447">
        <f>IFERROR(INDEX('2024_25'!$M:$M,MATCH($A447,'2024_25'!$A:$A,0))/INDEX('2024_25'!$G:$G,MATCH($A447,'2024_25'!$A:$A,0))*90,"")</f>
        <v>4.600470035252644</v>
      </c>
      <c r="AA447">
        <f>IFERROR(INDEX('2025_26'!$M:$M,MATCH($A447,'2025_26'!$A:$A,0))/INDEX('2025_26'!$G:$G,MATCH($A447,'2025_26'!$A:$A,0))*90,"")</f>
        <v>3.7909516380655228</v>
      </c>
      <c r="AB447">
        <f>IFERROR(SUMPRODUCT(S447:U447,{0.2,0.3,0.5})/SUMPRODUCT(--(S447:U447&lt;&gt;""),{0.2,0.3,0.5}),"")</f>
        <v>0.16322884213535974</v>
      </c>
      <c r="AC447">
        <f>IFERROR(SUMPRODUCT(V447:X447,{0.2,0.3,0.5})/SUMPRODUCT(--(V447:X447&lt;&gt;""),{0.2,0.3,0.5}),"")</f>
        <v>0.10417535152404109</v>
      </c>
      <c r="AD447">
        <f>IFERROR(SUMPRODUCT(Y447:AA447,{0.2,0.3,0.5})/SUMPRODUCT((Y447:AA447&lt;&gt;"")*{0.2,0.3,0.5}),O447)</f>
        <v>3.8984541998507694</v>
      </c>
      <c r="AE447">
        <f t="shared" si="161"/>
        <v>3</v>
      </c>
      <c r="AF447" t="str">
        <f t="shared" si="162"/>
        <v/>
      </c>
      <c r="AG447">
        <f t="shared" si="163"/>
        <v>0.16322884213535974</v>
      </c>
      <c r="AH447">
        <f t="shared" si="164"/>
        <v>0.10417535152404109</v>
      </c>
      <c r="AI447" s="2">
        <f t="shared" si="165"/>
        <v>3.8984541998507694</v>
      </c>
      <c r="AJ447">
        <f t="shared" si="166"/>
        <v>0</v>
      </c>
      <c r="AK447" t="str">
        <f t="shared" si="167"/>
        <v>NO</v>
      </c>
      <c r="AL447">
        <f t="shared" si="168"/>
        <v>0</v>
      </c>
      <c r="AM447">
        <f t="shared" si="169"/>
        <v>0</v>
      </c>
      <c r="AN447">
        <f t="shared" si="170"/>
        <v>0</v>
      </c>
      <c r="AO447">
        <f t="shared" si="171"/>
        <v>0</v>
      </c>
      <c r="AP447">
        <f t="array" ref="AP447">AL447*IF($C447="GKP",10,IF($C447="DEF",6,IF($C447="MID",5,4)))</f>
        <v>0</v>
      </c>
      <c r="AQ447">
        <f t="shared" si="172"/>
        <v>0</v>
      </c>
      <c r="AR447">
        <f t="shared" si="173"/>
        <v>0</v>
      </c>
      <c r="AS447" s="2">
        <f>IF($H447=0,0,Player_Analysis!$AM447*$H447/90)</f>
        <v>0</v>
      </c>
      <c r="AT447">
        <f t="shared" si="174"/>
        <v>0</v>
      </c>
      <c r="AU447" s="2">
        <f>0</f>
        <v>0</v>
      </c>
      <c r="AV447" s="2" t="str">
        <f>IF(INDEX(FPL_Raw_Data!K:K,MATCH(A447,FPL_Raw_Data!AA:AA,0))=0,"",INDEX(FPL_Raw_Data!P:P,MATCH(A447,FPL_Raw_Data!AA:AA,0))/INDEX(FPL_Raw_Data!K:K,MATCH(A447,FPL_Raw_Data!AA:AA,0))*90)</f>
        <v/>
      </c>
      <c r="AW447" s="2">
        <f t="shared" si="175"/>
        <v>0</v>
      </c>
      <c r="AX447" s="2">
        <f>IFERROR(INDEX(TEAM_ANALYSIS!$H$2:$H$21,MATCH($B447,TEAM_ANALYSIS!$A$2:$A$21,0)),0)</f>
        <v>1.3333333333333333</v>
      </c>
      <c r="AY447" s="2">
        <f t="shared" si="176"/>
        <v>0</v>
      </c>
      <c r="AZ447" s="2">
        <f t="shared" si="177"/>
        <v>0</v>
      </c>
      <c r="BA447">
        <f t="shared" si="178"/>
        <v>0</v>
      </c>
      <c r="BB447">
        <f>IFERROR(Player_Analysis!$Y447,1)</f>
        <v>1.0903373702422146</v>
      </c>
      <c r="BC447">
        <f t="shared" si="179"/>
        <v>0</v>
      </c>
      <c r="BD447">
        <f t="shared" si="180"/>
        <v>0</v>
      </c>
      <c r="BE447">
        <f t="shared" si="181"/>
        <v>0</v>
      </c>
      <c r="BF447">
        <f t="shared" si="182"/>
        <v>253</v>
      </c>
      <c r="BG447">
        <f>IF($BE447="","",COUNTIFS($C$2:$C$596,$C447,$BE$2:$BE$596,"&gt;"&amp;$BE447)+COUNTIFS($C$2:$C447,$C447,$BE$2:$BE447,$BE447))</f>
        <v>225</v>
      </c>
    </row>
    <row r="448" spans="1:59" x14ac:dyDescent="0.25">
      <c r="A448" t="str">
        <f>Player_Analysis!A448</f>
        <v>Endo Wataru</v>
      </c>
      <c r="B448">
        <f>Player_Analysis!C448</f>
        <v>14</v>
      </c>
      <c r="C448" t="str">
        <f>Player_Analysis!B448</f>
        <v>MID</v>
      </c>
      <c r="D448" s="13">
        <f>Player_Analysis!E448</f>
        <v>5</v>
      </c>
      <c r="E448">
        <f>Player_Analysis!I448</f>
        <v>0</v>
      </c>
      <c r="F448" s="8">
        <f>Player_Analysis!Z448</f>
        <v>0</v>
      </c>
      <c r="G448" s="17">
        <f t="shared" si="157"/>
        <v>0</v>
      </c>
      <c r="H448">
        <f t="shared" si="158"/>
        <v>0</v>
      </c>
      <c r="I448" s="8">
        <f>Player_Analysis!AF448</f>
        <v>0</v>
      </c>
      <c r="J448" s="8">
        <f>Player_Analysis!AG448</f>
        <v>0</v>
      </c>
      <c r="K448">
        <f>Player_Analysis!O448</f>
        <v>0</v>
      </c>
      <c r="L448">
        <f>Player_Analysis!P448</f>
        <v>0</v>
      </c>
      <c r="M448" t="str">
        <f t="shared" si="159"/>
        <v/>
      </c>
      <c r="N448" t="str">
        <f t="shared" si="160"/>
        <v/>
      </c>
      <c r="O448" s="2" t="str">
        <f>IF(E448=0,"",Player_Analysis!L448/E448*90)</f>
        <v/>
      </c>
      <c r="P448" t="str">
        <f>IF(E448=0,"",Player_Analysis!Q448/E448*90)</f>
        <v/>
      </c>
      <c r="Q448" t="str">
        <f>IF(E448=0,"",(Player_Analysis!AD448/E448)*90)</f>
        <v/>
      </c>
      <c r="R448" t="str">
        <f>IF(E448=0,"",Player_Analysis!AA448/E448*90)</f>
        <v/>
      </c>
      <c r="S448" t="str">
        <f t="array" ref="S448">IFERROR(INDEX('2023_24'!$O:$O,MATCH($A448,'2023_24'!$A:$A,0)),"")</f>
        <v/>
      </c>
      <c r="T448">
        <f>IFERROR(INDEX('2024_25'!$P:$P,MATCH($A448,'2024_25'!$A:$A,0)),"")</f>
        <v>0</v>
      </c>
      <c r="U448">
        <f>IFERROR(INDEX('2025_26'!$P:$P,MATCH($A448,'2025_26'!$A:$A,0)),"")</f>
        <v>2.1176470588235293E-2</v>
      </c>
      <c r="V448" t="str">
        <f>IFERROR(INDEX('2023_24'!$P:$P,MATCH($A448,'2023_24'!$A:$A,0)),"")</f>
        <v/>
      </c>
      <c r="W448">
        <f>IFERROR(INDEX('2024_25'!$Q:$Q,MATCH($A448,'2024_25'!$A:$A,0)),"")</f>
        <v>3.127413127413127E-2</v>
      </c>
      <c r="X448">
        <f>IFERROR(INDEX('2025_26'!$Q:$Q,MATCH($A448,'2025_26'!$A:$A,0)),"")</f>
        <v>2.6470588235294121E-2</v>
      </c>
      <c r="Y448" t="str">
        <f>IFERROR(INDEX('2023_24'!$M:$M,MATCH($A448,'2023_24'!$A:$A,0))/INDEX('2023_24'!$G:$G,MATCH($A448,'2023_24'!$A:$A,0))*90,"")</f>
        <v/>
      </c>
      <c r="Z448">
        <f>IFERROR(INDEX('2024_25'!$M:$M,MATCH($A448,'2024_25'!$A:$A,0))/INDEX('2024_25'!$G:$G,MATCH($A448,'2024_25'!$A:$A,0))*90,"")</f>
        <v>7.2972972972972974</v>
      </c>
      <c r="AA448">
        <f>IFERROR(INDEX('2025_26'!$M:$M,MATCH($A448,'2025_26'!$A:$A,0))/INDEX('2025_26'!$G:$G,MATCH($A448,'2025_26'!$A:$A,0))*90,"")</f>
        <v>6.3529411764705879</v>
      </c>
      <c r="AB448">
        <f>IFERROR(SUMPRODUCT(S448:U448,{0.2,0.3,0.5})/SUMPRODUCT(--(S448:U448&lt;&gt;""),{0.2,0.3,0.5}),"")</f>
        <v>1.3235294117647057E-2</v>
      </c>
      <c r="AC448">
        <f>IFERROR(SUMPRODUCT(V448:X448,{0.2,0.3,0.5})/SUMPRODUCT(--(V448:X448&lt;&gt;""),{0.2,0.3,0.5}),"")</f>
        <v>2.8271916874858048E-2</v>
      </c>
      <c r="AD448">
        <f>IFERROR(SUMPRODUCT(Y448:AA448,{0.2,0.3,0.5})/SUMPRODUCT((Y448:AA448&lt;&gt;"")*{0.2,0.3,0.5}),O448)</f>
        <v>6.7070747217806037</v>
      </c>
      <c r="AE448">
        <f t="shared" si="161"/>
        <v>2</v>
      </c>
      <c r="AF448" t="str">
        <f t="shared" si="162"/>
        <v/>
      </c>
      <c r="AG448">
        <f t="shared" si="163"/>
        <v>1.3235294117647057E-2</v>
      </c>
      <c r="AH448">
        <f t="shared" si="164"/>
        <v>2.8271916874858048E-2</v>
      </c>
      <c r="AI448" s="2">
        <f t="shared" si="165"/>
        <v>6.7070747217806037</v>
      </c>
      <c r="AJ448">
        <f t="shared" si="166"/>
        <v>0</v>
      </c>
      <c r="AK448" t="str">
        <f t="shared" si="167"/>
        <v>NO</v>
      </c>
      <c r="AL448">
        <f t="shared" si="168"/>
        <v>0</v>
      </c>
      <c r="AM448">
        <f t="shared" si="169"/>
        <v>0</v>
      </c>
      <c r="AN448">
        <f t="shared" si="170"/>
        <v>0</v>
      </c>
      <c r="AO448">
        <f t="shared" si="171"/>
        <v>0</v>
      </c>
      <c r="AP448">
        <f t="array" ref="AP448">AL448*IF($C448="GKP",10,IF($C448="DEF",6,IF($C448="MID",5,4)))</f>
        <v>0</v>
      </c>
      <c r="AQ448">
        <f t="shared" si="172"/>
        <v>0</v>
      </c>
      <c r="AR448">
        <f t="shared" si="173"/>
        <v>0</v>
      </c>
      <c r="AS448" s="2">
        <f>IF($H448=0,0,Player_Analysis!$AM448*$H448/90)</f>
        <v>0</v>
      </c>
      <c r="AT448">
        <f t="shared" si="174"/>
        <v>0</v>
      </c>
      <c r="AU448" s="2">
        <f>0</f>
        <v>0</v>
      </c>
      <c r="AV448" s="2" t="str">
        <f>IF(INDEX(FPL_Raw_Data!K:K,MATCH(A448,FPL_Raw_Data!AA:AA,0))=0,"",INDEX(FPL_Raw_Data!P:P,MATCH(A448,FPL_Raw_Data!AA:AA,0))/INDEX(FPL_Raw_Data!K:K,MATCH(A448,FPL_Raw_Data!AA:AA,0))*90)</f>
        <v/>
      </c>
      <c r="AW448" s="2">
        <f t="shared" si="175"/>
        <v>0</v>
      </c>
      <c r="AX448" s="2">
        <f>IFERROR(INDEX(TEAM_ANALYSIS!$H$2:$H$21,MATCH($B448,TEAM_ANALYSIS!$A$2:$A$21,0)),0)</f>
        <v>1.3333333333333333</v>
      </c>
      <c r="AY448" s="2">
        <f t="shared" si="176"/>
        <v>0</v>
      </c>
      <c r="AZ448" s="2">
        <f t="shared" si="177"/>
        <v>0</v>
      </c>
      <c r="BA448">
        <f t="shared" si="178"/>
        <v>0</v>
      </c>
      <c r="BB448">
        <f>IFERROR(Player_Analysis!$Y448,1)</f>
        <v>1.0903373702422146</v>
      </c>
      <c r="BC448">
        <f t="shared" si="179"/>
        <v>0</v>
      </c>
      <c r="BD448">
        <f t="shared" si="180"/>
        <v>0</v>
      </c>
      <c r="BE448">
        <f t="shared" si="181"/>
        <v>0</v>
      </c>
      <c r="BF448">
        <f t="shared" si="182"/>
        <v>253</v>
      </c>
      <c r="BG448">
        <f>IF($BE448="","",COUNTIFS($C$2:$C$596,$C448,$BE$2:$BE$596,"&gt;"&amp;$BE448)+COUNTIFS($C$2:$C448,$C448,$BE$2:$BE448,$BE448))</f>
        <v>226</v>
      </c>
    </row>
    <row r="449" spans="1:59" x14ac:dyDescent="0.25">
      <c r="A449" t="str">
        <f>Player_Analysis!A449</f>
        <v>Trey Nyoni</v>
      </c>
      <c r="B449">
        <f>Player_Analysis!C449</f>
        <v>14</v>
      </c>
      <c r="C449" t="str">
        <f>Player_Analysis!B449</f>
        <v>MID</v>
      </c>
      <c r="D449" s="13">
        <f>Player_Analysis!E449</f>
        <v>4.9000000000000004</v>
      </c>
      <c r="E449">
        <f>Player_Analysis!I449</f>
        <v>19</v>
      </c>
      <c r="F449" s="8">
        <f>Player_Analysis!Z449</f>
        <v>0</v>
      </c>
      <c r="G449" s="17">
        <f t="shared" si="157"/>
        <v>0</v>
      </c>
      <c r="H449">
        <f t="shared" si="158"/>
        <v>0</v>
      </c>
      <c r="I449" s="8">
        <f>Player_Analysis!AF449</f>
        <v>0</v>
      </c>
      <c r="J449" s="8">
        <f>Player_Analysis!AG449</f>
        <v>0</v>
      </c>
      <c r="K449">
        <f>Player_Analysis!O449</f>
        <v>0</v>
      </c>
      <c r="L449">
        <f>Player_Analysis!P449</f>
        <v>0</v>
      </c>
      <c r="M449">
        <f t="shared" si="159"/>
        <v>0</v>
      </c>
      <c r="N449">
        <f t="shared" si="160"/>
        <v>0</v>
      </c>
      <c r="O449" s="2">
        <f>IF(E449=0,"",Player_Analysis!L449/E449*90)</f>
        <v>9.473684210526315</v>
      </c>
      <c r="P449">
        <f>IF(E449=0,"",Player_Analysis!Q449/E449*90)</f>
        <v>0</v>
      </c>
      <c r="Q449">
        <f>IF(E449=0,"",(Player_Analysis!AD449/E449)*90)</f>
        <v>28.421052631578945</v>
      </c>
      <c r="R449">
        <f>IF(E449=0,"",Player_Analysis!AA449/E449*90)</f>
        <v>23.684210526315788</v>
      </c>
      <c r="S449" t="str">
        <f t="array" ref="S449">IFERROR(INDEX('2023_24'!$O:$O,MATCH($A449,'2023_24'!$A:$A,0)),"")</f>
        <v/>
      </c>
      <c r="T449" t="str">
        <f>IFERROR(INDEX('2024_25'!$P:$P,MATCH($A449,'2024_25'!$A:$A,0)),"")</f>
        <v/>
      </c>
      <c r="U449">
        <f>IFERROR(INDEX('2025_26'!$P:$P,MATCH($A449,'2025_26'!$A:$A,0)),"")</f>
        <v>1.5857142857142856</v>
      </c>
      <c r="V449" t="str">
        <f>IFERROR(INDEX('2023_24'!$P:$P,MATCH($A449,'2023_24'!$A:$A,0)),"")</f>
        <v/>
      </c>
      <c r="W449" t="str">
        <f>IFERROR(INDEX('2024_25'!$Q:$Q,MATCH($A449,'2024_25'!$A:$A,0)),"")</f>
        <v/>
      </c>
      <c r="X449">
        <f>IFERROR(INDEX('2025_26'!$Q:$Q,MATCH($A449,'2025_26'!$A:$A,0)),"")</f>
        <v>8.5714285714285715E-2</v>
      </c>
      <c r="Y449" t="str">
        <f>IFERROR(INDEX('2023_24'!$M:$M,MATCH($A449,'2023_24'!$A:$A,0))/INDEX('2023_24'!$G:$G,MATCH($A449,'2023_24'!$A:$A,0))*90,"")</f>
        <v/>
      </c>
      <c r="Z449" t="str">
        <f>IFERROR(INDEX('2024_25'!$M:$M,MATCH($A449,'2024_25'!$A:$A,0))/INDEX('2024_25'!$G:$G,MATCH($A449,'2024_25'!$A:$A,0))*90,"")</f>
        <v/>
      </c>
      <c r="AA449">
        <f>IFERROR(INDEX('2025_26'!$M:$M,MATCH($A449,'2025_26'!$A:$A,0))/INDEX('2025_26'!$G:$G,MATCH($A449,'2025_26'!$A:$A,0))*90,"")</f>
        <v>25.714285714285712</v>
      </c>
      <c r="AB449">
        <f>IFERROR(SUMPRODUCT(S449:U449,{0.2,0.3,0.5})/SUMPRODUCT(--(S449:U449&lt;&gt;""),{0.2,0.3,0.5}),"")</f>
        <v>1.5857142857142856</v>
      </c>
      <c r="AC449">
        <f>IFERROR(SUMPRODUCT(V449:X449,{0.2,0.3,0.5})/SUMPRODUCT(--(V449:X449&lt;&gt;""),{0.2,0.3,0.5}),"")</f>
        <v>8.5714285714285715E-2</v>
      </c>
      <c r="AD449">
        <f>IFERROR(SUMPRODUCT(Y449:AA449,{0.2,0.3,0.5})/SUMPRODUCT((Y449:AA449&lt;&gt;"")*{0.2,0.3,0.5}),O449)</f>
        <v>25.714285714285712</v>
      </c>
      <c r="AE449">
        <f t="shared" si="161"/>
        <v>1</v>
      </c>
      <c r="AF449" t="str">
        <f t="shared" si="162"/>
        <v/>
      </c>
      <c r="AG449">
        <f t="shared" si="163"/>
        <v>1.4852857142857141</v>
      </c>
      <c r="AH449">
        <f t="shared" si="164"/>
        <v>8.028571428571428E-2</v>
      </c>
      <c r="AI449" s="2">
        <f t="shared" si="165"/>
        <v>24.685714285714283</v>
      </c>
      <c r="AJ449">
        <f t="shared" si="166"/>
        <v>6.3333333333333339E-2</v>
      </c>
      <c r="AK449" t="str">
        <f t="shared" si="167"/>
        <v>NO</v>
      </c>
      <c r="AL449">
        <f t="shared" si="168"/>
        <v>0</v>
      </c>
      <c r="AM449">
        <f t="shared" si="169"/>
        <v>0</v>
      </c>
      <c r="AN449">
        <f t="shared" si="170"/>
        <v>0</v>
      </c>
      <c r="AO449">
        <f t="shared" si="171"/>
        <v>0</v>
      </c>
      <c r="AP449">
        <f t="array" ref="AP449">AL449*IF($C449="GKP",10,IF($C449="DEF",6,IF($C449="MID",5,4)))</f>
        <v>0</v>
      </c>
      <c r="AQ449">
        <f t="shared" si="172"/>
        <v>0</v>
      </c>
      <c r="AR449">
        <f t="shared" si="173"/>
        <v>0</v>
      </c>
      <c r="AS449" s="2">
        <f>IF($H449=0,0,Player_Analysis!$AM449*$H449/90)</f>
        <v>0</v>
      </c>
      <c r="AT449">
        <f t="shared" si="174"/>
        <v>0</v>
      </c>
      <c r="AU449" s="2">
        <f>0</f>
        <v>0</v>
      </c>
      <c r="AV449" s="2">
        <f>IF(INDEX(FPL_Raw_Data!K:K,MATCH(A449,FPL_Raw_Data!AA:AA,0))=0,"",INDEX(FPL_Raw_Data!P:P,MATCH(A449,FPL_Raw_Data!AA:AA,0))/INDEX(FPL_Raw_Data!K:K,MATCH(A449,FPL_Raw_Data!AA:AA,0))*90)</f>
        <v>0</v>
      </c>
      <c r="AW449" s="2">
        <f t="shared" si="175"/>
        <v>0</v>
      </c>
      <c r="AX449" s="2">
        <f>IFERROR(INDEX(TEAM_ANALYSIS!$H$2:$H$21,MATCH($B449,TEAM_ANALYSIS!$A$2:$A$21,0)),0)</f>
        <v>1.3333333333333333</v>
      </c>
      <c r="AY449" s="2">
        <f t="shared" si="176"/>
        <v>0</v>
      </c>
      <c r="AZ449" s="2">
        <f t="shared" si="177"/>
        <v>0</v>
      </c>
      <c r="BA449">
        <f t="shared" si="178"/>
        <v>0</v>
      </c>
      <c r="BB449">
        <f>IFERROR(Player_Analysis!$Y449,1)</f>
        <v>1.0903373702422146</v>
      </c>
      <c r="BC449">
        <f t="shared" si="179"/>
        <v>0</v>
      </c>
      <c r="BD449">
        <f t="shared" si="180"/>
        <v>0</v>
      </c>
      <c r="BE449">
        <f t="shared" si="181"/>
        <v>0</v>
      </c>
      <c r="BF449">
        <f t="shared" si="182"/>
        <v>253</v>
      </c>
      <c r="BG449">
        <f>IF($BE449="","",COUNTIFS($C$2:$C$596,$C449,$BE$2:$BE$596,"&gt;"&amp;$BE449)+COUNTIFS($C$2:$C449,$C449,$BE$2:$BE449,$BE449))</f>
        <v>227</v>
      </c>
    </row>
    <row r="450" spans="1:59" x14ac:dyDescent="0.25">
      <c r="A450" t="str">
        <f>Player_Analysis!A450</f>
        <v>Stefan Bajčetić Maquieira</v>
      </c>
      <c r="B450">
        <f>Player_Analysis!C450</f>
        <v>14</v>
      </c>
      <c r="C450" t="str">
        <f>Player_Analysis!B450</f>
        <v>MID</v>
      </c>
      <c r="D450" s="13">
        <f>Player_Analysis!E450</f>
        <v>5</v>
      </c>
      <c r="E450">
        <f>Player_Analysis!I450</f>
        <v>0</v>
      </c>
      <c r="F450" s="8">
        <f>Player_Analysis!Z450</f>
        <v>0</v>
      </c>
      <c r="G450" s="17">
        <f t="shared" ref="G450:G513" si="183">IF(E450=0,0,MIN(1,F450/(E450/90)))</f>
        <v>0</v>
      </c>
      <c r="H450">
        <f t="shared" ref="H450:H513" si="184">IF($E450=0,0,MIN(90,$G450*90))</f>
        <v>0</v>
      </c>
      <c r="I450" s="8">
        <f>Player_Analysis!AF450</f>
        <v>0</v>
      </c>
      <c r="J450" s="8">
        <f>Player_Analysis!AG450</f>
        <v>0</v>
      </c>
      <c r="K450">
        <f>Player_Analysis!O450</f>
        <v>0</v>
      </c>
      <c r="L450">
        <f>Player_Analysis!P450</f>
        <v>0</v>
      </c>
      <c r="M450" t="str">
        <f t="shared" ref="M450:M513" si="185">IF(E450=0,"",K450/E450*90)</f>
        <v/>
      </c>
      <c r="N450" t="str">
        <f t="shared" ref="N450:N513" si="186">IF(E450=0,"",L450/E450*90)</f>
        <v/>
      </c>
      <c r="O450" s="2" t="str">
        <f>IF(E450=0,"",Player_Analysis!L450/E450*90)</f>
        <v/>
      </c>
      <c r="P450" t="str">
        <f>IF(E450=0,"",Player_Analysis!Q450/E450*90)</f>
        <v/>
      </c>
      <c r="Q450" t="str">
        <f>IF(E450=0,"",(Player_Analysis!AD450/E450)*90)</f>
        <v/>
      </c>
      <c r="R450" t="str">
        <f>IF(E450=0,"",Player_Analysis!AA450/E450*90)</f>
        <v/>
      </c>
      <c r="S450" t="str">
        <f t="array" ref="S450">IFERROR(INDEX('2023_24'!$O:$O,MATCH($A450,'2023_24'!$A:$A,0)),"")</f>
        <v/>
      </c>
      <c r="T450">
        <f>IFERROR(INDEX('2024_25'!$P:$P,MATCH($A450,'2024_25'!$A:$A,0)),"")</f>
        <v>0</v>
      </c>
      <c r="U450">
        <f>IFERROR(INDEX('2025_26'!$P:$P,MATCH($A450,'2025_26'!$A:$A,0)),"")</f>
        <v>0</v>
      </c>
      <c r="V450" t="str">
        <f>IFERROR(INDEX('2023_24'!$P:$P,MATCH($A450,'2023_24'!$A:$A,0)),"")</f>
        <v/>
      </c>
      <c r="W450">
        <f>IFERROR(INDEX('2024_25'!$Q:$Q,MATCH($A450,'2024_25'!$A:$A,0)),"")</f>
        <v>0</v>
      </c>
      <c r="X450">
        <f>IFERROR(INDEX('2025_26'!$Q:$Q,MATCH($A450,'2025_26'!$A:$A,0)),"")</f>
        <v>0</v>
      </c>
      <c r="Y450" t="str">
        <f>IFERROR(INDEX('2023_24'!$M:$M,MATCH($A450,'2023_24'!$A:$A,0))/INDEX('2023_24'!$G:$G,MATCH($A450,'2023_24'!$A:$A,0))*90,"")</f>
        <v/>
      </c>
      <c r="Z450" t="str">
        <f>IFERROR(INDEX('2024_25'!$M:$M,MATCH($A450,'2024_25'!$A:$A,0))/INDEX('2024_25'!$G:$G,MATCH($A450,'2024_25'!$A:$A,0))*90,"")</f>
        <v/>
      </c>
      <c r="AA450" t="str">
        <f>IFERROR(INDEX('2025_26'!$M:$M,MATCH($A450,'2025_26'!$A:$A,0))/INDEX('2025_26'!$G:$G,MATCH($A450,'2025_26'!$A:$A,0))*90,"")</f>
        <v/>
      </c>
      <c r="AB450">
        <f>IFERROR(SUMPRODUCT(S450:U450,{0.2,0.3,0.5})/SUMPRODUCT(--(S450:U450&lt;&gt;""),{0.2,0.3,0.5}),"")</f>
        <v>0</v>
      </c>
      <c r="AC450">
        <f>IFERROR(SUMPRODUCT(V450:X450,{0.2,0.3,0.5})/SUMPRODUCT(--(V450:X450&lt;&gt;""),{0.2,0.3,0.5}),"")</f>
        <v>0</v>
      </c>
      <c r="AD450" t="str">
        <f>IFERROR(SUMPRODUCT(Y450:AA450,{0.2,0.3,0.5})/SUMPRODUCT((Y450:AA450&lt;&gt;"")*{0.2,0.3,0.5}),O450)</f>
        <v/>
      </c>
      <c r="AE450">
        <f t="shared" ref="AE450:AE513" si="187">COUNT(S450:U450)</f>
        <v>2</v>
      </c>
      <c r="AF450" t="str">
        <f t="shared" ref="AF450:AF513" si="188">IF(F450=0,"",E450/F450)</f>
        <v/>
      </c>
      <c r="AG450">
        <f t="shared" ref="AG450:AG513" si="189">IF(AND(M450="",AB450=""),0,IF(M450="",AB450,IF(AB450="",M450,M450*AJ450+AB450*(1-AJ450))))</f>
        <v>0</v>
      </c>
      <c r="AH450">
        <f t="shared" ref="AH450:AH513" si="190">IF(AND(N450="",AC450=""),0,IF(N450="",AC450,IF(AC450="",N450,N450*AJ450+AC450*(1-AJ450))))</f>
        <v>0</v>
      </c>
      <c r="AI450" s="2">
        <f t="shared" ref="AI450:AI513" si="191">IF(AND(O450="",AD450=""),0,IF(O450="",AD450,IF(AD450="",O450,O450*AJ450+AD450*(1-AJ450))))</f>
        <v>0</v>
      </c>
      <c r="AJ450">
        <f t="shared" ref="AJ450:AJ513" si="192">IF($E450=0,0,MIN(0.9,$E450/300))</f>
        <v>0</v>
      </c>
      <c r="AK450" t="str">
        <f t="shared" ref="AK450:AK513" si="193">IF(AE450=0,"YES","NO")</f>
        <v>NO</v>
      </c>
      <c r="AL450">
        <f t="shared" ref="AL450:AL513" si="194">IF($H450=0,0,$AG450*$H450/90)</f>
        <v>0</v>
      </c>
      <c r="AM450">
        <f t="shared" ref="AM450:AM513" si="195">IF($H450=0,0,$AH450*$H450/90)</f>
        <v>0</v>
      </c>
      <c r="AN450">
        <f t="shared" ref="AN450:AN513" si="196">AL450</f>
        <v>0</v>
      </c>
      <c r="AO450">
        <f t="shared" ref="AO450:AO513" si="197">AM450</f>
        <v>0</v>
      </c>
      <c r="AP450">
        <f t="array" ref="AP450">AL450*IF($C450="GKP",10,IF($C450="DEF",6,IF($C450="MID",5,4)))</f>
        <v>0</v>
      </c>
      <c r="AQ450">
        <f t="shared" ref="AQ450:AQ513" si="198">AM450*3</f>
        <v>0</v>
      </c>
      <c r="AR450">
        <f t="shared" ref="AR450:AR513" si="199">$G450*2</f>
        <v>0</v>
      </c>
      <c r="AS450" s="2">
        <f>IF($H450=0,0,Player_Analysis!$AM450*$H450/90)</f>
        <v>0</v>
      </c>
      <c r="AT450">
        <f t="shared" ref="AT450:AT513" si="200">IF($H450=0,0,$R450*$H450/90*2/IF(OR($C450="GKP",$C450="DEF"),10,12))</f>
        <v>0</v>
      </c>
      <c r="AU450" s="2">
        <f>0</f>
        <v>0</v>
      </c>
      <c r="AV450" s="2" t="str">
        <f>IF(INDEX(FPL_Raw_Data!K:K,MATCH(A450,FPL_Raw_Data!AA:AA,0))=0,"",INDEX(FPL_Raw_Data!P:P,MATCH(A450,FPL_Raw_Data!AA:AA,0))/INDEX(FPL_Raw_Data!K:K,MATCH(A450,FPL_Raw_Data!AA:AA,0))*90)</f>
        <v/>
      </c>
      <c r="AW450" s="2">
        <f t="shared" ref="AW450:AW513" si="201">IF(AV450="",0,AV450/3)</f>
        <v>0</v>
      </c>
      <c r="AX450" s="2">
        <f>IFERROR(INDEX(TEAM_ANALYSIS!$H$2:$H$21,MATCH($B450,TEAM_ANALYSIS!$A$2:$A$21,0)),0)</f>
        <v>1.3333333333333333</v>
      </c>
      <c r="AY450" s="2">
        <f t="shared" ref="AY450:AY513" si="202">IF(OR($C450="GKP",$C450="DEF"),-($AX450/2),0)</f>
        <v>0</v>
      </c>
      <c r="AZ450" s="2">
        <f t="shared" ref="AZ450:AZ513" si="203">SUM(AP450:AU450)+AW450+AY450</f>
        <v>0</v>
      </c>
      <c r="BA450">
        <f t="shared" ref="BA450:BA513" si="204">IF($D450=0,0,$AZ450/$D450)</f>
        <v>0</v>
      </c>
      <c r="BB450">
        <f>IFERROR(Player_Analysis!$Y450,1)</f>
        <v>1.0903373702422146</v>
      </c>
      <c r="BC450">
        <f t="shared" ref="BC450:BC513" si="205">BB450*AZ450</f>
        <v>0</v>
      </c>
      <c r="BD450">
        <f t="shared" ref="BD450:BD513" si="206">BA450*BC450</f>
        <v>0</v>
      </c>
      <c r="BE450">
        <f t="shared" ref="BE450:BE513" si="207">BC450</f>
        <v>0</v>
      </c>
      <c r="BF450">
        <f t="shared" ref="BF450:BF513" si="208">IF($BE450="","",_xlfn.RANK.EQ($BE450,$BE$2:$BE$596,0))</f>
        <v>253</v>
      </c>
      <c r="BG450">
        <f>IF($BE450="","",COUNTIFS($C$2:$C$596,$C450,$BE$2:$BE$596,"&gt;"&amp;$BE450)+COUNTIFS($C$2:$C450,$C450,$BE$2:$BE450,$BE450))</f>
        <v>228</v>
      </c>
    </row>
    <row r="451" spans="1:59" x14ac:dyDescent="0.25">
      <c r="A451" t="str">
        <f>Player_Analysis!A451</f>
        <v>Victor Munoz</v>
      </c>
      <c r="B451">
        <f>Player_Analysis!C451</f>
        <v>14</v>
      </c>
      <c r="C451" t="str">
        <f>Player_Analysis!B451</f>
        <v>MID</v>
      </c>
      <c r="D451" s="13">
        <f>Player_Analysis!E451</f>
        <v>6.5</v>
      </c>
      <c r="E451">
        <f>Player_Analysis!I451</f>
        <v>180</v>
      </c>
      <c r="F451" s="8">
        <f>Player_Analysis!Z451</f>
        <v>2</v>
      </c>
      <c r="G451" s="17">
        <f t="shared" si="183"/>
        <v>1</v>
      </c>
      <c r="H451">
        <f t="shared" si="184"/>
        <v>90</v>
      </c>
      <c r="I451" s="8">
        <f>Player_Analysis!AF451</f>
        <v>1</v>
      </c>
      <c r="J451" s="8">
        <f>Player_Analysis!AG451</f>
        <v>1</v>
      </c>
      <c r="K451">
        <f>Player_Analysis!O451</f>
        <v>0.42</v>
      </c>
      <c r="L451">
        <f>Player_Analysis!P451</f>
        <v>0.25</v>
      </c>
      <c r="M451">
        <f t="shared" si="185"/>
        <v>0.20999999999999996</v>
      </c>
      <c r="N451">
        <f t="shared" si="186"/>
        <v>0.125</v>
      </c>
      <c r="O451" s="2">
        <f>IF(E451=0,"",Player_Analysis!L451/E451*90)</f>
        <v>6.4999999999999991</v>
      </c>
      <c r="P451">
        <f>IF(E451=0,"",Player_Analysis!Q451/E451*90)</f>
        <v>0.33500000000000002</v>
      </c>
      <c r="Q451">
        <f>IF(E451=0,"",(Player_Analysis!AD451/E451)*90)</f>
        <v>24</v>
      </c>
      <c r="R451">
        <f>IF(E451=0,"",Player_Analysis!AA451/E451*90)</f>
        <v>5.5</v>
      </c>
      <c r="S451" t="str">
        <f t="array" ref="S451">IFERROR(INDEX('2023_24'!$O:$O,MATCH($A451,'2023_24'!$A:$A,0)),"")</f>
        <v/>
      </c>
      <c r="T451" t="str">
        <f>IFERROR(INDEX('2024_25'!$P:$P,MATCH($A451,'2024_25'!$A:$A,0)),"")</f>
        <v/>
      </c>
      <c r="U451" t="str">
        <f>IFERROR(INDEX('2025_26'!$P:$P,MATCH($A451,'2025_26'!$A:$A,0)),"")</f>
        <v/>
      </c>
      <c r="V451" t="str">
        <f>IFERROR(INDEX('2023_24'!$P:$P,MATCH($A451,'2023_24'!$A:$A,0)),"")</f>
        <v/>
      </c>
      <c r="W451" t="str">
        <f>IFERROR(INDEX('2024_25'!$Q:$Q,MATCH($A451,'2024_25'!$A:$A,0)),"")</f>
        <v/>
      </c>
      <c r="X451" t="str">
        <f>IFERROR(INDEX('2025_26'!$Q:$Q,MATCH($A451,'2025_26'!$A:$A,0)),"")</f>
        <v/>
      </c>
      <c r="Y451" t="str">
        <f>IFERROR(INDEX('2023_24'!$M:$M,MATCH($A451,'2023_24'!$A:$A,0))/INDEX('2023_24'!$G:$G,MATCH($A451,'2023_24'!$A:$A,0))*90,"")</f>
        <v/>
      </c>
      <c r="Z451" t="str">
        <f>IFERROR(INDEX('2024_25'!$M:$M,MATCH($A451,'2024_25'!$A:$A,0))/INDEX('2024_25'!$G:$G,MATCH($A451,'2024_25'!$A:$A,0))*90,"")</f>
        <v/>
      </c>
      <c r="AA451" t="str">
        <f>IFERROR(INDEX('2025_26'!$M:$M,MATCH($A451,'2025_26'!$A:$A,0))/INDEX('2025_26'!$G:$G,MATCH($A451,'2025_26'!$A:$A,0))*90,"")</f>
        <v/>
      </c>
      <c r="AB451" t="str">
        <f>IFERROR(SUMPRODUCT(S451:U451,{0.2,0.3,0.5})/SUMPRODUCT(--(S451:U451&lt;&gt;""),{0.2,0.3,0.5}),"")</f>
        <v/>
      </c>
      <c r="AC451" t="str">
        <f>IFERROR(SUMPRODUCT(V451:X451,{0.2,0.3,0.5})/SUMPRODUCT(--(V451:X451&lt;&gt;""),{0.2,0.3,0.5}),"")</f>
        <v/>
      </c>
      <c r="AD451">
        <f>IFERROR(SUMPRODUCT(Y451:AA451,{0.2,0.3,0.5})/SUMPRODUCT((Y451:AA451&lt;&gt;"")*{0.2,0.3,0.5}),O451)</f>
        <v>6.4999999999999991</v>
      </c>
      <c r="AE451">
        <f t="shared" si="187"/>
        <v>0</v>
      </c>
      <c r="AF451">
        <f t="shared" si="188"/>
        <v>90</v>
      </c>
      <c r="AG451">
        <f t="shared" si="189"/>
        <v>0.20999999999999996</v>
      </c>
      <c r="AH451">
        <f t="shared" si="190"/>
        <v>0.125</v>
      </c>
      <c r="AI451" s="2">
        <f t="shared" si="191"/>
        <v>6.4999999999999991</v>
      </c>
      <c r="AJ451">
        <f t="shared" si="192"/>
        <v>0.6</v>
      </c>
      <c r="AK451" t="str">
        <f t="shared" si="193"/>
        <v>YES</v>
      </c>
      <c r="AL451">
        <f t="shared" si="194"/>
        <v>0.21</v>
      </c>
      <c r="AM451">
        <f t="shared" si="195"/>
        <v>0.125</v>
      </c>
      <c r="AN451">
        <f t="shared" si="196"/>
        <v>0.21</v>
      </c>
      <c r="AO451">
        <f t="shared" si="197"/>
        <v>0.125</v>
      </c>
      <c r="AP451">
        <f t="array" ref="AP451">AL451*IF($C451="GKP",10,IF($C451="DEF",6,IF($C451="MID",5,4)))</f>
        <v>1.05</v>
      </c>
      <c r="AQ451">
        <f t="shared" si="198"/>
        <v>0.375</v>
      </c>
      <c r="AR451">
        <f t="shared" si="199"/>
        <v>2</v>
      </c>
      <c r="AS451" s="2">
        <f>IF($H451=0,0,Player_Analysis!$AM451*$H451/90)</f>
        <v>0.5</v>
      </c>
      <c r="AT451">
        <f t="shared" si="200"/>
        <v>0.91666666666666663</v>
      </c>
      <c r="AU451" s="2">
        <f>0</f>
        <v>0</v>
      </c>
      <c r="AV451" s="2">
        <f>IF(INDEX(FPL_Raw_Data!K:K,MATCH(A451,FPL_Raw_Data!AA:AA,0))=0,"",INDEX(FPL_Raw_Data!P:P,MATCH(A451,FPL_Raw_Data!AA:AA,0))/INDEX(FPL_Raw_Data!K:K,MATCH(A451,FPL_Raw_Data!AA:AA,0))*90)</f>
        <v>0</v>
      </c>
      <c r="AW451" s="2">
        <f t="shared" si="201"/>
        <v>0</v>
      </c>
      <c r="AX451" s="2">
        <f>IFERROR(INDEX(TEAM_ANALYSIS!$H$2:$H$21,MATCH($B451,TEAM_ANALYSIS!$A$2:$A$21,0)),0)</f>
        <v>1.3333333333333333</v>
      </c>
      <c r="AY451" s="2">
        <f t="shared" si="202"/>
        <v>0</v>
      </c>
      <c r="AZ451" s="2">
        <f t="shared" si="203"/>
        <v>4.8416666666666668</v>
      </c>
      <c r="BA451">
        <f t="shared" si="204"/>
        <v>0.74487179487179489</v>
      </c>
      <c r="BB451">
        <f>IFERROR(Player_Analysis!$Y451,1)</f>
        <v>1.0903373702422146</v>
      </c>
      <c r="BC451">
        <f t="shared" si="205"/>
        <v>5.2790501009227224</v>
      </c>
      <c r="BD451">
        <f t="shared" si="206"/>
        <v>3.9322155238924381</v>
      </c>
      <c r="BE451">
        <f t="shared" si="207"/>
        <v>5.2790501009227224</v>
      </c>
      <c r="BF451">
        <f t="shared" si="208"/>
        <v>78</v>
      </c>
      <c r="BG451">
        <f>IF($BE451="","",COUNTIFS($C$2:$C$596,$C451,$BE$2:$BE$596,"&gt;"&amp;$BE451)+COUNTIFS($C$2:$C451,$C451,$BE$2:$BE451,$BE451))</f>
        <v>36</v>
      </c>
    </row>
    <row r="452" spans="1:59" x14ac:dyDescent="0.25">
      <c r="A452" t="str">
        <f>Player_Analysis!A452</f>
        <v>James McConnell</v>
      </c>
      <c r="B452">
        <f>Player_Analysis!C452</f>
        <v>14</v>
      </c>
      <c r="C452" t="str">
        <f>Player_Analysis!B452</f>
        <v>MID</v>
      </c>
      <c r="D452" s="13">
        <f>Player_Analysis!E452</f>
        <v>4.5</v>
      </c>
      <c r="E452">
        <f>Player_Analysis!I452</f>
        <v>0</v>
      </c>
      <c r="F452" s="8">
        <f>Player_Analysis!Z452</f>
        <v>0</v>
      </c>
      <c r="G452" s="17">
        <f t="shared" si="183"/>
        <v>0</v>
      </c>
      <c r="H452">
        <f t="shared" si="184"/>
        <v>0</v>
      </c>
      <c r="I452" s="8">
        <f>Player_Analysis!AF452</f>
        <v>0</v>
      </c>
      <c r="J452" s="8">
        <f>Player_Analysis!AG452</f>
        <v>0</v>
      </c>
      <c r="K452">
        <f>Player_Analysis!O452</f>
        <v>0</v>
      </c>
      <c r="L452">
        <f>Player_Analysis!P452</f>
        <v>0</v>
      </c>
      <c r="M452" t="str">
        <f t="shared" si="185"/>
        <v/>
      </c>
      <c r="N452" t="str">
        <f t="shared" si="186"/>
        <v/>
      </c>
      <c r="O452" s="2" t="str">
        <f>IF(E452=0,"",Player_Analysis!L452/E452*90)</f>
        <v/>
      </c>
      <c r="P452" t="str">
        <f>IF(E452=0,"",Player_Analysis!Q452/E452*90)</f>
        <v/>
      </c>
      <c r="Q452" t="str">
        <f>IF(E452=0,"",(Player_Analysis!AD452/E452)*90)</f>
        <v/>
      </c>
      <c r="R452" t="str">
        <f>IF(E452=0,"",Player_Analysis!AA452/E452*90)</f>
        <v/>
      </c>
      <c r="S452">
        <f t="array" ref="S452">IFERROR(INDEX('2023_24'!$O:$O,MATCH($A452,'2023_24'!$A:$A,0)),"")</f>
        <v>0</v>
      </c>
      <c r="T452">
        <f>IFERROR(INDEX('2024_25'!$P:$P,MATCH($A452,'2024_25'!$A:$A,0)),"")</f>
        <v>0</v>
      </c>
      <c r="U452">
        <f>IFERROR(INDEX('2025_26'!$P:$P,MATCH($A452,'2025_26'!$A:$A,0)),"")</f>
        <v>0</v>
      </c>
      <c r="V452">
        <f>IFERROR(INDEX('2023_24'!$P:$P,MATCH($A452,'2023_24'!$A:$A,0)),"")</f>
        <v>0</v>
      </c>
      <c r="W452">
        <f>IFERROR(INDEX('2024_25'!$Q:$Q,MATCH($A452,'2024_25'!$A:$A,0)),"")</f>
        <v>0</v>
      </c>
      <c r="X452">
        <f>IFERROR(INDEX('2025_26'!$Q:$Q,MATCH($A452,'2025_26'!$A:$A,0)),"")</f>
        <v>0</v>
      </c>
      <c r="Y452">
        <f>IFERROR(INDEX('2023_24'!$M:$M,MATCH($A452,'2023_24'!$A:$A,0))/INDEX('2023_24'!$G:$G,MATCH($A452,'2023_24'!$A:$A,0))*90,"")</f>
        <v>90</v>
      </c>
      <c r="Z452" t="str">
        <f>IFERROR(INDEX('2024_25'!$M:$M,MATCH($A452,'2024_25'!$A:$A,0))/INDEX('2024_25'!$G:$G,MATCH($A452,'2024_25'!$A:$A,0))*90,"")</f>
        <v/>
      </c>
      <c r="AA452" t="str">
        <f>IFERROR(INDEX('2025_26'!$M:$M,MATCH($A452,'2025_26'!$A:$A,0))/INDEX('2025_26'!$G:$G,MATCH($A452,'2025_26'!$A:$A,0))*90,"")</f>
        <v/>
      </c>
      <c r="AB452">
        <f>IFERROR(SUMPRODUCT(S452:U452,{0.2,0.3,0.5})/SUMPRODUCT(--(S452:U452&lt;&gt;""),{0.2,0.3,0.5}),"")</f>
        <v>0</v>
      </c>
      <c r="AC452">
        <f>IFERROR(SUMPRODUCT(V452:X452,{0.2,0.3,0.5})/SUMPRODUCT(--(V452:X452&lt;&gt;""),{0.2,0.3,0.5}),"")</f>
        <v>0</v>
      </c>
      <c r="AD452">
        <f>IFERROR(SUMPRODUCT(Y452:AA452,{0.2,0.3,0.5})/SUMPRODUCT((Y452:AA452&lt;&gt;"")*{0.2,0.3,0.5}),O452)</f>
        <v>90</v>
      </c>
      <c r="AE452">
        <f t="shared" si="187"/>
        <v>3</v>
      </c>
      <c r="AF452" t="str">
        <f t="shared" si="188"/>
        <v/>
      </c>
      <c r="AG452">
        <f t="shared" si="189"/>
        <v>0</v>
      </c>
      <c r="AH452">
        <f t="shared" si="190"/>
        <v>0</v>
      </c>
      <c r="AI452" s="2">
        <f t="shared" si="191"/>
        <v>90</v>
      </c>
      <c r="AJ452">
        <f t="shared" si="192"/>
        <v>0</v>
      </c>
      <c r="AK452" t="str">
        <f t="shared" si="193"/>
        <v>NO</v>
      </c>
      <c r="AL452">
        <f t="shared" si="194"/>
        <v>0</v>
      </c>
      <c r="AM452">
        <f t="shared" si="195"/>
        <v>0</v>
      </c>
      <c r="AN452">
        <f t="shared" si="196"/>
        <v>0</v>
      </c>
      <c r="AO452">
        <f t="shared" si="197"/>
        <v>0</v>
      </c>
      <c r="AP452">
        <f t="array" ref="AP452">AL452*IF($C452="GKP",10,IF($C452="DEF",6,IF($C452="MID",5,4)))</f>
        <v>0</v>
      </c>
      <c r="AQ452">
        <f t="shared" si="198"/>
        <v>0</v>
      </c>
      <c r="AR452">
        <f t="shared" si="199"/>
        <v>0</v>
      </c>
      <c r="AS452" s="2">
        <f>IF($H452=0,0,Player_Analysis!$AM452*$H452/90)</f>
        <v>0</v>
      </c>
      <c r="AT452">
        <f t="shared" si="200"/>
        <v>0</v>
      </c>
      <c r="AU452" s="2">
        <f>0</f>
        <v>0</v>
      </c>
      <c r="AV452" s="2" t="str">
        <f>IF(INDEX(FPL_Raw_Data!K:K,MATCH(A452,FPL_Raw_Data!AA:AA,0))=0,"",INDEX(FPL_Raw_Data!P:P,MATCH(A452,FPL_Raw_Data!AA:AA,0))/INDEX(FPL_Raw_Data!K:K,MATCH(A452,FPL_Raw_Data!AA:AA,0))*90)</f>
        <v/>
      </c>
      <c r="AW452" s="2">
        <f t="shared" si="201"/>
        <v>0</v>
      </c>
      <c r="AX452" s="2">
        <f>IFERROR(INDEX(TEAM_ANALYSIS!$H$2:$H$21,MATCH($B452,TEAM_ANALYSIS!$A$2:$A$21,0)),0)</f>
        <v>1.3333333333333333</v>
      </c>
      <c r="AY452" s="2">
        <f t="shared" si="202"/>
        <v>0</v>
      </c>
      <c r="AZ452" s="2">
        <f t="shared" si="203"/>
        <v>0</v>
      </c>
      <c r="BA452">
        <f t="shared" si="204"/>
        <v>0</v>
      </c>
      <c r="BB452">
        <f>IFERROR(Player_Analysis!$Y452,1)</f>
        <v>1.0903373702422146</v>
      </c>
      <c r="BC452">
        <f t="shared" si="205"/>
        <v>0</v>
      </c>
      <c r="BD452">
        <f t="shared" si="206"/>
        <v>0</v>
      </c>
      <c r="BE452">
        <f t="shared" si="207"/>
        <v>0</v>
      </c>
      <c r="BF452">
        <f t="shared" si="208"/>
        <v>253</v>
      </c>
      <c r="BG452">
        <f>IF($BE452="","",COUNTIFS($C$2:$C$596,$C452,$BE$2:$BE$596,"&gt;"&amp;$BE452)+COUNTIFS($C$2:$C452,$C452,$BE$2:$BE452,$BE452))</f>
        <v>229</v>
      </c>
    </row>
    <row r="453" spans="1:59" x14ac:dyDescent="0.25">
      <c r="A453" t="str">
        <f>Player_Analysis!A453</f>
        <v>Alexander Isak</v>
      </c>
      <c r="B453">
        <f>Player_Analysis!C453</f>
        <v>14</v>
      </c>
      <c r="C453" t="str">
        <f>Player_Analysis!B453</f>
        <v>FWD</v>
      </c>
      <c r="D453" s="13">
        <f>Player_Analysis!E453</f>
        <v>9</v>
      </c>
      <c r="E453">
        <f>Player_Analysis!I453</f>
        <v>243</v>
      </c>
      <c r="F453" s="8">
        <f>Player_Analysis!Z453</f>
        <v>3</v>
      </c>
      <c r="G453" s="17">
        <f t="shared" si="183"/>
        <v>1</v>
      </c>
      <c r="H453">
        <f t="shared" si="184"/>
        <v>90</v>
      </c>
      <c r="I453" s="8">
        <f>Player_Analysis!AF453</f>
        <v>3</v>
      </c>
      <c r="J453" s="8">
        <f>Player_Analysis!AG453</f>
        <v>0</v>
      </c>
      <c r="K453">
        <f>Player_Analysis!O453</f>
        <v>2.29</v>
      </c>
      <c r="L453">
        <f>Player_Analysis!P453</f>
        <v>0.06</v>
      </c>
      <c r="M453">
        <f t="shared" si="185"/>
        <v>0.84814814814814821</v>
      </c>
      <c r="N453">
        <f t="shared" si="186"/>
        <v>2.2222222222222223E-2</v>
      </c>
      <c r="O453" s="2">
        <f>IF(E453=0,"",Player_Analysis!L453/E453*90)</f>
        <v>8.518518518518519</v>
      </c>
      <c r="P453">
        <f>IF(E453=0,"",Player_Analysis!Q453/E453*90)</f>
        <v>0.87037037037037035</v>
      </c>
      <c r="Q453">
        <f>IF(E453=0,"",(Player_Analysis!AD453/E453)*90)</f>
        <v>35.925925925925924</v>
      </c>
      <c r="R453">
        <f>IF(E453=0,"",Player_Analysis!AA453/E453*90)</f>
        <v>1.8518518518518519</v>
      </c>
      <c r="S453">
        <f t="array" ref="S453">IFERROR(INDEX('2023_24'!$O:$O,MATCH($A453,'2023_24'!$A:$A,0)),"")</f>
        <v>0.80772303595206385</v>
      </c>
      <c r="T453">
        <f>IFERROR(INDEX('2024_25'!$P:$P,MATCH($A453,'2024_25'!$A:$A,0)),"")</f>
        <v>0.66341551849166058</v>
      </c>
      <c r="U453">
        <f>IFERROR(INDEX('2025_26'!$P:$P,MATCH($A453,'2025_26'!$A:$A,0)),"")</f>
        <v>0.33587896253602306</v>
      </c>
      <c r="V453">
        <f>IFERROR(INDEX('2023_24'!$P:$P,MATCH($A453,'2023_24'!$A:$A,0)),"")</f>
        <v>0.1070572569906791</v>
      </c>
      <c r="W453">
        <f>IFERROR(INDEX('2024_25'!$Q:$Q,MATCH($A453,'2024_25'!$A:$A,0)),"")</f>
        <v>0.11715010877447425</v>
      </c>
      <c r="X453">
        <f>IFERROR(INDEX('2025_26'!$Q:$Q,MATCH($A453,'2025_26'!$A:$A,0)),"")</f>
        <v>1.0374639769452449E-2</v>
      </c>
      <c r="Y453">
        <f>IFERROR(INDEX('2023_24'!$M:$M,MATCH($A453,'2023_24'!$A:$A,0))/INDEX('2023_24'!$G:$G,MATCH($A453,'2023_24'!$A:$A,0))*90,"")</f>
        <v>6.8708388814913448</v>
      </c>
      <c r="Z453">
        <f>IFERROR(INDEX('2024_25'!$M:$M,MATCH($A453,'2024_25'!$A:$A,0))/INDEX('2024_25'!$G:$G,MATCH($A453,'2024_25'!$A:$A,0))*90,"")</f>
        <v>6.8854242204496012</v>
      </c>
      <c r="AA453">
        <f>IFERROR(INDEX('2025_26'!$M:$M,MATCH($A453,'2025_26'!$A:$A,0))/INDEX('2025_26'!$G:$G,MATCH($A453,'2025_26'!$A:$A,0))*90,"")</f>
        <v>5.3170028818443802</v>
      </c>
      <c r="AB453">
        <f>IFERROR(SUMPRODUCT(S453:U453,{0.2,0.3,0.5})/SUMPRODUCT(--(S453:U453&lt;&gt;""),{0.2,0.3,0.5}),"")</f>
        <v>0.52850874400592252</v>
      </c>
      <c r="AC453">
        <f>IFERROR(SUMPRODUCT(V453:X453,{0.2,0.3,0.5})/SUMPRODUCT(--(V453:X453&lt;&gt;""),{0.2,0.3,0.5}),"")</f>
        <v>6.1743803915204322E-2</v>
      </c>
      <c r="AD453">
        <f>IFERROR(SUMPRODUCT(Y453:AA453,{0.2,0.3,0.5})/SUMPRODUCT((Y453:AA453&lt;&gt;"")*{0.2,0.3,0.5}),O453)</f>
        <v>6.0982964833553392</v>
      </c>
      <c r="AE453">
        <f t="shared" si="187"/>
        <v>3</v>
      </c>
      <c r="AF453">
        <f t="shared" si="188"/>
        <v>81</v>
      </c>
      <c r="AG453">
        <f t="shared" si="189"/>
        <v>0.78741666136112531</v>
      </c>
      <c r="AH453">
        <f t="shared" si="190"/>
        <v>2.973132274388882E-2</v>
      </c>
      <c r="AI453" s="2">
        <f t="shared" si="191"/>
        <v>8.0586763318375159</v>
      </c>
      <c r="AJ453">
        <f t="shared" si="192"/>
        <v>0.81</v>
      </c>
      <c r="AK453" t="str">
        <f t="shared" si="193"/>
        <v>NO</v>
      </c>
      <c r="AL453">
        <f t="shared" si="194"/>
        <v>0.78741666136112531</v>
      </c>
      <c r="AM453">
        <f t="shared" si="195"/>
        <v>2.973132274388882E-2</v>
      </c>
      <c r="AN453">
        <f t="shared" si="196"/>
        <v>0.78741666136112531</v>
      </c>
      <c r="AO453">
        <f t="shared" si="197"/>
        <v>2.973132274388882E-2</v>
      </c>
      <c r="AP453">
        <f t="array" ref="AP453">AL453*IF($C453="GKP",10,IF($C453="DEF",6,IF($C453="MID",5,4)))</f>
        <v>3.1496666454445013</v>
      </c>
      <c r="AQ453">
        <f t="shared" si="198"/>
        <v>8.9193968231666462E-2</v>
      </c>
      <c r="AR453">
        <f t="shared" si="199"/>
        <v>2</v>
      </c>
      <c r="AS453" s="2">
        <f>IF($H453=0,0,Player_Analysis!$AM453*$H453/90)</f>
        <v>0</v>
      </c>
      <c r="AT453">
        <f t="shared" si="200"/>
        <v>0.30864197530864196</v>
      </c>
      <c r="AU453" s="2">
        <f>0</f>
        <v>0</v>
      </c>
      <c r="AV453" s="2">
        <f>IF(INDEX(FPL_Raw_Data!K:K,MATCH(A453,FPL_Raw_Data!AA:AA,0))=0,"",INDEX(FPL_Raw_Data!P:P,MATCH(A453,FPL_Raw_Data!AA:AA,0))/INDEX(FPL_Raw_Data!K:K,MATCH(A453,FPL_Raw_Data!AA:AA,0))*90)</f>
        <v>0</v>
      </c>
      <c r="AW453" s="2">
        <f t="shared" si="201"/>
        <v>0</v>
      </c>
      <c r="AX453" s="2">
        <f>IFERROR(INDEX(TEAM_ANALYSIS!$H$2:$H$21,MATCH($B453,TEAM_ANALYSIS!$A$2:$A$21,0)),0)</f>
        <v>1.3333333333333333</v>
      </c>
      <c r="AY453" s="2">
        <f t="shared" si="202"/>
        <v>0</v>
      </c>
      <c r="AZ453" s="2">
        <f t="shared" si="203"/>
        <v>5.5475025889848091</v>
      </c>
      <c r="BA453">
        <f t="shared" si="204"/>
        <v>0.61638917655386771</v>
      </c>
      <c r="BB453">
        <f>IFERROR(Player_Analysis!$Y453,1)</f>
        <v>1.0903373702422146</v>
      </c>
      <c r="BC453">
        <f t="shared" si="205"/>
        <v>6.0486493842855733</v>
      </c>
      <c r="BD453">
        <f t="shared" si="206"/>
        <v>3.7283220132428436</v>
      </c>
      <c r="BE453">
        <f t="shared" si="207"/>
        <v>6.0486493842855733</v>
      </c>
      <c r="BF453">
        <f t="shared" si="208"/>
        <v>44</v>
      </c>
      <c r="BG453">
        <f>IF($BE453="","",COUNTIFS($C$2:$C$596,$C453,$BE$2:$BE$596,"&gt;"&amp;$BE453)+COUNTIFS($C$2:$C453,$C453,$BE$2:$BE453,$BE453))</f>
        <v>4</v>
      </c>
    </row>
    <row r="454" spans="1:59" x14ac:dyDescent="0.25">
      <c r="A454" t="str">
        <f>Player_Analysis!A454</f>
        <v>Hugo Ekitiké</v>
      </c>
      <c r="B454">
        <f>Player_Analysis!C454</f>
        <v>14</v>
      </c>
      <c r="C454" t="str">
        <f>Player_Analysis!B454</f>
        <v>FWD</v>
      </c>
      <c r="D454" s="13">
        <f>Player_Analysis!E454</f>
        <v>7.4</v>
      </c>
      <c r="E454">
        <f>Player_Analysis!I454</f>
        <v>0</v>
      </c>
      <c r="F454" s="8">
        <f>Player_Analysis!Z454</f>
        <v>0</v>
      </c>
      <c r="G454" s="17">
        <f t="shared" si="183"/>
        <v>0</v>
      </c>
      <c r="H454">
        <f t="shared" si="184"/>
        <v>0</v>
      </c>
      <c r="I454" s="8">
        <f>Player_Analysis!AF454</f>
        <v>0</v>
      </c>
      <c r="J454" s="8">
        <f>Player_Analysis!AG454</f>
        <v>0</v>
      </c>
      <c r="K454">
        <f>Player_Analysis!O454</f>
        <v>0</v>
      </c>
      <c r="L454">
        <f>Player_Analysis!P454</f>
        <v>0</v>
      </c>
      <c r="M454" t="str">
        <f t="shared" si="185"/>
        <v/>
      </c>
      <c r="N454" t="str">
        <f t="shared" si="186"/>
        <v/>
      </c>
      <c r="O454" s="2" t="str">
        <f>IF(E454=0,"",Player_Analysis!L454/E454*90)</f>
        <v/>
      </c>
      <c r="P454" t="str">
        <f>IF(E454=0,"",Player_Analysis!Q454/E454*90)</f>
        <v/>
      </c>
      <c r="Q454" t="str">
        <f>IF(E454=0,"",(Player_Analysis!AD454/E454)*90)</f>
        <v/>
      </c>
      <c r="R454" t="str">
        <f>IF(E454=0,"",Player_Analysis!AA454/E454*90)</f>
        <v/>
      </c>
      <c r="S454" t="str">
        <f t="array" ref="S454">IFERROR(INDEX('2023_24'!$O:$O,MATCH($A454,'2023_24'!$A:$A,0)),"")</f>
        <v/>
      </c>
      <c r="T454" t="str">
        <f>IFERROR(INDEX('2024_25'!$P:$P,MATCH($A454,'2024_25'!$A:$A,0)),"")</f>
        <v/>
      </c>
      <c r="U454">
        <f>IFERROR(INDEX('2025_26'!$P:$P,MATCH($A454,'2025_26'!$A:$A,0)),"")</f>
        <v>0.50584307178631049</v>
      </c>
      <c r="V454" t="str">
        <f>IFERROR(INDEX('2023_24'!$P:$P,MATCH($A454,'2023_24'!$A:$A,0)),"")</f>
        <v/>
      </c>
      <c r="W454" t="str">
        <f>IFERROR(INDEX('2024_25'!$Q:$Q,MATCH($A454,'2024_25'!$A:$A,0)),"")</f>
        <v/>
      </c>
      <c r="X454">
        <f>IFERROR(INDEX('2025_26'!$Q:$Q,MATCH($A454,'2025_26'!$A:$A,0)),"")</f>
        <v>0.12270450751252088</v>
      </c>
      <c r="Y454" t="str">
        <f>IFERROR(INDEX('2023_24'!$M:$M,MATCH($A454,'2023_24'!$A:$A,0))/INDEX('2023_24'!$G:$G,MATCH($A454,'2023_24'!$A:$A,0))*90,"")</f>
        <v/>
      </c>
      <c r="Z454" t="str">
        <f>IFERROR(INDEX('2024_25'!$M:$M,MATCH($A454,'2024_25'!$A:$A,0))/INDEX('2024_25'!$G:$G,MATCH($A454,'2024_25'!$A:$A,0))*90,"")</f>
        <v/>
      </c>
      <c r="AA454">
        <f>IFERROR(INDEX('2025_26'!$M:$M,MATCH($A454,'2025_26'!$A:$A,0))/INDEX('2025_26'!$G:$G,MATCH($A454,'2025_26'!$A:$A,0))*90,"")</f>
        <v>6.2604340567612686</v>
      </c>
      <c r="AB454">
        <f>IFERROR(SUMPRODUCT(S454:U454,{0.2,0.3,0.5})/SUMPRODUCT(--(S454:U454&lt;&gt;""),{0.2,0.3,0.5}),"")</f>
        <v>0.50584307178631049</v>
      </c>
      <c r="AC454">
        <f>IFERROR(SUMPRODUCT(V454:X454,{0.2,0.3,0.5})/SUMPRODUCT(--(V454:X454&lt;&gt;""),{0.2,0.3,0.5}),"")</f>
        <v>0.12270450751252088</v>
      </c>
      <c r="AD454">
        <f>IFERROR(SUMPRODUCT(Y454:AA454,{0.2,0.3,0.5})/SUMPRODUCT((Y454:AA454&lt;&gt;"")*{0.2,0.3,0.5}),O454)</f>
        <v>6.2604340567612686</v>
      </c>
      <c r="AE454">
        <f t="shared" si="187"/>
        <v>1</v>
      </c>
      <c r="AF454" t="str">
        <f t="shared" si="188"/>
        <v/>
      </c>
      <c r="AG454">
        <f t="shared" si="189"/>
        <v>0.50584307178631049</v>
      </c>
      <c r="AH454">
        <f t="shared" si="190"/>
        <v>0.12270450751252088</v>
      </c>
      <c r="AI454" s="2">
        <f t="shared" si="191"/>
        <v>6.2604340567612686</v>
      </c>
      <c r="AJ454">
        <f t="shared" si="192"/>
        <v>0</v>
      </c>
      <c r="AK454" t="str">
        <f t="shared" si="193"/>
        <v>NO</v>
      </c>
      <c r="AL454">
        <f t="shared" si="194"/>
        <v>0</v>
      </c>
      <c r="AM454">
        <f t="shared" si="195"/>
        <v>0</v>
      </c>
      <c r="AN454">
        <f t="shared" si="196"/>
        <v>0</v>
      </c>
      <c r="AO454">
        <f t="shared" si="197"/>
        <v>0</v>
      </c>
      <c r="AP454">
        <f t="array" ref="AP454">AL454*IF($C454="GKP",10,IF($C454="DEF",6,IF($C454="MID",5,4)))</f>
        <v>0</v>
      </c>
      <c r="AQ454">
        <f t="shared" si="198"/>
        <v>0</v>
      </c>
      <c r="AR454">
        <f t="shared" si="199"/>
        <v>0</v>
      </c>
      <c r="AS454" s="2">
        <f>IF($H454=0,0,Player_Analysis!$AM454*$H454/90)</f>
        <v>0</v>
      </c>
      <c r="AT454">
        <f t="shared" si="200"/>
        <v>0</v>
      </c>
      <c r="AU454" s="2">
        <f>0</f>
        <v>0</v>
      </c>
      <c r="AV454" s="2" t="str">
        <f>IF(INDEX(FPL_Raw_Data!K:K,MATCH(A454,FPL_Raw_Data!AA:AA,0))=0,"",INDEX(FPL_Raw_Data!P:P,MATCH(A454,FPL_Raw_Data!AA:AA,0))/INDEX(FPL_Raw_Data!K:K,MATCH(A454,FPL_Raw_Data!AA:AA,0))*90)</f>
        <v/>
      </c>
      <c r="AW454" s="2">
        <f t="shared" si="201"/>
        <v>0</v>
      </c>
      <c r="AX454" s="2">
        <f>IFERROR(INDEX(TEAM_ANALYSIS!$H$2:$H$21,MATCH($B454,TEAM_ANALYSIS!$A$2:$A$21,0)),0)</f>
        <v>1.3333333333333333</v>
      </c>
      <c r="AY454" s="2">
        <f t="shared" si="202"/>
        <v>0</v>
      </c>
      <c r="AZ454" s="2">
        <f t="shared" si="203"/>
        <v>0</v>
      </c>
      <c r="BA454">
        <f t="shared" si="204"/>
        <v>0</v>
      </c>
      <c r="BB454">
        <f>IFERROR(Player_Analysis!$Y454,1)</f>
        <v>1.0903373702422146</v>
      </c>
      <c r="BC454">
        <f t="shared" si="205"/>
        <v>0</v>
      </c>
      <c r="BD454">
        <f t="shared" si="206"/>
        <v>0</v>
      </c>
      <c r="BE454">
        <f t="shared" si="207"/>
        <v>0</v>
      </c>
      <c r="BF454">
        <f t="shared" si="208"/>
        <v>253</v>
      </c>
      <c r="BG454">
        <f>IF($BE454="","",COUNTIFS($C$2:$C$596,$C454,$BE$2:$BE$596,"&gt;"&amp;$BE454)+COUNTIFS($C$2:$C454,$C454,$BE$2:$BE454,$BE454))</f>
        <v>63</v>
      </c>
    </row>
    <row r="455" spans="1:59" x14ac:dyDescent="0.25">
      <c r="A455" t="str">
        <f>Player_Analysis!A455</f>
        <v>Lewis Koumas</v>
      </c>
      <c r="B455">
        <f>Player_Analysis!C455</f>
        <v>14</v>
      </c>
      <c r="C455" t="str">
        <f>Player_Analysis!B455</f>
        <v>MID</v>
      </c>
      <c r="D455" s="13">
        <f>Player_Analysis!E455</f>
        <v>5</v>
      </c>
      <c r="E455">
        <f>Player_Analysis!I455</f>
        <v>13</v>
      </c>
      <c r="F455" s="8">
        <f>Player_Analysis!Z455</f>
        <v>0</v>
      </c>
      <c r="G455" s="17">
        <f t="shared" si="183"/>
        <v>0</v>
      </c>
      <c r="H455">
        <f t="shared" si="184"/>
        <v>0</v>
      </c>
      <c r="I455" s="8">
        <f>Player_Analysis!AF455</f>
        <v>0</v>
      </c>
      <c r="J455" s="8">
        <f>Player_Analysis!AG455</f>
        <v>0</v>
      </c>
      <c r="K455">
        <f>Player_Analysis!O455</f>
        <v>0.03</v>
      </c>
      <c r="L455">
        <f>Player_Analysis!P455</f>
        <v>0</v>
      </c>
      <c r="M455">
        <f t="shared" si="185"/>
        <v>0.20769230769230768</v>
      </c>
      <c r="N455">
        <f t="shared" si="186"/>
        <v>0</v>
      </c>
      <c r="O455" s="2">
        <f>IF(E455=0,"",Player_Analysis!L455/E455*90)</f>
        <v>13.846153846153847</v>
      </c>
      <c r="P455">
        <f>IF(E455=0,"",Player_Analysis!Q455/E455*90)</f>
        <v>0.20769230769230768</v>
      </c>
      <c r="Q455">
        <f>IF(E455=0,"",(Player_Analysis!AD455/E455)*90)</f>
        <v>48.46153846153846</v>
      </c>
      <c r="R455">
        <f>IF(E455=0,"",Player_Analysis!AA455/E455*90)</f>
        <v>6.9230769230769234</v>
      </c>
      <c r="S455">
        <f t="array" ref="S455">IFERROR(INDEX('2023_24'!$O:$O,MATCH($A455,'2023_24'!$A:$A,0)),"")</f>
        <v>0</v>
      </c>
      <c r="T455" t="str">
        <f>IFERROR(INDEX('2024_25'!$P:$P,MATCH($A455,'2024_25'!$A:$A,0)),"")</f>
        <v/>
      </c>
      <c r="U455" t="str">
        <f>IFERROR(INDEX('2025_26'!$P:$P,MATCH($A455,'2025_26'!$A:$A,0)),"")</f>
        <v/>
      </c>
      <c r="V455">
        <f>IFERROR(INDEX('2023_24'!$P:$P,MATCH($A455,'2023_24'!$A:$A,0)),"")</f>
        <v>0</v>
      </c>
      <c r="W455" t="str">
        <f>IFERROR(INDEX('2024_25'!$Q:$Q,MATCH($A455,'2024_25'!$A:$A,0)),"")</f>
        <v/>
      </c>
      <c r="X455" t="str">
        <f>IFERROR(INDEX('2025_26'!$Q:$Q,MATCH($A455,'2025_26'!$A:$A,0)),"")</f>
        <v/>
      </c>
      <c r="Y455" t="str">
        <f>IFERROR(INDEX('2023_24'!$M:$M,MATCH($A455,'2023_24'!$A:$A,0))/INDEX('2023_24'!$G:$G,MATCH($A455,'2023_24'!$A:$A,0))*90,"")</f>
        <v/>
      </c>
      <c r="Z455" t="str">
        <f>IFERROR(INDEX('2024_25'!$M:$M,MATCH($A455,'2024_25'!$A:$A,0))/INDEX('2024_25'!$G:$G,MATCH($A455,'2024_25'!$A:$A,0))*90,"")</f>
        <v/>
      </c>
      <c r="AA455" t="str">
        <f>IFERROR(INDEX('2025_26'!$M:$M,MATCH($A455,'2025_26'!$A:$A,0))/INDEX('2025_26'!$G:$G,MATCH($A455,'2025_26'!$A:$A,0))*90,"")</f>
        <v/>
      </c>
      <c r="AB455">
        <f>IFERROR(SUMPRODUCT(S455:U455,{0.2,0.3,0.5})/SUMPRODUCT(--(S455:U455&lt;&gt;""),{0.2,0.3,0.5}),"")</f>
        <v>0</v>
      </c>
      <c r="AC455">
        <f>IFERROR(SUMPRODUCT(V455:X455,{0.2,0.3,0.5})/SUMPRODUCT(--(V455:X455&lt;&gt;""),{0.2,0.3,0.5}),"")</f>
        <v>0</v>
      </c>
      <c r="AD455">
        <f>IFERROR(SUMPRODUCT(Y455:AA455,{0.2,0.3,0.5})/SUMPRODUCT((Y455:AA455&lt;&gt;"")*{0.2,0.3,0.5}),O455)</f>
        <v>13.846153846153847</v>
      </c>
      <c r="AE455">
        <f t="shared" si="187"/>
        <v>1</v>
      </c>
      <c r="AF455" t="str">
        <f t="shared" si="188"/>
        <v/>
      </c>
      <c r="AG455">
        <f t="shared" si="189"/>
        <v>8.9999999999999993E-3</v>
      </c>
      <c r="AH455">
        <f t="shared" si="190"/>
        <v>0</v>
      </c>
      <c r="AI455" s="2">
        <f t="shared" si="191"/>
        <v>13.846153846153847</v>
      </c>
      <c r="AJ455">
        <f t="shared" si="192"/>
        <v>4.3333333333333335E-2</v>
      </c>
      <c r="AK455" t="str">
        <f t="shared" si="193"/>
        <v>NO</v>
      </c>
      <c r="AL455">
        <f t="shared" si="194"/>
        <v>0</v>
      </c>
      <c r="AM455">
        <f t="shared" si="195"/>
        <v>0</v>
      </c>
      <c r="AN455">
        <f t="shared" si="196"/>
        <v>0</v>
      </c>
      <c r="AO455">
        <f t="shared" si="197"/>
        <v>0</v>
      </c>
      <c r="AP455">
        <f t="array" ref="AP455">AL455*IF($C455="GKP",10,IF($C455="DEF",6,IF($C455="MID",5,4)))</f>
        <v>0</v>
      </c>
      <c r="AQ455">
        <f t="shared" si="198"/>
        <v>0</v>
      </c>
      <c r="AR455">
        <f t="shared" si="199"/>
        <v>0</v>
      </c>
      <c r="AS455" s="2">
        <f>IF($H455=0,0,Player_Analysis!$AM455*$H455/90)</f>
        <v>0</v>
      </c>
      <c r="AT455">
        <f t="shared" si="200"/>
        <v>0</v>
      </c>
      <c r="AU455" s="2">
        <f>0</f>
        <v>0</v>
      </c>
      <c r="AV455" s="2">
        <f>IF(INDEX(FPL_Raw_Data!K:K,MATCH(A455,FPL_Raw_Data!AA:AA,0))=0,"",INDEX(FPL_Raw_Data!P:P,MATCH(A455,FPL_Raw_Data!AA:AA,0))/INDEX(FPL_Raw_Data!K:K,MATCH(A455,FPL_Raw_Data!AA:AA,0))*90)</f>
        <v>0</v>
      </c>
      <c r="AW455" s="2">
        <f t="shared" si="201"/>
        <v>0</v>
      </c>
      <c r="AX455" s="2">
        <f>IFERROR(INDEX(TEAM_ANALYSIS!$H$2:$H$21,MATCH($B455,TEAM_ANALYSIS!$A$2:$A$21,0)),0)</f>
        <v>1.3333333333333333</v>
      </c>
      <c r="AY455" s="2">
        <f t="shared" si="202"/>
        <v>0</v>
      </c>
      <c r="AZ455" s="2">
        <f t="shared" si="203"/>
        <v>0</v>
      </c>
      <c r="BA455">
        <f t="shared" si="204"/>
        <v>0</v>
      </c>
      <c r="BB455">
        <f>IFERROR(Player_Analysis!$Y455,1)</f>
        <v>1.0903373702422146</v>
      </c>
      <c r="BC455">
        <f t="shared" si="205"/>
        <v>0</v>
      </c>
      <c r="BD455">
        <f t="shared" si="206"/>
        <v>0</v>
      </c>
      <c r="BE455">
        <f t="shared" si="207"/>
        <v>0</v>
      </c>
      <c r="BF455">
        <f t="shared" si="208"/>
        <v>253</v>
      </c>
      <c r="BG455">
        <f>IF($BE455="","",COUNTIFS($C$2:$C$596,$C455,$BE$2:$BE$596,"&gt;"&amp;$BE455)+COUNTIFS($C$2:$C455,$C455,$BE$2:$BE455,$BE455))</f>
        <v>230</v>
      </c>
    </row>
    <row r="456" spans="1:59" x14ac:dyDescent="0.25">
      <c r="A456" t="str">
        <f>Player_Analysis!A456</f>
        <v>Jayden Danns</v>
      </c>
      <c r="B456">
        <f>Player_Analysis!C456</f>
        <v>14</v>
      </c>
      <c r="C456" t="str">
        <f>Player_Analysis!B456</f>
        <v>FWD</v>
      </c>
      <c r="D456" s="13">
        <f>Player_Analysis!E456</f>
        <v>4.5</v>
      </c>
      <c r="E456">
        <f>Player_Analysis!I456</f>
        <v>0</v>
      </c>
      <c r="F456" s="8">
        <f>Player_Analysis!Z456</f>
        <v>0</v>
      </c>
      <c r="G456" s="17">
        <f t="shared" si="183"/>
        <v>0</v>
      </c>
      <c r="H456">
        <f t="shared" si="184"/>
        <v>0</v>
      </c>
      <c r="I456" s="8">
        <f>Player_Analysis!AF456</f>
        <v>0</v>
      </c>
      <c r="J456" s="8">
        <f>Player_Analysis!AG456</f>
        <v>0</v>
      </c>
      <c r="K456">
        <f>Player_Analysis!O456</f>
        <v>0</v>
      </c>
      <c r="L456">
        <f>Player_Analysis!P456</f>
        <v>0</v>
      </c>
      <c r="M456" t="str">
        <f t="shared" si="185"/>
        <v/>
      </c>
      <c r="N456" t="str">
        <f t="shared" si="186"/>
        <v/>
      </c>
      <c r="O456" s="2" t="str">
        <f>IF(E456=0,"",Player_Analysis!L456/E456*90)</f>
        <v/>
      </c>
      <c r="P456" t="str">
        <f>IF(E456=0,"",Player_Analysis!Q456/E456*90)</f>
        <v/>
      </c>
      <c r="Q456" t="str">
        <f>IF(E456=0,"",(Player_Analysis!AD456/E456)*90)</f>
        <v/>
      </c>
      <c r="R456" t="str">
        <f>IF(E456=0,"",Player_Analysis!AA456/E456*90)</f>
        <v/>
      </c>
      <c r="S456">
        <f t="array" ref="S456">IFERROR(INDEX('2023_24'!$O:$O,MATCH($A456,'2023_24'!$A:$A,0)),"")</f>
        <v>0</v>
      </c>
      <c r="T456">
        <f>IFERROR(INDEX('2024_25'!$P:$P,MATCH($A456,'2024_25'!$A:$A,0)),"")</f>
        <v>0</v>
      </c>
      <c r="U456">
        <f>IFERROR(INDEX('2025_26'!$P:$P,MATCH($A456,'2025_26'!$A:$A,0)),"")</f>
        <v>0</v>
      </c>
      <c r="V456">
        <f>IFERROR(INDEX('2023_24'!$P:$P,MATCH($A456,'2023_24'!$A:$A,0)),"")</f>
        <v>0.12857142857142856</v>
      </c>
      <c r="W456">
        <f>IFERROR(INDEX('2024_25'!$Q:$Q,MATCH($A456,'2024_25'!$A:$A,0)),"")</f>
        <v>0.09</v>
      </c>
      <c r="X456">
        <f>IFERROR(INDEX('2025_26'!$Q:$Q,MATCH($A456,'2025_26'!$A:$A,0)),"")</f>
        <v>0</v>
      </c>
      <c r="Y456">
        <f>IFERROR(INDEX('2023_24'!$M:$M,MATCH($A456,'2023_24'!$A:$A,0))/INDEX('2023_24'!$G:$G,MATCH($A456,'2023_24'!$A:$A,0))*90,"")</f>
        <v>12.857142857142856</v>
      </c>
      <c r="Z456">
        <f>IFERROR(INDEX('2024_25'!$M:$M,MATCH($A456,'2024_25'!$A:$A,0))/INDEX('2024_25'!$G:$G,MATCH($A456,'2024_25'!$A:$A,0))*90,"")</f>
        <v>9</v>
      </c>
      <c r="AA456" t="str">
        <f>IFERROR(INDEX('2025_26'!$M:$M,MATCH($A456,'2025_26'!$A:$A,0))/INDEX('2025_26'!$G:$G,MATCH($A456,'2025_26'!$A:$A,0))*90,"")</f>
        <v/>
      </c>
      <c r="AB456">
        <f>IFERROR(SUMPRODUCT(S456:U456,{0.2,0.3,0.5})/SUMPRODUCT(--(S456:U456&lt;&gt;""),{0.2,0.3,0.5}),"")</f>
        <v>0</v>
      </c>
      <c r="AC456">
        <f>IFERROR(SUMPRODUCT(V456:X456,{0.2,0.3,0.5})/SUMPRODUCT(--(V456:X456&lt;&gt;""),{0.2,0.3,0.5}),"")</f>
        <v>5.2714285714285714E-2</v>
      </c>
      <c r="AD456">
        <f>IFERROR(SUMPRODUCT(Y456:AA456,{0.2,0.3,0.5})/SUMPRODUCT((Y456:AA456&lt;&gt;"")*{0.2,0.3,0.5}),O456)</f>
        <v>10.542857142857141</v>
      </c>
      <c r="AE456">
        <f t="shared" si="187"/>
        <v>3</v>
      </c>
      <c r="AF456" t="str">
        <f t="shared" si="188"/>
        <v/>
      </c>
      <c r="AG456">
        <f t="shared" si="189"/>
        <v>0</v>
      </c>
      <c r="AH456">
        <f t="shared" si="190"/>
        <v>5.2714285714285714E-2</v>
      </c>
      <c r="AI456" s="2">
        <f t="shared" si="191"/>
        <v>10.542857142857141</v>
      </c>
      <c r="AJ456">
        <f t="shared" si="192"/>
        <v>0</v>
      </c>
      <c r="AK456" t="str">
        <f t="shared" si="193"/>
        <v>NO</v>
      </c>
      <c r="AL456">
        <f t="shared" si="194"/>
        <v>0</v>
      </c>
      <c r="AM456">
        <f t="shared" si="195"/>
        <v>0</v>
      </c>
      <c r="AN456">
        <f t="shared" si="196"/>
        <v>0</v>
      </c>
      <c r="AO456">
        <f t="shared" si="197"/>
        <v>0</v>
      </c>
      <c r="AP456">
        <f t="array" ref="AP456">AL456*IF($C456="GKP",10,IF($C456="DEF",6,IF($C456="MID",5,4)))</f>
        <v>0</v>
      </c>
      <c r="AQ456">
        <f t="shared" si="198"/>
        <v>0</v>
      </c>
      <c r="AR456">
        <f t="shared" si="199"/>
        <v>0</v>
      </c>
      <c r="AS456" s="2">
        <f>IF($H456=0,0,Player_Analysis!$AM456*$H456/90)</f>
        <v>0</v>
      </c>
      <c r="AT456">
        <f t="shared" si="200"/>
        <v>0</v>
      </c>
      <c r="AU456" s="2">
        <f>0</f>
        <v>0</v>
      </c>
      <c r="AV456" s="2" t="str">
        <f>IF(INDEX(FPL_Raw_Data!K:K,MATCH(A456,FPL_Raw_Data!AA:AA,0))=0,"",INDEX(FPL_Raw_Data!P:P,MATCH(A456,FPL_Raw_Data!AA:AA,0))/INDEX(FPL_Raw_Data!K:K,MATCH(A456,FPL_Raw_Data!AA:AA,0))*90)</f>
        <v/>
      </c>
      <c r="AW456" s="2">
        <f t="shared" si="201"/>
        <v>0</v>
      </c>
      <c r="AX456" s="2">
        <f>IFERROR(INDEX(TEAM_ANALYSIS!$H$2:$H$21,MATCH($B456,TEAM_ANALYSIS!$A$2:$A$21,0)),0)</f>
        <v>1.3333333333333333</v>
      </c>
      <c r="AY456" s="2">
        <f t="shared" si="202"/>
        <v>0</v>
      </c>
      <c r="AZ456" s="2">
        <f t="shared" si="203"/>
        <v>0</v>
      </c>
      <c r="BA456">
        <f t="shared" si="204"/>
        <v>0</v>
      </c>
      <c r="BB456">
        <f>IFERROR(Player_Analysis!$Y456,1)</f>
        <v>1.0903373702422146</v>
      </c>
      <c r="BC456">
        <f t="shared" si="205"/>
        <v>0</v>
      </c>
      <c r="BD456">
        <f t="shared" si="206"/>
        <v>0</v>
      </c>
      <c r="BE456">
        <f t="shared" si="207"/>
        <v>0</v>
      </c>
      <c r="BF456">
        <f t="shared" si="208"/>
        <v>253</v>
      </c>
      <c r="BG456">
        <f>IF($BE456="","",COUNTIFS($C$2:$C$596,$C456,$BE$2:$BE$596,"&gt;"&amp;$BE456)+COUNTIFS($C$2:$C456,$C456,$BE$2:$BE456,$BE456))</f>
        <v>64</v>
      </c>
    </row>
    <row r="457" spans="1:59" x14ac:dyDescent="0.25">
      <c r="A457" t="str">
        <f>Player_Analysis!A457</f>
        <v>Harvey Elliott</v>
      </c>
      <c r="B457">
        <f>Player_Analysis!C457</f>
        <v>14</v>
      </c>
      <c r="C457" t="str">
        <f>Player_Analysis!B457</f>
        <v>MID</v>
      </c>
      <c r="D457" s="13">
        <f>Player_Analysis!E457</f>
        <v>5.4</v>
      </c>
      <c r="E457">
        <f>Player_Analysis!I457</f>
        <v>0</v>
      </c>
      <c r="F457" s="8">
        <f>Player_Analysis!Z457</f>
        <v>0</v>
      </c>
      <c r="G457" s="17">
        <f t="shared" si="183"/>
        <v>0</v>
      </c>
      <c r="H457">
        <f t="shared" si="184"/>
        <v>0</v>
      </c>
      <c r="I457" s="8">
        <f>Player_Analysis!AF457</f>
        <v>0</v>
      </c>
      <c r="J457" s="8">
        <f>Player_Analysis!AG457</f>
        <v>0</v>
      </c>
      <c r="K457">
        <f>Player_Analysis!O457</f>
        <v>0</v>
      </c>
      <c r="L457">
        <f>Player_Analysis!P457</f>
        <v>0</v>
      </c>
      <c r="M457" t="str">
        <f t="shared" si="185"/>
        <v/>
      </c>
      <c r="N457" t="str">
        <f t="shared" si="186"/>
        <v/>
      </c>
      <c r="O457" s="2" t="str">
        <f>IF(E457=0,"",Player_Analysis!L457/E457*90)</f>
        <v/>
      </c>
      <c r="P457" t="str">
        <f>IF(E457=0,"",Player_Analysis!Q457/E457*90)</f>
        <v/>
      </c>
      <c r="Q457" t="str">
        <f>IF(E457=0,"",(Player_Analysis!AD457/E457)*90)</f>
        <v/>
      </c>
      <c r="R457" t="str">
        <f>IF(E457=0,"",Player_Analysis!AA457/E457*90)</f>
        <v/>
      </c>
      <c r="S457">
        <f t="array" ref="S457">IFERROR(INDEX('2023_24'!$O:$O,MATCH($A457,'2023_24'!$A:$A,0)),"")</f>
        <v>0.18406015037593987</v>
      </c>
      <c r="T457">
        <f>IFERROR(INDEX('2024_25'!$P:$P,MATCH($A457,'2024_25'!$A:$A,0)),"")</f>
        <v>0.44623955431754875</v>
      </c>
      <c r="U457">
        <f>IFERROR(INDEX('2025_26'!$P:$P,MATCH($A457,'2025_26'!$A:$A,0)),"")</f>
        <v>0.23727272727272727</v>
      </c>
      <c r="V457">
        <f>IFERROR(INDEX('2023_24'!$P:$P,MATCH($A457,'2023_24'!$A:$A,0)),"")</f>
        <v>0.31669172932330825</v>
      </c>
      <c r="W457">
        <f>IFERROR(INDEX('2024_25'!$Q:$Q,MATCH($A457,'2024_25'!$A:$A,0)),"")</f>
        <v>0.16044568245125349</v>
      </c>
      <c r="X457">
        <f>IFERROR(INDEX('2025_26'!$Q:$Q,MATCH($A457,'2025_26'!$A:$A,0)),"")</f>
        <v>6.545454545454546E-2</v>
      </c>
      <c r="Y457">
        <f>IFERROR(INDEX('2023_24'!$M:$M,MATCH($A457,'2023_24'!$A:$A,0))/INDEX('2023_24'!$G:$G,MATCH($A457,'2023_24'!$A:$A,0))*90,"")</f>
        <v>6.4962406015037599</v>
      </c>
      <c r="Z457">
        <f>IFERROR(INDEX('2024_25'!$M:$M,MATCH($A457,'2024_25'!$A:$A,0))/INDEX('2024_25'!$G:$G,MATCH($A457,'2024_25'!$A:$A,0))*90,"")</f>
        <v>8.2729805013927571</v>
      </c>
      <c r="AA457">
        <f>IFERROR(INDEX('2025_26'!$M:$M,MATCH($A457,'2025_26'!$A:$A,0))/INDEX('2025_26'!$G:$G,MATCH($A457,'2025_26'!$A:$A,0))*90,"")</f>
        <v>4.0909090909090908</v>
      </c>
      <c r="AB457">
        <f>IFERROR(SUMPRODUCT(S457:U457,{0.2,0.3,0.5})/SUMPRODUCT(--(S457:U457&lt;&gt;""),{0.2,0.3,0.5}),"")</f>
        <v>0.28932026000681627</v>
      </c>
      <c r="AC457">
        <f>IFERROR(SUMPRODUCT(V457:X457,{0.2,0.3,0.5})/SUMPRODUCT(--(V457:X457&lt;&gt;""),{0.2,0.3,0.5}),"")</f>
        <v>0.14419932332731045</v>
      </c>
      <c r="AD457">
        <f>IFERROR(SUMPRODUCT(Y457:AA457,{0.2,0.3,0.5})/SUMPRODUCT((Y457:AA457&lt;&gt;"")*{0.2,0.3,0.5}),O457)</f>
        <v>5.8265968161731241</v>
      </c>
      <c r="AE457">
        <f t="shared" si="187"/>
        <v>3</v>
      </c>
      <c r="AF457" t="str">
        <f t="shared" si="188"/>
        <v/>
      </c>
      <c r="AG457">
        <f t="shared" si="189"/>
        <v>0.28932026000681627</v>
      </c>
      <c r="AH457">
        <f t="shared" si="190"/>
        <v>0.14419932332731045</v>
      </c>
      <c r="AI457" s="2">
        <f t="shared" si="191"/>
        <v>5.8265968161731241</v>
      </c>
      <c r="AJ457">
        <f t="shared" si="192"/>
        <v>0</v>
      </c>
      <c r="AK457" t="str">
        <f t="shared" si="193"/>
        <v>NO</v>
      </c>
      <c r="AL457">
        <f t="shared" si="194"/>
        <v>0</v>
      </c>
      <c r="AM457">
        <f t="shared" si="195"/>
        <v>0</v>
      </c>
      <c r="AN457">
        <f t="shared" si="196"/>
        <v>0</v>
      </c>
      <c r="AO457">
        <f t="shared" si="197"/>
        <v>0</v>
      </c>
      <c r="AP457">
        <f t="array" ref="AP457">AL457*IF($C457="GKP",10,IF($C457="DEF",6,IF($C457="MID",5,4)))</f>
        <v>0</v>
      </c>
      <c r="AQ457">
        <f t="shared" si="198"/>
        <v>0</v>
      </c>
      <c r="AR457">
        <f t="shared" si="199"/>
        <v>0</v>
      </c>
      <c r="AS457" s="2">
        <f>IF($H457=0,0,Player_Analysis!$AM457*$H457/90)</f>
        <v>0</v>
      </c>
      <c r="AT457">
        <f t="shared" si="200"/>
        <v>0</v>
      </c>
      <c r="AU457" s="2">
        <f>0</f>
        <v>0</v>
      </c>
      <c r="AV457" s="2" t="str">
        <f>IF(INDEX(FPL_Raw_Data!K:K,MATCH(A457,FPL_Raw_Data!AA:AA,0))=0,"",INDEX(FPL_Raw_Data!P:P,MATCH(A457,FPL_Raw_Data!AA:AA,0))/INDEX(FPL_Raw_Data!K:K,MATCH(A457,FPL_Raw_Data!AA:AA,0))*90)</f>
        <v/>
      </c>
      <c r="AW457" s="2">
        <f t="shared" si="201"/>
        <v>0</v>
      </c>
      <c r="AX457" s="2">
        <f>IFERROR(INDEX(TEAM_ANALYSIS!$H$2:$H$21,MATCH($B457,TEAM_ANALYSIS!$A$2:$A$21,0)),0)</f>
        <v>1.3333333333333333</v>
      </c>
      <c r="AY457" s="2">
        <f t="shared" si="202"/>
        <v>0</v>
      </c>
      <c r="AZ457" s="2">
        <f t="shared" si="203"/>
        <v>0</v>
      </c>
      <c r="BA457">
        <f t="shared" si="204"/>
        <v>0</v>
      </c>
      <c r="BB457">
        <f>IFERROR(Player_Analysis!$Y457,1)</f>
        <v>1.0903373702422146</v>
      </c>
      <c r="BC457">
        <f t="shared" si="205"/>
        <v>0</v>
      </c>
      <c r="BD457">
        <f t="shared" si="206"/>
        <v>0</v>
      </c>
      <c r="BE457">
        <f t="shared" si="207"/>
        <v>0</v>
      </c>
      <c r="BF457">
        <f t="shared" si="208"/>
        <v>253</v>
      </c>
      <c r="BG457">
        <f>IF($BE457="","",COUNTIFS($C$2:$C$596,$C457,$BE$2:$BE$596,"&gt;"&amp;$BE457)+COUNTIFS($C$2:$C457,$C457,$BE$2:$BE457,$BE457))</f>
        <v>231</v>
      </c>
    </row>
    <row r="458" spans="1:59" x14ac:dyDescent="0.25">
      <c r="A458" t="str">
        <f>Player_Analysis!A458</f>
        <v>Ronald Araujo</v>
      </c>
      <c r="B458">
        <f>Player_Analysis!C458</f>
        <v>14</v>
      </c>
      <c r="C458" t="str">
        <f>Player_Analysis!B458</f>
        <v>DEF</v>
      </c>
      <c r="D458" s="13">
        <f>Player_Analysis!E458</f>
        <v>5.4</v>
      </c>
      <c r="E458">
        <f>Player_Analysis!I458</f>
        <v>123</v>
      </c>
      <c r="F458" s="8">
        <f>Player_Analysis!Z458</f>
        <v>1</v>
      </c>
      <c r="G458" s="17">
        <f t="shared" si="183"/>
        <v>0.73170731707317072</v>
      </c>
      <c r="H458">
        <f t="shared" si="184"/>
        <v>65.853658536585371</v>
      </c>
      <c r="I458" s="8">
        <f>Player_Analysis!AF458</f>
        <v>0</v>
      </c>
      <c r="J458" s="8">
        <f>Player_Analysis!AG458</f>
        <v>0</v>
      </c>
      <c r="K458">
        <f>Player_Analysis!O458</f>
        <v>0</v>
      </c>
      <c r="L458">
        <f>Player_Analysis!P458</f>
        <v>0.05</v>
      </c>
      <c r="M458">
        <f t="shared" si="185"/>
        <v>0</v>
      </c>
      <c r="N458">
        <f t="shared" si="186"/>
        <v>3.6585365853658534E-2</v>
      </c>
      <c r="O458" s="2">
        <f>IF(E458=0,"",Player_Analysis!L458/E458*90)</f>
        <v>6.5853658536585362</v>
      </c>
      <c r="P458">
        <f>IF(E458=0,"",Player_Analysis!Q458/E458*90)</f>
        <v>3.6585365853658534E-2</v>
      </c>
      <c r="Q458">
        <f>IF(E458=0,"",(Player_Analysis!AD458/E458)*90)</f>
        <v>21.219512195121951</v>
      </c>
      <c r="R458">
        <f>IF(E458=0,"",Player_Analysis!AA458/E458*90)</f>
        <v>10.97560975609756</v>
      </c>
      <c r="S458" t="str">
        <f t="array" ref="S458">IFERROR(INDEX('2023_24'!$O:$O,MATCH($A458,'2023_24'!$A:$A,0)),"")</f>
        <v/>
      </c>
      <c r="T458" t="str">
        <f>IFERROR(INDEX('2024_25'!$P:$P,MATCH($A458,'2024_25'!$A:$A,0)),"")</f>
        <v/>
      </c>
      <c r="U458" t="str">
        <f>IFERROR(INDEX('2025_26'!$P:$P,MATCH($A458,'2025_26'!$A:$A,0)),"")</f>
        <v/>
      </c>
      <c r="V458" t="str">
        <f>IFERROR(INDEX('2023_24'!$P:$P,MATCH($A458,'2023_24'!$A:$A,0)),"")</f>
        <v/>
      </c>
      <c r="W458" t="str">
        <f>IFERROR(INDEX('2024_25'!$Q:$Q,MATCH($A458,'2024_25'!$A:$A,0)),"")</f>
        <v/>
      </c>
      <c r="X458" t="str">
        <f>IFERROR(INDEX('2025_26'!$Q:$Q,MATCH($A458,'2025_26'!$A:$A,0)),"")</f>
        <v/>
      </c>
      <c r="Y458" t="str">
        <f>IFERROR(INDEX('2023_24'!$M:$M,MATCH($A458,'2023_24'!$A:$A,0))/INDEX('2023_24'!$G:$G,MATCH($A458,'2023_24'!$A:$A,0))*90,"")</f>
        <v/>
      </c>
      <c r="Z458" t="str">
        <f>IFERROR(INDEX('2024_25'!$M:$M,MATCH($A458,'2024_25'!$A:$A,0))/INDEX('2024_25'!$G:$G,MATCH($A458,'2024_25'!$A:$A,0))*90,"")</f>
        <v/>
      </c>
      <c r="AA458" t="str">
        <f>IFERROR(INDEX('2025_26'!$M:$M,MATCH($A458,'2025_26'!$A:$A,0))/INDEX('2025_26'!$G:$G,MATCH($A458,'2025_26'!$A:$A,0))*90,"")</f>
        <v/>
      </c>
      <c r="AB458" t="str">
        <f>IFERROR(SUMPRODUCT(S458:U458,{0.2,0.3,0.5})/SUMPRODUCT(--(S458:U458&lt;&gt;""),{0.2,0.3,0.5}),"")</f>
        <v/>
      </c>
      <c r="AC458" t="str">
        <f>IFERROR(SUMPRODUCT(V458:X458,{0.2,0.3,0.5})/SUMPRODUCT(--(V458:X458&lt;&gt;""),{0.2,0.3,0.5}),"")</f>
        <v/>
      </c>
      <c r="AD458">
        <f>IFERROR(SUMPRODUCT(Y458:AA458,{0.2,0.3,0.5})/SUMPRODUCT((Y458:AA458&lt;&gt;"")*{0.2,0.3,0.5}),O458)</f>
        <v>6.5853658536585362</v>
      </c>
      <c r="AE458">
        <f t="shared" si="187"/>
        <v>0</v>
      </c>
      <c r="AF458">
        <f t="shared" si="188"/>
        <v>123</v>
      </c>
      <c r="AG458">
        <f t="shared" si="189"/>
        <v>0</v>
      </c>
      <c r="AH458">
        <f t="shared" si="190"/>
        <v>3.6585365853658534E-2</v>
      </c>
      <c r="AI458" s="2">
        <f t="shared" si="191"/>
        <v>6.5853658536585371</v>
      </c>
      <c r="AJ458">
        <f t="shared" si="192"/>
        <v>0.41</v>
      </c>
      <c r="AK458" t="str">
        <f t="shared" si="193"/>
        <v>YES</v>
      </c>
      <c r="AL458">
        <f t="shared" si="194"/>
        <v>0</v>
      </c>
      <c r="AM458">
        <f t="shared" si="195"/>
        <v>2.676977989292088E-2</v>
      </c>
      <c r="AN458">
        <f t="shared" si="196"/>
        <v>0</v>
      </c>
      <c r="AO458">
        <f t="shared" si="197"/>
        <v>2.676977989292088E-2</v>
      </c>
      <c r="AP458">
        <f t="array" ref="AP458">AL458*IF($C458="GKP",10,IF($C458="DEF",6,IF($C458="MID",5,4)))</f>
        <v>0</v>
      </c>
      <c r="AQ458">
        <f t="shared" si="198"/>
        <v>8.0309339678762637E-2</v>
      </c>
      <c r="AR458">
        <f t="shared" si="199"/>
        <v>1.4634146341463414</v>
      </c>
      <c r="AS458" s="2">
        <f>IF($H458=0,0,Player_Analysis!$AM458*$H458/90)</f>
        <v>2.9268292682926833</v>
      </c>
      <c r="AT458">
        <f t="shared" si="200"/>
        <v>1.6061867935752527</v>
      </c>
      <c r="AU458" s="2">
        <f>0</f>
        <v>0</v>
      </c>
      <c r="AV458" s="2">
        <f>IF(INDEX(FPL_Raw_Data!K:K,MATCH(A458,FPL_Raw_Data!AA:AA,0))=0,"",INDEX(FPL_Raw_Data!P:P,MATCH(A458,FPL_Raw_Data!AA:AA,0))/INDEX(FPL_Raw_Data!K:K,MATCH(A458,FPL_Raw_Data!AA:AA,0))*90)</f>
        <v>0</v>
      </c>
      <c r="AW458" s="2">
        <f t="shared" si="201"/>
        <v>0</v>
      </c>
      <c r="AX458" s="2">
        <f>IFERROR(INDEX(TEAM_ANALYSIS!$H$2:$H$21,MATCH($B458,TEAM_ANALYSIS!$A$2:$A$21,0)),0)</f>
        <v>1.3333333333333333</v>
      </c>
      <c r="AY458" s="2">
        <f t="shared" si="202"/>
        <v>-0.66666666666666663</v>
      </c>
      <c r="AZ458" s="2">
        <f t="shared" si="203"/>
        <v>5.4100733690263736</v>
      </c>
      <c r="BA458">
        <f t="shared" si="204"/>
        <v>1.0018654387085877</v>
      </c>
      <c r="BB458">
        <f>IFERROR(Player_Analysis!$Y458,1)</f>
        <v>0.96585312585312599</v>
      </c>
      <c r="BC458">
        <f t="shared" si="205"/>
        <v>5.2253362745688756</v>
      </c>
      <c r="BD458">
        <f t="shared" si="206"/>
        <v>5.2350838191208435</v>
      </c>
      <c r="BE458">
        <f t="shared" si="207"/>
        <v>5.2253362745688756</v>
      </c>
      <c r="BF458">
        <f t="shared" si="208"/>
        <v>82</v>
      </c>
      <c r="BG458">
        <f>IF($BE458="","",COUNTIFS($C$2:$C$596,$C458,$BE$2:$BE$596,"&gt;"&amp;$BE458)+COUNTIFS($C$2:$C458,$C458,$BE$2:$BE458,$BE458))</f>
        <v>33</v>
      </c>
    </row>
    <row r="459" spans="1:59" x14ac:dyDescent="0.25">
      <c r="A459" t="str">
        <f>Player_Analysis!A459</f>
        <v>Bradley Barcola</v>
      </c>
      <c r="B459">
        <f>Player_Analysis!C459</f>
        <v>14</v>
      </c>
      <c r="C459" t="str">
        <f>Player_Analysis!B459</f>
        <v>MID</v>
      </c>
      <c r="D459" s="13">
        <f>Player_Analysis!E459</f>
        <v>8</v>
      </c>
      <c r="E459">
        <f>Player_Analysis!I459</f>
        <v>26</v>
      </c>
      <c r="F459" s="8">
        <f>Player_Analysis!Z459</f>
        <v>0</v>
      </c>
      <c r="G459" s="17">
        <f t="shared" si="183"/>
        <v>0</v>
      </c>
      <c r="H459">
        <f t="shared" si="184"/>
        <v>0</v>
      </c>
      <c r="I459" s="8">
        <f>Player_Analysis!AF459</f>
        <v>0</v>
      </c>
      <c r="J459" s="8">
        <f>Player_Analysis!AG459</f>
        <v>0</v>
      </c>
      <c r="K459">
        <f>Player_Analysis!O459</f>
        <v>0</v>
      </c>
      <c r="L459">
        <f>Player_Analysis!P459</f>
        <v>7.0000000000000007E-2</v>
      </c>
      <c r="M459">
        <f t="shared" si="185"/>
        <v>0</v>
      </c>
      <c r="N459">
        <f t="shared" si="186"/>
        <v>0.24230769230769234</v>
      </c>
      <c r="O459" s="2">
        <f>IF(E459=0,"",Player_Analysis!L459/E459*90)</f>
        <v>3.4615384615384617</v>
      </c>
      <c r="P459">
        <f>IF(E459=0,"",Player_Analysis!Q459/E459*90)</f>
        <v>0.24230769230769234</v>
      </c>
      <c r="Q459">
        <f>IF(E459=0,"",(Player_Analysis!AD459/E459)*90)</f>
        <v>17.30769230769231</v>
      </c>
      <c r="R459">
        <f>IF(E459=0,"",Player_Analysis!AA459/E459*90)</f>
        <v>0</v>
      </c>
      <c r="S459" t="str">
        <f t="array" ref="S459">IFERROR(INDEX('2023_24'!$O:$O,MATCH($A459,'2023_24'!$A:$A,0)),"")</f>
        <v/>
      </c>
      <c r="T459" t="str">
        <f>IFERROR(INDEX('2024_25'!$P:$P,MATCH($A459,'2024_25'!$A:$A,0)),"")</f>
        <v/>
      </c>
      <c r="U459" t="str">
        <f>IFERROR(INDEX('2025_26'!$P:$P,MATCH($A459,'2025_26'!$A:$A,0)),"")</f>
        <v/>
      </c>
      <c r="V459" t="str">
        <f>IFERROR(INDEX('2023_24'!$P:$P,MATCH($A459,'2023_24'!$A:$A,0)),"")</f>
        <v/>
      </c>
      <c r="W459" t="str">
        <f>IFERROR(INDEX('2024_25'!$Q:$Q,MATCH($A459,'2024_25'!$A:$A,0)),"")</f>
        <v/>
      </c>
      <c r="X459" t="str">
        <f>IFERROR(INDEX('2025_26'!$Q:$Q,MATCH($A459,'2025_26'!$A:$A,0)),"")</f>
        <v/>
      </c>
      <c r="Y459" t="str">
        <f>IFERROR(INDEX('2023_24'!$M:$M,MATCH($A459,'2023_24'!$A:$A,0))/INDEX('2023_24'!$G:$G,MATCH($A459,'2023_24'!$A:$A,0))*90,"")</f>
        <v/>
      </c>
      <c r="Z459" t="str">
        <f>IFERROR(INDEX('2024_25'!$M:$M,MATCH($A459,'2024_25'!$A:$A,0))/INDEX('2024_25'!$G:$G,MATCH($A459,'2024_25'!$A:$A,0))*90,"")</f>
        <v/>
      </c>
      <c r="AA459" t="str">
        <f>IFERROR(INDEX('2025_26'!$M:$M,MATCH($A459,'2025_26'!$A:$A,0))/INDEX('2025_26'!$G:$G,MATCH($A459,'2025_26'!$A:$A,0))*90,"")</f>
        <v/>
      </c>
      <c r="AB459" t="str">
        <f>IFERROR(SUMPRODUCT(S459:U459,{0.2,0.3,0.5})/SUMPRODUCT(--(S459:U459&lt;&gt;""),{0.2,0.3,0.5}),"")</f>
        <v/>
      </c>
      <c r="AC459" t="str">
        <f>IFERROR(SUMPRODUCT(V459:X459,{0.2,0.3,0.5})/SUMPRODUCT(--(V459:X459&lt;&gt;""),{0.2,0.3,0.5}),"")</f>
        <v/>
      </c>
      <c r="AD459">
        <f>IFERROR(SUMPRODUCT(Y459:AA459,{0.2,0.3,0.5})/SUMPRODUCT((Y459:AA459&lt;&gt;"")*{0.2,0.3,0.5}),O459)</f>
        <v>3.4615384615384617</v>
      </c>
      <c r="AE459">
        <f t="shared" si="187"/>
        <v>0</v>
      </c>
      <c r="AF459" t="str">
        <f t="shared" si="188"/>
        <v/>
      </c>
      <c r="AG459">
        <f t="shared" si="189"/>
        <v>0</v>
      </c>
      <c r="AH459">
        <f t="shared" si="190"/>
        <v>0.24230769230769234</v>
      </c>
      <c r="AI459" s="2">
        <f t="shared" si="191"/>
        <v>3.4615384615384617</v>
      </c>
      <c r="AJ459">
        <f t="shared" si="192"/>
        <v>8.666666666666667E-2</v>
      </c>
      <c r="AK459" t="str">
        <f t="shared" si="193"/>
        <v>YES</v>
      </c>
      <c r="AL459">
        <f t="shared" si="194"/>
        <v>0</v>
      </c>
      <c r="AM459">
        <f t="shared" si="195"/>
        <v>0</v>
      </c>
      <c r="AN459">
        <f t="shared" si="196"/>
        <v>0</v>
      </c>
      <c r="AO459">
        <f t="shared" si="197"/>
        <v>0</v>
      </c>
      <c r="AP459">
        <f t="array" ref="AP459">AL459*IF($C459="GKP",10,IF($C459="DEF",6,IF($C459="MID",5,4)))</f>
        <v>0</v>
      </c>
      <c r="AQ459">
        <f t="shared" si="198"/>
        <v>0</v>
      </c>
      <c r="AR459">
        <f t="shared" si="199"/>
        <v>0</v>
      </c>
      <c r="AS459" s="2">
        <f>IF($H459=0,0,Player_Analysis!$AM459*$H459/90)</f>
        <v>0</v>
      </c>
      <c r="AT459">
        <f t="shared" si="200"/>
        <v>0</v>
      </c>
      <c r="AU459" s="2">
        <f>0</f>
        <v>0</v>
      </c>
      <c r="AV459" s="2">
        <f>IF(INDEX(FPL_Raw_Data!K:K,MATCH(A459,FPL_Raw_Data!AA:AA,0))=0,"",INDEX(FPL_Raw_Data!P:P,MATCH(A459,FPL_Raw_Data!AA:AA,0))/INDEX(FPL_Raw_Data!K:K,MATCH(A459,FPL_Raw_Data!AA:AA,0))*90)</f>
        <v>0</v>
      </c>
      <c r="AW459" s="2">
        <f t="shared" si="201"/>
        <v>0</v>
      </c>
      <c r="AX459" s="2">
        <f>IFERROR(INDEX(TEAM_ANALYSIS!$H$2:$H$21,MATCH($B459,TEAM_ANALYSIS!$A$2:$A$21,0)),0)</f>
        <v>1.3333333333333333</v>
      </c>
      <c r="AY459" s="2">
        <f t="shared" si="202"/>
        <v>0</v>
      </c>
      <c r="AZ459" s="2">
        <f t="shared" si="203"/>
        <v>0</v>
      </c>
      <c r="BA459">
        <f t="shared" si="204"/>
        <v>0</v>
      </c>
      <c r="BB459">
        <f>IFERROR(Player_Analysis!$Y459,1)</f>
        <v>1.0903373702422146</v>
      </c>
      <c r="BC459">
        <f t="shared" si="205"/>
        <v>0</v>
      </c>
      <c r="BD459">
        <f t="shared" si="206"/>
        <v>0</v>
      </c>
      <c r="BE459">
        <f t="shared" si="207"/>
        <v>0</v>
      </c>
      <c r="BF459">
        <f t="shared" si="208"/>
        <v>253</v>
      </c>
      <c r="BG459">
        <f>IF($BE459="","",COUNTIFS($C$2:$C$596,$C459,$BE$2:$BE$596,"&gt;"&amp;$BE459)+COUNTIFS($C$2:$C459,$C459,$BE$2:$BE459,$BE459))</f>
        <v>232</v>
      </c>
    </row>
    <row r="460" spans="1:59" x14ac:dyDescent="0.25">
      <c r="A460" t="str">
        <f>Player_Analysis!A460</f>
        <v>Enzo Fernández</v>
      </c>
      <c r="B460">
        <f>Player_Analysis!C460</f>
        <v>15</v>
      </c>
      <c r="C460" t="str">
        <f>Player_Analysis!B460</f>
        <v>MID</v>
      </c>
      <c r="D460" s="13">
        <f>Player_Analysis!E460</f>
        <v>6.9</v>
      </c>
      <c r="E460">
        <f>Player_Analysis!I460</f>
        <v>100</v>
      </c>
      <c r="F460" s="8">
        <f>Player_Analysis!Z460</f>
        <v>1</v>
      </c>
      <c r="G460" s="17">
        <f t="shared" si="183"/>
        <v>0.89999999999999991</v>
      </c>
      <c r="H460">
        <f t="shared" si="184"/>
        <v>80.999999999999986</v>
      </c>
      <c r="I460" s="8">
        <f>Player_Analysis!AF460</f>
        <v>0</v>
      </c>
      <c r="J460" s="8">
        <f>Player_Analysis!AG460</f>
        <v>0</v>
      </c>
      <c r="K460">
        <f>Player_Analysis!O460</f>
        <v>0.13</v>
      </c>
      <c r="L460">
        <f>Player_Analysis!P460</f>
        <v>0.14000000000000001</v>
      </c>
      <c r="M460">
        <f t="shared" si="185"/>
        <v>0.11699999999999999</v>
      </c>
      <c r="N460">
        <f t="shared" si="186"/>
        <v>0.12600000000000003</v>
      </c>
      <c r="O460" s="2">
        <f>IF(E460=0,"",Player_Analysis!L460/E460*90)</f>
        <v>3.6</v>
      </c>
      <c r="P460">
        <f>IF(E460=0,"",Player_Analysis!Q460/E460*90)</f>
        <v>0.24300000000000002</v>
      </c>
      <c r="Q460">
        <f>IF(E460=0,"",(Player_Analysis!AD460/E460)*90)</f>
        <v>20.7</v>
      </c>
      <c r="R460">
        <f>IF(E460=0,"",Player_Analysis!AA460/E460*90)</f>
        <v>5.3999999999999995</v>
      </c>
      <c r="S460">
        <f t="array" ref="S460">IFERROR(INDEX('2023_24'!$O:$O,MATCH($A460,'2023_24'!$A:$A,0)),"")</f>
        <v>0.23315217391304344</v>
      </c>
      <c r="T460">
        <f>IFERROR(INDEX('2024_25'!$P:$P,MATCH($A460,'2024_25'!$A:$A,0)),"")</f>
        <v>0.19051987767584097</v>
      </c>
      <c r="U460">
        <f>IFERROR(INDEX('2025_26'!$P:$P,MATCH($A460,'2025_26'!$A:$A,0)),"")</f>
        <v>0.32543352601156073</v>
      </c>
      <c r="V460">
        <f>IFERROR(INDEX('2023_24'!$P:$P,MATCH($A460,'2023_24'!$A:$A,0)),"")</f>
        <v>0.15407608695652172</v>
      </c>
      <c r="W460">
        <f>IFERROR(INDEX('2024_25'!$Q:$Q,MATCH($A460,'2024_25'!$A:$A,0)),"")</f>
        <v>0.18685015290519877</v>
      </c>
      <c r="X460">
        <f>IFERROR(INDEX('2025_26'!$Q:$Q,MATCH($A460,'2025_26'!$A:$A,0)),"")</f>
        <v>0.20982658959537573</v>
      </c>
      <c r="Y460">
        <f>IFERROR(INDEX('2023_24'!$M:$M,MATCH($A460,'2023_24'!$A:$A,0))/INDEX('2023_24'!$G:$G,MATCH($A460,'2023_24'!$A:$A,0))*90,"")</f>
        <v>3.1385869565217392</v>
      </c>
      <c r="Z460">
        <f>IFERROR(INDEX('2024_25'!$M:$M,MATCH($A460,'2024_25'!$A:$A,0))/INDEX('2024_25'!$G:$G,MATCH($A460,'2024_25'!$A:$A,0))*90,"")</f>
        <v>4.1284403669724776</v>
      </c>
      <c r="AA460">
        <f>IFERROR(INDEX('2025_26'!$M:$M,MATCH($A460,'2025_26'!$A:$A,0))/INDEX('2025_26'!$G:$G,MATCH($A460,'2025_26'!$A:$A,0))*90,"")</f>
        <v>4.5375722543352603</v>
      </c>
      <c r="AB460">
        <f>IFERROR(SUMPRODUCT(S460:U460,{0.2,0.3,0.5})/SUMPRODUCT(--(S460:U460&lt;&gt;""),{0.2,0.3,0.5}),"")</f>
        <v>0.26650316109114136</v>
      </c>
      <c r="AC460">
        <f>IFERROR(SUMPRODUCT(V460:X460,{0.2,0.3,0.5})/SUMPRODUCT(--(V460:X460&lt;&gt;""),{0.2,0.3,0.5}),"")</f>
        <v>0.19178355806055183</v>
      </c>
      <c r="AD460">
        <f>IFERROR(SUMPRODUCT(Y460:AA460,{0.2,0.3,0.5})/SUMPRODUCT((Y460:AA460&lt;&gt;"")*{0.2,0.3,0.5}),O460)</f>
        <v>4.1350356285637213</v>
      </c>
      <c r="AE460">
        <f t="shared" si="187"/>
        <v>3</v>
      </c>
      <c r="AF460">
        <f t="shared" si="188"/>
        <v>100</v>
      </c>
      <c r="AG460">
        <f t="shared" si="189"/>
        <v>0.2166687740607609</v>
      </c>
      <c r="AH460">
        <f t="shared" si="190"/>
        <v>0.16985570537370126</v>
      </c>
      <c r="AI460" s="2">
        <f t="shared" si="191"/>
        <v>3.9566904190424808</v>
      </c>
      <c r="AJ460">
        <f t="shared" si="192"/>
        <v>0.33333333333333331</v>
      </c>
      <c r="AK460" t="str">
        <f t="shared" si="193"/>
        <v>NO</v>
      </c>
      <c r="AL460">
        <f t="shared" si="194"/>
        <v>0.19500189665468476</v>
      </c>
      <c r="AM460">
        <f t="shared" si="195"/>
        <v>0.15287013483633111</v>
      </c>
      <c r="AN460">
        <f t="shared" si="196"/>
        <v>0.19500189665468476</v>
      </c>
      <c r="AO460">
        <f t="shared" si="197"/>
        <v>0.15287013483633111</v>
      </c>
      <c r="AP460">
        <f t="array" ref="AP460">AL460*IF($C460="GKP",10,IF($C460="DEF",6,IF($C460="MID",5,4)))</f>
        <v>0.97500948327342374</v>
      </c>
      <c r="AQ460">
        <f t="shared" si="198"/>
        <v>0.45861040450899332</v>
      </c>
      <c r="AR460">
        <f t="shared" si="199"/>
        <v>1.7999999999999998</v>
      </c>
      <c r="AS460" s="2">
        <f>IF($H460=0,0,Player_Analysis!$AM460*$H460/90)</f>
        <v>0.8999999999999998</v>
      </c>
      <c r="AT460">
        <f t="shared" si="200"/>
        <v>0.80999999999999972</v>
      </c>
      <c r="AU460" s="2">
        <f>0</f>
        <v>0</v>
      </c>
      <c r="AV460" s="2">
        <f>IF(INDEX(FPL_Raw_Data!K:K,MATCH(A460,FPL_Raw_Data!AA:AA,0))=0,"",INDEX(FPL_Raw_Data!P:P,MATCH(A460,FPL_Raw_Data!AA:AA,0))/INDEX(FPL_Raw_Data!K:K,MATCH(A460,FPL_Raw_Data!AA:AA,0))*90)</f>
        <v>0</v>
      </c>
      <c r="AW460" s="2">
        <f t="shared" si="201"/>
        <v>0</v>
      </c>
      <c r="AX460" s="2">
        <f>IFERROR(INDEX(TEAM_ANALYSIS!$H$2:$H$21,MATCH($B460,TEAM_ANALYSIS!$A$2:$A$21,0)),0)</f>
        <v>0.66666666666666663</v>
      </c>
      <c r="AY460" s="2">
        <f t="shared" si="202"/>
        <v>0</v>
      </c>
      <c r="AZ460" s="2">
        <f t="shared" si="203"/>
        <v>4.9436198877824165</v>
      </c>
      <c r="BA460">
        <f t="shared" si="204"/>
        <v>0.71646665040324875</v>
      </c>
      <c r="BB460">
        <f>IFERROR(Player_Analysis!$Y460,1)</f>
        <v>1.1822231833910033</v>
      </c>
      <c r="BC460">
        <f t="shared" si="205"/>
        <v>5.8444620412092032</v>
      </c>
      <c r="BD460">
        <f t="shared" si="206"/>
        <v>4.1873621420740914</v>
      </c>
      <c r="BE460">
        <f t="shared" si="207"/>
        <v>5.8444620412092032</v>
      </c>
      <c r="BF460">
        <f t="shared" si="208"/>
        <v>53</v>
      </c>
      <c r="BG460">
        <f>IF($BE460="","",COUNTIFS($C$2:$C$596,$C460,$BE$2:$BE$596,"&gt;"&amp;$BE460)+COUNTIFS($C$2:$C460,$C460,$BE$2:$BE460,$BE460))</f>
        <v>22</v>
      </c>
    </row>
    <row r="461" spans="1:59" x14ac:dyDescent="0.25">
      <c r="A461" t="str">
        <f>Player_Analysis!A461</f>
        <v>Iliman Ndiaye</v>
      </c>
      <c r="B461">
        <f>Player_Analysis!C461</f>
        <v>15</v>
      </c>
      <c r="C461" t="str">
        <f>Player_Analysis!B461</f>
        <v>MID</v>
      </c>
      <c r="D461" s="13">
        <f>Player_Analysis!E461</f>
        <v>5.9</v>
      </c>
      <c r="E461">
        <f>Player_Analysis!I461</f>
        <v>266</v>
      </c>
      <c r="F461" s="8">
        <f>Player_Analysis!Z461</f>
        <v>3</v>
      </c>
      <c r="G461" s="17">
        <f t="shared" si="183"/>
        <v>1</v>
      </c>
      <c r="H461">
        <f t="shared" si="184"/>
        <v>90</v>
      </c>
      <c r="I461" s="8">
        <f>Player_Analysis!AF461</f>
        <v>0</v>
      </c>
      <c r="J461" s="8">
        <f>Player_Analysis!AG461</f>
        <v>1</v>
      </c>
      <c r="K461">
        <f>Player_Analysis!O461</f>
        <v>0.28000000000000003</v>
      </c>
      <c r="L461">
        <f>Player_Analysis!P461</f>
        <v>0.43</v>
      </c>
      <c r="M461">
        <f t="shared" si="185"/>
        <v>9.4736842105263175E-2</v>
      </c>
      <c r="N461">
        <f t="shared" si="186"/>
        <v>0.14548872180451128</v>
      </c>
      <c r="O461" s="2">
        <f>IF(E461=0,"",Player_Analysis!L461/E461*90)</f>
        <v>5.4135338345864659</v>
      </c>
      <c r="P461">
        <f>IF(E461=0,"",Player_Analysis!Q461/E461*90)</f>
        <v>0.2402255639097744</v>
      </c>
      <c r="Q461">
        <f>IF(E461=0,"",(Player_Analysis!AD461/E461)*90)</f>
        <v>21.654135338345863</v>
      </c>
      <c r="R461">
        <f>IF(E461=0,"",Player_Analysis!AA461/E461*90)</f>
        <v>10.150375939849624</v>
      </c>
      <c r="S461">
        <f t="array" ref="S461">IFERROR(INDEX('2023_24'!$O:$O,MATCH($A461,'2023_24'!$A:$A,0)),"")</f>
        <v>0</v>
      </c>
      <c r="T461">
        <f>IFERROR(INDEX('2024_25'!$P:$P,MATCH($A461,'2024_25'!$A:$A,0)),"")</f>
        <v>0.231121187139324</v>
      </c>
      <c r="U461">
        <f>IFERROR(INDEX('2025_26'!$P:$P,MATCH($A461,'2025_26'!$A:$A,0)),"")</f>
        <v>0.21618122977346277</v>
      </c>
      <c r="V461">
        <f>IFERROR(INDEX('2023_24'!$P:$P,MATCH($A461,'2023_24'!$A:$A,0)),"")</f>
        <v>0</v>
      </c>
      <c r="W461">
        <f>IFERROR(INDEX('2024_25'!$Q:$Q,MATCH($A461,'2024_25'!$A:$A,0)),"")</f>
        <v>5.0453421269579558E-2</v>
      </c>
      <c r="X461">
        <f>IFERROR(INDEX('2025_26'!$Q:$Q,MATCH($A461,'2025_26'!$A:$A,0)),"")</f>
        <v>0.14271844660194175</v>
      </c>
      <c r="Y461" t="str">
        <f>IFERROR(INDEX('2023_24'!$M:$M,MATCH($A461,'2023_24'!$A:$A,0))/INDEX('2023_24'!$G:$G,MATCH($A461,'2023_24'!$A:$A,0))*90,"")</f>
        <v/>
      </c>
      <c r="Z461">
        <f>IFERROR(INDEX('2024_25'!$M:$M,MATCH($A461,'2024_25'!$A:$A,0))/INDEX('2024_25'!$G:$G,MATCH($A461,'2024_25'!$A:$A,0))*90,"")</f>
        <v>4.2291838417147565</v>
      </c>
      <c r="AA461">
        <f>IFERROR(INDEX('2025_26'!$M:$M,MATCH($A461,'2025_26'!$A:$A,0))/INDEX('2025_26'!$G:$G,MATCH($A461,'2025_26'!$A:$A,0))*90,"")</f>
        <v>4.1423948220064721</v>
      </c>
      <c r="AB461">
        <f>IFERROR(SUMPRODUCT(S461:U461,{0.2,0.3,0.5})/SUMPRODUCT(--(S461:U461&lt;&gt;""),{0.2,0.3,0.5}),"")</f>
        <v>0.17742697102852859</v>
      </c>
      <c r="AC461">
        <f>IFERROR(SUMPRODUCT(V461:X461,{0.2,0.3,0.5})/SUMPRODUCT(--(V461:X461&lt;&gt;""),{0.2,0.3,0.5}),"")</f>
        <v>8.6495249681844744E-2</v>
      </c>
      <c r="AD461">
        <f>IFERROR(SUMPRODUCT(Y461:AA461,{0.2,0.3,0.5})/SUMPRODUCT((Y461:AA461&lt;&gt;"")*{0.2,0.3,0.5}),O461)</f>
        <v>4.1749407043970788</v>
      </c>
      <c r="AE461">
        <f t="shared" si="187"/>
        <v>3</v>
      </c>
      <c r="AF461">
        <f t="shared" si="188"/>
        <v>88.666666666666671</v>
      </c>
      <c r="AG461">
        <f t="shared" si="189"/>
        <v>0.10410839004989991</v>
      </c>
      <c r="AH461">
        <f t="shared" si="190"/>
        <v>0.13880279496394241</v>
      </c>
      <c r="AI461" s="2">
        <f t="shared" si="191"/>
        <v>5.2731599464983354</v>
      </c>
      <c r="AJ461">
        <f t="shared" si="192"/>
        <v>0.88666666666666671</v>
      </c>
      <c r="AK461" t="str">
        <f t="shared" si="193"/>
        <v>NO</v>
      </c>
      <c r="AL461">
        <f t="shared" si="194"/>
        <v>0.1041083900498999</v>
      </c>
      <c r="AM461">
        <f t="shared" si="195"/>
        <v>0.13880279496394241</v>
      </c>
      <c r="AN461">
        <f t="shared" si="196"/>
        <v>0.1041083900498999</v>
      </c>
      <c r="AO461">
        <f t="shared" si="197"/>
        <v>0.13880279496394241</v>
      </c>
      <c r="AP461">
        <f t="array" ref="AP461">AL461*IF($C461="GKP",10,IF($C461="DEF",6,IF($C461="MID",5,4)))</f>
        <v>0.52054195024949945</v>
      </c>
      <c r="AQ461">
        <f t="shared" si="198"/>
        <v>0.41640838489182719</v>
      </c>
      <c r="AR461">
        <f t="shared" si="199"/>
        <v>2</v>
      </c>
      <c r="AS461" s="2">
        <f>IF($H461=0,0,Player_Analysis!$AM461*$H461/90)</f>
        <v>0.66666666666666663</v>
      </c>
      <c r="AT461">
        <f t="shared" si="200"/>
        <v>1.6917293233082706</v>
      </c>
      <c r="AU461" s="2">
        <f>0</f>
        <v>0</v>
      </c>
      <c r="AV461" s="2">
        <f>IF(INDEX(FPL_Raw_Data!K:K,MATCH(A461,FPL_Raw_Data!AA:AA,0))=0,"",INDEX(FPL_Raw_Data!P:P,MATCH(A461,FPL_Raw_Data!AA:AA,0))/INDEX(FPL_Raw_Data!K:K,MATCH(A461,FPL_Raw_Data!AA:AA,0))*90)</f>
        <v>0</v>
      </c>
      <c r="AW461" s="2">
        <f t="shared" si="201"/>
        <v>0</v>
      </c>
      <c r="AX461" s="2">
        <f>IFERROR(INDEX(TEAM_ANALYSIS!$H$2:$H$21,MATCH($B461,TEAM_ANALYSIS!$A$2:$A$21,0)),0)</f>
        <v>0.66666666666666663</v>
      </c>
      <c r="AY461" s="2">
        <f t="shared" si="202"/>
        <v>0</v>
      </c>
      <c r="AZ461" s="2">
        <f t="shared" si="203"/>
        <v>5.295346325116264</v>
      </c>
      <c r="BA461">
        <f t="shared" si="204"/>
        <v>0.89751632629089217</v>
      </c>
      <c r="BB461">
        <f>IFERROR(Player_Analysis!$Y461,1)</f>
        <v>1.1822231833910033</v>
      </c>
      <c r="BC461">
        <f t="shared" si="205"/>
        <v>6.2602811896368005</v>
      </c>
      <c r="BD461">
        <f t="shared" si="206"/>
        <v>5.6187045748707973</v>
      </c>
      <c r="BE461">
        <f t="shared" si="207"/>
        <v>6.2602811896368005</v>
      </c>
      <c r="BF461">
        <f t="shared" si="208"/>
        <v>36</v>
      </c>
      <c r="BG461">
        <f>IF($BE461="","",COUNTIFS($C$2:$C$596,$C461,$BE$2:$BE$596,"&gt;"&amp;$BE461)+COUNTIFS($C$2:$C461,$C461,$BE$2:$BE461,$BE461))</f>
        <v>14</v>
      </c>
    </row>
    <row r="462" spans="1:59" x14ac:dyDescent="0.25">
      <c r="A462" t="str">
        <f>Player_Analysis!A462</f>
        <v>Gianluigi Donnarumma</v>
      </c>
      <c r="B462">
        <f>Player_Analysis!C462</f>
        <v>15</v>
      </c>
      <c r="C462" t="str">
        <f>Player_Analysis!B462</f>
        <v>GK</v>
      </c>
      <c r="D462" s="13">
        <f>Player_Analysis!E462</f>
        <v>5.5</v>
      </c>
      <c r="E462">
        <f>Player_Analysis!I462</f>
        <v>270</v>
      </c>
      <c r="F462" s="8">
        <f>Player_Analysis!Z462</f>
        <v>3</v>
      </c>
      <c r="G462" s="17">
        <f t="shared" si="183"/>
        <v>1</v>
      </c>
      <c r="H462">
        <f t="shared" si="184"/>
        <v>90</v>
      </c>
      <c r="I462" s="8">
        <f>Player_Analysis!AF462</f>
        <v>0</v>
      </c>
      <c r="J462" s="8">
        <f>Player_Analysis!AG462</f>
        <v>0</v>
      </c>
      <c r="K462">
        <f>Player_Analysis!O462</f>
        <v>0</v>
      </c>
      <c r="L462">
        <f>Player_Analysis!P462</f>
        <v>0</v>
      </c>
      <c r="M462">
        <f t="shared" si="185"/>
        <v>0</v>
      </c>
      <c r="N462">
        <f t="shared" si="186"/>
        <v>0</v>
      </c>
      <c r="O462" s="2">
        <f>IF(E462=0,"",Player_Analysis!L462/E462*90)</f>
        <v>3.333333333333333</v>
      </c>
      <c r="P462">
        <f>IF(E462=0,"",Player_Analysis!Q462/E462*90)</f>
        <v>0</v>
      </c>
      <c r="Q462">
        <f>IF(E462=0,"",(Player_Analysis!AD462/E462)*90)</f>
        <v>15.333333333333332</v>
      </c>
      <c r="R462">
        <f>IF(E462=0,"",Player_Analysis!AA462/E462*90)</f>
        <v>0</v>
      </c>
      <c r="S462" t="str">
        <f t="array" ref="S462">IFERROR(INDEX('2023_24'!$O:$O,MATCH($A462,'2023_24'!$A:$A,0)),"")</f>
        <v/>
      </c>
      <c r="T462" t="str">
        <f>IFERROR(INDEX('2024_25'!$P:$P,MATCH($A462,'2024_25'!$A:$A,0)),"")</f>
        <v/>
      </c>
      <c r="U462">
        <f>IFERROR(INDEX('2025_26'!$P:$P,MATCH($A462,'2025_26'!$A:$A,0)),"")</f>
        <v>0</v>
      </c>
      <c r="V462" t="str">
        <f>IFERROR(INDEX('2023_24'!$P:$P,MATCH($A462,'2023_24'!$A:$A,0)),"")</f>
        <v/>
      </c>
      <c r="W462" t="str">
        <f>IFERROR(INDEX('2024_25'!$Q:$Q,MATCH($A462,'2024_25'!$A:$A,0)),"")</f>
        <v/>
      </c>
      <c r="X462">
        <f>IFERROR(INDEX('2025_26'!$Q:$Q,MATCH($A462,'2025_26'!$A:$A,0)),"")</f>
        <v>3.8235294117647061E-3</v>
      </c>
      <c r="Y462" t="str">
        <f>IFERROR(INDEX('2023_24'!$M:$M,MATCH($A462,'2023_24'!$A:$A,0))/INDEX('2023_24'!$G:$G,MATCH($A462,'2023_24'!$A:$A,0))*90,"")</f>
        <v/>
      </c>
      <c r="Z462" t="str">
        <f>IFERROR(INDEX('2024_25'!$M:$M,MATCH($A462,'2024_25'!$A:$A,0))/INDEX('2024_25'!$G:$G,MATCH($A462,'2024_25'!$A:$A,0))*90,"")</f>
        <v/>
      </c>
      <c r="AA462">
        <f>IFERROR(INDEX('2025_26'!$M:$M,MATCH($A462,'2025_26'!$A:$A,0))/INDEX('2025_26'!$G:$G,MATCH($A462,'2025_26'!$A:$A,0))*90,"")</f>
        <v>3.9705882352941178</v>
      </c>
      <c r="AB462">
        <f>IFERROR(SUMPRODUCT(S462:U462,{0.2,0.3,0.5})/SUMPRODUCT(--(S462:U462&lt;&gt;""),{0.2,0.3,0.5}),"")</f>
        <v>0</v>
      </c>
      <c r="AC462">
        <f>IFERROR(SUMPRODUCT(V462:X462,{0.2,0.3,0.5})/SUMPRODUCT(--(V462:X462&lt;&gt;""),{0.2,0.3,0.5}),"")</f>
        <v>3.8235294117647061E-3</v>
      </c>
      <c r="AD462">
        <f>IFERROR(SUMPRODUCT(Y462:AA462,{0.2,0.3,0.5})/SUMPRODUCT((Y462:AA462&lt;&gt;"")*{0.2,0.3,0.5}),O462)</f>
        <v>3.9705882352941178</v>
      </c>
      <c r="AE462">
        <f t="shared" si="187"/>
        <v>1</v>
      </c>
      <c r="AF462">
        <f t="shared" si="188"/>
        <v>90</v>
      </c>
      <c r="AG462">
        <f t="shared" si="189"/>
        <v>0</v>
      </c>
      <c r="AH462">
        <f t="shared" si="190"/>
        <v>3.823529411764705E-4</v>
      </c>
      <c r="AI462" s="2">
        <f t="shared" si="191"/>
        <v>3.3970588235294117</v>
      </c>
      <c r="AJ462">
        <f t="shared" si="192"/>
        <v>0.9</v>
      </c>
      <c r="AK462" t="str">
        <f t="shared" si="193"/>
        <v>NO</v>
      </c>
      <c r="AL462">
        <f t="shared" si="194"/>
        <v>0</v>
      </c>
      <c r="AM462">
        <f t="shared" si="195"/>
        <v>3.823529411764705E-4</v>
      </c>
      <c r="AN462">
        <f t="shared" si="196"/>
        <v>0</v>
      </c>
      <c r="AO462">
        <f t="shared" si="197"/>
        <v>3.823529411764705E-4</v>
      </c>
      <c r="AP462">
        <f t="array" ref="AP462">AL462*IF($C462="GKP",10,IF($C462="DEF",6,IF($C462="MID",5,4)))</f>
        <v>0</v>
      </c>
      <c r="AQ462">
        <f t="shared" si="198"/>
        <v>1.1470588235294116E-3</v>
      </c>
      <c r="AR462">
        <f t="shared" si="199"/>
        <v>2</v>
      </c>
      <c r="AS462" s="2">
        <f>IF($H462=0,0,Player_Analysis!$AM462*$H462/90)</f>
        <v>1.3333333333333333</v>
      </c>
      <c r="AT462">
        <f t="shared" si="200"/>
        <v>0</v>
      </c>
      <c r="AU462" s="2">
        <f>0</f>
        <v>0</v>
      </c>
      <c r="AV462" s="2">
        <f>IF(INDEX(FPL_Raw_Data!K:K,MATCH(A462,FPL_Raw_Data!AA:AA,0))=0,"",INDEX(FPL_Raw_Data!P:P,MATCH(A462,FPL_Raw_Data!AA:AA,0))/INDEX(FPL_Raw_Data!K:K,MATCH(A462,FPL_Raw_Data!AA:AA,0))*90)</f>
        <v>2.3333333333333335</v>
      </c>
      <c r="AW462" s="2">
        <f t="shared" si="201"/>
        <v>0.77777777777777779</v>
      </c>
      <c r="AX462" s="2">
        <f>IFERROR(INDEX(TEAM_ANALYSIS!$H$2:$H$21,MATCH($B462,TEAM_ANALYSIS!$A$2:$A$21,0)),0)</f>
        <v>0.66666666666666663</v>
      </c>
      <c r="AY462" s="2">
        <f t="shared" si="202"/>
        <v>0</v>
      </c>
      <c r="AZ462" s="2">
        <f t="shared" si="203"/>
        <v>4.1122581699346403</v>
      </c>
      <c r="BA462">
        <f t="shared" si="204"/>
        <v>0.7476833036244801</v>
      </c>
      <c r="BB462">
        <f>IFERROR(Player_Analysis!$Y462,1)</f>
        <v>1.1338276422764224</v>
      </c>
      <c r="BC462">
        <f t="shared" si="205"/>
        <v>4.662591985248949</v>
      </c>
      <c r="BD462">
        <f t="shared" si="206"/>
        <v>3.4861421789839575</v>
      </c>
      <c r="BE462">
        <f t="shared" si="207"/>
        <v>4.662591985248949</v>
      </c>
      <c r="BF462">
        <f t="shared" si="208"/>
        <v>116</v>
      </c>
      <c r="BG462">
        <f>IF($BE462="","",COUNTIFS($C$2:$C$596,$C462,$BE$2:$BE$596,"&gt;"&amp;$BE462)+COUNTIFS($C$2:$C462,$C462,$BE$2:$BE462,$BE462))</f>
        <v>7</v>
      </c>
    </row>
    <row r="463" spans="1:59" x14ac:dyDescent="0.25">
      <c r="A463" t="str">
        <f>Player_Analysis!A463</f>
        <v>Marcus Bettinelli</v>
      </c>
      <c r="B463">
        <f>Player_Analysis!C463</f>
        <v>15</v>
      </c>
      <c r="C463" t="str">
        <f>Player_Analysis!B463</f>
        <v>GK</v>
      </c>
      <c r="D463" s="13">
        <f>Player_Analysis!E463</f>
        <v>4.5</v>
      </c>
      <c r="E463">
        <f>Player_Analysis!I463</f>
        <v>0</v>
      </c>
      <c r="F463" s="8">
        <f>Player_Analysis!Z463</f>
        <v>0</v>
      </c>
      <c r="G463" s="17">
        <f t="shared" si="183"/>
        <v>0</v>
      </c>
      <c r="H463">
        <f t="shared" si="184"/>
        <v>0</v>
      </c>
      <c r="I463" s="8">
        <f>Player_Analysis!AF463</f>
        <v>0</v>
      </c>
      <c r="J463" s="8">
        <f>Player_Analysis!AG463</f>
        <v>0</v>
      </c>
      <c r="K463">
        <f>Player_Analysis!O463</f>
        <v>0</v>
      </c>
      <c r="L463">
        <f>Player_Analysis!P463</f>
        <v>0</v>
      </c>
      <c r="M463" t="str">
        <f t="shared" si="185"/>
        <v/>
      </c>
      <c r="N463" t="str">
        <f t="shared" si="186"/>
        <v/>
      </c>
      <c r="O463" s="2" t="str">
        <f>IF(E463=0,"",Player_Analysis!L463/E463*90)</f>
        <v/>
      </c>
      <c r="P463" t="str">
        <f>IF(E463=0,"",Player_Analysis!Q463/E463*90)</f>
        <v/>
      </c>
      <c r="Q463" t="str">
        <f>IF(E463=0,"",(Player_Analysis!AD463/E463)*90)</f>
        <v/>
      </c>
      <c r="R463" t="str">
        <f>IF(E463=0,"",Player_Analysis!AA463/E463*90)</f>
        <v/>
      </c>
      <c r="S463">
        <f t="array" ref="S463">IFERROR(INDEX('2023_24'!$O:$O,MATCH($A463,'2023_24'!$A:$A,0)),"")</f>
        <v>0</v>
      </c>
      <c r="T463">
        <f>IFERROR(INDEX('2024_25'!$P:$P,MATCH($A463,'2024_25'!$A:$A,0)),"")</f>
        <v>0</v>
      </c>
      <c r="U463">
        <f>IFERROR(INDEX('2025_26'!$P:$P,MATCH($A463,'2025_26'!$A:$A,0)),"")</f>
        <v>0</v>
      </c>
      <c r="V463">
        <f>IFERROR(INDEX('2023_24'!$P:$P,MATCH($A463,'2023_24'!$A:$A,0)),"")</f>
        <v>0</v>
      </c>
      <c r="W463">
        <f>IFERROR(INDEX('2024_25'!$Q:$Q,MATCH($A463,'2024_25'!$A:$A,0)),"")</f>
        <v>0</v>
      </c>
      <c r="X463">
        <f>IFERROR(INDEX('2025_26'!$Q:$Q,MATCH($A463,'2025_26'!$A:$A,0)),"")</f>
        <v>0</v>
      </c>
      <c r="Y463" t="str">
        <f>IFERROR(INDEX('2023_24'!$M:$M,MATCH($A463,'2023_24'!$A:$A,0))/INDEX('2023_24'!$G:$G,MATCH($A463,'2023_24'!$A:$A,0))*90,"")</f>
        <v/>
      </c>
      <c r="Z463" t="str">
        <f>IFERROR(INDEX('2024_25'!$M:$M,MATCH($A463,'2024_25'!$A:$A,0))/INDEX('2024_25'!$G:$G,MATCH($A463,'2024_25'!$A:$A,0))*90,"")</f>
        <v/>
      </c>
      <c r="AA463" t="str">
        <f>IFERROR(INDEX('2025_26'!$M:$M,MATCH($A463,'2025_26'!$A:$A,0))/INDEX('2025_26'!$G:$G,MATCH($A463,'2025_26'!$A:$A,0))*90,"")</f>
        <v/>
      </c>
      <c r="AB463">
        <f>IFERROR(SUMPRODUCT(S463:U463,{0.2,0.3,0.5})/SUMPRODUCT(--(S463:U463&lt;&gt;""),{0.2,0.3,0.5}),"")</f>
        <v>0</v>
      </c>
      <c r="AC463">
        <f>IFERROR(SUMPRODUCT(V463:X463,{0.2,0.3,0.5})/SUMPRODUCT(--(V463:X463&lt;&gt;""),{0.2,0.3,0.5}),"")</f>
        <v>0</v>
      </c>
      <c r="AD463" t="str">
        <f>IFERROR(SUMPRODUCT(Y463:AA463,{0.2,0.3,0.5})/SUMPRODUCT((Y463:AA463&lt;&gt;"")*{0.2,0.3,0.5}),O463)</f>
        <v/>
      </c>
      <c r="AE463">
        <f t="shared" si="187"/>
        <v>3</v>
      </c>
      <c r="AF463" t="str">
        <f t="shared" si="188"/>
        <v/>
      </c>
      <c r="AG463">
        <f t="shared" si="189"/>
        <v>0</v>
      </c>
      <c r="AH463">
        <f t="shared" si="190"/>
        <v>0</v>
      </c>
      <c r="AI463" s="2">
        <f t="shared" si="191"/>
        <v>0</v>
      </c>
      <c r="AJ463">
        <f t="shared" si="192"/>
        <v>0</v>
      </c>
      <c r="AK463" t="str">
        <f t="shared" si="193"/>
        <v>NO</v>
      </c>
      <c r="AL463">
        <f t="shared" si="194"/>
        <v>0</v>
      </c>
      <c r="AM463">
        <f t="shared" si="195"/>
        <v>0</v>
      </c>
      <c r="AN463">
        <f t="shared" si="196"/>
        <v>0</v>
      </c>
      <c r="AO463">
        <f t="shared" si="197"/>
        <v>0</v>
      </c>
      <c r="AP463">
        <f t="array" ref="AP463">AL463*IF($C463="GKP",10,IF($C463="DEF",6,IF($C463="MID",5,4)))</f>
        <v>0</v>
      </c>
      <c r="AQ463">
        <f t="shared" si="198"/>
        <v>0</v>
      </c>
      <c r="AR463">
        <f t="shared" si="199"/>
        <v>0</v>
      </c>
      <c r="AS463" s="2">
        <f>IF($H463=0,0,Player_Analysis!$AM463*$H463/90)</f>
        <v>0</v>
      </c>
      <c r="AT463">
        <f t="shared" si="200"/>
        <v>0</v>
      </c>
      <c r="AU463" s="2">
        <f>0</f>
        <v>0</v>
      </c>
      <c r="AV463" s="2" t="str">
        <f>IF(INDEX(FPL_Raw_Data!K:K,MATCH(A463,FPL_Raw_Data!AA:AA,0))=0,"",INDEX(FPL_Raw_Data!P:P,MATCH(A463,FPL_Raw_Data!AA:AA,0))/INDEX(FPL_Raw_Data!K:K,MATCH(A463,FPL_Raw_Data!AA:AA,0))*90)</f>
        <v/>
      </c>
      <c r="AW463" s="2">
        <f t="shared" si="201"/>
        <v>0</v>
      </c>
      <c r="AX463" s="2">
        <f>IFERROR(INDEX(TEAM_ANALYSIS!$H$2:$H$21,MATCH($B463,TEAM_ANALYSIS!$A$2:$A$21,0)),0)</f>
        <v>0.66666666666666663</v>
      </c>
      <c r="AY463" s="2">
        <f t="shared" si="202"/>
        <v>0</v>
      </c>
      <c r="AZ463" s="2">
        <f t="shared" si="203"/>
        <v>0</v>
      </c>
      <c r="BA463">
        <f t="shared" si="204"/>
        <v>0</v>
      </c>
      <c r="BB463">
        <f>IFERROR(Player_Analysis!$Y463,1)</f>
        <v>1.1338276422764224</v>
      </c>
      <c r="BC463">
        <f t="shared" si="205"/>
        <v>0</v>
      </c>
      <c r="BD463">
        <f t="shared" si="206"/>
        <v>0</v>
      </c>
      <c r="BE463">
        <f t="shared" si="207"/>
        <v>0</v>
      </c>
      <c r="BF463">
        <f t="shared" si="208"/>
        <v>253</v>
      </c>
      <c r="BG463">
        <f>IF($BE463="","",COUNTIFS($C$2:$C$596,$C463,$BE$2:$BE$596,"&gt;"&amp;$BE463)+COUNTIFS($C$2:$C463,$C463,$BE$2:$BE463,$BE463))</f>
        <v>56</v>
      </c>
    </row>
    <row r="464" spans="1:59" x14ac:dyDescent="0.25">
      <c r="A464" t="str">
        <f>Player_Analysis!A464</f>
        <v>Nico O'Reilly</v>
      </c>
      <c r="B464">
        <f>Player_Analysis!C464</f>
        <v>15</v>
      </c>
      <c r="C464" t="str">
        <f>Player_Analysis!B464</f>
        <v>DEF</v>
      </c>
      <c r="D464" s="13">
        <f>Player_Analysis!E464</f>
        <v>6.5</v>
      </c>
      <c r="E464">
        <f>Player_Analysis!I464</f>
        <v>150</v>
      </c>
      <c r="F464" s="8">
        <f>Player_Analysis!Z464</f>
        <v>2</v>
      </c>
      <c r="G464" s="17">
        <f t="shared" si="183"/>
        <v>1</v>
      </c>
      <c r="H464">
        <f t="shared" si="184"/>
        <v>90</v>
      </c>
      <c r="I464" s="8">
        <f>Player_Analysis!AF464</f>
        <v>0</v>
      </c>
      <c r="J464" s="8">
        <f>Player_Analysis!AG464</f>
        <v>0</v>
      </c>
      <c r="K464">
        <f>Player_Analysis!O464</f>
        <v>0.09</v>
      </c>
      <c r="L464">
        <f>Player_Analysis!P464</f>
        <v>0.43</v>
      </c>
      <c r="M464">
        <f t="shared" si="185"/>
        <v>5.3999999999999992E-2</v>
      </c>
      <c r="N464">
        <f t="shared" si="186"/>
        <v>0.25800000000000001</v>
      </c>
      <c r="O464" s="2">
        <f>IF(E464=0,"",Player_Analysis!L464/E464*90)</f>
        <v>2.4000000000000004</v>
      </c>
      <c r="P464">
        <f>IF(E464=0,"",Player_Analysis!Q464/E464*90)</f>
        <v>0.312</v>
      </c>
      <c r="Q464">
        <f>IF(E464=0,"",(Player_Analysis!AD464/E464)*90)</f>
        <v>9.6000000000000014</v>
      </c>
      <c r="R464">
        <f>IF(E464=0,"",Player_Analysis!AA464/E464*90)</f>
        <v>1.8</v>
      </c>
      <c r="S464" t="str">
        <f t="array" ref="S464">IFERROR(INDEX('2023_24'!$O:$O,MATCH($A464,'2023_24'!$A:$A,0)),"")</f>
        <v/>
      </c>
      <c r="T464">
        <f>IFERROR(INDEX('2024_25'!$P:$P,MATCH($A464,'2024_25'!$A:$A,0)),"")</f>
        <v>0.21942857142857145</v>
      </c>
      <c r="U464">
        <f>IFERROR(INDEX('2025_26'!$P:$P,MATCH($A464,'2025_26'!$A:$A,0)),"")</f>
        <v>0.20839954597048807</v>
      </c>
      <c r="V464" t="str">
        <f>IFERROR(INDEX('2023_24'!$P:$P,MATCH($A464,'2023_24'!$A:$A,0)),"")</f>
        <v/>
      </c>
      <c r="W464">
        <f>IFERROR(INDEX('2024_25'!$Q:$Q,MATCH($A464,'2024_25'!$A:$A,0)),"")</f>
        <v>0.11657142857142859</v>
      </c>
      <c r="X464">
        <f>IFERROR(INDEX('2025_26'!$Q:$Q,MATCH($A464,'2025_26'!$A:$A,0)),"")</f>
        <v>9.0919409761634498E-2</v>
      </c>
      <c r="Y464" t="str">
        <f>IFERROR(INDEX('2023_24'!$M:$M,MATCH($A464,'2023_24'!$A:$A,0))/INDEX('2023_24'!$G:$G,MATCH($A464,'2023_24'!$A:$A,0))*90,"")</f>
        <v/>
      </c>
      <c r="Z464">
        <f>IFERROR(INDEX('2024_25'!$M:$M,MATCH($A464,'2024_25'!$A:$A,0))/INDEX('2024_25'!$G:$G,MATCH($A464,'2024_25'!$A:$A,0))*90,"")</f>
        <v>5.3142857142857149</v>
      </c>
      <c r="AA464">
        <f>IFERROR(INDEX('2025_26'!$M:$M,MATCH($A464,'2025_26'!$A:$A,0))/INDEX('2025_26'!$G:$G,MATCH($A464,'2025_26'!$A:$A,0))*90,"")</f>
        <v>5.4483541430192961</v>
      </c>
      <c r="AB464">
        <f>IFERROR(SUMPRODUCT(S464:U464,{0.2,0.3,0.5})/SUMPRODUCT(--(S464:U464&lt;&gt;""),{0.2,0.3,0.5}),"")</f>
        <v>0.21253543051726934</v>
      </c>
      <c r="AC464">
        <f>IFERROR(SUMPRODUCT(V464:X464,{0.2,0.3,0.5})/SUMPRODUCT(--(V464:X464&lt;&gt;""),{0.2,0.3,0.5}),"")</f>
        <v>0.10053891681530727</v>
      </c>
      <c r="AD464">
        <f>IFERROR(SUMPRODUCT(Y464:AA464,{0.2,0.3,0.5})/SUMPRODUCT((Y464:AA464&lt;&gt;"")*{0.2,0.3,0.5}),O464)</f>
        <v>5.3980784822442027</v>
      </c>
      <c r="AE464">
        <f t="shared" si="187"/>
        <v>2</v>
      </c>
      <c r="AF464">
        <f t="shared" si="188"/>
        <v>75</v>
      </c>
      <c r="AG464">
        <f t="shared" si="189"/>
        <v>0.13326771525863468</v>
      </c>
      <c r="AH464">
        <f t="shared" si="190"/>
        <v>0.17926945840765363</v>
      </c>
      <c r="AI464" s="2">
        <f t="shared" si="191"/>
        <v>3.8990392411221015</v>
      </c>
      <c r="AJ464">
        <f t="shared" si="192"/>
        <v>0.5</v>
      </c>
      <c r="AK464" t="str">
        <f t="shared" si="193"/>
        <v>NO</v>
      </c>
      <c r="AL464">
        <f t="shared" si="194"/>
        <v>0.13326771525863468</v>
      </c>
      <c r="AM464">
        <f t="shared" si="195"/>
        <v>0.17926945840765363</v>
      </c>
      <c r="AN464">
        <f t="shared" si="196"/>
        <v>0.13326771525863468</v>
      </c>
      <c r="AO464">
        <f t="shared" si="197"/>
        <v>0.17926945840765363</v>
      </c>
      <c r="AP464">
        <f t="array" ref="AP464">AL464*IF($C464="GKP",10,IF($C464="DEF",6,IF($C464="MID",5,4)))</f>
        <v>0.79960629155180807</v>
      </c>
      <c r="AQ464">
        <f t="shared" si="198"/>
        <v>0.53780837522296088</v>
      </c>
      <c r="AR464">
        <f t="shared" si="199"/>
        <v>2</v>
      </c>
      <c r="AS464" s="2">
        <f>IF($H464=0,0,Player_Analysis!$AM464*$H464/90)</f>
        <v>0</v>
      </c>
      <c r="AT464">
        <f t="shared" si="200"/>
        <v>0.36</v>
      </c>
      <c r="AU464" s="2">
        <f>0</f>
        <v>0</v>
      </c>
      <c r="AV464" s="2">
        <f>IF(INDEX(FPL_Raw_Data!K:K,MATCH(A464,FPL_Raw_Data!AA:AA,0))=0,"",INDEX(FPL_Raw_Data!P:P,MATCH(A464,FPL_Raw_Data!AA:AA,0))/INDEX(FPL_Raw_Data!K:K,MATCH(A464,FPL_Raw_Data!AA:AA,0))*90)</f>
        <v>0</v>
      </c>
      <c r="AW464" s="2">
        <f t="shared" si="201"/>
        <v>0</v>
      </c>
      <c r="AX464" s="2">
        <f>IFERROR(INDEX(TEAM_ANALYSIS!$H$2:$H$21,MATCH($B464,TEAM_ANALYSIS!$A$2:$A$21,0)),0)</f>
        <v>0.66666666666666663</v>
      </c>
      <c r="AY464" s="2">
        <f t="shared" si="202"/>
        <v>-0.33333333333333331</v>
      </c>
      <c r="AZ464" s="2">
        <f t="shared" si="203"/>
        <v>3.3640813334414355</v>
      </c>
      <c r="BA464">
        <f t="shared" si="204"/>
        <v>0.51755097437560549</v>
      </c>
      <c r="BB464">
        <f>IFERROR(Player_Analysis!$Y464,1)</f>
        <v>1.1338276422764224</v>
      </c>
      <c r="BC464">
        <f t="shared" si="205"/>
        <v>3.8142884067220262</v>
      </c>
      <c r="BD464">
        <f t="shared" si="206"/>
        <v>1.9740886814485605</v>
      </c>
      <c r="BE464">
        <f t="shared" si="207"/>
        <v>3.8142884067220262</v>
      </c>
      <c r="BF464">
        <f t="shared" si="208"/>
        <v>169</v>
      </c>
      <c r="BG464">
        <f>IF($BE464="","",COUNTIFS($C$2:$C$596,$C464,$BE$2:$BE$596,"&gt;"&amp;$BE464)+COUNTIFS($C$2:$C464,$C464,$BE$2:$BE464,$BE464))</f>
        <v>54</v>
      </c>
    </row>
    <row r="465" spans="1:59" x14ac:dyDescent="0.25">
      <c r="A465" t="str">
        <f>Player_Analysis!A465</f>
        <v>Marc Guéhi</v>
      </c>
      <c r="B465">
        <f>Player_Analysis!C465</f>
        <v>15</v>
      </c>
      <c r="C465" t="str">
        <f>Player_Analysis!B465</f>
        <v>DEF</v>
      </c>
      <c r="D465" s="13">
        <f>Player_Analysis!E465</f>
        <v>6</v>
      </c>
      <c r="E465">
        <f>Player_Analysis!I465</f>
        <v>270</v>
      </c>
      <c r="F465" s="8">
        <f>Player_Analysis!Z465</f>
        <v>3</v>
      </c>
      <c r="G465" s="17">
        <f t="shared" si="183"/>
        <v>1</v>
      </c>
      <c r="H465">
        <f t="shared" si="184"/>
        <v>90</v>
      </c>
      <c r="I465" s="8">
        <f>Player_Analysis!AF465</f>
        <v>1</v>
      </c>
      <c r="J465" s="8">
        <f>Player_Analysis!AG465</f>
        <v>0</v>
      </c>
      <c r="K465">
        <f>Player_Analysis!O465</f>
        <v>0.89</v>
      </c>
      <c r="L465">
        <f>Player_Analysis!P465</f>
        <v>0.38</v>
      </c>
      <c r="M465">
        <f t="shared" si="185"/>
        <v>0.29666666666666669</v>
      </c>
      <c r="N465">
        <f t="shared" si="186"/>
        <v>0.12666666666666665</v>
      </c>
      <c r="O465" s="2">
        <f>IF(E465=0,"",Player_Analysis!L465/E465*90)</f>
        <v>6.6666666666666661</v>
      </c>
      <c r="P465">
        <f>IF(E465=0,"",Player_Analysis!Q465/E465*90)</f>
        <v>0.42333333333333334</v>
      </c>
      <c r="Q465">
        <f>IF(E465=0,"",(Player_Analysis!AD465/E465)*90)</f>
        <v>24.666666666666668</v>
      </c>
      <c r="R465">
        <f>IF(E465=0,"",Player_Analysis!AA465/E465*90)</f>
        <v>6</v>
      </c>
      <c r="S465">
        <f t="array" ref="S465">IFERROR(INDEX('2023_24'!$O:$O,MATCH($A465,'2023_24'!$A:$A,0)),"")</f>
        <v>2.584158415841584E-2</v>
      </c>
      <c r="T465">
        <f>IFERROR(INDEX('2024_25'!$P:$P,MATCH($A465,'2024_25'!$A:$A,0)),"")</f>
        <v>5.5017979731938539E-2</v>
      </c>
      <c r="U465">
        <f>IFERROR(INDEX('2025_26'!$P:$P,MATCH($A465,'2025_26'!$A:$A,0)),"")</f>
        <v>0.11571428571428571</v>
      </c>
      <c r="V465">
        <f>IFERROR(INDEX('2023_24'!$P:$P,MATCH($A465,'2023_24'!$A:$A,0)),"")</f>
        <v>4.4554455445544552E-2</v>
      </c>
      <c r="W465">
        <f>IFERROR(INDEX('2024_25'!$Q:$Q,MATCH($A465,'2024_25'!$A:$A,0)),"")</f>
        <v>5.9136972866949973E-2</v>
      </c>
      <c r="X465">
        <f>IFERROR(INDEX('2025_26'!$Q:$Q,MATCH($A465,'2025_26'!$A:$A,0)),"")</f>
        <v>6.7714285714285713E-2</v>
      </c>
      <c r="Y465">
        <f>IFERROR(INDEX('2023_24'!$M:$M,MATCH($A465,'2023_24'!$A:$A,0))/INDEX('2023_24'!$G:$G,MATCH($A465,'2023_24'!$A:$A,0))*90,"")</f>
        <v>2.9405940594059405</v>
      </c>
      <c r="Z465">
        <f>IFERROR(INDEX('2024_25'!$M:$M,MATCH($A465,'2024_25'!$A:$A,0))/INDEX('2024_25'!$G:$G,MATCH($A465,'2024_25'!$A:$A,0))*90,"")</f>
        <v>3.4128800261523375</v>
      </c>
      <c r="AA465">
        <f>IFERROR(INDEX('2025_26'!$M:$M,MATCH($A465,'2025_26'!$A:$A,0))/INDEX('2025_26'!$G:$G,MATCH($A465,'2025_26'!$A:$A,0))*90,"")</f>
        <v>5.1142857142857148</v>
      </c>
      <c r="AB465">
        <f>IFERROR(SUMPRODUCT(S465:U465,{0.2,0.3,0.5})/SUMPRODUCT(--(S465:U465&lt;&gt;""),{0.2,0.3,0.5}),"")</f>
        <v>7.9530853608407587E-2</v>
      </c>
      <c r="AC465">
        <f>IFERROR(SUMPRODUCT(V465:X465,{0.2,0.3,0.5})/SUMPRODUCT(--(V465:X465&lt;&gt;""),{0.2,0.3,0.5}),"")</f>
        <v>6.0509125806336758E-2</v>
      </c>
      <c r="AD465">
        <f>IFERROR(SUMPRODUCT(Y465:AA465,{0.2,0.3,0.5})/SUMPRODUCT((Y465:AA465&lt;&gt;"")*{0.2,0.3,0.5}),O465)</f>
        <v>4.1691256768697471</v>
      </c>
      <c r="AE465">
        <f t="shared" si="187"/>
        <v>3</v>
      </c>
      <c r="AF465">
        <f t="shared" si="188"/>
        <v>90</v>
      </c>
      <c r="AG465">
        <f t="shared" si="189"/>
        <v>0.27495308536084079</v>
      </c>
      <c r="AH465">
        <f t="shared" si="190"/>
        <v>0.12005091258063366</v>
      </c>
      <c r="AI465" s="2">
        <f t="shared" si="191"/>
        <v>6.4169125676869747</v>
      </c>
      <c r="AJ465">
        <f t="shared" si="192"/>
        <v>0.9</v>
      </c>
      <c r="AK465" t="str">
        <f t="shared" si="193"/>
        <v>NO</v>
      </c>
      <c r="AL465">
        <f t="shared" si="194"/>
        <v>0.27495308536084079</v>
      </c>
      <c r="AM465">
        <f t="shared" si="195"/>
        <v>0.12005091258063366</v>
      </c>
      <c r="AN465">
        <f t="shared" si="196"/>
        <v>0.27495308536084079</v>
      </c>
      <c r="AO465">
        <f t="shared" si="197"/>
        <v>0.12005091258063366</v>
      </c>
      <c r="AP465">
        <f t="array" ref="AP465">AL465*IF($C465="GKP",10,IF($C465="DEF",6,IF($C465="MID",5,4)))</f>
        <v>1.6497185121650446</v>
      </c>
      <c r="AQ465">
        <f t="shared" si="198"/>
        <v>0.36015273774190099</v>
      </c>
      <c r="AR465">
        <f t="shared" si="199"/>
        <v>2</v>
      </c>
      <c r="AS465" s="2">
        <f>IF($H465=0,0,Player_Analysis!$AM465*$H465/90)</f>
        <v>1.3333333333333333</v>
      </c>
      <c r="AT465">
        <f t="shared" si="200"/>
        <v>1.2</v>
      </c>
      <c r="AU465" s="2">
        <f>0</f>
        <v>0</v>
      </c>
      <c r="AV465" s="2">
        <f>IF(INDEX(FPL_Raw_Data!K:K,MATCH(A465,FPL_Raw_Data!AA:AA,0))=0,"",INDEX(FPL_Raw_Data!P:P,MATCH(A465,FPL_Raw_Data!AA:AA,0))/INDEX(FPL_Raw_Data!K:K,MATCH(A465,FPL_Raw_Data!AA:AA,0))*90)</f>
        <v>0</v>
      </c>
      <c r="AW465" s="2">
        <f t="shared" si="201"/>
        <v>0</v>
      </c>
      <c r="AX465" s="2">
        <f>IFERROR(INDEX(TEAM_ANALYSIS!$H$2:$H$21,MATCH($B465,TEAM_ANALYSIS!$A$2:$A$21,0)),0)</f>
        <v>0.66666666666666663</v>
      </c>
      <c r="AY465" s="2">
        <f t="shared" si="202"/>
        <v>-0.33333333333333331</v>
      </c>
      <c r="AZ465" s="2">
        <f t="shared" si="203"/>
        <v>6.2098712499069455</v>
      </c>
      <c r="BA465">
        <f t="shared" si="204"/>
        <v>1.0349785416511577</v>
      </c>
      <c r="BB465">
        <f>IFERROR(Player_Analysis!$Y465,1)</f>
        <v>1.1338276422764224</v>
      </c>
      <c r="BC465">
        <f t="shared" si="205"/>
        <v>7.040923678122132</v>
      </c>
      <c r="BD465">
        <f t="shared" si="206"/>
        <v>7.2872049202599491</v>
      </c>
      <c r="BE465">
        <f t="shared" si="207"/>
        <v>7.040923678122132</v>
      </c>
      <c r="BF465">
        <f t="shared" si="208"/>
        <v>20</v>
      </c>
      <c r="BG465">
        <f>IF($BE465="","",COUNTIFS($C$2:$C$596,$C465,$BE$2:$BE$596,"&gt;"&amp;$BE465)+COUNTIFS($C$2:$C465,$C465,$BE$2:$BE465,$BE465))</f>
        <v>11</v>
      </c>
    </row>
    <row r="466" spans="1:59" x14ac:dyDescent="0.25">
      <c r="A466" t="str">
        <f>Player_Analysis!A466</f>
        <v>Matheus Nunes</v>
      </c>
      <c r="B466">
        <f>Player_Analysis!C466</f>
        <v>15</v>
      </c>
      <c r="C466" t="str">
        <f>Player_Analysis!B466</f>
        <v>DEF</v>
      </c>
      <c r="D466" s="13">
        <f>Player_Analysis!E466</f>
        <v>5.9</v>
      </c>
      <c r="E466">
        <f>Player_Analysis!I466</f>
        <v>33</v>
      </c>
      <c r="F466" s="8">
        <f>Player_Analysis!Z466</f>
        <v>0</v>
      </c>
      <c r="G466" s="17">
        <f t="shared" si="183"/>
        <v>0</v>
      </c>
      <c r="H466">
        <f t="shared" si="184"/>
        <v>0</v>
      </c>
      <c r="I466" s="8">
        <f>Player_Analysis!AF466</f>
        <v>0</v>
      </c>
      <c r="J466" s="8">
        <f>Player_Analysis!AG466</f>
        <v>0</v>
      </c>
      <c r="K466">
        <f>Player_Analysis!O466</f>
        <v>0</v>
      </c>
      <c r="L466">
        <f>Player_Analysis!P466</f>
        <v>0.04</v>
      </c>
      <c r="M466">
        <f t="shared" si="185"/>
        <v>0</v>
      </c>
      <c r="N466">
        <f t="shared" si="186"/>
        <v>0.10909090909090909</v>
      </c>
      <c r="O466" s="2">
        <f>IF(E466=0,"",Player_Analysis!L466/E466*90)</f>
        <v>2.7272727272727275</v>
      </c>
      <c r="P466">
        <f>IF(E466=0,"",Player_Analysis!Q466/E466*90)</f>
        <v>0.10909090909090909</v>
      </c>
      <c r="Q466">
        <f>IF(E466=0,"",(Player_Analysis!AD466/E466)*90)</f>
        <v>10.90909090909091</v>
      </c>
      <c r="R466">
        <f>IF(E466=0,"",Player_Analysis!AA466/E466*90)</f>
        <v>2.7272727272727275</v>
      </c>
      <c r="S466" t="str">
        <f t="array" ref="S466">IFERROR(INDEX('2023_24'!$O:$O,MATCH($A466,'2023_24'!$A:$A,0)),"")</f>
        <v/>
      </c>
      <c r="T466" t="str">
        <f>IFERROR(INDEX('2024_25'!$P:$P,MATCH($A466,'2024_25'!$A:$A,0)),"")</f>
        <v/>
      </c>
      <c r="U466">
        <f>IFERROR(INDEX('2025_26'!$P:$P,MATCH($A466,'2025_26'!$A:$A,0)),"")</f>
        <v>1.0695560992659909E-2</v>
      </c>
      <c r="V466" t="str">
        <f>IFERROR(INDEX('2023_24'!$P:$P,MATCH($A466,'2023_24'!$A:$A,0)),"")</f>
        <v/>
      </c>
      <c r="W466" t="str">
        <f>IFERROR(INDEX('2024_25'!$Q:$Q,MATCH($A466,'2024_25'!$A:$A,0)),"")</f>
        <v/>
      </c>
      <c r="X466">
        <f>IFERROR(INDEX('2025_26'!$Q:$Q,MATCH($A466,'2025_26'!$A:$A,0)),"")</f>
        <v>7.0150297098916459E-2</v>
      </c>
      <c r="Y466" t="str">
        <f>IFERROR(INDEX('2023_24'!$M:$M,MATCH($A466,'2023_24'!$A:$A,0))/INDEX('2023_24'!$G:$G,MATCH($A466,'2023_24'!$A:$A,0))*90,"")</f>
        <v/>
      </c>
      <c r="Z466" t="str">
        <f>IFERROR(INDEX('2024_25'!$M:$M,MATCH($A466,'2024_25'!$A:$A,0))/INDEX('2024_25'!$G:$G,MATCH($A466,'2024_25'!$A:$A,0))*90,"")</f>
        <v/>
      </c>
      <c r="AA466">
        <f>IFERROR(INDEX('2025_26'!$M:$M,MATCH($A466,'2025_26'!$A:$A,0))/INDEX('2025_26'!$G:$G,MATCH($A466,'2025_26'!$A:$A,0))*90,"")</f>
        <v>4.8444599790283114</v>
      </c>
      <c r="AB466">
        <f>IFERROR(SUMPRODUCT(S466:U466,{0.2,0.3,0.5})/SUMPRODUCT(--(S466:U466&lt;&gt;""),{0.2,0.3,0.5}),"")</f>
        <v>1.0695560992659909E-2</v>
      </c>
      <c r="AC466">
        <f>IFERROR(SUMPRODUCT(V466:X466,{0.2,0.3,0.5})/SUMPRODUCT(--(V466:X466&lt;&gt;""),{0.2,0.3,0.5}),"")</f>
        <v>7.0150297098916459E-2</v>
      </c>
      <c r="AD466">
        <f>IFERROR(SUMPRODUCT(Y466:AA466,{0.2,0.3,0.5})/SUMPRODUCT((Y466:AA466&lt;&gt;"")*{0.2,0.3,0.5}),O466)</f>
        <v>4.8444599790283114</v>
      </c>
      <c r="AE466">
        <f t="shared" si="187"/>
        <v>1</v>
      </c>
      <c r="AF466" t="str">
        <f t="shared" si="188"/>
        <v/>
      </c>
      <c r="AG466">
        <f t="shared" si="189"/>
        <v>9.519049283467319E-3</v>
      </c>
      <c r="AH466">
        <f t="shared" si="190"/>
        <v>7.4433764418035647E-2</v>
      </c>
      <c r="AI466" s="2">
        <f t="shared" si="191"/>
        <v>4.6115693813351974</v>
      </c>
      <c r="AJ466">
        <f t="shared" si="192"/>
        <v>0.11</v>
      </c>
      <c r="AK466" t="str">
        <f t="shared" si="193"/>
        <v>NO</v>
      </c>
      <c r="AL466">
        <f t="shared" si="194"/>
        <v>0</v>
      </c>
      <c r="AM466">
        <f t="shared" si="195"/>
        <v>0</v>
      </c>
      <c r="AN466">
        <f t="shared" si="196"/>
        <v>0</v>
      </c>
      <c r="AO466">
        <f t="shared" si="197"/>
        <v>0</v>
      </c>
      <c r="AP466">
        <f t="array" ref="AP466">AL466*IF($C466="GKP",10,IF($C466="DEF",6,IF($C466="MID",5,4)))</f>
        <v>0</v>
      </c>
      <c r="AQ466">
        <f t="shared" si="198"/>
        <v>0</v>
      </c>
      <c r="AR466">
        <f t="shared" si="199"/>
        <v>0</v>
      </c>
      <c r="AS466" s="2">
        <f>IF($H466=0,0,Player_Analysis!$AM466*$H466/90)</f>
        <v>0</v>
      </c>
      <c r="AT466">
        <f t="shared" si="200"/>
        <v>0</v>
      </c>
      <c r="AU466" s="2">
        <f>0</f>
        <v>0</v>
      </c>
      <c r="AV466" s="2">
        <f>IF(INDEX(FPL_Raw_Data!K:K,MATCH(A466,FPL_Raw_Data!AA:AA,0))=0,"",INDEX(FPL_Raw_Data!P:P,MATCH(A466,FPL_Raw_Data!AA:AA,0))/INDEX(FPL_Raw_Data!K:K,MATCH(A466,FPL_Raw_Data!AA:AA,0))*90)</f>
        <v>0</v>
      </c>
      <c r="AW466" s="2">
        <f t="shared" si="201"/>
        <v>0</v>
      </c>
      <c r="AX466" s="2">
        <f>IFERROR(INDEX(TEAM_ANALYSIS!$H$2:$H$21,MATCH($B466,TEAM_ANALYSIS!$A$2:$A$21,0)),0)</f>
        <v>0.66666666666666663</v>
      </c>
      <c r="AY466" s="2">
        <f t="shared" si="202"/>
        <v>-0.33333333333333331</v>
      </c>
      <c r="AZ466" s="2">
        <f t="shared" si="203"/>
        <v>-0.33333333333333331</v>
      </c>
      <c r="BA466">
        <f t="shared" si="204"/>
        <v>-5.6497175141242931E-2</v>
      </c>
      <c r="BB466">
        <f>IFERROR(Player_Analysis!$Y466,1)</f>
        <v>1.1338276422764224</v>
      </c>
      <c r="BC466">
        <f t="shared" si="205"/>
        <v>-0.37794254742547412</v>
      </c>
      <c r="BD466">
        <f t="shared" si="206"/>
        <v>2.1352686295224525E-2</v>
      </c>
      <c r="BE466">
        <f t="shared" si="207"/>
        <v>-0.37794254742547412</v>
      </c>
      <c r="BF466">
        <f t="shared" si="208"/>
        <v>517</v>
      </c>
      <c r="BG466">
        <f>IF($BE466="","",COUNTIFS($C$2:$C$596,$C466,$BE$2:$BE$596,"&gt;"&amp;$BE466)+COUNTIFS($C$2:$C466,$C466,$BE$2:$BE466,$BE466))</f>
        <v>114</v>
      </c>
    </row>
    <row r="467" spans="1:59" x14ac:dyDescent="0.25">
      <c r="A467" t="str">
        <f>Player_Analysis!A467</f>
        <v>Rúben dos Santos Gato Alves Dias</v>
      </c>
      <c r="B467">
        <f>Player_Analysis!C467</f>
        <v>15</v>
      </c>
      <c r="C467" t="str">
        <f>Player_Analysis!B467</f>
        <v>DEF</v>
      </c>
      <c r="D467" s="13">
        <f>Player_Analysis!E467</f>
        <v>5.5</v>
      </c>
      <c r="E467">
        <f>Player_Analysis!I467</f>
        <v>270</v>
      </c>
      <c r="F467" s="8">
        <f>Player_Analysis!Z467</f>
        <v>3</v>
      </c>
      <c r="G467" s="17">
        <f t="shared" si="183"/>
        <v>1</v>
      </c>
      <c r="H467">
        <f t="shared" si="184"/>
        <v>90</v>
      </c>
      <c r="I467" s="8">
        <f>Player_Analysis!AF467</f>
        <v>0</v>
      </c>
      <c r="J467" s="8">
        <f>Player_Analysis!AG467</f>
        <v>0</v>
      </c>
      <c r="K467">
        <f>Player_Analysis!O467</f>
        <v>0.09</v>
      </c>
      <c r="L467">
        <f>Player_Analysis!P467</f>
        <v>0.74</v>
      </c>
      <c r="M467">
        <f t="shared" si="185"/>
        <v>0.03</v>
      </c>
      <c r="N467">
        <f t="shared" si="186"/>
        <v>0.24666666666666665</v>
      </c>
      <c r="O467" s="2">
        <f>IF(E467=0,"",Player_Analysis!L467/E467*90)</f>
        <v>3.333333333333333</v>
      </c>
      <c r="P467">
        <f>IF(E467=0,"",Player_Analysis!Q467/E467*90)</f>
        <v>0.27666666666666667</v>
      </c>
      <c r="Q467">
        <f>IF(E467=0,"",(Player_Analysis!AD467/E467)*90)</f>
        <v>18.333333333333332</v>
      </c>
      <c r="R467">
        <f>IF(E467=0,"",Player_Analysis!AA467/E467*90)</f>
        <v>5</v>
      </c>
      <c r="S467" t="str">
        <f t="array" ref="S467">IFERROR(INDEX('2023_24'!$O:$O,MATCH($A467,'2023_24'!$A:$A,0)),"")</f>
        <v/>
      </c>
      <c r="T467" t="str">
        <f>IFERROR(INDEX('2024_25'!$P:$P,MATCH($A467,'2024_25'!$A:$A,0)),"")</f>
        <v/>
      </c>
      <c r="U467">
        <f>IFERROR(INDEX('2025_26'!$P:$P,MATCH($A467,'2025_26'!$A:$A,0)),"")</f>
        <v>2.3983169705469841E-2</v>
      </c>
      <c r="V467" t="str">
        <f>IFERROR(INDEX('2023_24'!$P:$P,MATCH($A467,'2023_24'!$A:$A,0)),"")</f>
        <v/>
      </c>
      <c r="W467" t="str">
        <f>IFERROR(INDEX('2024_25'!$Q:$Q,MATCH($A467,'2024_25'!$A:$A,0)),"")</f>
        <v/>
      </c>
      <c r="X467">
        <f>IFERROR(INDEX('2025_26'!$Q:$Q,MATCH($A467,'2025_26'!$A:$A,0)),"")</f>
        <v>2.7349228611500701E-2</v>
      </c>
      <c r="Y467" t="str">
        <f>IFERROR(INDEX('2023_24'!$M:$M,MATCH($A467,'2023_24'!$A:$A,0))/INDEX('2023_24'!$G:$G,MATCH($A467,'2023_24'!$A:$A,0))*90,"")</f>
        <v/>
      </c>
      <c r="Z467" t="str">
        <f>IFERROR(INDEX('2024_25'!$M:$M,MATCH($A467,'2024_25'!$A:$A,0))/INDEX('2024_25'!$G:$G,MATCH($A467,'2024_25'!$A:$A,0))*90,"")</f>
        <v/>
      </c>
      <c r="AA467">
        <f>IFERROR(INDEX('2025_26'!$M:$M,MATCH($A467,'2025_26'!$A:$A,0))/INDEX('2025_26'!$G:$G,MATCH($A467,'2025_26'!$A:$A,0))*90,"")</f>
        <v>4.7545582047685837</v>
      </c>
      <c r="AB467">
        <f>IFERROR(SUMPRODUCT(S467:U467,{0.2,0.3,0.5})/SUMPRODUCT(--(S467:U467&lt;&gt;""),{0.2,0.3,0.5}),"")</f>
        <v>2.3983169705469841E-2</v>
      </c>
      <c r="AC467">
        <f>IFERROR(SUMPRODUCT(V467:X467,{0.2,0.3,0.5})/SUMPRODUCT(--(V467:X467&lt;&gt;""),{0.2,0.3,0.5}),"")</f>
        <v>2.7349228611500701E-2</v>
      </c>
      <c r="AD467">
        <f>IFERROR(SUMPRODUCT(Y467:AA467,{0.2,0.3,0.5})/SUMPRODUCT((Y467:AA467&lt;&gt;"")*{0.2,0.3,0.5}),O467)</f>
        <v>4.7545582047685837</v>
      </c>
      <c r="AE467">
        <f t="shared" si="187"/>
        <v>1</v>
      </c>
      <c r="AF467">
        <f t="shared" si="188"/>
        <v>90</v>
      </c>
      <c r="AG467">
        <f t="shared" si="189"/>
        <v>2.9398316970546984E-2</v>
      </c>
      <c r="AH467">
        <f t="shared" si="190"/>
        <v>0.22473492286115004</v>
      </c>
      <c r="AI467" s="2">
        <f t="shared" si="191"/>
        <v>3.4754558204768582</v>
      </c>
      <c r="AJ467">
        <f t="shared" si="192"/>
        <v>0.9</v>
      </c>
      <c r="AK467" t="str">
        <f t="shared" si="193"/>
        <v>NO</v>
      </c>
      <c r="AL467">
        <f t="shared" si="194"/>
        <v>2.9398316970546987E-2</v>
      </c>
      <c r="AM467">
        <f t="shared" si="195"/>
        <v>0.22473492286115004</v>
      </c>
      <c r="AN467">
        <f t="shared" si="196"/>
        <v>2.9398316970546987E-2</v>
      </c>
      <c r="AO467">
        <f t="shared" si="197"/>
        <v>0.22473492286115004</v>
      </c>
      <c r="AP467">
        <f t="array" ref="AP467">AL467*IF($C467="GKP",10,IF($C467="DEF",6,IF($C467="MID",5,4)))</f>
        <v>0.17638990182328193</v>
      </c>
      <c r="AQ467">
        <f t="shared" si="198"/>
        <v>0.67420476858345013</v>
      </c>
      <c r="AR467">
        <f t="shared" si="199"/>
        <v>2</v>
      </c>
      <c r="AS467" s="2">
        <f>IF($H467=0,0,Player_Analysis!$AM467*$H467/90)</f>
        <v>1.3333333333333333</v>
      </c>
      <c r="AT467">
        <f t="shared" si="200"/>
        <v>1</v>
      </c>
      <c r="AU467" s="2">
        <f>0</f>
        <v>0</v>
      </c>
      <c r="AV467" s="2">
        <f>IF(INDEX(FPL_Raw_Data!K:K,MATCH(A467,FPL_Raw_Data!AA:AA,0))=0,"",INDEX(FPL_Raw_Data!P:P,MATCH(A467,FPL_Raw_Data!AA:AA,0))/INDEX(FPL_Raw_Data!K:K,MATCH(A467,FPL_Raw_Data!AA:AA,0))*90)</f>
        <v>0</v>
      </c>
      <c r="AW467" s="2">
        <f t="shared" si="201"/>
        <v>0</v>
      </c>
      <c r="AX467" s="2">
        <f>IFERROR(INDEX(TEAM_ANALYSIS!$H$2:$H$21,MATCH($B467,TEAM_ANALYSIS!$A$2:$A$21,0)),0)</f>
        <v>0.66666666666666663</v>
      </c>
      <c r="AY467" s="2">
        <f t="shared" si="202"/>
        <v>-0.33333333333333331</v>
      </c>
      <c r="AZ467" s="2">
        <f t="shared" si="203"/>
        <v>4.850594670406732</v>
      </c>
      <c r="BA467">
        <f t="shared" si="204"/>
        <v>0.88192630371031489</v>
      </c>
      <c r="BB467">
        <f>IFERROR(Player_Analysis!$Y467,1)</f>
        <v>1.1338276422764224</v>
      </c>
      <c r="BC467">
        <f t="shared" si="205"/>
        <v>5.4997383187858455</v>
      </c>
      <c r="BD467">
        <f t="shared" si="206"/>
        <v>4.8503638868607819</v>
      </c>
      <c r="BE467">
        <f t="shared" si="207"/>
        <v>5.4997383187858455</v>
      </c>
      <c r="BF467">
        <f t="shared" si="208"/>
        <v>65</v>
      </c>
      <c r="BG467">
        <f>IF($BE467="","",COUNTIFS($C$2:$C$596,$C467,$BE$2:$BE$596,"&gt;"&amp;$BE467)+COUNTIFS($C$2:$C467,$C467,$BE$2:$BE467,$BE467))</f>
        <v>29</v>
      </c>
    </row>
    <row r="468" spans="1:59" x14ac:dyDescent="0.25">
      <c r="A468" t="str">
        <f>Player_Analysis!A468</f>
        <v>Joško Gvardiol</v>
      </c>
      <c r="B468">
        <f>Player_Analysis!C468</f>
        <v>15</v>
      </c>
      <c r="C468" t="str">
        <f>Player_Analysis!B468</f>
        <v>DEF</v>
      </c>
      <c r="D468" s="13">
        <f>Player_Analysis!E468</f>
        <v>5.6</v>
      </c>
      <c r="E468">
        <f>Player_Analysis!I468</f>
        <v>254</v>
      </c>
      <c r="F468" s="8">
        <f>Player_Analysis!Z468</f>
        <v>3</v>
      </c>
      <c r="G468" s="17">
        <f t="shared" si="183"/>
        <v>1</v>
      </c>
      <c r="H468">
        <f t="shared" si="184"/>
        <v>90</v>
      </c>
      <c r="I468" s="8">
        <f>Player_Analysis!AF468</f>
        <v>1</v>
      </c>
      <c r="J468" s="8">
        <f>Player_Analysis!AG468</f>
        <v>1</v>
      </c>
      <c r="K468">
        <f>Player_Analysis!O468</f>
        <v>0.2</v>
      </c>
      <c r="L468">
        <f>Player_Analysis!P468</f>
        <v>0.11</v>
      </c>
      <c r="M468">
        <f t="shared" si="185"/>
        <v>7.0866141732283477E-2</v>
      </c>
      <c r="N468">
        <f t="shared" si="186"/>
        <v>3.8976377952755908E-2</v>
      </c>
      <c r="O468" s="2">
        <f>IF(E468=0,"",Player_Analysis!L468/E468*90)</f>
        <v>7.7952755905511806</v>
      </c>
      <c r="P468">
        <f>IF(E468=0,"",Player_Analysis!Q468/E468*90)</f>
        <v>0.10984251968503937</v>
      </c>
      <c r="Q468">
        <f>IF(E468=0,"",(Player_Analysis!AD468/E468)*90)</f>
        <v>27.283464566929137</v>
      </c>
      <c r="R468">
        <f>IF(E468=0,"",Player_Analysis!AA468/E468*90)</f>
        <v>6.0236220472440953</v>
      </c>
      <c r="S468">
        <f t="array" ref="S468">IFERROR(INDEX('2023_24'!$O:$O,MATCH($A468,'2023_24'!$A:$A,0)),"")</f>
        <v>0.12144391920928234</v>
      </c>
      <c r="T468">
        <f>IFERROR(INDEX('2024_25'!$P:$P,MATCH($A468,'2024_25'!$A:$A,0)),"")</f>
        <v>0.12629652226967664</v>
      </c>
      <c r="U468">
        <f>IFERROR(INDEX('2025_26'!$P:$P,MATCH($A468,'2025_26'!$A:$A,0)),"")</f>
        <v>0.1478102189781022</v>
      </c>
      <c r="V468">
        <f>IFERROR(INDEX('2023_24'!$P:$P,MATCH($A468,'2023_24'!$A:$A,0)),"")</f>
        <v>8.0833691448216574E-2</v>
      </c>
      <c r="W468">
        <f>IFERROR(INDEX('2024_25'!$Q:$Q,MATCH($A468,'2024_25'!$A:$A,0)),"")</f>
        <v>8.0170835875533863E-2</v>
      </c>
      <c r="X468">
        <f>IFERROR(INDEX('2025_26'!$Q:$Q,MATCH($A468,'2025_26'!$A:$A,0)),"")</f>
        <v>4.5985401459854011E-2</v>
      </c>
      <c r="Y468">
        <f>IFERROR(INDEX('2023_24'!$M:$M,MATCH($A468,'2023_24'!$A:$A,0))/INDEX('2023_24'!$G:$G,MATCH($A468,'2023_24'!$A:$A,0))*90,"")</f>
        <v>4.7571981091534168</v>
      </c>
      <c r="Z468">
        <f>IFERROR(INDEX('2024_25'!$M:$M,MATCH($A468,'2024_25'!$A:$A,0))/INDEX('2024_25'!$G:$G,MATCH($A468,'2024_25'!$A:$A,0))*90,"")</f>
        <v>4.2007321537522877</v>
      </c>
      <c r="AA468">
        <f>IFERROR(INDEX('2025_26'!$M:$M,MATCH($A468,'2025_26'!$A:$A,0))/INDEX('2025_26'!$G:$G,MATCH($A468,'2025_26'!$A:$A,0))*90,"")</f>
        <v>5.1897810218978098</v>
      </c>
      <c r="AB468">
        <f>IFERROR(SUMPRODUCT(S468:U468,{0.2,0.3,0.5})/SUMPRODUCT(--(S468:U468&lt;&gt;""),{0.2,0.3,0.5}),"")</f>
        <v>0.13608285001181056</v>
      </c>
      <c r="AC468">
        <f>IFERROR(SUMPRODUCT(V468:X468,{0.2,0.3,0.5})/SUMPRODUCT(--(V468:X468&lt;&gt;""),{0.2,0.3,0.5}),"")</f>
        <v>6.3210689782230489E-2</v>
      </c>
      <c r="AD468">
        <f>IFERROR(SUMPRODUCT(Y468:AA468,{0.2,0.3,0.5})/SUMPRODUCT((Y468:AA468&lt;&gt;"")*{0.2,0.3,0.5}),O468)</f>
        <v>4.8065497789052749</v>
      </c>
      <c r="AE468">
        <f t="shared" si="187"/>
        <v>3</v>
      </c>
      <c r="AF468">
        <f t="shared" si="188"/>
        <v>84.666666666666671</v>
      </c>
      <c r="AG468">
        <f t="shared" si="189"/>
        <v>8.086603700181097E-2</v>
      </c>
      <c r="AH468">
        <f t="shared" si="190"/>
        <v>4.2692305766608679E-2</v>
      </c>
      <c r="AI468" s="2">
        <f t="shared" si="191"/>
        <v>7.3370042994321416</v>
      </c>
      <c r="AJ468">
        <f t="shared" si="192"/>
        <v>0.84666666666666668</v>
      </c>
      <c r="AK468" t="str">
        <f t="shared" si="193"/>
        <v>NO</v>
      </c>
      <c r="AL468">
        <f t="shared" si="194"/>
        <v>8.086603700181097E-2</v>
      </c>
      <c r="AM468">
        <f t="shared" si="195"/>
        <v>4.2692305766608679E-2</v>
      </c>
      <c r="AN468">
        <f t="shared" si="196"/>
        <v>8.086603700181097E-2</v>
      </c>
      <c r="AO468">
        <f t="shared" si="197"/>
        <v>4.2692305766608679E-2</v>
      </c>
      <c r="AP468">
        <f t="array" ref="AP468">AL468*IF($C468="GKP",10,IF($C468="DEF",6,IF($C468="MID",5,4)))</f>
        <v>0.48519622201086582</v>
      </c>
      <c r="AQ468">
        <f t="shared" si="198"/>
        <v>0.12807691729982604</v>
      </c>
      <c r="AR468">
        <f t="shared" si="199"/>
        <v>2</v>
      </c>
      <c r="AS468" s="2">
        <f>IF($H468=0,0,Player_Analysis!$AM468*$H468/90)</f>
        <v>1.3333333333333333</v>
      </c>
      <c r="AT468">
        <f t="shared" si="200"/>
        <v>1.204724409448819</v>
      </c>
      <c r="AU468" s="2">
        <f>0</f>
        <v>0</v>
      </c>
      <c r="AV468" s="2">
        <f>IF(INDEX(FPL_Raw_Data!K:K,MATCH(A468,FPL_Raw_Data!AA:AA,0))=0,"",INDEX(FPL_Raw_Data!P:P,MATCH(A468,FPL_Raw_Data!AA:AA,0))/INDEX(FPL_Raw_Data!K:K,MATCH(A468,FPL_Raw_Data!AA:AA,0))*90)</f>
        <v>0</v>
      </c>
      <c r="AW468" s="2">
        <f t="shared" si="201"/>
        <v>0</v>
      </c>
      <c r="AX468" s="2">
        <f>IFERROR(INDEX(TEAM_ANALYSIS!$H$2:$H$21,MATCH($B468,TEAM_ANALYSIS!$A$2:$A$21,0)),0)</f>
        <v>0.66666666666666663</v>
      </c>
      <c r="AY468" s="2">
        <f t="shared" si="202"/>
        <v>-0.33333333333333331</v>
      </c>
      <c r="AZ468" s="2">
        <f t="shared" si="203"/>
        <v>4.8179975487595117</v>
      </c>
      <c r="BA468">
        <f t="shared" si="204"/>
        <v>0.86035670513562712</v>
      </c>
      <c r="BB468">
        <f>IFERROR(Player_Analysis!$Y468,1)</f>
        <v>1.1338276422764224</v>
      </c>
      <c r="BC468">
        <f t="shared" si="205"/>
        <v>5.4627788012035801</v>
      </c>
      <c r="BD468">
        <f t="shared" si="206"/>
        <v>4.6999383702882636</v>
      </c>
      <c r="BE468">
        <f t="shared" si="207"/>
        <v>5.4627788012035801</v>
      </c>
      <c r="BF468">
        <f t="shared" si="208"/>
        <v>69</v>
      </c>
      <c r="BG468">
        <f>IF($BE468="","",COUNTIFS($C$2:$C$596,$C468,$BE$2:$BE$596,"&gt;"&amp;$BE468)+COUNTIFS($C$2:$C468,$C468,$BE$2:$BE468,$BE468))</f>
        <v>30</v>
      </c>
    </row>
    <row r="469" spans="1:59" x14ac:dyDescent="0.25">
      <c r="A469" t="str">
        <f>Player_Analysis!A469</f>
        <v>Rayan Aït-Nouri</v>
      </c>
      <c r="B469">
        <f>Player_Analysis!C469</f>
        <v>15</v>
      </c>
      <c r="C469" t="str">
        <f>Player_Analysis!B469</f>
        <v>DEF</v>
      </c>
      <c r="D469" s="13">
        <f>Player_Analysis!E469</f>
        <v>5.4</v>
      </c>
      <c r="E469">
        <f>Player_Analysis!I469</f>
        <v>0</v>
      </c>
      <c r="F469" s="8">
        <f>Player_Analysis!Z469</f>
        <v>0</v>
      </c>
      <c r="G469" s="17">
        <f t="shared" si="183"/>
        <v>0</v>
      </c>
      <c r="H469">
        <f t="shared" si="184"/>
        <v>0</v>
      </c>
      <c r="I469" s="8">
        <f>Player_Analysis!AF469</f>
        <v>0</v>
      </c>
      <c r="J469" s="8">
        <f>Player_Analysis!AG469</f>
        <v>0</v>
      </c>
      <c r="K469">
        <f>Player_Analysis!O469</f>
        <v>0</v>
      </c>
      <c r="L469">
        <f>Player_Analysis!P469</f>
        <v>0</v>
      </c>
      <c r="M469" t="str">
        <f t="shared" si="185"/>
        <v/>
      </c>
      <c r="N469" t="str">
        <f t="shared" si="186"/>
        <v/>
      </c>
      <c r="O469" s="2" t="str">
        <f>IF(E469=0,"",Player_Analysis!L469/E469*90)</f>
        <v/>
      </c>
      <c r="P469" t="str">
        <f>IF(E469=0,"",Player_Analysis!Q469/E469*90)</f>
        <v/>
      </c>
      <c r="Q469" t="str">
        <f>IF(E469=0,"",(Player_Analysis!AD469/E469)*90)</f>
        <v/>
      </c>
      <c r="R469" t="str">
        <f>IF(E469=0,"",Player_Analysis!AA469/E469*90)</f>
        <v/>
      </c>
      <c r="S469">
        <f t="array" ref="S469">IFERROR(INDEX('2023_24'!$O:$O,MATCH($A469,'2023_24'!$A:$A,0)),"")</f>
        <v>0.12067039106145251</v>
      </c>
      <c r="T469">
        <f>IFERROR(INDEX('2024_25'!$P:$P,MATCH($A469,'2024_25'!$A:$A,0)),"")</f>
        <v>7.7795629820051407E-2</v>
      </c>
      <c r="U469">
        <f>IFERROR(INDEX('2025_26'!$P:$P,MATCH($A469,'2025_26'!$A:$A,0)),"")</f>
        <v>4.9124613800205975E-2</v>
      </c>
      <c r="V469">
        <f>IFERROR(INDEX('2023_24'!$P:$P,MATCH($A469,'2023_24'!$A:$A,0)),"")</f>
        <v>7.0004297378599048E-2</v>
      </c>
      <c r="W469">
        <f>IFERROR(INDEX('2024_25'!$Q:$Q,MATCH($A469,'2024_25'!$A:$A,0)),"")</f>
        <v>0.11510282776349615</v>
      </c>
      <c r="X469">
        <f>IFERROR(INDEX('2025_26'!$Q:$Q,MATCH($A469,'2025_26'!$A:$A,0)),"")</f>
        <v>0.18630278063851696</v>
      </c>
      <c r="Y469">
        <f>IFERROR(INDEX('2023_24'!$M:$M,MATCH($A469,'2023_24'!$A:$A,0))/INDEX('2023_24'!$G:$G,MATCH($A469,'2023_24'!$A:$A,0))*90,"")</f>
        <v>2.9780833691448216</v>
      </c>
      <c r="Z469">
        <f>IFERROR(INDEX('2024_25'!$M:$M,MATCH($A469,'2024_25'!$A:$A,0))/INDEX('2024_25'!$G:$G,MATCH($A469,'2024_25'!$A:$A,0))*90,"")</f>
        <v>3.6150385604113113</v>
      </c>
      <c r="AA469">
        <f>IFERROR(INDEX('2025_26'!$M:$M,MATCH($A469,'2025_26'!$A:$A,0))/INDEX('2025_26'!$G:$G,MATCH($A469,'2025_26'!$A:$A,0))*90,"")</f>
        <v>5.5612770339855819</v>
      </c>
      <c r="AB469">
        <f>IFERROR(SUMPRODUCT(S469:U469,{0.2,0.3,0.5})/SUMPRODUCT(--(S469:U469&lt;&gt;""),{0.2,0.3,0.5}),"")</f>
        <v>7.2035074058408907E-2</v>
      </c>
      <c r="AC469">
        <f>IFERROR(SUMPRODUCT(V469:X469,{0.2,0.3,0.5})/SUMPRODUCT(--(V469:X469&lt;&gt;""),{0.2,0.3,0.5}),"")</f>
        <v>0.14168309812402713</v>
      </c>
      <c r="AD469">
        <f>IFERROR(SUMPRODUCT(Y469:AA469,{0.2,0.3,0.5})/SUMPRODUCT((Y469:AA469&lt;&gt;"")*{0.2,0.3,0.5}),O469)</f>
        <v>4.460766758945149</v>
      </c>
      <c r="AE469">
        <f t="shared" si="187"/>
        <v>3</v>
      </c>
      <c r="AF469" t="str">
        <f t="shared" si="188"/>
        <v/>
      </c>
      <c r="AG469">
        <f t="shared" si="189"/>
        <v>7.2035074058408907E-2</v>
      </c>
      <c r="AH469">
        <f t="shared" si="190"/>
        <v>0.14168309812402713</v>
      </c>
      <c r="AI469" s="2">
        <f t="shared" si="191"/>
        <v>4.460766758945149</v>
      </c>
      <c r="AJ469">
        <f t="shared" si="192"/>
        <v>0</v>
      </c>
      <c r="AK469" t="str">
        <f t="shared" si="193"/>
        <v>NO</v>
      </c>
      <c r="AL469">
        <f t="shared" si="194"/>
        <v>0</v>
      </c>
      <c r="AM469">
        <f t="shared" si="195"/>
        <v>0</v>
      </c>
      <c r="AN469">
        <f t="shared" si="196"/>
        <v>0</v>
      </c>
      <c r="AO469">
        <f t="shared" si="197"/>
        <v>0</v>
      </c>
      <c r="AP469">
        <f t="array" ref="AP469">AL469*IF($C469="GKP",10,IF($C469="DEF",6,IF($C469="MID",5,4)))</f>
        <v>0</v>
      </c>
      <c r="AQ469">
        <f t="shared" si="198"/>
        <v>0</v>
      </c>
      <c r="AR469">
        <f t="shared" si="199"/>
        <v>0</v>
      </c>
      <c r="AS469" s="2">
        <f>IF($H469=0,0,Player_Analysis!$AM469*$H469/90)</f>
        <v>0</v>
      </c>
      <c r="AT469">
        <f t="shared" si="200"/>
        <v>0</v>
      </c>
      <c r="AU469" s="2">
        <f>0</f>
        <v>0</v>
      </c>
      <c r="AV469" s="2" t="str">
        <f>IF(INDEX(FPL_Raw_Data!K:K,MATCH(A469,FPL_Raw_Data!AA:AA,0))=0,"",INDEX(FPL_Raw_Data!P:P,MATCH(A469,FPL_Raw_Data!AA:AA,0))/INDEX(FPL_Raw_Data!K:K,MATCH(A469,FPL_Raw_Data!AA:AA,0))*90)</f>
        <v/>
      </c>
      <c r="AW469" s="2">
        <f t="shared" si="201"/>
        <v>0</v>
      </c>
      <c r="AX469" s="2">
        <f>IFERROR(INDEX(TEAM_ANALYSIS!$H$2:$H$21,MATCH($B469,TEAM_ANALYSIS!$A$2:$A$21,0)),0)</f>
        <v>0.66666666666666663</v>
      </c>
      <c r="AY469" s="2">
        <f t="shared" si="202"/>
        <v>-0.33333333333333331</v>
      </c>
      <c r="AZ469" s="2">
        <f t="shared" si="203"/>
        <v>-0.33333333333333331</v>
      </c>
      <c r="BA469">
        <f t="shared" si="204"/>
        <v>-6.1728395061728385E-2</v>
      </c>
      <c r="BB469">
        <f>IFERROR(Player_Analysis!$Y469,1)</f>
        <v>1.1338276422764224</v>
      </c>
      <c r="BC469">
        <f t="shared" si="205"/>
        <v>-0.37794254742547412</v>
      </c>
      <c r="BD469">
        <f t="shared" si="206"/>
        <v>2.3329786878115683E-2</v>
      </c>
      <c r="BE469">
        <f t="shared" si="207"/>
        <v>-0.37794254742547412</v>
      </c>
      <c r="BF469">
        <f t="shared" si="208"/>
        <v>517</v>
      </c>
      <c r="BG469">
        <f>IF($BE469="","",COUNTIFS($C$2:$C$596,$C469,$BE$2:$BE$596,"&gt;"&amp;$BE469)+COUNTIFS($C$2:$C469,$C469,$BE$2:$BE469,$BE469))</f>
        <v>115</v>
      </c>
    </row>
    <row r="470" spans="1:59" x14ac:dyDescent="0.25">
      <c r="A470" t="str">
        <f>Player_Analysis!A470</f>
        <v>Abdukodir Khusanov</v>
      </c>
      <c r="B470">
        <f>Player_Analysis!C470</f>
        <v>15</v>
      </c>
      <c r="C470" t="str">
        <f>Player_Analysis!B470</f>
        <v>DEF</v>
      </c>
      <c r="D470" s="13">
        <f>Player_Analysis!E470</f>
        <v>5.5</v>
      </c>
      <c r="E470">
        <f>Player_Analysis!I470</f>
        <v>268</v>
      </c>
      <c r="F470" s="8">
        <f>Player_Analysis!Z470</f>
        <v>3</v>
      </c>
      <c r="G470" s="17">
        <f t="shared" si="183"/>
        <v>1</v>
      </c>
      <c r="H470">
        <f t="shared" si="184"/>
        <v>90</v>
      </c>
      <c r="I470" s="8">
        <f>Player_Analysis!AF470</f>
        <v>0</v>
      </c>
      <c r="J470" s="8">
        <f>Player_Analysis!AG470</f>
        <v>0</v>
      </c>
      <c r="K470">
        <f>Player_Analysis!O470</f>
        <v>0</v>
      </c>
      <c r="L470">
        <f>Player_Analysis!P470</f>
        <v>0.06</v>
      </c>
      <c r="M470">
        <f t="shared" si="185"/>
        <v>0</v>
      </c>
      <c r="N470">
        <f t="shared" si="186"/>
        <v>2.0149253731343283E-2</v>
      </c>
      <c r="O470" s="2">
        <f>IF(E470=0,"",Player_Analysis!L470/E470*90)</f>
        <v>3.0223880597014925</v>
      </c>
      <c r="P470">
        <f>IF(E470=0,"",Player_Analysis!Q470/E470*90)</f>
        <v>2.0149253731343283E-2</v>
      </c>
      <c r="Q470">
        <f>IF(E470=0,"",(Player_Analysis!AD470/E470)*90)</f>
        <v>17.798507462686565</v>
      </c>
      <c r="R470">
        <f>IF(E470=0,"",Player_Analysis!AA470/E470*90)</f>
        <v>5.7089552238805972</v>
      </c>
      <c r="S470" t="str">
        <f t="array" ref="S470">IFERROR(INDEX('2023_24'!$O:$O,MATCH($A470,'2023_24'!$A:$A,0)),"")</f>
        <v/>
      </c>
      <c r="T470">
        <f>IFERROR(INDEX('2024_25'!$P:$P,MATCH($A470,'2024_25'!$A:$A,0)),"")</f>
        <v>3.5785288270377734E-3</v>
      </c>
      <c r="U470">
        <f>IFERROR(INDEX('2025_26'!$P:$P,MATCH($A470,'2025_26'!$A:$A,0)),"")</f>
        <v>4.0995094604064468E-2</v>
      </c>
      <c r="V470" t="str">
        <f>IFERROR(INDEX('2023_24'!$P:$P,MATCH($A470,'2023_24'!$A:$A,0)),"")</f>
        <v/>
      </c>
      <c r="W470">
        <f>IFERROR(INDEX('2024_25'!$Q:$Q,MATCH($A470,'2024_25'!$A:$A,0)),"")</f>
        <v>1.6103379721669982E-2</v>
      </c>
      <c r="X470">
        <f>IFERROR(INDEX('2025_26'!$Q:$Q,MATCH($A470,'2025_26'!$A:$A,0)),"")</f>
        <v>7.6313945339873859E-2</v>
      </c>
      <c r="Y470" t="str">
        <f>IFERROR(INDEX('2023_24'!$M:$M,MATCH($A470,'2023_24'!$A:$A,0))/INDEX('2023_24'!$G:$G,MATCH($A470,'2023_24'!$A:$A,0))*90,"")</f>
        <v/>
      </c>
      <c r="Z470">
        <f>IFERROR(INDEX('2024_25'!$M:$M,MATCH($A470,'2024_25'!$A:$A,0))/INDEX('2024_25'!$G:$G,MATCH($A470,'2024_25'!$A:$A,0))*90,"")</f>
        <v>2.5049701789264414</v>
      </c>
      <c r="AA470">
        <f>IFERROR(INDEX('2025_26'!$M:$M,MATCH($A470,'2025_26'!$A:$A,0))/INDEX('2025_26'!$G:$G,MATCH($A470,'2025_26'!$A:$A,0))*90,"")</f>
        <v>4.2256482130343382</v>
      </c>
      <c r="AB470">
        <f>IFERROR(SUMPRODUCT(S470:U470,{0.2,0.3,0.5})/SUMPRODUCT(--(S470:U470&lt;&gt;""),{0.2,0.3,0.5}),"")</f>
        <v>2.6963882437679453E-2</v>
      </c>
      <c r="AC470">
        <f>IFERROR(SUMPRODUCT(V470:X470,{0.2,0.3,0.5})/SUMPRODUCT(--(V470:X470&lt;&gt;""),{0.2,0.3,0.5}),"")</f>
        <v>5.3734983233047401E-2</v>
      </c>
      <c r="AD470">
        <f>IFERROR(SUMPRODUCT(Y470:AA470,{0.2,0.3,0.5})/SUMPRODUCT((Y470:AA470&lt;&gt;"")*{0.2,0.3,0.5}),O470)</f>
        <v>3.5803939502438769</v>
      </c>
      <c r="AE470">
        <f t="shared" si="187"/>
        <v>2</v>
      </c>
      <c r="AF470">
        <f t="shared" si="188"/>
        <v>89.333333333333329</v>
      </c>
      <c r="AG470">
        <f t="shared" si="189"/>
        <v>2.876147460019142E-3</v>
      </c>
      <c r="AH470">
        <f t="shared" si="190"/>
        <v>2.373173154485839E-2</v>
      </c>
      <c r="AI470" s="2">
        <f t="shared" si="191"/>
        <v>3.0819086880260134</v>
      </c>
      <c r="AJ470">
        <f t="shared" si="192"/>
        <v>0.89333333333333331</v>
      </c>
      <c r="AK470" t="str">
        <f t="shared" si="193"/>
        <v>NO</v>
      </c>
      <c r="AL470">
        <f t="shared" si="194"/>
        <v>2.8761474600191416E-3</v>
      </c>
      <c r="AM470">
        <f t="shared" si="195"/>
        <v>2.373173154485839E-2</v>
      </c>
      <c r="AN470">
        <f t="shared" si="196"/>
        <v>2.8761474600191416E-3</v>
      </c>
      <c r="AO470">
        <f t="shared" si="197"/>
        <v>2.373173154485839E-2</v>
      </c>
      <c r="AP470">
        <f t="array" ref="AP470">AL470*IF($C470="GKP",10,IF($C470="DEF",6,IF($C470="MID",5,4)))</f>
        <v>1.725688476011485E-2</v>
      </c>
      <c r="AQ470">
        <f t="shared" si="198"/>
        <v>7.1195194634575173E-2</v>
      </c>
      <c r="AR470">
        <f t="shared" si="199"/>
        <v>2</v>
      </c>
      <c r="AS470" s="2">
        <f>IF($H470=0,0,Player_Analysis!$AM470*$H470/90)</f>
        <v>1.3333333333333333</v>
      </c>
      <c r="AT470">
        <f t="shared" si="200"/>
        <v>1.1417910447761195</v>
      </c>
      <c r="AU470" s="2">
        <f>0</f>
        <v>0</v>
      </c>
      <c r="AV470" s="2">
        <f>IF(INDEX(FPL_Raw_Data!K:K,MATCH(A470,FPL_Raw_Data!AA:AA,0))=0,"",INDEX(FPL_Raw_Data!P:P,MATCH(A470,FPL_Raw_Data!AA:AA,0))/INDEX(FPL_Raw_Data!K:K,MATCH(A470,FPL_Raw_Data!AA:AA,0))*90)</f>
        <v>0</v>
      </c>
      <c r="AW470" s="2">
        <f t="shared" si="201"/>
        <v>0</v>
      </c>
      <c r="AX470" s="2">
        <f>IFERROR(INDEX(TEAM_ANALYSIS!$H$2:$H$21,MATCH($B470,TEAM_ANALYSIS!$A$2:$A$21,0)),0)</f>
        <v>0.66666666666666663</v>
      </c>
      <c r="AY470" s="2">
        <f t="shared" si="202"/>
        <v>-0.33333333333333331</v>
      </c>
      <c r="AZ470" s="2">
        <f t="shared" si="203"/>
        <v>4.2302431241708094</v>
      </c>
      <c r="BA470">
        <f t="shared" si="204"/>
        <v>0.76913511348560171</v>
      </c>
      <c r="BB470">
        <f>IFERROR(Player_Analysis!$Y470,1)</f>
        <v>1.1338276422764224</v>
      </c>
      <c r="BC470">
        <f t="shared" si="205"/>
        <v>4.796366587734636</v>
      </c>
      <c r="BD470">
        <f t="shared" si="206"/>
        <v>3.6890539597758276</v>
      </c>
      <c r="BE470">
        <f t="shared" si="207"/>
        <v>4.796366587734636</v>
      </c>
      <c r="BF470">
        <f t="shared" si="208"/>
        <v>108</v>
      </c>
      <c r="BG470">
        <f>IF($BE470="","",COUNTIFS($C$2:$C$596,$C470,$BE$2:$BE$596,"&gt;"&amp;$BE470)+COUNTIFS($C$2:$C470,$C470,$BE$2:$BE470,$BE470))</f>
        <v>40</v>
      </c>
    </row>
    <row r="471" spans="1:59" x14ac:dyDescent="0.25">
      <c r="A471" t="str">
        <f>Player_Analysis!A471</f>
        <v>Max Alleyne</v>
      </c>
      <c r="B471">
        <f>Player_Analysis!C471</f>
        <v>15</v>
      </c>
      <c r="C471" t="str">
        <f>Player_Analysis!B471</f>
        <v>DEF</v>
      </c>
      <c r="D471" s="13">
        <f>Player_Analysis!E471</f>
        <v>5</v>
      </c>
      <c r="E471">
        <f>Player_Analysis!I471</f>
        <v>0</v>
      </c>
      <c r="F471" s="8">
        <f>Player_Analysis!Z471</f>
        <v>0</v>
      </c>
      <c r="G471" s="17">
        <f t="shared" si="183"/>
        <v>0</v>
      </c>
      <c r="H471">
        <f t="shared" si="184"/>
        <v>0</v>
      </c>
      <c r="I471" s="8">
        <f>Player_Analysis!AF471</f>
        <v>0</v>
      </c>
      <c r="J471" s="8">
        <f>Player_Analysis!AG471</f>
        <v>0</v>
      </c>
      <c r="K471">
        <f>Player_Analysis!O471</f>
        <v>0</v>
      </c>
      <c r="L471">
        <f>Player_Analysis!P471</f>
        <v>0</v>
      </c>
      <c r="M471" t="str">
        <f t="shared" si="185"/>
        <v/>
      </c>
      <c r="N471" t="str">
        <f t="shared" si="186"/>
        <v/>
      </c>
      <c r="O471" s="2" t="str">
        <f>IF(E471=0,"",Player_Analysis!L471/E471*90)</f>
        <v/>
      </c>
      <c r="P471" t="str">
        <f>IF(E471=0,"",Player_Analysis!Q471/E471*90)</f>
        <v/>
      </c>
      <c r="Q471" t="str">
        <f>IF(E471=0,"",(Player_Analysis!AD471/E471)*90)</f>
        <v/>
      </c>
      <c r="R471" t="str">
        <f>IF(E471=0,"",Player_Analysis!AA471/E471*90)</f>
        <v/>
      </c>
      <c r="S471" t="str">
        <f t="array" ref="S471">IFERROR(INDEX('2023_24'!$O:$O,MATCH($A471,'2023_24'!$A:$A,0)),"")</f>
        <v/>
      </c>
      <c r="T471">
        <f>IFERROR(INDEX('2024_25'!$P:$P,MATCH($A471,'2024_25'!$A:$A,0)),"")</f>
        <v>0</v>
      </c>
      <c r="U471">
        <f>IFERROR(INDEX('2025_26'!$P:$P,MATCH($A471,'2025_26'!$A:$A,0)),"")</f>
        <v>0.17333333333333334</v>
      </c>
      <c r="V471" t="str">
        <f>IFERROR(INDEX('2023_24'!$P:$P,MATCH($A471,'2023_24'!$A:$A,0)),"")</f>
        <v/>
      </c>
      <c r="W471">
        <f>IFERROR(INDEX('2024_25'!$Q:$Q,MATCH($A471,'2024_25'!$A:$A,0)),"")</f>
        <v>0</v>
      </c>
      <c r="X471">
        <f>IFERROR(INDEX('2025_26'!$Q:$Q,MATCH($A471,'2025_26'!$A:$A,0)),"")</f>
        <v>3.9999999999999994E-2</v>
      </c>
      <c r="Y471" t="str">
        <f>IFERROR(INDEX('2023_24'!$M:$M,MATCH($A471,'2023_24'!$A:$A,0))/INDEX('2023_24'!$G:$G,MATCH($A471,'2023_24'!$A:$A,0))*90,"")</f>
        <v/>
      </c>
      <c r="Z471" t="str">
        <f>IFERROR(INDEX('2024_25'!$M:$M,MATCH($A471,'2024_25'!$A:$A,0))/INDEX('2024_25'!$G:$G,MATCH($A471,'2024_25'!$A:$A,0))*90,"")</f>
        <v/>
      </c>
      <c r="AA471">
        <f>IFERROR(INDEX('2025_26'!$M:$M,MATCH($A471,'2025_26'!$A:$A,0))/INDEX('2025_26'!$G:$G,MATCH($A471,'2025_26'!$A:$A,0))*90,"")</f>
        <v>3.333333333333333</v>
      </c>
      <c r="AB471">
        <f>IFERROR(SUMPRODUCT(S471:U471,{0.2,0.3,0.5})/SUMPRODUCT(--(S471:U471&lt;&gt;""),{0.2,0.3,0.5}),"")</f>
        <v>0.10833333333333334</v>
      </c>
      <c r="AC471">
        <f>IFERROR(SUMPRODUCT(V471:X471,{0.2,0.3,0.5})/SUMPRODUCT(--(V471:X471&lt;&gt;""),{0.2,0.3,0.5}),"")</f>
        <v>2.4999999999999994E-2</v>
      </c>
      <c r="AD471">
        <f>IFERROR(SUMPRODUCT(Y471:AA471,{0.2,0.3,0.5})/SUMPRODUCT((Y471:AA471&lt;&gt;"")*{0.2,0.3,0.5}),O471)</f>
        <v>3.333333333333333</v>
      </c>
      <c r="AE471">
        <f t="shared" si="187"/>
        <v>2</v>
      </c>
      <c r="AF471" t="str">
        <f t="shared" si="188"/>
        <v/>
      </c>
      <c r="AG471">
        <f t="shared" si="189"/>
        <v>0.10833333333333334</v>
      </c>
      <c r="AH471">
        <f t="shared" si="190"/>
        <v>2.4999999999999994E-2</v>
      </c>
      <c r="AI471" s="2">
        <f t="shared" si="191"/>
        <v>3.333333333333333</v>
      </c>
      <c r="AJ471">
        <f t="shared" si="192"/>
        <v>0</v>
      </c>
      <c r="AK471" t="str">
        <f t="shared" si="193"/>
        <v>NO</v>
      </c>
      <c r="AL471">
        <f t="shared" si="194"/>
        <v>0</v>
      </c>
      <c r="AM471">
        <f t="shared" si="195"/>
        <v>0</v>
      </c>
      <c r="AN471">
        <f t="shared" si="196"/>
        <v>0</v>
      </c>
      <c r="AO471">
        <f t="shared" si="197"/>
        <v>0</v>
      </c>
      <c r="AP471">
        <f t="array" ref="AP471">AL471*IF($C471="GKP",10,IF($C471="DEF",6,IF($C471="MID",5,4)))</f>
        <v>0</v>
      </c>
      <c r="AQ471">
        <f t="shared" si="198"/>
        <v>0</v>
      </c>
      <c r="AR471">
        <f t="shared" si="199"/>
        <v>0</v>
      </c>
      <c r="AS471" s="2">
        <f>IF($H471=0,0,Player_Analysis!$AM471*$H471/90)</f>
        <v>0</v>
      </c>
      <c r="AT471">
        <f t="shared" si="200"/>
        <v>0</v>
      </c>
      <c r="AU471" s="2">
        <f>0</f>
        <v>0</v>
      </c>
      <c r="AV471" s="2" t="str">
        <f>IF(INDEX(FPL_Raw_Data!K:K,MATCH(A471,FPL_Raw_Data!AA:AA,0))=0,"",INDEX(FPL_Raw_Data!P:P,MATCH(A471,FPL_Raw_Data!AA:AA,0))/INDEX(FPL_Raw_Data!K:K,MATCH(A471,FPL_Raw_Data!AA:AA,0))*90)</f>
        <v/>
      </c>
      <c r="AW471" s="2">
        <f t="shared" si="201"/>
        <v>0</v>
      </c>
      <c r="AX471" s="2">
        <f>IFERROR(INDEX(TEAM_ANALYSIS!$H$2:$H$21,MATCH($B471,TEAM_ANALYSIS!$A$2:$A$21,0)),0)</f>
        <v>0.66666666666666663</v>
      </c>
      <c r="AY471" s="2">
        <f t="shared" si="202"/>
        <v>-0.33333333333333331</v>
      </c>
      <c r="AZ471" s="2">
        <f t="shared" si="203"/>
        <v>-0.33333333333333331</v>
      </c>
      <c r="BA471">
        <f t="shared" si="204"/>
        <v>-6.6666666666666666E-2</v>
      </c>
      <c r="BB471">
        <f>IFERROR(Player_Analysis!$Y471,1)</f>
        <v>1.1338276422764224</v>
      </c>
      <c r="BC471">
        <f t="shared" si="205"/>
        <v>-0.37794254742547412</v>
      </c>
      <c r="BD471">
        <f t="shared" si="206"/>
        <v>2.519616982836494E-2</v>
      </c>
      <c r="BE471">
        <f t="shared" si="207"/>
        <v>-0.37794254742547412</v>
      </c>
      <c r="BF471">
        <f t="shared" si="208"/>
        <v>517</v>
      </c>
      <c r="BG471">
        <f>IF($BE471="","",COUNTIFS($C$2:$C$596,$C471,$BE$2:$BE$596,"&gt;"&amp;$BE471)+COUNTIFS($C$2:$C471,$C471,$BE$2:$BE471,$BE471))</f>
        <v>116</v>
      </c>
    </row>
    <row r="472" spans="1:59" x14ac:dyDescent="0.25">
      <c r="A472" t="str">
        <f>Player_Analysis!A472</f>
        <v>Rico Lewis</v>
      </c>
      <c r="B472">
        <f>Player_Analysis!C472</f>
        <v>15</v>
      </c>
      <c r="C472" t="str">
        <f>Player_Analysis!B472</f>
        <v>DEF</v>
      </c>
      <c r="D472" s="13">
        <f>Player_Analysis!E472</f>
        <v>4.5</v>
      </c>
      <c r="E472">
        <f>Player_Analysis!I472</f>
        <v>56</v>
      </c>
      <c r="F472" s="8">
        <f>Player_Analysis!Z472</f>
        <v>1</v>
      </c>
      <c r="G472" s="17">
        <f t="shared" si="183"/>
        <v>1</v>
      </c>
      <c r="H472">
        <f t="shared" si="184"/>
        <v>90</v>
      </c>
      <c r="I472" s="8">
        <f>Player_Analysis!AF472</f>
        <v>0</v>
      </c>
      <c r="J472" s="8">
        <f>Player_Analysis!AG472</f>
        <v>0</v>
      </c>
      <c r="K472">
        <f>Player_Analysis!O472</f>
        <v>0.17</v>
      </c>
      <c r="L472">
        <f>Player_Analysis!P472</f>
        <v>0.02</v>
      </c>
      <c r="M472">
        <f t="shared" si="185"/>
        <v>0.27321428571428574</v>
      </c>
      <c r="N472">
        <f t="shared" si="186"/>
        <v>3.214285714285714E-2</v>
      </c>
      <c r="O472" s="2">
        <f>IF(E472=0,"",Player_Analysis!L472/E472*90)</f>
        <v>1.607142857142857</v>
      </c>
      <c r="P472">
        <f>IF(E472=0,"",Player_Analysis!Q472/E472*90)</f>
        <v>0.30535714285714283</v>
      </c>
      <c r="Q472">
        <f>IF(E472=0,"",(Player_Analysis!AD472/E472)*90)</f>
        <v>-1.607142857142857</v>
      </c>
      <c r="R472">
        <f>IF(E472=0,"",Player_Analysis!AA472/E472*90)</f>
        <v>3.214285714285714</v>
      </c>
      <c r="S472">
        <f t="array" ref="S472">IFERROR(INDEX('2023_24'!$O:$O,MATCH($A472,'2023_24'!$A:$A,0)),"")</f>
        <v>7.0522388059701485E-2</v>
      </c>
      <c r="T472">
        <f>IFERROR(INDEX('2024_25'!$P:$P,MATCH($A472,'2024_25'!$A:$A,0)),"")</f>
        <v>6.2923728813559329E-2</v>
      </c>
      <c r="U472">
        <f>IFERROR(INDEX('2025_26'!$P:$P,MATCH($A472,'2025_26'!$A:$A,0)),"")</f>
        <v>4.2643391521197005E-2</v>
      </c>
      <c r="V472">
        <f>IFERROR(INDEX('2023_24'!$P:$P,MATCH($A472,'2023_24'!$A:$A,0)),"")</f>
        <v>0.13992537313432837</v>
      </c>
      <c r="W472">
        <f>IFERROR(INDEX('2024_25'!$Q:$Q,MATCH($A472,'2024_25'!$A:$A,0)),"")</f>
        <v>4.8146186440677967E-2</v>
      </c>
      <c r="X472">
        <f>IFERROR(INDEX('2025_26'!$Q:$Q,MATCH($A472,'2025_26'!$A:$A,0)),"")</f>
        <v>0.31197007481296757</v>
      </c>
      <c r="Y472">
        <f>IFERROR(INDEX('2023_24'!$M:$M,MATCH($A472,'2023_24'!$A:$A,0))/INDEX('2023_24'!$G:$G,MATCH($A472,'2023_24'!$A:$A,0))*90,"")</f>
        <v>5.8208955223880592</v>
      </c>
      <c r="Z472">
        <f>IFERROR(INDEX('2024_25'!$M:$M,MATCH($A472,'2024_25'!$A:$A,0))/INDEX('2024_25'!$G:$G,MATCH($A472,'2024_25'!$A:$A,0))*90,"")</f>
        <v>3.1461864406779658</v>
      </c>
      <c r="AA472">
        <f>IFERROR(INDEX('2025_26'!$M:$M,MATCH($A472,'2025_26'!$A:$A,0))/INDEX('2025_26'!$G:$G,MATCH($A472,'2025_26'!$A:$A,0))*90,"")</f>
        <v>4.2643391521197005</v>
      </c>
      <c r="AB472">
        <f>IFERROR(SUMPRODUCT(S472:U472,{0.2,0.3,0.5})/SUMPRODUCT(--(S472:U472&lt;&gt;""),{0.2,0.3,0.5}),"")</f>
        <v>5.4303292016606594E-2</v>
      </c>
      <c r="AC472">
        <f>IFERROR(SUMPRODUCT(V472:X472,{0.2,0.3,0.5})/SUMPRODUCT(--(V472:X472&lt;&gt;""),{0.2,0.3,0.5}),"")</f>
        <v>0.19841396796555286</v>
      </c>
      <c r="AD472">
        <f>IFERROR(SUMPRODUCT(Y472:AA472,{0.2,0.3,0.5})/SUMPRODUCT((Y472:AA472&lt;&gt;"")*{0.2,0.3,0.5}),O472)</f>
        <v>4.2402046127408521</v>
      </c>
      <c r="AE472">
        <f t="shared" si="187"/>
        <v>3</v>
      </c>
      <c r="AF472">
        <f t="shared" si="188"/>
        <v>56</v>
      </c>
      <c r="AG472">
        <f t="shared" si="189"/>
        <v>9.5166677506840047E-2</v>
      </c>
      <c r="AH472">
        <f t="shared" si="190"/>
        <v>0.16737669394531635</v>
      </c>
      <c r="AI472" s="2">
        <f t="shared" si="191"/>
        <v>3.7486997516958929</v>
      </c>
      <c r="AJ472">
        <f t="shared" si="192"/>
        <v>0.18666666666666668</v>
      </c>
      <c r="AK472" t="str">
        <f t="shared" si="193"/>
        <v>NO</v>
      </c>
      <c r="AL472">
        <f t="shared" si="194"/>
        <v>9.5166677506840047E-2</v>
      </c>
      <c r="AM472">
        <f t="shared" si="195"/>
        <v>0.16737669394531635</v>
      </c>
      <c r="AN472">
        <f t="shared" si="196"/>
        <v>9.5166677506840047E-2</v>
      </c>
      <c r="AO472">
        <f t="shared" si="197"/>
        <v>0.16737669394531635</v>
      </c>
      <c r="AP472">
        <f t="array" ref="AP472">AL472*IF($C472="GKP",10,IF($C472="DEF",6,IF($C472="MID",5,4)))</f>
        <v>0.57100006504104028</v>
      </c>
      <c r="AQ472">
        <f t="shared" si="198"/>
        <v>0.50213008183594909</v>
      </c>
      <c r="AR472">
        <f t="shared" si="199"/>
        <v>2</v>
      </c>
      <c r="AS472" s="2">
        <f>IF($H472=0,0,Player_Analysis!$AM472*$H472/90)</f>
        <v>0</v>
      </c>
      <c r="AT472">
        <f t="shared" si="200"/>
        <v>0.6428571428571429</v>
      </c>
      <c r="AU472" s="2">
        <f>0</f>
        <v>0</v>
      </c>
      <c r="AV472" s="2">
        <f>IF(INDEX(FPL_Raw_Data!K:K,MATCH(A472,FPL_Raw_Data!AA:AA,0))=0,"",INDEX(FPL_Raw_Data!P:P,MATCH(A472,FPL_Raw_Data!AA:AA,0))/INDEX(FPL_Raw_Data!K:K,MATCH(A472,FPL_Raw_Data!AA:AA,0))*90)</f>
        <v>0</v>
      </c>
      <c r="AW472" s="2">
        <f t="shared" si="201"/>
        <v>0</v>
      </c>
      <c r="AX472" s="2">
        <f>IFERROR(INDEX(TEAM_ANALYSIS!$H$2:$H$21,MATCH($B472,TEAM_ANALYSIS!$A$2:$A$21,0)),0)</f>
        <v>0.66666666666666663</v>
      </c>
      <c r="AY472" s="2">
        <f t="shared" si="202"/>
        <v>-0.33333333333333331</v>
      </c>
      <c r="AZ472" s="2">
        <f t="shared" si="203"/>
        <v>3.3826539564007989</v>
      </c>
      <c r="BA472">
        <f t="shared" si="204"/>
        <v>0.75170087920017759</v>
      </c>
      <c r="BB472">
        <f>IFERROR(Player_Analysis!$Y472,1)</f>
        <v>1.1338276422764224</v>
      </c>
      <c r="BC472">
        <f t="shared" si="205"/>
        <v>3.8353465600229302</v>
      </c>
      <c r="BD472">
        <f t="shared" si="206"/>
        <v>2.8830333812066131</v>
      </c>
      <c r="BE472">
        <f t="shared" si="207"/>
        <v>3.8353465600229302</v>
      </c>
      <c r="BF472">
        <f t="shared" si="208"/>
        <v>166</v>
      </c>
      <c r="BG472">
        <f>IF($BE472="","",COUNTIFS($C$2:$C$596,$C472,$BE$2:$BE$596,"&gt;"&amp;$BE472)+COUNTIFS($C$2:$C472,$C472,$BE$2:$BE472,$BE472))</f>
        <v>53</v>
      </c>
    </row>
    <row r="473" spans="1:59" x14ac:dyDescent="0.25">
      <c r="A473" t="str">
        <f>Player_Analysis!A473</f>
        <v>Vitor de Oliveira Nunes dos Reis</v>
      </c>
      <c r="B473">
        <f>Player_Analysis!C473</f>
        <v>15</v>
      </c>
      <c r="C473" t="str">
        <f>Player_Analysis!B473</f>
        <v>DEF</v>
      </c>
      <c r="D473" s="13">
        <f>Player_Analysis!E473</f>
        <v>4.5</v>
      </c>
      <c r="E473">
        <f>Player_Analysis!I473</f>
        <v>1</v>
      </c>
      <c r="F473" s="8">
        <f>Player_Analysis!Z473</f>
        <v>0</v>
      </c>
      <c r="G473" s="17">
        <f t="shared" si="183"/>
        <v>0</v>
      </c>
      <c r="H473">
        <f t="shared" si="184"/>
        <v>0</v>
      </c>
      <c r="I473" s="8">
        <f>Player_Analysis!AF473</f>
        <v>0</v>
      </c>
      <c r="J473" s="8">
        <f>Player_Analysis!AG473</f>
        <v>0</v>
      </c>
      <c r="K473">
        <f>Player_Analysis!O473</f>
        <v>0</v>
      </c>
      <c r="L473">
        <f>Player_Analysis!P473</f>
        <v>0</v>
      </c>
      <c r="M473">
        <f t="shared" si="185"/>
        <v>0</v>
      </c>
      <c r="N473">
        <f t="shared" si="186"/>
        <v>0</v>
      </c>
      <c r="O473" s="2">
        <f>IF(E473=0,"",Player_Analysis!L473/E473*90)</f>
        <v>90</v>
      </c>
      <c r="P473">
        <f>IF(E473=0,"",Player_Analysis!Q473/E473*90)</f>
        <v>0</v>
      </c>
      <c r="Q473">
        <f>IF(E473=0,"",(Player_Analysis!AD473/E473)*90)</f>
        <v>270</v>
      </c>
      <c r="R473">
        <f>IF(E473=0,"",Player_Analysis!AA473/E473*90)</f>
        <v>0</v>
      </c>
      <c r="S473" t="str">
        <f t="array" ref="S473">IFERROR(INDEX('2023_24'!$O:$O,MATCH($A473,'2023_24'!$A:$A,0)),"")</f>
        <v/>
      </c>
      <c r="T473">
        <f>IFERROR(INDEX('2024_25'!$P:$P,MATCH($A473,'2024_25'!$A:$A,0)),"")</f>
        <v>0</v>
      </c>
      <c r="U473">
        <f>IFERROR(INDEX('2025_26'!$P:$P,MATCH($A473,'2025_26'!$A:$A,0)),"")</f>
        <v>0</v>
      </c>
      <c r="V473" t="str">
        <f>IFERROR(INDEX('2023_24'!$P:$P,MATCH($A473,'2023_24'!$A:$A,0)),"")</f>
        <v/>
      </c>
      <c r="W473">
        <f>IFERROR(INDEX('2024_25'!$Q:$Q,MATCH($A473,'2024_25'!$A:$A,0)),"")</f>
        <v>0</v>
      </c>
      <c r="X473">
        <f>IFERROR(INDEX('2025_26'!$Q:$Q,MATCH($A473,'2025_26'!$A:$A,0)),"")</f>
        <v>0</v>
      </c>
      <c r="Y473" t="str">
        <f>IFERROR(INDEX('2023_24'!$M:$M,MATCH($A473,'2023_24'!$A:$A,0))/INDEX('2023_24'!$G:$G,MATCH($A473,'2023_24'!$A:$A,0))*90,"")</f>
        <v/>
      </c>
      <c r="Z473">
        <f>IFERROR(INDEX('2024_25'!$M:$M,MATCH($A473,'2024_25'!$A:$A,0))/INDEX('2024_25'!$G:$G,MATCH($A473,'2024_25'!$A:$A,0))*90,"")</f>
        <v>90</v>
      </c>
      <c r="AA473" t="str">
        <f>IFERROR(INDEX('2025_26'!$M:$M,MATCH($A473,'2025_26'!$A:$A,0))/INDEX('2025_26'!$G:$G,MATCH($A473,'2025_26'!$A:$A,0))*90,"")</f>
        <v/>
      </c>
      <c r="AB473">
        <f>IFERROR(SUMPRODUCT(S473:U473,{0.2,0.3,0.5})/SUMPRODUCT(--(S473:U473&lt;&gt;""),{0.2,0.3,0.5}),"")</f>
        <v>0</v>
      </c>
      <c r="AC473">
        <f>IFERROR(SUMPRODUCT(V473:X473,{0.2,0.3,0.5})/SUMPRODUCT(--(V473:X473&lt;&gt;""),{0.2,0.3,0.5}),"")</f>
        <v>0</v>
      </c>
      <c r="AD473">
        <f>IFERROR(SUMPRODUCT(Y473:AA473,{0.2,0.3,0.5})/SUMPRODUCT((Y473:AA473&lt;&gt;"")*{0.2,0.3,0.5}),O473)</f>
        <v>90</v>
      </c>
      <c r="AE473">
        <f t="shared" si="187"/>
        <v>2</v>
      </c>
      <c r="AF473" t="str">
        <f t="shared" si="188"/>
        <v/>
      </c>
      <c r="AG473">
        <f t="shared" si="189"/>
        <v>0</v>
      </c>
      <c r="AH473">
        <f t="shared" si="190"/>
        <v>0</v>
      </c>
      <c r="AI473" s="2">
        <f t="shared" si="191"/>
        <v>90</v>
      </c>
      <c r="AJ473">
        <f t="shared" si="192"/>
        <v>3.3333333333333335E-3</v>
      </c>
      <c r="AK473" t="str">
        <f t="shared" si="193"/>
        <v>NO</v>
      </c>
      <c r="AL473">
        <f t="shared" si="194"/>
        <v>0</v>
      </c>
      <c r="AM473">
        <f t="shared" si="195"/>
        <v>0</v>
      </c>
      <c r="AN473">
        <f t="shared" si="196"/>
        <v>0</v>
      </c>
      <c r="AO473">
        <f t="shared" si="197"/>
        <v>0</v>
      </c>
      <c r="AP473">
        <f t="array" ref="AP473">AL473*IF($C473="GKP",10,IF($C473="DEF",6,IF($C473="MID",5,4)))</f>
        <v>0</v>
      </c>
      <c r="AQ473">
        <f t="shared" si="198"/>
        <v>0</v>
      </c>
      <c r="AR473">
        <f t="shared" si="199"/>
        <v>0</v>
      </c>
      <c r="AS473" s="2">
        <f>IF($H473=0,0,Player_Analysis!$AM473*$H473/90)</f>
        <v>0</v>
      </c>
      <c r="AT473">
        <f t="shared" si="200"/>
        <v>0</v>
      </c>
      <c r="AU473" s="2">
        <f>0</f>
        <v>0</v>
      </c>
      <c r="AV473" s="2">
        <f>IF(INDEX(FPL_Raw_Data!K:K,MATCH(A473,FPL_Raw_Data!AA:AA,0))=0,"",INDEX(FPL_Raw_Data!P:P,MATCH(A473,FPL_Raw_Data!AA:AA,0))/INDEX(FPL_Raw_Data!K:K,MATCH(A473,FPL_Raw_Data!AA:AA,0))*90)</f>
        <v>0</v>
      </c>
      <c r="AW473" s="2">
        <f t="shared" si="201"/>
        <v>0</v>
      </c>
      <c r="AX473" s="2">
        <f>IFERROR(INDEX(TEAM_ANALYSIS!$H$2:$H$21,MATCH($B473,TEAM_ANALYSIS!$A$2:$A$21,0)),0)</f>
        <v>0.66666666666666663</v>
      </c>
      <c r="AY473" s="2">
        <f t="shared" si="202"/>
        <v>-0.33333333333333331</v>
      </c>
      <c r="AZ473" s="2">
        <f t="shared" si="203"/>
        <v>-0.33333333333333331</v>
      </c>
      <c r="BA473">
        <f t="shared" si="204"/>
        <v>-7.407407407407407E-2</v>
      </c>
      <c r="BB473">
        <f>IFERROR(Player_Analysis!$Y473,1)</f>
        <v>1.1338276422764224</v>
      </c>
      <c r="BC473">
        <f t="shared" si="205"/>
        <v>-0.37794254742547412</v>
      </c>
      <c r="BD473">
        <f t="shared" si="206"/>
        <v>2.7995744253738821E-2</v>
      </c>
      <c r="BE473">
        <f t="shared" si="207"/>
        <v>-0.37794254742547412</v>
      </c>
      <c r="BF473">
        <f t="shared" si="208"/>
        <v>517</v>
      </c>
      <c r="BG473">
        <f>IF($BE473="","",COUNTIFS($C$2:$C$596,$C473,$BE$2:$BE$596,"&gt;"&amp;$BE473)+COUNTIFS($C$2:$C473,$C473,$BE$2:$BE473,$BE473))</f>
        <v>117</v>
      </c>
    </row>
    <row r="474" spans="1:59" x14ac:dyDescent="0.25">
      <c r="A474" t="str">
        <f>Player_Analysis!A474</f>
        <v>Antoine Semenyo</v>
      </c>
      <c r="B474">
        <f>Player_Analysis!C474</f>
        <v>15</v>
      </c>
      <c r="C474" t="str">
        <f>Player_Analysis!B474</f>
        <v>MID</v>
      </c>
      <c r="D474" s="13">
        <f>Player_Analysis!E474</f>
        <v>8.4</v>
      </c>
      <c r="E474">
        <f>Player_Analysis!I474</f>
        <v>270</v>
      </c>
      <c r="F474" s="8">
        <f>Player_Analysis!Z474</f>
        <v>3</v>
      </c>
      <c r="G474" s="17">
        <f t="shared" si="183"/>
        <v>1</v>
      </c>
      <c r="H474">
        <f t="shared" si="184"/>
        <v>90</v>
      </c>
      <c r="I474" s="8">
        <f>Player_Analysis!AF474</f>
        <v>0</v>
      </c>
      <c r="J474" s="8">
        <f>Player_Analysis!AG474</f>
        <v>2</v>
      </c>
      <c r="K474">
        <f>Player_Analysis!O474</f>
        <v>0.17</v>
      </c>
      <c r="L474">
        <f>Player_Analysis!P474</f>
        <v>0.93</v>
      </c>
      <c r="M474">
        <f t="shared" si="185"/>
        <v>5.6666666666666678E-2</v>
      </c>
      <c r="N474">
        <f t="shared" si="186"/>
        <v>0.31</v>
      </c>
      <c r="O474" s="2">
        <f>IF(E474=0,"",Player_Analysis!L474/E474*90)</f>
        <v>4.333333333333333</v>
      </c>
      <c r="P474">
        <f>IF(E474=0,"",Player_Analysis!Q474/E474*90)</f>
        <v>0.3666666666666667</v>
      </c>
      <c r="Q474">
        <f>IF(E474=0,"",(Player_Analysis!AD474/E474)*90)</f>
        <v>25</v>
      </c>
      <c r="R474">
        <f>IF(E474=0,"",Player_Analysis!AA474/E474*90)</f>
        <v>4</v>
      </c>
      <c r="S474">
        <f t="array" ref="S474">IFERROR(INDEX('2023_24'!$O:$O,MATCH($A474,'2023_24'!$A:$A,0)),"")</f>
        <v>0.20109575988565984</v>
      </c>
      <c r="T474">
        <f>IFERROR(INDEX('2024_25'!$P:$P,MATCH($A474,'2024_25'!$A:$A,0)),"")</f>
        <v>0.26730168644597124</v>
      </c>
      <c r="U474">
        <f>IFERROR(INDEX('2025_26'!$P:$P,MATCH($A474,'2025_26'!$A:$A,0)),"")</f>
        <v>0.31218750000000001</v>
      </c>
      <c r="V474">
        <f>IFERROR(INDEX('2023_24'!$P:$P,MATCH($A474,'2023_24'!$A:$A,0)),"")</f>
        <v>9.3901858027632207E-2</v>
      </c>
      <c r="W474">
        <f>IFERROR(INDEX('2024_25'!$Q:$Q,MATCH($A474,'2024_25'!$A:$A,0)),"")</f>
        <v>0.12451592754528419</v>
      </c>
      <c r="X474">
        <f>IFERROR(INDEX('2025_26'!$Q:$Q,MATCH($A474,'2025_26'!$A:$A,0)),"")</f>
        <v>8.7750000000000009E-2</v>
      </c>
      <c r="Y474">
        <f>IFERROR(INDEX('2023_24'!$M:$M,MATCH($A474,'2023_24'!$A:$A,0))/INDEX('2023_24'!$G:$G,MATCH($A474,'2023_24'!$A:$A,0))*90,"")</f>
        <v>4.5878989995235822</v>
      </c>
      <c r="Z474">
        <f>IFERROR(INDEX('2024_25'!$M:$M,MATCH($A474,'2024_25'!$A:$A,0))/INDEX('2024_25'!$G:$G,MATCH($A474,'2024_25'!$A:$A,0))*90,"")</f>
        <v>4.6377264209868834</v>
      </c>
      <c r="AA474">
        <f>IFERROR(INDEX('2025_26'!$M:$M,MATCH($A474,'2025_26'!$A:$A,0))/INDEX('2025_26'!$G:$G,MATCH($A474,'2025_26'!$A:$A,0))*90,"")</f>
        <v>5.6812500000000004</v>
      </c>
      <c r="AB474">
        <f>IFERROR(SUMPRODUCT(S474:U474,{0.2,0.3,0.5})/SUMPRODUCT(--(S474:U474&lt;&gt;""),{0.2,0.3,0.5}),"")</f>
        <v>0.27650340791092332</v>
      </c>
      <c r="AC474">
        <f>IFERROR(SUMPRODUCT(V474:X474,{0.2,0.3,0.5})/SUMPRODUCT(--(V474:X474&lt;&gt;""),{0.2,0.3,0.5}),"")</f>
        <v>0.10001014986911169</v>
      </c>
      <c r="AD474">
        <f>IFERROR(SUMPRODUCT(Y474:AA474,{0.2,0.3,0.5})/SUMPRODUCT((Y474:AA474&lt;&gt;"")*{0.2,0.3,0.5}),O474)</f>
        <v>5.1495227262007814</v>
      </c>
      <c r="AE474">
        <f t="shared" si="187"/>
        <v>3</v>
      </c>
      <c r="AF474">
        <f t="shared" si="188"/>
        <v>90</v>
      </c>
      <c r="AG474">
        <f t="shared" si="189"/>
        <v>7.8650340791092344E-2</v>
      </c>
      <c r="AH474">
        <f t="shared" si="190"/>
        <v>0.28900101498691122</v>
      </c>
      <c r="AI474" s="2">
        <f t="shared" si="191"/>
        <v>4.4149522726200781</v>
      </c>
      <c r="AJ474">
        <f t="shared" si="192"/>
        <v>0.9</v>
      </c>
      <c r="AK474" t="str">
        <f t="shared" si="193"/>
        <v>NO</v>
      </c>
      <c r="AL474">
        <f t="shared" si="194"/>
        <v>7.8650340791092344E-2</v>
      </c>
      <c r="AM474">
        <f t="shared" si="195"/>
        <v>0.28900101498691122</v>
      </c>
      <c r="AN474">
        <f t="shared" si="196"/>
        <v>7.8650340791092344E-2</v>
      </c>
      <c r="AO474">
        <f t="shared" si="197"/>
        <v>0.28900101498691122</v>
      </c>
      <c r="AP474">
        <f t="array" ref="AP474">AL474*IF($C474="GKP",10,IF($C474="DEF",6,IF($C474="MID",5,4)))</f>
        <v>0.39325170395546172</v>
      </c>
      <c r="AQ474">
        <f t="shared" si="198"/>
        <v>0.86700304496073366</v>
      </c>
      <c r="AR474">
        <f t="shared" si="199"/>
        <v>2</v>
      </c>
      <c r="AS474" s="2">
        <f>IF($H474=0,0,Player_Analysis!$AM474*$H474/90)</f>
        <v>0.33333333333333331</v>
      </c>
      <c r="AT474">
        <f t="shared" si="200"/>
        <v>0.66666666666666663</v>
      </c>
      <c r="AU474" s="2">
        <f>0</f>
        <v>0</v>
      </c>
      <c r="AV474" s="2">
        <f>IF(INDEX(FPL_Raw_Data!K:K,MATCH(A474,FPL_Raw_Data!AA:AA,0))=0,"",INDEX(FPL_Raw_Data!P:P,MATCH(A474,FPL_Raw_Data!AA:AA,0))/INDEX(FPL_Raw_Data!K:K,MATCH(A474,FPL_Raw_Data!AA:AA,0))*90)</f>
        <v>0</v>
      </c>
      <c r="AW474" s="2">
        <f t="shared" si="201"/>
        <v>0</v>
      </c>
      <c r="AX474" s="2">
        <f>IFERROR(INDEX(TEAM_ANALYSIS!$H$2:$H$21,MATCH($B474,TEAM_ANALYSIS!$A$2:$A$21,0)),0)</f>
        <v>0.66666666666666663</v>
      </c>
      <c r="AY474" s="2">
        <f t="shared" si="202"/>
        <v>0</v>
      </c>
      <c r="AZ474" s="2">
        <f t="shared" si="203"/>
        <v>4.2602547489161955</v>
      </c>
      <c r="BA474">
        <f t="shared" si="204"/>
        <v>0.5071731843947852</v>
      </c>
      <c r="BB474">
        <f>IFERROR(Player_Analysis!$Y474,1)</f>
        <v>1.1822231833910033</v>
      </c>
      <c r="BC474">
        <f t="shared" si="205"/>
        <v>5.0365719313203439</v>
      </c>
      <c r="BD474">
        <f t="shared" si="206"/>
        <v>2.5544142248411323</v>
      </c>
      <c r="BE474">
        <f t="shared" si="207"/>
        <v>5.0365719313203439</v>
      </c>
      <c r="BF474">
        <f t="shared" si="208"/>
        <v>90</v>
      </c>
      <c r="BG474">
        <f>IF($BE474="","",COUNTIFS($C$2:$C$596,$C474,$BE$2:$BE$596,"&gt;"&amp;$BE474)+COUNTIFS($C$2:$C474,$C474,$BE$2:$BE474,$BE474))</f>
        <v>43</v>
      </c>
    </row>
    <row r="475" spans="1:59" x14ac:dyDescent="0.25">
      <c r="A475" t="str">
        <f>Player_Analysis!A475</f>
        <v>Phil Foden</v>
      </c>
      <c r="B475">
        <f>Player_Analysis!C475</f>
        <v>15</v>
      </c>
      <c r="C475" t="str">
        <f>Player_Analysis!B475</f>
        <v>MID</v>
      </c>
      <c r="D475" s="13">
        <f>Player_Analysis!E475</f>
        <v>7</v>
      </c>
      <c r="E475">
        <f>Player_Analysis!I475</f>
        <v>195</v>
      </c>
      <c r="F475" s="8">
        <f>Player_Analysis!Z475</f>
        <v>2</v>
      </c>
      <c r="G475" s="17">
        <f t="shared" si="183"/>
        <v>0.92307692307692313</v>
      </c>
      <c r="H475">
        <f t="shared" si="184"/>
        <v>83.07692307692308</v>
      </c>
      <c r="I475" s="8">
        <f>Player_Analysis!AF475</f>
        <v>0</v>
      </c>
      <c r="J475" s="8">
        <f>Player_Analysis!AG475</f>
        <v>2</v>
      </c>
      <c r="K475">
        <f>Player_Analysis!O475</f>
        <v>1.61</v>
      </c>
      <c r="L475">
        <f>Player_Analysis!P475</f>
        <v>0.86</v>
      </c>
      <c r="M475">
        <f t="shared" si="185"/>
        <v>0.74307692307692308</v>
      </c>
      <c r="N475">
        <f t="shared" si="186"/>
        <v>0.39692307692307688</v>
      </c>
      <c r="O475" s="2">
        <f>IF(E475=0,"",Player_Analysis!L475/E475*90)</f>
        <v>5.0769230769230766</v>
      </c>
      <c r="P475">
        <f>IF(E475=0,"",Player_Analysis!Q475/E475*90)</f>
        <v>1.1400000000000001</v>
      </c>
      <c r="Q475">
        <f>IF(E475=0,"",(Player_Analysis!AD475/E475)*90)</f>
        <v>25.846153846153843</v>
      </c>
      <c r="R475">
        <f>IF(E475=0,"",Player_Analysis!AA475/E475*90)</f>
        <v>6.4615384615384608</v>
      </c>
      <c r="S475">
        <f t="array" ref="S475">IFERROR(INDEX('2023_24'!$O:$O,MATCH($A475,'2023_24'!$A:$A,0)),"")</f>
        <v>0.32003496503496504</v>
      </c>
      <c r="T475">
        <f>IFERROR(INDEX('2024_25'!$P:$P,MATCH($A475,'2024_25'!$A:$A,0)),"")</f>
        <v>0.26273291925465836</v>
      </c>
      <c r="U475">
        <f>IFERROR(INDEX('2025_26'!$P:$P,MATCH($A475,'2025_26'!$A:$A,0)),"")</f>
        <v>0.2611645813282002</v>
      </c>
      <c r="V475">
        <f>IFERROR(INDEX('2023_24'!$P:$P,MATCH($A475,'2023_24'!$A:$A,0)),"")</f>
        <v>0.21870629370629374</v>
      </c>
      <c r="W475">
        <f>IFERROR(INDEX('2024_25'!$Q:$Q,MATCH($A475,'2024_25'!$A:$A,0)),"")</f>
        <v>0.27086391869000565</v>
      </c>
      <c r="X475">
        <f>IFERROR(INDEX('2025_26'!$Q:$Q,MATCH($A475,'2025_26'!$A:$A,0)),"")</f>
        <v>0.20615976900866217</v>
      </c>
      <c r="Y475">
        <f>IFERROR(INDEX('2023_24'!$M:$M,MATCH($A475,'2023_24'!$A:$A,0))/INDEX('2023_24'!$G:$G,MATCH($A475,'2023_24'!$A:$A,0))*90,"")</f>
        <v>7.2377622377622375</v>
      </c>
      <c r="Z475">
        <f>IFERROR(INDEX('2024_25'!$M:$M,MATCH($A475,'2024_25'!$A:$A,0))/INDEX('2024_25'!$G:$G,MATCH($A475,'2024_25'!$A:$A,0))*90,"")</f>
        <v>5.3359683794466397</v>
      </c>
      <c r="AA475">
        <f>IFERROR(INDEX('2025_26'!$M:$M,MATCH($A475,'2025_26'!$A:$A,0))/INDEX('2025_26'!$G:$G,MATCH($A475,'2025_26'!$A:$A,0))*90,"")</f>
        <v>5.673724735322426</v>
      </c>
      <c r="AB475">
        <f>IFERROR(SUMPRODUCT(S475:U475,{0.2,0.3,0.5})/SUMPRODUCT(--(S475:U475&lt;&gt;""),{0.2,0.3,0.5}),"")</f>
        <v>0.27340915944749061</v>
      </c>
      <c r="AC475">
        <f>IFERROR(SUMPRODUCT(V475:X475,{0.2,0.3,0.5})/SUMPRODUCT(--(V475:X475&lt;&gt;""),{0.2,0.3,0.5}),"")</f>
        <v>0.22808031885259153</v>
      </c>
      <c r="AD475">
        <f>IFERROR(SUMPRODUCT(Y475:AA475,{0.2,0.3,0.5})/SUMPRODUCT((Y475:AA475&lt;&gt;"")*{0.2,0.3,0.5}),O475)</f>
        <v>5.8852053290476523</v>
      </c>
      <c r="AE475">
        <f t="shared" si="187"/>
        <v>3</v>
      </c>
      <c r="AF475">
        <f t="shared" si="188"/>
        <v>97.5</v>
      </c>
      <c r="AG475">
        <f t="shared" si="189"/>
        <v>0.57869320580662176</v>
      </c>
      <c r="AH475">
        <f t="shared" si="190"/>
        <v>0.33782811159840703</v>
      </c>
      <c r="AI475" s="2">
        <f t="shared" si="191"/>
        <v>5.359821865166678</v>
      </c>
      <c r="AJ475">
        <f t="shared" si="192"/>
        <v>0.65</v>
      </c>
      <c r="AK475" t="str">
        <f t="shared" si="193"/>
        <v>NO</v>
      </c>
      <c r="AL475">
        <f t="shared" si="194"/>
        <v>0.53417834382149698</v>
      </c>
      <c r="AM475">
        <f t="shared" si="195"/>
        <v>0.31184133378314499</v>
      </c>
      <c r="AN475">
        <f t="shared" si="196"/>
        <v>0.53417834382149698</v>
      </c>
      <c r="AO475">
        <f t="shared" si="197"/>
        <v>0.31184133378314499</v>
      </c>
      <c r="AP475">
        <f t="array" ref="AP475">AL475*IF($C475="GKP",10,IF($C475="DEF",6,IF($C475="MID",5,4)))</f>
        <v>2.6708917191074848</v>
      </c>
      <c r="AQ475">
        <f t="shared" si="198"/>
        <v>0.93552400134943503</v>
      </c>
      <c r="AR475">
        <f t="shared" si="199"/>
        <v>1.8461538461538463</v>
      </c>
      <c r="AS475" s="2">
        <f>IF($H475=0,0,Player_Analysis!$AM475*$H475/90)</f>
        <v>0</v>
      </c>
      <c r="AT475">
        <f t="shared" si="200"/>
        <v>0.99408284023668625</v>
      </c>
      <c r="AU475" s="2">
        <f>0</f>
        <v>0</v>
      </c>
      <c r="AV475" s="2">
        <f>IF(INDEX(FPL_Raw_Data!K:K,MATCH(A475,FPL_Raw_Data!AA:AA,0))=0,"",INDEX(FPL_Raw_Data!P:P,MATCH(A475,FPL_Raw_Data!AA:AA,0))/INDEX(FPL_Raw_Data!K:K,MATCH(A475,FPL_Raw_Data!AA:AA,0))*90)</f>
        <v>0</v>
      </c>
      <c r="AW475" s="2">
        <f t="shared" si="201"/>
        <v>0</v>
      </c>
      <c r="AX475" s="2">
        <f>IFERROR(INDEX(TEAM_ANALYSIS!$H$2:$H$21,MATCH($B475,TEAM_ANALYSIS!$A$2:$A$21,0)),0)</f>
        <v>0.66666666666666663</v>
      </c>
      <c r="AY475" s="2">
        <f t="shared" si="202"/>
        <v>0</v>
      </c>
      <c r="AZ475" s="2">
        <f t="shared" si="203"/>
        <v>6.446652406847452</v>
      </c>
      <c r="BA475">
        <f t="shared" si="204"/>
        <v>0.92095034383535024</v>
      </c>
      <c r="BB475">
        <f>IFERROR(Player_Analysis!$Y475,1)</f>
        <v>1.1822231833910033</v>
      </c>
      <c r="BC475">
        <f t="shared" si="205"/>
        <v>7.621381930638468</v>
      </c>
      <c r="BD475">
        <f t="shared" si="206"/>
        <v>7.0189143095220228</v>
      </c>
      <c r="BE475">
        <f t="shared" si="207"/>
        <v>7.621381930638468</v>
      </c>
      <c r="BF475">
        <f t="shared" si="208"/>
        <v>14</v>
      </c>
      <c r="BG475">
        <f>IF($BE475="","",COUNTIFS($C$2:$C$596,$C475,$BE$2:$BE$596,"&gt;"&amp;$BE475)+COUNTIFS($C$2:$C475,$C475,$BE$2:$BE475,$BE475))</f>
        <v>4</v>
      </c>
    </row>
    <row r="476" spans="1:59" x14ac:dyDescent="0.25">
      <c r="A476" t="str">
        <f>Player_Analysis!A476</f>
        <v>Rayan Cherki</v>
      </c>
      <c r="B476">
        <f>Player_Analysis!C476</f>
        <v>15</v>
      </c>
      <c r="C476" t="str">
        <f>Player_Analysis!B476</f>
        <v>MID</v>
      </c>
      <c r="D476" s="13">
        <f>Player_Analysis!E476</f>
        <v>7.8</v>
      </c>
      <c r="E476">
        <f>Player_Analysis!I476</f>
        <v>173</v>
      </c>
      <c r="F476" s="8">
        <f>Player_Analysis!Z476</f>
        <v>2</v>
      </c>
      <c r="G476" s="17">
        <f t="shared" si="183"/>
        <v>1</v>
      </c>
      <c r="H476">
        <f t="shared" si="184"/>
        <v>90</v>
      </c>
      <c r="I476" s="8">
        <f>Player_Analysis!AF476</f>
        <v>2</v>
      </c>
      <c r="J476" s="8">
        <f>Player_Analysis!AG476</f>
        <v>2</v>
      </c>
      <c r="K476">
        <f>Player_Analysis!O476</f>
        <v>0.56000000000000005</v>
      </c>
      <c r="L476">
        <f>Player_Analysis!P476</f>
        <v>1.35</v>
      </c>
      <c r="M476">
        <f t="shared" si="185"/>
        <v>0.29132947976878615</v>
      </c>
      <c r="N476">
        <f t="shared" si="186"/>
        <v>0.70231213872832376</v>
      </c>
      <c r="O476" s="2">
        <f>IF(E476=0,"",Player_Analysis!L476/E476*90)</f>
        <v>13.00578034682081</v>
      </c>
      <c r="P476">
        <f>IF(E476=0,"",Player_Analysis!Q476/E476*90)</f>
        <v>0.99364161849710975</v>
      </c>
      <c r="Q476">
        <f>IF(E476=0,"",(Player_Analysis!AD476/E476)*90)</f>
        <v>57.74566473988439</v>
      </c>
      <c r="R476">
        <f>IF(E476=0,"",Player_Analysis!AA476/E476*90)</f>
        <v>3.1213872832369938</v>
      </c>
      <c r="S476" t="str">
        <f t="array" ref="S476">IFERROR(INDEX('2023_24'!$O:$O,MATCH($A476,'2023_24'!$A:$A,0)),"")</f>
        <v/>
      </c>
      <c r="T476" t="str">
        <f>IFERROR(INDEX('2024_25'!$P:$P,MATCH($A476,'2024_25'!$A:$A,0)),"")</f>
        <v/>
      </c>
      <c r="U476">
        <f>IFERROR(INDEX('2025_26'!$P:$P,MATCH($A476,'2025_26'!$A:$A,0)),"")</f>
        <v>0.21738148984198649</v>
      </c>
      <c r="V476" t="str">
        <f>IFERROR(INDEX('2023_24'!$P:$P,MATCH($A476,'2023_24'!$A:$A,0)),"")</f>
        <v/>
      </c>
      <c r="W476" t="str">
        <f>IFERROR(INDEX('2024_25'!$Q:$Q,MATCH($A476,'2024_25'!$A:$A,0)),"")</f>
        <v/>
      </c>
      <c r="X476">
        <f>IFERROR(INDEX('2025_26'!$Q:$Q,MATCH($A476,'2025_26'!$A:$A,0)),"")</f>
        <v>0.45050790067720081</v>
      </c>
      <c r="Y476" t="str">
        <f>IFERROR(INDEX('2023_24'!$M:$M,MATCH($A476,'2023_24'!$A:$A,0))/INDEX('2023_24'!$G:$G,MATCH($A476,'2023_24'!$A:$A,0))*90,"")</f>
        <v/>
      </c>
      <c r="Z476" t="str">
        <f>IFERROR(INDEX('2024_25'!$M:$M,MATCH($A476,'2024_25'!$A:$A,0))/INDEX('2024_25'!$G:$G,MATCH($A476,'2024_25'!$A:$A,0))*90,"")</f>
        <v/>
      </c>
      <c r="AA476">
        <f>IFERROR(INDEX('2025_26'!$M:$M,MATCH($A476,'2025_26'!$A:$A,0))/INDEX('2025_26'!$G:$G,MATCH($A476,'2025_26'!$A:$A,0))*90,"")</f>
        <v>6.8566591422121901</v>
      </c>
      <c r="AB476">
        <f>IFERROR(SUMPRODUCT(S476:U476,{0.2,0.3,0.5})/SUMPRODUCT(--(S476:U476&lt;&gt;""),{0.2,0.3,0.5}),"")</f>
        <v>0.21738148984198649</v>
      </c>
      <c r="AC476">
        <f>IFERROR(SUMPRODUCT(V476:X476,{0.2,0.3,0.5})/SUMPRODUCT(--(V476:X476&lt;&gt;""),{0.2,0.3,0.5}),"")</f>
        <v>0.45050790067720081</v>
      </c>
      <c r="AD476">
        <f>IFERROR(SUMPRODUCT(Y476:AA476,{0.2,0.3,0.5})/SUMPRODUCT((Y476:AA476&lt;&gt;"")*{0.2,0.3,0.5}),O476)</f>
        <v>6.8566591422121901</v>
      </c>
      <c r="AE476">
        <f t="shared" si="187"/>
        <v>1</v>
      </c>
      <c r="AF476">
        <f t="shared" si="188"/>
        <v>86.5</v>
      </c>
      <c r="AG476">
        <f t="shared" si="189"/>
        <v>0.26002483069977428</v>
      </c>
      <c r="AH476">
        <f t="shared" si="190"/>
        <v>0.59571501128668169</v>
      </c>
      <c r="AI476" s="2">
        <f t="shared" si="191"/>
        <v>10.40265237020316</v>
      </c>
      <c r="AJ476">
        <f t="shared" si="192"/>
        <v>0.57666666666666666</v>
      </c>
      <c r="AK476" t="str">
        <f t="shared" si="193"/>
        <v>NO</v>
      </c>
      <c r="AL476">
        <f t="shared" si="194"/>
        <v>0.26002483069977428</v>
      </c>
      <c r="AM476">
        <f t="shared" si="195"/>
        <v>0.59571501128668169</v>
      </c>
      <c r="AN476">
        <f t="shared" si="196"/>
        <v>0.26002483069977428</v>
      </c>
      <c r="AO476">
        <f t="shared" si="197"/>
        <v>0.59571501128668169</v>
      </c>
      <c r="AP476">
        <f t="array" ref="AP476">AL476*IF($C476="GKP",10,IF($C476="DEF",6,IF($C476="MID",5,4)))</f>
        <v>1.3001241534988714</v>
      </c>
      <c r="AQ476">
        <f t="shared" si="198"/>
        <v>1.7871450338600452</v>
      </c>
      <c r="AR476">
        <f t="shared" si="199"/>
        <v>2</v>
      </c>
      <c r="AS476" s="2">
        <f>IF($H476=0,0,Player_Analysis!$AM476*$H476/90)</f>
        <v>0.5</v>
      </c>
      <c r="AT476">
        <f t="shared" si="200"/>
        <v>0.52023121387283233</v>
      </c>
      <c r="AU476" s="2">
        <f>0</f>
        <v>0</v>
      </c>
      <c r="AV476" s="2">
        <f>IF(INDEX(FPL_Raw_Data!K:K,MATCH(A476,FPL_Raw_Data!AA:AA,0))=0,"",INDEX(FPL_Raw_Data!P:P,MATCH(A476,FPL_Raw_Data!AA:AA,0))/INDEX(FPL_Raw_Data!K:K,MATCH(A476,FPL_Raw_Data!AA:AA,0))*90)</f>
        <v>0</v>
      </c>
      <c r="AW476" s="2">
        <f t="shared" si="201"/>
        <v>0</v>
      </c>
      <c r="AX476" s="2">
        <f>IFERROR(INDEX(TEAM_ANALYSIS!$H$2:$H$21,MATCH($B476,TEAM_ANALYSIS!$A$2:$A$21,0)),0)</f>
        <v>0.66666666666666663</v>
      </c>
      <c r="AY476" s="2">
        <f t="shared" si="202"/>
        <v>0</v>
      </c>
      <c r="AZ476" s="2">
        <f t="shared" si="203"/>
        <v>6.1075004012317491</v>
      </c>
      <c r="BA476">
        <f t="shared" si="204"/>
        <v>0.78301287195278835</v>
      </c>
      <c r="BB476">
        <f>IFERROR(Player_Analysis!$Y476,1)</f>
        <v>1.1822231833910033</v>
      </c>
      <c r="BC476">
        <f t="shared" si="205"/>
        <v>7.220428566906028</v>
      </c>
      <c r="BD476">
        <f t="shared" si="206"/>
        <v>5.6536885089030449</v>
      </c>
      <c r="BE476">
        <f t="shared" si="207"/>
        <v>7.220428566906028</v>
      </c>
      <c r="BF476">
        <f t="shared" si="208"/>
        <v>18</v>
      </c>
      <c r="BG476">
        <f>IF($BE476="","",COUNTIFS($C$2:$C$596,$C476,$BE$2:$BE$596,"&gt;"&amp;$BE476)+COUNTIFS($C$2:$C476,$C476,$BE$2:$BE476,$BE476))</f>
        <v>7</v>
      </c>
    </row>
    <row r="477" spans="1:59" x14ac:dyDescent="0.25">
      <c r="A477" t="str">
        <f>Player_Analysis!A477</f>
        <v>Jérémy Doku</v>
      </c>
      <c r="B477">
        <f>Player_Analysis!C477</f>
        <v>15</v>
      </c>
      <c r="C477" t="str">
        <f>Player_Analysis!B477</f>
        <v>MID</v>
      </c>
      <c r="D477" s="13">
        <f>Player_Analysis!E477</f>
        <v>7.4</v>
      </c>
      <c r="E477">
        <f>Player_Analysis!I477</f>
        <v>0</v>
      </c>
      <c r="F477" s="8">
        <f>Player_Analysis!Z477</f>
        <v>0</v>
      </c>
      <c r="G477" s="17">
        <f t="shared" si="183"/>
        <v>0</v>
      </c>
      <c r="H477">
        <f t="shared" si="184"/>
        <v>0</v>
      </c>
      <c r="I477" s="8">
        <f>Player_Analysis!AF477</f>
        <v>0</v>
      </c>
      <c r="J477" s="8">
        <f>Player_Analysis!AG477</f>
        <v>0</v>
      </c>
      <c r="K477">
        <f>Player_Analysis!O477</f>
        <v>0</v>
      </c>
      <c r="L477">
        <f>Player_Analysis!P477</f>
        <v>0</v>
      </c>
      <c r="M477" t="str">
        <f t="shared" si="185"/>
        <v/>
      </c>
      <c r="N477" t="str">
        <f t="shared" si="186"/>
        <v/>
      </c>
      <c r="O477" s="2" t="str">
        <f>IF(E477=0,"",Player_Analysis!L477/E477*90)</f>
        <v/>
      </c>
      <c r="P477" t="str">
        <f>IF(E477=0,"",Player_Analysis!Q477/E477*90)</f>
        <v/>
      </c>
      <c r="Q477" t="str">
        <f>IF(E477=0,"",(Player_Analysis!AD477/E477)*90)</f>
        <v/>
      </c>
      <c r="R477" t="str">
        <f>IF(E477=0,"",Player_Analysis!AA477/E477*90)</f>
        <v/>
      </c>
      <c r="S477">
        <f t="array" ref="S477">IFERROR(INDEX('2023_24'!$O:$O,MATCH($A477,'2023_24'!$A:$A,0)),"")</f>
        <v>0.14593059936908517</v>
      </c>
      <c r="T477">
        <f>IFERROR(INDEX('2024_25'!$P:$P,MATCH($A477,'2024_25'!$A:$A,0)),"")</f>
        <v>7.8884462151394427E-2</v>
      </c>
      <c r="U477">
        <f>IFERROR(INDEX('2025_26'!$P:$P,MATCH($A477,'2025_26'!$A:$A,0)),"")</f>
        <v>0.14568527918781726</v>
      </c>
      <c r="V477">
        <f>IFERROR(INDEX('2023_24'!$P:$P,MATCH($A477,'2023_24'!$A:$A,0)),"")</f>
        <v>0.33217665615141956</v>
      </c>
      <c r="W477">
        <f>IFERROR(INDEX('2024_25'!$Q:$Q,MATCH($A477,'2024_25'!$A:$A,0)),"")</f>
        <v>0.22768924302788843</v>
      </c>
      <c r="X477">
        <f>IFERROR(INDEX('2025_26'!$Q:$Q,MATCH($A477,'2025_26'!$A:$A,0)),"")</f>
        <v>0.29746192893401019</v>
      </c>
      <c r="Y477">
        <f>IFERROR(INDEX('2023_24'!$M:$M,MATCH($A477,'2023_24'!$A:$A,0))/INDEX('2023_24'!$G:$G,MATCH($A477,'2023_24'!$A:$A,0))*90,"")</f>
        <v>5.5646687697160884</v>
      </c>
      <c r="Z477">
        <f>IFERROR(INDEX('2024_25'!$M:$M,MATCH($A477,'2024_25'!$A:$A,0))/INDEX('2024_25'!$G:$G,MATCH($A477,'2024_25'!$A:$A,0))*90,"")</f>
        <v>5.2589641434262946</v>
      </c>
      <c r="AA477">
        <f>IFERROR(INDEX('2025_26'!$M:$M,MATCH($A477,'2025_26'!$A:$A,0))/INDEX('2025_26'!$G:$G,MATCH($A477,'2025_26'!$A:$A,0))*90,"")</f>
        <v>6.0913705583756341</v>
      </c>
      <c r="AB477">
        <f>IFERROR(SUMPRODUCT(S477:U477,{0.2,0.3,0.5})/SUMPRODUCT(--(S477:U477&lt;&gt;""),{0.2,0.3,0.5}),"")</f>
        <v>0.125694098113144</v>
      </c>
      <c r="AC477">
        <f>IFERROR(SUMPRODUCT(V477:X477,{0.2,0.3,0.5})/SUMPRODUCT(--(V477:X477&lt;&gt;""),{0.2,0.3,0.5}),"")</f>
        <v>0.28347306860565558</v>
      </c>
      <c r="AD477">
        <f>IFERROR(SUMPRODUCT(Y477:AA477,{0.2,0.3,0.5})/SUMPRODUCT((Y477:AA477&lt;&gt;"")*{0.2,0.3,0.5}),O477)</f>
        <v>5.7363082761589226</v>
      </c>
      <c r="AE477">
        <f t="shared" si="187"/>
        <v>3</v>
      </c>
      <c r="AF477" t="str">
        <f t="shared" si="188"/>
        <v/>
      </c>
      <c r="AG477">
        <f t="shared" si="189"/>
        <v>0.125694098113144</v>
      </c>
      <c r="AH477">
        <f t="shared" si="190"/>
        <v>0.28347306860565558</v>
      </c>
      <c r="AI477" s="2">
        <f t="shared" si="191"/>
        <v>5.7363082761589226</v>
      </c>
      <c r="AJ477">
        <f t="shared" si="192"/>
        <v>0</v>
      </c>
      <c r="AK477" t="str">
        <f t="shared" si="193"/>
        <v>NO</v>
      </c>
      <c r="AL477">
        <f t="shared" si="194"/>
        <v>0</v>
      </c>
      <c r="AM477">
        <f t="shared" si="195"/>
        <v>0</v>
      </c>
      <c r="AN477">
        <f t="shared" si="196"/>
        <v>0</v>
      </c>
      <c r="AO477">
        <f t="shared" si="197"/>
        <v>0</v>
      </c>
      <c r="AP477">
        <f t="array" ref="AP477">AL477*IF($C477="GKP",10,IF($C477="DEF",6,IF($C477="MID",5,4)))</f>
        <v>0</v>
      </c>
      <c r="AQ477">
        <f t="shared" si="198"/>
        <v>0</v>
      </c>
      <c r="AR477">
        <f t="shared" si="199"/>
        <v>0</v>
      </c>
      <c r="AS477" s="2">
        <f>IF($H477=0,0,Player_Analysis!$AM477*$H477/90)</f>
        <v>0</v>
      </c>
      <c r="AT477">
        <f t="shared" si="200"/>
        <v>0</v>
      </c>
      <c r="AU477" s="2">
        <f>0</f>
        <v>0</v>
      </c>
      <c r="AV477" s="2" t="str">
        <f>IF(INDEX(FPL_Raw_Data!K:K,MATCH(A477,FPL_Raw_Data!AA:AA,0))=0,"",INDEX(FPL_Raw_Data!P:P,MATCH(A477,FPL_Raw_Data!AA:AA,0))/INDEX(FPL_Raw_Data!K:K,MATCH(A477,FPL_Raw_Data!AA:AA,0))*90)</f>
        <v/>
      </c>
      <c r="AW477" s="2">
        <f t="shared" si="201"/>
        <v>0</v>
      </c>
      <c r="AX477" s="2">
        <f>IFERROR(INDEX(TEAM_ANALYSIS!$H$2:$H$21,MATCH($B477,TEAM_ANALYSIS!$A$2:$A$21,0)),0)</f>
        <v>0.66666666666666663</v>
      </c>
      <c r="AY477" s="2">
        <f t="shared" si="202"/>
        <v>0</v>
      </c>
      <c r="AZ477" s="2">
        <f t="shared" si="203"/>
        <v>0</v>
      </c>
      <c r="BA477">
        <f t="shared" si="204"/>
        <v>0</v>
      </c>
      <c r="BB477">
        <f>IFERROR(Player_Analysis!$Y477,1)</f>
        <v>1.1822231833910033</v>
      </c>
      <c r="BC477">
        <f t="shared" si="205"/>
        <v>0</v>
      </c>
      <c r="BD477">
        <f t="shared" si="206"/>
        <v>0</v>
      </c>
      <c r="BE477">
        <f t="shared" si="207"/>
        <v>0</v>
      </c>
      <c r="BF477">
        <f t="shared" si="208"/>
        <v>253</v>
      </c>
      <c r="BG477">
        <f>IF($BE477="","",COUNTIFS($C$2:$C$596,$C477,$BE$2:$BE$596,"&gt;"&amp;$BE477)+COUNTIFS($C$2:$C477,$C477,$BE$2:$BE477,$BE477))</f>
        <v>233</v>
      </c>
    </row>
    <row r="478" spans="1:59" x14ac:dyDescent="0.25">
      <c r="A478" t="str">
        <f>Player_Analysis!A478</f>
        <v>Rodrigo 'Rodri' Hernandez Cascante</v>
      </c>
      <c r="B478">
        <f>Player_Analysis!C478</f>
        <v>15</v>
      </c>
      <c r="C478" t="str">
        <f>Player_Analysis!B478</f>
        <v>MID</v>
      </c>
      <c r="D478" s="13">
        <f>Player_Analysis!E478</f>
        <v>6.5</v>
      </c>
      <c r="E478">
        <f>Player_Analysis!I478</f>
        <v>0</v>
      </c>
      <c r="F478" s="8">
        <f>Player_Analysis!Z478</f>
        <v>0</v>
      </c>
      <c r="G478" s="17">
        <f t="shared" si="183"/>
        <v>0</v>
      </c>
      <c r="H478">
        <f t="shared" si="184"/>
        <v>0</v>
      </c>
      <c r="I478" s="8">
        <f>Player_Analysis!AF478</f>
        <v>0</v>
      </c>
      <c r="J478" s="8">
        <f>Player_Analysis!AG478</f>
        <v>0</v>
      </c>
      <c r="K478">
        <f>Player_Analysis!O478</f>
        <v>0</v>
      </c>
      <c r="L478">
        <f>Player_Analysis!P478</f>
        <v>0</v>
      </c>
      <c r="M478" t="str">
        <f t="shared" si="185"/>
        <v/>
      </c>
      <c r="N478" t="str">
        <f t="shared" si="186"/>
        <v/>
      </c>
      <c r="O478" s="2" t="str">
        <f>IF(E478=0,"",Player_Analysis!L478/E478*90)</f>
        <v/>
      </c>
      <c r="P478" t="str">
        <f>IF(E478=0,"",Player_Analysis!Q478/E478*90)</f>
        <v/>
      </c>
      <c r="Q478" t="str">
        <f>IF(E478=0,"",(Player_Analysis!AD478/E478)*90)</f>
        <v/>
      </c>
      <c r="R478" t="str">
        <f>IF(E478=0,"",Player_Analysis!AA478/E478*90)</f>
        <v/>
      </c>
      <c r="S478" t="str">
        <f t="array" ref="S478">IFERROR(INDEX('2023_24'!$O:$O,MATCH($A478,'2023_24'!$A:$A,0)),"")</f>
        <v/>
      </c>
      <c r="T478" t="str">
        <f>IFERROR(INDEX('2024_25'!$P:$P,MATCH($A478,'2024_25'!$A:$A,0)),"")</f>
        <v/>
      </c>
      <c r="U478">
        <f>IFERROR(INDEX('2025_26'!$P:$P,MATCH($A478,'2025_26'!$A:$A,0)),"")</f>
        <v>6.8543046357615878E-2</v>
      </c>
      <c r="V478" t="str">
        <f>IFERROR(INDEX('2023_24'!$P:$P,MATCH($A478,'2023_24'!$A:$A,0)),"")</f>
        <v/>
      </c>
      <c r="W478" t="str">
        <f>IFERROR(INDEX('2024_25'!$Q:$Q,MATCH($A478,'2024_25'!$A:$A,0)),"")</f>
        <v/>
      </c>
      <c r="X478">
        <f>IFERROR(INDEX('2025_26'!$Q:$Q,MATCH($A478,'2025_26'!$A:$A,0)),"")</f>
        <v>0.14602649006622517</v>
      </c>
      <c r="Y478" t="str">
        <f>IFERROR(INDEX('2023_24'!$M:$M,MATCH($A478,'2023_24'!$A:$A,0))/INDEX('2023_24'!$G:$G,MATCH($A478,'2023_24'!$A:$A,0))*90,"")</f>
        <v/>
      </c>
      <c r="Z478" t="str">
        <f>IFERROR(INDEX('2024_25'!$M:$M,MATCH($A478,'2024_25'!$A:$A,0))/INDEX('2024_25'!$G:$G,MATCH($A478,'2024_25'!$A:$A,0))*90,"")</f>
        <v/>
      </c>
      <c r="AA478">
        <f>IFERROR(INDEX('2025_26'!$M:$M,MATCH($A478,'2025_26'!$A:$A,0))/INDEX('2025_26'!$G:$G,MATCH($A478,'2025_26'!$A:$A,0))*90,"")</f>
        <v>4.112582781456954</v>
      </c>
      <c r="AB478">
        <f>IFERROR(SUMPRODUCT(S478:U478,{0.2,0.3,0.5})/SUMPRODUCT(--(S478:U478&lt;&gt;""),{0.2,0.3,0.5}),"")</f>
        <v>6.8543046357615878E-2</v>
      </c>
      <c r="AC478">
        <f>IFERROR(SUMPRODUCT(V478:X478,{0.2,0.3,0.5})/SUMPRODUCT(--(V478:X478&lt;&gt;""),{0.2,0.3,0.5}),"")</f>
        <v>0.14602649006622517</v>
      </c>
      <c r="AD478">
        <f>IFERROR(SUMPRODUCT(Y478:AA478,{0.2,0.3,0.5})/SUMPRODUCT((Y478:AA478&lt;&gt;"")*{0.2,0.3,0.5}),O478)</f>
        <v>4.112582781456954</v>
      </c>
      <c r="AE478">
        <f t="shared" si="187"/>
        <v>1</v>
      </c>
      <c r="AF478" t="str">
        <f t="shared" si="188"/>
        <v/>
      </c>
      <c r="AG478">
        <f t="shared" si="189"/>
        <v>6.8543046357615878E-2</v>
      </c>
      <c r="AH478">
        <f t="shared" si="190"/>
        <v>0.14602649006622517</v>
      </c>
      <c r="AI478" s="2">
        <f t="shared" si="191"/>
        <v>4.112582781456954</v>
      </c>
      <c r="AJ478">
        <f t="shared" si="192"/>
        <v>0</v>
      </c>
      <c r="AK478" t="str">
        <f t="shared" si="193"/>
        <v>NO</v>
      </c>
      <c r="AL478">
        <f t="shared" si="194"/>
        <v>0</v>
      </c>
      <c r="AM478">
        <f t="shared" si="195"/>
        <v>0</v>
      </c>
      <c r="AN478">
        <f t="shared" si="196"/>
        <v>0</v>
      </c>
      <c r="AO478">
        <f t="shared" si="197"/>
        <v>0</v>
      </c>
      <c r="AP478">
        <f t="array" ref="AP478">AL478*IF($C478="GKP",10,IF($C478="DEF",6,IF($C478="MID",5,4)))</f>
        <v>0</v>
      </c>
      <c r="AQ478">
        <f t="shared" si="198"/>
        <v>0</v>
      </c>
      <c r="AR478">
        <f t="shared" si="199"/>
        <v>0</v>
      </c>
      <c r="AS478" s="2">
        <f>IF($H478=0,0,Player_Analysis!$AM478*$H478/90)</f>
        <v>0</v>
      </c>
      <c r="AT478">
        <f t="shared" si="200"/>
        <v>0</v>
      </c>
      <c r="AU478" s="2">
        <f>0</f>
        <v>0</v>
      </c>
      <c r="AV478" s="2" t="str">
        <f>IF(INDEX(FPL_Raw_Data!K:K,MATCH(A478,FPL_Raw_Data!AA:AA,0))=0,"",INDEX(FPL_Raw_Data!P:P,MATCH(A478,FPL_Raw_Data!AA:AA,0))/INDEX(FPL_Raw_Data!K:K,MATCH(A478,FPL_Raw_Data!AA:AA,0))*90)</f>
        <v/>
      </c>
      <c r="AW478" s="2">
        <f t="shared" si="201"/>
        <v>0</v>
      </c>
      <c r="AX478" s="2">
        <f>IFERROR(INDEX(TEAM_ANALYSIS!$H$2:$H$21,MATCH($B478,TEAM_ANALYSIS!$A$2:$A$21,0)),0)</f>
        <v>0.66666666666666663</v>
      </c>
      <c r="AY478" s="2">
        <f t="shared" si="202"/>
        <v>0</v>
      </c>
      <c r="AZ478" s="2">
        <f t="shared" si="203"/>
        <v>0</v>
      </c>
      <c r="BA478">
        <f t="shared" si="204"/>
        <v>0</v>
      </c>
      <c r="BB478">
        <f>IFERROR(Player_Analysis!$Y478,1)</f>
        <v>1.1822231833910033</v>
      </c>
      <c r="BC478">
        <f t="shared" si="205"/>
        <v>0</v>
      </c>
      <c r="BD478">
        <f t="shared" si="206"/>
        <v>0</v>
      </c>
      <c r="BE478">
        <f t="shared" si="207"/>
        <v>0</v>
      </c>
      <c r="BF478">
        <f t="shared" si="208"/>
        <v>253</v>
      </c>
      <c r="BG478">
        <f>IF($BE478="","",COUNTIFS($C$2:$C$596,$C478,$BE$2:$BE$596,"&gt;"&amp;$BE478)+COUNTIFS($C$2:$C478,$C478,$BE$2:$BE478,$BE478))</f>
        <v>234</v>
      </c>
    </row>
    <row r="479" spans="1:59" x14ac:dyDescent="0.25">
      <c r="A479" t="str">
        <f>Player_Analysis!A479</f>
        <v>Tijjani Reijnders</v>
      </c>
      <c r="B479">
        <f>Player_Analysis!C479</f>
        <v>15</v>
      </c>
      <c r="C479" t="str">
        <f>Player_Analysis!B479</f>
        <v>MID</v>
      </c>
      <c r="D479" s="13">
        <f>Player_Analysis!E479</f>
        <v>6</v>
      </c>
      <c r="E479">
        <f>Player_Analysis!I479</f>
        <v>0</v>
      </c>
      <c r="F479" s="8">
        <f>Player_Analysis!Z479</f>
        <v>0</v>
      </c>
      <c r="G479" s="17">
        <f t="shared" si="183"/>
        <v>0</v>
      </c>
      <c r="H479">
        <f t="shared" si="184"/>
        <v>0</v>
      </c>
      <c r="I479" s="8">
        <f>Player_Analysis!AF479</f>
        <v>0</v>
      </c>
      <c r="J479" s="8">
        <f>Player_Analysis!AG479</f>
        <v>0</v>
      </c>
      <c r="K479">
        <f>Player_Analysis!O479</f>
        <v>0</v>
      </c>
      <c r="L479">
        <f>Player_Analysis!P479</f>
        <v>0</v>
      </c>
      <c r="M479" t="str">
        <f t="shared" si="185"/>
        <v/>
      </c>
      <c r="N479" t="str">
        <f t="shared" si="186"/>
        <v/>
      </c>
      <c r="O479" s="2" t="str">
        <f>IF(E479=0,"",Player_Analysis!L479/E479*90)</f>
        <v/>
      </c>
      <c r="P479" t="str">
        <f>IF(E479=0,"",Player_Analysis!Q479/E479*90)</f>
        <v/>
      </c>
      <c r="Q479" t="str">
        <f>IF(E479=0,"",(Player_Analysis!AD479/E479)*90)</f>
        <v/>
      </c>
      <c r="R479" t="str">
        <f>IF(E479=0,"",Player_Analysis!AA479/E479*90)</f>
        <v/>
      </c>
      <c r="S479" t="str">
        <f t="array" ref="S479">IFERROR(INDEX('2023_24'!$O:$O,MATCH($A479,'2023_24'!$A:$A,0)),"")</f>
        <v/>
      </c>
      <c r="T479" t="str">
        <f>IFERROR(INDEX('2024_25'!$P:$P,MATCH($A479,'2024_25'!$A:$A,0)),"")</f>
        <v/>
      </c>
      <c r="U479">
        <f>IFERROR(INDEX('2025_26'!$P:$P,MATCH($A479,'2025_26'!$A:$A,0)),"")</f>
        <v>0.25563770794824398</v>
      </c>
      <c r="V479" t="str">
        <f>IFERROR(INDEX('2023_24'!$P:$P,MATCH($A479,'2023_24'!$A:$A,0)),"")</f>
        <v/>
      </c>
      <c r="W479" t="str">
        <f>IFERROR(INDEX('2024_25'!$Q:$Q,MATCH($A479,'2024_25'!$A:$A,0)),"")</f>
        <v/>
      </c>
      <c r="X479">
        <f>IFERROR(INDEX('2025_26'!$Q:$Q,MATCH($A479,'2025_26'!$A:$A,0)),"")</f>
        <v>0.13031423290203326</v>
      </c>
      <c r="Y479" t="str">
        <f>IFERROR(INDEX('2023_24'!$M:$M,MATCH($A479,'2023_24'!$A:$A,0))/INDEX('2023_24'!$G:$G,MATCH($A479,'2023_24'!$A:$A,0))*90,"")</f>
        <v/>
      </c>
      <c r="Z479" t="str">
        <f>IFERROR(INDEX('2024_25'!$M:$M,MATCH($A479,'2024_25'!$A:$A,0))/INDEX('2024_25'!$G:$G,MATCH($A479,'2024_25'!$A:$A,0))*90,"")</f>
        <v/>
      </c>
      <c r="AA479">
        <f>IFERROR(INDEX('2025_26'!$M:$M,MATCH($A479,'2025_26'!$A:$A,0))/INDEX('2025_26'!$G:$G,MATCH($A479,'2025_26'!$A:$A,0))*90,"")</f>
        <v>5.1016635859519406</v>
      </c>
      <c r="AB479">
        <f>IFERROR(SUMPRODUCT(S479:U479,{0.2,0.3,0.5})/SUMPRODUCT(--(S479:U479&lt;&gt;""),{0.2,0.3,0.5}),"")</f>
        <v>0.25563770794824398</v>
      </c>
      <c r="AC479">
        <f>IFERROR(SUMPRODUCT(V479:X479,{0.2,0.3,0.5})/SUMPRODUCT(--(V479:X479&lt;&gt;""),{0.2,0.3,0.5}),"")</f>
        <v>0.13031423290203326</v>
      </c>
      <c r="AD479">
        <f>IFERROR(SUMPRODUCT(Y479:AA479,{0.2,0.3,0.5})/SUMPRODUCT((Y479:AA479&lt;&gt;"")*{0.2,0.3,0.5}),O479)</f>
        <v>5.1016635859519406</v>
      </c>
      <c r="AE479">
        <f t="shared" si="187"/>
        <v>1</v>
      </c>
      <c r="AF479" t="str">
        <f t="shared" si="188"/>
        <v/>
      </c>
      <c r="AG479">
        <f t="shared" si="189"/>
        <v>0.25563770794824398</v>
      </c>
      <c r="AH479">
        <f t="shared" si="190"/>
        <v>0.13031423290203326</v>
      </c>
      <c r="AI479" s="2">
        <f t="shared" si="191"/>
        <v>5.1016635859519406</v>
      </c>
      <c r="AJ479">
        <f t="shared" si="192"/>
        <v>0</v>
      </c>
      <c r="AK479" t="str">
        <f t="shared" si="193"/>
        <v>NO</v>
      </c>
      <c r="AL479">
        <f t="shared" si="194"/>
        <v>0</v>
      </c>
      <c r="AM479">
        <f t="shared" si="195"/>
        <v>0</v>
      </c>
      <c r="AN479">
        <f t="shared" si="196"/>
        <v>0</v>
      </c>
      <c r="AO479">
        <f t="shared" si="197"/>
        <v>0</v>
      </c>
      <c r="AP479">
        <f t="array" ref="AP479">AL479*IF($C479="GKP",10,IF($C479="DEF",6,IF($C479="MID",5,4)))</f>
        <v>0</v>
      </c>
      <c r="AQ479">
        <f t="shared" si="198"/>
        <v>0</v>
      </c>
      <c r="AR479">
        <f t="shared" si="199"/>
        <v>0</v>
      </c>
      <c r="AS479" s="2">
        <f>IF($H479=0,0,Player_Analysis!$AM479*$H479/90)</f>
        <v>0</v>
      </c>
      <c r="AT479">
        <f t="shared" si="200"/>
        <v>0</v>
      </c>
      <c r="AU479" s="2">
        <f>0</f>
        <v>0</v>
      </c>
      <c r="AV479" s="2" t="str">
        <f>IF(INDEX(FPL_Raw_Data!K:K,MATCH(A479,FPL_Raw_Data!AA:AA,0))=0,"",INDEX(FPL_Raw_Data!P:P,MATCH(A479,FPL_Raw_Data!AA:AA,0))/INDEX(FPL_Raw_Data!K:K,MATCH(A479,FPL_Raw_Data!AA:AA,0))*90)</f>
        <v/>
      </c>
      <c r="AW479" s="2">
        <f t="shared" si="201"/>
        <v>0</v>
      </c>
      <c r="AX479" s="2">
        <f>IFERROR(INDEX(TEAM_ANALYSIS!$H$2:$H$21,MATCH($B479,TEAM_ANALYSIS!$A$2:$A$21,0)),0)</f>
        <v>0.66666666666666663</v>
      </c>
      <c r="AY479" s="2">
        <f t="shared" si="202"/>
        <v>0</v>
      </c>
      <c r="AZ479" s="2">
        <f t="shared" si="203"/>
        <v>0</v>
      </c>
      <c r="BA479">
        <f t="shared" si="204"/>
        <v>0</v>
      </c>
      <c r="BB479">
        <f>IFERROR(Player_Analysis!$Y479,1)</f>
        <v>1.1822231833910033</v>
      </c>
      <c r="BC479">
        <f t="shared" si="205"/>
        <v>0</v>
      </c>
      <c r="BD479">
        <f t="shared" si="206"/>
        <v>0</v>
      </c>
      <c r="BE479">
        <f t="shared" si="207"/>
        <v>0</v>
      </c>
      <c r="BF479">
        <f t="shared" si="208"/>
        <v>253</v>
      </c>
      <c r="BG479">
        <f>IF($BE479="","",COUNTIFS($C$2:$C$596,$C479,$BE$2:$BE$596,"&gt;"&amp;$BE479)+COUNTIFS($C$2:$C479,$C479,$BE$2:$BE479,$BE479))</f>
        <v>235</v>
      </c>
    </row>
    <row r="480" spans="1:59" x14ac:dyDescent="0.25">
      <c r="A480" t="str">
        <f>Player_Analysis!A480</f>
        <v>Mateo Kovačić</v>
      </c>
      <c r="B480">
        <f>Player_Analysis!C480</f>
        <v>15</v>
      </c>
      <c r="C480" t="str">
        <f>Player_Analysis!B480</f>
        <v>MID</v>
      </c>
      <c r="D480" s="13">
        <f>Player_Analysis!E480</f>
        <v>5.4</v>
      </c>
      <c r="E480">
        <f>Player_Analysis!I480</f>
        <v>42</v>
      </c>
      <c r="F480" s="8">
        <f>Player_Analysis!Z480</f>
        <v>0</v>
      </c>
      <c r="G480" s="17">
        <f t="shared" si="183"/>
        <v>0</v>
      </c>
      <c r="H480">
        <f t="shared" si="184"/>
        <v>0</v>
      </c>
      <c r="I480" s="8">
        <f>Player_Analysis!AF480</f>
        <v>0</v>
      </c>
      <c r="J480" s="8">
        <f>Player_Analysis!AG480</f>
        <v>0</v>
      </c>
      <c r="K480">
        <f>Player_Analysis!O480</f>
        <v>0</v>
      </c>
      <c r="L480">
        <f>Player_Analysis!P480</f>
        <v>0.02</v>
      </c>
      <c r="M480">
        <f t="shared" si="185"/>
        <v>0</v>
      </c>
      <c r="N480">
        <f t="shared" si="186"/>
        <v>4.2857142857142858E-2</v>
      </c>
      <c r="O480" s="2">
        <f>IF(E480=0,"",Player_Analysis!L480/E480*90)</f>
        <v>4.2857142857142856</v>
      </c>
      <c r="P480">
        <f>IF(E480=0,"",Player_Analysis!Q480/E480*90)</f>
        <v>4.2857142857142858E-2</v>
      </c>
      <c r="Q480">
        <f>IF(E480=0,"",(Player_Analysis!AD480/E480)*90)</f>
        <v>25.714285714285712</v>
      </c>
      <c r="R480">
        <f>IF(E480=0,"",Player_Analysis!AA480/E480*90)</f>
        <v>4.2857142857142856</v>
      </c>
      <c r="S480">
        <f t="array" ref="S480">IFERROR(INDEX('2023_24'!$O:$O,MATCH($A480,'2023_24'!$A:$A,0)),"")</f>
        <v>7.2514619883040934E-2</v>
      </c>
      <c r="T480">
        <f>IFERROR(INDEX('2024_25'!$P:$P,MATCH($A480,'2024_25'!$A:$A,0)),"")</f>
        <v>7.8350045578851418E-2</v>
      </c>
      <c r="U480">
        <f>IFERROR(INDEX('2025_26'!$P:$P,MATCH($A480,'2025_26'!$A:$A,0)),"")</f>
        <v>9.3600000000000017E-2</v>
      </c>
      <c r="V480">
        <f>IFERROR(INDEX('2023_24'!$P:$P,MATCH($A480,'2023_24'!$A:$A,0)),"")</f>
        <v>9.7076023391812857E-2</v>
      </c>
      <c r="W480">
        <f>IFERROR(INDEX('2024_25'!$Q:$Q,MATCH($A480,'2024_25'!$A:$A,0)),"")</f>
        <v>0.13167730173199635</v>
      </c>
      <c r="X480">
        <f>IFERROR(INDEX('2025_26'!$Q:$Q,MATCH($A480,'2025_26'!$A:$A,0)),"")</f>
        <v>0.30239999999999995</v>
      </c>
      <c r="Y480">
        <f>IFERROR(INDEX('2023_24'!$M:$M,MATCH($A480,'2023_24'!$A:$A,0))/INDEX('2023_24'!$G:$G,MATCH($A480,'2023_24'!$A:$A,0))*90,"")</f>
        <v>3.4502923976608186</v>
      </c>
      <c r="Z480">
        <f>IFERROR(INDEX('2024_25'!$M:$M,MATCH($A480,'2024_25'!$A:$A,0))/INDEX('2024_25'!$G:$G,MATCH($A480,'2024_25'!$A:$A,0))*90,"")</f>
        <v>4.4712853236098455</v>
      </c>
      <c r="AA480">
        <f>IFERROR(INDEX('2025_26'!$M:$M,MATCH($A480,'2025_26'!$A:$A,0))/INDEX('2025_26'!$G:$G,MATCH($A480,'2025_26'!$A:$A,0))*90,"")</f>
        <v>6.4799999999999995</v>
      </c>
      <c r="AB480">
        <f>IFERROR(SUMPRODUCT(S480:U480,{0.2,0.3,0.5})/SUMPRODUCT(--(S480:U480&lt;&gt;""),{0.2,0.3,0.5}),"")</f>
        <v>8.4807937650263621E-2</v>
      </c>
      <c r="AC480">
        <f>IFERROR(SUMPRODUCT(V480:X480,{0.2,0.3,0.5})/SUMPRODUCT(--(V480:X480&lt;&gt;""),{0.2,0.3,0.5}),"")</f>
        <v>0.21011839519796144</v>
      </c>
      <c r="AD480">
        <f>IFERROR(SUMPRODUCT(Y480:AA480,{0.2,0.3,0.5})/SUMPRODUCT((Y480:AA480&lt;&gt;"")*{0.2,0.3,0.5}),O480)</f>
        <v>5.2714440766151167</v>
      </c>
      <c r="AE480">
        <f t="shared" si="187"/>
        <v>3</v>
      </c>
      <c r="AF480" t="str">
        <f t="shared" si="188"/>
        <v/>
      </c>
      <c r="AG480">
        <f t="shared" si="189"/>
        <v>7.2934826379226714E-2</v>
      </c>
      <c r="AH480">
        <f t="shared" si="190"/>
        <v>0.18670181987024684</v>
      </c>
      <c r="AI480" s="2">
        <f t="shared" si="191"/>
        <v>5.1334419058890006</v>
      </c>
      <c r="AJ480">
        <f t="shared" si="192"/>
        <v>0.14000000000000001</v>
      </c>
      <c r="AK480" t="str">
        <f t="shared" si="193"/>
        <v>NO</v>
      </c>
      <c r="AL480">
        <f t="shared" si="194"/>
        <v>0</v>
      </c>
      <c r="AM480">
        <f t="shared" si="195"/>
        <v>0</v>
      </c>
      <c r="AN480">
        <f t="shared" si="196"/>
        <v>0</v>
      </c>
      <c r="AO480">
        <f t="shared" si="197"/>
        <v>0</v>
      </c>
      <c r="AP480">
        <f t="array" ref="AP480">AL480*IF($C480="GKP",10,IF($C480="DEF",6,IF($C480="MID",5,4)))</f>
        <v>0</v>
      </c>
      <c r="AQ480">
        <f t="shared" si="198"/>
        <v>0</v>
      </c>
      <c r="AR480">
        <f t="shared" si="199"/>
        <v>0</v>
      </c>
      <c r="AS480" s="2">
        <f>IF($H480=0,0,Player_Analysis!$AM480*$H480/90)</f>
        <v>0</v>
      </c>
      <c r="AT480">
        <f t="shared" si="200"/>
        <v>0</v>
      </c>
      <c r="AU480" s="2">
        <f>0</f>
        <v>0</v>
      </c>
      <c r="AV480" s="2">
        <f>IF(INDEX(FPL_Raw_Data!K:K,MATCH(A480,FPL_Raw_Data!AA:AA,0))=0,"",INDEX(FPL_Raw_Data!P:P,MATCH(A480,FPL_Raw_Data!AA:AA,0))/INDEX(FPL_Raw_Data!K:K,MATCH(A480,FPL_Raw_Data!AA:AA,0))*90)</f>
        <v>0</v>
      </c>
      <c r="AW480" s="2">
        <f t="shared" si="201"/>
        <v>0</v>
      </c>
      <c r="AX480" s="2">
        <f>IFERROR(INDEX(TEAM_ANALYSIS!$H$2:$H$21,MATCH($B480,TEAM_ANALYSIS!$A$2:$A$21,0)),0)</f>
        <v>0.66666666666666663</v>
      </c>
      <c r="AY480" s="2">
        <f t="shared" si="202"/>
        <v>0</v>
      </c>
      <c r="AZ480" s="2">
        <f t="shared" si="203"/>
        <v>0</v>
      </c>
      <c r="BA480">
        <f t="shared" si="204"/>
        <v>0</v>
      </c>
      <c r="BB480">
        <f>IFERROR(Player_Analysis!$Y480,1)</f>
        <v>1.1822231833910033</v>
      </c>
      <c r="BC480">
        <f t="shared" si="205"/>
        <v>0</v>
      </c>
      <c r="BD480">
        <f t="shared" si="206"/>
        <v>0</v>
      </c>
      <c r="BE480">
        <f t="shared" si="207"/>
        <v>0</v>
      </c>
      <c r="BF480">
        <f t="shared" si="208"/>
        <v>253</v>
      </c>
      <c r="BG480">
        <f>IF($BE480="","",COUNTIFS($C$2:$C$596,$C480,$BE$2:$BE$596,"&gt;"&amp;$BE480)+COUNTIFS($C$2:$C480,$C480,$BE$2:$BE480,$BE480))</f>
        <v>236</v>
      </c>
    </row>
    <row r="481" spans="1:59" x14ac:dyDescent="0.25">
      <c r="A481" t="str">
        <f>Player_Analysis!A481</f>
        <v>Claudio Echeverri</v>
      </c>
      <c r="B481">
        <f>Player_Analysis!C481</f>
        <v>15</v>
      </c>
      <c r="C481" t="str">
        <f>Player_Analysis!B481</f>
        <v>MID</v>
      </c>
      <c r="D481" s="13">
        <f>Player_Analysis!E481</f>
        <v>4.9000000000000004</v>
      </c>
      <c r="E481">
        <f>Player_Analysis!I481</f>
        <v>0</v>
      </c>
      <c r="F481" s="8">
        <f>Player_Analysis!Z481</f>
        <v>0</v>
      </c>
      <c r="G481" s="17">
        <f t="shared" si="183"/>
        <v>0</v>
      </c>
      <c r="H481">
        <f t="shared" si="184"/>
        <v>0</v>
      </c>
      <c r="I481" s="8">
        <f>Player_Analysis!AF481</f>
        <v>0</v>
      </c>
      <c r="J481" s="8">
        <f>Player_Analysis!AG481</f>
        <v>0</v>
      </c>
      <c r="K481">
        <f>Player_Analysis!O481</f>
        <v>0</v>
      </c>
      <c r="L481">
        <f>Player_Analysis!P481</f>
        <v>0</v>
      </c>
      <c r="M481" t="str">
        <f t="shared" si="185"/>
        <v/>
      </c>
      <c r="N481" t="str">
        <f t="shared" si="186"/>
        <v/>
      </c>
      <c r="O481" s="2" t="str">
        <f>IF(E481=0,"",Player_Analysis!L481/E481*90)</f>
        <v/>
      </c>
      <c r="P481" t="str">
        <f>IF(E481=0,"",Player_Analysis!Q481/E481*90)</f>
        <v/>
      </c>
      <c r="Q481" t="str">
        <f>IF(E481=0,"",(Player_Analysis!AD481/E481)*90)</f>
        <v/>
      </c>
      <c r="R481" t="str">
        <f>IF(E481=0,"",Player_Analysis!AA481/E481*90)</f>
        <v/>
      </c>
      <c r="S481" t="str">
        <f t="array" ref="S481">IFERROR(INDEX('2023_24'!$O:$O,MATCH($A481,'2023_24'!$A:$A,0)),"")</f>
        <v/>
      </c>
      <c r="T481">
        <f>IFERROR(INDEX('2024_25'!$P:$P,MATCH($A481,'2024_25'!$A:$A,0)),"")</f>
        <v>0</v>
      </c>
      <c r="U481">
        <f>IFERROR(INDEX('2025_26'!$P:$P,MATCH($A481,'2025_26'!$A:$A,0)),"")</f>
        <v>0</v>
      </c>
      <c r="V481" t="str">
        <f>IFERROR(INDEX('2023_24'!$P:$P,MATCH($A481,'2023_24'!$A:$A,0)),"")</f>
        <v/>
      </c>
      <c r="W481">
        <f>IFERROR(INDEX('2024_25'!$Q:$Q,MATCH($A481,'2024_25'!$A:$A,0)),"")</f>
        <v>0.18</v>
      </c>
      <c r="X481">
        <f>IFERROR(INDEX('2025_26'!$Q:$Q,MATCH($A481,'2025_26'!$A:$A,0)),"")</f>
        <v>0</v>
      </c>
      <c r="Y481" t="str">
        <f>IFERROR(INDEX('2023_24'!$M:$M,MATCH($A481,'2023_24'!$A:$A,0))/INDEX('2023_24'!$G:$G,MATCH($A481,'2023_24'!$A:$A,0))*90,"")</f>
        <v/>
      </c>
      <c r="Z481">
        <f>IFERROR(INDEX('2024_25'!$M:$M,MATCH($A481,'2024_25'!$A:$A,0))/INDEX('2024_25'!$G:$G,MATCH($A481,'2024_25'!$A:$A,0))*90,"")</f>
        <v>18</v>
      </c>
      <c r="AA481" t="str">
        <f>IFERROR(INDEX('2025_26'!$M:$M,MATCH($A481,'2025_26'!$A:$A,0))/INDEX('2025_26'!$G:$G,MATCH($A481,'2025_26'!$A:$A,0))*90,"")</f>
        <v/>
      </c>
      <c r="AB481">
        <f>IFERROR(SUMPRODUCT(S481:U481,{0.2,0.3,0.5})/SUMPRODUCT(--(S481:U481&lt;&gt;""),{0.2,0.3,0.5}),"")</f>
        <v>0</v>
      </c>
      <c r="AC481">
        <f>IFERROR(SUMPRODUCT(V481:X481,{0.2,0.3,0.5})/SUMPRODUCT(--(V481:X481&lt;&gt;""),{0.2,0.3,0.5}),"")</f>
        <v>6.7499999999999991E-2</v>
      </c>
      <c r="AD481">
        <f>IFERROR(SUMPRODUCT(Y481:AA481,{0.2,0.3,0.5})/SUMPRODUCT((Y481:AA481&lt;&gt;"")*{0.2,0.3,0.5}),O481)</f>
        <v>18</v>
      </c>
      <c r="AE481">
        <f t="shared" si="187"/>
        <v>2</v>
      </c>
      <c r="AF481" t="str">
        <f t="shared" si="188"/>
        <v/>
      </c>
      <c r="AG481">
        <f t="shared" si="189"/>
        <v>0</v>
      </c>
      <c r="AH481">
        <f t="shared" si="190"/>
        <v>6.7499999999999991E-2</v>
      </c>
      <c r="AI481" s="2">
        <f t="shared" si="191"/>
        <v>18</v>
      </c>
      <c r="AJ481">
        <f t="shared" si="192"/>
        <v>0</v>
      </c>
      <c r="AK481" t="str">
        <f t="shared" si="193"/>
        <v>NO</v>
      </c>
      <c r="AL481">
        <f t="shared" si="194"/>
        <v>0</v>
      </c>
      <c r="AM481">
        <f t="shared" si="195"/>
        <v>0</v>
      </c>
      <c r="AN481">
        <f t="shared" si="196"/>
        <v>0</v>
      </c>
      <c r="AO481">
        <f t="shared" si="197"/>
        <v>0</v>
      </c>
      <c r="AP481">
        <f t="array" ref="AP481">AL481*IF($C481="GKP",10,IF($C481="DEF",6,IF($C481="MID",5,4)))</f>
        <v>0</v>
      </c>
      <c r="AQ481">
        <f t="shared" si="198"/>
        <v>0</v>
      </c>
      <c r="AR481">
        <f t="shared" si="199"/>
        <v>0</v>
      </c>
      <c r="AS481" s="2">
        <f>IF($H481=0,0,Player_Analysis!$AM481*$H481/90)</f>
        <v>0</v>
      </c>
      <c r="AT481">
        <f t="shared" si="200"/>
        <v>0</v>
      </c>
      <c r="AU481" s="2">
        <f>0</f>
        <v>0</v>
      </c>
      <c r="AV481" s="2" t="str">
        <f>IF(INDEX(FPL_Raw_Data!K:K,MATCH(A481,FPL_Raw_Data!AA:AA,0))=0,"",INDEX(FPL_Raw_Data!P:P,MATCH(A481,FPL_Raw_Data!AA:AA,0))/INDEX(FPL_Raw_Data!K:K,MATCH(A481,FPL_Raw_Data!AA:AA,0))*90)</f>
        <v/>
      </c>
      <c r="AW481" s="2">
        <f t="shared" si="201"/>
        <v>0</v>
      </c>
      <c r="AX481" s="2">
        <f>IFERROR(INDEX(TEAM_ANALYSIS!$H$2:$H$21,MATCH($B481,TEAM_ANALYSIS!$A$2:$A$21,0)),0)</f>
        <v>0.66666666666666663</v>
      </c>
      <c r="AY481" s="2">
        <f t="shared" si="202"/>
        <v>0</v>
      </c>
      <c r="AZ481" s="2">
        <f t="shared" si="203"/>
        <v>0</v>
      </c>
      <c r="BA481">
        <f t="shared" si="204"/>
        <v>0</v>
      </c>
      <c r="BB481">
        <f>IFERROR(Player_Analysis!$Y481,1)</f>
        <v>1.1822231833910033</v>
      </c>
      <c r="BC481">
        <f t="shared" si="205"/>
        <v>0</v>
      </c>
      <c r="BD481">
        <f t="shared" si="206"/>
        <v>0</v>
      </c>
      <c r="BE481">
        <f t="shared" si="207"/>
        <v>0</v>
      </c>
      <c r="BF481">
        <f t="shared" si="208"/>
        <v>253</v>
      </c>
      <c r="BG481">
        <f>IF($BE481="","",COUNTIFS($C$2:$C$596,$C481,$BE$2:$BE$596,"&gt;"&amp;$BE481)+COUNTIFS($C$2:$C481,$C481,$BE$2:$BE481,$BE481))</f>
        <v>237</v>
      </c>
    </row>
    <row r="482" spans="1:59" x14ac:dyDescent="0.25">
      <c r="A482" t="str">
        <f>Player_Analysis!A482</f>
        <v>Kalvin Phillips</v>
      </c>
      <c r="B482">
        <f>Player_Analysis!C482</f>
        <v>15</v>
      </c>
      <c r="C482" t="str">
        <f>Player_Analysis!B482</f>
        <v>MID</v>
      </c>
      <c r="D482" s="13">
        <f>Player_Analysis!E482</f>
        <v>5</v>
      </c>
      <c r="E482">
        <f>Player_Analysis!I482</f>
        <v>0</v>
      </c>
      <c r="F482" s="8">
        <f>Player_Analysis!Z482</f>
        <v>0</v>
      </c>
      <c r="G482" s="17">
        <f t="shared" si="183"/>
        <v>0</v>
      </c>
      <c r="H482">
        <f t="shared" si="184"/>
        <v>0</v>
      </c>
      <c r="I482" s="8">
        <f>Player_Analysis!AF482</f>
        <v>0</v>
      </c>
      <c r="J482" s="8">
        <f>Player_Analysis!AG482</f>
        <v>0</v>
      </c>
      <c r="K482">
        <f>Player_Analysis!O482</f>
        <v>0</v>
      </c>
      <c r="L482">
        <f>Player_Analysis!P482</f>
        <v>0</v>
      </c>
      <c r="M482" t="str">
        <f t="shared" si="185"/>
        <v/>
      </c>
      <c r="N482" t="str">
        <f t="shared" si="186"/>
        <v/>
      </c>
      <c r="O482" s="2" t="str">
        <f>IF(E482=0,"",Player_Analysis!L482/E482*90)</f>
        <v/>
      </c>
      <c r="P482" t="str">
        <f>IF(E482=0,"",Player_Analysis!Q482/E482*90)</f>
        <v/>
      </c>
      <c r="Q482" t="str">
        <f>IF(E482=0,"",(Player_Analysis!AD482/E482)*90)</f>
        <v/>
      </c>
      <c r="R482" t="str">
        <f>IF(E482=0,"",Player_Analysis!AA482/E482*90)</f>
        <v/>
      </c>
      <c r="S482">
        <f t="array" ref="S482">IFERROR(INDEX('2023_24'!$O:$O,MATCH($A482,'2023_24'!$A:$A,0)),"")</f>
        <v>5.0253807106598984E-2</v>
      </c>
      <c r="T482">
        <f>IFERROR(INDEX('2024_25'!$P:$P,MATCH($A482,'2024_25'!$A:$A,0)),"")</f>
        <v>3.290008123476848E-2</v>
      </c>
      <c r="U482">
        <f>IFERROR(INDEX('2025_26'!$P:$P,MATCH($A482,'2025_26'!$A:$A,0)),"")</f>
        <v>0</v>
      </c>
      <c r="V482">
        <f>IFERROR(INDEX('2023_24'!$P:$P,MATCH($A482,'2023_24'!$A:$A,0)),"")</f>
        <v>2.5126903553299492E-2</v>
      </c>
      <c r="W482">
        <f>IFERROR(INDEX('2024_25'!$Q:$Q,MATCH($A482,'2024_25'!$A:$A,0)),"")</f>
        <v>3.3631194151096666E-2</v>
      </c>
      <c r="X482">
        <f>IFERROR(INDEX('2025_26'!$Q:$Q,MATCH($A482,'2025_26'!$A:$A,0)),"")</f>
        <v>0</v>
      </c>
      <c r="Y482">
        <f>IFERROR(INDEX('2023_24'!$M:$M,MATCH($A482,'2023_24'!$A:$A,0))/INDEX('2023_24'!$G:$G,MATCH($A482,'2023_24'!$A:$A,0))*90,"")</f>
        <v>2.2842639593908629</v>
      </c>
      <c r="Z482">
        <f>IFERROR(INDEX('2024_25'!$M:$M,MATCH($A482,'2024_25'!$A:$A,0))/INDEX('2024_25'!$G:$G,MATCH($A482,'2024_25'!$A:$A,0))*90,"")</f>
        <v>1.9740048740861087</v>
      </c>
      <c r="AA482" t="str">
        <f>IFERROR(INDEX('2025_26'!$M:$M,MATCH($A482,'2025_26'!$A:$A,0))/INDEX('2025_26'!$G:$G,MATCH($A482,'2025_26'!$A:$A,0))*90,"")</f>
        <v/>
      </c>
      <c r="AB482">
        <f>IFERROR(SUMPRODUCT(S482:U482,{0.2,0.3,0.5})/SUMPRODUCT(--(S482:U482&lt;&gt;""),{0.2,0.3,0.5}),"")</f>
        <v>1.9920785791750342E-2</v>
      </c>
      <c r="AC482">
        <f>IFERROR(SUMPRODUCT(V482:X482,{0.2,0.3,0.5})/SUMPRODUCT(--(V482:X482&lt;&gt;""),{0.2,0.3,0.5}),"")</f>
        <v>1.5114738955988898E-2</v>
      </c>
      <c r="AD482">
        <f>IFERROR(SUMPRODUCT(Y482:AA482,{0.2,0.3,0.5})/SUMPRODUCT((Y482:AA482&lt;&gt;"")*{0.2,0.3,0.5}),O482)</f>
        <v>2.0981085082080106</v>
      </c>
      <c r="AE482">
        <f t="shared" si="187"/>
        <v>3</v>
      </c>
      <c r="AF482" t="str">
        <f t="shared" si="188"/>
        <v/>
      </c>
      <c r="AG482">
        <f t="shared" si="189"/>
        <v>1.9920785791750342E-2</v>
      </c>
      <c r="AH482">
        <f t="shared" si="190"/>
        <v>1.5114738955988898E-2</v>
      </c>
      <c r="AI482" s="2">
        <f t="shared" si="191"/>
        <v>2.0981085082080106</v>
      </c>
      <c r="AJ482">
        <f t="shared" si="192"/>
        <v>0</v>
      </c>
      <c r="AK482" t="str">
        <f t="shared" si="193"/>
        <v>NO</v>
      </c>
      <c r="AL482">
        <f t="shared" si="194"/>
        <v>0</v>
      </c>
      <c r="AM482">
        <f t="shared" si="195"/>
        <v>0</v>
      </c>
      <c r="AN482">
        <f t="shared" si="196"/>
        <v>0</v>
      </c>
      <c r="AO482">
        <f t="shared" si="197"/>
        <v>0</v>
      </c>
      <c r="AP482">
        <f t="array" ref="AP482">AL482*IF($C482="GKP",10,IF($C482="DEF",6,IF($C482="MID",5,4)))</f>
        <v>0</v>
      </c>
      <c r="AQ482">
        <f t="shared" si="198"/>
        <v>0</v>
      </c>
      <c r="AR482">
        <f t="shared" si="199"/>
        <v>0</v>
      </c>
      <c r="AS482" s="2">
        <f>IF($H482=0,0,Player_Analysis!$AM482*$H482/90)</f>
        <v>0</v>
      </c>
      <c r="AT482">
        <f t="shared" si="200"/>
        <v>0</v>
      </c>
      <c r="AU482" s="2">
        <f>0</f>
        <v>0</v>
      </c>
      <c r="AV482" s="2" t="str">
        <f>IF(INDEX(FPL_Raw_Data!K:K,MATCH(A482,FPL_Raw_Data!AA:AA,0))=0,"",INDEX(FPL_Raw_Data!P:P,MATCH(A482,FPL_Raw_Data!AA:AA,0))/INDEX(FPL_Raw_Data!K:K,MATCH(A482,FPL_Raw_Data!AA:AA,0))*90)</f>
        <v/>
      </c>
      <c r="AW482" s="2">
        <f t="shared" si="201"/>
        <v>0</v>
      </c>
      <c r="AX482" s="2">
        <f>IFERROR(INDEX(TEAM_ANALYSIS!$H$2:$H$21,MATCH($B482,TEAM_ANALYSIS!$A$2:$A$21,0)),0)</f>
        <v>0.66666666666666663</v>
      </c>
      <c r="AY482" s="2">
        <f t="shared" si="202"/>
        <v>0</v>
      </c>
      <c r="AZ482" s="2">
        <f t="shared" si="203"/>
        <v>0</v>
      </c>
      <c r="BA482">
        <f t="shared" si="204"/>
        <v>0</v>
      </c>
      <c r="BB482">
        <f>IFERROR(Player_Analysis!$Y482,1)</f>
        <v>1.1822231833910033</v>
      </c>
      <c r="BC482">
        <f t="shared" si="205"/>
        <v>0</v>
      </c>
      <c r="BD482">
        <f t="shared" si="206"/>
        <v>0</v>
      </c>
      <c r="BE482">
        <f t="shared" si="207"/>
        <v>0</v>
      </c>
      <c r="BF482">
        <f t="shared" si="208"/>
        <v>253</v>
      </c>
      <c r="BG482">
        <f>IF($BE482="","",COUNTIFS($C$2:$C$596,$C482,$BE$2:$BE$596,"&gt;"&amp;$BE482)+COUNTIFS($C$2:$C482,$C482,$BE$2:$BE482,$BE482))</f>
        <v>238</v>
      </c>
    </row>
    <row r="483" spans="1:59" x14ac:dyDescent="0.25">
      <c r="A483" t="str">
        <f>Player_Analysis!A483</f>
        <v>Divine Mukasa</v>
      </c>
      <c r="B483">
        <f>Player_Analysis!C483</f>
        <v>15</v>
      </c>
      <c r="C483" t="str">
        <f>Player_Analysis!B483</f>
        <v>MID</v>
      </c>
      <c r="D483" s="13">
        <f>Player_Analysis!E483</f>
        <v>4.5</v>
      </c>
      <c r="E483">
        <f>Player_Analysis!I483</f>
        <v>0</v>
      </c>
      <c r="F483" s="8">
        <f>Player_Analysis!Z483</f>
        <v>0</v>
      </c>
      <c r="G483" s="17">
        <f t="shared" si="183"/>
        <v>0</v>
      </c>
      <c r="H483">
        <f t="shared" si="184"/>
        <v>0</v>
      </c>
      <c r="I483" s="8">
        <f>Player_Analysis!AF483</f>
        <v>0</v>
      </c>
      <c r="J483" s="8">
        <f>Player_Analysis!AG483</f>
        <v>0</v>
      </c>
      <c r="K483">
        <f>Player_Analysis!O483</f>
        <v>0</v>
      </c>
      <c r="L483">
        <f>Player_Analysis!P483</f>
        <v>0</v>
      </c>
      <c r="M483" t="str">
        <f t="shared" si="185"/>
        <v/>
      </c>
      <c r="N483" t="str">
        <f t="shared" si="186"/>
        <v/>
      </c>
      <c r="O483" s="2" t="str">
        <f>IF(E483=0,"",Player_Analysis!L483/E483*90)</f>
        <v/>
      </c>
      <c r="P483" t="str">
        <f>IF(E483=0,"",Player_Analysis!Q483/E483*90)</f>
        <v/>
      </c>
      <c r="Q483" t="str">
        <f>IF(E483=0,"",(Player_Analysis!AD483/E483)*90)</f>
        <v/>
      </c>
      <c r="R483" t="str">
        <f>IF(E483=0,"",Player_Analysis!AA483/E483*90)</f>
        <v/>
      </c>
      <c r="S483" t="str">
        <f t="array" ref="S483">IFERROR(INDEX('2023_24'!$O:$O,MATCH($A483,'2023_24'!$A:$A,0)),"")</f>
        <v/>
      </c>
      <c r="T483" t="str">
        <f>IFERROR(INDEX('2024_25'!$P:$P,MATCH($A483,'2024_25'!$A:$A,0)),"")</f>
        <v/>
      </c>
      <c r="U483">
        <f>IFERROR(INDEX('2025_26'!$P:$P,MATCH($A483,'2025_26'!$A:$A,0)),"")</f>
        <v>0</v>
      </c>
      <c r="V483" t="str">
        <f>IFERROR(INDEX('2023_24'!$P:$P,MATCH($A483,'2023_24'!$A:$A,0)),"")</f>
        <v/>
      </c>
      <c r="W483" t="str">
        <f>IFERROR(INDEX('2024_25'!$Q:$Q,MATCH($A483,'2024_25'!$A:$A,0)),"")</f>
        <v/>
      </c>
      <c r="X483">
        <f>IFERROR(INDEX('2025_26'!$Q:$Q,MATCH($A483,'2025_26'!$A:$A,0)),"")</f>
        <v>0.75600000000000001</v>
      </c>
      <c r="Y483" t="str">
        <f>IFERROR(INDEX('2023_24'!$M:$M,MATCH($A483,'2023_24'!$A:$A,0))/INDEX('2023_24'!$G:$G,MATCH($A483,'2023_24'!$A:$A,0))*90,"")</f>
        <v/>
      </c>
      <c r="Z483" t="str">
        <f>IFERROR(INDEX('2024_25'!$M:$M,MATCH($A483,'2024_25'!$A:$A,0))/INDEX('2024_25'!$G:$G,MATCH($A483,'2024_25'!$A:$A,0))*90,"")</f>
        <v/>
      </c>
      <c r="AA483">
        <f>IFERROR(INDEX('2025_26'!$M:$M,MATCH($A483,'2025_26'!$A:$A,0))/INDEX('2025_26'!$G:$G,MATCH($A483,'2025_26'!$A:$A,0))*90,"")</f>
        <v>7.2</v>
      </c>
      <c r="AB483">
        <f>IFERROR(SUMPRODUCT(S483:U483,{0.2,0.3,0.5})/SUMPRODUCT(--(S483:U483&lt;&gt;""),{0.2,0.3,0.5}),"")</f>
        <v>0</v>
      </c>
      <c r="AC483">
        <f>IFERROR(SUMPRODUCT(V483:X483,{0.2,0.3,0.5})/SUMPRODUCT(--(V483:X483&lt;&gt;""),{0.2,0.3,0.5}),"")</f>
        <v>0.75600000000000001</v>
      </c>
      <c r="AD483">
        <f>IFERROR(SUMPRODUCT(Y483:AA483,{0.2,0.3,0.5})/SUMPRODUCT((Y483:AA483&lt;&gt;"")*{0.2,0.3,0.5}),O483)</f>
        <v>7.2</v>
      </c>
      <c r="AE483">
        <f t="shared" si="187"/>
        <v>1</v>
      </c>
      <c r="AF483" t="str">
        <f t="shared" si="188"/>
        <v/>
      </c>
      <c r="AG483">
        <f t="shared" si="189"/>
        <v>0</v>
      </c>
      <c r="AH483">
        <f t="shared" si="190"/>
        <v>0.75600000000000001</v>
      </c>
      <c r="AI483" s="2">
        <f t="shared" si="191"/>
        <v>7.2</v>
      </c>
      <c r="AJ483">
        <f t="shared" si="192"/>
        <v>0</v>
      </c>
      <c r="AK483" t="str">
        <f t="shared" si="193"/>
        <v>NO</v>
      </c>
      <c r="AL483">
        <f t="shared" si="194"/>
        <v>0</v>
      </c>
      <c r="AM483">
        <f t="shared" si="195"/>
        <v>0</v>
      </c>
      <c r="AN483">
        <f t="shared" si="196"/>
        <v>0</v>
      </c>
      <c r="AO483">
        <f t="shared" si="197"/>
        <v>0</v>
      </c>
      <c r="AP483">
        <f t="array" ref="AP483">AL483*IF($C483="GKP",10,IF($C483="DEF",6,IF($C483="MID",5,4)))</f>
        <v>0</v>
      </c>
      <c r="AQ483">
        <f t="shared" si="198"/>
        <v>0</v>
      </c>
      <c r="AR483">
        <f t="shared" si="199"/>
        <v>0</v>
      </c>
      <c r="AS483" s="2">
        <f>IF($H483=0,0,Player_Analysis!$AM483*$H483/90)</f>
        <v>0</v>
      </c>
      <c r="AT483">
        <f t="shared" si="200"/>
        <v>0</v>
      </c>
      <c r="AU483" s="2">
        <f>0</f>
        <v>0</v>
      </c>
      <c r="AV483" s="2" t="str">
        <f>IF(INDEX(FPL_Raw_Data!K:K,MATCH(A483,FPL_Raw_Data!AA:AA,0))=0,"",INDEX(FPL_Raw_Data!P:P,MATCH(A483,FPL_Raw_Data!AA:AA,0))/INDEX(FPL_Raw_Data!K:K,MATCH(A483,FPL_Raw_Data!AA:AA,0))*90)</f>
        <v/>
      </c>
      <c r="AW483" s="2">
        <f t="shared" si="201"/>
        <v>0</v>
      </c>
      <c r="AX483" s="2">
        <f>IFERROR(INDEX(TEAM_ANALYSIS!$H$2:$H$21,MATCH($B483,TEAM_ANALYSIS!$A$2:$A$21,0)),0)</f>
        <v>0.66666666666666663</v>
      </c>
      <c r="AY483" s="2">
        <f t="shared" si="202"/>
        <v>0</v>
      </c>
      <c r="AZ483" s="2">
        <f t="shared" si="203"/>
        <v>0</v>
      </c>
      <c r="BA483">
        <f t="shared" si="204"/>
        <v>0</v>
      </c>
      <c r="BB483">
        <f>IFERROR(Player_Analysis!$Y483,1)</f>
        <v>1.1822231833910033</v>
      </c>
      <c r="BC483">
        <f t="shared" si="205"/>
        <v>0</v>
      </c>
      <c r="BD483">
        <f t="shared" si="206"/>
        <v>0</v>
      </c>
      <c r="BE483">
        <f t="shared" si="207"/>
        <v>0</v>
      </c>
      <c r="BF483">
        <f t="shared" si="208"/>
        <v>253</v>
      </c>
      <c r="BG483">
        <f>IF($BE483="","",COUNTIFS($C$2:$C$596,$C483,$BE$2:$BE$596,"&gt;"&amp;$BE483)+COUNTIFS($C$2:$C483,$C483,$BE$2:$BE483,$BE483))</f>
        <v>239</v>
      </c>
    </row>
    <row r="484" spans="1:59" x14ac:dyDescent="0.25">
      <c r="A484" t="str">
        <f>Player_Analysis!A484</f>
        <v>Jeremy Monga</v>
      </c>
      <c r="B484">
        <f>Player_Analysis!C484</f>
        <v>15</v>
      </c>
      <c r="C484" t="str">
        <f>Player_Analysis!B484</f>
        <v>MID</v>
      </c>
      <c r="D484" s="13">
        <f>Player_Analysis!E484</f>
        <v>4.9000000000000004</v>
      </c>
      <c r="E484">
        <f>Player_Analysis!I484</f>
        <v>0</v>
      </c>
      <c r="F484" s="8">
        <f>Player_Analysis!Z484</f>
        <v>0</v>
      </c>
      <c r="G484" s="17">
        <f t="shared" si="183"/>
        <v>0</v>
      </c>
      <c r="H484">
        <f t="shared" si="184"/>
        <v>0</v>
      </c>
      <c r="I484" s="8">
        <f>Player_Analysis!AF484</f>
        <v>0</v>
      </c>
      <c r="J484" s="8">
        <f>Player_Analysis!AG484</f>
        <v>0</v>
      </c>
      <c r="K484">
        <f>Player_Analysis!O484</f>
        <v>0</v>
      </c>
      <c r="L484">
        <f>Player_Analysis!P484</f>
        <v>0</v>
      </c>
      <c r="M484" t="str">
        <f t="shared" si="185"/>
        <v/>
      </c>
      <c r="N484" t="str">
        <f t="shared" si="186"/>
        <v/>
      </c>
      <c r="O484" s="2" t="str">
        <f>IF(E484=0,"",Player_Analysis!L484/E484*90)</f>
        <v/>
      </c>
      <c r="P484" t="str">
        <f>IF(E484=0,"",Player_Analysis!Q484/E484*90)</f>
        <v/>
      </c>
      <c r="Q484" t="str">
        <f>IF(E484=0,"",(Player_Analysis!AD484/E484)*90)</f>
        <v/>
      </c>
      <c r="R484" t="str">
        <f>IF(E484=0,"",Player_Analysis!AA484/E484*90)</f>
        <v/>
      </c>
      <c r="S484" t="str">
        <f t="array" ref="S484">IFERROR(INDEX('2023_24'!$O:$O,MATCH($A484,'2023_24'!$A:$A,0)),"")</f>
        <v/>
      </c>
      <c r="T484">
        <f>IFERROR(INDEX('2024_25'!$P:$P,MATCH($A484,'2024_25'!$A:$A,0)),"")</f>
        <v>0.14571428571428571</v>
      </c>
      <c r="U484" t="str">
        <f>IFERROR(INDEX('2025_26'!$P:$P,MATCH($A484,'2025_26'!$A:$A,0)),"")</f>
        <v/>
      </c>
      <c r="V484" t="str">
        <f>IFERROR(INDEX('2023_24'!$P:$P,MATCH($A484,'2023_24'!$A:$A,0)),"")</f>
        <v/>
      </c>
      <c r="W484">
        <f>IFERROR(INDEX('2024_25'!$Q:$Q,MATCH($A484,'2024_25'!$A:$A,0)),"")</f>
        <v>1.7142857142857144E-2</v>
      </c>
      <c r="X484" t="str">
        <f>IFERROR(INDEX('2025_26'!$Q:$Q,MATCH($A484,'2025_26'!$A:$A,0)),"")</f>
        <v/>
      </c>
      <c r="Y484" t="str">
        <f>IFERROR(INDEX('2023_24'!$M:$M,MATCH($A484,'2023_24'!$A:$A,0))/INDEX('2023_24'!$G:$G,MATCH($A484,'2023_24'!$A:$A,0))*90,"")</f>
        <v/>
      </c>
      <c r="Z484">
        <f>IFERROR(INDEX('2024_25'!$M:$M,MATCH($A484,'2024_25'!$A:$A,0))/INDEX('2024_25'!$G:$G,MATCH($A484,'2024_25'!$A:$A,0))*90,"")</f>
        <v>6</v>
      </c>
      <c r="AA484" t="str">
        <f>IFERROR(INDEX('2025_26'!$M:$M,MATCH($A484,'2025_26'!$A:$A,0))/INDEX('2025_26'!$G:$G,MATCH($A484,'2025_26'!$A:$A,0))*90,"")</f>
        <v/>
      </c>
      <c r="AB484">
        <f>IFERROR(SUMPRODUCT(S484:U484,{0.2,0.3,0.5})/SUMPRODUCT(--(S484:U484&lt;&gt;""),{0.2,0.3,0.5}),"")</f>
        <v>0.14571428571428571</v>
      </c>
      <c r="AC484">
        <f>IFERROR(SUMPRODUCT(V484:X484,{0.2,0.3,0.5})/SUMPRODUCT(--(V484:X484&lt;&gt;""),{0.2,0.3,0.5}),"")</f>
        <v>1.7142857142857144E-2</v>
      </c>
      <c r="AD484">
        <f>IFERROR(SUMPRODUCT(Y484:AA484,{0.2,0.3,0.5})/SUMPRODUCT((Y484:AA484&lt;&gt;"")*{0.2,0.3,0.5}),O484)</f>
        <v>6</v>
      </c>
      <c r="AE484">
        <f t="shared" si="187"/>
        <v>1</v>
      </c>
      <c r="AF484" t="str">
        <f t="shared" si="188"/>
        <v/>
      </c>
      <c r="AG484">
        <f t="shared" si="189"/>
        <v>0.14571428571428571</v>
      </c>
      <c r="AH484">
        <f t="shared" si="190"/>
        <v>1.7142857142857144E-2</v>
      </c>
      <c r="AI484" s="2">
        <f t="shared" si="191"/>
        <v>6</v>
      </c>
      <c r="AJ484">
        <f t="shared" si="192"/>
        <v>0</v>
      </c>
      <c r="AK484" t="str">
        <f t="shared" si="193"/>
        <v>NO</v>
      </c>
      <c r="AL484">
        <f t="shared" si="194"/>
        <v>0</v>
      </c>
      <c r="AM484">
        <f t="shared" si="195"/>
        <v>0</v>
      </c>
      <c r="AN484">
        <f t="shared" si="196"/>
        <v>0</v>
      </c>
      <c r="AO484">
        <f t="shared" si="197"/>
        <v>0</v>
      </c>
      <c r="AP484">
        <f t="array" ref="AP484">AL484*IF($C484="GKP",10,IF($C484="DEF",6,IF($C484="MID",5,4)))</f>
        <v>0</v>
      </c>
      <c r="AQ484">
        <f t="shared" si="198"/>
        <v>0</v>
      </c>
      <c r="AR484">
        <f t="shared" si="199"/>
        <v>0</v>
      </c>
      <c r="AS484" s="2">
        <f>IF($H484=0,0,Player_Analysis!$AM484*$H484/90)</f>
        <v>0</v>
      </c>
      <c r="AT484">
        <f t="shared" si="200"/>
        <v>0</v>
      </c>
      <c r="AU484" s="2">
        <f>0</f>
        <v>0</v>
      </c>
      <c r="AV484" s="2" t="str">
        <f>IF(INDEX(FPL_Raw_Data!K:K,MATCH(A484,FPL_Raw_Data!AA:AA,0))=0,"",INDEX(FPL_Raw_Data!P:P,MATCH(A484,FPL_Raw_Data!AA:AA,0))/INDEX(FPL_Raw_Data!K:K,MATCH(A484,FPL_Raw_Data!AA:AA,0))*90)</f>
        <v/>
      </c>
      <c r="AW484" s="2">
        <f t="shared" si="201"/>
        <v>0</v>
      </c>
      <c r="AX484" s="2">
        <f>IFERROR(INDEX(TEAM_ANALYSIS!$H$2:$H$21,MATCH($B484,TEAM_ANALYSIS!$A$2:$A$21,0)),0)</f>
        <v>0.66666666666666663</v>
      </c>
      <c r="AY484" s="2">
        <f t="shared" si="202"/>
        <v>0</v>
      </c>
      <c r="AZ484" s="2">
        <f t="shared" si="203"/>
        <v>0</v>
      </c>
      <c r="BA484">
        <f t="shared" si="204"/>
        <v>0</v>
      </c>
      <c r="BB484">
        <f>IFERROR(Player_Analysis!$Y484,1)</f>
        <v>1.1822231833910033</v>
      </c>
      <c r="BC484">
        <f t="shared" si="205"/>
        <v>0</v>
      </c>
      <c r="BD484">
        <f t="shared" si="206"/>
        <v>0</v>
      </c>
      <c r="BE484">
        <f t="shared" si="207"/>
        <v>0</v>
      </c>
      <c r="BF484">
        <f t="shared" si="208"/>
        <v>253</v>
      </c>
      <c r="BG484">
        <f>IF($BE484="","",COUNTIFS($C$2:$C$596,$C484,$BE$2:$BE$596,"&gt;"&amp;$BE484)+COUNTIFS($C$2:$C484,$C484,$BE$2:$BE484,$BE484))</f>
        <v>240</v>
      </c>
    </row>
    <row r="485" spans="1:59" x14ac:dyDescent="0.25">
      <c r="A485" t="str">
        <f>Player_Analysis!A485</f>
        <v>Erling Haaland</v>
      </c>
      <c r="B485">
        <f>Player_Analysis!C485</f>
        <v>15</v>
      </c>
      <c r="C485" t="str">
        <f>Player_Analysis!B485</f>
        <v>FWD</v>
      </c>
      <c r="D485" s="13">
        <f>Player_Analysis!E485</f>
        <v>15.5</v>
      </c>
      <c r="E485">
        <f>Player_Analysis!I485</f>
        <v>270</v>
      </c>
      <c r="F485" s="8">
        <f>Player_Analysis!Z485</f>
        <v>3</v>
      </c>
      <c r="G485" s="17">
        <f t="shared" si="183"/>
        <v>1</v>
      </c>
      <c r="H485">
        <f t="shared" si="184"/>
        <v>90</v>
      </c>
      <c r="I485" s="8">
        <f>Player_Analysis!AF485</f>
        <v>3</v>
      </c>
      <c r="J485" s="8">
        <f>Player_Analysis!AG485</f>
        <v>0</v>
      </c>
      <c r="K485">
        <f>Player_Analysis!O485</f>
        <v>2.46</v>
      </c>
      <c r="L485">
        <f>Player_Analysis!P485</f>
        <v>0.5</v>
      </c>
      <c r="M485">
        <f t="shared" si="185"/>
        <v>0.82000000000000006</v>
      </c>
      <c r="N485">
        <f t="shared" si="186"/>
        <v>0.16666666666666669</v>
      </c>
      <c r="O485" s="2">
        <f>IF(E485=0,"",Player_Analysis!L485/E485*90)</f>
        <v>8</v>
      </c>
      <c r="P485">
        <f>IF(E485=0,"",Player_Analysis!Q485/E485*90)</f>
        <v>0.98666666666666658</v>
      </c>
      <c r="Q485">
        <f>IF(E485=0,"",(Player_Analysis!AD485/E485)*90)</f>
        <v>35.333333333333336</v>
      </c>
      <c r="R485">
        <f>IF(E485=0,"",Player_Analysis!AA485/E485*90)</f>
        <v>5</v>
      </c>
      <c r="S485">
        <f t="array" ref="S485">IFERROR(INDEX('2023_24'!$O:$O,MATCH($A485,'2023_24'!$A:$A,0)),"")</f>
        <v>1.0424206815511163</v>
      </c>
      <c r="T485">
        <f>IFERROR(INDEX('2024_25'!$P:$P,MATCH($A485,'2024_25'!$A:$A,0)),"")</f>
        <v>0.7203947368421052</v>
      </c>
      <c r="U485">
        <f>IFERROR(INDEX('2025_26'!$P:$P,MATCH($A485,'2025_26'!$A:$A,0)),"")</f>
        <v>0.77717575347104639</v>
      </c>
      <c r="V485">
        <f>IFERROR(INDEX('2023_24'!$P:$P,MATCH($A485,'2023_24'!$A:$A,0)),"")</f>
        <v>7.6850763807285546E-2</v>
      </c>
      <c r="W485">
        <f>IFERROR(INDEX('2024_25'!$Q:$Q,MATCH($A485,'2024_25'!$A:$A,0)),"")</f>
        <v>6.7105263157894737E-2</v>
      </c>
      <c r="X485">
        <f>IFERROR(INDEX('2025_26'!$Q:$Q,MATCH($A485,'2025_26'!$A:$A,0)),"")</f>
        <v>8.1374873010497797E-2</v>
      </c>
      <c r="Y485">
        <f>IFERROR(INDEX('2023_24'!$M:$M,MATCH($A485,'2023_24'!$A:$A,0))/INDEX('2023_24'!$G:$G,MATCH($A485,'2023_24'!$A:$A,0))*90,"")</f>
        <v>7.6498237367802577</v>
      </c>
      <c r="Z485">
        <f>IFERROR(INDEX('2024_25'!$M:$M,MATCH($A485,'2024_25'!$A:$A,0))/INDEX('2024_25'!$G:$G,MATCH($A485,'2024_25'!$A:$A,0))*90,"")</f>
        <v>5.9539473684210531</v>
      </c>
      <c r="AA485">
        <f>IFERROR(INDEX('2025_26'!$M:$M,MATCH($A485,'2025_26'!$A:$A,0))/INDEX('2025_26'!$G:$G,MATCH($A485,'2025_26'!$A:$A,0))*90,"")</f>
        <v>7.2841178462580425</v>
      </c>
      <c r="AB485">
        <f>IFERROR(SUMPRODUCT(S485:U485,{0.2,0.3,0.5})/SUMPRODUCT(--(S485:U485&lt;&gt;""),{0.2,0.3,0.5}),"")</f>
        <v>0.81319043409837799</v>
      </c>
      <c r="AC485">
        <f>IFERROR(SUMPRODUCT(V485:X485,{0.2,0.3,0.5})/SUMPRODUCT(--(V485:X485&lt;&gt;""),{0.2,0.3,0.5}),"")</f>
        <v>7.6189168214074426E-2</v>
      </c>
      <c r="AD485">
        <f>IFERROR(SUMPRODUCT(Y485:AA485,{0.2,0.3,0.5})/SUMPRODUCT((Y485:AA485&lt;&gt;"")*{0.2,0.3,0.5}),O485)</f>
        <v>6.9582078810113881</v>
      </c>
      <c r="AE485">
        <f t="shared" si="187"/>
        <v>3</v>
      </c>
      <c r="AF485">
        <f t="shared" si="188"/>
        <v>90</v>
      </c>
      <c r="AG485">
        <f t="shared" si="189"/>
        <v>0.81931904340983785</v>
      </c>
      <c r="AH485">
        <f t="shared" si="190"/>
        <v>0.15761891682140747</v>
      </c>
      <c r="AI485" s="2">
        <f t="shared" si="191"/>
        <v>7.8958207881011386</v>
      </c>
      <c r="AJ485">
        <f t="shared" si="192"/>
        <v>0.9</v>
      </c>
      <c r="AK485" t="str">
        <f t="shared" si="193"/>
        <v>NO</v>
      </c>
      <c r="AL485">
        <f t="shared" si="194"/>
        <v>0.81931904340983785</v>
      </c>
      <c r="AM485">
        <f t="shared" si="195"/>
        <v>0.15761891682140747</v>
      </c>
      <c r="AN485">
        <f t="shared" si="196"/>
        <v>0.81931904340983785</v>
      </c>
      <c r="AO485">
        <f t="shared" si="197"/>
        <v>0.15761891682140747</v>
      </c>
      <c r="AP485">
        <f t="array" ref="AP485">AL485*IF($C485="GKP",10,IF($C485="DEF",6,IF($C485="MID",5,4)))</f>
        <v>3.2772761736393514</v>
      </c>
      <c r="AQ485">
        <f t="shared" si="198"/>
        <v>0.47285675046422238</v>
      </c>
      <c r="AR485">
        <f t="shared" si="199"/>
        <v>2</v>
      </c>
      <c r="AS485" s="2">
        <f>IF($H485=0,0,Player_Analysis!$AM485*$H485/90)</f>
        <v>0</v>
      </c>
      <c r="AT485">
        <f t="shared" si="200"/>
        <v>0.83333333333333337</v>
      </c>
      <c r="AU485" s="2">
        <f>0</f>
        <v>0</v>
      </c>
      <c r="AV485" s="2">
        <f>IF(INDEX(FPL_Raw_Data!K:K,MATCH(A485,FPL_Raw_Data!AA:AA,0))=0,"",INDEX(FPL_Raw_Data!P:P,MATCH(A485,FPL_Raw_Data!AA:AA,0))/INDEX(FPL_Raw_Data!K:K,MATCH(A485,FPL_Raw_Data!AA:AA,0))*90)</f>
        <v>0</v>
      </c>
      <c r="AW485" s="2">
        <f t="shared" si="201"/>
        <v>0</v>
      </c>
      <c r="AX485" s="2">
        <f>IFERROR(INDEX(TEAM_ANALYSIS!$H$2:$H$21,MATCH($B485,TEAM_ANALYSIS!$A$2:$A$21,0)),0)</f>
        <v>0.66666666666666663</v>
      </c>
      <c r="AY485" s="2">
        <f t="shared" si="202"/>
        <v>0</v>
      </c>
      <c r="AZ485" s="2">
        <f t="shared" si="203"/>
        <v>6.5834662574369069</v>
      </c>
      <c r="BA485">
        <f t="shared" si="204"/>
        <v>0.42473975854431656</v>
      </c>
      <c r="BB485">
        <f>IFERROR(Player_Analysis!$Y485,1)</f>
        <v>1.1822231833910033</v>
      </c>
      <c r="BC485">
        <f t="shared" si="205"/>
        <v>7.7831264366143147</v>
      </c>
      <c r="BD485">
        <f t="shared" si="206"/>
        <v>3.3058032434074511</v>
      </c>
      <c r="BE485">
        <f t="shared" si="207"/>
        <v>7.7831264366143147</v>
      </c>
      <c r="BF485">
        <f t="shared" si="208"/>
        <v>12</v>
      </c>
      <c r="BG485">
        <f>IF($BE485="","",COUNTIFS($C$2:$C$596,$C485,$BE$2:$BE$596,"&gt;"&amp;$BE485)+COUNTIFS($C$2:$C485,$C485,$BE$2:$BE485,$BE485))</f>
        <v>1</v>
      </c>
    </row>
    <row r="486" spans="1:59" x14ac:dyDescent="0.25">
      <c r="A486" t="str">
        <f>Player_Analysis!A486</f>
        <v>Elliot Anderson</v>
      </c>
      <c r="B486">
        <f>Player_Analysis!C486</f>
        <v>15</v>
      </c>
      <c r="C486" t="str">
        <f>Player_Analysis!B486</f>
        <v>MID</v>
      </c>
      <c r="D486" s="13">
        <f>Player_Analysis!E486</f>
        <v>6.3</v>
      </c>
      <c r="E486">
        <f>Player_Analysis!I486</f>
        <v>233</v>
      </c>
      <c r="F486" s="8">
        <f>Player_Analysis!Z486</f>
        <v>3</v>
      </c>
      <c r="G486" s="17">
        <f t="shared" si="183"/>
        <v>1</v>
      </c>
      <c r="H486">
        <f t="shared" si="184"/>
        <v>90</v>
      </c>
      <c r="I486" s="8">
        <f>Player_Analysis!AF486</f>
        <v>0</v>
      </c>
      <c r="J486" s="8">
        <f>Player_Analysis!AG486</f>
        <v>0</v>
      </c>
      <c r="K486">
        <f>Player_Analysis!O486</f>
        <v>0.09</v>
      </c>
      <c r="L486">
        <f>Player_Analysis!P486</f>
        <v>0.64</v>
      </c>
      <c r="M486">
        <f t="shared" si="185"/>
        <v>3.476394849785408E-2</v>
      </c>
      <c r="N486">
        <f t="shared" si="186"/>
        <v>0.24721030042918457</v>
      </c>
      <c r="O486" s="2">
        <f>IF(E486=0,"",Player_Analysis!L486/E486*90)</f>
        <v>3.0901287553648067</v>
      </c>
      <c r="P486">
        <f>IF(E486=0,"",Player_Analysis!Q486/E486*90)</f>
        <v>0.2819742489270386</v>
      </c>
      <c r="Q486">
        <f>IF(E486=0,"",(Player_Analysis!AD486/E486)*90)</f>
        <v>23.948497854077253</v>
      </c>
      <c r="R486">
        <f>IF(E486=0,"",Player_Analysis!AA486/E486*90)</f>
        <v>11.974248927038627</v>
      </c>
      <c r="S486">
        <f t="array" ref="S486">IFERROR(INDEX('2023_24'!$O:$O,MATCH($A486,'2023_24'!$A:$A,0)),"")</f>
        <v>0.14410609037328093</v>
      </c>
      <c r="T486">
        <f>IFERROR(INDEX('2024_25'!$P:$P,MATCH($A486,'2024_25'!$A:$A,0)),"")</f>
        <v>6.7351430667644901E-2</v>
      </c>
      <c r="U486">
        <f>IFERROR(INDEX('2025_26'!$P:$P,MATCH($A486,'2025_26'!$A:$A,0)),"")</f>
        <v>7.9411764705882362E-2</v>
      </c>
      <c r="V486">
        <f>IFERROR(INDEX('2023_24'!$P:$P,MATCH($A486,'2023_24'!$A:$A,0)),"")</f>
        <v>0.11051080550098231</v>
      </c>
      <c r="W486">
        <f>IFERROR(INDEX('2024_25'!$Q:$Q,MATCH($A486,'2024_25'!$A:$A,0)),"")</f>
        <v>0.11588407923697724</v>
      </c>
      <c r="X486">
        <f>IFERROR(INDEX('2025_26'!$Q:$Q,MATCH($A486,'2025_26'!$A:$A,0)),"")</f>
        <v>0.12938175270108043</v>
      </c>
      <c r="Y486">
        <f>IFERROR(INDEX('2023_24'!$M:$M,MATCH($A486,'2023_24'!$A:$A,0))/INDEX('2023_24'!$G:$G,MATCH($A486,'2023_24'!$A:$A,0))*90,"")</f>
        <v>3.7131630648330063</v>
      </c>
      <c r="Z486">
        <f>IFERROR(INDEX('2024_25'!$M:$M,MATCH($A486,'2024_25'!$A:$A,0))/INDEX('2024_25'!$G:$G,MATCH($A486,'2024_25'!$A:$A,0))*90,"")</f>
        <v>3.5326485693323555</v>
      </c>
      <c r="AA486">
        <f>IFERROR(INDEX('2025_26'!$M:$M,MATCH($A486,'2025_26'!$A:$A,0))/INDEX('2025_26'!$G:$G,MATCH($A486,'2025_26'!$A:$A,0))*90,"")</f>
        <v>4.8619447779111642</v>
      </c>
      <c r="AB486">
        <f>IFERROR(SUMPRODUCT(S486:U486,{0.2,0.3,0.5})/SUMPRODUCT(--(S486:U486&lt;&gt;""),{0.2,0.3,0.5}),"")</f>
        <v>8.8732529627890827E-2</v>
      </c>
      <c r="AC486">
        <f>IFERROR(SUMPRODUCT(V486:X486,{0.2,0.3,0.5})/SUMPRODUCT(--(V486:X486&lt;&gt;""),{0.2,0.3,0.5}),"")</f>
        <v>0.12155826122182986</v>
      </c>
      <c r="AD486">
        <f>IFERROR(SUMPRODUCT(Y486:AA486,{0.2,0.3,0.5})/SUMPRODUCT((Y486:AA486&lt;&gt;"")*{0.2,0.3,0.5}),O486)</f>
        <v>4.2333995727218898</v>
      </c>
      <c r="AE486">
        <f t="shared" si="187"/>
        <v>3</v>
      </c>
      <c r="AF486">
        <f t="shared" si="188"/>
        <v>77.666666666666671</v>
      </c>
      <c r="AG486">
        <f t="shared" si="189"/>
        <v>4.6816931616895624E-2</v>
      </c>
      <c r="AH486">
        <f t="shared" si="190"/>
        <v>0.21914801167287534</v>
      </c>
      <c r="AI486" s="2">
        <f t="shared" si="191"/>
        <v>3.3454592379078889</v>
      </c>
      <c r="AJ486">
        <f t="shared" si="192"/>
        <v>0.77666666666666662</v>
      </c>
      <c r="AK486" t="str">
        <f t="shared" si="193"/>
        <v>NO</v>
      </c>
      <c r="AL486">
        <f t="shared" si="194"/>
        <v>4.6816931616895624E-2</v>
      </c>
      <c r="AM486">
        <f t="shared" si="195"/>
        <v>0.21914801167287534</v>
      </c>
      <c r="AN486">
        <f t="shared" si="196"/>
        <v>4.6816931616895624E-2</v>
      </c>
      <c r="AO486">
        <f t="shared" si="197"/>
        <v>0.21914801167287534</v>
      </c>
      <c r="AP486">
        <f t="array" ref="AP486">AL486*IF($C486="GKP",10,IF($C486="DEF",6,IF($C486="MID",5,4)))</f>
        <v>0.23408465808447812</v>
      </c>
      <c r="AQ486">
        <f t="shared" si="198"/>
        <v>0.65744403501862603</v>
      </c>
      <c r="AR486">
        <f t="shared" si="199"/>
        <v>2</v>
      </c>
      <c r="AS486" s="2">
        <f>IF($H486=0,0,Player_Analysis!$AM486*$H486/90)</f>
        <v>0.33333333333333331</v>
      </c>
      <c r="AT486">
        <f t="shared" si="200"/>
        <v>1.9957081545064377</v>
      </c>
      <c r="AU486" s="2">
        <f>0</f>
        <v>0</v>
      </c>
      <c r="AV486" s="2">
        <f>IF(INDEX(FPL_Raw_Data!K:K,MATCH(A486,FPL_Raw_Data!AA:AA,0))=0,"",INDEX(FPL_Raw_Data!P:P,MATCH(A486,FPL_Raw_Data!AA:AA,0))/INDEX(FPL_Raw_Data!K:K,MATCH(A486,FPL_Raw_Data!AA:AA,0))*90)</f>
        <v>0</v>
      </c>
      <c r="AW486" s="2">
        <f t="shared" si="201"/>
        <v>0</v>
      </c>
      <c r="AX486" s="2">
        <f>IFERROR(INDEX(TEAM_ANALYSIS!$H$2:$H$21,MATCH($B486,TEAM_ANALYSIS!$A$2:$A$21,0)),0)</f>
        <v>0.66666666666666663</v>
      </c>
      <c r="AY486" s="2">
        <f t="shared" si="202"/>
        <v>0</v>
      </c>
      <c r="AZ486" s="2">
        <f t="shared" si="203"/>
        <v>5.2205701809428753</v>
      </c>
      <c r="BA486">
        <f t="shared" si="204"/>
        <v>0.8286619334829961</v>
      </c>
      <c r="BB486">
        <f>IFERROR(Player_Analysis!$Y486,1)</f>
        <v>1.1822231833910033</v>
      </c>
      <c r="BC486">
        <f t="shared" si="205"/>
        <v>6.1718790984304324</v>
      </c>
      <c r="BD486">
        <f t="shared" si="206"/>
        <v>5.1144012669286525</v>
      </c>
      <c r="BE486">
        <f t="shared" si="207"/>
        <v>6.1718790984304324</v>
      </c>
      <c r="BF486">
        <f t="shared" si="208"/>
        <v>39</v>
      </c>
      <c r="BG486">
        <f>IF($BE486="","",COUNTIFS($C$2:$C$596,$C486,$BE$2:$BE$596,"&gt;"&amp;$BE486)+COUNTIFS($C$2:$C486,$C486,$BE$2:$BE486,$BE486))</f>
        <v>16</v>
      </c>
    </row>
    <row r="487" spans="1:59" x14ac:dyDescent="0.25">
      <c r="A487" t="str">
        <f>Player_Analysis!A487</f>
        <v>Gerónimo Rulli</v>
      </c>
      <c r="B487">
        <f>Player_Analysis!C487</f>
        <v>15</v>
      </c>
      <c r="C487" t="str">
        <f>Player_Analysis!B487</f>
        <v>GK</v>
      </c>
      <c r="D487" s="13">
        <f>Player_Analysis!E487</f>
        <v>5</v>
      </c>
      <c r="E487">
        <f>Player_Analysis!I487</f>
        <v>0</v>
      </c>
      <c r="F487" s="8">
        <f>Player_Analysis!Z487</f>
        <v>0</v>
      </c>
      <c r="G487" s="17">
        <f t="shared" si="183"/>
        <v>0</v>
      </c>
      <c r="H487">
        <f t="shared" si="184"/>
        <v>0</v>
      </c>
      <c r="I487" s="8">
        <f>Player_Analysis!AF487</f>
        <v>0</v>
      </c>
      <c r="J487" s="8">
        <f>Player_Analysis!AG487</f>
        <v>0</v>
      </c>
      <c r="K487">
        <f>Player_Analysis!O487</f>
        <v>0</v>
      </c>
      <c r="L487">
        <f>Player_Analysis!P487</f>
        <v>0</v>
      </c>
      <c r="M487" t="str">
        <f t="shared" si="185"/>
        <v/>
      </c>
      <c r="N487" t="str">
        <f t="shared" si="186"/>
        <v/>
      </c>
      <c r="O487" s="2" t="str">
        <f>IF(E487=0,"",Player_Analysis!L487/E487*90)</f>
        <v/>
      </c>
      <c r="P487" t="str">
        <f>IF(E487=0,"",Player_Analysis!Q487/E487*90)</f>
        <v/>
      </c>
      <c r="Q487" t="str">
        <f>IF(E487=0,"",(Player_Analysis!AD487/E487)*90)</f>
        <v/>
      </c>
      <c r="R487" t="str">
        <f>IF(E487=0,"",Player_Analysis!AA487/E487*90)</f>
        <v/>
      </c>
      <c r="S487" t="str">
        <f t="array" ref="S487">IFERROR(INDEX('2023_24'!$O:$O,MATCH($A487,'2023_24'!$A:$A,0)),"")</f>
        <v/>
      </c>
      <c r="T487" t="str">
        <f>IFERROR(INDEX('2024_25'!$P:$P,MATCH($A487,'2024_25'!$A:$A,0)),"")</f>
        <v/>
      </c>
      <c r="U487" t="str">
        <f>IFERROR(INDEX('2025_26'!$P:$P,MATCH($A487,'2025_26'!$A:$A,0)),"")</f>
        <v/>
      </c>
      <c r="V487" t="str">
        <f>IFERROR(INDEX('2023_24'!$P:$P,MATCH($A487,'2023_24'!$A:$A,0)),"")</f>
        <v/>
      </c>
      <c r="W487" t="str">
        <f>IFERROR(INDEX('2024_25'!$Q:$Q,MATCH($A487,'2024_25'!$A:$A,0)),"")</f>
        <v/>
      </c>
      <c r="X487" t="str">
        <f>IFERROR(INDEX('2025_26'!$Q:$Q,MATCH($A487,'2025_26'!$A:$A,0)),"")</f>
        <v/>
      </c>
      <c r="Y487" t="str">
        <f>IFERROR(INDEX('2023_24'!$M:$M,MATCH($A487,'2023_24'!$A:$A,0))/INDEX('2023_24'!$G:$G,MATCH($A487,'2023_24'!$A:$A,0))*90,"")</f>
        <v/>
      </c>
      <c r="Z487" t="str">
        <f>IFERROR(INDEX('2024_25'!$M:$M,MATCH($A487,'2024_25'!$A:$A,0))/INDEX('2024_25'!$G:$G,MATCH($A487,'2024_25'!$A:$A,0))*90,"")</f>
        <v/>
      </c>
      <c r="AA487" t="str">
        <f>IFERROR(INDEX('2025_26'!$M:$M,MATCH($A487,'2025_26'!$A:$A,0))/INDEX('2025_26'!$G:$G,MATCH($A487,'2025_26'!$A:$A,0))*90,"")</f>
        <v/>
      </c>
      <c r="AB487" t="str">
        <f>IFERROR(SUMPRODUCT(S487:U487,{0.2,0.3,0.5})/SUMPRODUCT(--(S487:U487&lt;&gt;""),{0.2,0.3,0.5}),"")</f>
        <v/>
      </c>
      <c r="AC487" t="str">
        <f>IFERROR(SUMPRODUCT(V487:X487,{0.2,0.3,0.5})/SUMPRODUCT(--(V487:X487&lt;&gt;""),{0.2,0.3,0.5}),"")</f>
        <v/>
      </c>
      <c r="AD487" t="str">
        <f>IFERROR(SUMPRODUCT(Y487:AA487,{0.2,0.3,0.5})/SUMPRODUCT((Y487:AA487&lt;&gt;"")*{0.2,0.3,0.5}),O487)</f>
        <v/>
      </c>
      <c r="AE487">
        <f t="shared" si="187"/>
        <v>0</v>
      </c>
      <c r="AF487" t="str">
        <f t="shared" si="188"/>
        <v/>
      </c>
      <c r="AG487">
        <f t="shared" si="189"/>
        <v>0</v>
      </c>
      <c r="AH487">
        <f t="shared" si="190"/>
        <v>0</v>
      </c>
      <c r="AI487" s="2">
        <f t="shared" si="191"/>
        <v>0</v>
      </c>
      <c r="AJ487">
        <f t="shared" si="192"/>
        <v>0</v>
      </c>
      <c r="AK487" t="str">
        <f t="shared" si="193"/>
        <v>YES</v>
      </c>
      <c r="AL487">
        <f t="shared" si="194"/>
        <v>0</v>
      </c>
      <c r="AM487">
        <f t="shared" si="195"/>
        <v>0</v>
      </c>
      <c r="AN487">
        <f t="shared" si="196"/>
        <v>0</v>
      </c>
      <c r="AO487">
        <f t="shared" si="197"/>
        <v>0</v>
      </c>
      <c r="AP487">
        <f t="array" ref="AP487">AL487*IF($C487="GKP",10,IF($C487="DEF",6,IF($C487="MID",5,4)))</f>
        <v>0</v>
      </c>
      <c r="AQ487">
        <f t="shared" si="198"/>
        <v>0</v>
      </c>
      <c r="AR487">
        <f t="shared" si="199"/>
        <v>0</v>
      </c>
      <c r="AS487" s="2">
        <f>IF($H487=0,0,Player_Analysis!$AM487*$H487/90)</f>
        <v>0</v>
      </c>
      <c r="AT487">
        <f t="shared" si="200"/>
        <v>0</v>
      </c>
      <c r="AU487" s="2">
        <f>0</f>
        <v>0</v>
      </c>
      <c r="AV487" s="2" t="str">
        <f>IF(INDEX(FPL_Raw_Data!K:K,MATCH(A487,FPL_Raw_Data!AA:AA,0))=0,"",INDEX(FPL_Raw_Data!P:P,MATCH(A487,FPL_Raw_Data!AA:AA,0))/INDEX(FPL_Raw_Data!K:K,MATCH(A487,FPL_Raw_Data!AA:AA,0))*90)</f>
        <v/>
      </c>
      <c r="AW487" s="2">
        <f t="shared" si="201"/>
        <v>0</v>
      </c>
      <c r="AX487" s="2">
        <f>IFERROR(INDEX(TEAM_ANALYSIS!$H$2:$H$21,MATCH($B487,TEAM_ANALYSIS!$A$2:$A$21,0)),0)</f>
        <v>0.66666666666666663</v>
      </c>
      <c r="AY487" s="2">
        <f t="shared" si="202"/>
        <v>0</v>
      </c>
      <c r="AZ487" s="2">
        <f t="shared" si="203"/>
        <v>0</v>
      </c>
      <c r="BA487">
        <f t="shared" si="204"/>
        <v>0</v>
      </c>
      <c r="BB487">
        <f>IFERROR(Player_Analysis!$Y487,1)</f>
        <v>1.1338276422764224</v>
      </c>
      <c r="BC487">
        <f t="shared" si="205"/>
        <v>0</v>
      </c>
      <c r="BD487">
        <f t="shared" si="206"/>
        <v>0</v>
      </c>
      <c r="BE487">
        <f t="shared" si="207"/>
        <v>0</v>
      </c>
      <c r="BF487">
        <f t="shared" si="208"/>
        <v>253</v>
      </c>
      <c r="BG487">
        <f>IF($BE487="","",COUNTIFS($C$2:$C$596,$C487,$BE$2:$BE$596,"&gt;"&amp;$BE487)+COUNTIFS($C$2:$C487,$C487,$BE$2:$BE487,$BE487))</f>
        <v>57</v>
      </c>
    </row>
    <row r="488" spans="1:59" x14ac:dyDescent="0.25">
      <c r="A488" t="str">
        <f>Player_Analysis!A488</f>
        <v>Ayyoub Bouaddi</v>
      </c>
      <c r="B488">
        <f>Player_Analysis!C488</f>
        <v>15</v>
      </c>
      <c r="C488" t="str">
        <f>Player_Analysis!B488</f>
        <v>MID</v>
      </c>
      <c r="D488" s="13">
        <f>Player_Analysis!E488</f>
        <v>5.5</v>
      </c>
      <c r="E488">
        <f>Player_Analysis!I488</f>
        <v>22</v>
      </c>
      <c r="F488" s="8">
        <f>Player_Analysis!Z488</f>
        <v>0</v>
      </c>
      <c r="G488" s="17">
        <f t="shared" si="183"/>
        <v>0</v>
      </c>
      <c r="H488">
        <f t="shared" si="184"/>
        <v>0</v>
      </c>
      <c r="I488" s="8">
        <f>Player_Analysis!AF488</f>
        <v>0</v>
      </c>
      <c r="J488" s="8">
        <f>Player_Analysis!AG488</f>
        <v>0</v>
      </c>
      <c r="K488">
        <f>Player_Analysis!O488</f>
        <v>0</v>
      </c>
      <c r="L488">
        <f>Player_Analysis!P488</f>
        <v>0.12</v>
      </c>
      <c r="M488">
        <f t="shared" si="185"/>
        <v>0</v>
      </c>
      <c r="N488">
        <f t="shared" si="186"/>
        <v>0.49090909090909085</v>
      </c>
      <c r="O488" s="2">
        <f>IF(E488=0,"",Player_Analysis!L488/E488*90)</f>
        <v>8.1818181818181817</v>
      </c>
      <c r="P488">
        <f>IF(E488=0,"",Player_Analysis!Q488/E488*90)</f>
        <v>0.49090909090909085</v>
      </c>
      <c r="Q488">
        <f>IF(E488=0,"",(Player_Analysis!AD488/E488)*90)</f>
        <v>32.727272727272727</v>
      </c>
      <c r="R488">
        <f>IF(E488=0,"",Player_Analysis!AA488/E488*90)</f>
        <v>24.545454545454543</v>
      </c>
      <c r="S488" t="str">
        <f t="array" ref="S488">IFERROR(INDEX('2023_24'!$O:$O,MATCH($A488,'2023_24'!$A:$A,0)),"")</f>
        <v/>
      </c>
      <c r="T488" t="str">
        <f>IFERROR(INDEX('2024_25'!$P:$P,MATCH($A488,'2024_25'!$A:$A,0)),"")</f>
        <v/>
      </c>
      <c r="U488" t="str">
        <f>IFERROR(INDEX('2025_26'!$P:$P,MATCH($A488,'2025_26'!$A:$A,0)),"")</f>
        <v/>
      </c>
      <c r="V488" t="str">
        <f>IFERROR(INDEX('2023_24'!$P:$P,MATCH($A488,'2023_24'!$A:$A,0)),"")</f>
        <v/>
      </c>
      <c r="W488" t="str">
        <f>IFERROR(INDEX('2024_25'!$Q:$Q,MATCH($A488,'2024_25'!$A:$A,0)),"")</f>
        <v/>
      </c>
      <c r="X488" t="str">
        <f>IFERROR(INDEX('2025_26'!$Q:$Q,MATCH($A488,'2025_26'!$A:$A,0)),"")</f>
        <v/>
      </c>
      <c r="Y488" t="str">
        <f>IFERROR(INDEX('2023_24'!$M:$M,MATCH($A488,'2023_24'!$A:$A,0))/INDEX('2023_24'!$G:$G,MATCH($A488,'2023_24'!$A:$A,0))*90,"")</f>
        <v/>
      </c>
      <c r="Z488" t="str">
        <f>IFERROR(INDEX('2024_25'!$M:$M,MATCH($A488,'2024_25'!$A:$A,0))/INDEX('2024_25'!$G:$G,MATCH($A488,'2024_25'!$A:$A,0))*90,"")</f>
        <v/>
      </c>
      <c r="AA488" t="str">
        <f>IFERROR(INDEX('2025_26'!$M:$M,MATCH($A488,'2025_26'!$A:$A,0))/INDEX('2025_26'!$G:$G,MATCH($A488,'2025_26'!$A:$A,0))*90,"")</f>
        <v/>
      </c>
      <c r="AB488" t="str">
        <f>IFERROR(SUMPRODUCT(S488:U488,{0.2,0.3,0.5})/SUMPRODUCT(--(S488:U488&lt;&gt;""),{0.2,0.3,0.5}),"")</f>
        <v/>
      </c>
      <c r="AC488" t="str">
        <f>IFERROR(SUMPRODUCT(V488:X488,{0.2,0.3,0.5})/SUMPRODUCT(--(V488:X488&lt;&gt;""),{0.2,0.3,0.5}),"")</f>
        <v/>
      </c>
      <c r="AD488">
        <f>IFERROR(SUMPRODUCT(Y488:AA488,{0.2,0.3,0.5})/SUMPRODUCT((Y488:AA488&lt;&gt;"")*{0.2,0.3,0.5}),O488)</f>
        <v>8.1818181818181817</v>
      </c>
      <c r="AE488">
        <f t="shared" si="187"/>
        <v>0</v>
      </c>
      <c r="AF488" t="str">
        <f t="shared" si="188"/>
        <v/>
      </c>
      <c r="AG488">
        <f t="shared" si="189"/>
        <v>0</v>
      </c>
      <c r="AH488">
        <f t="shared" si="190"/>
        <v>0.49090909090909085</v>
      </c>
      <c r="AI488" s="2">
        <f t="shared" si="191"/>
        <v>8.1818181818181817</v>
      </c>
      <c r="AJ488">
        <f t="shared" si="192"/>
        <v>7.3333333333333334E-2</v>
      </c>
      <c r="AK488" t="str">
        <f t="shared" si="193"/>
        <v>YES</v>
      </c>
      <c r="AL488">
        <f t="shared" si="194"/>
        <v>0</v>
      </c>
      <c r="AM488">
        <f t="shared" si="195"/>
        <v>0</v>
      </c>
      <c r="AN488">
        <f t="shared" si="196"/>
        <v>0</v>
      </c>
      <c r="AO488">
        <f t="shared" si="197"/>
        <v>0</v>
      </c>
      <c r="AP488">
        <f t="array" ref="AP488">AL488*IF($C488="GKP",10,IF($C488="DEF",6,IF($C488="MID",5,4)))</f>
        <v>0</v>
      </c>
      <c r="AQ488">
        <f t="shared" si="198"/>
        <v>0</v>
      </c>
      <c r="AR488">
        <f t="shared" si="199"/>
        <v>0</v>
      </c>
      <c r="AS488" s="2">
        <f>IF($H488=0,0,Player_Analysis!$AM488*$H488/90)</f>
        <v>0</v>
      </c>
      <c r="AT488">
        <f t="shared" si="200"/>
        <v>0</v>
      </c>
      <c r="AU488" s="2">
        <f>0</f>
        <v>0</v>
      </c>
      <c r="AV488" s="2">
        <f>IF(INDEX(FPL_Raw_Data!K:K,MATCH(A488,FPL_Raw_Data!AA:AA,0))=0,"",INDEX(FPL_Raw_Data!P:P,MATCH(A488,FPL_Raw_Data!AA:AA,0))/INDEX(FPL_Raw_Data!K:K,MATCH(A488,FPL_Raw_Data!AA:AA,0))*90)</f>
        <v>0</v>
      </c>
      <c r="AW488" s="2">
        <f t="shared" si="201"/>
        <v>0</v>
      </c>
      <c r="AX488" s="2">
        <f>IFERROR(INDEX(TEAM_ANALYSIS!$H$2:$H$21,MATCH($B488,TEAM_ANALYSIS!$A$2:$A$21,0)),0)</f>
        <v>0.66666666666666663</v>
      </c>
      <c r="AY488" s="2">
        <f t="shared" si="202"/>
        <v>0</v>
      </c>
      <c r="AZ488" s="2">
        <f t="shared" si="203"/>
        <v>0</v>
      </c>
      <c r="BA488">
        <f t="shared" si="204"/>
        <v>0</v>
      </c>
      <c r="BB488">
        <f>IFERROR(Player_Analysis!$Y488,1)</f>
        <v>1.1822231833910033</v>
      </c>
      <c r="BC488">
        <f t="shared" si="205"/>
        <v>0</v>
      </c>
      <c r="BD488">
        <f t="shared" si="206"/>
        <v>0</v>
      </c>
      <c r="BE488">
        <f t="shared" si="207"/>
        <v>0</v>
      </c>
      <c r="BF488">
        <f t="shared" si="208"/>
        <v>253</v>
      </c>
      <c r="BG488">
        <f>IF($BE488="","",COUNTIFS($C$2:$C$596,$C488,$BE$2:$BE$596,"&gt;"&amp;$BE488)+COUNTIFS($C$2:$C488,$C488,$BE$2:$BE488,$BE488))</f>
        <v>241</v>
      </c>
    </row>
    <row r="489" spans="1:59" x14ac:dyDescent="0.25">
      <c r="A489" t="str">
        <f>Player_Analysis!A489</f>
        <v>Ryan McAidoo</v>
      </c>
      <c r="B489">
        <f>Player_Analysis!C489</f>
        <v>15</v>
      </c>
      <c r="C489" t="str">
        <f>Player_Analysis!B489</f>
        <v>MID</v>
      </c>
      <c r="D489" s="13">
        <f>Player_Analysis!E489</f>
        <v>4.5</v>
      </c>
      <c r="E489">
        <f>Player_Analysis!I489</f>
        <v>11</v>
      </c>
      <c r="F489" s="8">
        <f>Player_Analysis!Z489</f>
        <v>0</v>
      </c>
      <c r="G489" s="17">
        <f t="shared" si="183"/>
        <v>0</v>
      </c>
      <c r="H489">
        <f t="shared" si="184"/>
        <v>0</v>
      </c>
      <c r="I489" s="8">
        <f>Player_Analysis!AF489</f>
        <v>0</v>
      </c>
      <c r="J489" s="8">
        <f>Player_Analysis!AG489</f>
        <v>0</v>
      </c>
      <c r="K489">
        <f>Player_Analysis!O489</f>
        <v>0.1</v>
      </c>
      <c r="L489">
        <f>Player_Analysis!P489</f>
        <v>0</v>
      </c>
      <c r="M489">
        <f t="shared" si="185"/>
        <v>0.81818181818181834</v>
      </c>
      <c r="N489">
        <f t="shared" si="186"/>
        <v>0</v>
      </c>
      <c r="O489" s="2">
        <f>IF(E489=0,"",Player_Analysis!L489/E489*90)</f>
        <v>16.363636363636363</v>
      </c>
      <c r="P489">
        <f>IF(E489=0,"",Player_Analysis!Q489/E489*90)</f>
        <v>0.81818181818181834</v>
      </c>
      <c r="Q489">
        <f>IF(E489=0,"",(Player_Analysis!AD489/E489)*90)</f>
        <v>65.454545454545453</v>
      </c>
      <c r="R489">
        <f>IF(E489=0,"",Player_Analysis!AA489/E489*90)</f>
        <v>32.727272727272727</v>
      </c>
      <c r="S489" t="str">
        <f t="array" ref="S489">IFERROR(INDEX('2023_24'!$O:$O,MATCH($A489,'2023_24'!$A:$A,0)),"")</f>
        <v/>
      </c>
      <c r="T489" t="str">
        <f>IFERROR(INDEX('2024_25'!$P:$P,MATCH($A489,'2024_25'!$A:$A,0)),"")</f>
        <v/>
      </c>
      <c r="U489">
        <f>IFERROR(INDEX('2025_26'!$P:$P,MATCH($A489,'2025_26'!$A:$A,0)),"")</f>
        <v>0</v>
      </c>
      <c r="V489" t="str">
        <f>IFERROR(INDEX('2023_24'!$P:$P,MATCH($A489,'2023_24'!$A:$A,0)),"")</f>
        <v/>
      </c>
      <c r="W489" t="str">
        <f>IFERROR(INDEX('2024_25'!$Q:$Q,MATCH($A489,'2024_25'!$A:$A,0)),"")</f>
        <v/>
      </c>
      <c r="X489">
        <f>IFERROR(INDEX('2025_26'!$Q:$Q,MATCH($A489,'2025_26'!$A:$A,0)),"")</f>
        <v>0</v>
      </c>
      <c r="Y489" t="str">
        <f>IFERROR(INDEX('2023_24'!$M:$M,MATCH($A489,'2023_24'!$A:$A,0))/INDEX('2023_24'!$G:$G,MATCH($A489,'2023_24'!$A:$A,0))*90,"")</f>
        <v/>
      </c>
      <c r="Z489" t="str">
        <f>IFERROR(INDEX('2024_25'!$M:$M,MATCH($A489,'2024_25'!$A:$A,0))/INDEX('2024_25'!$G:$G,MATCH($A489,'2024_25'!$A:$A,0))*90,"")</f>
        <v/>
      </c>
      <c r="AA489" t="str">
        <f>IFERROR(INDEX('2025_26'!$M:$M,MATCH($A489,'2025_26'!$A:$A,0))/INDEX('2025_26'!$G:$G,MATCH($A489,'2025_26'!$A:$A,0))*90,"")</f>
        <v/>
      </c>
      <c r="AB489">
        <f>IFERROR(SUMPRODUCT(S489:U489,{0.2,0.3,0.5})/SUMPRODUCT(--(S489:U489&lt;&gt;""),{0.2,0.3,0.5}),"")</f>
        <v>0</v>
      </c>
      <c r="AC489">
        <f>IFERROR(SUMPRODUCT(V489:X489,{0.2,0.3,0.5})/SUMPRODUCT(--(V489:X489&lt;&gt;""),{0.2,0.3,0.5}),"")</f>
        <v>0</v>
      </c>
      <c r="AD489">
        <f>IFERROR(SUMPRODUCT(Y489:AA489,{0.2,0.3,0.5})/SUMPRODUCT((Y489:AA489&lt;&gt;"")*{0.2,0.3,0.5}),O489)</f>
        <v>16.363636363636363</v>
      </c>
      <c r="AE489">
        <f t="shared" si="187"/>
        <v>1</v>
      </c>
      <c r="AF489" t="str">
        <f t="shared" si="188"/>
        <v/>
      </c>
      <c r="AG489">
        <f t="shared" si="189"/>
        <v>3.0000000000000006E-2</v>
      </c>
      <c r="AH489">
        <f t="shared" si="190"/>
        <v>0</v>
      </c>
      <c r="AI489" s="2">
        <f t="shared" si="191"/>
        <v>16.363636363636363</v>
      </c>
      <c r="AJ489">
        <f t="shared" si="192"/>
        <v>3.6666666666666667E-2</v>
      </c>
      <c r="AK489" t="str">
        <f t="shared" si="193"/>
        <v>NO</v>
      </c>
      <c r="AL489">
        <f t="shared" si="194"/>
        <v>0</v>
      </c>
      <c r="AM489">
        <f t="shared" si="195"/>
        <v>0</v>
      </c>
      <c r="AN489">
        <f t="shared" si="196"/>
        <v>0</v>
      </c>
      <c r="AO489">
        <f t="shared" si="197"/>
        <v>0</v>
      </c>
      <c r="AP489">
        <f t="array" ref="AP489">AL489*IF($C489="GKP",10,IF($C489="DEF",6,IF($C489="MID",5,4)))</f>
        <v>0</v>
      </c>
      <c r="AQ489">
        <f t="shared" si="198"/>
        <v>0</v>
      </c>
      <c r="AR489">
        <f t="shared" si="199"/>
        <v>0</v>
      </c>
      <c r="AS489" s="2">
        <f>IF($H489=0,0,Player_Analysis!$AM489*$H489/90)</f>
        <v>0</v>
      </c>
      <c r="AT489">
        <f t="shared" si="200"/>
        <v>0</v>
      </c>
      <c r="AU489" s="2">
        <f>0</f>
        <v>0</v>
      </c>
      <c r="AV489" s="2">
        <f>IF(INDEX(FPL_Raw_Data!K:K,MATCH(A489,FPL_Raw_Data!AA:AA,0))=0,"",INDEX(FPL_Raw_Data!P:P,MATCH(A489,FPL_Raw_Data!AA:AA,0))/INDEX(FPL_Raw_Data!K:K,MATCH(A489,FPL_Raw_Data!AA:AA,0))*90)</f>
        <v>0</v>
      </c>
      <c r="AW489" s="2">
        <f t="shared" si="201"/>
        <v>0</v>
      </c>
      <c r="AX489" s="2">
        <f>IFERROR(INDEX(TEAM_ANALYSIS!$H$2:$H$21,MATCH($B489,TEAM_ANALYSIS!$A$2:$A$21,0)),0)</f>
        <v>0.66666666666666663</v>
      </c>
      <c r="AY489" s="2">
        <f t="shared" si="202"/>
        <v>0</v>
      </c>
      <c r="AZ489" s="2">
        <f t="shared" si="203"/>
        <v>0</v>
      </c>
      <c r="BA489">
        <f t="shared" si="204"/>
        <v>0</v>
      </c>
      <c r="BB489">
        <f>IFERROR(Player_Analysis!$Y489,1)</f>
        <v>1.1822231833910033</v>
      </c>
      <c r="BC489">
        <f t="shared" si="205"/>
        <v>0</v>
      </c>
      <c r="BD489">
        <f t="shared" si="206"/>
        <v>0</v>
      </c>
      <c r="BE489">
        <f t="shared" si="207"/>
        <v>0</v>
      </c>
      <c r="BF489">
        <f t="shared" si="208"/>
        <v>253</v>
      </c>
      <c r="BG489">
        <f>IF($BE489="","",COUNTIFS($C$2:$C$596,$C489,$BE$2:$BE$596,"&gt;"&amp;$BE489)+COUNTIFS($C$2:$C489,$C489,$BE$2:$BE489,$BE489))</f>
        <v>242</v>
      </c>
    </row>
    <row r="490" spans="1:59" x14ac:dyDescent="0.25">
      <c r="A490" t="str">
        <f>Player_Analysis!A490</f>
        <v>Kaden Braithwaite</v>
      </c>
      <c r="B490">
        <f>Player_Analysis!C490</f>
        <v>15</v>
      </c>
      <c r="C490" t="str">
        <f>Player_Analysis!B490</f>
        <v>DEF</v>
      </c>
      <c r="D490" s="13">
        <f>Player_Analysis!E490</f>
        <v>4</v>
      </c>
      <c r="E490">
        <f>Player_Analysis!I490</f>
        <v>1</v>
      </c>
      <c r="F490" s="8">
        <f>Player_Analysis!Z490</f>
        <v>0</v>
      </c>
      <c r="G490" s="17">
        <f t="shared" si="183"/>
        <v>0</v>
      </c>
      <c r="H490">
        <f t="shared" si="184"/>
        <v>0</v>
      </c>
      <c r="I490" s="8">
        <f>Player_Analysis!AF490</f>
        <v>0</v>
      </c>
      <c r="J490" s="8">
        <f>Player_Analysis!AG490</f>
        <v>0</v>
      </c>
      <c r="K490">
        <f>Player_Analysis!O490</f>
        <v>0</v>
      </c>
      <c r="L490">
        <f>Player_Analysis!P490</f>
        <v>0</v>
      </c>
      <c r="M490">
        <f t="shared" si="185"/>
        <v>0</v>
      </c>
      <c r="N490">
        <f t="shared" si="186"/>
        <v>0</v>
      </c>
      <c r="O490" s="2">
        <f>IF(E490=0,"",Player_Analysis!L490/E490*90)</f>
        <v>90</v>
      </c>
      <c r="P490">
        <f>IF(E490=0,"",Player_Analysis!Q490/E490*90)</f>
        <v>0</v>
      </c>
      <c r="Q490">
        <f>IF(E490=0,"",(Player_Analysis!AD490/E490)*90)</f>
        <v>270</v>
      </c>
      <c r="R490">
        <f>IF(E490=0,"",Player_Analysis!AA490/E490*90)</f>
        <v>0</v>
      </c>
      <c r="S490" t="str">
        <f t="array" ref="S490">IFERROR(INDEX('2023_24'!$O:$O,MATCH($A490,'2023_24'!$A:$A,0)),"")</f>
        <v/>
      </c>
      <c r="T490" t="str">
        <f>IFERROR(INDEX('2024_25'!$P:$P,MATCH($A490,'2024_25'!$A:$A,0)),"")</f>
        <v/>
      </c>
      <c r="U490" t="str">
        <f>IFERROR(INDEX('2025_26'!$P:$P,MATCH($A490,'2025_26'!$A:$A,0)),"")</f>
        <v/>
      </c>
      <c r="V490" t="str">
        <f>IFERROR(INDEX('2023_24'!$P:$P,MATCH($A490,'2023_24'!$A:$A,0)),"")</f>
        <v/>
      </c>
      <c r="W490" t="str">
        <f>IFERROR(INDEX('2024_25'!$Q:$Q,MATCH($A490,'2024_25'!$A:$A,0)),"")</f>
        <v/>
      </c>
      <c r="X490" t="str">
        <f>IFERROR(INDEX('2025_26'!$Q:$Q,MATCH($A490,'2025_26'!$A:$A,0)),"")</f>
        <v/>
      </c>
      <c r="Y490" t="str">
        <f>IFERROR(INDEX('2023_24'!$M:$M,MATCH($A490,'2023_24'!$A:$A,0))/INDEX('2023_24'!$G:$G,MATCH($A490,'2023_24'!$A:$A,0))*90,"")</f>
        <v/>
      </c>
      <c r="Z490" t="str">
        <f>IFERROR(INDEX('2024_25'!$M:$M,MATCH($A490,'2024_25'!$A:$A,0))/INDEX('2024_25'!$G:$G,MATCH($A490,'2024_25'!$A:$A,0))*90,"")</f>
        <v/>
      </c>
      <c r="AA490" t="str">
        <f>IFERROR(INDEX('2025_26'!$M:$M,MATCH($A490,'2025_26'!$A:$A,0))/INDEX('2025_26'!$G:$G,MATCH($A490,'2025_26'!$A:$A,0))*90,"")</f>
        <v/>
      </c>
      <c r="AB490" t="str">
        <f>IFERROR(SUMPRODUCT(S490:U490,{0.2,0.3,0.5})/SUMPRODUCT(--(S490:U490&lt;&gt;""),{0.2,0.3,0.5}),"")</f>
        <v/>
      </c>
      <c r="AC490" t="str">
        <f>IFERROR(SUMPRODUCT(V490:X490,{0.2,0.3,0.5})/SUMPRODUCT(--(V490:X490&lt;&gt;""),{0.2,0.3,0.5}),"")</f>
        <v/>
      </c>
      <c r="AD490">
        <f>IFERROR(SUMPRODUCT(Y490:AA490,{0.2,0.3,0.5})/SUMPRODUCT((Y490:AA490&lt;&gt;"")*{0.2,0.3,0.5}),O490)</f>
        <v>90</v>
      </c>
      <c r="AE490">
        <f t="shared" si="187"/>
        <v>0</v>
      </c>
      <c r="AF490" t="str">
        <f t="shared" si="188"/>
        <v/>
      </c>
      <c r="AG490">
        <f t="shared" si="189"/>
        <v>0</v>
      </c>
      <c r="AH490">
        <f t="shared" si="190"/>
        <v>0</v>
      </c>
      <c r="AI490" s="2">
        <f t="shared" si="191"/>
        <v>90</v>
      </c>
      <c r="AJ490">
        <f t="shared" si="192"/>
        <v>3.3333333333333335E-3</v>
      </c>
      <c r="AK490" t="str">
        <f t="shared" si="193"/>
        <v>YES</v>
      </c>
      <c r="AL490">
        <f t="shared" si="194"/>
        <v>0</v>
      </c>
      <c r="AM490">
        <f t="shared" si="195"/>
        <v>0</v>
      </c>
      <c r="AN490">
        <f t="shared" si="196"/>
        <v>0</v>
      </c>
      <c r="AO490">
        <f t="shared" si="197"/>
        <v>0</v>
      </c>
      <c r="AP490">
        <f t="array" ref="AP490">AL490*IF($C490="GKP",10,IF($C490="DEF",6,IF($C490="MID",5,4)))</f>
        <v>0</v>
      </c>
      <c r="AQ490">
        <f t="shared" si="198"/>
        <v>0</v>
      </c>
      <c r="AR490">
        <f t="shared" si="199"/>
        <v>0</v>
      </c>
      <c r="AS490" s="2">
        <f>IF($H490=0,0,Player_Analysis!$AM490*$H490/90)</f>
        <v>0</v>
      </c>
      <c r="AT490">
        <f t="shared" si="200"/>
        <v>0</v>
      </c>
      <c r="AU490" s="2">
        <f>0</f>
        <v>0</v>
      </c>
      <c r="AV490" s="2">
        <f>IF(INDEX(FPL_Raw_Data!K:K,MATCH(A490,FPL_Raw_Data!AA:AA,0))=0,"",INDEX(FPL_Raw_Data!P:P,MATCH(A490,FPL_Raw_Data!AA:AA,0))/INDEX(FPL_Raw_Data!K:K,MATCH(A490,FPL_Raw_Data!AA:AA,0))*90)</f>
        <v>0</v>
      </c>
      <c r="AW490" s="2">
        <f t="shared" si="201"/>
        <v>0</v>
      </c>
      <c r="AX490" s="2">
        <f>IFERROR(INDEX(TEAM_ANALYSIS!$H$2:$H$21,MATCH($B490,TEAM_ANALYSIS!$A$2:$A$21,0)),0)</f>
        <v>0.66666666666666663</v>
      </c>
      <c r="AY490" s="2">
        <f t="shared" si="202"/>
        <v>-0.33333333333333331</v>
      </c>
      <c r="AZ490" s="2">
        <f t="shared" si="203"/>
        <v>-0.33333333333333331</v>
      </c>
      <c r="BA490">
        <f t="shared" si="204"/>
        <v>-8.3333333333333329E-2</v>
      </c>
      <c r="BB490">
        <f>IFERROR(Player_Analysis!$Y490,1)</f>
        <v>1.1338276422764224</v>
      </c>
      <c r="BC490">
        <f t="shared" si="205"/>
        <v>-0.37794254742547412</v>
      </c>
      <c r="BD490">
        <f t="shared" si="206"/>
        <v>3.1495212285456174E-2</v>
      </c>
      <c r="BE490">
        <f t="shared" si="207"/>
        <v>-0.37794254742547412</v>
      </c>
      <c r="BF490">
        <f t="shared" si="208"/>
        <v>517</v>
      </c>
      <c r="BG490">
        <f>IF($BE490="","",COUNTIFS($C$2:$C$596,$C490,$BE$2:$BE$596,"&gt;"&amp;$BE490)+COUNTIFS($C$2:$C490,$C490,$BE$2:$BE490,$BE490))</f>
        <v>118</v>
      </c>
    </row>
    <row r="491" spans="1:59" x14ac:dyDescent="0.25">
      <c r="A491" t="str">
        <f>Player_Analysis!A491</f>
        <v>Allan Andrade Elias</v>
      </c>
      <c r="B491">
        <f>Player_Analysis!C491</f>
        <v>15</v>
      </c>
      <c r="C491" t="str">
        <f>Player_Analysis!B491</f>
        <v>MID</v>
      </c>
      <c r="D491" s="13">
        <f>Player_Analysis!E491</f>
        <v>6</v>
      </c>
      <c r="E491">
        <f>Player_Analysis!I491</f>
        <v>0</v>
      </c>
      <c r="F491" s="8">
        <f>Player_Analysis!Z491</f>
        <v>0</v>
      </c>
      <c r="G491" s="17">
        <f t="shared" si="183"/>
        <v>0</v>
      </c>
      <c r="H491">
        <f t="shared" si="184"/>
        <v>0</v>
      </c>
      <c r="I491" s="8">
        <f>Player_Analysis!AF491</f>
        <v>0</v>
      </c>
      <c r="J491" s="8">
        <f>Player_Analysis!AG491</f>
        <v>0</v>
      </c>
      <c r="K491">
        <f>Player_Analysis!O491</f>
        <v>0</v>
      </c>
      <c r="L491">
        <f>Player_Analysis!P491</f>
        <v>0</v>
      </c>
      <c r="M491" t="str">
        <f t="shared" si="185"/>
        <v/>
      </c>
      <c r="N491" t="str">
        <f t="shared" si="186"/>
        <v/>
      </c>
      <c r="O491" s="2" t="str">
        <f>IF(E491=0,"",Player_Analysis!L491/E491*90)</f>
        <v/>
      </c>
      <c r="P491" t="str">
        <f>IF(E491=0,"",Player_Analysis!Q491/E491*90)</f>
        <v/>
      </c>
      <c r="Q491" t="str">
        <f>IF(E491=0,"",(Player_Analysis!AD491/E491)*90)</f>
        <v/>
      </c>
      <c r="R491" t="str">
        <f>IF(E491=0,"",Player_Analysis!AA491/E491*90)</f>
        <v/>
      </c>
      <c r="S491" t="str">
        <f t="array" ref="S491">IFERROR(INDEX('2023_24'!$O:$O,MATCH($A491,'2023_24'!$A:$A,0)),"")</f>
        <v/>
      </c>
      <c r="T491" t="str">
        <f>IFERROR(INDEX('2024_25'!$P:$P,MATCH($A491,'2024_25'!$A:$A,0)),"")</f>
        <v/>
      </c>
      <c r="U491" t="str">
        <f>IFERROR(INDEX('2025_26'!$P:$P,MATCH($A491,'2025_26'!$A:$A,0)),"")</f>
        <v/>
      </c>
      <c r="V491" t="str">
        <f>IFERROR(INDEX('2023_24'!$P:$P,MATCH($A491,'2023_24'!$A:$A,0)),"")</f>
        <v/>
      </c>
      <c r="W491" t="str">
        <f>IFERROR(INDEX('2024_25'!$Q:$Q,MATCH($A491,'2024_25'!$A:$A,0)),"")</f>
        <v/>
      </c>
      <c r="X491" t="str">
        <f>IFERROR(INDEX('2025_26'!$Q:$Q,MATCH($A491,'2025_26'!$A:$A,0)),"")</f>
        <v/>
      </c>
      <c r="Y491" t="str">
        <f>IFERROR(INDEX('2023_24'!$M:$M,MATCH($A491,'2023_24'!$A:$A,0))/INDEX('2023_24'!$G:$G,MATCH($A491,'2023_24'!$A:$A,0))*90,"")</f>
        <v/>
      </c>
      <c r="Z491" t="str">
        <f>IFERROR(INDEX('2024_25'!$M:$M,MATCH($A491,'2024_25'!$A:$A,0))/INDEX('2024_25'!$G:$G,MATCH($A491,'2024_25'!$A:$A,0))*90,"")</f>
        <v/>
      </c>
      <c r="AA491" t="str">
        <f>IFERROR(INDEX('2025_26'!$M:$M,MATCH($A491,'2025_26'!$A:$A,0))/INDEX('2025_26'!$G:$G,MATCH($A491,'2025_26'!$A:$A,0))*90,"")</f>
        <v/>
      </c>
      <c r="AB491" t="str">
        <f>IFERROR(SUMPRODUCT(S491:U491,{0.2,0.3,0.5})/SUMPRODUCT(--(S491:U491&lt;&gt;""),{0.2,0.3,0.5}),"")</f>
        <v/>
      </c>
      <c r="AC491" t="str">
        <f>IFERROR(SUMPRODUCT(V491:X491,{0.2,0.3,0.5})/SUMPRODUCT(--(V491:X491&lt;&gt;""),{0.2,0.3,0.5}),"")</f>
        <v/>
      </c>
      <c r="AD491" t="str">
        <f>IFERROR(SUMPRODUCT(Y491:AA491,{0.2,0.3,0.5})/SUMPRODUCT((Y491:AA491&lt;&gt;"")*{0.2,0.3,0.5}),O491)</f>
        <v/>
      </c>
      <c r="AE491">
        <f t="shared" si="187"/>
        <v>0</v>
      </c>
      <c r="AF491" t="str">
        <f t="shared" si="188"/>
        <v/>
      </c>
      <c r="AG491">
        <f t="shared" si="189"/>
        <v>0</v>
      </c>
      <c r="AH491">
        <f t="shared" si="190"/>
        <v>0</v>
      </c>
      <c r="AI491" s="2">
        <f t="shared" si="191"/>
        <v>0</v>
      </c>
      <c r="AJ491">
        <f t="shared" si="192"/>
        <v>0</v>
      </c>
      <c r="AK491" t="str">
        <f t="shared" si="193"/>
        <v>YES</v>
      </c>
      <c r="AL491">
        <f t="shared" si="194"/>
        <v>0</v>
      </c>
      <c r="AM491">
        <f t="shared" si="195"/>
        <v>0</v>
      </c>
      <c r="AN491">
        <f t="shared" si="196"/>
        <v>0</v>
      </c>
      <c r="AO491">
        <f t="shared" si="197"/>
        <v>0</v>
      </c>
      <c r="AP491">
        <f t="array" ref="AP491">AL491*IF($C491="GKP",10,IF($C491="DEF",6,IF($C491="MID",5,4)))</f>
        <v>0</v>
      </c>
      <c r="AQ491">
        <f t="shared" si="198"/>
        <v>0</v>
      </c>
      <c r="AR491">
        <f t="shared" si="199"/>
        <v>0</v>
      </c>
      <c r="AS491" s="2">
        <f>IF($H491=0,0,Player_Analysis!$AM491*$H491/90)</f>
        <v>0</v>
      </c>
      <c r="AT491">
        <f t="shared" si="200"/>
        <v>0</v>
      </c>
      <c r="AU491" s="2">
        <f>0</f>
        <v>0</v>
      </c>
      <c r="AV491" s="2" t="str">
        <f>IF(INDEX(FPL_Raw_Data!K:K,MATCH(A491,FPL_Raw_Data!AA:AA,0))=0,"",INDEX(FPL_Raw_Data!P:P,MATCH(A491,FPL_Raw_Data!AA:AA,0))/INDEX(FPL_Raw_Data!K:K,MATCH(A491,FPL_Raw_Data!AA:AA,0))*90)</f>
        <v/>
      </c>
      <c r="AW491" s="2">
        <f t="shared" si="201"/>
        <v>0</v>
      </c>
      <c r="AX491" s="2">
        <f>IFERROR(INDEX(TEAM_ANALYSIS!$H$2:$H$21,MATCH($B491,TEAM_ANALYSIS!$A$2:$A$21,0)),0)</f>
        <v>0.66666666666666663</v>
      </c>
      <c r="AY491" s="2">
        <f t="shared" si="202"/>
        <v>0</v>
      </c>
      <c r="AZ491" s="2">
        <f t="shared" si="203"/>
        <v>0</v>
      </c>
      <c r="BA491">
        <f t="shared" si="204"/>
        <v>0</v>
      </c>
      <c r="BB491">
        <f>IFERROR(Player_Analysis!$Y491,1)</f>
        <v>1.1822231833910033</v>
      </c>
      <c r="BC491">
        <f t="shared" si="205"/>
        <v>0</v>
      </c>
      <c r="BD491">
        <f t="shared" si="206"/>
        <v>0</v>
      </c>
      <c r="BE491">
        <f t="shared" si="207"/>
        <v>0</v>
      </c>
      <c r="BF491">
        <f t="shared" si="208"/>
        <v>253</v>
      </c>
      <c r="BG491">
        <f>IF($BE491="","",COUNTIFS($C$2:$C$596,$C491,$BE$2:$BE$596,"&gt;"&amp;$BE491)+COUNTIFS($C$2:$C491,$C491,$BE$2:$BE491,$BE491))</f>
        <v>243</v>
      </c>
    </row>
    <row r="492" spans="1:59" x14ac:dyDescent="0.25">
      <c r="A492" t="str">
        <f>Player_Analysis!A492</f>
        <v>Floyd Samba</v>
      </c>
      <c r="B492">
        <f>Player_Analysis!C492</f>
        <v>15</v>
      </c>
      <c r="C492" t="str">
        <f>Player_Analysis!B492</f>
        <v>MID</v>
      </c>
      <c r="D492" s="13">
        <f>Player_Analysis!E492</f>
        <v>4.5</v>
      </c>
      <c r="E492">
        <f>Player_Analysis!I492</f>
        <v>0</v>
      </c>
      <c r="F492" s="8">
        <f>Player_Analysis!Z492</f>
        <v>0</v>
      </c>
      <c r="G492" s="17">
        <f t="shared" si="183"/>
        <v>0</v>
      </c>
      <c r="H492">
        <f t="shared" si="184"/>
        <v>0</v>
      </c>
      <c r="I492" s="8">
        <f>Player_Analysis!AF492</f>
        <v>0</v>
      </c>
      <c r="J492" s="8">
        <f>Player_Analysis!AG492</f>
        <v>0</v>
      </c>
      <c r="K492">
        <f>Player_Analysis!O492</f>
        <v>0</v>
      </c>
      <c r="L492">
        <f>Player_Analysis!P492</f>
        <v>0</v>
      </c>
      <c r="M492" t="str">
        <f t="shared" si="185"/>
        <v/>
      </c>
      <c r="N492" t="str">
        <f t="shared" si="186"/>
        <v/>
      </c>
      <c r="O492" s="2" t="str">
        <f>IF(E492=0,"",Player_Analysis!L492/E492*90)</f>
        <v/>
      </c>
      <c r="P492" t="str">
        <f>IF(E492=0,"",Player_Analysis!Q492/E492*90)</f>
        <v/>
      </c>
      <c r="Q492" t="str">
        <f>IF(E492=0,"",(Player_Analysis!AD492/E492)*90)</f>
        <v/>
      </c>
      <c r="R492" t="str">
        <f>IF(E492=0,"",Player_Analysis!AA492/E492*90)</f>
        <v/>
      </c>
      <c r="S492" t="str">
        <f t="array" ref="S492">IFERROR(INDEX('2023_24'!$O:$O,MATCH($A492,'2023_24'!$A:$A,0)),"")</f>
        <v/>
      </c>
      <c r="T492" t="str">
        <f>IFERROR(INDEX('2024_25'!$P:$P,MATCH($A492,'2024_25'!$A:$A,0)),"")</f>
        <v/>
      </c>
      <c r="U492" t="str">
        <f>IFERROR(INDEX('2025_26'!$P:$P,MATCH($A492,'2025_26'!$A:$A,0)),"")</f>
        <v/>
      </c>
      <c r="V492" t="str">
        <f>IFERROR(INDEX('2023_24'!$P:$P,MATCH($A492,'2023_24'!$A:$A,0)),"")</f>
        <v/>
      </c>
      <c r="W492" t="str">
        <f>IFERROR(INDEX('2024_25'!$Q:$Q,MATCH($A492,'2024_25'!$A:$A,0)),"")</f>
        <v/>
      </c>
      <c r="X492" t="str">
        <f>IFERROR(INDEX('2025_26'!$Q:$Q,MATCH($A492,'2025_26'!$A:$A,0)),"")</f>
        <v/>
      </c>
      <c r="Y492" t="str">
        <f>IFERROR(INDEX('2023_24'!$M:$M,MATCH($A492,'2023_24'!$A:$A,0))/INDEX('2023_24'!$G:$G,MATCH($A492,'2023_24'!$A:$A,0))*90,"")</f>
        <v/>
      </c>
      <c r="Z492" t="str">
        <f>IFERROR(INDEX('2024_25'!$M:$M,MATCH($A492,'2024_25'!$A:$A,0))/INDEX('2024_25'!$G:$G,MATCH($A492,'2024_25'!$A:$A,0))*90,"")</f>
        <v/>
      </c>
      <c r="AA492" t="str">
        <f>IFERROR(INDEX('2025_26'!$M:$M,MATCH($A492,'2025_26'!$A:$A,0))/INDEX('2025_26'!$G:$G,MATCH($A492,'2025_26'!$A:$A,0))*90,"")</f>
        <v/>
      </c>
      <c r="AB492" t="str">
        <f>IFERROR(SUMPRODUCT(S492:U492,{0.2,0.3,0.5})/SUMPRODUCT(--(S492:U492&lt;&gt;""),{0.2,0.3,0.5}),"")</f>
        <v/>
      </c>
      <c r="AC492" t="str">
        <f>IFERROR(SUMPRODUCT(V492:X492,{0.2,0.3,0.5})/SUMPRODUCT(--(V492:X492&lt;&gt;""),{0.2,0.3,0.5}),"")</f>
        <v/>
      </c>
      <c r="AD492" t="str">
        <f>IFERROR(SUMPRODUCT(Y492:AA492,{0.2,0.3,0.5})/SUMPRODUCT((Y492:AA492&lt;&gt;"")*{0.2,0.3,0.5}),O492)</f>
        <v/>
      </c>
      <c r="AE492">
        <f t="shared" si="187"/>
        <v>0</v>
      </c>
      <c r="AF492" t="str">
        <f t="shared" si="188"/>
        <v/>
      </c>
      <c r="AG492">
        <f t="shared" si="189"/>
        <v>0</v>
      </c>
      <c r="AH492">
        <f t="shared" si="190"/>
        <v>0</v>
      </c>
      <c r="AI492" s="2">
        <f t="shared" si="191"/>
        <v>0</v>
      </c>
      <c r="AJ492">
        <f t="shared" si="192"/>
        <v>0</v>
      </c>
      <c r="AK492" t="str">
        <f t="shared" si="193"/>
        <v>YES</v>
      </c>
      <c r="AL492">
        <f t="shared" si="194"/>
        <v>0</v>
      </c>
      <c r="AM492">
        <f t="shared" si="195"/>
        <v>0</v>
      </c>
      <c r="AN492">
        <f t="shared" si="196"/>
        <v>0</v>
      </c>
      <c r="AO492">
        <f t="shared" si="197"/>
        <v>0</v>
      </c>
      <c r="AP492">
        <f t="array" ref="AP492">AL492*IF($C492="GKP",10,IF($C492="DEF",6,IF($C492="MID",5,4)))</f>
        <v>0</v>
      </c>
      <c r="AQ492">
        <f t="shared" si="198"/>
        <v>0</v>
      </c>
      <c r="AR492">
        <f t="shared" si="199"/>
        <v>0</v>
      </c>
      <c r="AS492" s="2">
        <f>IF($H492=0,0,Player_Analysis!$AM492*$H492/90)</f>
        <v>0</v>
      </c>
      <c r="AT492">
        <f t="shared" si="200"/>
        <v>0</v>
      </c>
      <c r="AU492" s="2">
        <f>0</f>
        <v>0</v>
      </c>
      <c r="AV492" s="2" t="str">
        <f>IF(INDEX(FPL_Raw_Data!K:K,MATCH(A492,FPL_Raw_Data!AA:AA,0))=0,"",INDEX(FPL_Raw_Data!P:P,MATCH(A492,FPL_Raw_Data!AA:AA,0))/INDEX(FPL_Raw_Data!K:K,MATCH(A492,FPL_Raw_Data!AA:AA,0))*90)</f>
        <v/>
      </c>
      <c r="AW492" s="2">
        <f t="shared" si="201"/>
        <v>0</v>
      </c>
      <c r="AX492" s="2">
        <f>IFERROR(INDEX(TEAM_ANALYSIS!$H$2:$H$21,MATCH($B492,TEAM_ANALYSIS!$A$2:$A$21,0)),0)</f>
        <v>0.66666666666666663</v>
      </c>
      <c r="AY492" s="2">
        <f t="shared" si="202"/>
        <v>0</v>
      </c>
      <c r="AZ492" s="2">
        <f t="shared" si="203"/>
        <v>0</v>
      </c>
      <c r="BA492">
        <f t="shared" si="204"/>
        <v>0</v>
      </c>
      <c r="BB492">
        <f>IFERROR(Player_Analysis!$Y492,1)</f>
        <v>1.1822231833910033</v>
      </c>
      <c r="BC492">
        <f t="shared" si="205"/>
        <v>0</v>
      </c>
      <c r="BD492">
        <f t="shared" si="206"/>
        <v>0</v>
      </c>
      <c r="BE492">
        <f t="shared" si="207"/>
        <v>0</v>
      </c>
      <c r="BF492">
        <f t="shared" si="208"/>
        <v>253</v>
      </c>
      <c r="BG492">
        <f>IF($BE492="","",COUNTIFS($C$2:$C$596,$C492,$BE$2:$BE$596,"&gt;"&amp;$BE492)+COUNTIFS($C$2:$C492,$C492,$BE$2:$BE492,$BE492))</f>
        <v>244</v>
      </c>
    </row>
    <row r="493" spans="1:59" x14ac:dyDescent="0.25">
      <c r="A493" t="str">
        <f>Player_Analysis!A493</f>
        <v>Youri Tielemans</v>
      </c>
      <c r="B493">
        <f>Player_Analysis!C493</f>
        <v>16</v>
      </c>
      <c r="C493" t="str">
        <f>Player_Analysis!B493</f>
        <v>MID</v>
      </c>
      <c r="D493" s="13">
        <f>Player_Analysis!E493</f>
        <v>5.9</v>
      </c>
      <c r="E493">
        <f>Player_Analysis!I493</f>
        <v>246</v>
      </c>
      <c r="F493" s="8">
        <f>Player_Analysis!Z493</f>
        <v>3</v>
      </c>
      <c r="G493" s="17">
        <f t="shared" si="183"/>
        <v>1</v>
      </c>
      <c r="H493">
        <f t="shared" si="184"/>
        <v>90</v>
      </c>
      <c r="I493" s="8">
        <f>Player_Analysis!AF493</f>
        <v>0</v>
      </c>
      <c r="J493" s="8">
        <f>Player_Analysis!AG493</f>
        <v>0</v>
      </c>
      <c r="K493">
        <f>Player_Analysis!O493</f>
        <v>0.56000000000000005</v>
      </c>
      <c r="L493">
        <f>Player_Analysis!P493</f>
        <v>0.28000000000000003</v>
      </c>
      <c r="M493">
        <f t="shared" si="185"/>
        <v>0.20487804878048785</v>
      </c>
      <c r="N493">
        <f t="shared" si="186"/>
        <v>0.10243902439024392</v>
      </c>
      <c r="O493" s="2">
        <f>IF(E493=0,"",Player_Analysis!L493/E493*90)</f>
        <v>2.9268292682926833</v>
      </c>
      <c r="P493">
        <f>IF(E493=0,"",Player_Analysis!Q493/E493*90)</f>
        <v>0.3073170731707317</v>
      </c>
      <c r="Q493">
        <f>IF(E493=0,"",(Player_Analysis!AD493/E493)*90)</f>
        <v>20.487804878048781</v>
      </c>
      <c r="R493">
        <f>IF(E493=0,"",Player_Analysis!AA493/E493*90)</f>
        <v>9.1463414634146343</v>
      </c>
      <c r="S493">
        <f t="array" ref="S493">IFERROR(INDEX('2023_24'!$O:$O,MATCH($A493,'2023_24'!$A:$A,0)),"")</f>
        <v>6.9187848729076254E-2</v>
      </c>
      <c r="T493">
        <f>IFERROR(INDEX('2024_25'!$P:$P,MATCH($A493,'2024_25'!$A:$A,0)),"")</f>
        <v>9.8479338842975203E-2</v>
      </c>
      <c r="U493">
        <f>IFERROR(INDEX('2025_26'!$P:$P,MATCH($A493,'2025_26'!$A:$A,0)),"")</f>
        <v>5.525040387722132E-2</v>
      </c>
      <c r="V493">
        <f>IFERROR(INDEX('2023_24'!$P:$P,MATCH($A493,'2023_24'!$A:$A,0)),"")</f>
        <v>0.11047737135771854</v>
      </c>
      <c r="W493">
        <f>IFERROR(INDEX('2024_25'!$Q:$Q,MATCH($A493,'2024_25'!$A:$A,0)),"")</f>
        <v>0.17345454545454547</v>
      </c>
      <c r="X493">
        <f>IFERROR(INDEX('2025_26'!$Q:$Q,MATCH($A493,'2025_26'!$A:$A,0)),"")</f>
        <v>0.15799676898222939</v>
      </c>
      <c r="Y493">
        <f>IFERROR(INDEX('2023_24'!$M:$M,MATCH($A493,'2023_24'!$A:$A,0))/INDEX('2023_24'!$G:$G,MATCH($A493,'2023_24'!$A:$A,0))*90,"")</f>
        <v>4.2963422194668324</v>
      </c>
      <c r="Z493">
        <f>IFERROR(INDEX('2024_25'!$M:$M,MATCH($A493,'2024_25'!$A:$A,0))/INDEX('2024_25'!$G:$G,MATCH($A493,'2024_25'!$A:$A,0))*90,"")</f>
        <v>3.6</v>
      </c>
      <c r="AA493">
        <f>IFERROR(INDEX('2025_26'!$M:$M,MATCH($A493,'2025_26'!$A:$A,0))/INDEX('2025_26'!$G:$G,MATCH($A493,'2025_26'!$A:$A,0))*90,"")</f>
        <v>3.2956381260096932</v>
      </c>
      <c r="AB493">
        <f>IFERROR(SUMPRODUCT(S493:U493,{0.2,0.3,0.5})/SUMPRODUCT(--(S493:U493&lt;&gt;""),{0.2,0.3,0.5}),"")</f>
        <v>7.1006573337318468E-2</v>
      </c>
      <c r="AC493">
        <f>IFERROR(SUMPRODUCT(V493:X493,{0.2,0.3,0.5})/SUMPRODUCT(--(V493:X493&lt;&gt;""),{0.2,0.3,0.5}),"")</f>
        <v>0.15313022239902202</v>
      </c>
      <c r="AD493">
        <f>IFERROR(SUMPRODUCT(Y493:AA493,{0.2,0.3,0.5})/SUMPRODUCT((Y493:AA493&lt;&gt;"")*{0.2,0.3,0.5}),O493)</f>
        <v>3.5870875068982135</v>
      </c>
      <c r="AE493">
        <f t="shared" si="187"/>
        <v>3</v>
      </c>
      <c r="AF493">
        <f t="shared" si="188"/>
        <v>82</v>
      </c>
      <c r="AG493">
        <f t="shared" si="189"/>
        <v>0.18078118320071737</v>
      </c>
      <c r="AH493">
        <f t="shared" si="190"/>
        <v>0.11156344003182399</v>
      </c>
      <c r="AI493" s="2">
        <f t="shared" si="191"/>
        <v>3.0456757512416788</v>
      </c>
      <c r="AJ493">
        <f t="shared" si="192"/>
        <v>0.82</v>
      </c>
      <c r="AK493" t="str">
        <f t="shared" si="193"/>
        <v>NO</v>
      </c>
      <c r="AL493">
        <f t="shared" si="194"/>
        <v>0.18078118320071737</v>
      </c>
      <c r="AM493">
        <f t="shared" si="195"/>
        <v>0.11156344003182397</v>
      </c>
      <c r="AN493">
        <f t="shared" si="196"/>
        <v>0.18078118320071737</v>
      </c>
      <c r="AO493">
        <f t="shared" si="197"/>
        <v>0.11156344003182397</v>
      </c>
      <c r="AP493">
        <f t="array" ref="AP493">AL493*IF($C493="GKP",10,IF($C493="DEF",6,IF($C493="MID",5,4)))</f>
        <v>0.90390591600358683</v>
      </c>
      <c r="AQ493">
        <f t="shared" si="198"/>
        <v>0.33469032009547195</v>
      </c>
      <c r="AR493">
        <f t="shared" si="199"/>
        <v>2</v>
      </c>
      <c r="AS493" s="2">
        <f>IF($H493=0,0,Player_Analysis!$AM493*$H493/90)</f>
        <v>0</v>
      </c>
      <c r="AT493">
        <f t="shared" si="200"/>
        <v>1.524390243902439</v>
      </c>
      <c r="AU493" s="2">
        <f>0</f>
        <v>0</v>
      </c>
      <c r="AV493" s="2">
        <f>IF(INDEX(FPL_Raw_Data!K:K,MATCH(A493,FPL_Raw_Data!AA:AA,0))=0,"",INDEX(FPL_Raw_Data!P:P,MATCH(A493,FPL_Raw_Data!AA:AA,0))/INDEX(FPL_Raw_Data!K:K,MATCH(A493,FPL_Raw_Data!AA:AA,0))*90)</f>
        <v>0</v>
      </c>
      <c r="AW493" s="2">
        <f t="shared" si="201"/>
        <v>0</v>
      </c>
      <c r="AX493" s="2">
        <f>IFERROR(INDEX(TEAM_ANALYSIS!$H$2:$H$21,MATCH($B493,TEAM_ANALYSIS!$A$2:$A$21,0)),0)</f>
        <v>2</v>
      </c>
      <c r="AY493" s="2">
        <f t="shared" si="202"/>
        <v>0</v>
      </c>
      <c r="AZ493" s="2">
        <f t="shared" si="203"/>
        <v>4.7629864800014978</v>
      </c>
      <c r="BA493">
        <f t="shared" si="204"/>
        <v>0.80728584406805048</v>
      </c>
      <c r="BB493">
        <f>IFERROR(Player_Analysis!$Y493,1)</f>
        <v>1.0979325259515571</v>
      </c>
      <c r="BC493">
        <f t="shared" si="205"/>
        <v>5.2294377770611602</v>
      </c>
      <c r="BD493">
        <f t="shared" si="206"/>
        <v>4.2216510898561683</v>
      </c>
      <c r="BE493">
        <f t="shared" si="207"/>
        <v>5.2294377770611602</v>
      </c>
      <c r="BF493">
        <f t="shared" si="208"/>
        <v>81</v>
      </c>
      <c r="BG493">
        <f>IF($BE493="","",COUNTIFS($C$2:$C$596,$C493,$BE$2:$BE$596,"&gt;"&amp;$BE493)+COUNTIFS($C$2:$C493,$C493,$BE$2:$BE493,$BE493))</f>
        <v>38</v>
      </c>
    </row>
    <row r="494" spans="1:59" x14ac:dyDescent="0.25">
      <c r="A494" t="str">
        <f>Player_Analysis!A494</f>
        <v>Carlos Baleba</v>
      </c>
      <c r="B494">
        <f>Player_Analysis!C494</f>
        <v>16</v>
      </c>
      <c r="C494" t="str">
        <f>Player_Analysis!B494</f>
        <v>MID</v>
      </c>
      <c r="D494" s="13">
        <f>Player_Analysis!E494</f>
        <v>5</v>
      </c>
      <c r="E494">
        <f>Player_Analysis!I494</f>
        <v>0</v>
      </c>
      <c r="F494" s="8">
        <f>Player_Analysis!Z494</f>
        <v>0</v>
      </c>
      <c r="G494" s="17">
        <f t="shared" si="183"/>
        <v>0</v>
      </c>
      <c r="H494">
        <f t="shared" si="184"/>
        <v>0</v>
      </c>
      <c r="I494" s="8">
        <f>Player_Analysis!AF494</f>
        <v>0</v>
      </c>
      <c r="J494" s="8">
        <f>Player_Analysis!AG494</f>
        <v>0</v>
      </c>
      <c r="K494">
        <f>Player_Analysis!O494</f>
        <v>0</v>
      </c>
      <c r="L494">
        <f>Player_Analysis!P494</f>
        <v>0</v>
      </c>
      <c r="M494" t="str">
        <f t="shared" si="185"/>
        <v/>
      </c>
      <c r="N494" t="str">
        <f t="shared" si="186"/>
        <v/>
      </c>
      <c r="O494" s="2" t="str">
        <f>IF(E494=0,"",Player_Analysis!L494/E494*90)</f>
        <v/>
      </c>
      <c r="P494" t="str">
        <f>IF(E494=0,"",Player_Analysis!Q494/E494*90)</f>
        <v/>
      </c>
      <c r="Q494" t="str">
        <f>IF(E494=0,"",(Player_Analysis!AD494/E494)*90)</f>
        <v/>
      </c>
      <c r="R494" t="str">
        <f>IF(E494=0,"",Player_Analysis!AA494/E494*90)</f>
        <v/>
      </c>
      <c r="S494">
        <f t="array" ref="S494">IFERROR(INDEX('2023_24'!$O:$O,MATCH($A494,'2023_24'!$A:$A,0)),"")</f>
        <v>5.8219178082191785E-2</v>
      </c>
      <c r="T494">
        <f>IFERROR(INDEX('2024_25'!$P:$P,MATCH($A494,'2024_25'!$A:$A,0)),"")</f>
        <v>0.10488721804511278</v>
      </c>
      <c r="U494">
        <f>IFERROR(INDEX('2025_26'!$P:$P,MATCH($A494,'2025_26'!$A:$A,0)),"")</f>
        <v>4.2648845686512754E-2</v>
      </c>
      <c r="V494">
        <f>IFERROR(INDEX('2023_24'!$P:$P,MATCH($A494,'2023_24'!$A:$A,0)),"")</f>
        <v>1.6438356164383564E-2</v>
      </c>
      <c r="W494">
        <f>IFERROR(INDEX('2024_25'!$Q:$Q,MATCH($A494,'2024_25'!$A:$A,0)),"")</f>
        <v>4.0939849624060151E-2</v>
      </c>
      <c r="X494">
        <f>IFERROR(INDEX('2025_26'!$Q:$Q,MATCH($A494,'2025_26'!$A:$A,0)),"")</f>
        <v>3.9368165249088698E-2</v>
      </c>
      <c r="Y494">
        <f>IFERROR(INDEX('2023_24'!$M:$M,MATCH($A494,'2023_24'!$A:$A,0))/INDEX('2023_24'!$G:$G,MATCH($A494,'2023_24'!$A:$A,0))*90,"")</f>
        <v>2.3287671232876712</v>
      </c>
      <c r="Z494">
        <f>IFERROR(INDEX('2024_25'!$M:$M,MATCH($A494,'2024_25'!$A:$A,0))/INDEX('2024_25'!$G:$G,MATCH($A494,'2024_25'!$A:$A,0))*90,"")</f>
        <v>2.9436090225563909</v>
      </c>
      <c r="AA494">
        <f>IFERROR(INDEX('2025_26'!$M:$M,MATCH($A494,'2025_26'!$A:$A,0))/INDEX('2025_26'!$G:$G,MATCH($A494,'2025_26'!$A:$A,0))*90,"")</f>
        <v>3.0619684082624543</v>
      </c>
      <c r="AB494">
        <f>IFERROR(SUMPRODUCT(S494:U494,{0.2,0.3,0.5})/SUMPRODUCT(--(S494:U494&lt;&gt;""),{0.2,0.3,0.5}),"")</f>
        <v>6.4434423873228563E-2</v>
      </c>
      <c r="AC494">
        <f>IFERROR(SUMPRODUCT(V494:X494,{0.2,0.3,0.5})/SUMPRODUCT(--(V494:X494&lt;&gt;""),{0.2,0.3,0.5}),"")</f>
        <v>3.5253708744639109E-2</v>
      </c>
      <c r="AD494">
        <f>IFERROR(SUMPRODUCT(Y494:AA494,{0.2,0.3,0.5})/SUMPRODUCT((Y494:AA494&lt;&gt;"")*{0.2,0.3,0.5}),O494)</f>
        <v>2.8798203355556788</v>
      </c>
      <c r="AE494">
        <f t="shared" si="187"/>
        <v>3</v>
      </c>
      <c r="AF494" t="str">
        <f t="shared" si="188"/>
        <v/>
      </c>
      <c r="AG494">
        <f t="shared" si="189"/>
        <v>6.4434423873228563E-2</v>
      </c>
      <c r="AH494">
        <f t="shared" si="190"/>
        <v>3.5253708744639109E-2</v>
      </c>
      <c r="AI494" s="2">
        <f t="shared" si="191"/>
        <v>2.8798203355556788</v>
      </c>
      <c r="AJ494">
        <f t="shared" si="192"/>
        <v>0</v>
      </c>
      <c r="AK494" t="str">
        <f t="shared" si="193"/>
        <v>NO</v>
      </c>
      <c r="AL494">
        <f t="shared" si="194"/>
        <v>0</v>
      </c>
      <c r="AM494">
        <f t="shared" si="195"/>
        <v>0</v>
      </c>
      <c r="AN494">
        <f t="shared" si="196"/>
        <v>0</v>
      </c>
      <c r="AO494">
        <f t="shared" si="197"/>
        <v>0</v>
      </c>
      <c r="AP494">
        <f t="array" ref="AP494">AL494*IF($C494="GKP",10,IF($C494="DEF",6,IF($C494="MID",5,4)))</f>
        <v>0</v>
      </c>
      <c r="AQ494">
        <f t="shared" si="198"/>
        <v>0</v>
      </c>
      <c r="AR494">
        <f t="shared" si="199"/>
        <v>0</v>
      </c>
      <c r="AS494" s="2">
        <f>IF($H494=0,0,Player_Analysis!$AM494*$H494/90)</f>
        <v>0</v>
      </c>
      <c r="AT494">
        <f t="shared" si="200"/>
        <v>0</v>
      </c>
      <c r="AU494" s="2">
        <f>0</f>
        <v>0</v>
      </c>
      <c r="AV494" s="2" t="str">
        <f>IF(INDEX(FPL_Raw_Data!K:K,MATCH(A494,FPL_Raw_Data!AA:AA,0))=0,"",INDEX(FPL_Raw_Data!P:P,MATCH(A494,FPL_Raw_Data!AA:AA,0))/INDEX(FPL_Raw_Data!K:K,MATCH(A494,FPL_Raw_Data!AA:AA,0))*90)</f>
        <v/>
      </c>
      <c r="AW494" s="2">
        <f t="shared" si="201"/>
        <v>0</v>
      </c>
      <c r="AX494" s="2">
        <f>IFERROR(INDEX(TEAM_ANALYSIS!$H$2:$H$21,MATCH($B494,TEAM_ANALYSIS!$A$2:$A$21,0)),0)</f>
        <v>2</v>
      </c>
      <c r="AY494" s="2">
        <f t="shared" si="202"/>
        <v>0</v>
      </c>
      <c r="AZ494" s="2">
        <f t="shared" si="203"/>
        <v>0</v>
      </c>
      <c r="BA494">
        <f t="shared" si="204"/>
        <v>0</v>
      </c>
      <c r="BB494">
        <f>IFERROR(Player_Analysis!$Y494,1)</f>
        <v>1.0979325259515571</v>
      </c>
      <c r="BC494">
        <f t="shared" si="205"/>
        <v>0</v>
      </c>
      <c r="BD494">
        <f t="shared" si="206"/>
        <v>0</v>
      </c>
      <c r="BE494">
        <f t="shared" si="207"/>
        <v>0</v>
      </c>
      <c r="BF494">
        <f t="shared" si="208"/>
        <v>253</v>
      </c>
      <c r="BG494">
        <f>IF($BE494="","",COUNTIFS($C$2:$C$596,$C494,$BE$2:$BE$596,"&gt;"&amp;$BE494)+COUNTIFS($C$2:$C494,$C494,$BE$2:$BE494,$BE494))</f>
        <v>245</v>
      </c>
    </row>
    <row r="495" spans="1:59" x14ac:dyDescent="0.25">
      <c r="A495" t="str">
        <f>Player_Analysis!A495</f>
        <v>Andrey Nascimento dos Santos</v>
      </c>
      <c r="B495">
        <f>Player_Analysis!C495</f>
        <v>16</v>
      </c>
      <c r="C495" t="str">
        <f>Player_Analysis!B495</f>
        <v>MID</v>
      </c>
      <c r="D495" s="13">
        <f>Player_Analysis!E495</f>
        <v>4.9000000000000004</v>
      </c>
      <c r="E495">
        <f>Player_Analysis!I495</f>
        <v>82</v>
      </c>
      <c r="F495" s="8">
        <f>Player_Analysis!Z495</f>
        <v>1</v>
      </c>
      <c r="G495" s="17">
        <f t="shared" si="183"/>
        <v>1</v>
      </c>
      <c r="H495">
        <f t="shared" si="184"/>
        <v>90</v>
      </c>
      <c r="I495" s="8">
        <f>Player_Analysis!AF495</f>
        <v>0</v>
      </c>
      <c r="J495" s="8">
        <f>Player_Analysis!AG495</f>
        <v>0</v>
      </c>
      <c r="K495">
        <f>Player_Analysis!O495</f>
        <v>0</v>
      </c>
      <c r="L495">
        <f>Player_Analysis!P495</f>
        <v>0.24</v>
      </c>
      <c r="M495">
        <f t="shared" si="185"/>
        <v>0</v>
      </c>
      <c r="N495">
        <f t="shared" si="186"/>
        <v>0.26341463414634148</v>
      </c>
      <c r="O495" s="2">
        <f>IF(E495=0,"",Player_Analysis!L495/E495*90)</f>
        <v>4.3902439024390247</v>
      </c>
      <c r="P495">
        <f>IF(E495=0,"",Player_Analysis!Q495/E495*90)</f>
        <v>0.26341463414634148</v>
      </c>
      <c r="Q495">
        <f>IF(E495=0,"",(Player_Analysis!AD495/E495)*90)</f>
        <v>25.243902439024392</v>
      </c>
      <c r="R495">
        <f>IF(E495=0,"",Player_Analysis!AA495/E495*90)</f>
        <v>19.756097560975611</v>
      </c>
      <c r="S495">
        <f t="array" ref="S495">IFERROR(INDEX('2023_24'!$O:$O,MATCH($A495,'2023_24'!$A:$A,0)),"")</f>
        <v>0.77142857142857146</v>
      </c>
      <c r="T495">
        <f>IFERROR(INDEX('2024_25'!$P:$P,MATCH($A495,'2024_25'!$A:$A,0)),"")</f>
        <v>0</v>
      </c>
      <c r="U495">
        <f>IFERROR(INDEX('2025_26'!$P:$P,MATCH($A495,'2025_26'!$A:$A,0)),"")</f>
        <v>0.14434643143544507</v>
      </c>
      <c r="V495">
        <f>IFERROR(INDEX('2023_24'!$P:$P,MATCH($A495,'2023_24'!$A:$A,0)),"")</f>
        <v>0</v>
      </c>
      <c r="W495">
        <f>IFERROR(INDEX('2024_25'!$Q:$Q,MATCH($A495,'2024_25'!$A:$A,0)),"")</f>
        <v>0</v>
      </c>
      <c r="X495">
        <f>IFERROR(INDEX('2025_26'!$Q:$Q,MATCH($A495,'2025_26'!$A:$A,0)),"")</f>
        <v>6.3512429831595829E-2</v>
      </c>
      <c r="Y495">
        <f>IFERROR(INDEX('2023_24'!$M:$M,MATCH($A495,'2023_24'!$A:$A,0))/INDEX('2023_24'!$G:$G,MATCH($A495,'2023_24'!$A:$A,0))*90,"")</f>
        <v>12.857142857142856</v>
      </c>
      <c r="Z495" t="str">
        <f>IFERROR(INDEX('2024_25'!$M:$M,MATCH($A495,'2024_25'!$A:$A,0))/INDEX('2024_25'!$G:$G,MATCH($A495,'2024_25'!$A:$A,0))*90,"")</f>
        <v/>
      </c>
      <c r="AA495">
        <f>IFERROR(INDEX('2025_26'!$M:$M,MATCH($A495,'2025_26'!$A:$A,0))/INDEX('2025_26'!$G:$G,MATCH($A495,'2025_26'!$A:$A,0))*90,"")</f>
        <v>3.392141138732959</v>
      </c>
      <c r="AB495">
        <f>IFERROR(SUMPRODUCT(S495:U495,{0.2,0.3,0.5})/SUMPRODUCT(--(S495:U495&lt;&gt;""),{0.2,0.3,0.5}),"")</f>
        <v>0.22645893000343684</v>
      </c>
      <c r="AC495">
        <f>IFERROR(SUMPRODUCT(V495:X495,{0.2,0.3,0.5})/SUMPRODUCT(--(V495:X495&lt;&gt;""),{0.2,0.3,0.5}),"")</f>
        <v>3.1756214915797915E-2</v>
      </c>
      <c r="AD495">
        <f>IFERROR(SUMPRODUCT(Y495:AA495,{0.2,0.3,0.5})/SUMPRODUCT((Y495:AA495&lt;&gt;"")*{0.2,0.3,0.5}),O495)</f>
        <v>6.0964273439929304</v>
      </c>
      <c r="AE495">
        <f t="shared" si="187"/>
        <v>3</v>
      </c>
      <c r="AF495">
        <f t="shared" si="188"/>
        <v>82</v>
      </c>
      <c r="AG495">
        <f t="shared" si="189"/>
        <v>0.16456015580249744</v>
      </c>
      <c r="AH495">
        <f t="shared" si="190"/>
        <v>9.5076182838813139E-2</v>
      </c>
      <c r="AI495" s="2">
        <f t="shared" si="191"/>
        <v>5.6300705366348627</v>
      </c>
      <c r="AJ495">
        <f t="shared" si="192"/>
        <v>0.27333333333333332</v>
      </c>
      <c r="AK495" t="str">
        <f t="shared" si="193"/>
        <v>NO</v>
      </c>
      <c r="AL495">
        <f t="shared" si="194"/>
        <v>0.16456015580249744</v>
      </c>
      <c r="AM495">
        <f t="shared" si="195"/>
        <v>9.5076182838813139E-2</v>
      </c>
      <c r="AN495">
        <f t="shared" si="196"/>
        <v>0.16456015580249744</v>
      </c>
      <c r="AO495">
        <f t="shared" si="197"/>
        <v>9.5076182838813139E-2</v>
      </c>
      <c r="AP495">
        <f t="array" ref="AP495">AL495*IF($C495="GKP",10,IF($C495="DEF",6,IF($C495="MID",5,4)))</f>
        <v>0.82280077901248716</v>
      </c>
      <c r="AQ495">
        <f t="shared" si="198"/>
        <v>0.28522854851643942</v>
      </c>
      <c r="AR495">
        <f t="shared" si="199"/>
        <v>2</v>
      </c>
      <c r="AS495" s="2">
        <f>IF($H495=0,0,Player_Analysis!$AM495*$H495/90)</f>
        <v>0</v>
      </c>
      <c r="AT495">
        <f t="shared" si="200"/>
        <v>3.2926829268292686</v>
      </c>
      <c r="AU495" s="2">
        <f>0</f>
        <v>0</v>
      </c>
      <c r="AV495" s="2">
        <f>IF(INDEX(FPL_Raw_Data!K:K,MATCH(A495,FPL_Raw_Data!AA:AA,0))=0,"",INDEX(FPL_Raw_Data!P:P,MATCH(A495,FPL_Raw_Data!AA:AA,0))/INDEX(FPL_Raw_Data!K:K,MATCH(A495,FPL_Raw_Data!AA:AA,0))*90)</f>
        <v>0</v>
      </c>
      <c r="AW495" s="2">
        <f t="shared" si="201"/>
        <v>0</v>
      </c>
      <c r="AX495" s="2">
        <f>IFERROR(INDEX(TEAM_ANALYSIS!$H$2:$H$21,MATCH($B495,TEAM_ANALYSIS!$A$2:$A$21,0)),0)</f>
        <v>2</v>
      </c>
      <c r="AY495" s="2">
        <f t="shared" si="202"/>
        <v>0</v>
      </c>
      <c r="AZ495" s="2">
        <f t="shared" si="203"/>
        <v>6.4007122543581954</v>
      </c>
      <c r="BA495">
        <f t="shared" si="204"/>
        <v>1.3062678070118765</v>
      </c>
      <c r="BB495">
        <f>IFERROR(Player_Analysis!$Y495,1)</f>
        <v>1.0979325259515571</v>
      </c>
      <c r="BC495">
        <f t="shared" si="205"/>
        <v>7.0275501733165786</v>
      </c>
      <c r="BD495">
        <f t="shared" si="206"/>
        <v>9.1798625535641794</v>
      </c>
      <c r="BE495">
        <f t="shared" si="207"/>
        <v>7.0275501733165786</v>
      </c>
      <c r="BF495">
        <f t="shared" si="208"/>
        <v>21</v>
      </c>
      <c r="BG495">
        <f>IF($BE495="","",COUNTIFS($C$2:$C$596,$C495,$BE$2:$BE$596,"&gt;"&amp;$BE495)+COUNTIFS($C$2:$C495,$C495,$BE$2:$BE495,$BE495))</f>
        <v>8</v>
      </c>
    </row>
    <row r="496" spans="1:59" x14ac:dyDescent="0.25">
      <c r="A496" t="str">
        <f>Player_Analysis!A496</f>
        <v>Karl Darlow</v>
      </c>
      <c r="B496">
        <f>Player_Analysis!C496</f>
        <v>16</v>
      </c>
      <c r="C496" t="str">
        <f>Player_Analysis!B496</f>
        <v>GK</v>
      </c>
      <c r="D496" s="13">
        <f>Player_Analysis!E496</f>
        <v>4.5</v>
      </c>
      <c r="E496">
        <f>Player_Analysis!I496</f>
        <v>0</v>
      </c>
      <c r="F496" s="8">
        <f>Player_Analysis!Z496</f>
        <v>0</v>
      </c>
      <c r="G496" s="17">
        <f t="shared" si="183"/>
        <v>0</v>
      </c>
      <c r="H496">
        <f t="shared" si="184"/>
        <v>0</v>
      </c>
      <c r="I496" s="8">
        <f>Player_Analysis!AF496</f>
        <v>0</v>
      </c>
      <c r="J496" s="8">
        <f>Player_Analysis!AG496</f>
        <v>0</v>
      </c>
      <c r="K496">
        <f>Player_Analysis!O496</f>
        <v>0</v>
      </c>
      <c r="L496">
        <f>Player_Analysis!P496</f>
        <v>0</v>
      </c>
      <c r="M496" t="str">
        <f t="shared" si="185"/>
        <v/>
      </c>
      <c r="N496" t="str">
        <f t="shared" si="186"/>
        <v/>
      </c>
      <c r="O496" s="2" t="str">
        <f>IF(E496=0,"",Player_Analysis!L496/E496*90)</f>
        <v/>
      </c>
      <c r="P496" t="str">
        <f>IF(E496=0,"",Player_Analysis!Q496/E496*90)</f>
        <v/>
      </c>
      <c r="Q496" t="str">
        <f>IF(E496=0,"",(Player_Analysis!AD496/E496)*90)</f>
        <v/>
      </c>
      <c r="R496" t="str">
        <f>IF(E496=0,"",Player_Analysis!AA496/E496*90)</f>
        <v/>
      </c>
      <c r="S496">
        <f t="array" ref="S496">IFERROR(INDEX('2023_24'!$O:$O,MATCH($A496,'2023_24'!$A:$A,0)),"")</f>
        <v>0</v>
      </c>
      <c r="T496" t="str">
        <f>IFERROR(INDEX('2024_25'!$P:$P,MATCH($A496,'2024_25'!$A:$A,0)),"")</f>
        <v/>
      </c>
      <c r="U496">
        <f>IFERROR(INDEX('2025_26'!$P:$P,MATCH($A496,'2025_26'!$A:$A,0)),"")</f>
        <v>0</v>
      </c>
      <c r="V496">
        <f>IFERROR(INDEX('2023_24'!$P:$P,MATCH($A496,'2023_24'!$A:$A,0)),"")</f>
        <v>0</v>
      </c>
      <c r="W496" t="str">
        <f>IFERROR(INDEX('2024_25'!$Q:$Q,MATCH($A496,'2024_25'!$A:$A,0)),"")</f>
        <v/>
      </c>
      <c r="X496">
        <f>IFERROR(INDEX('2025_26'!$Q:$Q,MATCH($A496,'2025_26'!$A:$A,0)),"")</f>
        <v>2.2727272727272726E-3</v>
      </c>
      <c r="Y496" t="str">
        <f>IFERROR(INDEX('2023_24'!$M:$M,MATCH($A496,'2023_24'!$A:$A,0))/INDEX('2023_24'!$G:$G,MATCH($A496,'2023_24'!$A:$A,0))*90,"")</f>
        <v/>
      </c>
      <c r="Z496" t="str">
        <f>IFERROR(INDEX('2024_25'!$M:$M,MATCH($A496,'2024_25'!$A:$A,0))/INDEX('2024_25'!$G:$G,MATCH($A496,'2024_25'!$A:$A,0))*90,"")</f>
        <v/>
      </c>
      <c r="AA496">
        <f>IFERROR(INDEX('2025_26'!$M:$M,MATCH($A496,'2025_26'!$A:$A,0))/INDEX('2025_26'!$G:$G,MATCH($A496,'2025_26'!$A:$A,0))*90,"")</f>
        <v>3.2272727272727275</v>
      </c>
      <c r="AB496">
        <f>IFERROR(SUMPRODUCT(S496:U496,{0.2,0.3,0.5})/SUMPRODUCT(--(S496:U496&lt;&gt;""),{0.2,0.3,0.5}),"")</f>
        <v>0</v>
      </c>
      <c r="AC496">
        <f>IFERROR(SUMPRODUCT(V496:X496,{0.2,0.3,0.5})/SUMPRODUCT(--(V496:X496&lt;&gt;""),{0.2,0.3,0.5}),"")</f>
        <v>1.6233766233766235E-3</v>
      </c>
      <c r="AD496">
        <f>IFERROR(SUMPRODUCT(Y496:AA496,{0.2,0.3,0.5})/SUMPRODUCT((Y496:AA496&lt;&gt;"")*{0.2,0.3,0.5}),O496)</f>
        <v>3.2272727272727275</v>
      </c>
      <c r="AE496">
        <f t="shared" si="187"/>
        <v>2</v>
      </c>
      <c r="AF496" t="str">
        <f t="shared" si="188"/>
        <v/>
      </c>
      <c r="AG496">
        <f t="shared" si="189"/>
        <v>0</v>
      </c>
      <c r="AH496">
        <f t="shared" si="190"/>
        <v>1.6233766233766235E-3</v>
      </c>
      <c r="AI496" s="2">
        <f t="shared" si="191"/>
        <v>3.2272727272727275</v>
      </c>
      <c r="AJ496">
        <f t="shared" si="192"/>
        <v>0</v>
      </c>
      <c r="AK496" t="str">
        <f t="shared" si="193"/>
        <v>NO</v>
      </c>
      <c r="AL496">
        <f t="shared" si="194"/>
        <v>0</v>
      </c>
      <c r="AM496">
        <f t="shared" si="195"/>
        <v>0</v>
      </c>
      <c r="AN496">
        <f t="shared" si="196"/>
        <v>0</v>
      </c>
      <c r="AO496">
        <f t="shared" si="197"/>
        <v>0</v>
      </c>
      <c r="AP496">
        <f t="array" ref="AP496">AL496*IF($C496="GKP",10,IF($C496="DEF",6,IF($C496="MID",5,4)))</f>
        <v>0</v>
      </c>
      <c r="AQ496">
        <f t="shared" si="198"/>
        <v>0</v>
      </c>
      <c r="AR496">
        <f t="shared" si="199"/>
        <v>0</v>
      </c>
      <c r="AS496" s="2">
        <f>IF($H496=0,0,Player_Analysis!$AM496*$H496/90)</f>
        <v>0</v>
      </c>
      <c r="AT496">
        <f t="shared" si="200"/>
        <v>0</v>
      </c>
      <c r="AU496" s="2">
        <f>0</f>
        <v>0</v>
      </c>
      <c r="AV496" s="2" t="str">
        <f>IF(INDEX(FPL_Raw_Data!K:K,MATCH(A496,FPL_Raw_Data!AA:AA,0))=0,"",INDEX(FPL_Raw_Data!P:P,MATCH(A496,FPL_Raw_Data!AA:AA,0))/INDEX(FPL_Raw_Data!K:K,MATCH(A496,FPL_Raw_Data!AA:AA,0))*90)</f>
        <v/>
      </c>
      <c r="AW496" s="2">
        <f t="shared" si="201"/>
        <v>0</v>
      </c>
      <c r="AX496" s="2">
        <f>IFERROR(INDEX(TEAM_ANALYSIS!$H$2:$H$21,MATCH($B496,TEAM_ANALYSIS!$A$2:$A$21,0)),0)</f>
        <v>2</v>
      </c>
      <c r="AY496" s="2">
        <f t="shared" si="202"/>
        <v>0</v>
      </c>
      <c r="AZ496" s="2">
        <f t="shared" si="203"/>
        <v>0</v>
      </c>
      <c r="BA496">
        <f t="shared" si="204"/>
        <v>0</v>
      </c>
      <c r="BB496">
        <f>IFERROR(Player_Analysis!$Y496,1)</f>
        <v>0.92487600988862551</v>
      </c>
      <c r="BC496">
        <f t="shared" si="205"/>
        <v>0</v>
      </c>
      <c r="BD496">
        <f t="shared" si="206"/>
        <v>0</v>
      </c>
      <c r="BE496">
        <f t="shared" si="207"/>
        <v>0</v>
      </c>
      <c r="BF496">
        <f t="shared" si="208"/>
        <v>253</v>
      </c>
      <c r="BG496">
        <f>IF($BE496="","",COUNTIFS($C$2:$C$596,$C496,$BE$2:$BE$596,"&gt;"&amp;$BE496)+COUNTIFS($C$2:$C496,$C496,$BE$2:$BE496,$BE496))</f>
        <v>58</v>
      </c>
    </row>
    <row r="497" spans="1:59" x14ac:dyDescent="0.25">
      <c r="A497" t="str">
        <f>Player_Analysis!A497</f>
        <v>Senne Lammens</v>
      </c>
      <c r="B497">
        <f>Player_Analysis!C497</f>
        <v>16</v>
      </c>
      <c r="C497" t="str">
        <f>Player_Analysis!B497</f>
        <v>GK</v>
      </c>
      <c r="D497" s="13">
        <f>Player_Analysis!E497</f>
        <v>5</v>
      </c>
      <c r="E497">
        <f>Player_Analysis!I497</f>
        <v>270</v>
      </c>
      <c r="F497" s="8">
        <f>Player_Analysis!Z497</f>
        <v>3</v>
      </c>
      <c r="G497" s="17">
        <f t="shared" si="183"/>
        <v>1</v>
      </c>
      <c r="H497">
        <f t="shared" si="184"/>
        <v>90</v>
      </c>
      <c r="I497" s="8">
        <f>Player_Analysis!AF497</f>
        <v>0</v>
      </c>
      <c r="J497" s="8">
        <f>Player_Analysis!AG497</f>
        <v>0</v>
      </c>
      <c r="K497">
        <f>Player_Analysis!O497</f>
        <v>0</v>
      </c>
      <c r="L497">
        <f>Player_Analysis!P497</f>
        <v>0</v>
      </c>
      <c r="M497">
        <f t="shared" si="185"/>
        <v>0</v>
      </c>
      <c r="N497">
        <f t="shared" si="186"/>
        <v>0</v>
      </c>
      <c r="O497" s="2">
        <f>IF(E497=0,"",Player_Analysis!L497/E497*90)</f>
        <v>1.6666666666666665</v>
      </c>
      <c r="P497">
        <f>IF(E497=0,"",Player_Analysis!Q497/E497*90)</f>
        <v>0</v>
      </c>
      <c r="Q497">
        <f>IF(E497=0,"",(Player_Analysis!AD497/E497)*90)</f>
        <v>10.333333333333334</v>
      </c>
      <c r="R497">
        <f>IF(E497=0,"",Player_Analysis!AA497/E497*90)</f>
        <v>0</v>
      </c>
      <c r="S497" t="str">
        <f t="array" ref="S497">IFERROR(INDEX('2023_24'!$O:$O,MATCH($A497,'2023_24'!$A:$A,0)),"")</f>
        <v/>
      </c>
      <c r="T497" t="str">
        <f>IFERROR(INDEX('2024_25'!$P:$P,MATCH($A497,'2024_25'!$A:$A,0)),"")</f>
        <v/>
      </c>
      <c r="U497">
        <f>IFERROR(INDEX('2025_26'!$P:$P,MATCH($A497,'2025_26'!$A:$A,0)),"")</f>
        <v>0</v>
      </c>
      <c r="V497" t="str">
        <f>IFERROR(INDEX('2023_24'!$P:$P,MATCH($A497,'2023_24'!$A:$A,0)),"")</f>
        <v/>
      </c>
      <c r="W497" t="str">
        <f>IFERROR(INDEX('2024_25'!$Q:$Q,MATCH($A497,'2024_25'!$A:$A,0)),"")</f>
        <v/>
      </c>
      <c r="X497">
        <f>IFERROR(INDEX('2025_26'!$Q:$Q,MATCH($A497,'2025_26'!$A:$A,0)),"")</f>
        <v>0</v>
      </c>
      <c r="Y497" t="str">
        <f>IFERROR(INDEX('2023_24'!$M:$M,MATCH($A497,'2023_24'!$A:$A,0))/INDEX('2023_24'!$G:$G,MATCH($A497,'2023_24'!$A:$A,0))*90,"")</f>
        <v/>
      </c>
      <c r="Z497" t="str">
        <f>IFERROR(INDEX('2024_25'!$M:$M,MATCH($A497,'2024_25'!$A:$A,0))/INDEX('2024_25'!$G:$G,MATCH($A497,'2024_25'!$A:$A,0))*90,"")</f>
        <v/>
      </c>
      <c r="AA497">
        <f>IFERROR(INDEX('2025_26'!$M:$M,MATCH($A497,'2025_26'!$A:$A,0))/INDEX('2025_26'!$G:$G,MATCH($A497,'2025_26'!$A:$A,0))*90,"")</f>
        <v>3.4062499999999996</v>
      </c>
      <c r="AB497">
        <f>IFERROR(SUMPRODUCT(S497:U497,{0.2,0.3,0.5})/SUMPRODUCT(--(S497:U497&lt;&gt;""),{0.2,0.3,0.5}),"")</f>
        <v>0</v>
      </c>
      <c r="AC497">
        <f>IFERROR(SUMPRODUCT(V497:X497,{0.2,0.3,0.5})/SUMPRODUCT(--(V497:X497&lt;&gt;""),{0.2,0.3,0.5}),"")</f>
        <v>0</v>
      </c>
      <c r="AD497">
        <f>IFERROR(SUMPRODUCT(Y497:AA497,{0.2,0.3,0.5})/SUMPRODUCT((Y497:AA497&lt;&gt;"")*{0.2,0.3,0.5}),O497)</f>
        <v>3.4062499999999996</v>
      </c>
      <c r="AE497">
        <f t="shared" si="187"/>
        <v>1</v>
      </c>
      <c r="AF497">
        <f t="shared" si="188"/>
        <v>90</v>
      </c>
      <c r="AG497">
        <f t="shared" si="189"/>
        <v>0</v>
      </c>
      <c r="AH497">
        <f t="shared" si="190"/>
        <v>0</v>
      </c>
      <c r="AI497" s="2">
        <f t="shared" si="191"/>
        <v>1.840625</v>
      </c>
      <c r="AJ497">
        <f t="shared" si="192"/>
        <v>0.9</v>
      </c>
      <c r="AK497" t="str">
        <f t="shared" si="193"/>
        <v>NO</v>
      </c>
      <c r="AL497">
        <f t="shared" si="194"/>
        <v>0</v>
      </c>
      <c r="AM497">
        <f t="shared" si="195"/>
        <v>0</v>
      </c>
      <c r="AN497">
        <f t="shared" si="196"/>
        <v>0</v>
      </c>
      <c r="AO497">
        <f t="shared" si="197"/>
        <v>0</v>
      </c>
      <c r="AP497">
        <f t="array" ref="AP497">AL497*IF($C497="GKP",10,IF($C497="DEF",6,IF($C497="MID",5,4)))</f>
        <v>0</v>
      </c>
      <c r="AQ497">
        <f t="shared" si="198"/>
        <v>0</v>
      </c>
      <c r="AR497">
        <f t="shared" si="199"/>
        <v>2</v>
      </c>
      <c r="AS497" s="2">
        <f>IF($H497=0,0,Player_Analysis!$AM497*$H497/90)</f>
        <v>0</v>
      </c>
      <c r="AT497">
        <f t="shared" si="200"/>
        <v>0</v>
      </c>
      <c r="AU497" s="2">
        <f>0</f>
        <v>0</v>
      </c>
      <c r="AV497" s="2">
        <f>IF(INDEX(FPL_Raw_Data!K:K,MATCH(A497,FPL_Raw_Data!AA:AA,0))=0,"",INDEX(FPL_Raw_Data!P:P,MATCH(A497,FPL_Raw_Data!AA:AA,0))/INDEX(FPL_Raw_Data!K:K,MATCH(A497,FPL_Raw_Data!AA:AA,0))*90)</f>
        <v>3</v>
      </c>
      <c r="AW497" s="2">
        <f t="shared" si="201"/>
        <v>1</v>
      </c>
      <c r="AX497" s="2">
        <f>IFERROR(INDEX(TEAM_ANALYSIS!$H$2:$H$21,MATCH($B497,TEAM_ANALYSIS!$A$2:$A$21,0)),0)</f>
        <v>2</v>
      </c>
      <c r="AY497" s="2">
        <f t="shared" si="202"/>
        <v>0</v>
      </c>
      <c r="AZ497" s="2">
        <f t="shared" si="203"/>
        <v>3</v>
      </c>
      <c r="BA497">
        <f t="shared" si="204"/>
        <v>0.6</v>
      </c>
      <c r="BB497">
        <f>IFERROR(Player_Analysis!$Y497,1)</f>
        <v>0.92487600988862551</v>
      </c>
      <c r="BC497">
        <f t="shared" si="205"/>
        <v>2.7746280296658767</v>
      </c>
      <c r="BD497">
        <f t="shared" si="206"/>
        <v>1.6647768177995259</v>
      </c>
      <c r="BE497">
        <f t="shared" si="207"/>
        <v>2.7746280296658767</v>
      </c>
      <c r="BF497">
        <f t="shared" si="208"/>
        <v>212</v>
      </c>
      <c r="BG497">
        <f>IF($BE497="","",COUNTIFS($C$2:$C$596,$C497,$BE$2:$BE$596,"&gt;"&amp;$BE497)+COUNTIFS($C$2:$C497,$C497,$BE$2:$BE497,$BE497))</f>
        <v>17</v>
      </c>
    </row>
    <row r="498" spans="1:59" x14ac:dyDescent="0.25">
      <c r="A498" t="str">
        <f>Player_Analysis!A498</f>
        <v>Altay Bayındır</v>
      </c>
      <c r="B498">
        <f>Player_Analysis!C498</f>
        <v>16</v>
      </c>
      <c r="C498" t="str">
        <f>Player_Analysis!B498</f>
        <v>GK</v>
      </c>
      <c r="D498" s="13">
        <f>Player_Analysis!E498</f>
        <v>4.5</v>
      </c>
      <c r="E498">
        <f>Player_Analysis!I498</f>
        <v>0</v>
      </c>
      <c r="F498" s="8">
        <f>Player_Analysis!Z498</f>
        <v>0</v>
      </c>
      <c r="G498" s="17">
        <f t="shared" si="183"/>
        <v>0</v>
      </c>
      <c r="H498">
        <f t="shared" si="184"/>
        <v>0</v>
      </c>
      <c r="I498" s="8">
        <f>Player_Analysis!AF498</f>
        <v>0</v>
      </c>
      <c r="J498" s="8">
        <f>Player_Analysis!AG498</f>
        <v>0</v>
      </c>
      <c r="K498">
        <f>Player_Analysis!O498</f>
        <v>0</v>
      </c>
      <c r="L498">
        <f>Player_Analysis!P498</f>
        <v>0</v>
      </c>
      <c r="M498" t="str">
        <f t="shared" si="185"/>
        <v/>
      </c>
      <c r="N498" t="str">
        <f t="shared" si="186"/>
        <v/>
      </c>
      <c r="O498" s="2" t="str">
        <f>IF(E498=0,"",Player_Analysis!L498/E498*90)</f>
        <v/>
      </c>
      <c r="P498" t="str">
        <f>IF(E498=0,"",Player_Analysis!Q498/E498*90)</f>
        <v/>
      </c>
      <c r="Q498" t="str">
        <f>IF(E498=0,"",(Player_Analysis!AD498/E498)*90)</f>
        <v/>
      </c>
      <c r="R498" t="str">
        <f>IF(E498=0,"",Player_Analysis!AA498/E498*90)</f>
        <v/>
      </c>
      <c r="S498" t="str">
        <f t="array" ref="S498">IFERROR(INDEX('2023_24'!$O:$O,MATCH($A498,'2023_24'!$A:$A,0)),"")</f>
        <v/>
      </c>
      <c r="T498" t="str">
        <f>IFERROR(INDEX('2024_25'!$P:$P,MATCH($A498,'2024_25'!$A:$A,0)),"")</f>
        <v/>
      </c>
      <c r="U498">
        <f>IFERROR(INDEX('2025_26'!$P:$P,MATCH($A498,'2025_26'!$A:$A,0)),"")</f>
        <v>0</v>
      </c>
      <c r="V498" t="str">
        <f>IFERROR(INDEX('2023_24'!$P:$P,MATCH($A498,'2023_24'!$A:$A,0)),"")</f>
        <v/>
      </c>
      <c r="W498" t="str">
        <f>IFERROR(INDEX('2024_25'!$Q:$Q,MATCH($A498,'2024_25'!$A:$A,0)),"")</f>
        <v/>
      </c>
      <c r="X498">
        <f>IFERROR(INDEX('2025_26'!$Q:$Q,MATCH($A498,'2025_26'!$A:$A,0)),"")</f>
        <v>8.333333333333335E-3</v>
      </c>
      <c r="Y498" t="str">
        <f>IFERROR(INDEX('2023_24'!$M:$M,MATCH($A498,'2023_24'!$A:$A,0))/INDEX('2023_24'!$G:$G,MATCH($A498,'2023_24'!$A:$A,0))*90,"")</f>
        <v/>
      </c>
      <c r="Z498" t="str">
        <f>IFERROR(INDEX('2024_25'!$M:$M,MATCH($A498,'2024_25'!$A:$A,0))/INDEX('2024_25'!$G:$G,MATCH($A498,'2024_25'!$A:$A,0))*90,"")</f>
        <v/>
      </c>
      <c r="AA498">
        <f>IFERROR(INDEX('2025_26'!$M:$M,MATCH($A498,'2025_26'!$A:$A,0))/INDEX('2025_26'!$G:$G,MATCH($A498,'2025_26'!$A:$A,0))*90,"")</f>
        <v>1.8333333333333335</v>
      </c>
      <c r="AB498">
        <f>IFERROR(SUMPRODUCT(S498:U498,{0.2,0.3,0.5})/SUMPRODUCT(--(S498:U498&lt;&gt;""),{0.2,0.3,0.5}),"")</f>
        <v>0</v>
      </c>
      <c r="AC498">
        <f>IFERROR(SUMPRODUCT(V498:X498,{0.2,0.3,0.5})/SUMPRODUCT(--(V498:X498&lt;&gt;""),{0.2,0.3,0.5}),"")</f>
        <v>8.333333333333335E-3</v>
      </c>
      <c r="AD498">
        <f>IFERROR(SUMPRODUCT(Y498:AA498,{0.2,0.3,0.5})/SUMPRODUCT((Y498:AA498&lt;&gt;"")*{0.2,0.3,0.5}),O498)</f>
        <v>1.8333333333333335</v>
      </c>
      <c r="AE498">
        <f t="shared" si="187"/>
        <v>1</v>
      </c>
      <c r="AF498" t="str">
        <f t="shared" si="188"/>
        <v/>
      </c>
      <c r="AG498">
        <f t="shared" si="189"/>
        <v>0</v>
      </c>
      <c r="AH498">
        <f t="shared" si="190"/>
        <v>8.333333333333335E-3</v>
      </c>
      <c r="AI498" s="2">
        <f t="shared" si="191"/>
        <v>1.8333333333333335</v>
      </c>
      <c r="AJ498">
        <f t="shared" si="192"/>
        <v>0</v>
      </c>
      <c r="AK498" t="str">
        <f t="shared" si="193"/>
        <v>NO</v>
      </c>
      <c r="AL498">
        <f t="shared" si="194"/>
        <v>0</v>
      </c>
      <c r="AM498">
        <f t="shared" si="195"/>
        <v>0</v>
      </c>
      <c r="AN498">
        <f t="shared" si="196"/>
        <v>0</v>
      </c>
      <c r="AO498">
        <f t="shared" si="197"/>
        <v>0</v>
      </c>
      <c r="AP498">
        <f t="array" ref="AP498">AL498*IF($C498="GKP",10,IF($C498="DEF",6,IF($C498="MID",5,4)))</f>
        <v>0</v>
      </c>
      <c r="AQ498">
        <f t="shared" si="198"/>
        <v>0</v>
      </c>
      <c r="AR498">
        <f t="shared" si="199"/>
        <v>0</v>
      </c>
      <c r="AS498" s="2">
        <f>IF($H498=0,0,Player_Analysis!$AM498*$H498/90)</f>
        <v>0</v>
      </c>
      <c r="AT498">
        <f t="shared" si="200"/>
        <v>0</v>
      </c>
      <c r="AU498" s="2">
        <f>0</f>
        <v>0</v>
      </c>
      <c r="AV498" s="2" t="str">
        <f>IF(INDEX(FPL_Raw_Data!K:K,MATCH(A498,FPL_Raw_Data!AA:AA,0))=0,"",INDEX(FPL_Raw_Data!P:P,MATCH(A498,FPL_Raw_Data!AA:AA,0))/INDEX(FPL_Raw_Data!K:K,MATCH(A498,FPL_Raw_Data!AA:AA,0))*90)</f>
        <v/>
      </c>
      <c r="AW498" s="2">
        <f t="shared" si="201"/>
        <v>0</v>
      </c>
      <c r="AX498" s="2">
        <f>IFERROR(INDEX(TEAM_ANALYSIS!$H$2:$H$21,MATCH($B498,TEAM_ANALYSIS!$A$2:$A$21,0)),0)</f>
        <v>2</v>
      </c>
      <c r="AY498" s="2">
        <f t="shared" si="202"/>
        <v>0</v>
      </c>
      <c r="AZ498" s="2">
        <f t="shared" si="203"/>
        <v>0</v>
      </c>
      <c r="BA498">
        <f t="shared" si="204"/>
        <v>0</v>
      </c>
      <c r="BB498">
        <f>IFERROR(Player_Analysis!$Y498,1)</f>
        <v>0.92487600988862551</v>
      </c>
      <c r="BC498">
        <f t="shared" si="205"/>
        <v>0</v>
      </c>
      <c r="BD498">
        <f t="shared" si="206"/>
        <v>0</v>
      </c>
      <c r="BE498">
        <f t="shared" si="207"/>
        <v>0</v>
      </c>
      <c r="BF498">
        <f t="shared" si="208"/>
        <v>253</v>
      </c>
      <c r="BG498">
        <f>IF($BE498="","",COUNTIFS($C$2:$C$596,$C498,$BE$2:$BE$596,"&gt;"&amp;$BE498)+COUNTIFS($C$2:$C498,$C498,$BE$2:$BE498,$BE498))</f>
        <v>59</v>
      </c>
    </row>
    <row r="499" spans="1:59" x14ac:dyDescent="0.25">
      <c r="A499" t="str">
        <f>Player_Analysis!A499</f>
        <v>Tom Heaton</v>
      </c>
      <c r="B499">
        <f>Player_Analysis!C499</f>
        <v>16</v>
      </c>
      <c r="C499" t="str">
        <f>Player_Analysis!B499</f>
        <v>GK</v>
      </c>
      <c r="D499" s="13">
        <f>Player_Analysis!E499</f>
        <v>4</v>
      </c>
      <c r="E499">
        <f>Player_Analysis!I499</f>
        <v>0</v>
      </c>
      <c r="F499" s="8">
        <f>Player_Analysis!Z499</f>
        <v>0</v>
      </c>
      <c r="G499" s="17">
        <f t="shared" si="183"/>
        <v>0</v>
      </c>
      <c r="H499">
        <f t="shared" si="184"/>
        <v>0</v>
      </c>
      <c r="I499" s="8">
        <f>Player_Analysis!AF499</f>
        <v>0</v>
      </c>
      <c r="J499" s="8">
        <f>Player_Analysis!AG499</f>
        <v>0</v>
      </c>
      <c r="K499">
        <f>Player_Analysis!O499</f>
        <v>0</v>
      </c>
      <c r="L499">
        <f>Player_Analysis!P499</f>
        <v>0</v>
      </c>
      <c r="M499" t="str">
        <f t="shared" si="185"/>
        <v/>
      </c>
      <c r="N499" t="str">
        <f t="shared" si="186"/>
        <v/>
      </c>
      <c r="O499" s="2" t="str">
        <f>IF(E499=0,"",Player_Analysis!L499/E499*90)</f>
        <v/>
      </c>
      <c r="P499" t="str">
        <f>IF(E499=0,"",Player_Analysis!Q499/E499*90)</f>
        <v/>
      </c>
      <c r="Q499" t="str">
        <f>IF(E499=0,"",(Player_Analysis!AD499/E499)*90)</f>
        <v/>
      </c>
      <c r="R499" t="str">
        <f>IF(E499=0,"",Player_Analysis!AA499/E499*90)</f>
        <v/>
      </c>
      <c r="S499">
        <f t="array" ref="S499">IFERROR(INDEX('2023_24'!$O:$O,MATCH($A499,'2023_24'!$A:$A,0)),"")</f>
        <v>0</v>
      </c>
      <c r="T499">
        <f>IFERROR(INDEX('2024_25'!$P:$P,MATCH($A499,'2024_25'!$A:$A,0)),"")</f>
        <v>0</v>
      </c>
      <c r="U499">
        <f>IFERROR(INDEX('2025_26'!$P:$P,MATCH($A499,'2025_26'!$A:$A,0)),"")</f>
        <v>0</v>
      </c>
      <c r="V499">
        <f>IFERROR(INDEX('2023_24'!$P:$P,MATCH($A499,'2023_24'!$A:$A,0)),"")</f>
        <v>0</v>
      </c>
      <c r="W499">
        <f>IFERROR(INDEX('2024_25'!$Q:$Q,MATCH($A499,'2024_25'!$A:$A,0)),"")</f>
        <v>0</v>
      </c>
      <c r="X499">
        <f>IFERROR(INDEX('2025_26'!$Q:$Q,MATCH($A499,'2025_26'!$A:$A,0)),"")</f>
        <v>0</v>
      </c>
      <c r="Y499" t="str">
        <f>IFERROR(INDEX('2023_24'!$M:$M,MATCH($A499,'2023_24'!$A:$A,0))/INDEX('2023_24'!$G:$G,MATCH($A499,'2023_24'!$A:$A,0))*90,"")</f>
        <v/>
      </c>
      <c r="Z499" t="str">
        <f>IFERROR(INDEX('2024_25'!$M:$M,MATCH($A499,'2024_25'!$A:$A,0))/INDEX('2024_25'!$G:$G,MATCH($A499,'2024_25'!$A:$A,0))*90,"")</f>
        <v/>
      </c>
      <c r="AA499" t="str">
        <f>IFERROR(INDEX('2025_26'!$M:$M,MATCH($A499,'2025_26'!$A:$A,0))/INDEX('2025_26'!$G:$G,MATCH($A499,'2025_26'!$A:$A,0))*90,"")</f>
        <v/>
      </c>
      <c r="AB499">
        <f>IFERROR(SUMPRODUCT(S499:U499,{0.2,0.3,0.5})/SUMPRODUCT(--(S499:U499&lt;&gt;""),{0.2,0.3,0.5}),"")</f>
        <v>0</v>
      </c>
      <c r="AC499">
        <f>IFERROR(SUMPRODUCT(V499:X499,{0.2,0.3,0.5})/SUMPRODUCT(--(V499:X499&lt;&gt;""),{0.2,0.3,0.5}),"")</f>
        <v>0</v>
      </c>
      <c r="AD499" t="str">
        <f>IFERROR(SUMPRODUCT(Y499:AA499,{0.2,0.3,0.5})/SUMPRODUCT((Y499:AA499&lt;&gt;"")*{0.2,0.3,0.5}),O499)</f>
        <v/>
      </c>
      <c r="AE499">
        <f t="shared" si="187"/>
        <v>3</v>
      </c>
      <c r="AF499" t="str">
        <f t="shared" si="188"/>
        <v/>
      </c>
      <c r="AG499">
        <f t="shared" si="189"/>
        <v>0</v>
      </c>
      <c r="AH499">
        <f t="shared" si="190"/>
        <v>0</v>
      </c>
      <c r="AI499" s="2">
        <f t="shared" si="191"/>
        <v>0</v>
      </c>
      <c r="AJ499">
        <f t="shared" si="192"/>
        <v>0</v>
      </c>
      <c r="AK499" t="str">
        <f t="shared" si="193"/>
        <v>NO</v>
      </c>
      <c r="AL499">
        <f t="shared" si="194"/>
        <v>0</v>
      </c>
      <c r="AM499">
        <f t="shared" si="195"/>
        <v>0</v>
      </c>
      <c r="AN499">
        <f t="shared" si="196"/>
        <v>0</v>
      </c>
      <c r="AO499">
        <f t="shared" si="197"/>
        <v>0</v>
      </c>
      <c r="AP499">
        <f t="array" ref="AP499">AL499*IF($C499="GKP",10,IF($C499="DEF",6,IF($C499="MID",5,4)))</f>
        <v>0</v>
      </c>
      <c r="AQ499">
        <f t="shared" si="198"/>
        <v>0</v>
      </c>
      <c r="AR499">
        <f t="shared" si="199"/>
        <v>0</v>
      </c>
      <c r="AS499" s="2">
        <f>IF($H499=0,0,Player_Analysis!$AM499*$H499/90)</f>
        <v>0</v>
      </c>
      <c r="AT499">
        <f t="shared" si="200"/>
        <v>0</v>
      </c>
      <c r="AU499" s="2">
        <f>0</f>
        <v>0</v>
      </c>
      <c r="AV499" s="2" t="str">
        <f>IF(INDEX(FPL_Raw_Data!K:K,MATCH(A499,FPL_Raw_Data!AA:AA,0))=0,"",INDEX(FPL_Raw_Data!P:P,MATCH(A499,FPL_Raw_Data!AA:AA,0))/INDEX(FPL_Raw_Data!K:K,MATCH(A499,FPL_Raw_Data!AA:AA,0))*90)</f>
        <v/>
      </c>
      <c r="AW499" s="2">
        <f t="shared" si="201"/>
        <v>0</v>
      </c>
      <c r="AX499" s="2">
        <f>IFERROR(INDEX(TEAM_ANALYSIS!$H$2:$H$21,MATCH($B499,TEAM_ANALYSIS!$A$2:$A$21,0)),0)</f>
        <v>2</v>
      </c>
      <c r="AY499" s="2">
        <f t="shared" si="202"/>
        <v>0</v>
      </c>
      <c r="AZ499" s="2">
        <f t="shared" si="203"/>
        <v>0</v>
      </c>
      <c r="BA499">
        <f t="shared" si="204"/>
        <v>0</v>
      </c>
      <c r="BB499">
        <f>IFERROR(Player_Analysis!$Y499,1)</f>
        <v>0.92487600988862551</v>
      </c>
      <c r="BC499">
        <f t="shared" si="205"/>
        <v>0</v>
      </c>
      <c r="BD499">
        <f t="shared" si="206"/>
        <v>0</v>
      </c>
      <c r="BE499">
        <f t="shared" si="207"/>
        <v>0</v>
      </c>
      <c r="BF499">
        <f t="shared" si="208"/>
        <v>253</v>
      </c>
      <c r="BG499">
        <f>IF($BE499="","",COUNTIFS($C$2:$C$596,$C499,$BE$2:$BE$596,"&gt;"&amp;$BE499)+COUNTIFS($C$2:$C499,$C499,$BE$2:$BE499,$BE499))</f>
        <v>60</v>
      </c>
    </row>
    <row r="500" spans="1:59" x14ac:dyDescent="0.25">
      <c r="A500" t="str">
        <f>Player_Analysis!A500</f>
        <v>Patrick Dorgu</v>
      </c>
      <c r="B500">
        <f>Player_Analysis!C500</f>
        <v>16</v>
      </c>
      <c r="C500" t="str">
        <f>Player_Analysis!B500</f>
        <v>MID</v>
      </c>
      <c r="D500" s="13">
        <f>Player_Analysis!E500</f>
        <v>5.9</v>
      </c>
      <c r="E500">
        <f>Player_Analysis!I500</f>
        <v>75</v>
      </c>
      <c r="F500" s="8">
        <f>Player_Analysis!Z500</f>
        <v>1</v>
      </c>
      <c r="G500" s="17">
        <f t="shared" si="183"/>
        <v>1</v>
      </c>
      <c r="H500">
        <f t="shared" si="184"/>
        <v>90</v>
      </c>
      <c r="I500" s="8">
        <f>Player_Analysis!AF500</f>
        <v>0</v>
      </c>
      <c r="J500" s="8">
        <f>Player_Analysis!AG500</f>
        <v>0</v>
      </c>
      <c r="K500">
        <f>Player_Analysis!O500</f>
        <v>0.65</v>
      </c>
      <c r="L500">
        <f>Player_Analysis!P500</f>
        <v>0.05</v>
      </c>
      <c r="M500">
        <f t="shared" si="185"/>
        <v>0.77999999999999992</v>
      </c>
      <c r="N500">
        <f t="shared" si="186"/>
        <v>6.0000000000000005E-2</v>
      </c>
      <c r="O500" s="2">
        <f>IF(E500=0,"",Player_Analysis!L500/E500*90)</f>
        <v>2.4000000000000004</v>
      </c>
      <c r="P500">
        <f>IF(E500=0,"",Player_Analysis!Q500/E500*90)</f>
        <v>0.83999999999999986</v>
      </c>
      <c r="Q500">
        <f>IF(E500=0,"",(Player_Analysis!AD500/E500)*90)</f>
        <v>-4.8000000000000007</v>
      </c>
      <c r="R500">
        <f>IF(E500=0,"",Player_Analysis!AA500/E500*90)</f>
        <v>7.2</v>
      </c>
      <c r="S500" t="str">
        <f t="array" ref="S500">IFERROR(INDEX('2023_24'!$O:$O,MATCH($A500,'2023_24'!$A:$A,0)),"")</f>
        <v/>
      </c>
      <c r="T500">
        <f>IFERROR(INDEX('2024_25'!$P:$P,MATCH($A500,'2024_25'!$A:$A,0)),"")</f>
        <v>4.6071428571428576E-2</v>
      </c>
      <c r="U500">
        <f>IFERROR(INDEX('2025_26'!$P:$P,MATCH($A500,'2025_26'!$A:$A,0)),"")</f>
        <v>0.14937500000000001</v>
      </c>
      <c r="V500" t="str">
        <f>IFERROR(INDEX('2023_24'!$P:$P,MATCH($A500,'2023_24'!$A:$A,0)),"")</f>
        <v/>
      </c>
      <c r="W500">
        <f>IFERROR(INDEX('2024_25'!$Q:$Q,MATCH($A500,'2024_25'!$A:$A,0)),"")</f>
        <v>0.13607142857142857</v>
      </c>
      <c r="X500">
        <f>IFERROR(INDEX('2025_26'!$Q:$Q,MATCH($A500,'2025_26'!$A:$A,0)),"")</f>
        <v>0.115</v>
      </c>
      <c r="Y500" t="str">
        <f>IFERROR(INDEX('2023_24'!$M:$M,MATCH($A500,'2023_24'!$A:$A,0))/INDEX('2023_24'!$G:$G,MATCH($A500,'2023_24'!$A:$A,0))*90,"")</f>
        <v/>
      </c>
      <c r="Z500">
        <f>IFERROR(INDEX('2024_25'!$M:$M,MATCH($A500,'2024_25'!$A:$A,0))/INDEX('2024_25'!$G:$G,MATCH($A500,'2024_25'!$A:$A,0))*90,"")</f>
        <v>1.9285714285714286</v>
      </c>
      <c r="AA500">
        <f>IFERROR(INDEX('2025_26'!$M:$M,MATCH($A500,'2025_26'!$A:$A,0))/INDEX('2025_26'!$G:$G,MATCH($A500,'2025_26'!$A:$A,0))*90,"")</f>
        <v>5.9375</v>
      </c>
      <c r="AB500">
        <f>IFERROR(SUMPRODUCT(S500:U500,{0.2,0.3,0.5})/SUMPRODUCT(--(S500:U500&lt;&gt;""),{0.2,0.3,0.5}),"")</f>
        <v>0.11063616071428571</v>
      </c>
      <c r="AC500">
        <f>IFERROR(SUMPRODUCT(V500:X500,{0.2,0.3,0.5})/SUMPRODUCT(--(V500:X500&lt;&gt;""),{0.2,0.3,0.5}),"")</f>
        <v>0.12290178571428571</v>
      </c>
      <c r="AD500">
        <f>IFERROR(SUMPRODUCT(Y500:AA500,{0.2,0.3,0.5})/SUMPRODUCT((Y500:AA500&lt;&gt;"")*{0.2,0.3,0.5}),O500)</f>
        <v>4.4341517857142847</v>
      </c>
      <c r="AE500">
        <f t="shared" si="187"/>
        <v>2</v>
      </c>
      <c r="AF500">
        <f t="shared" si="188"/>
        <v>75</v>
      </c>
      <c r="AG500">
        <f t="shared" si="189"/>
        <v>0.27797712053571427</v>
      </c>
      <c r="AH500">
        <f t="shared" si="190"/>
        <v>0.10717633928571428</v>
      </c>
      <c r="AI500" s="2">
        <f t="shared" si="191"/>
        <v>3.9256138392857136</v>
      </c>
      <c r="AJ500">
        <f t="shared" si="192"/>
        <v>0.25</v>
      </c>
      <c r="AK500" t="str">
        <f t="shared" si="193"/>
        <v>NO</v>
      </c>
      <c r="AL500">
        <f t="shared" si="194"/>
        <v>0.27797712053571427</v>
      </c>
      <c r="AM500">
        <f t="shared" si="195"/>
        <v>0.10717633928571428</v>
      </c>
      <c r="AN500">
        <f t="shared" si="196"/>
        <v>0.27797712053571427</v>
      </c>
      <c r="AO500">
        <f t="shared" si="197"/>
        <v>0.10717633928571428</v>
      </c>
      <c r="AP500">
        <f t="array" ref="AP500">AL500*IF($C500="GKP",10,IF($C500="DEF",6,IF($C500="MID",5,4)))</f>
        <v>1.3898856026785713</v>
      </c>
      <c r="AQ500">
        <f t="shared" si="198"/>
        <v>0.32152901785714283</v>
      </c>
      <c r="AR500">
        <f t="shared" si="199"/>
        <v>2</v>
      </c>
      <c r="AS500" s="2">
        <f>IF($H500=0,0,Player_Analysis!$AM500*$H500/90)</f>
        <v>0</v>
      </c>
      <c r="AT500">
        <f t="shared" si="200"/>
        <v>1.2</v>
      </c>
      <c r="AU500" s="2">
        <f>0</f>
        <v>0</v>
      </c>
      <c r="AV500" s="2">
        <f>IF(INDEX(FPL_Raw_Data!K:K,MATCH(A500,FPL_Raw_Data!AA:AA,0))=0,"",INDEX(FPL_Raw_Data!P:P,MATCH(A500,FPL_Raw_Data!AA:AA,0))/INDEX(FPL_Raw_Data!K:K,MATCH(A500,FPL_Raw_Data!AA:AA,0))*90)</f>
        <v>0</v>
      </c>
      <c r="AW500" s="2">
        <f t="shared" si="201"/>
        <v>0</v>
      </c>
      <c r="AX500" s="2">
        <f>IFERROR(INDEX(TEAM_ANALYSIS!$H$2:$H$21,MATCH($B500,TEAM_ANALYSIS!$A$2:$A$21,0)),0)</f>
        <v>2</v>
      </c>
      <c r="AY500" s="2">
        <f t="shared" si="202"/>
        <v>0</v>
      </c>
      <c r="AZ500" s="2">
        <f t="shared" si="203"/>
        <v>4.9114146205357141</v>
      </c>
      <c r="BA500">
        <f t="shared" si="204"/>
        <v>0.83244315602300234</v>
      </c>
      <c r="BB500">
        <f>IFERROR(Player_Analysis!$Y500,1)</f>
        <v>1.0979325259515571</v>
      </c>
      <c r="BC500">
        <f t="shared" si="205"/>
        <v>5.3924018603201853</v>
      </c>
      <c r="BD500">
        <f t="shared" si="206"/>
        <v>4.4888680231492444</v>
      </c>
      <c r="BE500">
        <f t="shared" si="207"/>
        <v>5.3924018603201853</v>
      </c>
      <c r="BF500">
        <f t="shared" si="208"/>
        <v>70</v>
      </c>
      <c r="BG500">
        <f>IF($BE500="","",COUNTIFS($C$2:$C$596,$C500,$BE$2:$BE$596,"&gt;"&amp;$BE500)+COUNTIFS($C$2:$C500,$C500,$BE$2:$BE500,$BE500))</f>
        <v>31</v>
      </c>
    </row>
    <row r="501" spans="1:59" x14ac:dyDescent="0.25">
      <c r="A501" t="str">
        <f>Player_Analysis!A501</f>
        <v>Matthijs de Ligt</v>
      </c>
      <c r="B501">
        <f>Player_Analysis!C501</f>
        <v>16</v>
      </c>
      <c r="C501" t="str">
        <f>Player_Analysis!B501</f>
        <v>DEF</v>
      </c>
      <c r="D501" s="13">
        <f>Player_Analysis!E501</f>
        <v>5</v>
      </c>
      <c r="E501">
        <f>Player_Analysis!I501</f>
        <v>0</v>
      </c>
      <c r="F501" s="8">
        <f>Player_Analysis!Z501</f>
        <v>0</v>
      </c>
      <c r="G501" s="17">
        <f t="shared" si="183"/>
        <v>0</v>
      </c>
      <c r="H501">
        <f t="shared" si="184"/>
        <v>0</v>
      </c>
      <c r="I501" s="8">
        <f>Player_Analysis!AF501</f>
        <v>0</v>
      </c>
      <c r="J501" s="8">
        <f>Player_Analysis!AG501</f>
        <v>0</v>
      </c>
      <c r="K501">
        <f>Player_Analysis!O501</f>
        <v>0</v>
      </c>
      <c r="L501">
        <f>Player_Analysis!P501</f>
        <v>0</v>
      </c>
      <c r="M501" t="str">
        <f t="shared" si="185"/>
        <v/>
      </c>
      <c r="N501" t="str">
        <f t="shared" si="186"/>
        <v/>
      </c>
      <c r="O501" s="2" t="str">
        <f>IF(E501=0,"",Player_Analysis!L501/E501*90)</f>
        <v/>
      </c>
      <c r="P501" t="str">
        <f>IF(E501=0,"",Player_Analysis!Q501/E501*90)</f>
        <v/>
      </c>
      <c r="Q501" t="str">
        <f>IF(E501=0,"",(Player_Analysis!AD501/E501)*90)</f>
        <v/>
      </c>
      <c r="R501" t="str">
        <f>IF(E501=0,"",Player_Analysis!AA501/E501*90)</f>
        <v/>
      </c>
      <c r="S501" t="str">
        <f t="array" ref="S501">IFERROR(INDEX('2023_24'!$O:$O,MATCH($A501,'2023_24'!$A:$A,0)),"")</f>
        <v/>
      </c>
      <c r="T501">
        <f>IFERROR(INDEX('2024_25'!$P:$P,MATCH($A501,'2024_25'!$A:$A,0)),"")</f>
        <v>0.10533270410571025</v>
      </c>
      <c r="U501">
        <f>IFERROR(INDEX('2025_26'!$P:$P,MATCH($A501,'2025_26'!$A:$A,0)),"")</f>
        <v>0.10615384615384614</v>
      </c>
      <c r="V501" t="str">
        <f>IFERROR(INDEX('2023_24'!$P:$P,MATCH($A501,'2023_24'!$A:$A,0)),"")</f>
        <v/>
      </c>
      <c r="W501">
        <f>IFERROR(INDEX('2024_25'!$Q:$Q,MATCH($A501,'2024_25'!$A:$A,0)),"")</f>
        <v>1.0618216139688533E-2</v>
      </c>
      <c r="X501">
        <f>IFERROR(INDEX('2025_26'!$Q:$Q,MATCH($A501,'2025_26'!$A:$A,0)),"")</f>
        <v>6.3846153846153844E-2</v>
      </c>
      <c r="Y501" t="str">
        <f>IFERROR(INDEX('2023_24'!$M:$M,MATCH($A501,'2023_24'!$A:$A,0))/INDEX('2023_24'!$G:$G,MATCH($A501,'2023_24'!$A:$A,0))*90,"")</f>
        <v/>
      </c>
      <c r="Z501">
        <f>IFERROR(INDEX('2024_25'!$M:$M,MATCH($A501,'2024_25'!$A:$A,0))/INDEX('2024_25'!$G:$G,MATCH($A501,'2024_25'!$A:$A,0))*90,"")</f>
        <v>2.8881547899952809</v>
      </c>
      <c r="AA501">
        <f>IFERROR(INDEX('2025_26'!$M:$M,MATCH($A501,'2025_26'!$A:$A,0))/INDEX('2025_26'!$G:$G,MATCH($A501,'2025_26'!$A:$A,0))*90,"")</f>
        <v>3.3076923076923079</v>
      </c>
      <c r="AB501">
        <f>IFERROR(SUMPRODUCT(S501:U501,{0.2,0.3,0.5})/SUMPRODUCT(--(S501:U501&lt;&gt;""),{0.2,0.3,0.5}),"")</f>
        <v>0.10584591788579518</v>
      </c>
      <c r="AC501">
        <f>IFERROR(SUMPRODUCT(V501:X501,{0.2,0.3,0.5})/SUMPRODUCT(--(V501:X501&lt;&gt;""),{0.2,0.3,0.5}),"")</f>
        <v>4.3885677206229344E-2</v>
      </c>
      <c r="AD501">
        <f>IFERROR(SUMPRODUCT(Y501:AA501,{0.2,0.3,0.5})/SUMPRODUCT((Y501:AA501&lt;&gt;"")*{0.2,0.3,0.5}),O501)</f>
        <v>3.1503657385559225</v>
      </c>
      <c r="AE501">
        <f t="shared" si="187"/>
        <v>2</v>
      </c>
      <c r="AF501" t="str">
        <f t="shared" si="188"/>
        <v/>
      </c>
      <c r="AG501">
        <f t="shared" si="189"/>
        <v>0.10584591788579518</v>
      </c>
      <c r="AH501">
        <f t="shared" si="190"/>
        <v>4.3885677206229344E-2</v>
      </c>
      <c r="AI501" s="2">
        <f t="shared" si="191"/>
        <v>3.1503657385559225</v>
      </c>
      <c r="AJ501">
        <f t="shared" si="192"/>
        <v>0</v>
      </c>
      <c r="AK501" t="str">
        <f t="shared" si="193"/>
        <v>NO</v>
      </c>
      <c r="AL501">
        <f t="shared" si="194"/>
        <v>0</v>
      </c>
      <c r="AM501">
        <f t="shared" si="195"/>
        <v>0</v>
      </c>
      <c r="AN501">
        <f t="shared" si="196"/>
        <v>0</v>
      </c>
      <c r="AO501">
        <f t="shared" si="197"/>
        <v>0</v>
      </c>
      <c r="AP501">
        <f t="array" ref="AP501">AL501*IF($C501="GKP",10,IF($C501="DEF",6,IF($C501="MID",5,4)))</f>
        <v>0</v>
      </c>
      <c r="AQ501">
        <f t="shared" si="198"/>
        <v>0</v>
      </c>
      <c r="AR501">
        <f t="shared" si="199"/>
        <v>0</v>
      </c>
      <c r="AS501" s="2">
        <f>IF($H501=0,0,Player_Analysis!$AM501*$H501/90)</f>
        <v>0</v>
      </c>
      <c r="AT501">
        <f t="shared" si="200"/>
        <v>0</v>
      </c>
      <c r="AU501" s="2">
        <f>0</f>
        <v>0</v>
      </c>
      <c r="AV501" s="2" t="str">
        <f>IF(INDEX(FPL_Raw_Data!K:K,MATCH(A501,FPL_Raw_Data!AA:AA,0))=0,"",INDEX(FPL_Raw_Data!P:P,MATCH(A501,FPL_Raw_Data!AA:AA,0))/INDEX(FPL_Raw_Data!K:K,MATCH(A501,FPL_Raw_Data!AA:AA,0))*90)</f>
        <v/>
      </c>
      <c r="AW501" s="2">
        <f t="shared" si="201"/>
        <v>0</v>
      </c>
      <c r="AX501" s="2">
        <f>IFERROR(INDEX(TEAM_ANALYSIS!$H$2:$H$21,MATCH($B501,TEAM_ANALYSIS!$A$2:$A$21,0)),0)</f>
        <v>2</v>
      </c>
      <c r="AY501" s="2">
        <f t="shared" si="202"/>
        <v>-1</v>
      </c>
      <c r="AZ501" s="2">
        <f t="shared" si="203"/>
        <v>-1</v>
      </c>
      <c r="BA501">
        <f t="shared" si="204"/>
        <v>-0.2</v>
      </c>
      <c r="BB501">
        <f>IFERROR(Player_Analysis!$Y501,1)</f>
        <v>0.92487600988862551</v>
      </c>
      <c r="BC501">
        <f t="shared" si="205"/>
        <v>-0.92487600988862551</v>
      </c>
      <c r="BD501">
        <f t="shared" si="206"/>
        <v>0.1849752019777251</v>
      </c>
      <c r="BE501">
        <f t="shared" si="207"/>
        <v>-0.92487600988862551</v>
      </c>
      <c r="BF501">
        <f t="shared" si="208"/>
        <v>573</v>
      </c>
      <c r="BG501">
        <f>IF($BE501="","",COUNTIFS($C$2:$C$596,$C501,$BE$2:$BE$596,"&gt;"&amp;$BE501)+COUNTIFS($C$2:$C501,$C501,$BE$2:$BE501,$BE501))</f>
        <v>170</v>
      </c>
    </row>
    <row r="502" spans="1:59" x14ac:dyDescent="0.25">
      <c r="A502" t="str">
        <f>Player_Analysis!A502</f>
        <v>Diogo Dalot Teixeira</v>
      </c>
      <c r="B502">
        <f>Player_Analysis!C502</f>
        <v>16</v>
      </c>
      <c r="C502" t="str">
        <f>Player_Analysis!B502</f>
        <v>DEF</v>
      </c>
      <c r="D502" s="13">
        <f>Player_Analysis!E502</f>
        <v>4.9000000000000004</v>
      </c>
      <c r="E502">
        <f>Player_Analysis!I502</f>
        <v>166</v>
      </c>
      <c r="F502" s="8">
        <f>Player_Analysis!Z502</f>
        <v>2</v>
      </c>
      <c r="G502" s="17">
        <f t="shared" si="183"/>
        <v>1</v>
      </c>
      <c r="H502">
        <f t="shared" si="184"/>
        <v>90</v>
      </c>
      <c r="I502" s="8">
        <f>Player_Analysis!AF502</f>
        <v>0</v>
      </c>
      <c r="J502" s="8">
        <f>Player_Analysis!AG502</f>
        <v>0</v>
      </c>
      <c r="K502">
        <f>Player_Analysis!O502</f>
        <v>0.16</v>
      </c>
      <c r="L502">
        <f>Player_Analysis!P502</f>
        <v>0.13</v>
      </c>
      <c r="M502">
        <f t="shared" si="185"/>
        <v>8.6746987951807228E-2</v>
      </c>
      <c r="N502">
        <f t="shared" si="186"/>
        <v>7.0481927710843384E-2</v>
      </c>
      <c r="O502" s="2">
        <f>IF(E502=0,"",Player_Analysis!L502/E502*90)</f>
        <v>2.168674698795181</v>
      </c>
      <c r="P502">
        <f>IF(E502=0,"",Player_Analysis!Q502/E502*90)</f>
        <v>0.15722891566265057</v>
      </c>
      <c r="Q502">
        <f>IF(E502=0,"",(Player_Analysis!AD502/E502)*90)</f>
        <v>14.096385542168676</v>
      </c>
      <c r="R502">
        <f>IF(E502=0,"",Player_Analysis!AA502/E502*90)</f>
        <v>5.9638554216867474</v>
      </c>
      <c r="S502">
        <f t="array" ref="S502">IFERROR(INDEX('2023_24'!$O:$O,MATCH($A502,'2023_24'!$A:$A,0)),"")</f>
        <v>4.7353497164461252E-2</v>
      </c>
      <c r="T502">
        <f>IFERROR(INDEX('2024_25'!$P:$P,MATCH($A502,'2024_25'!$A:$A,0)),"")</f>
        <v>6.273115220483641E-2</v>
      </c>
      <c r="U502">
        <f>IFERROR(INDEX('2025_26'!$P:$P,MATCH($A502,'2025_26'!$A:$A,0)),"")</f>
        <v>6.6577232656190116E-2</v>
      </c>
      <c r="V502">
        <f>IFERROR(INDEX('2023_24'!$P:$P,MATCH($A502,'2023_24'!$A:$A,0)),"")</f>
        <v>6.7485822306238188E-2</v>
      </c>
      <c r="W502">
        <f>IFERROR(INDEX('2024_25'!$Q:$Q,MATCH($A502,'2024_25'!$A:$A,0)),"")</f>
        <v>7.5213371266002846E-2</v>
      </c>
      <c r="X502">
        <f>IFERROR(INDEX('2025_26'!$Q:$Q,MATCH($A502,'2025_26'!$A:$A,0)),"")</f>
        <v>8.865465695668838E-2</v>
      </c>
      <c r="Y502">
        <f>IFERROR(INDEX('2023_24'!$M:$M,MATCH($A502,'2023_24'!$A:$A,0))/INDEX('2023_24'!$G:$G,MATCH($A502,'2023_24'!$A:$A,0))*90,"")</f>
        <v>3.1474480151228734</v>
      </c>
      <c r="Z502">
        <f>IFERROR(INDEX('2024_25'!$M:$M,MATCH($A502,'2024_25'!$A:$A,0))/INDEX('2024_25'!$G:$G,MATCH($A502,'2024_25'!$A:$A,0))*90,"")</f>
        <v>3.0405405405405408</v>
      </c>
      <c r="AA502">
        <f>IFERROR(INDEX('2025_26'!$M:$M,MATCH($A502,'2025_26'!$A:$A,0))/INDEX('2025_26'!$G:$G,MATCH($A502,'2025_26'!$A:$A,0))*90,"")</f>
        <v>3.8290532771176697</v>
      </c>
      <c r="AB502">
        <f>IFERROR(SUMPRODUCT(S502:U502,{0.2,0.3,0.5})/SUMPRODUCT(--(S502:U502&lt;&gt;""),{0.2,0.3,0.5}),"")</f>
        <v>6.157866142243823E-2</v>
      </c>
      <c r="AC502">
        <f>IFERROR(SUMPRODUCT(V502:X502,{0.2,0.3,0.5})/SUMPRODUCT(--(V502:X502&lt;&gt;""),{0.2,0.3,0.5}),"")</f>
        <v>8.0388504319392678E-2</v>
      </c>
      <c r="AD502">
        <f>IFERROR(SUMPRODUCT(Y502:AA502,{0.2,0.3,0.5})/SUMPRODUCT((Y502:AA502&lt;&gt;"")*{0.2,0.3,0.5}),O502)</f>
        <v>3.4561784037455716</v>
      </c>
      <c r="AE502">
        <f t="shared" si="187"/>
        <v>3</v>
      </c>
      <c r="AF502">
        <f t="shared" si="188"/>
        <v>83</v>
      </c>
      <c r="AG502">
        <f t="shared" si="189"/>
        <v>7.5505135435355739E-2</v>
      </c>
      <c r="AH502">
        <f t="shared" si="190"/>
        <v>7.4906865262662076E-2</v>
      </c>
      <c r="AI502" s="2">
        <f t="shared" si="191"/>
        <v>2.7437596870063556</v>
      </c>
      <c r="AJ502">
        <f t="shared" si="192"/>
        <v>0.55333333333333334</v>
      </c>
      <c r="AK502" t="str">
        <f t="shared" si="193"/>
        <v>NO</v>
      </c>
      <c r="AL502">
        <f t="shared" si="194"/>
        <v>7.5505135435355739E-2</v>
      </c>
      <c r="AM502">
        <f t="shared" si="195"/>
        <v>7.4906865262662076E-2</v>
      </c>
      <c r="AN502">
        <f t="shared" si="196"/>
        <v>7.5505135435355739E-2</v>
      </c>
      <c r="AO502">
        <f t="shared" si="197"/>
        <v>7.4906865262662076E-2</v>
      </c>
      <c r="AP502">
        <f t="array" ref="AP502">AL502*IF($C502="GKP",10,IF($C502="DEF",6,IF($C502="MID",5,4)))</f>
        <v>0.4530308126121344</v>
      </c>
      <c r="AQ502">
        <f t="shared" si="198"/>
        <v>0.22472059578798623</v>
      </c>
      <c r="AR502">
        <f t="shared" si="199"/>
        <v>2</v>
      </c>
      <c r="AS502" s="2">
        <f>IF($H502=0,0,Player_Analysis!$AM502*$H502/90)</f>
        <v>0</v>
      </c>
      <c r="AT502">
        <f t="shared" si="200"/>
        <v>1.1927710843373494</v>
      </c>
      <c r="AU502" s="2">
        <f>0</f>
        <v>0</v>
      </c>
      <c r="AV502" s="2">
        <f>IF(INDEX(FPL_Raw_Data!K:K,MATCH(A502,FPL_Raw_Data!AA:AA,0))=0,"",INDEX(FPL_Raw_Data!P:P,MATCH(A502,FPL_Raw_Data!AA:AA,0))/INDEX(FPL_Raw_Data!K:K,MATCH(A502,FPL_Raw_Data!AA:AA,0))*90)</f>
        <v>0</v>
      </c>
      <c r="AW502" s="2">
        <f t="shared" si="201"/>
        <v>0</v>
      </c>
      <c r="AX502" s="2">
        <f>IFERROR(INDEX(TEAM_ANALYSIS!$H$2:$H$21,MATCH($B502,TEAM_ANALYSIS!$A$2:$A$21,0)),0)</f>
        <v>2</v>
      </c>
      <c r="AY502" s="2">
        <f t="shared" si="202"/>
        <v>-1</v>
      </c>
      <c r="AZ502" s="2">
        <f t="shared" si="203"/>
        <v>2.8705224927374697</v>
      </c>
      <c r="BA502">
        <f t="shared" si="204"/>
        <v>0.58582091688519788</v>
      </c>
      <c r="BB502">
        <f>IFERROR(Player_Analysis!$Y502,1)</f>
        <v>0.92487600988862551</v>
      </c>
      <c r="BC502">
        <f t="shared" si="205"/>
        <v>2.6548773893785822</v>
      </c>
      <c r="BD502">
        <f t="shared" si="206"/>
        <v>1.5552827064635415</v>
      </c>
      <c r="BE502">
        <f t="shared" si="207"/>
        <v>2.6548773893785822</v>
      </c>
      <c r="BF502">
        <f t="shared" si="208"/>
        <v>219</v>
      </c>
      <c r="BG502">
        <f>IF($BE502="","",COUNTIFS($C$2:$C$596,$C502,$BE$2:$BE$596,"&gt;"&amp;$BE502)+COUNTIFS($C$2:$C502,$C502,$BE$2:$BE502,$BE502))</f>
        <v>70</v>
      </c>
    </row>
    <row r="503" spans="1:59" x14ac:dyDescent="0.25">
      <c r="A503" t="str">
        <f>Player_Analysis!A503</f>
        <v>Harry Maguire</v>
      </c>
      <c r="B503">
        <f>Player_Analysis!C503</f>
        <v>16</v>
      </c>
      <c r="C503" t="str">
        <f>Player_Analysis!B503</f>
        <v>DEF</v>
      </c>
      <c r="D503" s="13">
        <f>Player_Analysis!E503</f>
        <v>5</v>
      </c>
      <c r="E503">
        <f>Player_Analysis!I503</f>
        <v>270</v>
      </c>
      <c r="F503" s="8">
        <f>Player_Analysis!Z503</f>
        <v>3</v>
      </c>
      <c r="G503" s="17">
        <f t="shared" si="183"/>
        <v>1</v>
      </c>
      <c r="H503">
        <f t="shared" si="184"/>
        <v>90</v>
      </c>
      <c r="I503" s="8">
        <f>Player_Analysis!AF503</f>
        <v>0</v>
      </c>
      <c r="J503" s="8">
        <f>Player_Analysis!AG503</f>
        <v>1</v>
      </c>
      <c r="K503">
        <f>Player_Analysis!O503</f>
        <v>7.0000000000000007E-2</v>
      </c>
      <c r="L503">
        <f>Player_Analysis!P503</f>
        <v>0.42</v>
      </c>
      <c r="M503">
        <f t="shared" si="185"/>
        <v>2.3333333333333334E-2</v>
      </c>
      <c r="N503">
        <f t="shared" si="186"/>
        <v>0.13999999999999999</v>
      </c>
      <c r="O503" s="2">
        <f>IF(E503=0,"",Player_Analysis!L503/E503*90)</f>
        <v>2.3333333333333335</v>
      </c>
      <c r="P503">
        <f>IF(E503=0,"",Player_Analysis!Q503/E503*90)</f>
        <v>0.16333333333333333</v>
      </c>
      <c r="Q503">
        <f>IF(E503=0,"",(Player_Analysis!AD503/E503)*90)</f>
        <v>9.6666666666666661</v>
      </c>
      <c r="R503">
        <f>IF(E503=0,"",Player_Analysis!AA503/E503*90)</f>
        <v>7</v>
      </c>
      <c r="S503">
        <f t="array" ref="S503">IFERROR(INDEX('2023_24'!$O:$O,MATCH($A503,'2023_24'!$A:$A,0)),"")</f>
        <v>0.10581818181818181</v>
      </c>
      <c r="T503">
        <f>IFERROR(INDEX('2024_25'!$P:$P,MATCH($A503,'2024_25'!$A:$A,0)),"")</f>
        <v>9.354654483152483E-2</v>
      </c>
      <c r="U503">
        <f>IFERROR(INDEX('2025_26'!$P:$P,MATCH($A503,'2025_26'!$A:$A,0)),"")</f>
        <v>6.112795633717405E-2</v>
      </c>
      <c r="V503">
        <f>IFERROR(INDEX('2023_24'!$P:$P,MATCH($A503,'2023_24'!$A:$A,0)),"")</f>
        <v>5.2909090909090906E-2</v>
      </c>
      <c r="W503">
        <f>IFERROR(INDEX('2024_25'!$Q:$Q,MATCH($A503,'2024_25'!$A:$A,0)),"")</f>
        <v>1.2849800114220445E-2</v>
      </c>
      <c r="X503">
        <f>IFERROR(INDEX('2025_26'!$Q:$Q,MATCH($A503,'2025_26'!$A:$A,0)),"")</f>
        <v>2.7289266221952699E-2</v>
      </c>
      <c r="Y503">
        <f>IFERROR(INDEX('2023_24'!$M:$M,MATCH($A503,'2023_24'!$A:$A,0))/INDEX('2023_24'!$G:$G,MATCH($A503,'2023_24'!$A:$A,0))*90,"")</f>
        <v>3.9818181818181819</v>
      </c>
      <c r="Z503">
        <f>IFERROR(INDEX('2024_25'!$M:$M,MATCH($A503,'2024_25'!$A:$A,0))/INDEX('2024_25'!$G:$G,MATCH($A503,'2024_25'!$A:$A,0))*90,"")</f>
        <v>2.4671616219303254</v>
      </c>
      <c r="AA503">
        <f>IFERROR(INDEX('2025_26'!$M:$M,MATCH($A503,'2025_26'!$A:$A,0))/INDEX('2025_26'!$G:$G,MATCH($A503,'2025_26'!$A:$A,0))*90,"")</f>
        <v>4.9120679199514861</v>
      </c>
      <c r="AB503">
        <f>IFERROR(SUMPRODUCT(S503:U503,{0.2,0.3,0.5})/SUMPRODUCT(--(S503:U503&lt;&gt;""),{0.2,0.3,0.5}),"")</f>
        <v>7.9791577981680836E-2</v>
      </c>
      <c r="AC503">
        <f>IFERROR(SUMPRODUCT(V503:X503,{0.2,0.3,0.5})/SUMPRODUCT(--(V503:X503&lt;&gt;""),{0.2,0.3,0.5}),"")</f>
        <v>2.8081391327060664E-2</v>
      </c>
      <c r="AD503">
        <f>IFERROR(SUMPRODUCT(Y503:AA503,{0.2,0.3,0.5})/SUMPRODUCT((Y503:AA503&lt;&gt;"")*{0.2,0.3,0.5}),O503)</f>
        <v>3.9925460829184769</v>
      </c>
      <c r="AE503">
        <f t="shared" si="187"/>
        <v>3</v>
      </c>
      <c r="AF503">
        <f t="shared" si="188"/>
        <v>90</v>
      </c>
      <c r="AG503">
        <f t="shared" si="189"/>
        <v>2.8979157798168086E-2</v>
      </c>
      <c r="AH503">
        <f t="shared" si="190"/>
        <v>0.12880813913270606</v>
      </c>
      <c r="AI503" s="2">
        <f t="shared" si="191"/>
        <v>2.4992546082918476</v>
      </c>
      <c r="AJ503">
        <f t="shared" si="192"/>
        <v>0.9</v>
      </c>
      <c r="AK503" t="str">
        <f t="shared" si="193"/>
        <v>NO</v>
      </c>
      <c r="AL503">
        <f t="shared" si="194"/>
        <v>2.8979157798168086E-2</v>
      </c>
      <c r="AM503">
        <f t="shared" si="195"/>
        <v>0.12880813913270606</v>
      </c>
      <c r="AN503">
        <f t="shared" si="196"/>
        <v>2.8979157798168086E-2</v>
      </c>
      <c r="AO503">
        <f t="shared" si="197"/>
        <v>0.12880813913270606</v>
      </c>
      <c r="AP503">
        <f t="array" ref="AP503">AL503*IF($C503="GKP",10,IF($C503="DEF",6,IF($C503="MID",5,4)))</f>
        <v>0.1738749467890085</v>
      </c>
      <c r="AQ503">
        <f t="shared" si="198"/>
        <v>0.38642441739811817</v>
      </c>
      <c r="AR503">
        <f t="shared" si="199"/>
        <v>2</v>
      </c>
      <c r="AS503" s="2">
        <f>IF($H503=0,0,Player_Analysis!$AM503*$H503/90)</f>
        <v>0</v>
      </c>
      <c r="AT503">
        <f t="shared" si="200"/>
        <v>1.4</v>
      </c>
      <c r="AU503" s="2">
        <f>0</f>
        <v>0</v>
      </c>
      <c r="AV503" s="2">
        <f>IF(INDEX(FPL_Raw_Data!K:K,MATCH(A503,FPL_Raw_Data!AA:AA,0))=0,"",INDEX(FPL_Raw_Data!P:P,MATCH(A503,FPL_Raw_Data!AA:AA,0))/INDEX(FPL_Raw_Data!K:K,MATCH(A503,FPL_Raw_Data!AA:AA,0))*90)</f>
        <v>0</v>
      </c>
      <c r="AW503" s="2">
        <f t="shared" si="201"/>
        <v>0</v>
      </c>
      <c r="AX503" s="2">
        <f>IFERROR(INDEX(TEAM_ANALYSIS!$H$2:$H$21,MATCH($B503,TEAM_ANALYSIS!$A$2:$A$21,0)),0)</f>
        <v>2</v>
      </c>
      <c r="AY503" s="2">
        <f t="shared" si="202"/>
        <v>-1</v>
      </c>
      <c r="AZ503" s="2">
        <f t="shared" si="203"/>
        <v>2.9602993641871267</v>
      </c>
      <c r="BA503">
        <f t="shared" si="204"/>
        <v>0.59205987283742534</v>
      </c>
      <c r="BB503">
        <f>IFERROR(Player_Analysis!$Y503,1)</f>
        <v>0.92487600988862551</v>
      </c>
      <c r="BC503">
        <f t="shared" si="205"/>
        <v>2.7379098640252248</v>
      </c>
      <c r="BD503">
        <f t="shared" si="206"/>
        <v>1.6210065659351072</v>
      </c>
      <c r="BE503">
        <f t="shared" si="207"/>
        <v>2.7379098640252248</v>
      </c>
      <c r="BF503">
        <f t="shared" si="208"/>
        <v>215</v>
      </c>
      <c r="BG503">
        <f>IF($BE503="","",COUNTIFS($C$2:$C$596,$C503,$BE$2:$BE$596,"&gt;"&amp;$BE503)+COUNTIFS($C$2:$C503,$C503,$BE$2:$BE503,$BE503))</f>
        <v>66</v>
      </c>
    </row>
    <row r="504" spans="1:59" x14ac:dyDescent="0.25">
      <c r="A504" t="str">
        <f>Player_Analysis!A504</f>
        <v>Lisandro Martínez</v>
      </c>
      <c r="B504">
        <f>Player_Analysis!C504</f>
        <v>16</v>
      </c>
      <c r="C504" t="str">
        <f>Player_Analysis!B504</f>
        <v>DEF</v>
      </c>
      <c r="D504" s="13">
        <f>Player_Analysis!E504</f>
        <v>5</v>
      </c>
      <c r="E504">
        <f>Player_Analysis!I504</f>
        <v>180</v>
      </c>
      <c r="F504" s="8">
        <f>Player_Analysis!Z504</f>
        <v>2</v>
      </c>
      <c r="G504" s="17">
        <f t="shared" si="183"/>
        <v>1</v>
      </c>
      <c r="H504">
        <f t="shared" si="184"/>
        <v>90</v>
      </c>
      <c r="I504" s="8">
        <f>Player_Analysis!AF504</f>
        <v>0</v>
      </c>
      <c r="J504" s="8">
        <f>Player_Analysis!AG504</f>
        <v>0</v>
      </c>
      <c r="K504">
        <f>Player_Analysis!O504</f>
        <v>0.03</v>
      </c>
      <c r="L504">
        <f>Player_Analysis!P504</f>
        <v>0.06</v>
      </c>
      <c r="M504">
        <f t="shared" si="185"/>
        <v>1.4999999999999999E-2</v>
      </c>
      <c r="N504">
        <f t="shared" si="186"/>
        <v>0.03</v>
      </c>
      <c r="O504" s="2">
        <f>IF(E504=0,"",Player_Analysis!L504/E504*90)</f>
        <v>2</v>
      </c>
      <c r="P504">
        <f>IF(E504=0,"",Player_Analysis!Q504/E504*90)</f>
        <v>4.4999999999999998E-2</v>
      </c>
      <c r="Q504">
        <f>IF(E504=0,"",(Player_Analysis!AD504/E504)*90)</f>
        <v>4.5</v>
      </c>
      <c r="R504">
        <f>IF(E504=0,"",Player_Analysis!AA504/E504*90)</f>
        <v>5</v>
      </c>
      <c r="S504">
        <f t="array" ref="S504">IFERROR(INDEX('2023_24'!$O:$O,MATCH($A504,'2023_24'!$A:$A,0)),"")</f>
        <v>0</v>
      </c>
      <c r="T504">
        <f>IFERROR(INDEX('2024_25'!$P:$P,MATCH($A504,'2024_25'!$A:$A,0)),"")</f>
        <v>6.8360936607652772E-2</v>
      </c>
      <c r="U504">
        <f>IFERROR(INDEX('2025_26'!$P:$P,MATCH($A504,'2025_26'!$A:$A,0)),"")</f>
        <v>1.0984540276647681E-2</v>
      </c>
      <c r="V504">
        <f>IFERROR(INDEX('2023_24'!$P:$P,MATCH($A504,'2023_24'!$A:$A,0)),"")</f>
        <v>1.119751166407465E-2</v>
      </c>
      <c r="W504">
        <f>IFERROR(INDEX('2024_25'!$Q:$Q,MATCH($A504,'2024_25'!$A:$A,0)),"")</f>
        <v>6.219303255282696E-2</v>
      </c>
      <c r="X504">
        <f>IFERROR(INDEX('2025_26'!$Q:$Q,MATCH($A504,'2025_26'!$A:$A,0)),"")</f>
        <v>4.3938161106590726E-2</v>
      </c>
      <c r="Y504">
        <f>IFERROR(INDEX('2023_24'!$M:$M,MATCH($A504,'2023_24'!$A:$A,0))/INDEX('2023_24'!$G:$G,MATCH($A504,'2023_24'!$A:$A,0))*90,"")</f>
        <v>2.0995334370139971</v>
      </c>
      <c r="Z504">
        <f>IFERROR(INDEX('2024_25'!$M:$M,MATCH($A504,'2024_25'!$A:$A,0))/INDEX('2024_25'!$G:$G,MATCH($A504,'2024_25'!$A:$A,0))*90,"")</f>
        <v>3.4951456310679609</v>
      </c>
      <c r="AA504">
        <f>IFERROR(INDEX('2025_26'!$M:$M,MATCH($A504,'2025_26'!$A:$A,0))/INDEX('2025_26'!$G:$G,MATCH($A504,'2025_26'!$A:$A,0))*90,"")</f>
        <v>3.7347436940602114</v>
      </c>
      <c r="AB504">
        <f>IFERROR(SUMPRODUCT(S504:U504,{0.2,0.3,0.5})/SUMPRODUCT(--(S504:U504&lt;&gt;""),{0.2,0.3,0.5}),"")</f>
        <v>2.6000551120619671E-2</v>
      </c>
      <c r="AC504">
        <f>IFERROR(SUMPRODUCT(V504:X504,{0.2,0.3,0.5})/SUMPRODUCT(--(V504:X504&lt;&gt;""),{0.2,0.3,0.5}),"")</f>
        <v>4.2866492651958382E-2</v>
      </c>
      <c r="AD504">
        <f>IFERROR(SUMPRODUCT(Y504:AA504,{0.2,0.3,0.5})/SUMPRODUCT((Y504:AA504&lt;&gt;"")*{0.2,0.3,0.5}),O504)</f>
        <v>3.3358222237532935</v>
      </c>
      <c r="AE504">
        <f t="shared" si="187"/>
        <v>3</v>
      </c>
      <c r="AF504">
        <f t="shared" si="188"/>
        <v>90</v>
      </c>
      <c r="AG504">
        <f t="shared" si="189"/>
        <v>1.9400220448247869E-2</v>
      </c>
      <c r="AH504">
        <f t="shared" si="190"/>
        <v>3.5146597060783352E-2</v>
      </c>
      <c r="AI504" s="2">
        <f t="shared" si="191"/>
        <v>2.5343288895013174</v>
      </c>
      <c r="AJ504">
        <f t="shared" si="192"/>
        <v>0.6</v>
      </c>
      <c r="AK504" t="str">
        <f t="shared" si="193"/>
        <v>NO</v>
      </c>
      <c r="AL504">
        <f t="shared" si="194"/>
        <v>1.9400220448247869E-2</v>
      </c>
      <c r="AM504">
        <f t="shared" si="195"/>
        <v>3.5146597060783352E-2</v>
      </c>
      <c r="AN504">
        <f t="shared" si="196"/>
        <v>1.9400220448247869E-2</v>
      </c>
      <c r="AO504">
        <f t="shared" si="197"/>
        <v>3.5146597060783352E-2</v>
      </c>
      <c r="AP504">
        <f t="array" ref="AP504">AL504*IF($C504="GKP",10,IF($C504="DEF",6,IF($C504="MID",5,4)))</f>
        <v>0.11640132268948722</v>
      </c>
      <c r="AQ504">
        <f t="shared" si="198"/>
        <v>0.10543979118235006</v>
      </c>
      <c r="AR504">
        <f t="shared" si="199"/>
        <v>2</v>
      </c>
      <c r="AS504" s="2">
        <f>IF($H504=0,0,Player_Analysis!$AM504*$H504/90)</f>
        <v>0</v>
      </c>
      <c r="AT504">
        <f t="shared" si="200"/>
        <v>1</v>
      </c>
      <c r="AU504" s="2">
        <f>0</f>
        <v>0</v>
      </c>
      <c r="AV504" s="2">
        <f>IF(INDEX(FPL_Raw_Data!K:K,MATCH(A504,FPL_Raw_Data!AA:AA,0))=0,"",INDEX(FPL_Raw_Data!P:P,MATCH(A504,FPL_Raw_Data!AA:AA,0))/INDEX(FPL_Raw_Data!K:K,MATCH(A504,FPL_Raw_Data!AA:AA,0))*90)</f>
        <v>0</v>
      </c>
      <c r="AW504" s="2">
        <f t="shared" si="201"/>
        <v>0</v>
      </c>
      <c r="AX504" s="2">
        <f>IFERROR(INDEX(TEAM_ANALYSIS!$H$2:$H$21,MATCH($B504,TEAM_ANALYSIS!$A$2:$A$21,0)),0)</f>
        <v>2</v>
      </c>
      <c r="AY504" s="2">
        <f t="shared" si="202"/>
        <v>-1</v>
      </c>
      <c r="AZ504" s="2">
        <f t="shared" si="203"/>
        <v>2.2218411138718372</v>
      </c>
      <c r="BA504">
        <f t="shared" si="204"/>
        <v>0.44436822277436744</v>
      </c>
      <c r="BB504">
        <f>IFERROR(Player_Analysis!$Y504,1)</f>
        <v>0.92487600988862551</v>
      </c>
      <c r="BC504">
        <f t="shared" si="205"/>
        <v>2.054927544004284</v>
      </c>
      <c r="BD504">
        <f t="shared" si="206"/>
        <v>0.91314450065927943</v>
      </c>
      <c r="BE504">
        <f t="shared" si="207"/>
        <v>2.054927544004284</v>
      </c>
      <c r="BF504">
        <f t="shared" si="208"/>
        <v>242</v>
      </c>
      <c r="BG504">
        <f>IF($BE504="","",COUNTIFS($C$2:$C$596,$C504,$BE$2:$BE$596,"&gt;"&amp;$BE504)+COUNTIFS($C$2:$C504,$C504,$BE$2:$BE504,$BE504))</f>
        <v>87</v>
      </c>
    </row>
    <row r="505" spans="1:59" x14ac:dyDescent="0.25">
      <c r="A505" t="str">
        <f>Player_Analysis!A505</f>
        <v>Leny Yoro</v>
      </c>
      <c r="B505">
        <f>Player_Analysis!C505</f>
        <v>16</v>
      </c>
      <c r="C505" t="str">
        <f>Player_Analysis!B505</f>
        <v>DEF</v>
      </c>
      <c r="D505" s="13">
        <f>Player_Analysis!E505</f>
        <v>4.9000000000000004</v>
      </c>
      <c r="E505">
        <f>Player_Analysis!I505</f>
        <v>22</v>
      </c>
      <c r="F505" s="8">
        <f>Player_Analysis!Z505</f>
        <v>0</v>
      </c>
      <c r="G505" s="17">
        <f t="shared" si="183"/>
        <v>0</v>
      </c>
      <c r="H505">
        <f t="shared" si="184"/>
        <v>0</v>
      </c>
      <c r="I505" s="8">
        <f>Player_Analysis!AF505</f>
        <v>0</v>
      </c>
      <c r="J505" s="8">
        <f>Player_Analysis!AG505</f>
        <v>0</v>
      </c>
      <c r="K505">
        <f>Player_Analysis!O505</f>
        <v>0</v>
      </c>
      <c r="L505">
        <f>Player_Analysis!P505</f>
        <v>0.02</v>
      </c>
      <c r="M505">
        <f t="shared" si="185"/>
        <v>0</v>
      </c>
      <c r="N505">
        <f t="shared" si="186"/>
        <v>8.1818181818181818E-2</v>
      </c>
      <c r="O505" s="2">
        <f>IF(E505=0,"",Player_Analysis!L505/E505*90)</f>
        <v>8.1818181818181817</v>
      </c>
      <c r="P505">
        <f>IF(E505=0,"",Player_Analysis!Q505/E505*90)</f>
        <v>8.1818181818181818E-2</v>
      </c>
      <c r="Q505">
        <f>IF(E505=0,"",(Player_Analysis!AD505/E505)*90)</f>
        <v>-4.0909090909090908</v>
      </c>
      <c r="R505">
        <f>IF(E505=0,"",Player_Analysis!AA505/E505*90)</f>
        <v>20.454545454545453</v>
      </c>
      <c r="S505" t="str">
        <f t="array" ref="S505">IFERROR(INDEX('2023_24'!$O:$O,MATCH($A505,'2023_24'!$A:$A,0)),"")</f>
        <v/>
      </c>
      <c r="T505">
        <f>IFERROR(INDEX('2024_25'!$P:$P,MATCH($A505,'2024_25'!$A:$A,0)),"")</f>
        <v>5.4310344827586197E-2</v>
      </c>
      <c r="U505">
        <f>IFERROR(INDEX('2025_26'!$P:$P,MATCH($A505,'2025_26'!$A:$A,0)),"")</f>
        <v>6.9710982658959544E-2</v>
      </c>
      <c r="V505" t="str">
        <f>IFERROR(INDEX('2023_24'!$P:$P,MATCH($A505,'2023_24'!$A:$A,0)),"")</f>
        <v/>
      </c>
      <c r="W505">
        <f>IFERROR(INDEX('2024_25'!$Q:$Q,MATCH($A505,'2024_25'!$A:$A,0)),"")</f>
        <v>1.1637931034482759E-2</v>
      </c>
      <c r="X505">
        <f>IFERROR(INDEX('2025_26'!$Q:$Q,MATCH($A505,'2025_26'!$A:$A,0)),"")</f>
        <v>3.0693641618497108E-2</v>
      </c>
      <c r="Y505" t="str">
        <f>IFERROR(INDEX('2023_24'!$M:$M,MATCH($A505,'2023_24'!$A:$A,0))/INDEX('2023_24'!$G:$G,MATCH($A505,'2023_24'!$A:$A,0))*90,"")</f>
        <v/>
      </c>
      <c r="Z505">
        <f>IFERROR(INDEX('2024_25'!$M:$M,MATCH($A505,'2024_25'!$A:$A,0))/INDEX('2024_25'!$G:$G,MATCH($A505,'2024_25'!$A:$A,0))*90,"")</f>
        <v>1.7068965517241379</v>
      </c>
      <c r="AA505">
        <f>IFERROR(INDEX('2025_26'!$M:$M,MATCH($A505,'2025_26'!$A:$A,0))/INDEX('2025_26'!$G:$G,MATCH($A505,'2025_26'!$A:$A,0))*90,"")</f>
        <v>2.9132947976878611</v>
      </c>
      <c r="AB505">
        <f>IFERROR(SUMPRODUCT(S505:U505,{0.2,0.3,0.5})/SUMPRODUCT(--(S505:U505&lt;&gt;""),{0.2,0.3,0.5}),"")</f>
        <v>6.3935743472194537E-2</v>
      </c>
      <c r="AC505">
        <f>IFERROR(SUMPRODUCT(V505:X505,{0.2,0.3,0.5})/SUMPRODUCT(--(V505:X505&lt;&gt;""),{0.2,0.3,0.5}),"")</f>
        <v>2.3547750149491727E-2</v>
      </c>
      <c r="AD505">
        <f>IFERROR(SUMPRODUCT(Y505:AA505,{0.2,0.3,0.5})/SUMPRODUCT((Y505:AA505&lt;&gt;"")*{0.2,0.3,0.5}),O505)</f>
        <v>2.4608954554514648</v>
      </c>
      <c r="AE505">
        <f t="shared" si="187"/>
        <v>2</v>
      </c>
      <c r="AF505" t="str">
        <f t="shared" si="188"/>
        <v/>
      </c>
      <c r="AG505">
        <f t="shared" si="189"/>
        <v>5.9247122284233601E-2</v>
      </c>
      <c r="AH505">
        <f t="shared" si="190"/>
        <v>2.7820915138529002E-2</v>
      </c>
      <c r="AI505" s="2">
        <f t="shared" si="191"/>
        <v>2.8804297887183572</v>
      </c>
      <c r="AJ505">
        <f t="shared" si="192"/>
        <v>7.3333333333333334E-2</v>
      </c>
      <c r="AK505" t="str">
        <f t="shared" si="193"/>
        <v>NO</v>
      </c>
      <c r="AL505">
        <f t="shared" si="194"/>
        <v>0</v>
      </c>
      <c r="AM505">
        <f t="shared" si="195"/>
        <v>0</v>
      </c>
      <c r="AN505">
        <f t="shared" si="196"/>
        <v>0</v>
      </c>
      <c r="AO505">
        <f t="shared" si="197"/>
        <v>0</v>
      </c>
      <c r="AP505">
        <f t="array" ref="AP505">AL505*IF($C505="GKP",10,IF($C505="DEF",6,IF($C505="MID",5,4)))</f>
        <v>0</v>
      </c>
      <c r="AQ505">
        <f t="shared" si="198"/>
        <v>0</v>
      </c>
      <c r="AR505">
        <f t="shared" si="199"/>
        <v>0</v>
      </c>
      <c r="AS505" s="2">
        <f>IF($H505=0,0,Player_Analysis!$AM505*$H505/90)</f>
        <v>0</v>
      </c>
      <c r="AT505">
        <f t="shared" si="200"/>
        <v>0</v>
      </c>
      <c r="AU505" s="2">
        <f>0</f>
        <v>0</v>
      </c>
      <c r="AV505" s="2">
        <f>IF(INDEX(FPL_Raw_Data!K:K,MATCH(A505,FPL_Raw_Data!AA:AA,0))=0,"",INDEX(FPL_Raw_Data!P:P,MATCH(A505,FPL_Raw_Data!AA:AA,0))/INDEX(FPL_Raw_Data!K:K,MATCH(A505,FPL_Raw_Data!AA:AA,0))*90)</f>
        <v>0</v>
      </c>
      <c r="AW505" s="2">
        <f t="shared" si="201"/>
        <v>0</v>
      </c>
      <c r="AX505" s="2">
        <f>IFERROR(INDEX(TEAM_ANALYSIS!$H$2:$H$21,MATCH($B505,TEAM_ANALYSIS!$A$2:$A$21,0)),0)</f>
        <v>2</v>
      </c>
      <c r="AY505" s="2">
        <f t="shared" si="202"/>
        <v>-1</v>
      </c>
      <c r="AZ505" s="2">
        <f t="shared" si="203"/>
        <v>-1</v>
      </c>
      <c r="BA505">
        <f t="shared" si="204"/>
        <v>-0.2040816326530612</v>
      </c>
      <c r="BB505">
        <f>IFERROR(Player_Analysis!$Y505,1)</f>
        <v>0.92487600988862551</v>
      </c>
      <c r="BC505">
        <f t="shared" si="205"/>
        <v>-0.92487600988862551</v>
      </c>
      <c r="BD505">
        <f t="shared" si="206"/>
        <v>0.18875020609971946</v>
      </c>
      <c r="BE505">
        <f t="shared" si="207"/>
        <v>-0.92487600988862551</v>
      </c>
      <c r="BF505">
        <f t="shared" si="208"/>
        <v>573</v>
      </c>
      <c r="BG505">
        <f>IF($BE505="","",COUNTIFS($C$2:$C$596,$C505,$BE$2:$BE$596,"&gt;"&amp;$BE505)+COUNTIFS($C$2:$C505,$C505,$BE$2:$BE505,$BE505))</f>
        <v>171</v>
      </c>
    </row>
    <row r="506" spans="1:59" x14ac:dyDescent="0.25">
      <c r="A506" t="str">
        <f>Player_Analysis!A506</f>
        <v>Ayden Heaven</v>
      </c>
      <c r="B506">
        <f>Player_Analysis!C506</f>
        <v>16</v>
      </c>
      <c r="C506" t="str">
        <f>Player_Analysis!B506</f>
        <v>DEF</v>
      </c>
      <c r="D506" s="13">
        <f>Player_Analysis!E506</f>
        <v>4.4000000000000004</v>
      </c>
      <c r="E506">
        <f>Player_Analysis!I506</f>
        <v>90</v>
      </c>
      <c r="F506" s="8">
        <f>Player_Analysis!Z506</f>
        <v>1</v>
      </c>
      <c r="G506" s="17">
        <f t="shared" si="183"/>
        <v>1</v>
      </c>
      <c r="H506">
        <f t="shared" si="184"/>
        <v>90</v>
      </c>
      <c r="I506" s="8">
        <f>Player_Analysis!AF506</f>
        <v>0</v>
      </c>
      <c r="J506" s="8">
        <f>Player_Analysis!AG506</f>
        <v>0</v>
      </c>
      <c r="K506">
        <f>Player_Analysis!O506</f>
        <v>0.12</v>
      </c>
      <c r="L506">
        <f>Player_Analysis!P506</f>
        <v>0.04</v>
      </c>
      <c r="M506">
        <f t="shared" si="185"/>
        <v>0.12</v>
      </c>
      <c r="N506">
        <f t="shared" si="186"/>
        <v>0.04</v>
      </c>
      <c r="O506" s="2">
        <f>IF(E506=0,"",Player_Analysis!L506/E506*90)</f>
        <v>1</v>
      </c>
      <c r="P506">
        <f>IF(E506=0,"",Player_Analysis!Q506/E506*90)</f>
        <v>0.16</v>
      </c>
      <c r="Q506">
        <f>IF(E506=0,"",(Player_Analysis!AD506/E506)*90)</f>
        <v>5</v>
      </c>
      <c r="R506">
        <f>IF(E506=0,"",Player_Analysis!AA506/E506*90)</f>
        <v>2</v>
      </c>
      <c r="S506" t="str">
        <f t="array" ref="S506">IFERROR(INDEX('2023_24'!$O:$O,MATCH($A506,'2023_24'!$A:$A,0)),"")</f>
        <v/>
      </c>
      <c r="T506">
        <f>IFERROR(INDEX('2024_25'!$P:$P,MATCH($A506,'2024_25'!$A:$A,0)),"")</f>
        <v>6.3905325443786978E-2</v>
      </c>
      <c r="U506">
        <f>IFERROR(INDEX('2025_26'!$P:$P,MATCH($A506,'2025_26'!$A:$A,0)),"")</f>
        <v>3.3260869565217392E-2</v>
      </c>
      <c r="V506" t="str">
        <f>IFERROR(INDEX('2023_24'!$P:$P,MATCH($A506,'2023_24'!$A:$A,0)),"")</f>
        <v/>
      </c>
      <c r="W506">
        <f>IFERROR(INDEX('2024_25'!$Q:$Q,MATCH($A506,'2024_25'!$A:$A,0)),"")</f>
        <v>5.3254437869822485E-3</v>
      </c>
      <c r="X506">
        <f>IFERROR(INDEX('2025_26'!$Q:$Q,MATCH($A506,'2025_26'!$A:$A,0)),"")</f>
        <v>1.7608695652173913E-2</v>
      </c>
      <c r="Y506" t="str">
        <f>IFERROR(INDEX('2023_24'!$M:$M,MATCH($A506,'2023_24'!$A:$A,0))/INDEX('2023_24'!$G:$G,MATCH($A506,'2023_24'!$A:$A,0))*90,"")</f>
        <v/>
      </c>
      <c r="Z506">
        <f>IFERROR(INDEX('2024_25'!$M:$M,MATCH($A506,'2024_25'!$A:$A,0))/INDEX('2024_25'!$G:$G,MATCH($A506,'2024_25'!$A:$A,0))*90,"")</f>
        <v>5.3254437869822482</v>
      </c>
      <c r="AA506">
        <f>IFERROR(INDEX('2025_26'!$M:$M,MATCH($A506,'2025_26'!$A:$A,0))/INDEX('2025_26'!$G:$G,MATCH($A506,'2025_26'!$A:$A,0))*90,"")</f>
        <v>4.1086956521739131</v>
      </c>
      <c r="AB506">
        <f>IFERROR(SUMPRODUCT(S506:U506,{0.2,0.3,0.5})/SUMPRODUCT(--(S506:U506&lt;&gt;""),{0.2,0.3,0.5}),"")</f>
        <v>4.4752540519680986E-2</v>
      </c>
      <c r="AC506">
        <f>IFERROR(SUMPRODUCT(V506:X506,{0.2,0.3,0.5})/SUMPRODUCT(--(V506:X506&lt;&gt;""),{0.2,0.3,0.5}),"")</f>
        <v>1.3002476202727039E-2</v>
      </c>
      <c r="AD506">
        <f>IFERROR(SUMPRODUCT(Y506:AA506,{0.2,0.3,0.5})/SUMPRODUCT((Y506:AA506&lt;&gt;"")*{0.2,0.3,0.5}),O506)</f>
        <v>4.5649762027270384</v>
      </c>
      <c r="AE506">
        <f t="shared" si="187"/>
        <v>2</v>
      </c>
      <c r="AF506">
        <f t="shared" si="188"/>
        <v>90</v>
      </c>
      <c r="AG506">
        <f t="shared" si="189"/>
        <v>6.7326778363776679E-2</v>
      </c>
      <c r="AH506">
        <f t="shared" si="190"/>
        <v>2.1101733341908929E-2</v>
      </c>
      <c r="AI506" s="2">
        <f t="shared" si="191"/>
        <v>3.4954833419089266</v>
      </c>
      <c r="AJ506">
        <f t="shared" si="192"/>
        <v>0.3</v>
      </c>
      <c r="AK506" t="str">
        <f t="shared" si="193"/>
        <v>NO</v>
      </c>
      <c r="AL506">
        <f t="shared" si="194"/>
        <v>6.7326778363776679E-2</v>
      </c>
      <c r="AM506">
        <f t="shared" si="195"/>
        <v>2.1101733341908929E-2</v>
      </c>
      <c r="AN506">
        <f t="shared" si="196"/>
        <v>6.7326778363776679E-2</v>
      </c>
      <c r="AO506">
        <f t="shared" si="197"/>
        <v>2.1101733341908929E-2</v>
      </c>
      <c r="AP506">
        <f t="array" ref="AP506">AL506*IF($C506="GKP",10,IF($C506="DEF",6,IF($C506="MID",5,4)))</f>
        <v>0.40396067018266008</v>
      </c>
      <c r="AQ506">
        <f t="shared" si="198"/>
        <v>6.3305200025726788E-2</v>
      </c>
      <c r="AR506">
        <f t="shared" si="199"/>
        <v>2</v>
      </c>
      <c r="AS506" s="2">
        <f>IF($H506=0,0,Player_Analysis!$AM506*$H506/90)</f>
        <v>0</v>
      </c>
      <c r="AT506">
        <f t="shared" si="200"/>
        <v>0.4</v>
      </c>
      <c r="AU506" s="2">
        <f>0</f>
        <v>0</v>
      </c>
      <c r="AV506" s="2">
        <f>IF(INDEX(FPL_Raw_Data!K:K,MATCH(A506,FPL_Raw_Data!AA:AA,0))=0,"",INDEX(FPL_Raw_Data!P:P,MATCH(A506,FPL_Raw_Data!AA:AA,0))/INDEX(FPL_Raw_Data!K:K,MATCH(A506,FPL_Raw_Data!AA:AA,0))*90)</f>
        <v>0</v>
      </c>
      <c r="AW506" s="2">
        <f t="shared" si="201"/>
        <v>0</v>
      </c>
      <c r="AX506" s="2">
        <f>IFERROR(INDEX(TEAM_ANALYSIS!$H$2:$H$21,MATCH($B506,TEAM_ANALYSIS!$A$2:$A$21,0)),0)</f>
        <v>2</v>
      </c>
      <c r="AY506" s="2">
        <f t="shared" si="202"/>
        <v>-1</v>
      </c>
      <c r="AZ506" s="2">
        <f t="shared" si="203"/>
        <v>1.8672658702083869</v>
      </c>
      <c r="BA506">
        <f t="shared" si="204"/>
        <v>0.42437860686554241</v>
      </c>
      <c r="BB506">
        <f>IFERROR(Player_Analysis!$Y506,1)</f>
        <v>0.92487600988862551</v>
      </c>
      <c r="BC506">
        <f t="shared" si="205"/>
        <v>1.7269894074395449</v>
      </c>
      <c r="BD506">
        <f t="shared" si="206"/>
        <v>0.73289735880074269</v>
      </c>
      <c r="BE506">
        <f t="shared" si="207"/>
        <v>1.7269894074395449</v>
      </c>
      <c r="BF506">
        <f t="shared" si="208"/>
        <v>249</v>
      </c>
      <c r="BG506">
        <f>IF($BE506="","",COUNTIFS($C$2:$C$596,$C506,$BE$2:$BE$596,"&gt;"&amp;$BE506)+COUNTIFS($C$2:$C506,$C506,$BE$2:$BE506,$BE506))</f>
        <v>93</v>
      </c>
    </row>
    <row r="507" spans="1:59" x14ac:dyDescent="0.25">
      <c r="A507" t="str">
        <f>Player_Analysis!A507</f>
        <v>Noussair Mazraoui</v>
      </c>
      <c r="B507">
        <f>Player_Analysis!C507</f>
        <v>16</v>
      </c>
      <c r="C507" t="str">
        <f>Player_Analysis!B507</f>
        <v>DEF</v>
      </c>
      <c r="D507" s="13">
        <f>Player_Analysis!E507</f>
        <v>4.5</v>
      </c>
      <c r="E507">
        <f>Player_Analysis!I507</f>
        <v>97</v>
      </c>
      <c r="F507" s="8">
        <f>Player_Analysis!Z507</f>
        <v>1</v>
      </c>
      <c r="G507" s="17">
        <f t="shared" si="183"/>
        <v>0.92783505154639179</v>
      </c>
      <c r="H507">
        <f t="shared" si="184"/>
        <v>83.505154639175259</v>
      </c>
      <c r="I507" s="8">
        <f>Player_Analysis!AF507</f>
        <v>0</v>
      </c>
      <c r="J507" s="8">
        <f>Player_Analysis!AG507</f>
        <v>0</v>
      </c>
      <c r="K507">
        <f>Player_Analysis!O507</f>
        <v>0.22</v>
      </c>
      <c r="L507">
        <f>Player_Analysis!P507</f>
        <v>0.06</v>
      </c>
      <c r="M507">
        <f t="shared" si="185"/>
        <v>0.20412371134020618</v>
      </c>
      <c r="N507">
        <f t="shared" si="186"/>
        <v>5.5670103092783502E-2</v>
      </c>
      <c r="O507" s="2">
        <f>IF(E507=0,"",Player_Analysis!L507/E507*90)</f>
        <v>2.7835051546391751</v>
      </c>
      <c r="P507">
        <f>IF(E507=0,"",Player_Analysis!Q507/E507*90)</f>
        <v>0.25979381443298971</v>
      </c>
      <c r="Q507">
        <f>IF(E507=0,"",(Player_Analysis!AD507/E507)*90)</f>
        <v>5.5670103092783503</v>
      </c>
      <c r="R507">
        <f>IF(E507=0,"",Player_Analysis!AA507/E507*90)</f>
        <v>5.5670103092783503</v>
      </c>
      <c r="S507" t="str">
        <f t="array" ref="S507">IFERROR(INDEX('2023_24'!$O:$O,MATCH($A507,'2023_24'!$A:$A,0)),"")</f>
        <v/>
      </c>
      <c r="T507">
        <f>IFERROR(INDEX('2024_25'!$P:$P,MATCH($A507,'2024_25'!$A:$A,0)),"")</f>
        <v>2.1897038081805358E-2</v>
      </c>
      <c r="U507">
        <f>IFERROR(INDEX('2025_26'!$P:$P,MATCH($A507,'2025_26'!$A:$A,0)),"")</f>
        <v>1.7502558853633571E-2</v>
      </c>
      <c r="V507" t="str">
        <f>IFERROR(INDEX('2023_24'!$P:$P,MATCH($A507,'2023_24'!$A:$A,0)),"")</f>
        <v/>
      </c>
      <c r="W507">
        <f>IFERROR(INDEX('2024_25'!$Q:$Q,MATCH($A507,'2024_25'!$A:$A,0)),"")</f>
        <v>5.9344146685472499E-2</v>
      </c>
      <c r="X507">
        <f>IFERROR(INDEX('2025_26'!$Q:$Q,MATCH($A507,'2025_26'!$A:$A,0)),"")</f>
        <v>3.2241555783009211E-2</v>
      </c>
      <c r="Y507" t="str">
        <f>IFERROR(INDEX('2023_24'!$M:$M,MATCH($A507,'2023_24'!$A:$A,0))/INDEX('2023_24'!$G:$G,MATCH($A507,'2023_24'!$A:$A,0))*90,"")</f>
        <v/>
      </c>
      <c r="Z507">
        <f>IFERROR(INDEX('2024_25'!$M:$M,MATCH($A507,'2024_25'!$A:$A,0))/INDEX('2024_25'!$G:$G,MATCH($A507,'2024_25'!$A:$A,0))*90,"")</f>
        <v>2.7926657263751764</v>
      </c>
      <c r="AA507">
        <f>IFERROR(INDEX('2025_26'!$M:$M,MATCH($A507,'2025_26'!$A:$A,0))/INDEX('2025_26'!$G:$G,MATCH($A507,'2025_26'!$A:$A,0))*90,"")</f>
        <v>4.8822927328556807</v>
      </c>
      <c r="AB507">
        <f>IFERROR(SUMPRODUCT(S507:U507,{0.2,0.3,0.5})/SUMPRODUCT(--(S507:U507&lt;&gt;""),{0.2,0.3,0.5}),"")</f>
        <v>1.9150488564197991E-2</v>
      </c>
      <c r="AC507">
        <f>IFERROR(SUMPRODUCT(V507:X507,{0.2,0.3,0.5})/SUMPRODUCT(--(V507:X507&lt;&gt;""),{0.2,0.3,0.5}),"")</f>
        <v>4.2405027371432945E-2</v>
      </c>
      <c r="AD507">
        <f>IFERROR(SUMPRODUCT(Y507:AA507,{0.2,0.3,0.5})/SUMPRODUCT((Y507:AA507&lt;&gt;"")*{0.2,0.3,0.5}),O507)</f>
        <v>4.0986826054254912</v>
      </c>
      <c r="AE507">
        <f t="shared" si="187"/>
        <v>2</v>
      </c>
      <c r="AF507">
        <f t="shared" si="188"/>
        <v>97</v>
      </c>
      <c r="AG507">
        <f t="shared" si="189"/>
        <v>7.8958497261773966E-2</v>
      </c>
      <c r="AH507">
        <f t="shared" si="190"/>
        <v>4.6694068521336299E-2</v>
      </c>
      <c r="AI507" s="2">
        <f t="shared" si="191"/>
        <v>3.6734418963379158</v>
      </c>
      <c r="AJ507">
        <f t="shared" si="192"/>
        <v>0.32333333333333331</v>
      </c>
      <c r="AK507" t="str">
        <f t="shared" si="193"/>
        <v>NO</v>
      </c>
      <c r="AL507">
        <f t="shared" si="194"/>
        <v>7.3260461376903688E-2</v>
      </c>
      <c r="AM507">
        <f t="shared" si="195"/>
        <v>4.3324393473404811E-2</v>
      </c>
      <c r="AN507">
        <f t="shared" si="196"/>
        <v>7.3260461376903688E-2</v>
      </c>
      <c r="AO507">
        <f t="shared" si="197"/>
        <v>4.3324393473404811E-2</v>
      </c>
      <c r="AP507">
        <f t="array" ref="AP507">AL507*IF($C507="GKP",10,IF($C507="DEF",6,IF($C507="MID",5,4)))</f>
        <v>0.43956276826142215</v>
      </c>
      <c r="AQ507">
        <f t="shared" si="198"/>
        <v>0.12997318042021444</v>
      </c>
      <c r="AR507">
        <f t="shared" si="199"/>
        <v>1.8556701030927836</v>
      </c>
      <c r="AS507" s="2">
        <f>IF($H507=0,0,Player_Analysis!$AM507*$H507/90)</f>
        <v>0</v>
      </c>
      <c r="AT507">
        <f t="shared" si="200"/>
        <v>1.0330534594537144</v>
      </c>
      <c r="AU507" s="2">
        <f>0</f>
        <v>0</v>
      </c>
      <c r="AV507" s="2">
        <f>IF(INDEX(FPL_Raw_Data!K:K,MATCH(A507,FPL_Raw_Data!AA:AA,0))=0,"",INDEX(FPL_Raw_Data!P:P,MATCH(A507,FPL_Raw_Data!AA:AA,0))/INDEX(FPL_Raw_Data!K:K,MATCH(A507,FPL_Raw_Data!AA:AA,0))*90)</f>
        <v>0</v>
      </c>
      <c r="AW507" s="2">
        <f t="shared" si="201"/>
        <v>0</v>
      </c>
      <c r="AX507" s="2">
        <f>IFERROR(INDEX(TEAM_ANALYSIS!$H$2:$H$21,MATCH($B507,TEAM_ANALYSIS!$A$2:$A$21,0)),0)</f>
        <v>2</v>
      </c>
      <c r="AY507" s="2">
        <f t="shared" si="202"/>
        <v>-1</v>
      </c>
      <c r="AZ507" s="2">
        <f t="shared" si="203"/>
        <v>2.4582595112281345</v>
      </c>
      <c r="BA507">
        <f t="shared" si="204"/>
        <v>0.54627989138402988</v>
      </c>
      <c r="BB507">
        <f>IFERROR(Player_Analysis!$Y507,1)</f>
        <v>0.92487600988862551</v>
      </c>
      <c r="BC507">
        <f t="shared" si="205"/>
        <v>2.2735852480154399</v>
      </c>
      <c r="BD507">
        <f t="shared" si="206"/>
        <v>1.2420139023382071</v>
      </c>
      <c r="BE507">
        <f t="shared" si="207"/>
        <v>2.2735852480154399</v>
      </c>
      <c r="BF507">
        <f t="shared" si="208"/>
        <v>234</v>
      </c>
      <c r="BG507">
        <f>IF($BE507="","",COUNTIFS($C$2:$C$596,$C507,$BE$2:$BE$596,"&gt;"&amp;$BE507)+COUNTIFS($C$2:$C507,$C507,$BE$2:$BE507,$BE507))</f>
        <v>79</v>
      </c>
    </row>
    <row r="508" spans="1:59" x14ac:dyDescent="0.25">
      <c r="A508" t="str">
        <f>Player_Analysis!A508</f>
        <v>Luke Shaw</v>
      </c>
      <c r="B508">
        <f>Player_Analysis!C508</f>
        <v>16</v>
      </c>
      <c r="C508" t="str">
        <f>Player_Analysis!B508</f>
        <v>DEF</v>
      </c>
      <c r="D508" s="13">
        <f>Player_Analysis!E508</f>
        <v>4.4000000000000004</v>
      </c>
      <c r="E508">
        <f>Player_Analysis!I508</f>
        <v>252</v>
      </c>
      <c r="F508" s="8">
        <f>Player_Analysis!Z508</f>
        <v>3</v>
      </c>
      <c r="G508" s="17">
        <f t="shared" si="183"/>
        <v>1</v>
      </c>
      <c r="H508">
        <f t="shared" si="184"/>
        <v>90</v>
      </c>
      <c r="I508" s="8">
        <f>Player_Analysis!AF508</f>
        <v>0</v>
      </c>
      <c r="J508" s="8">
        <f>Player_Analysis!AG508</f>
        <v>1</v>
      </c>
      <c r="K508">
        <f>Player_Analysis!O508</f>
        <v>0.02</v>
      </c>
      <c r="L508">
        <f>Player_Analysis!P508</f>
        <v>0.51</v>
      </c>
      <c r="M508">
        <f t="shared" si="185"/>
        <v>7.1428571428571426E-3</v>
      </c>
      <c r="N508">
        <f t="shared" si="186"/>
        <v>0.18214285714285713</v>
      </c>
      <c r="O508" s="2">
        <f>IF(E508=0,"",Player_Analysis!L508/E508*90)</f>
        <v>2.5</v>
      </c>
      <c r="P508">
        <f>IF(E508=0,"",Player_Analysis!Q508/E508*90)</f>
        <v>0.18928571428571431</v>
      </c>
      <c r="Q508">
        <f>IF(E508=0,"",(Player_Analysis!AD508/E508)*90)</f>
        <v>16.785714285714285</v>
      </c>
      <c r="R508">
        <f>IF(E508=0,"",Player_Analysis!AA508/E508*90)</f>
        <v>7.1428571428571423</v>
      </c>
      <c r="S508">
        <f t="array" ref="S508">IFERROR(INDEX('2023_24'!$O:$O,MATCH($A508,'2023_24'!$A:$A,0)),"")</f>
        <v>4.6875000000000007E-3</v>
      </c>
      <c r="T508">
        <f>IFERROR(INDEX('2024_25'!$P:$P,MATCH($A508,'2024_25'!$A:$A,0)),"")</f>
        <v>7.8034682080924851E-3</v>
      </c>
      <c r="U508">
        <f>IFERROR(INDEX('2025_26'!$P:$P,MATCH($A508,'2025_26'!$A:$A,0)),"")</f>
        <v>2.0124223602484472E-2</v>
      </c>
      <c r="V508">
        <f>IFERROR(INDEX('2023_24'!$P:$P,MATCH($A508,'2023_24'!$A:$A,0)),"")</f>
        <v>8.3437499999999998E-2</v>
      </c>
      <c r="W508">
        <f>IFERROR(INDEX('2024_25'!$Q:$Q,MATCH($A508,'2024_25'!$A:$A,0)),"")</f>
        <v>0.20028901734104049</v>
      </c>
      <c r="X508">
        <f>IFERROR(INDEX('2025_26'!$Q:$Q,MATCH($A508,'2025_26'!$A:$A,0)),"")</f>
        <v>5.5341614906832301E-2</v>
      </c>
      <c r="Y508">
        <f>IFERROR(INDEX('2023_24'!$M:$M,MATCH($A508,'2023_24'!$A:$A,0))/INDEX('2023_24'!$G:$G,MATCH($A508,'2023_24'!$A:$A,0))*90,"")</f>
        <v>2.9062500000000004</v>
      </c>
      <c r="Z508">
        <f>IFERROR(INDEX('2024_25'!$M:$M,MATCH($A508,'2024_25'!$A:$A,0))/INDEX('2024_25'!$G:$G,MATCH($A508,'2024_25'!$A:$A,0))*90,"")</f>
        <v>1.300578034682081</v>
      </c>
      <c r="AA508">
        <f>IFERROR(INDEX('2025_26'!$M:$M,MATCH($A508,'2025_26'!$A:$A,0))/INDEX('2025_26'!$G:$G,MATCH($A508,'2025_26'!$A:$A,0))*90,"")</f>
        <v>3.158385093167702</v>
      </c>
      <c r="AB508">
        <f>IFERROR(SUMPRODUCT(S508:U508,{0.2,0.3,0.5})/SUMPRODUCT(--(S508:U508&lt;&gt;""),{0.2,0.3,0.5}),"")</f>
        <v>1.3340652263669981E-2</v>
      </c>
      <c r="AC508">
        <f>IFERROR(SUMPRODUCT(V508:X508,{0.2,0.3,0.5})/SUMPRODUCT(--(V508:X508&lt;&gt;""),{0.2,0.3,0.5}),"")</f>
        <v>0.10444501265572831</v>
      </c>
      <c r="AD508">
        <f>IFERROR(SUMPRODUCT(Y508:AA508,{0.2,0.3,0.5})/SUMPRODUCT((Y508:AA508&lt;&gt;"")*{0.2,0.3,0.5}),O508)</f>
        <v>2.5506159569884757</v>
      </c>
      <c r="AE508">
        <f t="shared" si="187"/>
        <v>3</v>
      </c>
      <c r="AF508">
        <f t="shared" si="188"/>
        <v>84</v>
      </c>
      <c r="AG508">
        <f t="shared" si="189"/>
        <v>8.1345043621871976E-3</v>
      </c>
      <c r="AH508">
        <f t="shared" si="190"/>
        <v>0.16971120202491652</v>
      </c>
      <c r="AI508" s="2">
        <f t="shared" si="191"/>
        <v>2.5080985531181561</v>
      </c>
      <c r="AJ508">
        <f t="shared" si="192"/>
        <v>0.84</v>
      </c>
      <c r="AK508" t="str">
        <f t="shared" si="193"/>
        <v>NO</v>
      </c>
      <c r="AL508">
        <f t="shared" si="194"/>
        <v>8.1345043621871976E-3</v>
      </c>
      <c r="AM508">
        <f t="shared" si="195"/>
        <v>0.16971120202491652</v>
      </c>
      <c r="AN508">
        <f t="shared" si="196"/>
        <v>8.1345043621871976E-3</v>
      </c>
      <c r="AO508">
        <f t="shared" si="197"/>
        <v>0.16971120202491652</v>
      </c>
      <c r="AP508">
        <f t="array" ref="AP508">AL508*IF($C508="GKP",10,IF($C508="DEF",6,IF($C508="MID",5,4)))</f>
        <v>4.8807026173123186E-2</v>
      </c>
      <c r="AQ508">
        <f t="shared" si="198"/>
        <v>0.50913360607474956</v>
      </c>
      <c r="AR508">
        <f t="shared" si="199"/>
        <v>2</v>
      </c>
      <c r="AS508" s="2">
        <f>IF($H508=0,0,Player_Analysis!$AM508*$H508/90)</f>
        <v>0</v>
      </c>
      <c r="AT508">
        <f t="shared" si="200"/>
        <v>1.4285714285714284</v>
      </c>
      <c r="AU508" s="2">
        <f>0</f>
        <v>0</v>
      </c>
      <c r="AV508" s="2">
        <f>IF(INDEX(FPL_Raw_Data!K:K,MATCH(A508,FPL_Raw_Data!AA:AA,0))=0,"",INDEX(FPL_Raw_Data!P:P,MATCH(A508,FPL_Raw_Data!AA:AA,0))/INDEX(FPL_Raw_Data!K:K,MATCH(A508,FPL_Raw_Data!AA:AA,0))*90)</f>
        <v>0</v>
      </c>
      <c r="AW508" s="2">
        <f t="shared" si="201"/>
        <v>0</v>
      </c>
      <c r="AX508" s="2">
        <f>IFERROR(INDEX(TEAM_ANALYSIS!$H$2:$H$21,MATCH($B508,TEAM_ANALYSIS!$A$2:$A$21,0)),0)</f>
        <v>2</v>
      </c>
      <c r="AY508" s="2">
        <f t="shared" si="202"/>
        <v>-1</v>
      </c>
      <c r="AZ508" s="2">
        <f t="shared" si="203"/>
        <v>2.986512060819301</v>
      </c>
      <c r="BA508">
        <f t="shared" si="204"/>
        <v>0.6787527410952956</v>
      </c>
      <c r="BB508">
        <f>IFERROR(Player_Analysis!$Y508,1)</f>
        <v>0.92487600988862551</v>
      </c>
      <c r="BC508">
        <f t="shared" si="205"/>
        <v>2.7621533582948112</v>
      </c>
      <c r="BD508">
        <f t="shared" si="206"/>
        <v>1.8748191632681792</v>
      </c>
      <c r="BE508">
        <f t="shared" si="207"/>
        <v>2.7621533582948112</v>
      </c>
      <c r="BF508">
        <f t="shared" si="208"/>
        <v>214</v>
      </c>
      <c r="BG508">
        <f>IF($BE508="","",COUNTIFS($C$2:$C$596,$C508,$BE$2:$BE$596,"&gt;"&amp;$BE508)+COUNTIFS($C$2:$C508,$C508,$BE$2:$BE508,$BE508))</f>
        <v>65</v>
      </c>
    </row>
    <row r="509" spans="1:59" x14ac:dyDescent="0.25">
      <c r="A509" t="str">
        <f>Player_Analysis!A509</f>
        <v>Harry Amass</v>
      </c>
      <c r="B509">
        <f>Player_Analysis!C509</f>
        <v>16</v>
      </c>
      <c r="C509" t="str">
        <f>Player_Analysis!B509</f>
        <v>DEF</v>
      </c>
      <c r="D509" s="13">
        <f>Player_Analysis!E509</f>
        <v>4</v>
      </c>
      <c r="E509">
        <f>Player_Analysis!I509</f>
        <v>0</v>
      </c>
      <c r="F509" s="8">
        <f>Player_Analysis!Z509</f>
        <v>0</v>
      </c>
      <c r="G509" s="17">
        <f t="shared" si="183"/>
        <v>0</v>
      </c>
      <c r="H509">
        <f t="shared" si="184"/>
        <v>0</v>
      </c>
      <c r="I509" s="8">
        <f>Player_Analysis!AF509</f>
        <v>0</v>
      </c>
      <c r="J509" s="8">
        <f>Player_Analysis!AG509</f>
        <v>0</v>
      </c>
      <c r="K509">
        <f>Player_Analysis!O509</f>
        <v>0</v>
      </c>
      <c r="L509">
        <f>Player_Analysis!P509</f>
        <v>0</v>
      </c>
      <c r="M509" t="str">
        <f t="shared" si="185"/>
        <v/>
      </c>
      <c r="N509" t="str">
        <f t="shared" si="186"/>
        <v/>
      </c>
      <c r="O509" s="2" t="str">
        <f>IF(E509=0,"",Player_Analysis!L509/E509*90)</f>
        <v/>
      </c>
      <c r="P509" t="str">
        <f>IF(E509=0,"",Player_Analysis!Q509/E509*90)</f>
        <v/>
      </c>
      <c r="Q509" t="str">
        <f>IF(E509=0,"",(Player_Analysis!AD509/E509)*90)</f>
        <v/>
      </c>
      <c r="R509" t="str">
        <f>IF(E509=0,"",Player_Analysis!AA509/E509*90)</f>
        <v/>
      </c>
      <c r="S509">
        <f t="array" ref="S509">IFERROR(INDEX('2023_24'!$O:$O,MATCH($A509,'2023_24'!$A:$A,0)),"")</f>
        <v>0</v>
      </c>
      <c r="T509">
        <f>IFERROR(INDEX('2024_25'!$P:$P,MATCH($A509,'2024_25'!$A:$A,0)),"")</f>
        <v>1.8260869565217393E-2</v>
      </c>
      <c r="U509">
        <f>IFERROR(INDEX('2025_26'!$P:$P,MATCH($A509,'2025_26'!$A:$A,0)),"")</f>
        <v>0</v>
      </c>
      <c r="V509">
        <f>IFERROR(INDEX('2023_24'!$P:$P,MATCH($A509,'2023_24'!$A:$A,0)),"")</f>
        <v>0</v>
      </c>
      <c r="W509">
        <f>IFERROR(INDEX('2024_25'!$Q:$Q,MATCH($A509,'2024_25'!$A:$A,0)),"")</f>
        <v>1.8260869565217393E-2</v>
      </c>
      <c r="X509">
        <f>IFERROR(INDEX('2025_26'!$Q:$Q,MATCH($A509,'2025_26'!$A:$A,0)),"")</f>
        <v>0</v>
      </c>
      <c r="Y509" t="str">
        <f>IFERROR(INDEX('2023_24'!$M:$M,MATCH($A509,'2023_24'!$A:$A,0))/INDEX('2023_24'!$G:$G,MATCH($A509,'2023_24'!$A:$A,0))*90,"")</f>
        <v/>
      </c>
      <c r="Z509">
        <f>IFERROR(INDEX('2024_25'!$M:$M,MATCH($A509,'2024_25'!$A:$A,0))/INDEX('2024_25'!$G:$G,MATCH($A509,'2024_25'!$A:$A,0))*90,"")</f>
        <v>1.0434782608695652</v>
      </c>
      <c r="AA509" t="str">
        <f>IFERROR(INDEX('2025_26'!$M:$M,MATCH($A509,'2025_26'!$A:$A,0))/INDEX('2025_26'!$G:$G,MATCH($A509,'2025_26'!$A:$A,0))*90,"")</f>
        <v/>
      </c>
      <c r="AB509">
        <f>IFERROR(SUMPRODUCT(S509:U509,{0.2,0.3,0.5})/SUMPRODUCT(--(S509:U509&lt;&gt;""),{0.2,0.3,0.5}),"")</f>
        <v>5.478260869565218E-3</v>
      </c>
      <c r="AC509">
        <f>IFERROR(SUMPRODUCT(V509:X509,{0.2,0.3,0.5})/SUMPRODUCT(--(V509:X509&lt;&gt;""),{0.2,0.3,0.5}),"")</f>
        <v>5.478260869565218E-3</v>
      </c>
      <c r="AD509">
        <f>IFERROR(SUMPRODUCT(Y509:AA509,{0.2,0.3,0.5})/SUMPRODUCT((Y509:AA509&lt;&gt;"")*{0.2,0.3,0.5}),O509)</f>
        <v>1.0434782608695652</v>
      </c>
      <c r="AE509">
        <f t="shared" si="187"/>
        <v>3</v>
      </c>
      <c r="AF509" t="str">
        <f t="shared" si="188"/>
        <v/>
      </c>
      <c r="AG509">
        <f t="shared" si="189"/>
        <v>5.478260869565218E-3</v>
      </c>
      <c r="AH509">
        <f t="shared" si="190"/>
        <v>5.478260869565218E-3</v>
      </c>
      <c r="AI509" s="2">
        <f t="shared" si="191"/>
        <v>1.0434782608695652</v>
      </c>
      <c r="AJ509">
        <f t="shared" si="192"/>
        <v>0</v>
      </c>
      <c r="AK509" t="str">
        <f t="shared" si="193"/>
        <v>NO</v>
      </c>
      <c r="AL509">
        <f t="shared" si="194"/>
        <v>0</v>
      </c>
      <c r="AM509">
        <f t="shared" si="195"/>
        <v>0</v>
      </c>
      <c r="AN509">
        <f t="shared" si="196"/>
        <v>0</v>
      </c>
      <c r="AO509">
        <f t="shared" si="197"/>
        <v>0</v>
      </c>
      <c r="AP509">
        <f t="array" ref="AP509">AL509*IF($C509="GKP",10,IF($C509="DEF",6,IF($C509="MID",5,4)))</f>
        <v>0</v>
      </c>
      <c r="AQ509">
        <f t="shared" si="198"/>
        <v>0</v>
      </c>
      <c r="AR509">
        <f t="shared" si="199"/>
        <v>0</v>
      </c>
      <c r="AS509" s="2">
        <f>IF($H509=0,0,Player_Analysis!$AM509*$H509/90)</f>
        <v>0</v>
      </c>
      <c r="AT509">
        <f t="shared" si="200"/>
        <v>0</v>
      </c>
      <c r="AU509" s="2">
        <f>0</f>
        <v>0</v>
      </c>
      <c r="AV509" s="2" t="str">
        <f>IF(INDEX(FPL_Raw_Data!K:K,MATCH(A509,FPL_Raw_Data!AA:AA,0))=0,"",INDEX(FPL_Raw_Data!P:P,MATCH(A509,FPL_Raw_Data!AA:AA,0))/INDEX(FPL_Raw_Data!K:K,MATCH(A509,FPL_Raw_Data!AA:AA,0))*90)</f>
        <v/>
      </c>
      <c r="AW509" s="2">
        <f t="shared" si="201"/>
        <v>0</v>
      </c>
      <c r="AX509" s="2">
        <f>IFERROR(INDEX(TEAM_ANALYSIS!$H$2:$H$21,MATCH($B509,TEAM_ANALYSIS!$A$2:$A$21,0)),0)</f>
        <v>2</v>
      </c>
      <c r="AY509" s="2">
        <f t="shared" si="202"/>
        <v>-1</v>
      </c>
      <c r="AZ509" s="2">
        <f t="shared" si="203"/>
        <v>-1</v>
      </c>
      <c r="BA509">
        <f t="shared" si="204"/>
        <v>-0.25</v>
      </c>
      <c r="BB509">
        <f>IFERROR(Player_Analysis!$Y509,1)</f>
        <v>0.92487600988862551</v>
      </c>
      <c r="BC509">
        <f t="shared" si="205"/>
        <v>-0.92487600988862551</v>
      </c>
      <c r="BD509">
        <f t="shared" si="206"/>
        <v>0.23121900247215638</v>
      </c>
      <c r="BE509">
        <f t="shared" si="207"/>
        <v>-0.92487600988862551</v>
      </c>
      <c r="BF509">
        <f t="shared" si="208"/>
        <v>573</v>
      </c>
      <c r="BG509">
        <f>IF($BE509="","",COUNTIFS($C$2:$C$596,$C509,$BE$2:$BE$596,"&gt;"&amp;$BE509)+COUNTIFS($C$2:$C509,$C509,$BE$2:$BE509,$BE509))</f>
        <v>172</v>
      </c>
    </row>
    <row r="510" spans="1:59" x14ac:dyDescent="0.25">
      <c r="A510" t="str">
        <f>Player_Analysis!A510</f>
        <v>Tyler Fredricson</v>
      </c>
      <c r="B510">
        <f>Player_Analysis!C510</f>
        <v>16</v>
      </c>
      <c r="C510" t="str">
        <f>Player_Analysis!B510</f>
        <v>DEF</v>
      </c>
      <c r="D510" s="13">
        <f>Player_Analysis!E510</f>
        <v>4</v>
      </c>
      <c r="E510">
        <f>Player_Analysis!I510</f>
        <v>0</v>
      </c>
      <c r="F510" s="8">
        <f>Player_Analysis!Z510</f>
        <v>0</v>
      </c>
      <c r="G510" s="17">
        <f t="shared" si="183"/>
        <v>0</v>
      </c>
      <c r="H510">
        <f t="shared" si="184"/>
        <v>0</v>
      </c>
      <c r="I510" s="8">
        <f>Player_Analysis!AF510</f>
        <v>0</v>
      </c>
      <c r="J510" s="8">
        <f>Player_Analysis!AG510</f>
        <v>0</v>
      </c>
      <c r="K510">
        <f>Player_Analysis!O510</f>
        <v>0</v>
      </c>
      <c r="L510">
        <f>Player_Analysis!P510</f>
        <v>0</v>
      </c>
      <c r="M510" t="str">
        <f t="shared" si="185"/>
        <v/>
      </c>
      <c r="N510" t="str">
        <f t="shared" si="186"/>
        <v/>
      </c>
      <c r="O510" s="2" t="str">
        <f>IF(E510=0,"",Player_Analysis!L510/E510*90)</f>
        <v/>
      </c>
      <c r="P510" t="str">
        <f>IF(E510=0,"",Player_Analysis!Q510/E510*90)</f>
        <v/>
      </c>
      <c r="Q510" t="str">
        <f>IF(E510=0,"",(Player_Analysis!AD510/E510)*90)</f>
        <v/>
      </c>
      <c r="R510" t="str">
        <f>IF(E510=0,"",Player_Analysis!AA510/E510*90)</f>
        <v/>
      </c>
      <c r="S510" t="str">
        <f t="array" ref="S510">IFERROR(INDEX('2023_24'!$O:$O,MATCH($A510,'2023_24'!$A:$A,0)),"")</f>
        <v/>
      </c>
      <c r="T510">
        <f>IFERROR(INDEX('2024_25'!$P:$P,MATCH($A510,'2024_25'!$A:$A,0)),"")</f>
        <v>0</v>
      </c>
      <c r="U510">
        <f>IFERROR(INDEX('2025_26'!$P:$P,MATCH($A510,'2025_26'!$A:$A,0)),"")</f>
        <v>0</v>
      </c>
      <c r="V510" t="str">
        <f>IFERROR(INDEX('2023_24'!$P:$P,MATCH($A510,'2023_24'!$A:$A,0)),"")</f>
        <v/>
      </c>
      <c r="W510">
        <f>IFERROR(INDEX('2024_25'!$Q:$Q,MATCH($A510,'2024_25'!$A:$A,0)),"")</f>
        <v>1.0843373493975903E-2</v>
      </c>
      <c r="X510">
        <f>IFERROR(INDEX('2025_26'!$Q:$Q,MATCH($A510,'2025_26'!$A:$A,0)),"")</f>
        <v>0</v>
      </c>
      <c r="Y510" t="str">
        <f>IFERROR(INDEX('2023_24'!$M:$M,MATCH($A510,'2023_24'!$A:$A,0))/INDEX('2023_24'!$G:$G,MATCH($A510,'2023_24'!$A:$A,0))*90,"")</f>
        <v/>
      </c>
      <c r="Z510">
        <f>IFERROR(INDEX('2024_25'!$M:$M,MATCH($A510,'2024_25'!$A:$A,0))/INDEX('2024_25'!$G:$G,MATCH($A510,'2024_25'!$A:$A,0))*90,"")</f>
        <v>1.0843373493975905</v>
      </c>
      <c r="AA510">
        <f>IFERROR(INDEX('2025_26'!$M:$M,MATCH($A510,'2025_26'!$A:$A,0))/INDEX('2025_26'!$G:$G,MATCH($A510,'2025_26'!$A:$A,0))*90,"")</f>
        <v>45</v>
      </c>
      <c r="AB510">
        <f>IFERROR(SUMPRODUCT(S510:U510,{0.2,0.3,0.5})/SUMPRODUCT(--(S510:U510&lt;&gt;""),{0.2,0.3,0.5}),"")</f>
        <v>0</v>
      </c>
      <c r="AC510">
        <f>IFERROR(SUMPRODUCT(V510:X510,{0.2,0.3,0.5})/SUMPRODUCT(--(V510:X510&lt;&gt;""),{0.2,0.3,0.5}),"")</f>
        <v>4.0662650602409636E-3</v>
      </c>
      <c r="AD510">
        <f>IFERROR(SUMPRODUCT(Y510:AA510,{0.2,0.3,0.5})/SUMPRODUCT((Y510:AA510&lt;&gt;"")*{0.2,0.3,0.5}),O510)</f>
        <v>28.531626506024093</v>
      </c>
      <c r="AE510">
        <f t="shared" si="187"/>
        <v>2</v>
      </c>
      <c r="AF510" t="str">
        <f t="shared" si="188"/>
        <v/>
      </c>
      <c r="AG510">
        <f t="shared" si="189"/>
        <v>0</v>
      </c>
      <c r="AH510">
        <f t="shared" si="190"/>
        <v>4.0662650602409636E-3</v>
      </c>
      <c r="AI510" s="2">
        <f t="shared" si="191"/>
        <v>28.531626506024093</v>
      </c>
      <c r="AJ510">
        <f t="shared" si="192"/>
        <v>0</v>
      </c>
      <c r="AK510" t="str">
        <f t="shared" si="193"/>
        <v>NO</v>
      </c>
      <c r="AL510">
        <f t="shared" si="194"/>
        <v>0</v>
      </c>
      <c r="AM510">
        <f t="shared" si="195"/>
        <v>0</v>
      </c>
      <c r="AN510">
        <f t="shared" si="196"/>
        <v>0</v>
      </c>
      <c r="AO510">
        <f t="shared" si="197"/>
        <v>0</v>
      </c>
      <c r="AP510">
        <f t="array" ref="AP510">AL510*IF($C510="GKP",10,IF($C510="DEF",6,IF($C510="MID",5,4)))</f>
        <v>0</v>
      </c>
      <c r="AQ510">
        <f t="shared" si="198"/>
        <v>0</v>
      </c>
      <c r="AR510">
        <f t="shared" si="199"/>
        <v>0</v>
      </c>
      <c r="AS510" s="2">
        <f>IF($H510=0,0,Player_Analysis!$AM510*$H510/90)</f>
        <v>0</v>
      </c>
      <c r="AT510">
        <f t="shared" si="200"/>
        <v>0</v>
      </c>
      <c r="AU510" s="2">
        <f>0</f>
        <v>0</v>
      </c>
      <c r="AV510" s="2" t="str">
        <f>IF(INDEX(FPL_Raw_Data!K:K,MATCH(A510,FPL_Raw_Data!AA:AA,0))=0,"",INDEX(FPL_Raw_Data!P:P,MATCH(A510,FPL_Raw_Data!AA:AA,0))/INDEX(FPL_Raw_Data!K:K,MATCH(A510,FPL_Raw_Data!AA:AA,0))*90)</f>
        <v/>
      </c>
      <c r="AW510" s="2">
        <f t="shared" si="201"/>
        <v>0</v>
      </c>
      <c r="AX510" s="2">
        <f>IFERROR(INDEX(TEAM_ANALYSIS!$H$2:$H$21,MATCH($B510,TEAM_ANALYSIS!$A$2:$A$21,0)),0)</f>
        <v>2</v>
      </c>
      <c r="AY510" s="2">
        <f t="shared" si="202"/>
        <v>-1</v>
      </c>
      <c r="AZ510" s="2">
        <f t="shared" si="203"/>
        <v>-1</v>
      </c>
      <c r="BA510">
        <f t="shared" si="204"/>
        <v>-0.25</v>
      </c>
      <c r="BB510">
        <f>IFERROR(Player_Analysis!$Y510,1)</f>
        <v>0.92487600988862551</v>
      </c>
      <c r="BC510">
        <f t="shared" si="205"/>
        <v>-0.92487600988862551</v>
      </c>
      <c r="BD510">
        <f t="shared" si="206"/>
        <v>0.23121900247215638</v>
      </c>
      <c r="BE510">
        <f t="shared" si="207"/>
        <v>-0.92487600988862551</v>
      </c>
      <c r="BF510">
        <f t="shared" si="208"/>
        <v>573</v>
      </c>
      <c r="BG510">
        <f>IF($BE510="","",COUNTIFS($C$2:$C$596,$C510,$BE$2:$BE$596,"&gt;"&amp;$BE510)+COUNTIFS($C$2:$C510,$C510,$BE$2:$BE510,$BE510))</f>
        <v>173</v>
      </c>
    </row>
    <row r="511" spans="1:59" x14ac:dyDescent="0.25">
      <c r="A511" t="str">
        <f>Player_Analysis!A511</f>
        <v>Bruno Borges Fernandes</v>
      </c>
      <c r="B511">
        <f>Player_Analysis!C511</f>
        <v>16</v>
      </c>
      <c r="C511" t="str">
        <f>Player_Analysis!B511</f>
        <v>MID</v>
      </c>
      <c r="D511" s="13">
        <f>Player_Analysis!E511</f>
        <v>12</v>
      </c>
      <c r="E511">
        <f>Player_Analysis!I511</f>
        <v>270</v>
      </c>
      <c r="F511" s="8">
        <f>Player_Analysis!Z511</f>
        <v>3</v>
      </c>
      <c r="G511" s="17">
        <f t="shared" si="183"/>
        <v>1</v>
      </c>
      <c r="H511">
        <f t="shared" si="184"/>
        <v>90</v>
      </c>
      <c r="I511" s="8">
        <f>Player_Analysis!AF511</f>
        <v>3</v>
      </c>
      <c r="J511" s="8">
        <f>Player_Analysis!AG511</f>
        <v>1</v>
      </c>
      <c r="K511">
        <f>Player_Analysis!O511</f>
        <v>2.25</v>
      </c>
      <c r="L511">
        <f>Player_Analysis!P511</f>
        <v>0.8</v>
      </c>
      <c r="M511">
        <f t="shared" si="185"/>
        <v>0.75</v>
      </c>
      <c r="N511">
        <f t="shared" si="186"/>
        <v>0.26666666666666672</v>
      </c>
      <c r="O511" s="2">
        <f>IF(E511=0,"",Player_Analysis!L511/E511*90)</f>
        <v>9</v>
      </c>
      <c r="P511">
        <f>IF(E511=0,"",Player_Analysis!Q511/E511*90)</f>
        <v>1.0166666666666666</v>
      </c>
      <c r="Q511">
        <f>IF(E511=0,"",(Player_Analysis!AD511/E511)*90)</f>
        <v>38.666666666666664</v>
      </c>
      <c r="R511">
        <f>IF(E511=0,"",Player_Analysis!AA511/E511*90)</f>
        <v>5.3333333333333339</v>
      </c>
      <c r="S511">
        <f t="array" ref="S511">IFERROR(INDEX('2023_24'!$O:$O,MATCH($A511,'2023_24'!$A:$A,0)),"")</f>
        <v>0.28085311096856957</v>
      </c>
      <c r="T511">
        <f>IFERROR(INDEX('2024_25'!$P:$P,MATCH($A511,'2024_25'!$A:$A,0)),"")</f>
        <v>0.29622141199867419</v>
      </c>
      <c r="U511">
        <f>IFERROR(INDEX('2025_26'!$P:$P,MATCH($A511,'2025_26'!$A:$A,0)),"")</f>
        <v>0.31683523654159867</v>
      </c>
      <c r="V511">
        <f>IFERROR(INDEX('2023_24'!$P:$P,MATCH($A511,'2023_24'!$A:$A,0)),"")</f>
        <v>0.29528543938422069</v>
      </c>
      <c r="W511">
        <f>IFERROR(INDEX('2024_25'!$Q:$Q,MATCH($A511,'2024_25'!$A:$A,0)),"")</f>
        <v>0.23536625787205831</v>
      </c>
      <c r="X511">
        <f>IFERROR(INDEX('2025_26'!$Q:$Q,MATCH($A511,'2025_26'!$A:$A,0)),"")</f>
        <v>0.36058727569331156</v>
      </c>
      <c r="Y511">
        <f>IFERROR(INDEX('2023_24'!$M:$M,MATCH($A511,'2023_24'!$A:$A,0))/INDEX('2023_24'!$G:$G,MATCH($A511,'2023_24'!$A:$A,0))*90,"")</f>
        <v>4.791533033996151</v>
      </c>
      <c r="Z511">
        <f>IFERROR(INDEX('2024_25'!$M:$M,MATCH($A511,'2024_25'!$A:$A,0))/INDEX('2024_25'!$G:$G,MATCH($A511,'2024_25'!$A:$A,0))*90,"")</f>
        <v>5.190586675505469</v>
      </c>
      <c r="AA511">
        <f>IFERROR(INDEX('2025_26'!$M:$M,MATCH($A511,'2025_26'!$A:$A,0))/INDEX('2025_26'!$G:$G,MATCH($A511,'2025_26'!$A:$A,0))*90,"")</f>
        <v>6.9004893964110936</v>
      </c>
      <c r="AB511">
        <f>IFERROR(SUMPRODUCT(S511:U511,{0.2,0.3,0.5})/SUMPRODUCT(--(S511:U511&lt;&gt;""),{0.2,0.3,0.5}),"")</f>
        <v>0.30345466406411548</v>
      </c>
      <c r="AC511">
        <f>IFERROR(SUMPRODUCT(V511:X511,{0.2,0.3,0.5})/SUMPRODUCT(--(V511:X511&lt;&gt;""),{0.2,0.3,0.5}),"")</f>
        <v>0.30996060308511741</v>
      </c>
      <c r="AD511">
        <f>IFERROR(SUMPRODUCT(Y511:AA511,{0.2,0.3,0.5})/SUMPRODUCT((Y511:AA511&lt;&gt;"")*{0.2,0.3,0.5}),O511)</f>
        <v>5.965727307656417</v>
      </c>
      <c r="AE511">
        <f t="shared" si="187"/>
        <v>3</v>
      </c>
      <c r="AF511">
        <f t="shared" si="188"/>
        <v>90</v>
      </c>
      <c r="AG511">
        <f t="shared" si="189"/>
        <v>0.7053454664064116</v>
      </c>
      <c r="AH511">
        <f t="shared" si="190"/>
        <v>0.27099606030851175</v>
      </c>
      <c r="AI511" s="2">
        <f t="shared" si="191"/>
        <v>8.6965727307656415</v>
      </c>
      <c r="AJ511">
        <f t="shared" si="192"/>
        <v>0.9</v>
      </c>
      <c r="AK511" t="str">
        <f t="shared" si="193"/>
        <v>NO</v>
      </c>
      <c r="AL511">
        <f t="shared" si="194"/>
        <v>0.7053454664064116</v>
      </c>
      <c r="AM511">
        <f t="shared" si="195"/>
        <v>0.27099606030851175</v>
      </c>
      <c r="AN511">
        <f t="shared" si="196"/>
        <v>0.7053454664064116</v>
      </c>
      <c r="AO511">
        <f t="shared" si="197"/>
        <v>0.27099606030851175</v>
      </c>
      <c r="AP511">
        <f t="array" ref="AP511">AL511*IF($C511="GKP",10,IF($C511="DEF",6,IF($C511="MID",5,4)))</f>
        <v>3.526727332032058</v>
      </c>
      <c r="AQ511">
        <f t="shared" si="198"/>
        <v>0.81298818092553526</v>
      </c>
      <c r="AR511">
        <f t="shared" si="199"/>
        <v>2</v>
      </c>
      <c r="AS511" s="2">
        <f>IF($H511=0,0,Player_Analysis!$AM511*$H511/90)</f>
        <v>0</v>
      </c>
      <c r="AT511">
        <f t="shared" si="200"/>
        <v>0.88888888888888895</v>
      </c>
      <c r="AU511" s="2">
        <f>0</f>
        <v>0</v>
      </c>
      <c r="AV511" s="2">
        <f>IF(INDEX(FPL_Raw_Data!K:K,MATCH(A511,FPL_Raw_Data!AA:AA,0))=0,"",INDEX(FPL_Raw_Data!P:P,MATCH(A511,FPL_Raw_Data!AA:AA,0))/INDEX(FPL_Raw_Data!K:K,MATCH(A511,FPL_Raw_Data!AA:AA,0))*90)</f>
        <v>0</v>
      </c>
      <c r="AW511" s="2">
        <f t="shared" si="201"/>
        <v>0</v>
      </c>
      <c r="AX511" s="2">
        <f>IFERROR(INDEX(TEAM_ANALYSIS!$H$2:$H$21,MATCH($B511,TEAM_ANALYSIS!$A$2:$A$21,0)),0)</f>
        <v>2</v>
      </c>
      <c r="AY511" s="2">
        <f t="shared" si="202"/>
        <v>0</v>
      </c>
      <c r="AZ511" s="2">
        <f t="shared" si="203"/>
        <v>7.2286044018464821</v>
      </c>
      <c r="BA511">
        <f t="shared" si="204"/>
        <v>0.60238370015387355</v>
      </c>
      <c r="BB511">
        <f>IFERROR(Player_Analysis!$Y511,1)</f>
        <v>1.0979325259515571</v>
      </c>
      <c r="BC511">
        <f t="shared" si="205"/>
        <v>7.9365198900238525</v>
      </c>
      <c r="BD511">
        <f t="shared" si="206"/>
        <v>4.7808302176973818</v>
      </c>
      <c r="BE511">
        <f t="shared" si="207"/>
        <v>7.9365198900238525</v>
      </c>
      <c r="BF511">
        <f t="shared" si="208"/>
        <v>10</v>
      </c>
      <c r="BG511">
        <f>IF($BE511="","",COUNTIFS($C$2:$C$596,$C511,$BE$2:$BE$596,"&gt;"&amp;$BE511)+COUNTIFS($C$2:$C511,$C511,$BE$2:$BE511,$BE511))</f>
        <v>1</v>
      </c>
    </row>
    <row r="512" spans="1:59" x14ac:dyDescent="0.25">
      <c r="A512" t="str">
        <f>Player_Analysis!A512</f>
        <v>Bryan Mbeumo</v>
      </c>
      <c r="B512">
        <f>Player_Analysis!C512</f>
        <v>16</v>
      </c>
      <c r="C512" t="str">
        <f>Player_Analysis!B512</f>
        <v>MID</v>
      </c>
      <c r="D512" s="13">
        <f>Player_Analysis!E512</f>
        <v>7.9</v>
      </c>
      <c r="E512">
        <f>Player_Analysis!I512</f>
        <v>270</v>
      </c>
      <c r="F512" s="8">
        <f>Player_Analysis!Z512</f>
        <v>3</v>
      </c>
      <c r="G512" s="17">
        <f t="shared" si="183"/>
        <v>1</v>
      </c>
      <c r="H512">
        <f t="shared" si="184"/>
        <v>90</v>
      </c>
      <c r="I512" s="8">
        <f>Player_Analysis!AF512</f>
        <v>2</v>
      </c>
      <c r="J512" s="8">
        <f>Player_Analysis!AG512</f>
        <v>1</v>
      </c>
      <c r="K512">
        <f>Player_Analysis!O512</f>
        <v>2.31</v>
      </c>
      <c r="L512">
        <f>Player_Analysis!P512</f>
        <v>0.47</v>
      </c>
      <c r="M512">
        <f t="shared" si="185"/>
        <v>0.77</v>
      </c>
      <c r="N512">
        <f t="shared" si="186"/>
        <v>0.15666666666666665</v>
      </c>
      <c r="O512" s="2">
        <f>IF(E512=0,"",Player_Analysis!L512/E512*90)</f>
        <v>7</v>
      </c>
      <c r="P512">
        <f>IF(E512=0,"",Player_Analysis!Q512/E512*90)</f>
        <v>0.92666666666666653</v>
      </c>
      <c r="Q512">
        <f>IF(E512=0,"",(Player_Analysis!AD512/E512)*90)</f>
        <v>25.999999999999996</v>
      </c>
      <c r="R512">
        <f>IF(E512=0,"",Player_Analysis!AA512/E512*90)</f>
        <v>5.6666666666666661</v>
      </c>
      <c r="S512">
        <f t="array" ref="S512">IFERROR(INDEX('2023_24'!$O:$O,MATCH($A512,'2023_24'!$A:$A,0)),"")</f>
        <v>0.44609095554420031</v>
      </c>
      <c r="T512">
        <f>IFERROR(INDEX('2024_25'!$P:$P,MATCH($A512,'2024_25'!$A:$A,0)),"")</f>
        <v>0.32995607613469985</v>
      </c>
      <c r="U512">
        <f>IFERROR(INDEX('2025_26'!$P:$P,MATCH($A512,'2025_26'!$A:$A,0)),"")</f>
        <v>0.41294523171198771</v>
      </c>
      <c r="V512">
        <f>IFERROR(INDEX('2023_24'!$P:$P,MATCH($A512,'2023_24'!$A:$A,0)),"")</f>
        <v>0.2607562595809913</v>
      </c>
      <c r="W512">
        <f>IFERROR(INDEX('2024_25'!$Q:$Q,MATCH($A512,'2024_25'!$A:$A,0)),"")</f>
        <v>0.24351390922401173</v>
      </c>
      <c r="X512">
        <f>IFERROR(INDEX('2025_26'!$Q:$Q,MATCH($A512,'2025_26'!$A:$A,0)),"")</f>
        <v>0.17200306396016851</v>
      </c>
      <c r="Y512">
        <f>IFERROR(INDEX('2023_24'!$M:$M,MATCH($A512,'2023_24'!$A:$A,0))/INDEX('2023_24'!$G:$G,MATCH($A512,'2023_24'!$A:$A,0))*90,"")</f>
        <v>5.8405723045477771</v>
      </c>
      <c r="Z512">
        <f>IFERROR(INDEX('2024_25'!$M:$M,MATCH($A512,'2024_25'!$A:$A,0))/INDEX('2024_25'!$G:$G,MATCH($A512,'2024_25'!$A:$A,0))*90,"")</f>
        <v>6.219619326500732</v>
      </c>
      <c r="AA512">
        <f>IFERROR(INDEX('2025_26'!$M:$M,MATCH($A512,'2025_26'!$A:$A,0))/INDEX('2025_26'!$G:$G,MATCH($A512,'2025_26'!$A:$A,0))*90,"")</f>
        <v>5.101493680582152</v>
      </c>
      <c r="AB512">
        <f>IFERROR(SUMPRODUCT(S512:U512,{0.2,0.3,0.5})/SUMPRODUCT(--(S512:U512&lt;&gt;""),{0.2,0.3,0.5}),"")</f>
        <v>0.3946776298052439</v>
      </c>
      <c r="AC512">
        <f>IFERROR(SUMPRODUCT(V512:X512,{0.2,0.3,0.5})/SUMPRODUCT(--(V512:X512&lt;&gt;""),{0.2,0.3,0.5}),"")</f>
        <v>0.21120695666348605</v>
      </c>
      <c r="AD512">
        <f>IFERROR(SUMPRODUCT(Y512:AA512,{0.2,0.3,0.5})/SUMPRODUCT((Y512:AA512&lt;&gt;"")*{0.2,0.3,0.5}),O512)</f>
        <v>5.5847470991508512</v>
      </c>
      <c r="AE512">
        <f t="shared" si="187"/>
        <v>3</v>
      </c>
      <c r="AF512">
        <f t="shared" si="188"/>
        <v>90</v>
      </c>
      <c r="AG512">
        <f t="shared" si="189"/>
        <v>0.73246776298052441</v>
      </c>
      <c r="AH512">
        <f t="shared" si="190"/>
        <v>0.1621206956663486</v>
      </c>
      <c r="AI512" s="2">
        <f t="shared" si="191"/>
        <v>6.8584747099150851</v>
      </c>
      <c r="AJ512">
        <f t="shared" si="192"/>
        <v>0.9</v>
      </c>
      <c r="AK512" t="str">
        <f t="shared" si="193"/>
        <v>NO</v>
      </c>
      <c r="AL512">
        <f t="shared" si="194"/>
        <v>0.73246776298052452</v>
      </c>
      <c r="AM512">
        <f t="shared" si="195"/>
        <v>0.1621206956663486</v>
      </c>
      <c r="AN512">
        <f t="shared" si="196"/>
        <v>0.73246776298052452</v>
      </c>
      <c r="AO512">
        <f t="shared" si="197"/>
        <v>0.1621206956663486</v>
      </c>
      <c r="AP512">
        <f t="array" ref="AP512">AL512*IF($C512="GKP",10,IF($C512="DEF",6,IF($C512="MID",5,4)))</f>
        <v>3.6623388149026228</v>
      </c>
      <c r="AQ512">
        <f t="shared" si="198"/>
        <v>0.48636208699904582</v>
      </c>
      <c r="AR512">
        <f t="shared" si="199"/>
        <v>2</v>
      </c>
      <c r="AS512" s="2">
        <f>IF($H512=0,0,Player_Analysis!$AM512*$H512/90)</f>
        <v>0</v>
      </c>
      <c r="AT512">
        <f t="shared" si="200"/>
        <v>0.94444444444444431</v>
      </c>
      <c r="AU512" s="2">
        <f>0</f>
        <v>0</v>
      </c>
      <c r="AV512" s="2">
        <f>IF(INDEX(FPL_Raw_Data!K:K,MATCH(A512,FPL_Raw_Data!AA:AA,0))=0,"",INDEX(FPL_Raw_Data!P:P,MATCH(A512,FPL_Raw_Data!AA:AA,0))/INDEX(FPL_Raw_Data!K:K,MATCH(A512,FPL_Raw_Data!AA:AA,0))*90)</f>
        <v>0</v>
      </c>
      <c r="AW512" s="2">
        <f t="shared" si="201"/>
        <v>0</v>
      </c>
      <c r="AX512" s="2">
        <f>IFERROR(INDEX(TEAM_ANALYSIS!$H$2:$H$21,MATCH($B512,TEAM_ANALYSIS!$A$2:$A$21,0)),0)</f>
        <v>2</v>
      </c>
      <c r="AY512" s="2">
        <f t="shared" si="202"/>
        <v>0</v>
      </c>
      <c r="AZ512" s="2">
        <f t="shared" si="203"/>
        <v>7.0931453463461134</v>
      </c>
      <c r="BA512">
        <f t="shared" si="204"/>
        <v>0.89786649953748265</v>
      </c>
      <c r="BB512">
        <f>IFERROR(Player_Analysis!$Y512,1)</f>
        <v>1.0979325259515571</v>
      </c>
      <c r="BC512">
        <f t="shared" si="205"/>
        <v>7.7877949870553209</v>
      </c>
      <c r="BD512">
        <f t="shared" si="206"/>
        <v>6.9924002241429157</v>
      </c>
      <c r="BE512">
        <f t="shared" si="207"/>
        <v>7.7877949870553209</v>
      </c>
      <c r="BF512">
        <f t="shared" si="208"/>
        <v>11</v>
      </c>
      <c r="BG512">
        <f>IF($BE512="","",COUNTIFS($C$2:$C$596,$C512,$BE$2:$BE$596,"&gt;"&amp;$BE512)+COUNTIFS($C$2:$C512,$C512,$BE$2:$BE512,$BE512))</f>
        <v>2</v>
      </c>
    </row>
    <row r="513" spans="1:59" x14ac:dyDescent="0.25">
      <c r="A513" t="str">
        <f>Player_Analysis!A513</f>
        <v>Matheus Santos Carneiro da Cunha</v>
      </c>
      <c r="B513">
        <f>Player_Analysis!C513</f>
        <v>16</v>
      </c>
      <c r="C513" t="str">
        <f>Player_Analysis!B513</f>
        <v>MID</v>
      </c>
      <c r="D513" s="13">
        <f>Player_Analysis!E513</f>
        <v>7.9</v>
      </c>
      <c r="E513">
        <f>Player_Analysis!I513</f>
        <v>227</v>
      </c>
      <c r="F513" s="8">
        <f>Player_Analysis!Z513</f>
        <v>3</v>
      </c>
      <c r="G513" s="17">
        <f t="shared" si="183"/>
        <v>1</v>
      </c>
      <c r="H513">
        <f t="shared" si="184"/>
        <v>90</v>
      </c>
      <c r="I513" s="8">
        <f>Player_Analysis!AF513</f>
        <v>0</v>
      </c>
      <c r="J513" s="8">
        <f>Player_Analysis!AG513</f>
        <v>2</v>
      </c>
      <c r="K513">
        <f>Player_Analysis!O513</f>
        <v>0.47</v>
      </c>
      <c r="L513">
        <f>Player_Analysis!P513</f>
        <v>0.41</v>
      </c>
      <c r="M513">
        <f t="shared" si="185"/>
        <v>0.18634361233480176</v>
      </c>
      <c r="N513">
        <f t="shared" si="186"/>
        <v>0.16255506607929515</v>
      </c>
      <c r="O513" s="2">
        <f>IF(E513=0,"",Player_Analysis!L513/E513*90)</f>
        <v>5.5506607929515415</v>
      </c>
      <c r="P513">
        <f>IF(E513=0,"",Player_Analysis!Q513/E513*90)</f>
        <v>0.34889867841409689</v>
      </c>
      <c r="Q513">
        <f>IF(E513=0,"",(Player_Analysis!AD513/E513)*90)</f>
        <v>21.806167400881058</v>
      </c>
      <c r="R513">
        <f>IF(E513=0,"",Player_Analysis!AA513/E513*90)</f>
        <v>3.1718061674008813</v>
      </c>
      <c r="S513">
        <f t="array" ref="S513">IFERROR(INDEX('2023_24'!$O:$O,MATCH($A513,'2023_24'!$A:$A,0)),"")</f>
        <v>0.35032813781788352</v>
      </c>
      <c r="T513">
        <f>IFERROR(INDEX('2024_25'!$P:$P,MATCH($A513,'2024_25'!$A:$A,0)),"")</f>
        <v>0.30265793528505397</v>
      </c>
      <c r="U513">
        <f>IFERROR(INDEX('2025_26'!$P:$P,MATCH($A513,'2025_26'!$A:$A,0)),"")</f>
        <v>0.24909747292418771</v>
      </c>
      <c r="V513">
        <f>IFERROR(INDEX('2023_24'!$P:$P,MATCH($A513,'2023_24'!$A:$A,0)),"")</f>
        <v>0.10963904840032815</v>
      </c>
      <c r="W513">
        <f>IFERROR(INDEX('2024_25'!$Q:$Q,MATCH($A513,'2024_25'!$A:$A,0)),"")</f>
        <v>0.18339753466872111</v>
      </c>
      <c r="X513">
        <f>IFERROR(INDEX('2025_26'!$Q:$Q,MATCH($A513,'2025_26'!$A:$A,0)),"")</f>
        <v>0.12129963898916968</v>
      </c>
      <c r="Y513">
        <f>IFERROR(INDEX('2023_24'!$M:$M,MATCH($A513,'2023_24'!$A:$A,0))/INDEX('2023_24'!$G:$G,MATCH($A513,'2023_24'!$A:$A,0))*90,"")</f>
        <v>4.9835931091058248</v>
      </c>
      <c r="Z513">
        <f>IFERROR(INDEX('2024_25'!$M:$M,MATCH($A513,'2024_25'!$A:$A,0))/INDEX('2024_25'!$G:$G,MATCH($A513,'2024_25'!$A:$A,0))*90,"")</f>
        <v>6.1710323574730355</v>
      </c>
      <c r="AA513">
        <f>IFERROR(INDEX('2025_26'!$M:$M,MATCH($A513,'2025_26'!$A:$A,0))/INDEX('2025_26'!$G:$G,MATCH($A513,'2025_26'!$A:$A,0))*90,"")</f>
        <v>5.1624548736462099</v>
      </c>
      <c r="AB513">
        <f>IFERROR(SUMPRODUCT(S513:U513,{0.2,0.3,0.5})/SUMPRODUCT(--(S513:U513&lt;&gt;""),{0.2,0.3,0.5}),"")</f>
        <v>0.28541174461118674</v>
      </c>
      <c r="AC513">
        <f>IFERROR(SUMPRODUCT(V513:X513,{0.2,0.3,0.5})/SUMPRODUCT(--(V513:X513&lt;&gt;""),{0.2,0.3,0.5}),"")</f>
        <v>0.13759688957526681</v>
      </c>
      <c r="AD513">
        <f>IFERROR(SUMPRODUCT(Y513:AA513,{0.2,0.3,0.5})/SUMPRODUCT((Y513:AA513&lt;&gt;"")*{0.2,0.3,0.5}),O513)</f>
        <v>5.4292557658861806</v>
      </c>
      <c r="AE513">
        <f t="shared" si="187"/>
        <v>3</v>
      </c>
      <c r="AF513">
        <f t="shared" si="188"/>
        <v>75.666666666666671</v>
      </c>
      <c r="AG513">
        <f t="shared" si="189"/>
        <v>0.2104501911887221</v>
      </c>
      <c r="AH513">
        <f t="shared" si="190"/>
        <v>0.15648190979664828</v>
      </c>
      <c r="AI513" s="2">
        <f t="shared" si="191"/>
        <v>5.5211189030323036</v>
      </c>
      <c r="AJ513">
        <f t="shared" si="192"/>
        <v>0.75666666666666671</v>
      </c>
      <c r="AK513" t="str">
        <f t="shared" si="193"/>
        <v>NO</v>
      </c>
      <c r="AL513">
        <f t="shared" si="194"/>
        <v>0.2104501911887221</v>
      </c>
      <c r="AM513">
        <f t="shared" si="195"/>
        <v>0.15648190979664828</v>
      </c>
      <c r="AN513">
        <f t="shared" si="196"/>
        <v>0.2104501911887221</v>
      </c>
      <c r="AO513">
        <f t="shared" si="197"/>
        <v>0.15648190979664828</v>
      </c>
      <c r="AP513">
        <f t="array" ref="AP513">AL513*IF($C513="GKP",10,IF($C513="DEF",6,IF($C513="MID",5,4)))</f>
        <v>1.0522509559436104</v>
      </c>
      <c r="AQ513">
        <f t="shared" si="198"/>
        <v>0.46944572938994483</v>
      </c>
      <c r="AR513">
        <f t="shared" si="199"/>
        <v>2</v>
      </c>
      <c r="AS513" s="2">
        <f>IF($H513=0,0,Player_Analysis!$AM513*$H513/90)</f>
        <v>0.33333333333333331</v>
      </c>
      <c r="AT513">
        <f t="shared" si="200"/>
        <v>0.52863436123348018</v>
      </c>
      <c r="AU513" s="2">
        <f>0</f>
        <v>0</v>
      </c>
      <c r="AV513" s="2">
        <f>IF(INDEX(FPL_Raw_Data!K:K,MATCH(A513,FPL_Raw_Data!AA:AA,0))=0,"",INDEX(FPL_Raw_Data!P:P,MATCH(A513,FPL_Raw_Data!AA:AA,0))/INDEX(FPL_Raw_Data!K:K,MATCH(A513,FPL_Raw_Data!AA:AA,0))*90)</f>
        <v>0</v>
      </c>
      <c r="AW513" s="2">
        <f t="shared" si="201"/>
        <v>0</v>
      </c>
      <c r="AX513" s="2">
        <f>IFERROR(INDEX(TEAM_ANALYSIS!$H$2:$H$21,MATCH($B513,TEAM_ANALYSIS!$A$2:$A$21,0)),0)</f>
        <v>2</v>
      </c>
      <c r="AY513" s="2">
        <f t="shared" si="202"/>
        <v>0</v>
      </c>
      <c r="AZ513" s="2">
        <f t="shared" si="203"/>
        <v>4.3836643799003685</v>
      </c>
      <c r="BA513">
        <f t="shared" si="204"/>
        <v>0.55489422530384414</v>
      </c>
      <c r="BB513">
        <f>IFERROR(Player_Analysis!$Y513,1)</f>
        <v>1.0979325259515571</v>
      </c>
      <c r="BC513">
        <f t="shared" si="205"/>
        <v>4.8129677055478775</v>
      </c>
      <c r="BD513">
        <f t="shared" si="206"/>
        <v>2.6706879863824096</v>
      </c>
      <c r="BE513">
        <f t="shared" si="207"/>
        <v>4.8129677055478775</v>
      </c>
      <c r="BF513">
        <f t="shared" si="208"/>
        <v>107</v>
      </c>
      <c r="BG513">
        <f>IF($BE513="","",COUNTIFS($C$2:$C$596,$C513,$BE$2:$BE$596,"&gt;"&amp;$BE513)+COUNTIFS($C$2:$C513,$C513,$BE$2:$BE513,$BE513))</f>
        <v>50</v>
      </c>
    </row>
    <row r="514" spans="1:59" x14ac:dyDescent="0.25">
      <c r="A514" t="str">
        <f>Player_Analysis!A514</f>
        <v>Marcus Rashford</v>
      </c>
      <c r="B514">
        <f>Player_Analysis!C514</f>
        <v>16</v>
      </c>
      <c r="C514" t="str">
        <f>Player_Analysis!B514</f>
        <v>MID</v>
      </c>
      <c r="D514" s="13">
        <f>Player_Analysis!E514</f>
        <v>7</v>
      </c>
      <c r="E514">
        <f>Player_Analysis!I514</f>
        <v>193</v>
      </c>
      <c r="F514" s="8">
        <f>Player_Analysis!Z514</f>
        <v>2</v>
      </c>
      <c r="G514" s="17">
        <f t="shared" ref="G514:G577" si="209">IF(E514=0,0,MIN(1,F514/(E514/90)))</f>
        <v>0.93264248704663211</v>
      </c>
      <c r="H514">
        <f t="shared" ref="H514:H577" si="210">IF($E514=0,0,MIN(90,$G514*90))</f>
        <v>83.937823834196891</v>
      </c>
      <c r="I514" s="8">
        <f>Player_Analysis!AF514</f>
        <v>0</v>
      </c>
      <c r="J514" s="8">
        <f>Player_Analysis!AG514</f>
        <v>0</v>
      </c>
      <c r="K514">
        <f>Player_Analysis!O514</f>
        <v>0.26</v>
      </c>
      <c r="L514">
        <f>Player_Analysis!P514</f>
        <v>0.21</v>
      </c>
      <c r="M514">
        <f t="shared" ref="M514:M577" si="211">IF(E514=0,"",K514/E514*90)</f>
        <v>0.12124352331606217</v>
      </c>
      <c r="N514">
        <f t="shared" ref="N514:N577" si="212">IF(E514=0,"",L514/E514*90)</f>
        <v>9.7927461139896366E-2</v>
      </c>
      <c r="O514" s="2">
        <f>IF(E514=0,"",Player_Analysis!L514/E514*90)</f>
        <v>2.7979274611398965</v>
      </c>
      <c r="P514">
        <f>IF(E514=0,"",Player_Analysis!Q514/E514*90)</f>
        <v>0.21917098445595851</v>
      </c>
      <c r="Q514">
        <f>IF(E514=0,"",(Player_Analysis!AD514/E514)*90)</f>
        <v>17.253886010362692</v>
      </c>
      <c r="R514">
        <f>IF(E514=0,"",Player_Analysis!AA514/E514*90)</f>
        <v>5.1295336787564771</v>
      </c>
      <c r="S514">
        <f t="array" ref="S514">IFERROR(INDEX('2023_24'!$O:$O,MATCH($A514,'2023_24'!$A:$A,0)),"")</f>
        <v>0.2834363957597173</v>
      </c>
      <c r="T514">
        <f>IFERROR(INDEX('2024_25'!$P:$P,MATCH($A514,'2024_25'!$A:$A,0)),"")</f>
        <v>0.29724186704384725</v>
      </c>
      <c r="U514">
        <f>IFERROR(INDEX('2025_26'!$P:$P,MATCH($A514,'2025_26'!$A:$A,0)),"")</f>
        <v>0</v>
      </c>
      <c r="V514">
        <f>IFERROR(INDEX('2023_24'!$P:$P,MATCH($A514,'2023_24'!$A:$A,0)),"")</f>
        <v>0.11130742049469965</v>
      </c>
      <c r="W514">
        <f>IFERROR(INDEX('2024_25'!$Q:$Q,MATCH($A514,'2024_25'!$A:$A,0)),"")</f>
        <v>0.21831683168316832</v>
      </c>
      <c r="X514">
        <f>IFERROR(INDEX('2025_26'!$Q:$Q,MATCH($A514,'2025_26'!$A:$A,0)),"")</f>
        <v>0</v>
      </c>
      <c r="Y514">
        <f>IFERROR(INDEX('2023_24'!$M:$M,MATCH($A514,'2023_24'!$A:$A,0))/INDEX('2023_24'!$G:$G,MATCH($A514,'2023_24'!$A:$A,0))*90,"")</f>
        <v>4.2932862190812724</v>
      </c>
      <c r="Z514">
        <f>IFERROR(INDEX('2024_25'!$M:$M,MATCH($A514,'2024_25'!$A:$A,0))/INDEX('2024_25'!$G:$G,MATCH($A514,'2024_25'!$A:$A,0))*90,"")</f>
        <v>6.0466760961810468</v>
      </c>
      <c r="AA514" t="str">
        <f>IFERROR(INDEX('2025_26'!$M:$M,MATCH($A514,'2025_26'!$A:$A,0))/INDEX('2025_26'!$G:$G,MATCH($A514,'2025_26'!$A:$A,0))*90,"")</f>
        <v/>
      </c>
      <c r="AB514">
        <f>IFERROR(SUMPRODUCT(S514:U514,{0.2,0.3,0.5})/SUMPRODUCT(--(S514:U514&lt;&gt;""),{0.2,0.3,0.5}),"")</f>
        <v>0.14585983926509766</v>
      </c>
      <c r="AC514">
        <f>IFERROR(SUMPRODUCT(V514:X514,{0.2,0.3,0.5})/SUMPRODUCT(--(V514:X514&lt;&gt;""),{0.2,0.3,0.5}),"")</f>
        <v>8.7756533603890435E-2</v>
      </c>
      <c r="AD514">
        <f>IFERROR(SUMPRODUCT(Y514:AA514,{0.2,0.3,0.5})/SUMPRODUCT((Y514:AA514&lt;&gt;"")*{0.2,0.3,0.5}),O514)</f>
        <v>5.3453201453411374</v>
      </c>
      <c r="AE514">
        <f t="shared" ref="AE514:AE577" si="213">COUNT(S514:U514)</f>
        <v>3</v>
      </c>
      <c r="AF514">
        <f t="shared" ref="AF514:AF577" si="214">IF(F514=0,"",E514/F514)</f>
        <v>96.5</v>
      </c>
      <c r="AG514">
        <f t="shared" ref="AG514:AG577" si="215">IF(AND(M514="",AB514=""),0,IF(M514="",AB514,IF(AB514="",M514,M514*AJ514+AB514*(1-AJ514))))</f>
        <v>0.13002334267121815</v>
      </c>
      <c r="AH514">
        <f t="shared" ref="AH514:AH577" si="216">IF(AND(N514="",AC514=""),0,IF(N514="",AC514,IF(AC514="",N514,N514*AJ514+AC514*(1-AJ514))))</f>
        <v>9.4299830318720912E-2</v>
      </c>
      <c r="AI514" s="2">
        <f t="shared" ref="AI514:AI577" si="217">IF(AND(O514="",AD514=""),0,IF(O514="",AD514,IF(AD514="",O514,O514*AJ514+AD514*(1-AJ514))))</f>
        <v>3.7064975185050058</v>
      </c>
      <c r="AJ514">
        <f t="shared" ref="AJ514:AJ577" si="218">IF($E514=0,0,MIN(0.9,$E514/300))</f>
        <v>0.64333333333333331</v>
      </c>
      <c r="AK514" t="str">
        <f t="shared" ref="AK514:AK577" si="219">IF(AE514=0,"YES","NO")</f>
        <v>NO</v>
      </c>
      <c r="AL514">
        <f t="shared" ref="AL514:AL577" si="220">IF($H514=0,0,$AG514*$H514/90)</f>
        <v>0.12126529368300137</v>
      </c>
      <c r="AM514">
        <f t="shared" ref="AM514:AM577" si="221">IF($H514=0,0,$AH514*$H514/90)</f>
        <v>8.7948028276527271E-2</v>
      </c>
      <c r="AN514">
        <f t="shared" ref="AN514:AN577" si="222">AL514</f>
        <v>0.12126529368300137</v>
      </c>
      <c r="AO514">
        <f t="shared" ref="AO514:AO577" si="223">AM514</f>
        <v>8.7948028276527271E-2</v>
      </c>
      <c r="AP514">
        <f t="array" ref="AP514">AL514*IF($C514="GKP",10,IF($C514="DEF",6,IF($C514="MID",5,4)))</f>
        <v>0.60632646841500693</v>
      </c>
      <c r="AQ514">
        <f t="shared" ref="AQ514:AQ577" si="224">AM514*3</f>
        <v>0.26384408482958183</v>
      </c>
      <c r="AR514">
        <f t="shared" ref="AR514:AR577" si="225">$G514*2</f>
        <v>1.8652849740932642</v>
      </c>
      <c r="AS514" s="2">
        <f>IF($H514=0,0,Player_Analysis!$AM514*$H514/90)</f>
        <v>0.46632124352331605</v>
      </c>
      <c r="AT514">
        <f t="shared" ref="AT514:AT577" si="226">IF($H514=0,0,$R514*$H514/90*2/IF(OR($C514="GKP",$C514="DEF"),10,12))</f>
        <v>0.79733684125748361</v>
      </c>
      <c r="AU514" s="2">
        <f>0</f>
        <v>0</v>
      </c>
      <c r="AV514" s="2">
        <f>IF(INDEX(FPL_Raw_Data!K:K,MATCH(A514,FPL_Raw_Data!AA:AA,0))=0,"",INDEX(FPL_Raw_Data!P:P,MATCH(A514,FPL_Raw_Data!AA:AA,0))/INDEX(FPL_Raw_Data!K:K,MATCH(A514,FPL_Raw_Data!AA:AA,0))*90)</f>
        <v>0</v>
      </c>
      <c r="AW514" s="2">
        <f t="shared" ref="AW514:AW577" si="227">IF(AV514="",0,AV514/3)</f>
        <v>0</v>
      </c>
      <c r="AX514" s="2">
        <f>IFERROR(INDEX(TEAM_ANALYSIS!$H$2:$H$21,MATCH($B514,TEAM_ANALYSIS!$A$2:$A$21,0)),0)</f>
        <v>2</v>
      </c>
      <c r="AY514" s="2">
        <f t="shared" ref="AY514:AY577" si="228">IF(OR($C514="GKP",$C514="DEF"),-($AX514/2),0)</f>
        <v>0</v>
      </c>
      <c r="AZ514" s="2">
        <f t="shared" ref="AZ514:AZ577" si="229">SUM(AP514:AU514)+AW514+AY514</f>
        <v>3.9991136121186526</v>
      </c>
      <c r="BA514">
        <f t="shared" ref="BA514:BA577" si="230">IF($D514=0,0,$AZ514/$D514)</f>
        <v>0.57130194458837891</v>
      </c>
      <c r="BB514">
        <f>IFERROR(Player_Analysis!$Y514,1)</f>
        <v>1.0979325259515571</v>
      </c>
      <c r="BC514">
        <f t="shared" ref="BC514:BC577" si="231">BB514*AZ514</f>
        <v>4.3907569097206878</v>
      </c>
      <c r="BD514">
        <f t="shared" ref="BD514:BD577" si="232">BA514*BC514</f>
        <v>2.5084479607382901</v>
      </c>
      <c r="BE514">
        <f t="shared" ref="BE514:BE577" si="233">BC514</f>
        <v>4.3907569097206878</v>
      </c>
      <c r="BF514">
        <f t="shared" ref="BF514:BF577" si="234">IF($BE514="","",_xlfn.RANK.EQ($BE514,$BE$2:$BE$596,0))</f>
        <v>129</v>
      </c>
      <c r="BG514">
        <f>IF($BE514="","",COUNTIFS($C$2:$C$596,$C514,$BE$2:$BE$596,"&gt;"&amp;$BE514)+COUNTIFS($C$2:$C514,$C514,$BE$2:$BE514,$BE514))</f>
        <v>63</v>
      </c>
    </row>
    <row r="515" spans="1:59" x14ac:dyDescent="0.25">
      <c r="A515" t="str">
        <f>Player_Analysis!A515</f>
        <v>Mason Mount</v>
      </c>
      <c r="B515">
        <f>Player_Analysis!C515</f>
        <v>16</v>
      </c>
      <c r="C515" t="str">
        <f>Player_Analysis!B515</f>
        <v>MID</v>
      </c>
      <c r="D515" s="13">
        <f>Player_Analysis!E515</f>
        <v>5.4</v>
      </c>
      <c r="E515">
        <f>Player_Analysis!I515</f>
        <v>0</v>
      </c>
      <c r="F515" s="8">
        <f>Player_Analysis!Z515</f>
        <v>0</v>
      </c>
      <c r="G515" s="17">
        <f t="shared" si="209"/>
        <v>0</v>
      </c>
      <c r="H515">
        <f t="shared" si="210"/>
        <v>0</v>
      </c>
      <c r="I515" s="8">
        <f>Player_Analysis!AF515</f>
        <v>0</v>
      </c>
      <c r="J515" s="8">
        <f>Player_Analysis!AG515</f>
        <v>0</v>
      </c>
      <c r="K515">
        <f>Player_Analysis!O515</f>
        <v>0</v>
      </c>
      <c r="L515">
        <f>Player_Analysis!P515</f>
        <v>0</v>
      </c>
      <c r="M515" t="str">
        <f t="shared" si="211"/>
        <v/>
      </c>
      <c r="N515" t="str">
        <f t="shared" si="212"/>
        <v/>
      </c>
      <c r="O515" s="2" t="str">
        <f>IF(E515=0,"",Player_Analysis!L515/E515*90)</f>
        <v/>
      </c>
      <c r="P515" t="str">
        <f>IF(E515=0,"",Player_Analysis!Q515/E515*90)</f>
        <v/>
      </c>
      <c r="Q515" t="str">
        <f>IF(E515=0,"",(Player_Analysis!AD515/E515)*90)</f>
        <v/>
      </c>
      <c r="R515" t="str">
        <f>IF(E515=0,"",Player_Analysis!AA515/E515*90)</f>
        <v/>
      </c>
      <c r="S515">
        <f t="array" ref="S515">IFERROR(INDEX('2023_24'!$O:$O,MATCH($A515,'2023_24'!$A:$A,0)),"")</f>
        <v>6.5422396856581536E-2</v>
      </c>
      <c r="T515">
        <f>IFERROR(INDEX('2024_25'!$P:$P,MATCH($A515,'2024_25'!$A:$A,0)),"")</f>
        <v>0.49477977161500819</v>
      </c>
      <c r="U515">
        <f>IFERROR(INDEX('2025_26'!$P:$P,MATCH($A515,'2025_26'!$A:$A,0)),"")</f>
        <v>0.13900990099009902</v>
      </c>
      <c r="V515">
        <f>IFERROR(INDEX('2023_24'!$P:$P,MATCH($A515,'2023_24'!$A:$A,0)),"")</f>
        <v>6.5422396856581536E-2</v>
      </c>
      <c r="W515">
        <f>IFERROR(INDEX('2024_25'!$Q:$Q,MATCH($A515,'2024_25'!$A:$A,0)),"")</f>
        <v>8.3686786296900476E-2</v>
      </c>
      <c r="X515">
        <f>IFERROR(INDEX('2025_26'!$Q:$Q,MATCH($A515,'2025_26'!$A:$A,0)),"")</f>
        <v>0.14435643564356437</v>
      </c>
      <c r="Y515">
        <f>IFERROR(INDEX('2023_24'!$M:$M,MATCH($A515,'2023_24'!$A:$A,0))/INDEX('2023_24'!$G:$G,MATCH($A515,'2023_24'!$A:$A,0))*90,"")</f>
        <v>4.0667976424361498</v>
      </c>
      <c r="Z515">
        <f>IFERROR(INDEX('2024_25'!$M:$M,MATCH($A515,'2024_25'!$A:$A,0))/INDEX('2024_25'!$G:$G,MATCH($A515,'2024_25'!$A:$A,0))*90,"")</f>
        <v>3.6704730831973897</v>
      </c>
      <c r="AA515">
        <f>IFERROR(INDEX('2025_26'!$M:$M,MATCH($A515,'2025_26'!$A:$A,0))/INDEX('2025_26'!$G:$G,MATCH($A515,'2025_26'!$A:$A,0))*90,"")</f>
        <v>5.1683168316831685</v>
      </c>
      <c r="AB515">
        <f>IFERROR(SUMPRODUCT(S515:U515,{0.2,0.3,0.5})/SUMPRODUCT(--(S515:U515&lt;&gt;""),{0.2,0.3,0.5}),"")</f>
        <v>0.23102336135086826</v>
      </c>
      <c r="AC515">
        <f>IFERROR(SUMPRODUCT(V515:X515,{0.2,0.3,0.5})/SUMPRODUCT(--(V515:X515&lt;&gt;""),{0.2,0.3,0.5}),"")</f>
        <v>0.11036873308216863</v>
      </c>
      <c r="AD515">
        <f>IFERROR(SUMPRODUCT(Y515:AA515,{0.2,0.3,0.5})/SUMPRODUCT((Y515:AA515&lt;&gt;"")*{0.2,0.3,0.5}),O515)</f>
        <v>4.4986598692880317</v>
      </c>
      <c r="AE515">
        <f t="shared" si="213"/>
        <v>3</v>
      </c>
      <c r="AF515" t="str">
        <f t="shared" si="214"/>
        <v/>
      </c>
      <c r="AG515">
        <f t="shared" si="215"/>
        <v>0.23102336135086826</v>
      </c>
      <c r="AH515">
        <f t="shared" si="216"/>
        <v>0.11036873308216863</v>
      </c>
      <c r="AI515" s="2">
        <f t="shared" si="217"/>
        <v>4.4986598692880317</v>
      </c>
      <c r="AJ515">
        <f t="shared" si="218"/>
        <v>0</v>
      </c>
      <c r="AK515" t="str">
        <f t="shared" si="219"/>
        <v>NO</v>
      </c>
      <c r="AL515">
        <f t="shared" si="220"/>
        <v>0</v>
      </c>
      <c r="AM515">
        <f t="shared" si="221"/>
        <v>0</v>
      </c>
      <c r="AN515">
        <f t="shared" si="222"/>
        <v>0</v>
      </c>
      <c r="AO515">
        <f t="shared" si="223"/>
        <v>0</v>
      </c>
      <c r="AP515">
        <f t="array" ref="AP515">AL515*IF($C515="GKP",10,IF($C515="DEF",6,IF($C515="MID",5,4)))</f>
        <v>0</v>
      </c>
      <c r="AQ515">
        <f t="shared" si="224"/>
        <v>0</v>
      </c>
      <c r="AR515">
        <f t="shared" si="225"/>
        <v>0</v>
      </c>
      <c r="AS515" s="2">
        <f>IF($H515=0,0,Player_Analysis!$AM515*$H515/90)</f>
        <v>0</v>
      </c>
      <c r="AT515">
        <f t="shared" si="226"/>
        <v>0</v>
      </c>
      <c r="AU515" s="2">
        <f>0</f>
        <v>0</v>
      </c>
      <c r="AV515" s="2" t="str">
        <f>IF(INDEX(FPL_Raw_Data!K:K,MATCH(A515,FPL_Raw_Data!AA:AA,0))=0,"",INDEX(FPL_Raw_Data!P:P,MATCH(A515,FPL_Raw_Data!AA:AA,0))/INDEX(FPL_Raw_Data!K:K,MATCH(A515,FPL_Raw_Data!AA:AA,0))*90)</f>
        <v/>
      </c>
      <c r="AW515" s="2">
        <f t="shared" si="227"/>
        <v>0</v>
      </c>
      <c r="AX515" s="2">
        <f>IFERROR(INDEX(TEAM_ANALYSIS!$H$2:$H$21,MATCH($B515,TEAM_ANALYSIS!$A$2:$A$21,0)),0)</f>
        <v>2</v>
      </c>
      <c r="AY515" s="2">
        <f t="shared" si="228"/>
        <v>0</v>
      </c>
      <c r="AZ515" s="2">
        <f t="shared" si="229"/>
        <v>0</v>
      </c>
      <c r="BA515">
        <f t="shared" si="230"/>
        <v>0</v>
      </c>
      <c r="BB515">
        <f>IFERROR(Player_Analysis!$Y515,1)</f>
        <v>1.0979325259515571</v>
      </c>
      <c r="BC515">
        <f t="shared" si="231"/>
        <v>0</v>
      </c>
      <c r="BD515">
        <f t="shared" si="232"/>
        <v>0</v>
      </c>
      <c r="BE515">
        <f t="shared" si="233"/>
        <v>0</v>
      </c>
      <c r="BF515">
        <f t="shared" si="234"/>
        <v>253</v>
      </c>
      <c r="BG515">
        <f>IF($BE515="","",COUNTIFS($C$2:$C$596,$C515,$BE$2:$BE$596,"&gt;"&amp;$BE515)+COUNTIFS($C$2:$C515,$C515,$BE$2:$BE515,$BE515))</f>
        <v>246</v>
      </c>
    </row>
    <row r="516" spans="1:59" x14ac:dyDescent="0.25">
      <c r="A516" t="str">
        <f>Player_Analysis!A516</f>
        <v>Amad Diallo</v>
      </c>
      <c r="B516">
        <f>Player_Analysis!C516</f>
        <v>16</v>
      </c>
      <c r="C516" t="str">
        <f>Player_Analysis!B516</f>
        <v>MID</v>
      </c>
      <c r="D516" s="13">
        <f>Player_Analysis!E516</f>
        <v>5.8</v>
      </c>
      <c r="E516">
        <f>Player_Analysis!I516</f>
        <v>0</v>
      </c>
      <c r="F516" s="8">
        <f>Player_Analysis!Z516</f>
        <v>0</v>
      </c>
      <c r="G516" s="17">
        <f t="shared" si="209"/>
        <v>0</v>
      </c>
      <c r="H516">
        <f t="shared" si="210"/>
        <v>0</v>
      </c>
      <c r="I516" s="8">
        <f>Player_Analysis!AF516</f>
        <v>0</v>
      </c>
      <c r="J516" s="8">
        <f>Player_Analysis!AG516</f>
        <v>0</v>
      </c>
      <c r="K516">
        <f>Player_Analysis!O516</f>
        <v>0</v>
      </c>
      <c r="L516">
        <f>Player_Analysis!P516</f>
        <v>0</v>
      </c>
      <c r="M516" t="str">
        <f t="shared" si="211"/>
        <v/>
      </c>
      <c r="N516" t="str">
        <f t="shared" si="212"/>
        <v/>
      </c>
      <c r="O516" s="2" t="str">
        <f>IF(E516=0,"",Player_Analysis!L516/E516*90)</f>
        <v/>
      </c>
      <c r="P516" t="str">
        <f>IF(E516=0,"",Player_Analysis!Q516/E516*90)</f>
        <v/>
      </c>
      <c r="Q516" t="str">
        <f>IF(E516=0,"",(Player_Analysis!AD516/E516)*90)</f>
        <v/>
      </c>
      <c r="R516" t="str">
        <f>IF(E516=0,"",Player_Analysis!AA516/E516*90)</f>
        <v/>
      </c>
      <c r="S516">
        <f t="array" ref="S516">IFERROR(INDEX('2023_24'!$O:$O,MATCH($A516,'2023_24'!$A:$A,0)),"")</f>
        <v>0.12389610389610391</v>
      </c>
      <c r="T516">
        <f>IFERROR(INDEX('2024_25'!$P:$P,MATCH($A516,'2024_25'!$A:$A,0)),"")</f>
        <v>0.22334035827186513</v>
      </c>
      <c r="U516">
        <f>IFERROR(INDEX('2025_26'!$P:$P,MATCH($A516,'2025_26'!$A:$A,0)),"")</f>
        <v>0.21008978195810174</v>
      </c>
      <c r="V516">
        <f>IFERROR(INDEX('2023_24'!$P:$P,MATCH($A516,'2023_24'!$A:$A,0)),"")</f>
        <v>0.10987012987012985</v>
      </c>
      <c r="W516">
        <f>IFERROR(INDEX('2024_25'!$Q:$Q,MATCH($A516,'2024_25'!$A:$A,0)),"")</f>
        <v>0.1887249736564805</v>
      </c>
      <c r="X516">
        <f>IFERROR(INDEX('2025_26'!$Q:$Q,MATCH($A516,'2025_26'!$A:$A,0)),"")</f>
        <v>0.18238563488670373</v>
      </c>
      <c r="Y516">
        <f>IFERROR(INDEX('2023_24'!$M:$M,MATCH($A516,'2023_24'!$A:$A,0))/INDEX('2023_24'!$G:$G,MATCH($A516,'2023_24'!$A:$A,0))*90,"")</f>
        <v>5.3766233766233764</v>
      </c>
      <c r="Z516">
        <f>IFERROR(INDEX('2024_25'!$M:$M,MATCH($A516,'2024_25'!$A:$A,0))/INDEX('2024_25'!$G:$G,MATCH($A516,'2024_25'!$A:$A,0))*90,"")</f>
        <v>6.1169652265542682</v>
      </c>
      <c r="AA516">
        <f>IFERROR(INDEX('2025_26'!$M:$M,MATCH($A516,'2025_26'!$A:$A,0))/INDEX('2025_26'!$G:$G,MATCH($A516,'2025_26'!$A:$A,0))*90,"")</f>
        <v>3.5014963659683622</v>
      </c>
      <c r="AB516">
        <f>IFERROR(SUMPRODUCT(S516:U516,{0.2,0.3,0.5})/SUMPRODUCT(--(S516:U516&lt;&gt;""),{0.2,0.3,0.5}),"")</f>
        <v>0.19682621923983118</v>
      </c>
      <c r="AC516">
        <f>IFERROR(SUMPRODUCT(V516:X516,{0.2,0.3,0.5})/SUMPRODUCT(--(V516:X516&lt;&gt;""),{0.2,0.3,0.5}),"")</f>
        <v>0.16978433551432198</v>
      </c>
      <c r="AD516">
        <f>IFERROR(SUMPRODUCT(Y516:AA516,{0.2,0.3,0.5})/SUMPRODUCT((Y516:AA516&lt;&gt;"")*{0.2,0.3,0.5}),O516)</f>
        <v>4.661162426275137</v>
      </c>
      <c r="AE516">
        <f t="shared" si="213"/>
        <v>3</v>
      </c>
      <c r="AF516" t="str">
        <f t="shared" si="214"/>
        <v/>
      </c>
      <c r="AG516">
        <f t="shared" si="215"/>
        <v>0.19682621923983118</v>
      </c>
      <c r="AH516">
        <f t="shared" si="216"/>
        <v>0.16978433551432198</v>
      </c>
      <c r="AI516" s="2">
        <f t="shared" si="217"/>
        <v>4.661162426275137</v>
      </c>
      <c r="AJ516">
        <f t="shared" si="218"/>
        <v>0</v>
      </c>
      <c r="AK516" t="str">
        <f t="shared" si="219"/>
        <v>NO</v>
      </c>
      <c r="AL516">
        <f t="shared" si="220"/>
        <v>0</v>
      </c>
      <c r="AM516">
        <f t="shared" si="221"/>
        <v>0</v>
      </c>
      <c r="AN516">
        <f t="shared" si="222"/>
        <v>0</v>
      </c>
      <c r="AO516">
        <f t="shared" si="223"/>
        <v>0</v>
      </c>
      <c r="AP516">
        <f t="array" ref="AP516">AL516*IF($C516="GKP",10,IF($C516="DEF",6,IF($C516="MID",5,4)))</f>
        <v>0</v>
      </c>
      <c r="AQ516">
        <f t="shared" si="224"/>
        <v>0</v>
      </c>
      <c r="AR516">
        <f t="shared" si="225"/>
        <v>0</v>
      </c>
      <c r="AS516" s="2">
        <f>IF($H516=0,0,Player_Analysis!$AM516*$H516/90)</f>
        <v>0</v>
      </c>
      <c r="AT516">
        <f t="shared" si="226"/>
        <v>0</v>
      </c>
      <c r="AU516" s="2">
        <f>0</f>
        <v>0</v>
      </c>
      <c r="AV516" s="2" t="str">
        <f>IF(INDEX(FPL_Raw_Data!K:K,MATCH(A516,FPL_Raw_Data!AA:AA,0))=0,"",INDEX(FPL_Raw_Data!P:P,MATCH(A516,FPL_Raw_Data!AA:AA,0))/INDEX(FPL_Raw_Data!K:K,MATCH(A516,FPL_Raw_Data!AA:AA,0))*90)</f>
        <v/>
      </c>
      <c r="AW516" s="2">
        <f t="shared" si="227"/>
        <v>0</v>
      </c>
      <c r="AX516" s="2">
        <f>IFERROR(INDEX(TEAM_ANALYSIS!$H$2:$H$21,MATCH($B516,TEAM_ANALYSIS!$A$2:$A$21,0)),0)</f>
        <v>2</v>
      </c>
      <c r="AY516" s="2">
        <f t="shared" si="228"/>
        <v>0</v>
      </c>
      <c r="AZ516" s="2">
        <f t="shared" si="229"/>
        <v>0</v>
      </c>
      <c r="BA516">
        <f t="shared" si="230"/>
        <v>0</v>
      </c>
      <c r="BB516">
        <f>IFERROR(Player_Analysis!$Y516,1)</f>
        <v>1.0979325259515571</v>
      </c>
      <c r="BC516">
        <f t="shared" si="231"/>
        <v>0</v>
      </c>
      <c r="BD516">
        <f t="shared" si="232"/>
        <v>0</v>
      </c>
      <c r="BE516">
        <f t="shared" si="233"/>
        <v>0</v>
      </c>
      <c r="BF516">
        <f t="shared" si="234"/>
        <v>253</v>
      </c>
      <c r="BG516">
        <f>IF($BE516="","",COUNTIFS($C$2:$C$596,$C516,$BE$2:$BE$596,"&gt;"&amp;$BE516)+COUNTIFS($C$2:$C516,$C516,$BE$2:$BE516,$BE516))</f>
        <v>247</v>
      </c>
    </row>
    <row r="517" spans="1:59" x14ac:dyDescent="0.25">
      <c r="A517" t="str">
        <f>Player_Analysis!A517</f>
        <v>Kobbie Mainoo</v>
      </c>
      <c r="B517">
        <f>Player_Analysis!C517</f>
        <v>16</v>
      </c>
      <c r="C517" t="str">
        <f>Player_Analysis!B517</f>
        <v>MID</v>
      </c>
      <c r="D517" s="13">
        <f>Player_Analysis!E517</f>
        <v>5.5</v>
      </c>
      <c r="E517">
        <f>Player_Analysis!I517</f>
        <v>185</v>
      </c>
      <c r="F517" s="8">
        <f>Player_Analysis!Z517</f>
        <v>2</v>
      </c>
      <c r="G517" s="17">
        <f t="shared" si="209"/>
        <v>0.97297297297297303</v>
      </c>
      <c r="H517">
        <f t="shared" si="210"/>
        <v>87.567567567567579</v>
      </c>
      <c r="I517" s="8">
        <f>Player_Analysis!AF517</f>
        <v>0</v>
      </c>
      <c r="J517" s="8">
        <f>Player_Analysis!AG517</f>
        <v>1</v>
      </c>
      <c r="K517">
        <f>Player_Analysis!O517</f>
        <v>0.21</v>
      </c>
      <c r="L517">
        <f>Player_Analysis!P517</f>
        <v>0.35</v>
      </c>
      <c r="M517">
        <f t="shared" si="211"/>
        <v>0.10216216216216216</v>
      </c>
      <c r="N517">
        <f t="shared" si="212"/>
        <v>0.17027027027027028</v>
      </c>
      <c r="O517" s="2">
        <f>IF(E517=0,"",Player_Analysis!L517/E517*90)</f>
        <v>6.8108108108108114</v>
      </c>
      <c r="P517">
        <f>IF(E517=0,"",Player_Analysis!Q517/E517*90)</f>
        <v>0.27243243243243243</v>
      </c>
      <c r="Q517">
        <f>IF(E517=0,"",(Player_Analysis!AD517/E517)*90)</f>
        <v>31.135135135135137</v>
      </c>
      <c r="R517">
        <f>IF(E517=0,"",Player_Analysis!AA517/E517*90)</f>
        <v>15.081081081081082</v>
      </c>
      <c r="S517">
        <f t="array" ref="S517">IFERROR(INDEX('2023_24'!$O:$O,MATCH($A517,'2023_24'!$A:$A,0)),"")</f>
        <v>4.0633108458744162E-2</v>
      </c>
      <c r="T517">
        <f>IFERROR(INDEX('2024_25'!$P:$P,MATCH($A517,'2024_25'!$A:$A,0)),"")</f>
        <v>4.5929526123936817E-2</v>
      </c>
      <c r="U517">
        <f>IFERROR(INDEX('2025_26'!$P:$P,MATCH($A517,'2025_26'!$A:$A,0)),"")</f>
        <v>2.613430127041742E-2</v>
      </c>
      <c r="V517">
        <f>IFERROR(INDEX('2023_24'!$P:$P,MATCH($A517,'2023_24'!$A:$A,0)),"")</f>
        <v>6.3051375194603007E-2</v>
      </c>
      <c r="W517">
        <f>IFERROR(INDEX('2024_25'!$Q:$Q,MATCH($A517,'2024_25'!$A:$A,0)),"")</f>
        <v>9.7326852976913722E-2</v>
      </c>
      <c r="X517">
        <f>IFERROR(INDEX('2025_26'!$Q:$Q,MATCH($A517,'2025_26'!$A:$A,0)),"")</f>
        <v>6.9147005444646095E-2</v>
      </c>
      <c r="Y517">
        <f>IFERROR(INDEX('2023_24'!$M:$M,MATCH($A517,'2023_24'!$A:$A,0))/INDEX('2023_24'!$G:$G,MATCH($A517,'2023_24'!$A:$A,0))*90,"")</f>
        <v>3.5962636222106901</v>
      </c>
      <c r="Z517">
        <f>IFERROR(INDEX('2024_25'!$M:$M,MATCH($A517,'2024_25'!$A:$A,0))/INDEX('2024_25'!$G:$G,MATCH($A517,'2024_25'!$A:$A,0))*90,"")</f>
        <v>2.296476306196841</v>
      </c>
      <c r="AA517">
        <f>IFERROR(INDEX('2025_26'!$M:$M,MATCH($A517,'2025_26'!$A:$A,0))/INDEX('2025_26'!$G:$G,MATCH($A517,'2025_26'!$A:$A,0))*90,"")</f>
        <v>3.9745916515426494</v>
      </c>
      <c r="AB517">
        <f>IFERROR(SUMPRODUCT(S517:U517,{0.2,0.3,0.5})/SUMPRODUCT(--(S517:U517&lt;&gt;""),{0.2,0.3,0.5}),"")</f>
        <v>3.4972630164138589E-2</v>
      </c>
      <c r="AC517">
        <f>IFERROR(SUMPRODUCT(V517:X517,{0.2,0.3,0.5})/SUMPRODUCT(--(V517:X517&lt;&gt;""),{0.2,0.3,0.5}),"")</f>
        <v>7.6381833654317763E-2</v>
      </c>
      <c r="AD517">
        <f>IFERROR(SUMPRODUCT(Y517:AA517,{0.2,0.3,0.5})/SUMPRODUCT((Y517:AA517&lt;&gt;"")*{0.2,0.3,0.5}),O517)</f>
        <v>3.3954914420725149</v>
      </c>
      <c r="AE517">
        <f t="shared" si="213"/>
        <v>3</v>
      </c>
      <c r="AF517">
        <f t="shared" si="214"/>
        <v>92.5</v>
      </c>
      <c r="AG517">
        <f t="shared" si="215"/>
        <v>7.6406174896253121E-2</v>
      </c>
      <c r="AH517">
        <f t="shared" si="216"/>
        <v>0.13427970290082181</v>
      </c>
      <c r="AI517" s="2">
        <f t="shared" si="217"/>
        <v>5.5016050527944644</v>
      </c>
      <c r="AJ517">
        <f t="shared" si="218"/>
        <v>0.6166666666666667</v>
      </c>
      <c r="AK517" t="str">
        <f t="shared" si="219"/>
        <v>NO</v>
      </c>
      <c r="AL517">
        <f t="shared" si="220"/>
        <v>7.434114314230035E-2</v>
      </c>
      <c r="AM517">
        <f t="shared" si="221"/>
        <v>0.13065052174134018</v>
      </c>
      <c r="AN517">
        <f t="shared" si="222"/>
        <v>7.434114314230035E-2</v>
      </c>
      <c r="AO517">
        <f t="shared" si="223"/>
        <v>0.13065052174134018</v>
      </c>
      <c r="AP517">
        <f t="array" ref="AP517">AL517*IF($C517="GKP",10,IF($C517="DEF",6,IF($C517="MID",5,4)))</f>
        <v>0.37170571571150174</v>
      </c>
      <c r="AQ517">
        <f t="shared" si="224"/>
        <v>0.39195156522402053</v>
      </c>
      <c r="AR517">
        <f t="shared" si="225"/>
        <v>1.9459459459459461</v>
      </c>
      <c r="AS517" s="2">
        <f>IF($H517=0,0,Player_Analysis!$AM517*$H517/90)</f>
        <v>0</v>
      </c>
      <c r="AT517">
        <f t="shared" si="226"/>
        <v>2.4455807158509866</v>
      </c>
      <c r="AU517" s="2">
        <f>0</f>
        <v>0</v>
      </c>
      <c r="AV517" s="2">
        <f>IF(INDEX(FPL_Raw_Data!K:K,MATCH(A517,FPL_Raw_Data!AA:AA,0))=0,"",INDEX(FPL_Raw_Data!P:P,MATCH(A517,FPL_Raw_Data!AA:AA,0))/INDEX(FPL_Raw_Data!K:K,MATCH(A517,FPL_Raw_Data!AA:AA,0))*90)</f>
        <v>0</v>
      </c>
      <c r="AW517" s="2">
        <f t="shared" si="227"/>
        <v>0</v>
      </c>
      <c r="AX517" s="2">
        <f>IFERROR(INDEX(TEAM_ANALYSIS!$H$2:$H$21,MATCH($B517,TEAM_ANALYSIS!$A$2:$A$21,0)),0)</f>
        <v>2</v>
      </c>
      <c r="AY517" s="2">
        <f t="shared" si="228"/>
        <v>0</v>
      </c>
      <c r="AZ517" s="2">
        <f t="shared" si="229"/>
        <v>5.1551839427324548</v>
      </c>
      <c r="BA517">
        <f t="shared" si="230"/>
        <v>0.93730617140590089</v>
      </c>
      <c r="BB517">
        <f>IFERROR(Player_Analysis!$Y517,1)</f>
        <v>1.0979325259515571</v>
      </c>
      <c r="BC517">
        <f t="shared" si="231"/>
        <v>5.6600441279891518</v>
      </c>
      <c r="BD517">
        <f t="shared" si="232"/>
        <v>5.3051942915939625</v>
      </c>
      <c r="BE517">
        <f t="shared" si="233"/>
        <v>5.6600441279891518</v>
      </c>
      <c r="BF517">
        <f t="shared" si="234"/>
        <v>58</v>
      </c>
      <c r="BG517">
        <f>IF($BE517="","",COUNTIFS($C$2:$C$596,$C517,$BE$2:$BE$596,"&gt;"&amp;$BE517)+COUNTIFS($C$2:$C517,$C517,$BE$2:$BE517,$BE517))</f>
        <v>24</v>
      </c>
    </row>
    <row r="518" spans="1:59" x14ac:dyDescent="0.25">
      <c r="A518" t="str">
        <f>Player_Analysis!A518</f>
        <v>Manuel Ugarte Ribeiro</v>
      </c>
      <c r="B518">
        <f>Player_Analysis!C518</f>
        <v>16</v>
      </c>
      <c r="C518" t="str">
        <f>Player_Analysis!B518</f>
        <v>MID</v>
      </c>
      <c r="D518" s="13">
        <f>Player_Analysis!E518</f>
        <v>5</v>
      </c>
      <c r="E518">
        <f>Player_Analysis!I518</f>
        <v>0</v>
      </c>
      <c r="F518" s="8">
        <f>Player_Analysis!Z518</f>
        <v>0</v>
      </c>
      <c r="G518" s="17">
        <f t="shared" si="209"/>
        <v>0</v>
      </c>
      <c r="H518">
        <f t="shared" si="210"/>
        <v>0</v>
      </c>
      <c r="I518" s="8">
        <f>Player_Analysis!AF518</f>
        <v>0</v>
      </c>
      <c r="J518" s="8">
        <f>Player_Analysis!AG518</f>
        <v>0</v>
      </c>
      <c r="K518">
        <f>Player_Analysis!O518</f>
        <v>0</v>
      </c>
      <c r="L518">
        <f>Player_Analysis!P518</f>
        <v>0</v>
      </c>
      <c r="M518" t="str">
        <f t="shared" si="211"/>
        <v/>
      </c>
      <c r="N518" t="str">
        <f t="shared" si="212"/>
        <v/>
      </c>
      <c r="O518" s="2" t="str">
        <f>IF(E518=0,"",Player_Analysis!L518/E518*90)</f>
        <v/>
      </c>
      <c r="P518" t="str">
        <f>IF(E518=0,"",Player_Analysis!Q518/E518*90)</f>
        <v/>
      </c>
      <c r="Q518" t="str">
        <f>IF(E518=0,"",(Player_Analysis!AD518/E518)*90)</f>
        <v/>
      </c>
      <c r="R518" t="str">
        <f>IF(E518=0,"",Player_Analysis!AA518/E518*90)</f>
        <v/>
      </c>
      <c r="S518" t="str">
        <f t="array" ref="S518">IFERROR(INDEX('2023_24'!$O:$O,MATCH($A518,'2023_24'!$A:$A,0)),"")</f>
        <v/>
      </c>
      <c r="T518" t="str">
        <f>IFERROR(INDEX('2024_25'!$P:$P,MATCH($A518,'2024_25'!$A:$A,0)),"")</f>
        <v/>
      </c>
      <c r="U518">
        <f>IFERROR(INDEX('2025_26'!$P:$P,MATCH($A518,'2025_26'!$A:$A,0)),"")</f>
        <v>7.3972602739726029E-2</v>
      </c>
      <c r="V518" t="str">
        <f>IFERROR(INDEX('2023_24'!$P:$P,MATCH($A518,'2023_24'!$A:$A,0)),"")</f>
        <v/>
      </c>
      <c r="W518" t="str">
        <f>IFERROR(INDEX('2024_25'!$Q:$Q,MATCH($A518,'2024_25'!$A:$A,0)),"")</f>
        <v/>
      </c>
      <c r="X518">
        <f>IFERROR(INDEX('2025_26'!$Q:$Q,MATCH($A518,'2025_26'!$A:$A,0)),"")</f>
        <v>1.6438356164383564E-2</v>
      </c>
      <c r="Y518" t="str">
        <f>IFERROR(INDEX('2023_24'!$M:$M,MATCH($A518,'2023_24'!$A:$A,0))/INDEX('2023_24'!$G:$G,MATCH($A518,'2023_24'!$A:$A,0))*90,"")</f>
        <v/>
      </c>
      <c r="Z518" t="str">
        <f>IFERROR(INDEX('2024_25'!$M:$M,MATCH($A518,'2024_25'!$A:$A,0))/INDEX('2024_25'!$G:$G,MATCH($A518,'2024_25'!$A:$A,0))*90,"")</f>
        <v/>
      </c>
      <c r="AA518">
        <f>IFERROR(INDEX('2025_26'!$M:$M,MATCH($A518,'2025_26'!$A:$A,0))/INDEX('2025_26'!$G:$G,MATCH($A518,'2025_26'!$A:$A,0))*90,"")</f>
        <v>3.9041095890410955</v>
      </c>
      <c r="AB518">
        <f>IFERROR(SUMPRODUCT(S518:U518,{0.2,0.3,0.5})/SUMPRODUCT(--(S518:U518&lt;&gt;""),{0.2,0.3,0.5}),"")</f>
        <v>7.3972602739726029E-2</v>
      </c>
      <c r="AC518">
        <f>IFERROR(SUMPRODUCT(V518:X518,{0.2,0.3,0.5})/SUMPRODUCT(--(V518:X518&lt;&gt;""),{0.2,0.3,0.5}),"")</f>
        <v>1.6438356164383564E-2</v>
      </c>
      <c r="AD518">
        <f>IFERROR(SUMPRODUCT(Y518:AA518,{0.2,0.3,0.5})/SUMPRODUCT((Y518:AA518&lt;&gt;"")*{0.2,0.3,0.5}),O518)</f>
        <v>3.9041095890410955</v>
      </c>
      <c r="AE518">
        <f t="shared" si="213"/>
        <v>1</v>
      </c>
      <c r="AF518" t="str">
        <f t="shared" si="214"/>
        <v/>
      </c>
      <c r="AG518">
        <f t="shared" si="215"/>
        <v>7.3972602739726029E-2</v>
      </c>
      <c r="AH518">
        <f t="shared" si="216"/>
        <v>1.6438356164383564E-2</v>
      </c>
      <c r="AI518" s="2">
        <f t="shared" si="217"/>
        <v>3.9041095890410955</v>
      </c>
      <c r="AJ518">
        <f t="shared" si="218"/>
        <v>0</v>
      </c>
      <c r="AK518" t="str">
        <f t="shared" si="219"/>
        <v>NO</v>
      </c>
      <c r="AL518">
        <f t="shared" si="220"/>
        <v>0</v>
      </c>
      <c r="AM518">
        <f t="shared" si="221"/>
        <v>0</v>
      </c>
      <c r="AN518">
        <f t="shared" si="222"/>
        <v>0</v>
      </c>
      <c r="AO518">
        <f t="shared" si="223"/>
        <v>0</v>
      </c>
      <c r="AP518">
        <f t="array" ref="AP518">AL518*IF($C518="GKP",10,IF($C518="DEF",6,IF($C518="MID",5,4)))</f>
        <v>0</v>
      </c>
      <c r="AQ518">
        <f t="shared" si="224"/>
        <v>0</v>
      </c>
      <c r="AR518">
        <f t="shared" si="225"/>
        <v>0</v>
      </c>
      <c r="AS518" s="2">
        <f>IF($H518=0,0,Player_Analysis!$AM518*$H518/90)</f>
        <v>0</v>
      </c>
      <c r="AT518">
        <f t="shared" si="226"/>
        <v>0</v>
      </c>
      <c r="AU518" s="2">
        <f>0</f>
        <v>0</v>
      </c>
      <c r="AV518" s="2" t="str">
        <f>IF(INDEX(FPL_Raw_Data!K:K,MATCH(A518,FPL_Raw_Data!AA:AA,0))=0,"",INDEX(FPL_Raw_Data!P:P,MATCH(A518,FPL_Raw_Data!AA:AA,0))/INDEX(FPL_Raw_Data!K:K,MATCH(A518,FPL_Raw_Data!AA:AA,0))*90)</f>
        <v/>
      </c>
      <c r="AW518" s="2">
        <f t="shared" si="227"/>
        <v>0</v>
      </c>
      <c r="AX518" s="2">
        <f>IFERROR(INDEX(TEAM_ANALYSIS!$H$2:$H$21,MATCH($B518,TEAM_ANALYSIS!$A$2:$A$21,0)),0)</f>
        <v>2</v>
      </c>
      <c r="AY518" s="2">
        <f t="shared" si="228"/>
        <v>0</v>
      </c>
      <c r="AZ518" s="2">
        <f t="shared" si="229"/>
        <v>0</v>
      </c>
      <c r="BA518">
        <f t="shared" si="230"/>
        <v>0</v>
      </c>
      <c r="BB518">
        <f>IFERROR(Player_Analysis!$Y518,1)</f>
        <v>1.0979325259515571</v>
      </c>
      <c r="BC518">
        <f t="shared" si="231"/>
        <v>0</v>
      </c>
      <c r="BD518">
        <f t="shared" si="232"/>
        <v>0</v>
      </c>
      <c r="BE518">
        <f t="shared" si="233"/>
        <v>0</v>
      </c>
      <c r="BF518">
        <f t="shared" si="234"/>
        <v>253</v>
      </c>
      <c r="BG518">
        <f>IF($BE518="","",COUNTIFS($C$2:$C$596,$C518,$BE$2:$BE$596,"&gt;"&amp;$BE518)+COUNTIFS($C$2:$C518,$C518,$BE$2:$BE518,$BE518))</f>
        <v>248</v>
      </c>
    </row>
    <row r="519" spans="1:59" x14ac:dyDescent="0.25">
      <c r="A519" t="str">
        <f>Player_Analysis!A519</f>
        <v>Jack Fletcher</v>
      </c>
      <c r="B519">
        <f>Player_Analysis!C519</f>
        <v>16</v>
      </c>
      <c r="C519" t="str">
        <f>Player_Analysis!B519</f>
        <v>MID</v>
      </c>
      <c r="D519" s="13">
        <f>Player_Analysis!E519</f>
        <v>5</v>
      </c>
      <c r="E519">
        <f>Player_Analysis!I519</f>
        <v>0</v>
      </c>
      <c r="F519" s="8">
        <f>Player_Analysis!Z519</f>
        <v>0</v>
      </c>
      <c r="G519" s="17">
        <f t="shared" si="209"/>
        <v>0</v>
      </c>
      <c r="H519">
        <f t="shared" si="210"/>
        <v>0</v>
      </c>
      <c r="I519" s="8">
        <f>Player_Analysis!AF519</f>
        <v>0</v>
      </c>
      <c r="J519" s="8">
        <f>Player_Analysis!AG519</f>
        <v>0</v>
      </c>
      <c r="K519">
        <f>Player_Analysis!O519</f>
        <v>0</v>
      </c>
      <c r="L519">
        <f>Player_Analysis!P519</f>
        <v>0</v>
      </c>
      <c r="M519" t="str">
        <f t="shared" si="211"/>
        <v/>
      </c>
      <c r="N519" t="str">
        <f t="shared" si="212"/>
        <v/>
      </c>
      <c r="O519" s="2" t="str">
        <f>IF(E519=0,"",Player_Analysis!L519/E519*90)</f>
        <v/>
      </c>
      <c r="P519" t="str">
        <f>IF(E519=0,"",Player_Analysis!Q519/E519*90)</f>
        <v/>
      </c>
      <c r="Q519" t="str">
        <f>IF(E519=0,"",(Player_Analysis!AD519/E519)*90)</f>
        <v/>
      </c>
      <c r="R519" t="str">
        <f>IF(E519=0,"",Player_Analysis!AA519/E519*90)</f>
        <v/>
      </c>
      <c r="S519" t="str">
        <f t="array" ref="S519">IFERROR(INDEX('2023_24'!$O:$O,MATCH($A519,'2023_24'!$A:$A,0)),"")</f>
        <v/>
      </c>
      <c r="T519">
        <f>IFERROR(INDEX('2024_25'!$P:$P,MATCH($A519,'2024_25'!$A:$A,0)),"")</f>
        <v>0</v>
      </c>
      <c r="U519">
        <f>IFERROR(INDEX('2025_26'!$P:$P,MATCH($A519,'2025_26'!$A:$A,0)),"")</f>
        <v>2.5233644859813085E-2</v>
      </c>
      <c r="V519" t="str">
        <f>IFERROR(INDEX('2023_24'!$P:$P,MATCH($A519,'2023_24'!$A:$A,0)),"")</f>
        <v/>
      </c>
      <c r="W519">
        <f>IFERROR(INDEX('2024_25'!$Q:$Q,MATCH($A519,'2024_25'!$A:$A,0)),"")</f>
        <v>0</v>
      </c>
      <c r="X519">
        <f>IFERROR(INDEX('2025_26'!$Q:$Q,MATCH($A519,'2025_26'!$A:$A,0)),"")</f>
        <v>1.6822429906542057E-2</v>
      </c>
      <c r="Y519" t="str">
        <f>IFERROR(INDEX('2023_24'!$M:$M,MATCH($A519,'2023_24'!$A:$A,0))/INDEX('2023_24'!$G:$G,MATCH($A519,'2023_24'!$A:$A,0))*90,"")</f>
        <v/>
      </c>
      <c r="Z519" t="str">
        <f>IFERROR(INDEX('2024_25'!$M:$M,MATCH($A519,'2024_25'!$A:$A,0))/INDEX('2024_25'!$G:$G,MATCH($A519,'2024_25'!$A:$A,0))*90,"")</f>
        <v/>
      </c>
      <c r="AA519">
        <f>IFERROR(INDEX('2025_26'!$M:$M,MATCH($A519,'2025_26'!$A:$A,0))/INDEX('2025_26'!$G:$G,MATCH($A519,'2025_26'!$A:$A,0))*90,"")</f>
        <v>2.5233644859813085</v>
      </c>
      <c r="AB519">
        <f>IFERROR(SUMPRODUCT(S519:U519,{0.2,0.3,0.5})/SUMPRODUCT(--(S519:U519&lt;&gt;""),{0.2,0.3,0.5}),"")</f>
        <v>1.5771028037383176E-2</v>
      </c>
      <c r="AC519">
        <f>IFERROR(SUMPRODUCT(V519:X519,{0.2,0.3,0.5})/SUMPRODUCT(--(V519:X519&lt;&gt;""),{0.2,0.3,0.5}),"")</f>
        <v>1.0514018691588784E-2</v>
      </c>
      <c r="AD519">
        <f>IFERROR(SUMPRODUCT(Y519:AA519,{0.2,0.3,0.5})/SUMPRODUCT((Y519:AA519&lt;&gt;"")*{0.2,0.3,0.5}),O519)</f>
        <v>2.5233644859813085</v>
      </c>
      <c r="AE519">
        <f t="shared" si="213"/>
        <v>2</v>
      </c>
      <c r="AF519" t="str">
        <f t="shared" si="214"/>
        <v/>
      </c>
      <c r="AG519">
        <f t="shared" si="215"/>
        <v>1.5771028037383176E-2</v>
      </c>
      <c r="AH519">
        <f t="shared" si="216"/>
        <v>1.0514018691588784E-2</v>
      </c>
      <c r="AI519" s="2">
        <f t="shared" si="217"/>
        <v>2.5233644859813085</v>
      </c>
      <c r="AJ519">
        <f t="shared" si="218"/>
        <v>0</v>
      </c>
      <c r="AK519" t="str">
        <f t="shared" si="219"/>
        <v>NO</v>
      </c>
      <c r="AL519">
        <f t="shared" si="220"/>
        <v>0</v>
      </c>
      <c r="AM519">
        <f t="shared" si="221"/>
        <v>0</v>
      </c>
      <c r="AN519">
        <f t="shared" si="222"/>
        <v>0</v>
      </c>
      <c r="AO519">
        <f t="shared" si="223"/>
        <v>0</v>
      </c>
      <c r="AP519">
        <f t="array" ref="AP519">AL519*IF($C519="GKP",10,IF($C519="DEF",6,IF($C519="MID",5,4)))</f>
        <v>0</v>
      </c>
      <c r="AQ519">
        <f t="shared" si="224"/>
        <v>0</v>
      </c>
      <c r="AR519">
        <f t="shared" si="225"/>
        <v>0</v>
      </c>
      <c r="AS519" s="2">
        <f>IF($H519=0,0,Player_Analysis!$AM519*$H519/90)</f>
        <v>0</v>
      </c>
      <c r="AT519">
        <f t="shared" si="226"/>
        <v>0</v>
      </c>
      <c r="AU519" s="2">
        <f>0</f>
        <v>0</v>
      </c>
      <c r="AV519" s="2" t="str">
        <f>IF(INDEX(FPL_Raw_Data!K:K,MATCH(A519,FPL_Raw_Data!AA:AA,0))=0,"",INDEX(FPL_Raw_Data!P:P,MATCH(A519,FPL_Raw_Data!AA:AA,0))/INDEX(FPL_Raw_Data!K:K,MATCH(A519,FPL_Raw_Data!AA:AA,0))*90)</f>
        <v/>
      </c>
      <c r="AW519" s="2">
        <f t="shared" si="227"/>
        <v>0</v>
      </c>
      <c r="AX519" s="2">
        <f>IFERROR(INDEX(TEAM_ANALYSIS!$H$2:$H$21,MATCH($B519,TEAM_ANALYSIS!$A$2:$A$21,0)),0)</f>
        <v>2</v>
      </c>
      <c r="AY519" s="2">
        <f t="shared" si="228"/>
        <v>0</v>
      </c>
      <c r="AZ519" s="2">
        <f t="shared" si="229"/>
        <v>0</v>
      </c>
      <c r="BA519">
        <f t="shared" si="230"/>
        <v>0</v>
      </c>
      <c r="BB519">
        <f>IFERROR(Player_Analysis!$Y519,1)</f>
        <v>1.0979325259515571</v>
      </c>
      <c r="BC519">
        <f t="shared" si="231"/>
        <v>0</v>
      </c>
      <c r="BD519">
        <f t="shared" si="232"/>
        <v>0</v>
      </c>
      <c r="BE519">
        <f t="shared" si="233"/>
        <v>0</v>
      </c>
      <c r="BF519">
        <f t="shared" si="234"/>
        <v>253</v>
      </c>
      <c r="BG519">
        <f>IF($BE519="","",COUNTIFS($C$2:$C$596,$C519,$BE$2:$BE$596,"&gt;"&amp;$BE519)+COUNTIFS($C$2:$C519,$C519,$BE$2:$BE519,$BE519))</f>
        <v>249</v>
      </c>
    </row>
    <row r="520" spans="1:59" x14ac:dyDescent="0.25">
      <c r="A520" t="str">
        <f>Player_Analysis!A520</f>
        <v>Shea Lacey</v>
      </c>
      <c r="B520">
        <f>Player_Analysis!C520</f>
        <v>16</v>
      </c>
      <c r="C520" t="str">
        <f>Player_Analysis!B520</f>
        <v>MID</v>
      </c>
      <c r="D520" s="13">
        <f>Player_Analysis!E520</f>
        <v>5</v>
      </c>
      <c r="E520">
        <f>Player_Analysis!I520</f>
        <v>10</v>
      </c>
      <c r="F520" s="8">
        <f>Player_Analysis!Z520</f>
        <v>0</v>
      </c>
      <c r="G520" s="17">
        <f t="shared" si="209"/>
        <v>0</v>
      </c>
      <c r="H520">
        <f t="shared" si="210"/>
        <v>0</v>
      </c>
      <c r="I520" s="8">
        <f>Player_Analysis!AF520</f>
        <v>0</v>
      </c>
      <c r="J520" s="8">
        <f>Player_Analysis!AG520</f>
        <v>0</v>
      </c>
      <c r="K520">
        <f>Player_Analysis!O520</f>
        <v>0</v>
      </c>
      <c r="L520">
        <f>Player_Analysis!P520</f>
        <v>0</v>
      </c>
      <c r="M520">
        <f t="shared" si="211"/>
        <v>0</v>
      </c>
      <c r="N520">
        <f t="shared" si="212"/>
        <v>0</v>
      </c>
      <c r="O520" s="2">
        <f>IF(E520=0,"",Player_Analysis!L520/E520*90)</f>
        <v>9</v>
      </c>
      <c r="P520">
        <f>IF(E520=0,"",Player_Analysis!Q520/E520*90)</f>
        <v>0</v>
      </c>
      <c r="Q520">
        <f>IF(E520=0,"",(Player_Analysis!AD520/E520)*90)</f>
        <v>27</v>
      </c>
      <c r="R520">
        <f>IF(E520=0,"",Player_Analysis!AA520/E520*90)</f>
        <v>9</v>
      </c>
      <c r="S520" t="str">
        <f t="array" ref="S520">IFERROR(INDEX('2023_24'!$O:$O,MATCH($A520,'2023_24'!$A:$A,0)),"")</f>
        <v/>
      </c>
      <c r="T520" t="str">
        <f>IFERROR(INDEX('2024_25'!$P:$P,MATCH($A520,'2024_25'!$A:$A,0)),"")</f>
        <v/>
      </c>
      <c r="U520">
        <f>IFERROR(INDEX('2025_26'!$P:$P,MATCH($A520,'2025_26'!$A:$A,0)),"")</f>
        <v>0.22500000000000001</v>
      </c>
      <c r="V520" t="str">
        <f>IFERROR(INDEX('2023_24'!$P:$P,MATCH($A520,'2023_24'!$A:$A,0)),"")</f>
        <v/>
      </c>
      <c r="W520" t="str">
        <f>IFERROR(INDEX('2024_25'!$Q:$Q,MATCH($A520,'2024_25'!$A:$A,0)),"")</f>
        <v/>
      </c>
      <c r="X520">
        <f>IFERROR(INDEX('2025_26'!$Q:$Q,MATCH($A520,'2025_26'!$A:$A,0)),"")</f>
        <v>2.2499999999999999E-2</v>
      </c>
      <c r="Y520" t="str">
        <f>IFERROR(INDEX('2023_24'!$M:$M,MATCH($A520,'2023_24'!$A:$A,0))/INDEX('2023_24'!$G:$G,MATCH($A520,'2023_24'!$A:$A,0))*90,"")</f>
        <v/>
      </c>
      <c r="Z520" t="str">
        <f>IFERROR(INDEX('2024_25'!$M:$M,MATCH($A520,'2024_25'!$A:$A,0))/INDEX('2024_25'!$G:$G,MATCH($A520,'2024_25'!$A:$A,0))*90,"")</f>
        <v/>
      </c>
      <c r="AA520">
        <f>IFERROR(INDEX('2025_26'!$M:$M,MATCH($A520,'2025_26'!$A:$A,0))/INDEX('2025_26'!$G:$G,MATCH($A520,'2025_26'!$A:$A,0))*90,"")</f>
        <v>6.75</v>
      </c>
      <c r="AB520">
        <f>IFERROR(SUMPRODUCT(S520:U520,{0.2,0.3,0.5})/SUMPRODUCT(--(S520:U520&lt;&gt;""),{0.2,0.3,0.5}),"")</f>
        <v>0.22500000000000001</v>
      </c>
      <c r="AC520">
        <f>IFERROR(SUMPRODUCT(V520:X520,{0.2,0.3,0.5})/SUMPRODUCT(--(V520:X520&lt;&gt;""),{0.2,0.3,0.5}),"")</f>
        <v>2.2499999999999999E-2</v>
      </c>
      <c r="AD520">
        <f>IFERROR(SUMPRODUCT(Y520:AA520,{0.2,0.3,0.5})/SUMPRODUCT((Y520:AA520&lt;&gt;"")*{0.2,0.3,0.5}),O520)</f>
        <v>6.75</v>
      </c>
      <c r="AE520">
        <f t="shared" si="213"/>
        <v>1</v>
      </c>
      <c r="AF520" t="str">
        <f t="shared" si="214"/>
        <v/>
      </c>
      <c r="AG520">
        <f t="shared" si="215"/>
        <v>0.2175</v>
      </c>
      <c r="AH520">
        <f t="shared" si="216"/>
        <v>2.1749999999999999E-2</v>
      </c>
      <c r="AI520" s="2">
        <f t="shared" si="217"/>
        <v>6.8250000000000002</v>
      </c>
      <c r="AJ520">
        <f t="shared" si="218"/>
        <v>3.3333333333333333E-2</v>
      </c>
      <c r="AK520" t="str">
        <f t="shared" si="219"/>
        <v>NO</v>
      </c>
      <c r="AL520">
        <f t="shared" si="220"/>
        <v>0</v>
      </c>
      <c r="AM520">
        <f t="shared" si="221"/>
        <v>0</v>
      </c>
      <c r="AN520">
        <f t="shared" si="222"/>
        <v>0</v>
      </c>
      <c r="AO520">
        <f t="shared" si="223"/>
        <v>0</v>
      </c>
      <c r="AP520">
        <f t="array" ref="AP520">AL520*IF($C520="GKP",10,IF($C520="DEF",6,IF($C520="MID",5,4)))</f>
        <v>0</v>
      </c>
      <c r="AQ520">
        <f t="shared" si="224"/>
        <v>0</v>
      </c>
      <c r="AR520">
        <f t="shared" si="225"/>
        <v>0</v>
      </c>
      <c r="AS520" s="2">
        <f>IF($H520=0,0,Player_Analysis!$AM520*$H520/90)</f>
        <v>0</v>
      </c>
      <c r="AT520">
        <f t="shared" si="226"/>
        <v>0</v>
      </c>
      <c r="AU520" s="2">
        <f>0</f>
        <v>0</v>
      </c>
      <c r="AV520" s="2">
        <f>IF(INDEX(FPL_Raw_Data!K:K,MATCH(A520,FPL_Raw_Data!AA:AA,0))=0,"",INDEX(FPL_Raw_Data!P:P,MATCH(A520,FPL_Raw_Data!AA:AA,0))/INDEX(FPL_Raw_Data!K:K,MATCH(A520,FPL_Raw_Data!AA:AA,0))*90)</f>
        <v>0</v>
      </c>
      <c r="AW520" s="2">
        <f t="shared" si="227"/>
        <v>0</v>
      </c>
      <c r="AX520" s="2">
        <f>IFERROR(INDEX(TEAM_ANALYSIS!$H$2:$H$21,MATCH($B520,TEAM_ANALYSIS!$A$2:$A$21,0)),0)</f>
        <v>2</v>
      </c>
      <c r="AY520" s="2">
        <f t="shared" si="228"/>
        <v>0</v>
      </c>
      <c r="AZ520" s="2">
        <f t="shared" si="229"/>
        <v>0</v>
      </c>
      <c r="BA520">
        <f t="shared" si="230"/>
        <v>0</v>
      </c>
      <c r="BB520">
        <f>IFERROR(Player_Analysis!$Y520,1)</f>
        <v>1.0979325259515571</v>
      </c>
      <c r="BC520">
        <f t="shared" si="231"/>
        <v>0</v>
      </c>
      <c r="BD520">
        <f t="shared" si="232"/>
        <v>0</v>
      </c>
      <c r="BE520">
        <f t="shared" si="233"/>
        <v>0</v>
      </c>
      <c r="BF520">
        <f t="shared" si="234"/>
        <v>253</v>
      </c>
      <c r="BG520">
        <f>IF($BE520="","",COUNTIFS($C$2:$C$596,$C520,$BE$2:$BE$596,"&gt;"&amp;$BE520)+COUNTIFS($C$2:$C520,$C520,$BE$2:$BE520,$BE520))</f>
        <v>250</v>
      </c>
    </row>
    <row r="521" spans="1:59" x14ac:dyDescent="0.25">
      <c r="A521" t="str">
        <f>Player_Analysis!A521</f>
        <v>Toby Collyer</v>
      </c>
      <c r="B521">
        <f>Player_Analysis!C521</f>
        <v>16</v>
      </c>
      <c r="C521" t="str">
        <f>Player_Analysis!B521</f>
        <v>MID</v>
      </c>
      <c r="D521" s="13">
        <f>Player_Analysis!E521</f>
        <v>5</v>
      </c>
      <c r="E521">
        <f>Player_Analysis!I521</f>
        <v>0</v>
      </c>
      <c r="F521" s="8">
        <f>Player_Analysis!Z521</f>
        <v>0</v>
      </c>
      <c r="G521" s="17">
        <f t="shared" si="209"/>
        <v>0</v>
      </c>
      <c r="H521">
        <f t="shared" si="210"/>
        <v>0</v>
      </c>
      <c r="I521" s="8">
        <f>Player_Analysis!AF521</f>
        <v>0</v>
      </c>
      <c r="J521" s="8">
        <f>Player_Analysis!AG521</f>
        <v>0</v>
      </c>
      <c r="K521">
        <f>Player_Analysis!O521</f>
        <v>0</v>
      </c>
      <c r="L521">
        <f>Player_Analysis!P521</f>
        <v>0</v>
      </c>
      <c r="M521" t="str">
        <f t="shared" si="211"/>
        <v/>
      </c>
      <c r="N521" t="str">
        <f t="shared" si="212"/>
        <v/>
      </c>
      <c r="O521" s="2" t="str">
        <f>IF(E521=0,"",Player_Analysis!L521/E521*90)</f>
        <v/>
      </c>
      <c r="P521" t="str">
        <f>IF(E521=0,"",Player_Analysis!Q521/E521*90)</f>
        <v/>
      </c>
      <c r="Q521" t="str">
        <f>IF(E521=0,"",(Player_Analysis!AD521/E521)*90)</f>
        <v/>
      </c>
      <c r="R521" t="str">
        <f>IF(E521=0,"",Player_Analysis!AA521/E521*90)</f>
        <v/>
      </c>
      <c r="S521">
        <f t="array" ref="S521">IFERROR(INDEX('2023_24'!$O:$O,MATCH($A521,'2023_24'!$A:$A,0)),"")</f>
        <v>0</v>
      </c>
      <c r="T521">
        <f>IFERROR(INDEX('2024_25'!$P:$P,MATCH($A521,'2024_25'!$A:$A,0)),"")</f>
        <v>4.1379310344827586E-2</v>
      </c>
      <c r="U521">
        <f>IFERROR(INDEX('2025_26'!$P:$P,MATCH($A521,'2025_26'!$A:$A,0)),"")</f>
        <v>0</v>
      </c>
      <c r="V521">
        <f>IFERROR(INDEX('2023_24'!$P:$P,MATCH($A521,'2023_24'!$A:$A,0)),"")</f>
        <v>0</v>
      </c>
      <c r="W521">
        <f>IFERROR(INDEX('2024_25'!$Q:$Q,MATCH($A521,'2024_25'!$A:$A,0)),"")</f>
        <v>0.19137931034482761</v>
      </c>
      <c r="X521">
        <f>IFERROR(INDEX('2025_26'!$Q:$Q,MATCH($A521,'2025_26'!$A:$A,0)),"")</f>
        <v>0</v>
      </c>
      <c r="Y521" t="str">
        <f>IFERROR(INDEX('2023_24'!$M:$M,MATCH($A521,'2023_24'!$A:$A,0))/INDEX('2023_24'!$G:$G,MATCH($A521,'2023_24'!$A:$A,0))*90,"")</f>
        <v/>
      </c>
      <c r="Z521">
        <f>IFERROR(INDEX('2024_25'!$M:$M,MATCH($A521,'2024_25'!$A:$A,0))/INDEX('2024_25'!$G:$G,MATCH($A521,'2024_25'!$A:$A,0))*90,"")</f>
        <v>3.103448275862069</v>
      </c>
      <c r="AA521" t="str">
        <f>IFERROR(INDEX('2025_26'!$M:$M,MATCH($A521,'2025_26'!$A:$A,0))/INDEX('2025_26'!$G:$G,MATCH($A521,'2025_26'!$A:$A,0))*90,"")</f>
        <v/>
      </c>
      <c r="AB521">
        <f>IFERROR(SUMPRODUCT(S521:U521,{0.2,0.3,0.5})/SUMPRODUCT(--(S521:U521&lt;&gt;""),{0.2,0.3,0.5}),"")</f>
        <v>1.2413793103448275E-2</v>
      </c>
      <c r="AC521">
        <f>IFERROR(SUMPRODUCT(V521:X521,{0.2,0.3,0.5})/SUMPRODUCT(--(V521:X521&lt;&gt;""),{0.2,0.3,0.5}),"")</f>
        <v>5.7413793103448282E-2</v>
      </c>
      <c r="AD521">
        <f>IFERROR(SUMPRODUCT(Y521:AA521,{0.2,0.3,0.5})/SUMPRODUCT((Y521:AA521&lt;&gt;"")*{0.2,0.3,0.5}),O521)</f>
        <v>3.103448275862069</v>
      </c>
      <c r="AE521">
        <f t="shared" si="213"/>
        <v>3</v>
      </c>
      <c r="AF521" t="str">
        <f t="shared" si="214"/>
        <v/>
      </c>
      <c r="AG521">
        <f t="shared" si="215"/>
        <v>1.2413793103448275E-2</v>
      </c>
      <c r="AH521">
        <f t="shared" si="216"/>
        <v>5.7413793103448282E-2</v>
      </c>
      <c r="AI521" s="2">
        <f t="shared" si="217"/>
        <v>3.103448275862069</v>
      </c>
      <c r="AJ521">
        <f t="shared" si="218"/>
        <v>0</v>
      </c>
      <c r="AK521" t="str">
        <f t="shared" si="219"/>
        <v>NO</v>
      </c>
      <c r="AL521">
        <f t="shared" si="220"/>
        <v>0</v>
      </c>
      <c r="AM521">
        <f t="shared" si="221"/>
        <v>0</v>
      </c>
      <c r="AN521">
        <f t="shared" si="222"/>
        <v>0</v>
      </c>
      <c r="AO521">
        <f t="shared" si="223"/>
        <v>0</v>
      </c>
      <c r="AP521">
        <f t="array" ref="AP521">AL521*IF($C521="GKP",10,IF($C521="DEF",6,IF($C521="MID",5,4)))</f>
        <v>0</v>
      </c>
      <c r="AQ521">
        <f t="shared" si="224"/>
        <v>0</v>
      </c>
      <c r="AR521">
        <f t="shared" si="225"/>
        <v>0</v>
      </c>
      <c r="AS521" s="2">
        <f>IF($H521=0,0,Player_Analysis!$AM521*$H521/90)</f>
        <v>0</v>
      </c>
      <c r="AT521">
        <f t="shared" si="226"/>
        <v>0</v>
      </c>
      <c r="AU521" s="2">
        <f>0</f>
        <v>0</v>
      </c>
      <c r="AV521" s="2" t="str">
        <f>IF(INDEX(FPL_Raw_Data!K:K,MATCH(A521,FPL_Raw_Data!AA:AA,0))=0,"",INDEX(FPL_Raw_Data!P:P,MATCH(A521,FPL_Raw_Data!AA:AA,0))/INDEX(FPL_Raw_Data!K:K,MATCH(A521,FPL_Raw_Data!AA:AA,0))*90)</f>
        <v/>
      </c>
      <c r="AW521" s="2">
        <f t="shared" si="227"/>
        <v>0</v>
      </c>
      <c r="AX521" s="2">
        <f>IFERROR(INDEX(TEAM_ANALYSIS!$H$2:$H$21,MATCH($B521,TEAM_ANALYSIS!$A$2:$A$21,0)),0)</f>
        <v>2</v>
      </c>
      <c r="AY521" s="2">
        <f t="shared" si="228"/>
        <v>0</v>
      </c>
      <c r="AZ521" s="2">
        <f t="shared" si="229"/>
        <v>0</v>
      </c>
      <c r="BA521">
        <f t="shared" si="230"/>
        <v>0</v>
      </c>
      <c r="BB521">
        <f>IFERROR(Player_Analysis!$Y521,1)</f>
        <v>1.0979325259515571</v>
      </c>
      <c r="BC521">
        <f t="shared" si="231"/>
        <v>0</v>
      </c>
      <c r="BD521">
        <f t="shared" si="232"/>
        <v>0</v>
      </c>
      <c r="BE521">
        <f t="shared" si="233"/>
        <v>0</v>
      </c>
      <c r="BF521">
        <f t="shared" si="234"/>
        <v>253</v>
      </c>
      <c r="BG521">
        <f>IF($BE521="","",COUNTIFS($C$2:$C$596,$C521,$BE$2:$BE$596,"&gt;"&amp;$BE521)+COUNTIFS($C$2:$C521,$C521,$BE$2:$BE521,$BE521))</f>
        <v>251</v>
      </c>
    </row>
    <row r="522" spans="1:59" x14ac:dyDescent="0.25">
      <c r="A522" t="str">
        <f>Player_Analysis!A522</f>
        <v>Bendito Mantato</v>
      </c>
      <c r="B522">
        <f>Player_Analysis!C522</f>
        <v>16</v>
      </c>
      <c r="C522" t="str">
        <f>Player_Analysis!B522</f>
        <v>MID</v>
      </c>
      <c r="D522" s="13">
        <f>Player_Analysis!E522</f>
        <v>4.5</v>
      </c>
      <c r="E522">
        <f>Player_Analysis!I522</f>
        <v>0</v>
      </c>
      <c r="F522" s="8">
        <f>Player_Analysis!Z522</f>
        <v>0</v>
      </c>
      <c r="G522" s="17">
        <f t="shared" si="209"/>
        <v>0</v>
      </c>
      <c r="H522">
        <f t="shared" si="210"/>
        <v>0</v>
      </c>
      <c r="I522" s="8">
        <f>Player_Analysis!AF522</f>
        <v>0</v>
      </c>
      <c r="J522" s="8">
        <f>Player_Analysis!AG522</f>
        <v>0</v>
      </c>
      <c r="K522">
        <f>Player_Analysis!O522</f>
        <v>0</v>
      </c>
      <c r="L522">
        <f>Player_Analysis!P522</f>
        <v>0</v>
      </c>
      <c r="M522" t="str">
        <f t="shared" si="211"/>
        <v/>
      </c>
      <c r="N522" t="str">
        <f t="shared" si="212"/>
        <v/>
      </c>
      <c r="O522" s="2" t="str">
        <f>IF(E522=0,"",Player_Analysis!L522/E522*90)</f>
        <v/>
      </c>
      <c r="P522" t="str">
        <f>IF(E522=0,"",Player_Analysis!Q522/E522*90)</f>
        <v/>
      </c>
      <c r="Q522" t="str">
        <f>IF(E522=0,"",(Player_Analysis!AD522/E522)*90)</f>
        <v/>
      </c>
      <c r="R522" t="str">
        <f>IF(E522=0,"",Player_Analysis!AA522/E522*90)</f>
        <v/>
      </c>
      <c r="S522" t="str">
        <f t="array" ref="S522">IFERROR(INDEX('2023_24'!$O:$O,MATCH($A522,'2023_24'!$A:$A,0)),"")</f>
        <v/>
      </c>
      <c r="T522" t="str">
        <f>IFERROR(INDEX('2024_25'!$P:$P,MATCH($A522,'2024_25'!$A:$A,0)),"")</f>
        <v/>
      </c>
      <c r="U522">
        <f>IFERROR(INDEX('2025_26'!$P:$P,MATCH($A522,'2025_26'!$A:$A,0)),"")</f>
        <v>0</v>
      </c>
      <c r="V522" t="str">
        <f>IFERROR(INDEX('2023_24'!$P:$P,MATCH($A522,'2023_24'!$A:$A,0)),"")</f>
        <v/>
      </c>
      <c r="W522" t="str">
        <f>IFERROR(INDEX('2024_25'!$Q:$Q,MATCH($A522,'2024_25'!$A:$A,0)),"")</f>
        <v/>
      </c>
      <c r="X522">
        <f>IFERROR(INDEX('2025_26'!$Q:$Q,MATCH($A522,'2025_26'!$A:$A,0)),"")</f>
        <v>0.06</v>
      </c>
      <c r="Y522" t="str">
        <f>IFERROR(INDEX('2023_24'!$M:$M,MATCH($A522,'2023_24'!$A:$A,0))/INDEX('2023_24'!$G:$G,MATCH($A522,'2023_24'!$A:$A,0))*90,"")</f>
        <v/>
      </c>
      <c r="Z522" t="str">
        <f>IFERROR(INDEX('2024_25'!$M:$M,MATCH($A522,'2024_25'!$A:$A,0))/INDEX('2024_25'!$G:$G,MATCH($A522,'2024_25'!$A:$A,0))*90,"")</f>
        <v/>
      </c>
      <c r="AA522">
        <f>IFERROR(INDEX('2025_26'!$M:$M,MATCH($A522,'2025_26'!$A:$A,0))/INDEX('2025_26'!$G:$G,MATCH($A522,'2025_26'!$A:$A,0))*90,"")</f>
        <v>6</v>
      </c>
      <c r="AB522">
        <f>IFERROR(SUMPRODUCT(S522:U522,{0.2,0.3,0.5})/SUMPRODUCT(--(S522:U522&lt;&gt;""),{0.2,0.3,0.5}),"")</f>
        <v>0</v>
      </c>
      <c r="AC522">
        <f>IFERROR(SUMPRODUCT(V522:X522,{0.2,0.3,0.5})/SUMPRODUCT(--(V522:X522&lt;&gt;""),{0.2,0.3,0.5}),"")</f>
        <v>0.06</v>
      </c>
      <c r="AD522">
        <f>IFERROR(SUMPRODUCT(Y522:AA522,{0.2,0.3,0.5})/SUMPRODUCT((Y522:AA522&lt;&gt;"")*{0.2,0.3,0.5}),O522)</f>
        <v>6</v>
      </c>
      <c r="AE522">
        <f t="shared" si="213"/>
        <v>1</v>
      </c>
      <c r="AF522" t="str">
        <f t="shared" si="214"/>
        <v/>
      </c>
      <c r="AG522">
        <f t="shared" si="215"/>
        <v>0</v>
      </c>
      <c r="AH522">
        <f t="shared" si="216"/>
        <v>0.06</v>
      </c>
      <c r="AI522" s="2">
        <f t="shared" si="217"/>
        <v>6</v>
      </c>
      <c r="AJ522">
        <f t="shared" si="218"/>
        <v>0</v>
      </c>
      <c r="AK522" t="str">
        <f t="shared" si="219"/>
        <v>NO</v>
      </c>
      <c r="AL522">
        <f t="shared" si="220"/>
        <v>0</v>
      </c>
      <c r="AM522">
        <f t="shared" si="221"/>
        <v>0</v>
      </c>
      <c r="AN522">
        <f t="shared" si="222"/>
        <v>0</v>
      </c>
      <c r="AO522">
        <f t="shared" si="223"/>
        <v>0</v>
      </c>
      <c r="AP522">
        <f t="array" ref="AP522">AL522*IF($C522="GKP",10,IF($C522="DEF",6,IF($C522="MID",5,4)))</f>
        <v>0</v>
      </c>
      <c r="AQ522">
        <f t="shared" si="224"/>
        <v>0</v>
      </c>
      <c r="AR522">
        <f t="shared" si="225"/>
        <v>0</v>
      </c>
      <c r="AS522" s="2">
        <f>IF($H522=0,0,Player_Analysis!$AM522*$H522/90)</f>
        <v>0</v>
      </c>
      <c r="AT522">
        <f t="shared" si="226"/>
        <v>0</v>
      </c>
      <c r="AU522" s="2">
        <f>0</f>
        <v>0</v>
      </c>
      <c r="AV522" s="2" t="str">
        <f>IF(INDEX(FPL_Raw_Data!K:K,MATCH(A522,FPL_Raw_Data!AA:AA,0))=0,"",INDEX(FPL_Raw_Data!P:P,MATCH(A522,FPL_Raw_Data!AA:AA,0))/INDEX(FPL_Raw_Data!K:K,MATCH(A522,FPL_Raw_Data!AA:AA,0))*90)</f>
        <v/>
      </c>
      <c r="AW522" s="2">
        <f t="shared" si="227"/>
        <v>0</v>
      </c>
      <c r="AX522" s="2">
        <f>IFERROR(INDEX(TEAM_ANALYSIS!$H$2:$H$21,MATCH($B522,TEAM_ANALYSIS!$A$2:$A$21,0)),0)</f>
        <v>2</v>
      </c>
      <c r="AY522" s="2">
        <f t="shared" si="228"/>
        <v>0</v>
      </c>
      <c r="AZ522" s="2">
        <f t="shared" si="229"/>
        <v>0</v>
      </c>
      <c r="BA522">
        <f t="shared" si="230"/>
        <v>0</v>
      </c>
      <c r="BB522">
        <f>IFERROR(Player_Analysis!$Y522,1)</f>
        <v>1.0979325259515571</v>
      </c>
      <c r="BC522">
        <f t="shared" si="231"/>
        <v>0</v>
      </c>
      <c r="BD522">
        <f t="shared" si="232"/>
        <v>0</v>
      </c>
      <c r="BE522">
        <f t="shared" si="233"/>
        <v>0</v>
      </c>
      <c r="BF522">
        <f t="shared" si="234"/>
        <v>253</v>
      </c>
      <c r="BG522">
        <f>IF($BE522="","",COUNTIFS($C$2:$C$596,$C522,$BE$2:$BE$596,"&gt;"&amp;$BE522)+COUNTIFS($C$2:$C522,$C522,$BE$2:$BE522,$BE522))</f>
        <v>252</v>
      </c>
    </row>
    <row r="523" spans="1:59" x14ac:dyDescent="0.25">
      <c r="A523" t="str">
        <f>Player_Analysis!A523</f>
        <v>Tyler Fletcher</v>
      </c>
      <c r="B523">
        <f>Player_Analysis!C523</f>
        <v>16</v>
      </c>
      <c r="C523" t="str">
        <f>Player_Analysis!B523</f>
        <v>MID</v>
      </c>
      <c r="D523" s="13">
        <f>Player_Analysis!E523</f>
        <v>4.5</v>
      </c>
      <c r="E523">
        <f>Player_Analysis!I523</f>
        <v>0</v>
      </c>
      <c r="F523" s="8">
        <f>Player_Analysis!Z523</f>
        <v>0</v>
      </c>
      <c r="G523" s="17">
        <f t="shared" si="209"/>
        <v>0</v>
      </c>
      <c r="H523">
        <f t="shared" si="210"/>
        <v>0</v>
      </c>
      <c r="I523" s="8">
        <f>Player_Analysis!AF523</f>
        <v>0</v>
      </c>
      <c r="J523" s="8">
        <f>Player_Analysis!AG523</f>
        <v>0</v>
      </c>
      <c r="K523">
        <f>Player_Analysis!O523</f>
        <v>0</v>
      </c>
      <c r="L523">
        <f>Player_Analysis!P523</f>
        <v>0</v>
      </c>
      <c r="M523" t="str">
        <f t="shared" si="211"/>
        <v/>
      </c>
      <c r="N523" t="str">
        <f t="shared" si="212"/>
        <v/>
      </c>
      <c r="O523" s="2" t="str">
        <f>IF(E523=0,"",Player_Analysis!L523/E523*90)</f>
        <v/>
      </c>
      <c r="P523" t="str">
        <f>IF(E523=0,"",Player_Analysis!Q523/E523*90)</f>
        <v/>
      </c>
      <c r="Q523" t="str">
        <f>IF(E523=0,"",(Player_Analysis!AD523/E523)*90)</f>
        <v/>
      </c>
      <c r="R523" t="str">
        <f>IF(E523=0,"",Player_Analysis!AA523/E523*90)</f>
        <v/>
      </c>
      <c r="S523" t="str">
        <f t="array" ref="S523">IFERROR(INDEX('2023_24'!$O:$O,MATCH($A523,'2023_24'!$A:$A,0)),"")</f>
        <v/>
      </c>
      <c r="T523" t="str">
        <f>IFERROR(INDEX('2024_25'!$P:$P,MATCH($A523,'2024_25'!$A:$A,0)),"")</f>
        <v/>
      </c>
      <c r="U523">
        <f>IFERROR(INDEX('2025_26'!$P:$P,MATCH($A523,'2025_26'!$A:$A,0)),"")</f>
        <v>0</v>
      </c>
      <c r="V523" t="str">
        <f>IFERROR(INDEX('2023_24'!$P:$P,MATCH($A523,'2023_24'!$A:$A,0)),"")</f>
        <v/>
      </c>
      <c r="W523" t="str">
        <f>IFERROR(INDEX('2024_25'!$Q:$Q,MATCH($A523,'2024_25'!$A:$A,0)),"")</f>
        <v/>
      </c>
      <c r="X523">
        <f>IFERROR(INDEX('2025_26'!$Q:$Q,MATCH($A523,'2025_26'!$A:$A,0)),"")</f>
        <v>5.2941176470588241E-2</v>
      </c>
      <c r="Y523" t="str">
        <f>IFERROR(INDEX('2023_24'!$M:$M,MATCH($A523,'2023_24'!$A:$A,0))/INDEX('2023_24'!$G:$G,MATCH($A523,'2023_24'!$A:$A,0))*90,"")</f>
        <v/>
      </c>
      <c r="Z523" t="str">
        <f>IFERROR(INDEX('2024_25'!$M:$M,MATCH($A523,'2024_25'!$A:$A,0))/INDEX('2024_25'!$G:$G,MATCH($A523,'2024_25'!$A:$A,0))*90,"")</f>
        <v/>
      </c>
      <c r="AA523">
        <f>IFERROR(INDEX('2025_26'!$M:$M,MATCH($A523,'2025_26'!$A:$A,0))/INDEX('2025_26'!$G:$G,MATCH($A523,'2025_26'!$A:$A,0))*90,"")</f>
        <v>10.588235294117647</v>
      </c>
      <c r="AB523">
        <f>IFERROR(SUMPRODUCT(S523:U523,{0.2,0.3,0.5})/SUMPRODUCT(--(S523:U523&lt;&gt;""),{0.2,0.3,0.5}),"")</f>
        <v>0</v>
      </c>
      <c r="AC523">
        <f>IFERROR(SUMPRODUCT(V523:X523,{0.2,0.3,0.5})/SUMPRODUCT(--(V523:X523&lt;&gt;""),{0.2,0.3,0.5}),"")</f>
        <v>5.2941176470588241E-2</v>
      </c>
      <c r="AD523">
        <f>IFERROR(SUMPRODUCT(Y523:AA523,{0.2,0.3,0.5})/SUMPRODUCT((Y523:AA523&lt;&gt;"")*{0.2,0.3,0.5}),O523)</f>
        <v>10.588235294117647</v>
      </c>
      <c r="AE523">
        <f t="shared" si="213"/>
        <v>1</v>
      </c>
      <c r="AF523" t="str">
        <f t="shared" si="214"/>
        <v/>
      </c>
      <c r="AG523">
        <f t="shared" si="215"/>
        <v>0</v>
      </c>
      <c r="AH523">
        <f t="shared" si="216"/>
        <v>5.2941176470588241E-2</v>
      </c>
      <c r="AI523" s="2">
        <f t="shared" si="217"/>
        <v>10.588235294117647</v>
      </c>
      <c r="AJ523">
        <f t="shared" si="218"/>
        <v>0</v>
      </c>
      <c r="AK523" t="str">
        <f t="shared" si="219"/>
        <v>NO</v>
      </c>
      <c r="AL523">
        <f t="shared" si="220"/>
        <v>0</v>
      </c>
      <c r="AM523">
        <f t="shared" si="221"/>
        <v>0</v>
      </c>
      <c r="AN523">
        <f t="shared" si="222"/>
        <v>0</v>
      </c>
      <c r="AO523">
        <f t="shared" si="223"/>
        <v>0</v>
      </c>
      <c r="AP523">
        <f t="array" ref="AP523">AL523*IF($C523="GKP",10,IF($C523="DEF",6,IF($C523="MID",5,4)))</f>
        <v>0</v>
      </c>
      <c r="AQ523">
        <f t="shared" si="224"/>
        <v>0</v>
      </c>
      <c r="AR523">
        <f t="shared" si="225"/>
        <v>0</v>
      </c>
      <c r="AS523" s="2">
        <f>IF($H523=0,0,Player_Analysis!$AM523*$H523/90)</f>
        <v>0</v>
      </c>
      <c r="AT523">
        <f t="shared" si="226"/>
        <v>0</v>
      </c>
      <c r="AU523" s="2">
        <f>0</f>
        <v>0</v>
      </c>
      <c r="AV523" s="2" t="str">
        <f>IF(INDEX(FPL_Raw_Data!K:K,MATCH(A523,FPL_Raw_Data!AA:AA,0))=0,"",INDEX(FPL_Raw_Data!P:P,MATCH(A523,FPL_Raw_Data!AA:AA,0))/INDEX(FPL_Raw_Data!K:K,MATCH(A523,FPL_Raw_Data!AA:AA,0))*90)</f>
        <v/>
      </c>
      <c r="AW523" s="2">
        <f t="shared" si="227"/>
        <v>0</v>
      </c>
      <c r="AX523" s="2">
        <f>IFERROR(INDEX(TEAM_ANALYSIS!$H$2:$H$21,MATCH($B523,TEAM_ANALYSIS!$A$2:$A$21,0)),0)</f>
        <v>2</v>
      </c>
      <c r="AY523" s="2">
        <f t="shared" si="228"/>
        <v>0</v>
      </c>
      <c r="AZ523" s="2">
        <f t="shared" si="229"/>
        <v>0</v>
      </c>
      <c r="BA523">
        <f t="shared" si="230"/>
        <v>0</v>
      </c>
      <c r="BB523">
        <f>IFERROR(Player_Analysis!$Y523,1)</f>
        <v>1.0979325259515571</v>
      </c>
      <c r="BC523">
        <f t="shared" si="231"/>
        <v>0</v>
      </c>
      <c r="BD523">
        <f t="shared" si="232"/>
        <v>0</v>
      </c>
      <c r="BE523">
        <f t="shared" si="233"/>
        <v>0</v>
      </c>
      <c r="BF523">
        <f t="shared" si="234"/>
        <v>253</v>
      </c>
      <c r="BG523">
        <f>IF($BE523="","",COUNTIFS($C$2:$C$596,$C523,$BE$2:$BE$596,"&gt;"&amp;$BE523)+COUNTIFS($C$2:$C523,$C523,$BE$2:$BE523,$BE523))</f>
        <v>253</v>
      </c>
    </row>
    <row r="524" spans="1:59" x14ac:dyDescent="0.25">
      <c r="A524" t="str">
        <f>Player_Analysis!A524</f>
        <v>Benjamin Sesko</v>
      </c>
      <c r="B524">
        <f>Player_Analysis!C524</f>
        <v>16</v>
      </c>
      <c r="C524" t="str">
        <f>Player_Analysis!B524</f>
        <v>FWD</v>
      </c>
      <c r="D524" s="13">
        <f>Player_Analysis!E524</f>
        <v>7</v>
      </c>
      <c r="E524">
        <f>Player_Analysis!I524</f>
        <v>53</v>
      </c>
      <c r="F524" s="8">
        <f>Player_Analysis!Z524</f>
        <v>0</v>
      </c>
      <c r="G524" s="17">
        <f t="shared" si="209"/>
        <v>0</v>
      </c>
      <c r="H524">
        <f t="shared" si="210"/>
        <v>0</v>
      </c>
      <c r="I524" s="8">
        <f>Player_Analysis!AF524</f>
        <v>1</v>
      </c>
      <c r="J524" s="8">
        <f>Player_Analysis!AG524</f>
        <v>0</v>
      </c>
      <c r="K524">
        <f>Player_Analysis!O524</f>
        <v>0.33</v>
      </c>
      <c r="L524">
        <f>Player_Analysis!P524</f>
        <v>0.01</v>
      </c>
      <c r="M524">
        <f t="shared" si="211"/>
        <v>0.56037735849056602</v>
      </c>
      <c r="N524">
        <f t="shared" si="212"/>
        <v>1.6981132075471698E-2</v>
      </c>
      <c r="O524" s="2">
        <f>IF(E524=0,"",Player_Analysis!L524/E524*90)</f>
        <v>11.886792452830189</v>
      </c>
      <c r="P524">
        <f>IF(E524=0,"",Player_Analysis!Q524/E524*90)</f>
        <v>0.57735849056603783</v>
      </c>
      <c r="Q524">
        <f>IF(E524=0,"",(Player_Analysis!AD524/E524)*90)</f>
        <v>59.433962264150942</v>
      </c>
      <c r="R524">
        <f>IF(E524=0,"",Player_Analysis!AA524/E524*90)</f>
        <v>5.0943396226415096</v>
      </c>
      <c r="S524" t="str">
        <f t="array" ref="S524">IFERROR(INDEX('2023_24'!$O:$O,MATCH($A524,'2023_24'!$A:$A,0)),"")</f>
        <v/>
      </c>
      <c r="T524" t="str">
        <f>IFERROR(INDEX('2024_25'!$P:$P,MATCH($A524,'2024_25'!$A:$A,0)),"")</f>
        <v/>
      </c>
      <c r="U524">
        <f>IFERROR(INDEX('2025_26'!$P:$P,MATCH($A524,'2025_26'!$A:$A,0)),"")</f>
        <v>0.50852760736196323</v>
      </c>
      <c r="V524" t="str">
        <f>IFERROR(INDEX('2023_24'!$P:$P,MATCH($A524,'2023_24'!$A:$A,0)),"")</f>
        <v/>
      </c>
      <c r="W524" t="str">
        <f>IFERROR(INDEX('2024_25'!$Q:$Q,MATCH($A524,'2024_25'!$A:$A,0)),"")</f>
        <v/>
      </c>
      <c r="X524">
        <f>IFERROR(INDEX('2025_26'!$Q:$Q,MATCH($A524,'2025_26'!$A:$A,0)),"")</f>
        <v>1.5460122699386505E-2</v>
      </c>
      <c r="Y524" t="str">
        <f>IFERROR(INDEX('2023_24'!$M:$M,MATCH($A524,'2023_24'!$A:$A,0))/INDEX('2023_24'!$G:$G,MATCH($A524,'2023_24'!$A:$A,0))*90,"")</f>
        <v/>
      </c>
      <c r="Z524" t="str">
        <f>IFERROR(INDEX('2024_25'!$M:$M,MATCH($A524,'2024_25'!$A:$A,0))/INDEX('2024_25'!$G:$G,MATCH($A524,'2024_25'!$A:$A,0))*90,"")</f>
        <v/>
      </c>
      <c r="AA524">
        <f>IFERROR(INDEX('2025_26'!$M:$M,MATCH($A524,'2025_26'!$A:$A,0))/INDEX('2025_26'!$G:$G,MATCH($A524,'2025_26'!$A:$A,0))*90,"")</f>
        <v>6.1288343558282206</v>
      </c>
      <c r="AB524">
        <f>IFERROR(SUMPRODUCT(S524:U524,{0.2,0.3,0.5})/SUMPRODUCT(--(S524:U524&lt;&gt;""),{0.2,0.3,0.5}),"")</f>
        <v>0.50852760736196323</v>
      </c>
      <c r="AC524">
        <f>IFERROR(SUMPRODUCT(V524:X524,{0.2,0.3,0.5})/SUMPRODUCT(--(V524:X524&lt;&gt;""),{0.2,0.3,0.5}),"")</f>
        <v>1.5460122699386505E-2</v>
      </c>
      <c r="AD524">
        <f>IFERROR(SUMPRODUCT(Y524:AA524,{0.2,0.3,0.5})/SUMPRODUCT((Y524:AA524&lt;&gt;"")*{0.2,0.3,0.5}),O524)</f>
        <v>6.1288343558282206</v>
      </c>
      <c r="AE524">
        <f t="shared" si="213"/>
        <v>1</v>
      </c>
      <c r="AF524" t="str">
        <f t="shared" si="214"/>
        <v/>
      </c>
      <c r="AG524">
        <f t="shared" si="215"/>
        <v>0.51768773006134972</v>
      </c>
      <c r="AH524">
        <f t="shared" si="216"/>
        <v>1.5728834355828222E-2</v>
      </c>
      <c r="AI524" s="2">
        <f t="shared" si="217"/>
        <v>7.1460736196319026</v>
      </c>
      <c r="AJ524">
        <f t="shared" si="218"/>
        <v>0.17666666666666667</v>
      </c>
      <c r="AK524" t="str">
        <f t="shared" si="219"/>
        <v>NO</v>
      </c>
      <c r="AL524">
        <f t="shared" si="220"/>
        <v>0</v>
      </c>
      <c r="AM524">
        <f t="shared" si="221"/>
        <v>0</v>
      </c>
      <c r="AN524">
        <f t="shared" si="222"/>
        <v>0</v>
      </c>
      <c r="AO524">
        <f t="shared" si="223"/>
        <v>0</v>
      </c>
      <c r="AP524">
        <f t="array" ref="AP524">AL524*IF($C524="GKP",10,IF($C524="DEF",6,IF($C524="MID",5,4)))</f>
        <v>0</v>
      </c>
      <c r="AQ524">
        <f t="shared" si="224"/>
        <v>0</v>
      </c>
      <c r="AR524">
        <f t="shared" si="225"/>
        <v>0</v>
      </c>
      <c r="AS524" s="2">
        <f>IF($H524=0,0,Player_Analysis!$AM524*$H524/90)</f>
        <v>0</v>
      </c>
      <c r="AT524">
        <f t="shared" si="226"/>
        <v>0</v>
      </c>
      <c r="AU524" s="2">
        <f>0</f>
        <v>0</v>
      </c>
      <c r="AV524" s="2">
        <f>IF(INDEX(FPL_Raw_Data!K:K,MATCH(A524,FPL_Raw_Data!AA:AA,0))=0,"",INDEX(FPL_Raw_Data!P:P,MATCH(A524,FPL_Raw_Data!AA:AA,0))/INDEX(FPL_Raw_Data!K:K,MATCH(A524,FPL_Raw_Data!AA:AA,0))*90)</f>
        <v>0</v>
      </c>
      <c r="AW524" s="2">
        <f t="shared" si="227"/>
        <v>0</v>
      </c>
      <c r="AX524" s="2">
        <f>IFERROR(INDEX(TEAM_ANALYSIS!$H$2:$H$21,MATCH($B524,TEAM_ANALYSIS!$A$2:$A$21,0)),0)</f>
        <v>2</v>
      </c>
      <c r="AY524" s="2">
        <f t="shared" si="228"/>
        <v>0</v>
      </c>
      <c r="AZ524" s="2">
        <f t="shared" si="229"/>
        <v>0</v>
      </c>
      <c r="BA524">
        <f t="shared" si="230"/>
        <v>0</v>
      </c>
      <c r="BB524">
        <f>IFERROR(Player_Analysis!$Y524,1)</f>
        <v>1.0979325259515571</v>
      </c>
      <c r="BC524">
        <f t="shared" si="231"/>
        <v>0</v>
      </c>
      <c r="BD524">
        <f t="shared" si="232"/>
        <v>0</v>
      </c>
      <c r="BE524">
        <f t="shared" si="233"/>
        <v>0</v>
      </c>
      <c r="BF524">
        <f t="shared" si="234"/>
        <v>253</v>
      </c>
      <c r="BG524">
        <f>IF($BE524="","",COUNTIFS($C$2:$C$596,$C524,$BE$2:$BE$596,"&gt;"&amp;$BE524)+COUNTIFS($C$2:$C524,$C524,$BE$2:$BE524,$BE524))</f>
        <v>65</v>
      </c>
    </row>
    <row r="525" spans="1:59" x14ac:dyDescent="0.25">
      <c r="A525" t="str">
        <f>Player_Analysis!A525</f>
        <v>Joshua Zirkzee</v>
      </c>
      <c r="B525">
        <f>Player_Analysis!C525</f>
        <v>16</v>
      </c>
      <c r="C525" t="str">
        <f>Player_Analysis!B525</f>
        <v>FWD</v>
      </c>
      <c r="D525" s="13">
        <f>Player_Analysis!E525</f>
        <v>5.4</v>
      </c>
      <c r="E525">
        <f>Player_Analysis!I525</f>
        <v>0</v>
      </c>
      <c r="F525" s="8">
        <f>Player_Analysis!Z525</f>
        <v>0</v>
      </c>
      <c r="G525" s="17">
        <f t="shared" si="209"/>
        <v>0</v>
      </c>
      <c r="H525">
        <f t="shared" si="210"/>
        <v>0</v>
      </c>
      <c r="I525" s="8">
        <f>Player_Analysis!AF525</f>
        <v>0</v>
      </c>
      <c r="J525" s="8">
        <f>Player_Analysis!AG525</f>
        <v>0</v>
      </c>
      <c r="K525">
        <f>Player_Analysis!O525</f>
        <v>0</v>
      </c>
      <c r="L525">
        <f>Player_Analysis!P525</f>
        <v>0</v>
      </c>
      <c r="M525" t="str">
        <f t="shared" si="211"/>
        <v/>
      </c>
      <c r="N525" t="str">
        <f t="shared" si="212"/>
        <v/>
      </c>
      <c r="O525" s="2" t="str">
        <f>IF(E525=0,"",Player_Analysis!L525/E525*90)</f>
        <v/>
      </c>
      <c r="P525" t="str">
        <f>IF(E525=0,"",Player_Analysis!Q525/E525*90)</f>
        <v/>
      </c>
      <c r="Q525" t="str">
        <f>IF(E525=0,"",(Player_Analysis!AD525/E525)*90)</f>
        <v/>
      </c>
      <c r="R525" t="str">
        <f>IF(E525=0,"",Player_Analysis!AA525/E525*90)</f>
        <v/>
      </c>
      <c r="S525" t="str">
        <f t="array" ref="S525">IFERROR(INDEX('2023_24'!$O:$O,MATCH($A525,'2023_24'!$A:$A,0)),"")</f>
        <v/>
      </c>
      <c r="T525">
        <f>IFERROR(INDEX('2024_25'!$P:$P,MATCH($A525,'2024_25'!$A:$A,0)),"")</f>
        <v>0.30151624548736461</v>
      </c>
      <c r="U525">
        <f>IFERROR(INDEX('2025_26'!$P:$P,MATCH($A525,'2025_26'!$A:$A,0)),"")</f>
        <v>0.4062602965403625</v>
      </c>
      <c r="V525" t="str">
        <f>IFERROR(INDEX('2023_24'!$P:$P,MATCH($A525,'2023_24'!$A:$A,0)),"")</f>
        <v/>
      </c>
      <c r="W525">
        <f>IFERROR(INDEX('2024_25'!$Q:$Q,MATCH($A525,'2024_25'!$A:$A,0)),"")</f>
        <v>6.7581227436823099E-2</v>
      </c>
      <c r="X525">
        <f>IFERROR(INDEX('2025_26'!$Q:$Q,MATCH($A525,'2025_26'!$A:$A,0)),"")</f>
        <v>5.0411861614497532E-2</v>
      </c>
      <c r="Y525" t="str">
        <f>IFERROR(INDEX('2023_24'!$M:$M,MATCH($A525,'2023_24'!$A:$A,0))/INDEX('2023_24'!$G:$G,MATCH($A525,'2023_24'!$A:$A,0))*90,"")</f>
        <v/>
      </c>
      <c r="Z525">
        <f>IFERROR(INDEX('2024_25'!$M:$M,MATCH($A525,'2024_25'!$A:$A,0))/INDEX('2024_25'!$G:$G,MATCH($A525,'2024_25'!$A:$A,0))*90,"")</f>
        <v>4.1588447653429599</v>
      </c>
      <c r="AA525">
        <f>IFERROR(INDEX('2025_26'!$M:$M,MATCH($A525,'2025_26'!$A:$A,0))/INDEX('2025_26'!$G:$G,MATCH($A525,'2025_26'!$A:$A,0))*90,"")</f>
        <v>6.227347611202636</v>
      </c>
      <c r="AB525">
        <f>IFERROR(SUMPRODUCT(S525:U525,{0.2,0.3,0.5})/SUMPRODUCT(--(S525:U525&lt;&gt;""),{0.2,0.3,0.5}),"")</f>
        <v>0.36698127739548825</v>
      </c>
      <c r="AC525">
        <f>IFERROR(SUMPRODUCT(V525:X525,{0.2,0.3,0.5})/SUMPRODUCT(--(V525:X525&lt;&gt;""),{0.2,0.3,0.5}),"")</f>
        <v>5.6850373797869613E-2</v>
      </c>
      <c r="AD525">
        <f>IFERROR(SUMPRODUCT(Y525:AA525,{0.2,0.3,0.5})/SUMPRODUCT((Y525:AA525&lt;&gt;"")*{0.2,0.3,0.5}),O525)</f>
        <v>5.4516590440052566</v>
      </c>
      <c r="AE525">
        <f t="shared" si="213"/>
        <v>2</v>
      </c>
      <c r="AF525" t="str">
        <f t="shared" si="214"/>
        <v/>
      </c>
      <c r="AG525">
        <f t="shared" si="215"/>
        <v>0.36698127739548825</v>
      </c>
      <c r="AH525">
        <f t="shared" si="216"/>
        <v>5.6850373797869613E-2</v>
      </c>
      <c r="AI525" s="2">
        <f t="shared" si="217"/>
        <v>5.4516590440052566</v>
      </c>
      <c r="AJ525">
        <f t="shared" si="218"/>
        <v>0</v>
      </c>
      <c r="AK525" t="str">
        <f t="shared" si="219"/>
        <v>NO</v>
      </c>
      <c r="AL525">
        <f t="shared" si="220"/>
        <v>0</v>
      </c>
      <c r="AM525">
        <f t="shared" si="221"/>
        <v>0</v>
      </c>
      <c r="AN525">
        <f t="shared" si="222"/>
        <v>0</v>
      </c>
      <c r="AO525">
        <f t="shared" si="223"/>
        <v>0</v>
      </c>
      <c r="AP525">
        <f t="array" ref="AP525">AL525*IF($C525="GKP",10,IF($C525="DEF",6,IF($C525="MID",5,4)))</f>
        <v>0</v>
      </c>
      <c r="AQ525">
        <f t="shared" si="224"/>
        <v>0</v>
      </c>
      <c r="AR525">
        <f t="shared" si="225"/>
        <v>0</v>
      </c>
      <c r="AS525" s="2">
        <f>IF($H525=0,0,Player_Analysis!$AM525*$H525/90)</f>
        <v>0</v>
      </c>
      <c r="AT525">
        <f t="shared" si="226"/>
        <v>0</v>
      </c>
      <c r="AU525" s="2">
        <f>0</f>
        <v>0</v>
      </c>
      <c r="AV525" s="2" t="str">
        <f>IF(INDEX(FPL_Raw_Data!K:K,MATCH(A525,FPL_Raw_Data!AA:AA,0))=0,"",INDEX(FPL_Raw_Data!P:P,MATCH(A525,FPL_Raw_Data!AA:AA,0))/INDEX(FPL_Raw_Data!K:K,MATCH(A525,FPL_Raw_Data!AA:AA,0))*90)</f>
        <v/>
      </c>
      <c r="AW525" s="2">
        <f t="shared" si="227"/>
        <v>0</v>
      </c>
      <c r="AX525" s="2">
        <f>IFERROR(INDEX(TEAM_ANALYSIS!$H$2:$H$21,MATCH($B525,TEAM_ANALYSIS!$A$2:$A$21,0)),0)</f>
        <v>2</v>
      </c>
      <c r="AY525" s="2">
        <f t="shared" si="228"/>
        <v>0</v>
      </c>
      <c r="AZ525" s="2">
        <f t="shared" si="229"/>
        <v>0</v>
      </c>
      <c r="BA525">
        <f t="shared" si="230"/>
        <v>0</v>
      </c>
      <c r="BB525">
        <f>IFERROR(Player_Analysis!$Y525,1)</f>
        <v>1.0979325259515571</v>
      </c>
      <c r="BC525">
        <f t="shared" si="231"/>
        <v>0</v>
      </c>
      <c r="BD525">
        <f t="shared" si="232"/>
        <v>0</v>
      </c>
      <c r="BE525">
        <f t="shared" si="233"/>
        <v>0</v>
      </c>
      <c r="BF525">
        <f t="shared" si="234"/>
        <v>253</v>
      </c>
      <c r="BG525">
        <f>IF($BE525="","",COUNTIFS($C$2:$C$596,$C525,$BE$2:$BE$596,"&gt;"&amp;$BE525)+COUNTIFS($C$2:$C525,$C525,$BE$2:$BE525,$BE525))</f>
        <v>66</v>
      </c>
    </row>
    <row r="526" spans="1:59" x14ac:dyDescent="0.25">
      <c r="A526" t="str">
        <f>Player_Analysis!A526</f>
        <v>Chido Obi</v>
      </c>
      <c r="B526">
        <f>Player_Analysis!C526</f>
        <v>16</v>
      </c>
      <c r="C526" t="str">
        <f>Player_Analysis!B526</f>
        <v>FWD</v>
      </c>
      <c r="D526" s="13">
        <f>Player_Analysis!E526</f>
        <v>4.5</v>
      </c>
      <c r="E526">
        <f>Player_Analysis!I526</f>
        <v>0</v>
      </c>
      <c r="F526" s="8">
        <f>Player_Analysis!Z526</f>
        <v>0</v>
      </c>
      <c r="G526" s="17">
        <f t="shared" si="209"/>
        <v>0</v>
      </c>
      <c r="H526">
        <f t="shared" si="210"/>
        <v>0</v>
      </c>
      <c r="I526" s="8">
        <f>Player_Analysis!AF526</f>
        <v>0</v>
      </c>
      <c r="J526" s="8">
        <f>Player_Analysis!AG526</f>
        <v>0</v>
      </c>
      <c r="K526">
        <f>Player_Analysis!O526</f>
        <v>0</v>
      </c>
      <c r="L526">
        <f>Player_Analysis!P526</f>
        <v>0</v>
      </c>
      <c r="M526" t="str">
        <f t="shared" si="211"/>
        <v/>
      </c>
      <c r="N526" t="str">
        <f t="shared" si="212"/>
        <v/>
      </c>
      <c r="O526" s="2" t="str">
        <f>IF(E526=0,"",Player_Analysis!L526/E526*90)</f>
        <v/>
      </c>
      <c r="P526" t="str">
        <f>IF(E526=0,"",Player_Analysis!Q526/E526*90)</f>
        <v/>
      </c>
      <c r="Q526" t="str">
        <f>IF(E526=0,"",(Player_Analysis!AD526/E526)*90)</f>
        <v/>
      </c>
      <c r="R526" t="str">
        <f>IF(E526=0,"",Player_Analysis!AA526/E526*90)</f>
        <v/>
      </c>
      <c r="S526" t="str">
        <f t="array" ref="S526">IFERROR(INDEX('2023_24'!$O:$O,MATCH($A526,'2023_24'!$A:$A,0)),"")</f>
        <v/>
      </c>
      <c r="T526" t="str">
        <f>IFERROR(INDEX('2024_25'!$P:$P,MATCH($A526,'2024_25'!$A:$A,0)),"")</f>
        <v/>
      </c>
      <c r="U526">
        <f>IFERROR(INDEX('2025_26'!$P:$P,MATCH($A526,'2025_26'!$A:$A,0)),"")</f>
        <v>0</v>
      </c>
      <c r="V526" t="str">
        <f>IFERROR(INDEX('2023_24'!$P:$P,MATCH($A526,'2023_24'!$A:$A,0)),"")</f>
        <v/>
      </c>
      <c r="W526" t="str">
        <f>IFERROR(INDEX('2024_25'!$Q:$Q,MATCH($A526,'2024_25'!$A:$A,0)),"")</f>
        <v/>
      </c>
      <c r="X526">
        <f>IFERROR(INDEX('2025_26'!$Q:$Q,MATCH($A526,'2025_26'!$A:$A,0)),"")</f>
        <v>0</v>
      </c>
      <c r="Y526" t="str">
        <f>IFERROR(INDEX('2023_24'!$M:$M,MATCH($A526,'2023_24'!$A:$A,0))/INDEX('2023_24'!$G:$G,MATCH($A526,'2023_24'!$A:$A,0))*90,"")</f>
        <v/>
      </c>
      <c r="Z526" t="str">
        <f>IFERROR(INDEX('2024_25'!$M:$M,MATCH($A526,'2024_25'!$A:$A,0))/INDEX('2024_25'!$G:$G,MATCH($A526,'2024_25'!$A:$A,0))*90,"")</f>
        <v/>
      </c>
      <c r="AA526" t="str">
        <f>IFERROR(INDEX('2025_26'!$M:$M,MATCH($A526,'2025_26'!$A:$A,0))/INDEX('2025_26'!$G:$G,MATCH($A526,'2025_26'!$A:$A,0))*90,"")</f>
        <v/>
      </c>
      <c r="AB526">
        <f>IFERROR(SUMPRODUCT(S526:U526,{0.2,0.3,0.5})/SUMPRODUCT(--(S526:U526&lt;&gt;""),{0.2,0.3,0.5}),"")</f>
        <v>0</v>
      </c>
      <c r="AC526">
        <f>IFERROR(SUMPRODUCT(V526:X526,{0.2,0.3,0.5})/SUMPRODUCT(--(V526:X526&lt;&gt;""),{0.2,0.3,0.5}),"")</f>
        <v>0</v>
      </c>
      <c r="AD526" t="str">
        <f>IFERROR(SUMPRODUCT(Y526:AA526,{0.2,0.3,0.5})/SUMPRODUCT((Y526:AA526&lt;&gt;"")*{0.2,0.3,0.5}),O526)</f>
        <v/>
      </c>
      <c r="AE526">
        <f t="shared" si="213"/>
        <v>1</v>
      </c>
      <c r="AF526" t="str">
        <f t="shared" si="214"/>
        <v/>
      </c>
      <c r="AG526">
        <f t="shared" si="215"/>
        <v>0</v>
      </c>
      <c r="AH526">
        <f t="shared" si="216"/>
        <v>0</v>
      </c>
      <c r="AI526" s="2">
        <f t="shared" si="217"/>
        <v>0</v>
      </c>
      <c r="AJ526">
        <f t="shared" si="218"/>
        <v>0</v>
      </c>
      <c r="AK526" t="str">
        <f t="shared" si="219"/>
        <v>NO</v>
      </c>
      <c r="AL526">
        <f t="shared" si="220"/>
        <v>0</v>
      </c>
      <c r="AM526">
        <f t="shared" si="221"/>
        <v>0</v>
      </c>
      <c r="AN526">
        <f t="shared" si="222"/>
        <v>0</v>
      </c>
      <c r="AO526">
        <f t="shared" si="223"/>
        <v>0</v>
      </c>
      <c r="AP526">
        <f t="array" ref="AP526">AL526*IF($C526="GKP",10,IF($C526="DEF",6,IF($C526="MID",5,4)))</f>
        <v>0</v>
      </c>
      <c r="AQ526">
        <f t="shared" si="224"/>
        <v>0</v>
      </c>
      <c r="AR526">
        <f t="shared" si="225"/>
        <v>0</v>
      </c>
      <c r="AS526" s="2">
        <f>IF($H526=0,0,Player_Analysis!$AM526*$H526/90)</f>
        <v>0</v>
      </c>
      <c r="AT526">
        <f t="shared" si="226"/>
        <v>0</v>
      </c>
      <c r="AU526" s="2">
        <f>0</f>
        <v>0</v>
      </c>
      <c r="AV526" s="2" t="str">
        <f>IF(INDEX(FPL_Raw_Data!K:K,MATCH(A526,FPL_Raw_Data!AA:AA,0))=0,"",INDEX(FPL_Raw_Data!P:P,MATCH(A526,FPL_Raw_Data!AA:AA,0))/INDEX(FPL_Raw_Data!K:K,MATCH(A526,FPL_Raw_Data!AA:AA,0))*90)</f>
        <v/>
      </c>
      <c r="AW526" s="2">
        <f t="shared" si="227"/>
        <v>0</v>
      </c>
      <c r="AX526" s="2">
        <f>IFERROR(INDEX(TEAM_ANALYSIS!$H$2:$H$21,MATCH($B526,TEAM_ANALYSIS!$A$2:$A$21,0)),0)</f>
        <v>2</v>
      </c>
      <c r="AY526" s="2">
        <f t="shared" si="228"/>
        <v>0</v>
      </c>
      <c r="AZ526" s="2">
        <f t="shared" si="229"/>
        <v>0</v>
      </c>
      <c r="BA526">
        <f t="shared" si="230"/>
        <v>0</v>
      </c>
      <c r="BB526">
        <f>IFERROR(Player_Analysis!$Y526,1)</f>
        <v>1.0979325259515571</v>
      </c>
      <c r="BC526">
        <f t="shared" si="231"/>
        <v>0</v>
      </c>
      <c r="BD526">
        <f t="shared" si="232"/>
        <v>0</v>
      </c>
      <c r="BE526">
        <f t="shared" si="233"/>
        <v>0</v>
      </c>
      <c r="BF526">
        <f t="shared" si="234"/>
        <v>253</v>
      </c>
      <c r="BG526">
        <f>IF($BE526="","",COUNTIFS($C$2:$C$596,$C526,$BE$2:$BE$596,"&gt;"&amp;$BE526)+COUNTIFS($C$2:$C526,$C526,$BE$2:$BE526,$BE526))</f>
        <v>67</v>
      </c>
    </row>
    <row r="527" spans="1:59" x14ac:dyDescent="0.25">
      <c r="A527" t="str">
        <f>Player_Analysis!A527</f>
        <v>Nico González Iglesias</v>
      </c>
      <c r="B527">
        <f>Player_Analysis!C527</f>
        <v>17</v>
      </c>
      <c r="C527" t="str">
        <f>Player_Analysis!B527</f>
        <v>MID</v>
      </c>
      <c r="D527" s="13">
        <f>Player_Analysis!E527</f>
        <v>5.5</v>
      </c>
      <c r="E527">
        <f>Player_Analysis!I527</f>
        <v>146</v>
      </c>
      <c r="F527" s="8">
        <f>Player_Analysis!Z527</f>
        <v>2</v>
      </c>
      <c r="G527" s="17">
        <f t="shared" si="209"/>
        <v>1</v>
      </c>
      <c r="H527">
        <f t="shared" si="210"/>
        <v>90</v>
      </c>
      <c r="I527" s="8">
        <f>Player_Analysis!AF527</f>
        <v>0</v>
      </c>
      <c r="J527" s="8">
        <f>Player_Analysis!AG527</f>
        <v>0</v>
      </c>
      <c r="K527">
        <f>Player_Analysis!O527</f>
        <v>0</v>
      </c>
      <c r="L527">
        <f>Player_Analysis!P527</f>
        <v>0.21</v>
      </c>
      <c r="M527">
        <f t="shared" si="211"/>
        <v>0</v>
      </c>
      <c r="N527">
        <f t="shared" si="212"/>
        <v>0.12945205479452054</v>
      </c>
      <c r="O527" s="2">
        <f>IF(E527=0,"",Player_Analysis!L527/E527*90)</f>
        <v>2.4657534246575343</v>
      </c>
      <c r="P527">
        <f>IF(E527=0,"",Player_Analysis!Q527/E527*90)</f>
        <v>0.12945205479452054</v>
      </c>
      <c r="Q527">
        <f>IF(E527=0,"",(Player_Analysis!AD527/E527)*90)</f>
        <v>12.328767123287671</v>
      </c>
      <c r="R527">
        <f>IF(E527=0,"",Player_Analysis!AA527/E527*90)</f>
        <v>6.7808219178082192</v>
      </c>
      <c r="S527" t="str">
        <f t="array" ref="S527">IFERROR(INDEX('2023_24'!$O:$O,MATCH($A527,'2023_24'!$A:$A,0)),"")</f>
        <v/>
      </c>
      <c r="T527" t="str">
        <f>IFERROR(INDEX('2024_25'!$P:$P,MATCH($A527,'2024_25'!$A:$A,0)),"")</f>
        <v/>
      </c>
      <c r="U527">
        <f>IFERROR(INDEX('2025_26'!$P:$P,MATCH($A527,'2025_26'!$A:$A,0)),"")</f>
        <v>3.9205637411915441E-2</v>
      </c>
      <c r="V527" t="str">
        <f>IFERROR(INDEX('2023_24'!$P:$P,MATCH($A527,'2023_24'!$A:$A,0)),"")</f>
        <v/>
      </c>
      <c r="W527" t="str">
        <f>IFERROR(INDEX('2024_25'!$Q:$Q,MATCH($A527,'2024_25'!$A:$A,0)),"")</f>
        <v/>
      </c>
      <c r="X527">
        <f>IFERROR(INDEX('2025_26'!$Q:$Q,MATCH($A527,'2025_26'!$A:$A,0)),"")</f>
        <v>6.4573991031390138E-2</v>
      </c>
      <c r="Y527" t="str">
        <f>IFERROR(INDEX('2023_24'!$M:$M,MATCH($A527,'2023_24'!$A:$A,0))/INDEX('2023_24'!$G:$G,MATCH($A527,'2023_24'!$A:$A,0))*90,"")</f>
        <v/>
      </c>
      <c r="Z527" t="str">
        <f>IFERROR(INDEX('2024_25'!$M:$M,MATCH($A527,'2024_25'!$A:$A,0))/INDEX('2024_25'!$G:$G,MATCH($A527,'2024_25'!$A:$A,0))*90,"")</f>
        <v/>
      </c>
      <c r="AA527">
        <f>IFERROR(INDEX('2025_26'!$M:$M,MATCH($A527,'2025_26'!$A:$A,0))/INDEX('2025_26'!$G:$G,MATCH($A527,'2025_26'!$A:$A,0))*90,"")</f>
        <v>3.6322869955156949</v>
      </c>
      <c r="AB527">
        <f>IFERROR(SUMPRODUCT(S527:U527,{0.2,0.3,0.5})/SUMPRODUCT(--(S527:U527&lt;&gt;""),{0.2,0.3,0.5}),"")</f>
        <v>3.9205637411915441E-2</v>
      </c>
      <c r="AC527">
        <f>IFERROR(SUMPRODUCT(V527:X527,{0.2,0.3,0.5})/SUMPRODUCT(--(V527:X527&lt;&gt;""),{0.2,0.3,0.5}),"")</f>
        <v>6.4573991031390138E-2</v>
      </c>
      <c r="AD527">
        <f>IFERROR(SUMPRODUCT(Y527:AA527,{0.2,0.3,0.5})/SUMPRODUCT((Y527:AA527&lt;&gt;"")*{0.2,0.3,0.5}),O527)</f>
        <v>3.6322869955156949</v>
      </c>
      <c r="AE527">
        <f t="shared" si="213"/>
        <v>1</v>
      </c>
      <c r="AF527">
        <f t="shared" si="214"/>
        <v>73</v>
      </c>
      <c r="AG527">
        <f t="shared" si="215"/>
        <v>2.0125560538116594E-2</v>
      </c>
      <c r="AH527">
        <f t="shared" si="216"/>
        <v>9.6147982062780274E-2</v>
      </c>
      <c r="AI527" s="2">
        <f t="shared" si="217"/>
        <v>3.0645739910313901</v>
      </c>
      <c r="AJ527">
        <f t="shared" si="218"/>
        <v>0.48666666666666669</v>
      </c>
      <c r="AK527" t="str">
        <f t="shared" si="219"/>
        <v>NO</v>
      </c>
      <c r="AL527">
        <f t="shared" si="220"/>
        <v>2.0125560538116594E-2</v>
      </c>
      <c r="AM527">
        <f t="shared" si="221"/>
        <v>9.6147982062780274E-2</v>
      </c>
      <c r="AN527">
        <f t="shared" si="222"/>
        <v>2.0125560538116594E-2</v>
      </c>
      <c r="AO527">
        <f t="shared" si="223"/>
        <v>9.6147982062780274E-2</v>
      </c>
      <c r="AP527">
        <f t="array" ref="AP527">AL527*IF($C527="GKP",10,IF($C527="DEF",6,IF($C527="MID",5,4)))</f>
        <v>0.10062780269058297</v>
      </c>
      <c r="AQ527">
        <f t="shared" si="224"/>
        <v>0.28844394618834079</v>
      </c>
      <c r="AR527">
        <f t="shared" si="225"/>
        <v>2</v>
      </c>
      <c r="AS527" s="2">
        <f>IF($H527=0,0,Player_Analysis!$AM527*$H527/90)</f>
        <v>0.5</v>
      </c>
      <c r="AT527">
        <f t="shared" si="226"/>
        <v>1.1301369863013699</v>
      </c>
      <c r="AU527" s="2">
        <f>0</f>
        <v>0</v>
      </c>
      <c r="AV527" s="2">
        <f>IF(INDEX(FPL_Raw_Data!K:K,MATCH(A527,FPL_Raw_Data!AA:AA,0))=0,"",INDEX(FPL_Raw_Data!P:P,MATCH(A527,FPL_Raw_Data!AA:AA,0))/INDEX(FPL_Raw_Data!K:K,MATCH(A527,FPL_Raw_Data!AA:AA,0))*90)</f>
        <v>0</v>
      </c>
      <c r="AW527" s="2">
        <f t="shared" si="227"/>
        <v>0</v>
      </c>
      <c r="AX527" s="2">
        <f>IFERROR(INDEX(TEAM_ANALYSIS!$H$2:$H$21,MATCH($B527,TEAM_ANALYSIS!$A$2:$A$21,0)),0)</f>
        <v>1.3333333333333333</v>
      </c>
      <c r="AY527" s="2">
        <f t="shared" si="228"/>
        <v>0</v>
      </c>
      <c r="AZ527" s="2">
        <f t="shared" si="229"/>
        <v>4.0192087351802934</v>
      </c>
      <c r="BA527">
        <f t="shared" si="230"/>
        <v>0.73076522457823512</v>
      </c>
      <c r="BB527">
        <f>IFERROR(Player_Analysis!$Y527,1)</f>
        <v>1.0060034602076122</v>
      </c>
      <c r="BC527">
        <f t="shared" si="231"/>
        <v>4.0433378948880359</v>
      </c>
      <c r="BD527">
        <f t="shared" si="232"/>
        <v>2.9547307248035439</v>
      </c>
      <c r="BE527">
        <f t="shared" si="233"/>
        <v>4.0433378948880359</v>
      </c>
      <c r="BF527">
        <f t="shared" si="234"/>
        <v>152</v>
      </c>
      <c r="BG527">
        <f>IF($BE527="","",COUNTIFS($C$2:$C$596,$C527,$BE$2:$BE$596,"&gt;"&amp;$BE527)+COUNTIFS($C$2:$C527,$C527,$BE$2:$BE527,$BE527))</f>
        <v>76</v>
      </c>
    </row>
    <row r="528" spans="1:59" x14ac:dyDescent="0.25">
      <c r="A528" t="str">
        <f>Player_Analysis!A528</f>
        <v>Nick Pope</v>
      </c>
      <c r="B528">
        <f>Player_Analysis!C528</f>
        <v>17</v>
      </c>
      <c r="C528" t="str">
        <f>Player_Analysis!B528</f>
        <v>GK</v>
      </c>
      <c r="D528" s="13">
        <f>Player_Analysis!E528</f>
        <v>4.9000000000000004</v>
      </c>
      <c r="E528">
        <f>Player_Analysis!I528</f>
        <v>0</v>
      </c>
      <c r="F528" s="8">
        <f>Player_Analysis!Z528</f>
        <v>0</v>
      </c>
      <c r="G528" s="17">
        <f t="shared" si="209"/>
        <v>0</v>
      </c>
      <c r="H528">
        <f t="shared" si="210"/>
        <v>0</v>
      </c>
      <c r="I528" s="8">
        <f>Player_Analysis!AF528</f>
        <v>0</v>
      </c>
      <c r="J528" s="8">
        <f>Player_Analysis!AG528</f>
        <v>0</v>
      </c>
      <c r="K528">
        <f>Player_Analysis!O528</f>
        <v>0</v>
      </c>
      <c r="L528">
        <f>Player_Analysis!P528</f>
        <v>0</v>
      </c>
      <c r="M528" t="str">
        <f t="shared" si="211"/>
        <v/>
      </c>
      <c r="N528" t="str">
        <f t="shared" si="212"/>
        <v/>
      </c>
      <c r="O528" s="2" t="str">
        <f>IF(E528=0,"",Player_Analysis!L528/E528*90)</f>
        <v/>
      </c>
      <c r="P528" t="str">
        <f>IF(E528=0,"",Player_Analysis!Q528/E528*90)</f>
        <v/>
      </c>
      <c r="Q528" t="str">
        <f>IF(E528=0,"",(Player_Analysis!AD528/E528)*90)</f>
        <v/>
      </c>
      <c r="R528" t="str">
        <f>IF(E528=0,"",Player_Analysis!AA528/E528*90)</f>
        <v/>
      </c>
      <c r="S528">
        <f t="array" ref="S528">IFERROR(INDEX('2023_24'!$O:$O,MATCH($A528,'2023_24'!$A:$A,0)),"")</f>
        <v>1.3382899628252788E-3</v>
      </c>
      <c r="T528">
        <f>IFERROR(INDEX('2024_25'!$P:$P,MATCH($A528,'2024_25'!$A:$A,0)),"")</f>
        <v>0</v>
      </c>
      <c r="U528">
        <f>IFERROR(INDEX('2025_26'!$P:$P,MATCH($A528,'2025_26'!$A:$A,0)),"")</f>
        <v>5.9602649006622512E-3</v>
      </c>
      <c r="V528">
        <f>IFERROR(INDEX('2023_24'!$P:$P,MATCH($A528,'2023_24'!$A:$A,0)),"")</f>
        <v>0</v>
      </c>
      <c r="W528">
        <f>IFERROR(INDEX('2024_25'!$Q:$Q,MATCH($A528,'2024_25'!$A:$A,0)),"")</f>
        <v>0</v>
      </c>
      <c r="X528">
        <f>IFERROR(INDEX('2025_26'!$Q:$Q,MATCH($A528,'2025_26'!$A:$A,0)),"")</f>
        <v>0</v>
      </c>
      <c r="Y528">
        <f>IFERROR(INDEX('2023_24'!$M:$M,MATCH($A528,'2023_24'!$A:$A,0))/INDEX('2023_24'!$G:$G,MATCH($A528,'2023_24'!$A:$A,0))*90,"")</f>
        <v>3.8141263940520447</v>
      </c>
      <c r="Z528">
        <f>IFERROR(INDEX('2024_25'!$M:$M,MATCH($A528,'2024_25'!$A:$A,0))/INDEX('2024_25'!$G:$G,MATCH($A528,'2024_25'!$A:$A,0))*90,"")</f>
        <v>3.6428571428571432</v>
      </c>
      <c r="AA528">
        <f>IFERROR(INDEX('2025_26'!$M:$M,MATCH($A528,'2025_26'!$A:$A,0))/INDEX('2025_26'!$G:$G,MATCH($A528,'2025_26'!$A:$A,0))*90,"")</f>
        <v>3.576158940397351</v>
      </c>
      <c r="AB528">
        <f>IFERROR(SUMPRODUCT(S528:U528,{0.2,0.3,0.5})/SUMPRODUCT(--(S528:U528&lt;&gt;""),{0.2,0.3,0.5}),"")</f>
        <v>3.2477904428961815E-3</v>
      </c>
      <c r="AC528">
        <f>IFERROR(SUMPRODUCT(V528:X528,{0.2,0.3,0.5})/SUMPRODUCT(--(V528:X528&lt;&gt;""),{0.2,0.3,0.5}),"")</f>
        <v>0</v>
      </c>
      <c r="AD528">
        <f>IFERROR(SUMPRODUCT(Y528:AA528,{0.2,0.3,0.5})/SUMPRODUCT((Y528:AA528&lt;&gt;"")*{0.2,0.3,0.5}),O528)</f>
        <v>3.6437618918662276</v>
      </c>
      <c r="AE528">
        <f t="shared" si="213"/>
        <v>3</v>
      </c>
      <c r="AF528" t="str">
        <f t="shared" si="214"/>
        <v/>
      </c>
      <c r="AG528">
        <f t="shared" si="215"/>
        <v>3.2477904428961815E-3</v>
      </c>
      <c r="AH528">
        <f t="shared" si="216"/>
        <v>0</v>
      </c>
      <c r="AI528" s="2">
        <f t="shared" si="217"/>
        <v>3.6437618918662276</v>
      </c>
      <c r="AJ528">
        <f t="shared" si="218"/>
        <v>0</v>
      </c>
      <c r="AK528" t="str">
        <f t="shared" si="219"/>
        <v>NO</v>
      </c>
      <c r="AL528">
        <f t="shared" si="220"/>
        <v>0</v>
      </c>
      <c r="AM528">
        <f t="shared" si="221"/>
        <v>0</v>
      </c>
      <c r="AN528">
        <f t="shared" si="222"/>
        <v>0</v>
      </c>
      <c r="AO528">
        <f t="shared" si="223"/>
        <v>0</v>
      </c>
      <c r="AP528">
        <f t="array" ref="AP528">AL528*IF($C528="GKP",10,IF($C528="DEF",6,IF($C528="MID",5,4)))</f>
        <v>0</v>
      </c>
      <c r="AQ528">
        <f t="shared" si="224"/>
        <v>0</v>
      </c>
      <c r="AR528">
        <f t="shared" si="225"/>
        <v>0</v>
      </c>
      <c r="AS528" s="2">
        <f>IF($H528=0,0,Player_Analysis!$AM528*$H528/90)</f>
        <v>0</v>
      </c>
      <c r="AT528">
        <f t="shared" si="226"/>
        <v>0</v>
      </c>
      <c r="AU528" s="2">
        <f>0</f>
        <v>0</v>
      </c>
      <c r="AV528" s="2" t="str">
        <f>IF(INDEX(FPL_Raw_Data!K:K,MATCH(A528,FPL_Raw_Data!AA:AA,0))=0,"",INDEX(FPL_Raw_Data!P:P,MATCH(A528,FPL_Raw_Data!AA:AA,0))/INDEX(FPL_Raw_Data!K:K,MATCH(A528,FPL_Raw_Data!AA:AA,0))*90)</f>
        <v/>
      </c>
      <c r="AW528" s="2">
        <f t="shared" si="227"/>
        <v>0</v>
      </c>
      <c r="AX528" s="2">
        <f>IFERROR(INDEX(TEAM_ANALYSIS!$H$2:$H$21,MATCH($B528,TEAM_ANALYSIS!$A$2:$A$21,0)),0)</f>
        <v>1.3333333333333333</v>
      </c>
      <c r="AY528" s="2">
        <f t="shared" si="228"/>
        <v>0</v>
      </c>
      <c r="AZ528" s="2">
        <f t="shared" si="229"/>
        <v>0</v>
      </c>
      <c r="BA528">
        <f t="shared" si="230"/>
        <v>0</v>
      </c>
      <c r="BB528">
        <f>IFERROR(Player_Analysis!$Y528,1)</f>
        <v>1.1861524334251605</v>
      </c>
      <c r="BC528">
        <f t="shared" si="231"/>
        <v>0</v>
      </c>
      <c r="BD528">
        <f t="shared" si="232"/>
        <v>0</v>
      </c>
      <c r="BE528">
        <f t="shared" si="233"/>
        <v>0</v>
      </c>
      <c r="BF528">
        <f t="shared" si="234"/>
        <v>253</v>
      </c>
      <c r="BG528">
        <f>IF($BE528="","",COUNTIFS($C$2:$C$596,$C528,$BE$2:$BE$596,"&gt;"&amp;$BE528)+COUNTIFS($C$2:$C528,$C528,$BE$2:$BE528,$BE528))</f>
        <v>61</v>
      </c>
    </row>
    <row r="529" spans="1:59" x14ac:dyDescent="0.25">
      <c r="A529" t="str">
        <f>Player_Analysis!A529</f>
        <v>Mark Gillespie</v>
      </c>
      <c r="B529">
        <f>Player_Analysis!C529</f>
        <v>17</v>
      </c>
      <c r="C529" t="str">
        <f>Player_Analysis!B529</f>
        <v>GK</v>
      </c>
      <c r="D529" s="13">
        <f>Player_Analysis!E529</f>
        <v>4.5</v>
      </c>
      <c r="E529">
        <f>Player_Analysis!I529</f>
        <v>0</v>
      </c>
      <c r="F529" s="8">
        <f>Player_Analysis!Z529</f>
        <v>0</v>
      </c>
      <c r="G529" s="17">
        <f t="shared" si="209"/>
        <v>0</v>
      </c>
      <c r="H529">
        <f t="shared" si="210"/>
        <v>0</v>
      </c>
      <c r="I529" s="8">
        <f>Player_Analysis!AF529</f>
        <v>0</v>
      </c>
      <c r="J529" s="8">
        <f>Player_Analysis!AG529</f>
        <v>0</v>
      </c>
      <c r="K529">
        <f>Player_Analysis!O529</f>
        <v>0</v>
      </c>
      <c r="L529">
        <f>Player_Analysis!P529</f>
        <v>0</v>
      </c>
      <c r="M529" t="str">
        <f t="shared" si="211"/>
        <v/>
      </c>
      <c r="N529" t="str">
        <f t="shared" si="212"/>
        <v/>
      </c>
      <c r="O529" s="2" t="str">
        <f>IF(E529=0,"",Player_Analysis!L529/E529*90)</f>
        <v/>
      </c>
      <c r="P529" t="str">
        <f>IF(E529=0,"",Player_Analysis!Q529/E529*90)</f>
        <v/>
      </c>
      <c r="Q529" t="str">
        <f>IF(E529=0,"",(Player_Analysis!AD529/E529)*90)</f>
        <v/>
      </c>
      <c r="R529" t="str">
        <f>IF(E529=0,"",Player_Analysis!AA529/E529*90)</f>
        <v/>
      </c>
      <c r="S529">
        <f t="array" ref="S529">IFERROR(INDEX('2023_24'!$O:$O,MATCH($A529,'2023_24'!$A:$A,0)),"")</f>
        <v>0</v>
      </c>
      <c r="T529" t="str">
        <f>IFERROR(INDEX('2024_25'!$P:$P,MATCH($A529,'2024_25'!$A:$A,0)),"")</f>
        <v/>
      </c>
      <c r="U529">
        <f>IFERROR(INDEX('2025_26'!$P:$P,MATCH($A529,'2025_26'!$A:$A,0)),"")</f>
        <v>0</v>
      </c>
      <c r="V529">
        <f>IFERROR(INDEX('2023_24'!$P:$P,MATCH($A529,'2023_24'!$A:$A,0)),"")</f>
        <v>0</v>
      </c>
      <c r="W529" t="str">
        <f>IFERROR(INDEX('2024_25'!$Q:$Q,MATCH($A529,'2024_25'!$A:$A,0)),"")</f>
        <v/>
      </c>
      <c r="X529">
        <f>IFERROR(INDEX('2025_26'!$Q:$Q,MATCH($A529,'2025_26'!$A:$A,0)),"")</f>
        <v>0</v>
      </c>
      <c r="Y529" t="str">
        <f>IFERROR(INDEX('2023_24'!$M:$M,MATCH($A529,'2023_24'!$A:$A,0))/INDEX('2023_24'!$G:$G,MATCH($A529,'2023_24'!$A:$A,0))*90,"")</f>
        <v/>
      </c>
      <c r="Z529" t="str">
        <f>IFERROR(INDEX('2024_25'!$M:$M,MATCH($A529,'2024_25'!$A:$A,0))/INDEX('2024_25'!$G:$G,MATCH($A529,'2024_25'!$A:$A,0))*90,"")</f>
        <v/>
      </c>
      <c r="AA529" t="str">
        <f>IFERROR(INDEX('2025_26'!$M:$M,MATCH($A529,'2025_26'!$A:$A,0))/INDEX('2025_26'!$G:$G,MATCH($A529,'2025_26'!$A:$A,0))*90,"")</f>
        <v/>
      </c>
      <c r="AB529">
        <f>IFERROR(SUMPRODUCT(S529:U529,{0.2,0.3,0.5})/SUMPRODUCT(--(S529:U529&lt;&gt;""),{0.2,0.3,0.5}),"")</f>
        <v>0</v>
      </c>
      <c r="AC529">
        <f>IFERROR(SUMPRODUCT(V529:X529,{0.2,0.3,0.5})/SUMPRODUCT(--(V529:X529&lt;&gt;""),{0.2,0.3,0.5}),"")</f>
        <v>0</v>
      </c>
      <c r="AD529" t="str">
        <f>IFERROR(SUMPRODUCT(Y529:AA529,{0.2,0.3,0.5})/SUMPRODUCT((Y529:AA529&lt;&gt;"")*{0.2,0.3,0.5}),O529)</f>
        <v/>
      </c>
      <c r="AE529">
        <f t="shared" si="213"/>
        <v>2</v>
      </c>
      <c r="AF529" t="str">
        <f t="shared" si="214"/>
        <v/>
      </c>
      <c r="AG529">
        <f t="shared" si="215"/>
        <v>0</v>
      </c>
      <c r="AH529">
        <f t="shared" si="216"/>
        <v>0</v>
      </c>
      <c r="AI529" s="2">
        <f t="shared" si="217"/>
        <v>0</v>
      </c>
      <c r="AJ529">
        <f t="shared" si="218"/>
        <v>0</v>
      </c>
      <c r="AK529" t="str">
        <f t="shared" si="219"/>
        <v>NO</v>
      </c>
      <c r="AL529">
        <f t="shared" si="220"/>
        <v>0</v>
      </c>
      <c r="AM529">
        <f t="shared" si="221"/>
        <v>0</v>
      </c>
      <c r="AN529">
        <f t="shared" si="222"/>
        <v>0</v>
      </c>
      <c r="AO529">
        <f t="shared" si="223"/>
        <v>0</v>
      </c>
      <c r="AP529">
        <f t="array" ref="AP529">AL529*IF($C529="GKP",10,IF($C529="DEF",6,IF($C529="MID",5,4)))</f>
        <v>0</v>
      </c>
      <c r="AQ529">
        <f t="shared" si="224"/>
        <v>0</v>
      </c>
      <c r="AR529">
        <f t="shared" si="225"/>
        <v>0</v>
      </c>
      <c r="AS529" s="2">
        <f>IF($H529=0,0,Player_Analysis!$AM529*$H529/90)</f>
        <v>0</v>
      </c>
      <c r="AT529">
        <f t="shared" si="226"/>
        <v>0</v>
      </c>
      <c r="AU529" s="2">
        <f>0</f>
        <v>0</v>
      </c>
      <c r="AV529" s="2" t="str">
        <f>IF(INDEX(FPL_Raw_Data!K:K,MATCH(A529,FPL_Raw_Data!AA:AA,0))=0,"",INDEX(FPL_Raw_Data!P:P,MATCH(A529,FPL_Raw_Data!AA:AA,0))/INDEX(FPL_Raw_Data!K:K,MATCH(A529,FPL_Raw_Data!AA:AA,0))*90)</f>
        <v/>
      </c>
      <c r="AW529" s="2">
        <f t="shared" si="227"/>
        <v>0</v>
      </c>
      <c r="AX529" s="2">
        <f>IFERROR(INDEX(TEAM_ANALYSIS!$H$2:$H$21,MATCH($B529,TEAM_ANALYSIS!$A$2:$A$21,0)),0)</f>
        <v>1.3333333333333333</v>
      </c>
      <c r="AY529" s="2">
        <f t="shared" si="228"/>
        <v>0</v>
      </c>
      <c r="AZ529" s="2">
        <f t="shared" si="229"/>
        <v>0</v>
      </c>
      <c r="BA529">
        <f t="shared" si="230"/>
        <v>0</v>
      </c>
      <c r="BB529">
        <f>IFERROR(Player_Analysis!$Y529,1)</f>
        <v>1.1861524334251605</v>
      </c>
      <c r="BC529">
        <f t="shared" si="231"/>
        <v>0</v>
      </c>
      <c r="BD529">
        <f t="shared" si="232"/>
        <v>0</v>
      </c>
      <c r="BE529">
        <f t="shared" si="233"/>
        <v>0</v>
      </c>
      <c r="BF529">
        <f t="shared" si="234"/>
        <v>253</v>
      </c>
      <c r="BG529">
        <f>IF($BE529="","",COUNTIFS($C$2:$C$596,$C529,$BE$2:$BE$596,"&gt;"&amp;$BE529)+COUNTIFS($C$2:$C529,$C529,$BE$2:$BE529,$BE529))</f>
        <v>62</v>
      </c>
    </row>
    <row r="530" spans="1:59" x14ac:dyDescent="0.25">
      <c r="A530" t="str">
        <f>Player_Analysis!A530</f>
        <v>Ewen Jaouen</v>
      </c>
      <c r="B530">
        <f>Player_Analysis!C530</f>
        <v>17</v>
      </c>
      <c r="C530" t="str">
        <f>Player_Analysis!B530</f>
        <v>GK</v>
      </c>
      <c r="D530" s="13">
        <f>Player_Analysis!E530</f>
        <v>4.5</v>
      </c>
      <c r="E530">
        <f>Player_Analysis!I530</f>
        <v>0</v>
      </c>
      <c r="F530" s="8">
        <f>Player_Analysis!Z530</f>
        <v>0</v>
      </c>
      <c r="G530" s="17">
        <f t="shared" si="209"/>
        <v>0</v>
      </c>
      <c r="H530">
        <f t="shared" si="210"/>
        <v>0</v>
      </c>
      <c r="I530" s="8">
        <f>Player_Analysis!AF530</f>
        <v>0</v>
      </c>
      <c r="J530" s="8">
        <f>Player_Analysis!AG530</f>
        <v>0</v>
      </c>
      <c r="K530">
        <f>Player_Analysis!O530</f>
        <v>0</v>
      </c>
      <c r="L530">
        <f>Player_Analysis!P530</f>
        <v>0</v>
      </c>
      <c r="M530" t="str">
        <f t="shared" si="211"/>
        <v/>
      </c>
      <c r="N530" t="str">
        <f t="shared" si="212"/>
        <v/>
      </c>
      <c r="O530" s="2" t="str">
        <f>IF(E530=0,"",Player_Analysis!L530/E530*90)</f>
        <v/>
      </c>
      <c r="P530" t="str">
        <f>IF(E530=0,"",Player_Analysis!Q530/E530*90)</f>
        <v/>
      </c>
      <c r="Q530" t="str">
        <f>IF(E530=0,"",(Player_Analysis!AD530/E530)*90)</f>
        <v/>
      </c>
      <c r="R530" t="str">
        <f>IF(E530=0,"",Player_Analysis!AA530/E530*90)</f>
        <v/>
      </c>
      <c r="S530" t="str">
        <f t="array" ref="S530">IFERROR(INDEX('2023_24'!$O:$O,MATCH($A530,'2023_24'!$A:$A,0)),"")</f>
        <v/>
      </c>
      <c r="T530" t="str">
        <f>IFERROR(INDEX('2024_25'!$P:$P,MATCH($A530,'2024_25'!$A:$A,0)),"")</f>
        <v/>
      </c>
      <c r="U530" t="str">
        <f>IFERROR(INDEX('2025_26'!$P:$P,MATCH($A530,'2025_26'!$A:$A,0)),"")</f>
        <v/>
      </c>
      <c r="V530" t="str">
        <f>IFERROR(INDEX('2023_24'!$P:$P,MATCH($A530,'2023_24'!$A:$A,0)),"")</f>
        <v/>
      </c>
      <c r="W530" t="str">
        <f>IFERROR(INDEX('2024_25'!$Q:$Q,MATCH($A530,'2024_25'!$A:$A,0)),"")</f>
        <v/>
      </c>
      <c r="X530" t="str">
        <f>IFERROR(INDEX('2025_26'!$Q:$Q,MATCH($A530,'2025_26'!$A:$A,0)),"")</f>
        <v/>
      </c>
      <c r="Y530" t="str">
        <f>IFERROR(INDEX('2023_24'!$M:$M,MATCH($A530,'2023_24'!$A:$A,0))/INDEX('2023_24'!$G:$G,MATCH($A530,'2023_24'!$A:$A,0))*90,"")</f>
        <v/>
      </c>
      <c r="Z530" t="str">
        <f>IFERROR(INDEX('2024_25'!$M:$M,MATCH($A530,'2024_25'!$A:$A,0))/INDEX('2024_25'!$G:$G,MATCH($A530,'2024_25'!$A:$A,0))*90,"")</f>
        <v/>
      </c>
      <c r="AA530" t="str">
        <f>IFERROR(INDEX('2025_26'!$M:$M,MATCH($A530,'2025_26'!$A:$A,0))/INDEX('2025_26'!$G:$G,MATCH($A530,'2025_26'!$A:$A,0))*90,"")</f>
        <v/>
      </c>
      <c r="AB530" t="str">
        <f>IFERROR(SUMPRODUCT(S530:U530,{0.2,0.3,0.5})/SUMPRODUCT(--(S530:U530&lt;&gt;""),{0.2,0.3,0.5}),"")</f>
        <v/>
      </c>
      <c r="AC530" t="str">
        <f>IFERROR(SUMPRODUCT(V530:X530,{0.2,0.3,0.5})/SUMPRODUCT(--(V530:X530&lt;&gt;""),{0.2,0.3,0.5}),"")</f>
        <v/>
      </c>
      <c r="AD530" t="str">
        <f>IFERROR(SUMPRODUCT(Y530:AA530,{0.2,0.3,0.5})/SUMPRODUCT((Y530:AA530&lt;&gt;"")*{0.2,0.3,0.5}),O530)</f>
        <v/>
      </c>
      <c r="AE530">
        <f t="shared" si="213"/>
        <v>0</v>
      </c>
      <c r="AF530" t="str">
        <f t="shared" si="214"/>
        <v/>
      </c>
      <c r="AG530">
        <f t="shared" si="215"/>
        <v>0</v>
      </c>
      <c r="AH530">
        <f t="shared" si="216"/>
        <v>0</v>
      </c>
      <c r="AI530" s="2">
        <f t="shared" si="217"/>
        <v>0</v>
      </c>
      <c r="AJ530">
        <f t="shared" si="218"/>
        <v>0</v>
      </c>
      <c r="AK530" t="str">
        <f t="shared" si="219"/>
        <v>YES</v>
      </c>
      <c r="AL530">
        <f t="shared" si="220"/>
        <v>0</v>
      </c>
      <c r="AM530">
        <f t="shared" si="221"/>
        <v>0</v>
      </c>
      <c r="AN530">
        <f t="shared" si="222"/>
        <v>0</v>
      </c>
      <c r="AO530">
        <f t="shared" si="223"/>
        <v>0</v>
      </c>
      <c r="AP530">
        <f t="array" ref="AP530">AL530*IF($C530="GKP",10,IF($C530="DEF",6,IF($C530="MID",5,4)))</f>
        <v>0</v>
      </c>
      <c r="AQ530">
        <f t="shared" si="224"/>
        <v>0</v>
      </c>
      <c r="AR530">
        <f t="shared" si="225"/>
        <v>0</v>
      </c>
      <c r="AS530" s="2">
        <f>IF($H530=0,0,Player_Analysis!$AM530*$H530/90)</f>
        <v>0</v>
      </c>
      <c r="AT530">
        <f t="shared" si="226"/>
        <v>0</v>
      </c>
      <c r="AU530" s="2">
        <f>0</f>
        <v>0</v>
      </c>
      <c r="AV530" s="2" t="str">
        <f>IF(INDEX(FPL_Raw_Data!K:K,MATCH(A530,FPL_Raw_Data!AA:AA,0))=0,"",INDEX(FPL_Raw_Data!P:P,MATCH(A530,FPL_Raw_Data!AA:AA,0))/INDEX(FPL_Raw_Data!K:K,MATCH(A530,FPL_Raw_Data!AA:AA,0))*90)</f>
        <v/>
      </c>
      <c r="AW530" s="2">
        <f t="shared" si="227"/>
        <v>0</v>
      </c>
      <c r="AX530" s="2">
        <f>IFERROR(INDEX(TEAM_ANALYSIS!$H$2:$H$21,MATCH($B530,TEAM_ANALYSIS!$A$2:$A$21,0)),0)</f>
        <v>1.3333333333333333</v>
      </c>
      <c r="AY530" s="2">
        <f t="shared" si="228"/>
        <v>0</v>
      </c>
      <c r="AZ530" s="2">
        <f t="shared" si="229"/>
        <v>0</v>
      </c>
      <c r="BA530">
        <f t="shared" si="230"/>
        <v>0</v>
      </c>
      <c r="BB530">
        <f>IFERROR(Player_Analysis!$Y530,1)</f>
        <v>1.1861524334251605</v>
      </c>
      <c r="BC530">
        <f t="shared" si="231"/>
        <v>0</v>
      </c>
      <c r="BD530">
        <f t="shared" si="232"/>
        <v>0</v>
      </c>
      <c r="BE530">
        <f t="shared" si="233"/>
        <v>0</v>
      </c>
      <c r="BF530">
        <f t="shared" si="234"/>
        <v>253</v>
      </c>
      <c r="BG530">
        <f>IF($BE530="","",COUNTIFS($C$2:$C$596,$C530,$BE$2:$BE$596,"&gt;"&amp;$BE530)+COUNTIFS($C$2:$C530,$C530,$BE$2:$BE530,$BE530))</f>
        <v>63</v>
      </c>
    </row>
    <row r="531" spans="1:59" x14ac:dyDescent="0.25">
      <c r="A531" t="str">
        <f>Player_Analysis!A531</f>
        <v>Malick Thiaw</v>
      </c>
      <c r="B531">
        <f>Player_Analysis!C531</f>
        <v>17</v>
      </c>
      <c r="C531" t="str">
        <f>Player_Analysis!B531</f>
        <v>DEF</v>
      </c>
      <c r="D531" s="13">
        <f>Player_Analysis!E531</f>
        <v>5</v>
      </c>
      <c r="E531">
        <f>Player_Analysis!I531</f>
        <v>270</v>
      </c>
      <c r="F531" s="8">
        <f>Player_Analysis!Z531</f>
        <v>3</v>
      </c>
      <c r="G531" s="17">
        <f t="shared" si="209"/>
        <v>1</v>
      </c>
      <c r="H531">
        <f t="shared" si="210"/>
        <v>90</v>
      </c>
      <c r="I531" s="8">
        <f>Player_Analysis!AF531</f>
        <v>0</v>
      </c>
      <c r="J531" s="8">
        <f>Player_Analysis!AG531</f>
        <v>0</v>
      </c>
      <c r="K531">
        <f>Player_Analysis!O531</f>
        <v>0</v>
      </c>
      <c r="L531">
        <f>Player_Analysis!P531</f>
        <v>7.0000000000000007E-2</v>
      </c>
      <c r="M531">
        <f t="shared" si="211"/>
        <v>0</v>
      </c>
      <c r="N531">
        <f t="shared" si="212"/>
        <v>2.3333333333333334E-2</v>
      </c>
      <c r="O531" s="2">
        <f>IF(E531=0,"",Player_Analysis!L531/E531*90)</f>
        <v>2.666666666666667</v>
      </c>
      <c r="P531">
        <f>IF(E531=0,"",Player_Analysis!Q531/E531*90)</f>
        <v>2.3333333333333334E-2</v>
      </c>
      <c r="Q531">
        <f>IF(E531=0,"",(Player_Analysis!AD531/E531)*90)</f>
        <v>8.3333333333333321</v>
      </c>
      <c r="R531">
        <f>IF(E531=0,"",Player_Analysis!AA531/E531*90)</f>
        <v>7</v>
      </c>
      <c r="S531" t="str">
        <f t="array" ref="S531">IFERROR(INDEX('2023_24'!$O:$O,MATCH($A531,'2023_24'!$A:$A,0)),"")</f>
        <v/>
      </c>
      <c r="T531" t="str">
        <f>IFERROR(INDEX('2024_25'!$P:$P,MATCH($A531,'2024_25'!$A:$A,0)),"")</f>
        <v/>
      </c>
      <c r="U531">
        <f>IFERROR(INDEX('2025_26'!$P:$P,MATCH($A531,'2025_26'!$A:$A,0)),"")</f>
        <v>0.14579817752278096</v>
      </c>
      <c r="V531" t="str">
        <f>IFERROR(INDEX('2023_24'!$P:$P,MATCH($A531,'2023_24'!$A:$A,0)),"")</f>
        <v/>
      </c>
      <c r="W531" t="str">
        <f>IFERROR(INDEX('2024_25'!$Q:$Q,MATCH($A531,'2024_25'!$A:$A,0)),"")</f>
        <v/>
      </c>
      <c r="X531">
        <f>IFERROR(INDEX('2025_26'!$Q:$Q,MATCH($A531,'2025_26'!$A:$A,0)),"")</f>
        <v>2.9159635504556192E-2</v>
      </c>
      <c r="Y531" t="str">
        <f>IFERROR(INDEX('2023_24'!$M:$M,MATCH($A531,'2023_24'!$A:$A,0))/INDEX('2023_24'!$G:$G,MATCH($A531,'2023_24'!$A:$A,0))*90,"")</f>
        <v/>
      </c>
      <c r="Z531" t="str">
        <f>IFERROR(INDEX('2024_25'!$M:$M,MATCH($A531,'2024_25'!$A:$A,0))/INDEX('2024_25'!$G:$G,MATCH($A531,'2024_25'!$A:$A,0))*90,"")</f>
        <v/>
      </c>
      <c r="AA531">
        <f>IFERROR(INDEX('2025_26'!$M:$M,MATCH($A531,'2025_26'!$A:$A,0))/INDEX('2025_26'!$G:$G,MATCH($A531,'2025_26'!$A:$A,0))*90,"")</f>
        <v>3.827202159973</v>
      </c>
      <c r="AB531">
        <f>IFERROR(SUMPRODUCT(S531:U531,{0.2,0.3,0.5})/SUMPRODUCT(--(S531:U531&lt;&gt;""),{0.2,0.3,0.5}),"")</f>
        <v>0.14579817752278096</v>
      </c>
      <c r="AC531">
        <f>IFERROR(SUMPRODUCT(V531:X531,{0.2,0.3,0.5})/SUMPRODUCT(--(V531:X531&lt;&gt;""),{0.2,0.3,0.5}),"")</f>
        <v>2.9159635504556192E-2</v>
      </c>
      <c r="AD531">
        <f>IFERROR(SUMPRODUCT(Y531:AA531,{0.2,0.3,0.5})/SUMPRODUCT((Y531:AA531&lt;&gt;"")*{0.2,0.3,0.5}),O531)</f>
        <v>3.827202159973</v>
      </c>
      <c r="AE531">
        <f t="shared" si="213"/>
        <v>1</v>
      </c>
      <c r="AF531">
        <f t="shared" si="214"/>
        <v>90</v>
      </c>
      <c r="AG531">
        <f t="shared" si="215"/>
        <v>1.4579817752278092E-2</v>
      </c>
      <c r="AH531">
        <f t="shared" si="216"/>
        <v>2.391596355045562E-2</v>
      </c>
      <c r="AI531" s="2">
        <f t="shared" si="217"/>
        <v>2.7827202159973004</v>
      </c>
      <c r="AJ531">
        <f t="shared" si="218"/>
        <v>0.9</v>
      </c>
      <c r="AK531" t="str">
        <f t="shared" si="219"/>
        <v>NO</v>
      </c>
      <c r="AL531">
        <f t="shared" si="220"/>
        <v>1.4579817752278092E-2</v>
      </c>
      <c r="AM531">
        <f t="shared" si="221"/>
        <v>2.3915963550455617E-2</v>
      </c>
      <c r="AN531">
        <f t="shared" si="222"/>
        <v>1.4579817752278092E-2</v>
      </c>
      <c r="AO531">
        <f t="shared" si="223"/>
        <v>2.3915963550455617E-2</v>
      </c>
      <c r="AP531">
        <f t="array" ref="AP531">AL531*IF($C531="GKP",10,IF($C531="DEF",6,IF($C531="MID",5,4)))</f>
        <v>8.7478906513668547E-2</v>
      </c>
      <c r="AQ531">
        <f t="shared" si="224"/>
        <v>7.1747890651366858E-2</v>
      </c>
      <c r="AR531">
        <f t="shared" si="225"/>
        <v>2</v>
      </c>
      <c r="AS531" s="2">
        <f>IF($H531=0,0,Player_Analysis!$AM531*$H531/90)</f>
        <v>1.3333333333333333</v>
      </c>
      <c r="AT531">
        <f t="shared" si="226"/>
        <v>1.4</v>
      </c>
      <c r="AU531" s="2">
        <f>0</f>
        <v>0</v>
      </c>
      <c r="AV531" s="2">
        <f>IF(INDEX(FPL_Raw_Data!K:K,MATCH(A531,FPL_Raw_Data!AA:AA,0))=0,"",INDEX(FPL_Raw_Data!P:P,MATCH(A531,FPL_Raw_Data!AA:AA,0))/INDEX(FPL_Raw_Data!K:K,MATCH(A531,FPL_Raw_Data!AA:AA,0))*90)</f>
        <v>0</v>
      </c>
      <c r="AW531" s="2">
        <f t="shared" si="227"/>
        <v>0</v>
      </c>
      <c r="AX531" s="2">
        <f>IFERROR(INDEX(TEAM_ANALYSIS!$H$2:$H$21,MATCH($B531,TEAM_ANALYSIS!$A$2:$A$21,0)),0)</f>
        <v>1.3333333333333333</v>
      </c>
      <c r="AY531" s="2">
        <f t="shared" si="228"/>
        <v>-0.66666666666666663</v>
      </c>
      <c r="AZ531" s="2">
        <f t="shared" si="229"/>
        <v>4.2258934638317021</v>
      </c>
      <c r="BA531">
        <f t="shared" si="230"/>
        <v>0.84517869276634039</v>
      </c>
      <c r="BB531">
        <f>IFERROR(Player_Analysis!$Y531,1)</f>
        <v>1.1861524334251605</v>
      </c>
      <c r="BC531">
        <f t="shared" si="231"/>
        <v>5.0125538155194542</v>
      </c>
      <c r="BD531">
        <f t="shared" si="232"/>
        <v>4.2365036812216639</v>
      </c>
      <c r="BE531">
        <f t="shared" si="233"/>
        <v>5.0125538155194542</v>
      </c>
      <c r="BF531">
        <f t="shared" si="234"/>
        <v>92</v>
      </c>
      <c r="BG531">
        <f>IF($BE531="","",COUNTIFS($C$2:$C$596,$C531,$BE$2:$BE$596,"&gt;"&amp;$BE531)+COUNTIFS($C$2:$C531,$C531,$BE$2:$BE531,$BE531))</f>
        <v>36</v>
      </c>
    </row>
    <row r="532" spans="1:59" x14ac:dyDescent="0.25">
      <c r="A532" t="str">
        <f>Player_Analysis!A532</f>
        <v>Fabian Schär</v>
      </c>
      <c r="B532">
        <f>Player_Analysis!C532</f>
        <v>17</v>
      </c>
      <c r="C532" t="str">
        <f>Player_Analysis!B532</f>
        <v>DEF</v>
      </c>
      <c r="D532" s="13">
        <f>Player_Analysis!E532</f>
        <v>5</v>
      </c>
      <c r="E532">
        <f>Player_Analysis!I532</f>
        <v>1</v>
      </c>
      <c r="F532" s="8">
        <f>Player_Analysis!Z532</f>
        <v>0</v>
      </c>
      <c r="G532" s="17">
        <f t="shared" si="209"/>
        <v>0</v>
      </c>
      <c r="H532">
        <f t="shared" si="210"/>
        <v>0</v>
      </c>
      <c r="I532" s="8">
        <f>Player_Analysis!AF532</f>
        <v>0</v>
      </c>
      <c r="J532" s="8">
        <f>Player_Analysis!AG532</f>
        <v>0</v>
      </c>
      <c r="K532">
        <f>Player_Analysis!O532</f>
        <v>0</v>
      </c>
      <c r="L532">
        <f>Player_Analysis!P532</f>
        <v>0</v>
      </c>
      <c r="M532">
        <f t="shared" si="211"/>
        <v>0</v>
      </c>
      <c r="N532">
        <f t="shared" si="212"/>
        <v>0</v>
      </c>
      <c r="O532" s="2">
        <f>IF(E532=0,"",Player_Analysis!L532/E532*90)</f>
        <v>90</v>
      </c>
      <c r="P532">
        <f>IF(E532=0,"",Player_Analysis!Q532/E532*90)</f>
        <v>0</v>
      </c>
      <c r="Q532">
        <f>IF(E532=0,"",(Player_Analysis!AD532/E532)*90)</f>
        <v>-90</v>
      </c>
      <c r="R532">
        <f>IF(E532=0,"",Player_Analysis!AA532/E532*90)</f>
        <v>0</v>
      </c>
      <c r="S532">
        <f t="array" ref="S532">IFERROR(INDEX('2023_24'!$O:$O,MATCH($A532,'2023_24'!$A:$A,0)),"")</f>
        <v>7.2765957446808513E-2</v>
      </c>
      <c r="T532">
        <f>IFERROR(INDEX('2024_25'!$P:$P,MATCH($A532,'2024_25'!$A:$A,0)),"")</f>
        <v>0.12081771720613288</v>
      </c>
      <c r="U532">
        <f>IFERROR(INDEX('2025_26'!$P:$P,MATCH($A532,'2025_26'!$A:$A,0)),"")</f>
        <v>8.0165289256198355E-2</v>
      </c>
      <c r="V532">
        <f>IFERROR(INDEX('2023_24'!$P:$P,MATCH($A532,'2023_24'!$A:$A,0)),"")</f>
        <v>4.1538461538461538E-2</v>
      </c>
      <c r="W532">
        <f>IFERROR(INDEX('2024_25'!$Q:$Q,MATCH($A532,'2024_25'!$A:$A,0)),"")</f>
        <v>3.0971039182282792E-2</v>
      </c>
      <c r="X532">
        <f>IFERROR(INDEX('2025_26'!$Q:$Q,MATCH($A532,'2025_26'!$A:$A,0)),"")</f>
        <v>4.9586776859504127E-2</v>
      </c>
      <c r="Y532">
        <f>IFERROR(INDEX('2023_24'!$M:$M,MATCH($A532,'2023_24'!$A:$A,0))/INDEX('2023_24'!$G:$G,MATCH($A532,'2023_24'!$A:$A,0))*90,"")</f>
        <v>3.6235679214402619</v>
      </c>
      <c r="Z532">
        <f>IFERROR(INDEX('2024_25'!$M:$M,MATCH($A532,'2024_25'!$A:$A,0))/INDEX('2024_25'!$G:$G,MATCH($A532,'2024_25'!$A:$A,0))*90,"")</f>
        <v>3.6183986371379899</v>
      </c>
      <c r="AA532">
        <f>IFERROR(INDEX('2025_26'!$M:$M,MATCH($A532,'2025_26'!$A:$A,0))/INDEX('2025_26'!$G:$G,MATCH($A532,'2025_26'!$A:$A,0))*90,"")</f>
        <v>4.214876033057851</v>
      </c>
      <c r="AB532">
        <f>IFERROR(SUMPRODUCT(S532:U532,{0.2,0.3,0.5})/SUMPRODUCT(--(S532:U532&lt;&gt;""),{0.2,0.3,0.5}),"")</f>
        <v>9.0881151279300743E-2</v>
      </c>
      <c r="AC532">
        <f>IFERROR(SUMPRODUCT(V532:X532,{0.2,0.3,0.5})/SUMPRODUCT(--(V532:X532&lt;&gt;""),{0.2,0.3,0.5}),"")</f>
        <v>4.2392392492129213E-2</v>
      </c>
      <c r="AD532">
        <f>IFERROR(SUMPRODUCT(Y532:AA532,{0.2,0.3,0.5})/SUMPRODUCT((Y532:AA532&lt;&gt;"")*{0.2,0.3,0.5}),O532)</f>
        <v>3.9176711919583749</v>
      </c>
      <c r="AE532">
        <f t="shared" si="213"/>
        <v>3</v>
      </c>
      <c r="AF532" t="str">
        <f t="shared" si="214"/>
        <v/>
      </c>
      <c r="AG532">
        <f t="shared" si="215"/>
        <v>9.0578214108369748E-2</v>
      </c>
      <c r="AH532">
        <f t="shared" si="216"/>
        <v>4.2251084517155452E-2</v>
      </c>
      <c r="AI532" s="2">
        <f t="shared" si="217"/>
        <v>4.2046122879851806</v>
      </c>
      <c r="AJ532">
        <f t="shared" si="218"/>
        <v>3.3333333333333335E-3</v>
      </c>
      <c r="AK532" t="str">
        <f t="shared" si="219"/>
        <v>NO</v>
      </c>
      <c r="AL532">
        <f t="shared" si="220"/>
        <v>0</v>
      </c>
      <c r="AM532">
        <f t="shared" si="221"/>
        <v>0</v>
      </c>
      <c r="AN532">
        <f t="shared" si="222"/>
        <v>0</v>
      </c>
      <c r="AO532">
        <f t="shared" si="223"/>
        <v>0</v>
      </c>
      <c r="AP532">
        <f t="array" ref="AP532">AL532*IF($C532="GKP",10,IF($C532="DEF",6,IF($C532="MID",5,4)))</f>
        <v>0</v>
      </c>
      <c r="AQ532">
        <f t="shared" si="224"/>
        <v>0</v>
      </c>
      <c r="AR532">
        <f t="shared" si="225"/>
        <v>0</v>
      </c>
      <c r="AS532" s="2">
        <f>IF($H532=0,0,Player_Analysis!$AM532*$H532/90)</f>
        <v>0</v>
      </c>
      <c r="AT532">
        <f t="shared" si="226"/>
        <v>0</v>
      </c>
      <c r="AU532" s="2">
        <f>0</f>
        <v>0</v>
      </c>
      <c r="AV532" s="2">
        <f>IF(INDEX(FPL_Raw_Data!K:K,MATCH(A532,FPL_Raw_Data!AA:AA,0))=0,"",INDEX(FPL_Raw_Data!P:P,MATCH(A532,FPL_Raw_Data!AA:AA,0))/INDEX(FPL_Raw_Data!K:K,MATCH(A532,FPL_Raw_Data!AA:AA,0))*90)</f>
        <v>0</v>
      </c>
      <c r="AW532" s="2">
        <f t="shared" si="227"/>
        <v>0</v>
      </c>
      <c r="AX532" s="2">
        <f>IFERROR(INDEX(TEAM_ANALYSIS!$H$2:$H$21,MATCH($B532,TEAM_ANALYSIS!$A$2:$A$21,0)),0)</f>
        <v>1.3333333333333333</v>
      </c>
      <c r="AY532" s="2">
        <f t="shared" si="228"/>
        <v>-0.66666666666666663</v>
      </c>
      <c r="AZ532" s="2">
        <f t="shared" si="229"/>
        <v>-0.66666666666666663</v>
      </c>
      <c r="BA532">
        <f t="shared" si="230"/>
        <v>-0.13333333333333333</v>
      </c>
      <c r="BB532">
        <f>IFERROR(Player_Analysis!$Y532,1)</f>
        <v>1.1861524334251605</v>
      </c>
      <c r="BC532">
        <f t="shared" si="231"/>
        <v>-0.79076828895010698</v>
      </c>
      <c r="BD532">
        <f t="shared" si="232"/>
        <v>0.10543577186001427</v>
      </c>
      <c r="BE532">
        <f t="shared" si="233"/>
        <v>-0.79076828895010698</v>
      </c>
      <c r="BF532">
        <f t="shared" si="234"/>
        <v>548</v>
      </c>
      <c r="BG532">
        <f>IF($BE532="","",COUNTIFS($C$2:$C$596,$C532,$BE$2:$BE$596,"&gt;"&amp;$BE532)+COUNTIFS($C$2:$C532,$C532,$BE$2:$BE532,$BE532))</f>
        <v>145</v>
      </c>
    </row>
    <row r="533" spans="1:59" x14ac:dyDescent="0.25">
      <c r="A533" t="str">
        <f>Player_Analysis!A533</f>
        <v>Sven Botman</v>
      </c>
      <c r="B533">
        <f>Player_Analysis!C533</f>
        <v>17</v>
      </c>
      <c r="C533" t="str">
        <f>Player_Analysis!B533</f>
        <v>DEF</v>
      </c>
      <c r="D533" s="13">
        <f>Player_Analysis!E533</f>
        <v>5</v>
      </c>
      <c r="E533">
        <f>Player_Analysis!I533</f>
        <v>270</v>
      </c>
      <c r="F533" s="8">
        <f>Player_Analysis!Z533</f>
        <v>3</v>
      </c>
      <c r="G533" s="17">
        <f t="shared" si="209"/>
        <v>1</v>
      </c>
      <c r="H533">
        <f t="shared" si="210"/>
        <v>90</v>
      </c>
      <c r="I533" s="8">
        <f>Player_Analysis!AF533</f>
        <v>0</v>
      </c>
      <c r="J533" s="8">
        <f>Player_Analysis!AG533</f>
        <v>0</v>
      </c>
      <c r="K533">
        <f>Player_Analysis!O533</f>
        <v>0.01</v>
      </c>
      <c r="L533">
        <f>Player_Analysis!P533</f>
        <v>0.17</v>
      </c>
      <c r="M533">
        <f t="shared" si="211"/>
        <v>3.3333333333333331E-3</v>
      </c>
      <c r="N533">
        <f t="shared" si="212"/>
        <v>5.6666666666666678E-2</v>
      </c>
      <c r="O533" s="2">
        <f>IF(E533=0,"",Player_Analysis!L533/E533*90)</f>
        <v>3</v>
      </c>
      <c r="P533">
        <f>IF(E533=0,"",Player_Analysis!Q533/E533*90)</f>
        <v>0.06</v>
      </c>
      <c r="Q533">
        <f>IF(E533=0,"",(Player_Analysis!AD533/E533)*90)</f>
        <v>9.6666666666666661</v>
      </c>
      <c r="R533">
        <f>IF(E533=0,"",Player_Analysis!AA533/E533*90)</f>
        <v>8</v>
      </c>
      <c r="S533">
        <f t="array" ref="S533">IFERROR(INDEX('2023_24'!$O:$O,MATCH($A533,'2023_24'!$A:$A,0)),"")</f>
        <v>4.0581818181818184E-2</v>
      </c>
      <c r="T533">
        <f>IFERROR(INDEX('2024_25'!$P:$P,MATCH($A533,'2024_25'!$A:$A,0)),"")</f>
        <v>0.12888349514563108</v>
      </c>
      <c r="U533">
        <f>IFERROR(INDEX('2025_26'!$P:$P,MATCH($A533,'2025_26'!$A:$A,0)),"")</f>
        <v>8.4896401308615047E-2</v>
      </c>
      <c r="V533">
        <f>IFERROR(INDEX('2023_24'!$P:$P,MATCH($A533,'2023_24'!$A:$A,0)),"")</f>
        <v>3.5345454545454548E-2</v>
      </c>
      <c r="W533">
        <f>IFERROR(INDEX('2024_25'!$Q:$Q,MATCH($A533,'2024_25'!$A:$A,0)),"")</f>
        <v>4.8058252427184464E-2</v>
      </c>
      <c r="X533">
        <f>IFERROR(INDEX('2025_26'!$Q:$Q,MATCH($A533,'2025_26'!$A:$A,0)),"")</f>
        <v>4.2202835332606325E-2</v>
      </c>
      <c r="Y533">
        <f>IFERROR(INDEX('2023_24'!$M:$M,MATCH($A533,'2023_24'!$A:$A,0))/INDEX('2023_24'!$G:$G,MATCH($A533,'2023_24'!$A:$A,0))*90,"")</f>
        <v>3.3381818181818184</v>
      </c>
      <c r="Z533">
        <f>IFERROR(INDEX('2024_25'!$M:$M,MATCH($A533,'2024_25'!$A:$A,0))/INDEX('2024_25'!$G:$G,MATCH($A533,'2024_25'!$A:$A,0))*90,"")</f>
        <v>3.9320388349514563</v>
      </c>
      <c r="AA533">
        <f>IFERROR(INDEX('2025_26'!$M:$M,MATCH($A533,'2025_26'!$A:$A,0))/INDEX('2025_26'!$G:$G,MATCH($A533,'2025_26'!$A:$A,0))*90,"")</f>
        <v>4.3675027262813524</v>
      </c>
      <c r="AB533">
        <f>IFERROR(SUMPRODUCT(S533:U533,{0.2,0.3,0.5})/SUMPRODUCT(--(S533:U533&lt;&gt;""),{0.2,0.3,0.5}),"")</f>
        <v>8.9229612834360483E-2</v>
      </c>
      <c r="AC533">
        <f>IFERROR(SUMPRODUCT(V533:X533,{0.2,0.3,0.5})/SUMPRODUCT(--(V533:X533&lt;&gt;""),{0.2,0.3,0.5}),"")</f>
        <v>4.258798430354941E-2</v>
      </c>
      <c r="AD533">
        <f>IFERROR(SUMPRODUCT(Y533:AA533,{0.2,0.3,0.5})/SUMPRODUCT((Y533:AA533&lt;&gt;"")*{0.2,0.3,0.5}),O533)</f>
        <v>4.0309993772624768</v>
      </c>
      <c r="AE533">
        <f t="shared" si="213"/>
        <v>3</v>
      </c>
      <c r="AF533">
        <f t="shared" si="214"/>
        <v>90</v>
      </c>
      <c r="AG533">
        <f t="shared" si="215"/>
        <v>1.1922961283436045E-2</v>
      </c>
      <c r="AH533">
        <f t="shared" si="216"/>
        <v>5.5258798430354951E-2</v>
      </c>
      <c r="AI533" s="2">
        <f t="shared" si="217"/>
        <v>3.1030999377262476</v>
      </c>
      <c r="AJ533">
        <f t="shared" si="218"/>
        <v>0.9</v>
      </c>
      <c r="AK533" t="str">
        <f t="shared" si="219"/>
        <v>NO</v>
      </c>
      <c r="AL533">
        <f t="shared" si="220"/>
        <v>1.1922961283436045E-2</v>
      </c>
      <c r="AM533">
        <f t="shared" si="221"/>
        <v>5.5258798430354951E-2</v>
      </c>
      <c r="AN533">
        <f t="shared" si="222"/>
        <v>1.1922961283436045E-2</v>
      </c>
      <c r="AO533">
        <f t="shared" si="223"/>
        <v>5.5258798430354951E-2</v>
      </c>
      <c r="AP533">
        <f t="array" ref="AP533">AL533*IF($C533="GKP",10,IF($C533="DEF",6,IF($C533="MID",5,4)))</f>
        <v>7.1537767700616262E-2</v>
      </c>
      <c r="AQ533">
        <f t="shared" si="224"/>
        <v>0.16577639529106486</v>
      </c>
      <c r="AR533">
        <f t="shared" si="225"/>
        <v>2</v>
      </c>
      <c r="AS533" s="2">
        <f>IF($H533=0,0,Player_Analysis!$AM533*$H533/90)</f>
        <v>1.3333333333333333</v>
      </c>
      <c r="AT533">
        <f t="shared" si="226"/>
        <v>1.6</v>
      </c>
      <c r="AU533" s="2">
        <f>0</f>
        <v>0</v>
      </c>
      <c r="AV533" s="2">
        <f>IF(INDEX(FPL_Raw_Data!K:K,MATCH(A533,FPL_Raw_Data!AA:AA,0))=0,"",INDEX(FPL_Raw_Data!P:P,MATCH(A533,FPL_Raw_Data!AA:AA,0))/INDEX(FPL_Raw_Data!K:K,MATCH(A533,FPL_Raw_Data!AA:AA,0))*90)</f>
        <v>0</v>
      </c>
      <c r="AW533" s="2">
        <f t="shared" si="227"/>
        <v>0</v>
      </c>
      <c r="AX533" s="2">
        <f>IFERROR(INDEX(TEAM_ANALYSIS!$H$2:$H$21,MATCH($B533,TEAM_ANALYSIS!$A$2:$A$21,0)),0)</f>
        <v>1.3333333333333333</v>
      </c>
      <c r="AY533" s="2">
        <f t="shared" si="228"/>
        <v>-0.66666666666666663</v>
      </c>
      <c r="AZ533" s="2">
        <f t="shared" si="229"/>
        <v>4.5039808296583468</v>
      </c>
      <c r="BA533">
        <f t="shared" si="230"/>
        <v>0.90079616593166933</v>
      </c>
      <c r="BB533">
        <f>IFERROR(Player_Analysis!$Y533,1)</f>
        <v>1.1861524334251605</v>
      </c>
      <c r="BC533">
        <f t="shared" si="231"/>
        <v>5.3424078211995214</v>
      </c>
      <c r="BD533">
        <f t="shared" si="232"/>
        <v>4.8124204821798919</v>
      </c>
      <c r="BE533">
        <f t="shared" si="233"/>
        <v>5.3424078211995214</v>
      </c>
      <c r="BF533">
        <f t="shared" si="234"/>
        <v>73</v>
      </c>
      <c r="BG533">
        <f>IF($BE533="","",COUNTIFS($C$2:$C$596,$C533,$BE$2:$BE$596,"&gt;"&amp;$BE533)+COUNTIFS($C$2:$C533,$C533,$BE$2:$BE533,$BE533))</f>
        <v>32</v>
      </c>
    </row>
    <row r="534" spans="1:59" x14ac:dyDescent="0.25">
      <c r="A534" t="str">
        <f>Player_Analysis!A534</f>
        <v>Dan Burn</v>
      </c>
      <c r="B534">
        <f>Player_Analysis!C534</f>
        <v>17</v>
      </c>
      <c r="C534" t="str">
        <f>Player_Analysis!B534</f>
        <v>DEF</v>
      </c>
      <c r="D534" s="13">
        <f>Player_Analysis!E534</f>
        <v>4.9000000000000004</v>
      </c>
      <c r="E534">
        <f>Player_Analysis!I534</f>
        <v>0</v>
      </c>
      <c r="F534" s="8">
        <f>Player_Analysis!Z534</f>
        <v>0</v>
      </c>
      <c r="G534" s="17">
        <f t="shared" si="209"/>
        <v>0</v>
      </c>
      <c r="H534">
        <f t="shared" si="210"/>
        <v>0</v>
      </c>
      <c r="I534" s="8">
        <f>Player_Analysis!AF534</f>
        <v>0</v>
      </c>
      <c r="J534" s="8">
        <f>Player_Analysis!AG534</f>
        <v>0</v>
      </c>
      <c r="K534">
        <f>Player_Analysis!O534</f>
        <v>0</v>
      </c>
      <c r="L534">
        <f>Player_Analysis!P534</f>
        <v>0</v>
      </c>
      <c r="M534" t="str">
        <f t="shared" si="211"/>
        <v/>
      </c>
      <c r="N534" t="str">
        <f t="shared" si="212"/>
        <v/>
      </c>
      <c r="O534" s="2" t="str">
        <f>IF(E534=0,"",Player_Analysis!L534/E534*90)</f>
        <v/>
      </c>
      <c r="P534" t="str">
        <f>IF(E534=0,"",Player_Analysis!Q534/E534*90)</f>
        <v/>
      </c>
      <c r="Q534" t="str">
        <f>IF(E534=0,"",(Player_Analysis!AD534/E534)*90)</f>
        <v/>
      </c>
      <c r="R534" t="str">
        <f>IF(E534=0,"",Player_Analysis!AA534/E534*90)</f>
        <v/>
      </c>
      <c r="S534">
        <f t="array" ref="S534">IFERROR(INDEX('2023_24'!$O:$O,MATCH($A534,'2023_24'!$A:$A,0)),"")</f>
        <v>0.11064220183486238</v>
      </c>
      <c r="T534">
        <f>IFERROR(INDEX('2024_25'!$P:$P,MATCH($A534,'2024_25'!$A:$A,0)),"")</f>
        <v>5.3243243243243248E-2</v>
      </c>
      <c r="U534">
        <f>IFERROR(INDEX('2025_26'!$P:$P,MATCH($A534,'2025_26'!$A:$A,0)),"")</f>
        <v>4.4282460136674265E-2</v>
      </c>
      <c r="V534">
        <f>IFERROR(INDEX('2023_24'!$P:$P,MATCH($A534,'2023_24'!$A:$A,0)),"")</f>
        <v>3.6990825688073402E-2</v>
      </c>
      <c r="W534">
        <f>IFERROR(INDEX('2024_25'!$Q:$Q,MATCH($A534,'2024_25'!$A:$A,0)),"")</f>
        <v>2.945945945945946E-2</v>
      </c>
      <c r="X534">
        <f>IFERROR(INDEX('2025_26'!$Q:$Q,MATCH($A534,'2025_26'!$A:$A,0)),"")</f>
        <v>1.4760820045558084E-2</v>
      </c>
      <c r="Y534">
        <f>IFERROR(INDEX('2023_24'!$M:$M,MATCH($A534,'2023_24'!$A:$A,0))/INDEX('2023_24'!$G:$G,MATCH($A534,'2023_24'!$A:$A,0))*90,"")</f>
        <v>3.2036697247706418</v>
      </c>
      <c r="Z534">
        <f>IFERROR(INDEX('2024_25'!$M:$M,MATCH($A534,'2024_25'!$A:$A,0))/INDEX('2024_25'!$G:$G,MATCH($A534,'2024_25'!$A:$A,0))*90,"")</f>
        <v>3.1081081081081079</v>
      </c>
      <c r="AA534">
        <f>IFERROR(INDEX('2025_26'!$M:$M,MATCH($A534,'2025_26'!$A:$A,0))/INDEX('2025_26'!$G:$G,MATCH($A534,'2025_26'!$A:$A,0))*90,"")</f>
        <v>3.8132118451025057</v>
      </c>
      <c r="AB534">
        <f>IFERROR(SUMPRODUCT(S534:U534,{0.2,0.3,0.5})/SUMPRODUCT(--(S534:U534&lt;&gt;""),{0.2,0.3,0.5}),"")</f>
        <v>6.0242643408282587E-2</v>
      </c>
      <c r="AC534">
        <f>IFERROR(SUMPRODUCT(V534:X534,{0.2,0.3,0.5})/SUMPRODUCT(--(V534:X534&lt;&gt;""),{0.2,0.3,0.5}),"")</f>
        <v>2.3616412998231563E-2</v>
      </c>
      <c r="AD534">
        <f>IFERROR(SUMPRODUCT(Y534:AA534,{0.2,0.3,0.5})/SUMPRODUCT((Y534:AA534&lt;&gt;"")*{0.2,0.3,0.5}),O534)</f>
        <v>3.4797722999378138</v>
      </c>
      <c r="AE534">
        <f t="shared" si="213"/>
        <v>3</v>
      </c>
      <c r="AF534" t="str">
        <f t="shared" si="214"/>
        <v/>
      </c>
      <c r="AG534">
        <f t="shared" si="215"/>
        <v>6.0242643408282587E-2</v>
      </c>
      <c r="AH534">
        <f t="shared" si="216"/>
        <v>2.3616412998231563E-2</v>
      </c>
      <c r="AI534" s="2">
        <f t="shared" si="217"/>
        <v>3.4797722999378138</v>
      </c>
      <c r="AJ534">
        <f t="shared" si="218"/>
        <v>0</v>
      </c>
      <c r="AK534" t="str">
        <f t="shared" si="219"/>
        <v>NO</v>
      </c>
      <c r="AL534">
        <f t="shared" si="220"/>
        <v>0</v>
      </c>
      <c r="AM534">
        <f t="shared" si="221"/>
        <v>0</v>
      </c>
      <c r="AN534">
        <f t="shared" si="222"/>
        <v>0</v>
      </c>
      <c r="AO534">
        <f t="shared" si="223"/>
        <v>0</v>
      </c>
      <c r="AP534">
        <f t="array" ref="AP534">AL534*IF($C534="GKP",10,IF($C534="DEF",6,IF($C534="MID",5,4)))</f>
        <v>0</v>
      </c>
      <c r="AQ534">
        <f t="shared" si="224"/>
        <v>0</v>
      </c>
      <c r="AR534">
        <f t="shared" si="225"/>
        <v>0</v>
      </c>
      <c r="AS534" s="2">
        <f>IF($H534=0,0,Player_Analysis!$AM534*$H534/90)</f>
        <v>0</v>
      </c>
      <c r="AT534">
        <f t="shared" si="226"/>
        <v>0</v>
      </c>
      <c r="AU534" s="2">
        <f>0</f>
        <v>0</v>
      </c>
      <c r="AV534" s="2" t="str">
        <f>IF(INDEX(FPL_Raw_Data!K:K,MATCH(A534,FPL_Raw_Data!AA:AA,0))=0,"",INDEX(FPL_Raw_Data!P:P,MATCH(A534,FPL_Raw_Data!AA:AA,0))/INDEX(FPL_Raw_Data!K:K,MATCH(A534,FPL_Raw_Data!AA:AA,0))*90)</f>
        <v/>
      </c>
      <c r="AW534" s="2">
        <f t="shared" si="227"/>
        <v>0</v>
      </c>
      <c r="AX534" s="2">
        <f>IFERROR(INDEX(TEAM_ANALYSIS!$H$2:$H$21,MATCH($B534,TEAM_ANALYSIS!$A$2:$A$21,0)),0)</f>
        <v>1.3333333333333333</v>
      </c>
      <c r="AY534" s="2">
        <f t="shared" si="228"/>
        <v>-0.66666666666666663</v>
      </c>
      <c r="AZ534" s="2">
        <f t="shared" si="229"/>
        <v>-0.66666666666666663</v>
      </c>
      <c r="BA534">
        <f t="shared" si="230"/>
        <v>-0.13605442176870747</v>
      </c>
      <c r="BB534">
        <f>IFERROR(Player_Analysis!$Y534,1)</f>
        <v>1.1861524334251605</v>
      </c>
      <c r="BC534">
        <f t="shared" si="231"/>
        <v>-0.79076828895010698</v>
      </c>
      <c r="BD534">
        <f t="shared" si="232"/>
        <v>0.107587522306137</v>
      </c>
      <c r="BE534">
        <f t="shared" si="233"/>
        <v>-0.79076828895010698</v>
      </c>
      <c r="BF534">
        <f t="shared" si="234"/>
        <v>548</v>
      </c>
      <c r="BG534">
        <f>IF($BE534="","",COUNTIFS($C$2:$C$596,$C534,$BE$2:$BE$596,"&gt;"&amp;$BE534)+COUNTIFS($C$2:$C534,$C534,$BE$2:$BE534,$BE534))</f>
        <v>146</v>
      </c>
    </row>
    <row r="535" spans="1:59" x14ac:dyDescent="0.25">
      <c r="A535" t="str">
        <f>Player_Analysis!A535</f>
        <v>Lewis Hall</v>
      </c>
      <c r="B535">
        <f>Player_Analysis!C535</f>
        <v>17</v>
      </c>
      <c r="C535" t="str">
        <f>Player_Analysis!B535</f>
        <v>DEF</v>
      </c>
      <c r="D535" s="13">
        <f>Player_Analysis!E535</f>
        <v>5.0999999999999996</v>
      </c>
      <c r="E535">
        <f>Player_Analysis!I535</f>
        <v>269</v>
      </c>
      <c r="F535" s="8">
        <f>Player_Analysis!Z535</f>
        <v>3</v>
      </c>
      <c r="G535" s="17">
        <f t="shared" si="209"/>
        <v>1</v>
      </c>
      <c r="H535">
        <f t="shared" si="210"/>
        <v>90</v>
      </c>
      <c r="I535" s="8">
        <f>Player_Analysis!AF535</f>
        <v>0</v>
      </c>
      <c r="J535" s="8">
        <f>Player_Analysis!AG535</f>
        <v>1</v>
      </c>
      <c r="K535">
        <f>Player_Analysis!O535</f>
        <v>0.04</v>
      </c>
      <c r="L535">
        <f>Player_Analysis!P535</f>
        <v>0.67</v>
      </c>
      <c r="M535">
        <f t="shared" si="211"/>
        <v>1.3382899628252789E-2</v>
      </c>
      <c r="N535">
        <f t="shared" si="212"/>
        <v>0.22416356877323423</v>
      </c>
      <c r="O535" s="2">
        <f>IF(E535=0,"",Player_Analysis!L535/E535*90)</f>
        <v>6.0223048327137541</v>
      </c>
      <c r="P535">
        <f>IF(E535=0,"",Player_Analysis!Q535/E535*90)</f>
        <v>0.23754646840148697</v>
      </c>
      <c r="Q535">
        <f>IF(E535=0,"",(Player_Analysis!AD535/E535)*90)</f>
        <v>26.765799256505577</v>
      </c>
      <c r="R535">
        <f>IF(E535=0,"",Player_Analysis!AA535/E535*90)</f>
        <v>10.03717472118959</v>
      </c>
      <c r="S535">
        <f t="array" ref="S535">IFERROR(INDEX('2023_24'!$O:$O,MATCH($A535,'2023_24'!$A:$A,0)),"")</f>
        <v>4.0750323415265195E-2</v>
      </c>
      <c r="T535">
        <f>IFERROR(INDEX('2024_25'!$P:$P,MATCH($A535,'2024_25'!$A:$A,0)),"")</f>
        <v>1.7687385740402194E-2</v>
      </c>
      <c r="U535">
        <f>IFERROR(INDEX('2025_26'!$P:$P,MATCH($A535,'2025_26'!$A:$A,0)),"")</f>
        <v>4.1773897058823527E-2</v>
      </c>
      <c r="V535">
        <f>IFERROR(INDEX('2023_24'!$P:$P,MATCH($A535,'2023_24'!$A:$A,0)),"")</f>
        <v>8.3829236739974125E-2</v>
      </c>
      <c r="W535">
        <f>IFERROR(INDEX('2024_25'!$Q:$Q,MATCH($A535,'2024_25'!$A:$A,0)),"")</f>
        <v>0.15342778793418646</v>
      </c>
      <c r="X535">
        <f>IFERROR(INDEX('2025_26'!$Q:$Q,MATCH($A535,'2025_26'!$A:$A,0)),"")</f>
        <v>0.11498161764705882</v>
      </c>
      <c r="Y535">
        <f>IFERROR(INDEX('2023_24'!$M:$M,MATCH($A535,'2023_24'!$A:$A,0))/INDEX('2023_24'!$G:$G,MATCH($A535,'2023_24'!$A:$A,0))*90,"")</f>
        <v>4.4243208279430792</v>
      </c>
      <c r="Z535">
        <f>IFERROR(INDEX('2024_25'!$M:$M,MATCH($A535,'2024_25'!$A:$A,0))/INDEX('2024_25'!$G:$G,MATCH($A535,'2024_25'!$A:$A,0))*90,"")</f>
        <v>4.1956124314442418</v>
      </c>
      <c r="AA535">
        <f>IFERROR(INDEX('2025_26'!$M:$M,MATCH($A535,'2025_26'!$A:$A,0))/INDEX('2025_26'!$G:$G,MATCH($A535,'2025_26'!$A:$A,0))*90,"")</f>
        <v>3.2674632352941178</v>
      </c>
      <c r="AB535">
        <f>IFERROR(SUMPRODUCT(S535:U535,{0.2,0.3,0.5})/SUMPRODUCT(--(S535:U535&lt;&gt;""),{0.2,0.3,0.5}),"")</f>
        <v>3.4343228934585461E-2</v>
      </c>
      <c r="AC535">
        <f>IFERROR(SUMPRODUCT(V535:X535,{0.2,0.3,0.5})/SUMPRODUCT(--(V535:X535&lt;&gt;""),{0.2,0.3,0.5}),"")</f>
        <v>0.12028499255178016</v>
      </c>
      <c r="AD535">
        <f>IFERROR(SUMPRODUCT(Y535:AA535,{0.2,0.3,0.5})/SUMPRODUCT((Y535:AA535&lt;&gt;"")*{0.2,0.3,0.5}),O535)</f>
        <v>3.7772795126689473</v>
      </c>
      <c r="AE535">
        <f t="shared" si="213"/>
        <v>3</v>
      </c>
      <c r="AF535">
        <f t="shared" si="214"/>
        <v>89.666666666666671</v>
      </c>
      <c r="AG535">
        <f t="shared" si="215"/>
        <v>1.55488003232405E-2</v>
      </c>
      <c r="AH535">
        <f t="shared" si="216"/>
        <v>0.21342944923035062</v>
      </c>
      <c r="AI535" s="2">
        <f t="shared" si="217"/>
        <v>5.7903188829757912</v>
      </c>
      <c r="AJ535">
        <f t="shared" si="218"/>
        <v>0.89666666666666661</v>
      </c>
      <c r="AK535" t="str">
        <f t="shared" si="219"/>
        <v>NO</v>
      </c>
      <c r="AL535">
        <f t="shared" si="220"/>
        <v>1.55488003232405E-2</v>
      </c>
      <c r="AM535">
        <f t="shared" si="221"/>
        <v>0.21342944923035062</v>
      </c>
      <c r="AN535">
        <f t="shared" si="222"/>
        <v>1.55488003232405E-2</v>
      </c>
      <c r="AO535">
        <f t="shared" si="223"/>
        <v>0.21342944923035062</v>
      </c>
      <c r="AP535">
        <f t="array" ref="AP535">AL535*IF($C535="GKP",10,IF($C535="DEF",6,IF($C535="MID",5,4)))</f>
        <v>9.3292801939443004E-2</v>
      </c>
      <c r="AQ535">
        <f t="shared" si="224"/>
        <v>0.64028834769105192</v>
      </c>
      <c r="AR535">
        <f t="shared" si="225"/>
        <v>2</v>
      </c>
      <c r="AS535" s="2">
        <f>IF($H535=0,0,Player_Analysis!$AM535*$H535/90)</f>
        <v>1.3333333333333333</v>
      </c>
      <c r="AT535">
        <f t="shared" si="226"/>
        <v>2.007434944237918</v>
      </c>
      <c r="AU535" s="2">
        <f>0</f>
        <v>0</v>
      </c>
      <c r="AV535" s="2">
        <f>IF(INDEX(FPL_Raw_Data!K:K,MATCH(A535,FPL_Raw_Data!AA:AA,0))=0,"",INDEX(FPL_Raw_Data!P:P,MATCH(A535,FPL_Raw_Data!AA:AA,0))/INDEX(FPL_Raw_Data!K:K,MATCH(A535,FPL_Raw_Data!AA:AA,0))*90)</f>
        <v>0</v>
      </c>
      <c r="AW535" s="2">
        <f t="shared" si="227"/>
        <v>0</v>
      </c>
      <c r="AX535" s="2">
        <f>IFERROR(INDEX(TEAM_ANALYSIS!$H$2:$H$21,MATCH($B535,TEAM_ANALYSIS!$A$2:$A$21,0)),0)</f>
        <v>1.3333333333333333</v>
      </c>
      <c r="AY535" s="2">
        <f t="shared" si="228"/>
        <v>-0.66666666666666663</v>
      </c>
      <c r="AZ535" s="2">
        <f t="shared" si="229"/>
        <v>5.4076827605350788</v>
      </c>
      <c r="BA535">
        <f t="shared" si="230"/>
        <v>1.0603299530460939</v>
      </c>
      <c r="BB535">
        <f>IFERROR(Player_Analysis!$Y535,1)</f>
        <v>1.1861524334251605</v>
      </c>
      <c r="BC535">
        <f t="shared" si="231"/>
        <v>6.414336065599973</v>
      </c>
      <c r="BD535">
        <f t="shared" si="232"/>
        <v>6.8013126592594864</v>
      </c>
      <c r="BE535">
        <f t="shared" si="233"/>
        <v>6.414336065599973</v>
      </c>
      <c r="BF535">
        <f t="shared" si="234"/>
        <v>30</v>
      </c>
      <c r="BG535">
        <f>IF($BE535="","",COUNTIFS($C$2:$C$596,$C535,$BE$2:$BE$596,"&gt;"&amp;$BE535)+COUNTIFS($C$2:$C535,$C535,$BE$2:$BE535,$BE535))</f>
        <v>15</v>
      </c>
    </row>
    <row r="536" spans="1:59" x14ac:dyDescent="0.25">
      <c r="A536" t="str">
        <f>Player_Analysis!A536</f>
        <v>Tino Livramento</v>
      </c>
      <c r="B536">
        <f>Player_Analysis!C536</f>
        <v>17</v>
      </c>
      <c r="C536" t="str">
        <f>Player_Analysis!B536</f>
        <v>DEF</v>
      </c>
      <c r="D536" s="13">
        <f>Player_Analysis!E536</f>
        <v>4.9000000000000004</v>
      </c>
      <c r="E536">
        <f>Player_Analysis!I536</f>
        <v>1</v>
      </c>
      <c r="F536" s="8">
        <f>Player_Analysis!Z536</f>
        <v>0</v>
      </c>
      <c r="G536" s="17">
        <f t="shared" si="209"/>
        <v>0</v>
      </c>
      <c r="H536">
        <f t="shared" si="210"/>
        <v>0</v>
      </c>
      <c r="I536" s="8">
        <f>Player_Analysis!AF536</f>
        <v>0</v>
      </c>
      <c r="J536" s="8">
        <f>Player_Analysis!AG536</f>
        <v>0</v>
      </c>
      <c r="K536">
        <f>Player_Analysis!O536</f>
        <v>0</v>
      </c>
      <c r="L536">
        <f>Player_Analysis!P536</f>
        <v>0</v>
      </c>
      <c r="M536">
        <f t="shared" si="211"/>
        <v>0</v>
      </c>
      <c r="N536">
        <f t="shared" si="212"/>
        <v>0</v>
      </c>
      <c r="O536" s="2">
        <f>IF(E536=0,"",Player_Analysis!L536/E536*90)</f>
        <v>90</v>
      </c>
      <c r="P536">
        <f>IF(E536=0,"",Player_Analysis!Q536/E536*90)</f>
        <v>0</v>
      </c>
      <c r="Q536">
        <f>IF(E536=0,"",(Player_Analysis!AD536/E536)*90)</f>
        <v>270</v>
      </c>
      <c r="R536">
        <f>IF(E536=0,"",Player_Analysis!AA536/E536*90)</f>
        <v>0</v>
      </c>
      <c r="S536">
        <f t="array" ref="S536">IFERROR(INDEX('2023_24'!$O:$O,MATCH($A536,'2023_24'!$A:$A,0)),"")</f>
        <v>2.6267281105990782E-2</v>
      </c>
      <c r="T536">
        <f>IFERROR(INDEX('2024_25'!$P:$P,MATCH($A536,'2024_25'!$A:$A,0)),"")</f>
        <v>1.0476190476190477E-2</v>
      </c>
      <c r="U536">
        <f>IFERROR(INDEX('2025_26'!$P:$P,MATCH($A536,'2025_26'!$A:$A,0)),"")</f>
        <v>8.8235294117647075E-3</v>
      </c>
      <c r="V536">
        <f>IFERROR(INDEX('2023_24'!$P:$P,MATCH($A536,'2023_24'!$A:$A,0)),"")</f>
        <v>5.7373271889400924E-2</v>
      </c>
      <c r="W536">
        <f>IFERROR(INDEX('2024_25'!$Q:$Q,MATCH($A536,'2024_25'!$A:$A,0)),"")</f>
        <v>8.5714285714285729E-2</v>
      </c>
      <c r="X536">
        <f>IFERROR(INDEX('2025_26'!$Q:$Q,MATCH($A536,'2025_26'!$A:$A,0)),"")</f>
        <v>6.0407239819004532E-2</v>
      </c>
      <c r="Y536">
        <f>IFERROR(INDEX('2023_24'!$M:$M,MATCH($A536,'2023_24'!$A:$A,0))/INDEX('2023_24'!$G:$G,MATCH($A536,'2023_24'!$A:$A,0))*90,"")</f>
        <v>3.1105990783410142</v>
      </c>
      <c r="Z536">
        <f>IFERROR(INDEX('2024_25'!$M:$M,MATCH($A536,'2024_25'!$A:$A,0))/INDEX('2024_25'!$G:$G,MATCH($A536,'2024_25'!$A:$A,0))*90,"")</f>
        <v>3.333333333333333</v>
      </c>
      <c r="AA536">
        <f>IFERROR(INDEX('2025_26'!$M:$M,MATCH($A536,'2025_26'!$A:$A,0))/INDEX('2025_26'!$G:$G,MATCH($A536,'2025_26'!$A:$A,0))*90,"")</f>
        <v>4.004524886877828</v>
      </c>
      <c r="AB536">
        <f>IFERROR(SUMPRODUCT(S536:U536,{0.2,0.3,0.5})/SUMPRODUCT(--(S536:U536&lt;&gt;""),{0.2,0.3,0.5}),"")</f>
        <v>1.2808078069937653E-2</v>
      </c>
      <c r="AC536">
        <f>IFERROR(SUMPRODUCT(V536:X536,{0.2,0.3,0.5})/SUMPRODUCT(--(V536:X536&lt;&gt;""),{0.2,0.3,0.5}),"")</f>
        <v>6.739256000166817E-2</v>
      </c>
      <c r="AD536">
        <f>IFERROR(SUMPRODUCT(Y536:AA536,{0.2,0.3,0.5})/SUMPRODUCT((Y536:AA536&lt;&gt;"")*{0.2,0.3,0.5}),O536)</f>
        <v>3.6243822591071169</v>
      </c>
      <c r="AE536">
        <f t="shared" si="213"/>
        <v>3</v>
      </c>
      <c r="AF536" t="str">
        <f t="shared" si="214"/>
        <v/>
      </c>
      <c r="AG536">
        <f t="shared" si="215"/>
        <v>1.2765384476371195E-2</v>
      </c>
      <c r="AH536">
        <f t="shared" si="216"/>
        <v>6.7167918134995938E-2</v>
      </c>
      <c r="AI536" s="2">
        <f t="shared" si="217"/>
        <v>3.9123009849100931</v>
      </c>
      <c r="AJ536">
        <f t="shared" si="218"/>
        <v>3.3333333333333335E-3</v>
      </c>
      <c r="AK536" t="str">
        <f t="shared" si="219"/>
        <v>NO</v>
      </c>
      <c r="AL536">
        <f t="shared" si="220"/>
        <v>0</v>
      </c>
      <c r="AM536">
        <f t="shared" si="221"/>
        <v>0</v>
      </c>
      <c r="AN536">
        <f t="shared" si="222"/>
        <v>0</v>
      </c>
      <c r="AO536">
        <f t="shared" si="223"/>
        <v>0</v>
      </c>
      <c r="AP536">
        <f t="array" ref="AP536">AL536*IF($C536="GKP",10,IF($C536="DEF",6,IF($C536="MID",5,4)))</f>
        <v>0</v>
      </c>
      <c r="AQ536">
        <f t="shared" si="224"/>
        <v>0</v>
      </c>
      <c r="AR536">
        <f t="shared" si="225"/>
        <v>0</v>
      </c>
      <c r="AS536" s="2">
        <f>IF($H536=0,0,Player_Analysis!$AM536*$H536/90)</f>
        <v>0</v>
      </c>
      <c r="AT536">
        <f t="shared" si="226"/>
        <v>0</v>
      </c>
      <c r="AU536" s="2">
        <f>0</f>
        <v>0</v>
      </c>
      <c r="AV536" s="2">
        <f>IF(INDEX(FPL_Raw_Data!K:K,MATCH(A536,FPL_Raw_Data!AA:AA,0))=0,"",INDEX(FPL_Raw_Data!P:P,MATCH(A536,FPL_Raw_Data!AA:AA,0))/INDEX(FPL_Raw_Data!K:K,MATCH(A536,FPL_Raw_Data!AA:AA,0))*90)</f>
        <v>0</v>
      </c>
      <c r="AW536" s="2">
        <f t="shared" si="227"/>
        <v>0</v>
      </c>
      <c r="AX536" s="2">
        <f>IFERROR(INDEX(TEAM_ANALYSIS!$H$2:$H$21,MATCH($B536,TEAM_ANALYSIS!$A$2:$A$21,0)),0)</f>
        <v>1.3333333333333333</v>
      </c>
      <c r="AY536" s="2">
        <f t="shared" si="228"/>
        <v>-0.66666666666666663</v>
      </c>
      <c r="AZ536" s="2">
        <f t="shared" si="229"/>
        <v>-0.66666666666666663</v>
      </c>
      <c r="BA536">
        <f t="shared" si="230"/>
        <v>-0.13605442176870747</v>
      </c>
      <c r="BB536">
        <f>IFERROR(Player_Analysis!$Y536,1)</f>
        <v>1.1861524334251605</v>
      </c>
      <c r="BC536">
        <f t="shared" si="231"/>
        <v>-0.79076828895010698</v>
      </c>
      <c r="BD536">
        <f t="shared" si="232"/>
        <v>0.107587522306137</v>
      </c>
      <c r="BE536">
        <f t="shared" si="233"/>
        <v>-0.79076828895010698</v>
      </c>
      <c r="BF536">
        <f t="shared" si="234"/>
        <v>548</v>
      </c>
      <c r="BG536">
        <f>IF($BE536="","",COUNTIFS($C$2:$C$596,$C536,$BE$2:$BE$596,"&gt;"&amp;$BE536)+COUNTIFS($C$2:$C536,$C536,$BE$2:$BE536,$BE536))</f>
        <v>147</v>
      </c>
    </row>
    <row r="537" spans="1:59" x14ac:dyDescent="0.25">
      <c r="A537" t="str">
        <f>Player_Analysis!A537</f>
        <v>Alex Murphy</v>
      </c>
      <c r="B537">
        <f>Player_Analysis!C537</f>
        <v>17</v>
      </c>
      <c r="C537" t="str">
        <f>Player_Analysis!B537</f>
        <v>DEF</v>
      </c>
      <c r="D537" s="13">
        <f>Player_Analysis!E537</f>
        <v>4</v>
      </c>
      <c r="E537">
        <f>Player_Analysis!I537</f>
        <v>0</v>
      </c>
      <c r="F537" s="8">
        <f>Player_Analysis!Z537</f>
        <v>0</v>
      </c>
      <c r="G537" s="17">
        <f t="shared" si="209"/>
        <v>0</v>
      </c>
      <c r="H537">
        <f t="shared" si="210"/>
        <v>0</v>
      </c>
      <c r="I537" s="8">
        <f>Player_Analysis!AF537</f>
        <v>0</v>
      </c>
      <c r="J537" s="8">
        <f>Player_Analysis!AG537</f>
        <v>0</v>
      </c>
      <c r="K537">
        <f>Player_Analysis!O537</f>
        <v>0</v>
      </c>
      <c r="L537">
        <f>Player_Analysis!P537</f>
        <v>0</v>
      </c>
      <c r="M537" t="str">
        <f t="shared" si="211"/>
        <v/>
      </c>
      <c r="N537" t="str">
        <f t="shared" si="212"/>
        <v/>
      </c>
      <c r="O537" s="2" t="str">
        <f>IF(E537=0,"",Player_Analysis!L537/E537*90)</f>
        <v/>
      </c>
      <c r="P537" t="str">
        <f>IF(E537=0,"",Player_Analysis!Q537/E537*90)</f>
        <v/>
      </c>
      <c r="Q537" t="str">
        <f>IF(E537=0,"",(Player_Analysis!AD537/E537)*90)</f>
        <v/>
      </c>
      <c r="R537" t="str">
        <f>IF(E537=0,"",Player_Analysis!AA537/E537*90)</f>
        <v/>
      </c>
      <c r="S537">
        <f t="array" ref="S537">IFERROR(INDEX('2023_24'!$O:$O,MATCH($A537,'2023_24'!$A:$A,0)),"")</f>
        <v>0</v>
      </c>
      <c r="T537">
        <f>IFERROR(INDEX('2024_25'!$P:$P,MATCH($A537,'2024_25'!$A:$A,0)),"")</f>
        <v>0</v>
      </c>
      <c r="U537">
        <f>IFERROR(INDEX('2025_26'!$P:$P,MATCH($A537,'2025_26'!$A:$A,0)),"")</f>
        <v>0</v>
      </c>
      <c r="V537">
        <f>IFERROR(INDEX('2023_24'!$P:$P,MATCH($A537,'2023_24'!$A:$A,0)),"")</f>
        <v>0</v>
      </c>
      <c r="W537">
        <f>IFERROR(INDEX('2024_25'!$Q:$Q,MATCH($A537,'2024_25'!$A:$A,0)),"")</f>
        <v>0</v>
      </c>
      <c r="X537">
        <f>IFERROR(INDEX('2025_26'!$Q:$Q,MATCH($A537,'2025_26'!$A:$A,0)),"")</f>
        <v>0</v>
      </c>
      <c r="Y537">
        <f>IFERROR(INDEX('2023_24'!$M:$M,MATCH($A537,'2023_24'!$A:$A,0))/INDEX('2023_24'!$G:$G,MATCH($A537,'2023_24'!$A:$A,0))*90,"")</f>
        <v>16.363636363636363</v>
      </c>
      <c r="Z537" t="str">
        <f>IFERROR(INDEX('2024_25'!$M:$M,MATCH($A537,'2024_25'!$A:$A,0))/INDEX('2024_25'!$G:$G,MATCH($A537,'2024_25'!$A:$A,0))*90,"")</f>
        <v/>
      </c>
      <c r="AA537">
        <f>IFERROR(INDEX('2025_26'!$M:$M,MATCH($A537,'2025_26'!$A:$A,0))/INDEX('2025_26'!$G:$G,MATCH($A537,'2025_26'!$A:$A,0))*90,"")</f>
        <v>25.714285714285712</v>
      </c>
      <c r="AB537">
        <f>IFERROR(SUMPRODUCT(S537:U537,{0.2,0.3,0.5})/SUMPRODUCT(--(S537:U537&lt;&gt;""),{0.2,0.3,0.5}),"")</f>
        <v>0</v>
      </c>
      <c r="AC537">
        <f>IFERROR(SUMPRODUCT(V537:X537,{0.2,0.3,0.5})/SUMPRODUCT(--(V537:X537&lt;&gt;""),{0.2,0.3,0.5}),"")</f>
        <v>0</v>
      </c>
      <c r="AD537">
        <f>IFERROR(SUMPRODUCT(Y537:AA537,{0.2,0.3,0.5})/SUMPRODUCT((Y537:AA537&lt;&gt;"")*{0.2,0.3,0.5}),O537)</f>
        <v>23.042671614100183</v>
      </c>
      <c r="AE537">
        <f t="shared" si="213"/>
        <v>3</v>
      </c>
      <c r="AF537" t="str">
        <f t="shared" si="214"/>
        <v/>
      </c>
      <c r="AG537">
        <f t="shared" si="215"/>
        <v>0</v>
      </c>
      <c r="AH537">
        <f t="shared" si="216"/>
        <v>0</v>
      </c>
      <c r="AI537" s="2">
        <f t="shared" si="217"/>
        <v>23.042671614100183</v>
      </c>
      <c r="AJ537">
        <f t="shared" si="218"/>
        <v>0</v>
      </c>
      <c r="AK537" t="str">
        <f t="shared" si="219"/>
        <v>NO</v>
      </c>
      <c r="AL537">
        <f t="shared" si="220"/>
        <v>0</v>
      </c>
      <c r="AM537">
        <f t="shared" si="221"/>
        <v>0</v>
      </c>
      <c r="AN537">
        <f t="shared" si="222"/>
        <v>0</v>
      </c>
      <c r="AO537">
        <f t="shared" si="223"/>
        <v>0</v>
      </c>
      <c r="AP537">
        <f t="array" ref="AP537">AL537*IF($C537="GKP",10,IF($C537="DEF",6,IF($C537="MID",5,4)))</f>
        <v>0</v>
      </c>
      <c r="AQ537">
        <f t="shared" si="224"/>
        <v>0</v>
      </c>
      <c r="AR537">
        <f t="shared" si="225"/>
        <v>0</v>
      </c>
      <c r="AS537" s="2">
        <f>IF($H537=0,0,Player_Analysis!$AM537*$H537/90)</f>
        <v>0</v>
      </c>
      <c r="AT537">
        <f t="shared" si="226"/>
        <v>0</v>
      </c>
      <c r="AU537" s="2">
        <f>0</f>
        <v>0</v>
      </c>
      <c r="AV537" s="2" t="str">
        <f>IF(INDEX(FPL_Raw_Data!K:K,MATCH(A537,FPL_Raw_Data!AA:AA,0))=0,"",INDEX(FPL_Raw_Data!P:P,MATCH(A537,FPL_Raw_Data!AA:AA,0))/INDEX(FPL_Raw_Data!K:K,MATCH(A537,FPL_Raw_Data!AA:AA,0))*90)</f>
        <v/>
      </c>
      <c r="AW537" s="2">
        <f t="shared" si="227"/>
        <v>0</v>
      </c>
      <c r="AX537" s="2">
        <f>IFERROR(INDEX(TEAM_ANALYSIS!$H$2:$H$21,MATCH($B537,TEAM_ANALYSIS!$A$2:$A$21,0)),0)</f>
        <v>1.3333333333333333</v>
      </c>
      <c r="AY537" s="2">
        <f t="shared" si="228"/>
        <v>-0.66666666666666663</v>
      </c>
      <c r="AZ537" s="2">
        <f t="shared" si="229"/>
        <v>-0.66666666666666663</v>
      </c>
      <c r="BA537">
        <f t="shared" si="230"/>
        <v>-0.16666666666666666</v>
      </c>
      <c r="BB537">
        <f>IFERROR(Player_Analysis!$Y537,1)</f>
        <v>1.1861524334251605</v>
      </c>
      <c r="BC537">
        <f t="shared" si="231"/>
        <v>-0.79076828895010698</v>
      </c>
      <c r="BD537">
        <f t="shared" si="232"/>
        <v>0.13179471482501781</v>
      </c>
      <c r="BE537">
        <f t="shared" si="233"/>
        <v>-0.79076828895010698</v>
      </c>
      <c r="BF537">
        <f t="shared" si="234"/>
        <v>548</v>
      </c>
      <c r="BG537">
        <f>IF($BE537="","",COUNTIFS($C$2:$C$596,$C537,$BE$2:$BE$596,"&gt;"&amp;$BE537)+COUNTIFS($C$2:$C537,$C537,$BE$2:$BE537,$BE537))</f>
        <v>148</v>
      </c>
    </row>
    <row r="538" spans="1:59" x14ac:dyDescent="0.25">
      <c r="A538" t="str">
        <f>Player_Analysis!A538</f>
        <v>Harvey Barnes</v>
      </c>
      <c r="B538">
        <f>Player_Analysis!C538</f>
        <v>17</v>
      </c>
      <c r="C538" t="str">
        <f>Player_Analysis!B538</f>
        <v>MID</v>
      </c>
      <c r="D538" s="13">
        <f>Player_Analysis!E538</f>
        <v>6</v>
      </c>
      <c r="E538">
        <f>Player_Analysis!I538</f>
        <v>270</v>
      </c>
      <c r="F538" s="8">
        <f>Player_Analysis!Z538</f>
        <v>3</v>
      </c>
      <c r="G538" s="17">
        <f t="shared" si="209"/>
        <v>1</v>
      </c>
      <c r="H538">
        <f t="shared" si="210"/>
        <v>90</v>
      </c>
      <c r="I538" s="8">
        <f>Player_Analysis!AF538</f>
        <v>1</v>
      </c>
      <c r="J538" s="8">
        <f>Player_Analysis!AG538</f>
        <v>1</v>
      </c>
      <c r="K538">
        <f>Player_Analysis!O538</f>
        <v>0.22</v>
      </c>
      <c r="L538">
        <f>Player_Analysis!P538</f>
        <v>0.06</v>
      </c>
      <c r="M538">
        <f t="shared" si="211"/>
        <v>7.3333333333333334E-2</v>
      </c>
      <c r="N538">
        <f t="shared" si="212"/>
        <v>1.9999999999999997E-2</v>
      </c>
      <c r="O538" s="2">
        <f>IF(E538=0,"",Player_Analysis!L538/E538*90)</f>
        <v>5.6666666666666661</v>
      </c>
      <c r="P538">
        <f>IF(E538=0,"",Player_Analysis!Q538/E538*90)</f>
        <v>9.3333333333333338E-2</v>
      </c>
      <c r="Q538">
        <f>IF(E538=0,"",(Player_Analysis!AD538/E538)*90)</f>
        <v>19.333333333333332</v>
      </c>
      <c r="R538">
        <f>IF(E538=0,"",Player_Analysis!AA538/E538*90)</f>
        <v>6</v>
      </c>
      <c r="S538">
        <f t="array" ref="S538">IFERROR(INDEX('2023_24'!$O:$O,MATCH($A538,'2023_24'!$A:$A,0)),"")</f>
        <v>0.43172588832487307</v>
      </c>
      <c r="T538">
        <f>IFERROR(INDEX('2024_25'!$P:$P,MATCH($A538,'2024_25'!$A:$A,0)),"")</f>
        <v>0.3324742268041237</v>
      </c>
      <c r="U538">
        <f>IFERROR(INDEX('2025_26'!$P:$P,MATCH($A538,'2025_26'!$A:$A,0)),"")</f>
        <v>0.31553049718093285</v>
      </c>
      <c r="V538">
        <f>IFERROR(INDEX('2023_24'!$P:$P,MATCH($A538,'2023_24'!$A:$A,0)),"")</f>
        <v>0.21700507614213196</v>
      </c>
      <c r="W538">
        <f>IFERROR(INDEX('2024_25'!$Q:$Q,MATCH($A538,'2024_25'!$A:$A,0)),"")</f>
        <v>0.22680412371134023</v>
      </c>
      <c r="X538">
        <f>IFERROR(INDEX('2025_26'!$Q:$Q,MATCH($A538,'2025_26'!$A:$A,0)),"")</f>
        <v>0.12547411583803178</v>
      </c>
      <c r="Y538">
        <f>IFERROR(INDEX('2023_24'!$M:$M,MATCH($A538,'2023_24'!$A:$A,0))/INDEX('2023_24'!$G:$G,MATCH($A538,'2023_24'!$A:$A,0))*90,"")</f>
        <v>7.3096446700507611</v>
      </c>
      <c r="Z538">
        <f>IFERROR(INDEX('2024_25'!$M:$M,MATCH($A538,'2024_25'!$A:$A,0))/INDEX('2024_25'!$G:$G,MATCH($A538,'2024_25'!$A:$A,0))*90,"")</f>
        <v>6.7010309278350517</v>
      </c>
      <c r="AA538">
        <f>IFERROR(INDEX('2025_26'!$M:$M,MATCH($A538,'2025_26'!$A:$A,0))/INDEX('2025_26'!$G:$G,MATCH($A538,'2025_26'!$A:$A,0))*90,"")</f>
        <v>4.8898001025115327</v>
      </c>
      <c r="AB538">
        <f>IFERROR(SUMPRODUCT(S538:U538,{0.2,0.3,0.5})/SUMPRODUCT(--(S538:U538&lt;&gt;""),{0.2,0.3,0.5}),"")</f>
        <v>0.34385269429667814</v>
      </c>
      <c r="AC538">
        <f>IFERROR(SUMPRODUCT(V538:X538,{0.2,0.3,0.5})/SUMPRODUCT(--(V538:X538&lt;&gt;""),{0.2,0.3,0.5}),"")</f>
        <v>0.17417931026084438</v>
      </c>
      <c r="AD538">
        <f>IFERROR(SUMPRODUCT(Y538:AA538,{0.2,0.3,0.5})/SUMPRODUCT((Y538:AA538&lt;&gt;"")*{0.2,0.3,0.5}),O538)</f>
        <v>5.917138263616434</v>
      </c>
      <c r="AE538">
        <f t="shared" si="213"/>
        <v>3</v>
      </c>
      <c r="AF538">
        <f t="shared" si="214"/>
        <v>90</v>
      </c>
      <c r="AG538">
        <f t="shared" si="215"/>
        <v>0.1003852694296678</v>
      </c>
      <c r="AH538">
        <f t="shared" si="216"/>
        <v>3.5417931026084433E-2</v>
      </c>
      <c r="AI538" s="2">
        <f t="shared" si="217"/>
        <v>5.6917138263616431</v>
      </c>
      <c r="AJ538">
        <f t="shared" si="218"/>
        <v>0.9</v>
      </c>
      <c r="AK538" t="str">
        <f t="shared" si="219"/>
        <v>NO</v>
      </c>
      <c r="AL538">
        <f t="shared" si="220"/>
        <v>0.1003852694296678</v>
      </c>
      <c r="AM538">
        <f t="shared" si="221"/>
        <v>3.5417931026084433E-2</v>
      </c>
      <c r="AN538">
        <f t="shared" si="222"/>
        <v>0.1003852694296678</v>
      </c>
      <c r="AO538">
        <f t="shared" si="223"/>
        <v>3.5417931026084433E-2</v>
      </c>
      <c r="AP538">
        <f t="array" ref="AP538">AL538*IF($C538="GKP",10,IF($C538="DEF",6,IF($C538="MID",5,4)))</f>
        <v>0.50192634714833906</v>
      </c>
      <c r="AQ538">
        <f t="shared" si="224"/>
        <v>0.10625379307825331</v>
      </c>
      <c r="AR538">
        <f t="shared" si="225"/>
        <v>2</v>
      </c>
      <c r="AS538" s="2">
        <f>IF($H538=0,0,Player_Analysis!$AM538*$H538/90)</f>
        <v>0.33333333333333331</v>
      </c>
      <c r="AT538">
        <f t="shared" si="226"/>
        <v>1</v>
      </c>
      <c r="AU538" s="2">
        <f>0</f>
        <v>0</v>
      </c>
      <c r="AV538" s="2">
        <f>IF(INDEX(FPL_Raw_Data!K:K,MATCH(A538,FPL_Raw_Data!AA:AA,0))=0,"",INDEX(FPL_Raw_Data!P:P,MATCH(A538,FPL_Raw_Data!AA:AA,0))/INDEX(FPL_Raw_Data!K:K,MATCH(A538,FPL_Raw_Data!AA:AA,0))*90)</f>
        <v>0</v>
      </c>
      <c r="AW538" s="2">
        <f t="shared" si="227"/>
        <v>0</v>
      </c>
      <c r="AX538" s="2">
        <f>IFERROR(INDEX(TEAM_ANALYSIS!$H$2:$H$21,MATCH($B538,TEAM_ANALYSIS!$A$2:$A$21,0)),0)</f>
        <v>1.3333333333333333</v>
      </c>
      <c r="AY538" s="2">
        <f t="shared" si="228"/>
        <v>0</v>
      </c>
      <c r="AZ538" s="2">
        <f t="shared" si="229"/>
        <v>3.941513473559926</v>
      </c>
      <c r="BA538">
        <f t="shared" si="230"/>
        <v>0.65691891225998766</v>
      </c>
      <c r="BB538">
        <f>IFERROR(Player_Analysis!$Y538,1)</f>
        <v>1.0060034602076122</v>
      </c>
      <c r="BC538">
        <f t="shared" si="231"/>
        <v>3.9651761928562106</v>
      </c>
      <c r="BD538">
        <f t="shared" si="232"/>
        <v>2.604799231530301</v>
      </c>
      <c r="BE538">
        <f t="shared" si="233"/>
        <v>3.9651761928562106</v>
      </c>
      <c r="BF538">
        <f t="shared" si="234"/>
        <v>155</v>
      </c>
      <c r="BG538">
        <f>IF($BE538="","",COUNTIFS($C$2:$C$596,$C538,$BE$2:$BE$596,"&gt;"&amp;$BE538)+COUNTIFS($C$2:$C538,$C538,$BE$2:$BE538,$BE538))</f>
        <v>78</v>
      </c>
    </row>
    <row r="539" spans="1:59" x14ac:dyDescent="0.25">
      <c r="A539" t="str">
        <f>Player_Analysis!A539</f>
        <v>Anthony Elanga</v>
      </c>
      <c r="B539">
        <f>Player_Analysis!C539</f>
        <v>17</v>
      </c>
      <c r="C539" t="str">
        <f>Player_Analysis!B539</f>
        <v>MID</v>
      </c>
      <c r="D539" s="13">
        <f>Player_Analysis!E539</f>
        <v>6.1</v>
      </c>
      <c r="E539">
        <f>Player_Analysis!I539</f>
        <v>232</v>
      </c>
      <c r="F539" s="8">
        <f>Player_Analysis!Z539</f>
        <v>3</v>
      </c>
      <c r="G539" s="17">
        <f t="shared" si="209"/>
        <v>1</v>
      </c>
      <c r="H539">
        <f t="shared" si="210"/>
        <v>90</v>
      </c>
      <c r="I539" s="8">
        <f>Player_Analysis!AF539</f>
        <v>2</v>
      </c>
      <c r="J539" s="8">
        <f>Player_Analysis!AG539</f>
        <v>0</v>
      </c>
      <c r="K539">
        <f>Player_Analysis!O539</f>
        <v>0.42</v>
      </c>
      <c r="L539">
        <f>Player_Analysis!P539</f>
        <v>0.34</v>
      </c>
      <c r="M539">
        <f t="shared" si="211"/>
        <v>0.16293103448275861</v>
      </c>
      <c r="N539">
        <f t="shared" si="212"/>
        <v>0.13189655172413794</v>
      </c>
      <c r="O539" s="2">
        <f>IF(E539=0,"",Player_Analysis!L539/E539*90)</f>
        <v>6.9827586206896557</v>
      </c>
      <c r="P539">
        <f>IF(E539=0,"",Player_Analysis!Q539/E539*90)</f>
        <v>0.29482758620689659</v>
      </c>
      <c r="Q539">
        <f>IF(E539=0,"",(Player_Analysis!AD539/E539)*90)</f>
        <v>27.543103448275861</v>
      </c>
      <c r="R539">
        <f>IF(E539=0,"",Player_Analysis!AA539/E539*90)</f>
        <v>3.4913793103448278</v>
      </c>
      <c r="S539">
        <f t="array" ref="S539">IFERROR(INDEX('2023_24'!$O:$O,MATCH($A539,'2023_24'!$A:$A,0)),"")</f>
        <v>0.23019801980198021</v>
      </c>
      <c r="T539">
        <f>IFERROR(INDEX('2024_25'!$P:$P,MATCH($A539,'2024_25'!$A:$A,0)),"")</f>
        <v>0.17343749999999999</v>
      </c>
      <c r="U539">
        <f>IFERROR(INDEX('2025_26'!$P:$P,MATCH($A539,'2025_26'!$A:$A,0)),"")</f>
        <v>0.1140552995391705</v>
      </c>
      <c r="V539">
        <f>IFERROR(INDEX('2023_24'!$P:$P,MATCH($A539,'2023_24'!$A:$A,0)),"")</f>
        <v>0.15000000000000002</v>
      </c>
      <c r="W539">
        <f>IFERROR(INDEX('2024_25'!$Q:$Q,MATCH($A539,'2024_25'!$A:$A,0)),"")</f>
        <v>0.18461538461538463</v>
      </c>
      <c r="X539">
        <f>IFERROR(INDEX('2025_26'!$Q:$Q,MATCH($A539,'2025_26'!$A:$A,0)),"")</f>
        <v>0.12027649769585254</v>
      </c>
      <c r="Y539">
        <f>IFERROR(INDEX('2023_24'!$M:$M,MATCH($A539,'2023_24'!$A:$A,0))/INDEX('2023_24'!$G:$G,MATCH($A539,'2023_24'!$A:$A,0))*90,"")</f>
        <v>4.4183168316831685</v>
      </c>
      <c r="Z539">
        <f>IFERROR(INDEX('2024_25'!$M:$M,MATCH($A539,'2024_25'!$A:$A,0))/INDEX('2024_25'!$G:$G,MATCH($A539,'2024_25'!$A:$A,0))*90,"")</f>
        <v>5.5168269230769225</v>
      </c>
      <c r="AA539">
        <f>IFERROR(INDEX('2025_26'!$M:$M,MATCH($A539,'2025_26'!$A:$A,0))/INDEX('2025_26'!$G:$G,MATCH($A539,'2025_26'!$A:$A,0))*90,"")</f>
        <v>3.3179723502304146</v>
      </c>
      <c r="AB539">
        <f>IFERROR(SUMPRODUCT(S539:U539,{0.2,0.3,0.5})/SUMPRODUCT(--(S539:U539&lt;&gt;""),{0.2,0.3,0.5}),"")</f>
        <v>0.1550985037299813</v>
      </c>
      <c r="AC539">
        <f>IFERROR(SUMPRODUCT(V539:X539,{0.2,0.3,0.5})/SUMPRODUCT(--(V539:X539&lt;&gt;""),{0.2,0.3,0.5}),"")</f>
        <v>0.14552286423254165</v>
      </c>
      <c r="AD539">
        <f>IFERROR(SUMPRODUCT(Y539:AA539,{0.2,0.3,0.5})/SUMPRODUCT((Y539:AA539&lt;&gt;"")*{0.2,0.3,0.5}),O539)</f>
        <v>4.1976976183749173</v>
      </c>
      <c r="AE539">
        <f t="shared" si="213"/>
        <v>3</v>
      </c>
      <c r="AF539">
        <f t="shared" si="214"/>
        <v>77.333333333333329</v>
      </c>
      <c r="AG539">
        <f t="shared" si="215"/>
        <v>0.16115566084546243</v>
      </c>
      <c r="AH539">
        <f t="shared" si="216"/>
        <v>0.13498518255937611</v>
      </c>
      <c r="AI539" s="2">
        <f t="shared" si="217"/>
        <v>6.3514781268316485</v>
      </c>
      <c r="AJ539">
        <f t="shared" si="218"/>
        <v>0.77333333333333332</v>
      </c>
      <c r="AK539" t="str">
        <f t="shared" si="219"/>
        <v>NO</v>
      </c>
      <c r="AL539">
        <f t="shared" si="220"/>
        <v>0.16115566084546243</v>
      </c>
      <c r="AM539">
        <f t="shared" si="221"/>
        <v>0.13498518255937611</v>
      </c>
      <c r="AN539">
        <f t="shared" si="222"/>
        <v>0.16115566084546243</v>
      </c>
      <c r="AO539">
        <f t="shared" si="223"/>
        <v>0.13498518255937611</v>
      </c>
      <c r="AP539">
        <f t="array" ref="AP539">AL539*IF($C539="GKP",10,IF($C539="DEF",6,IF($C539="MID",5,4)))</f>
        <v>0.80577830422731211</v>
      </c>
      <c r="AQ539">
        <f t="shared" si="224"/>
        <v>0.40495554767812836</v>
      </c>
      <c r="AR539">
        <f t="shared" si="225"/>
        <v>2</v>
      </c>
      <c r="AS539" s="2">
        <f>IF($H539=0,0,Player_Analysis!$AM539*$H539/90)</f>
        <v>0.33333333333333331</v>
      </c>
      <c r="AT539">
        <f t="shared" si="226"/>
        <v>0.58189655172413801</v>
      </c>
      <c r="AU539" s="2">
        <f>0</f>
        <v>0</v>
      </c>
      <c r="AV539" s="2">
        <f>IF(INDEX(FPL_Raw_Data!K:K,MATCH(A539,FPL_Raw_Data!AA:AA,0))=0,"",INDEX(FPL_Raw_Data!P:P,MATCH(A539,FPL_Raw_Data!AA:AA,0))/INDEX(FPL_Raw_Data!K:K,MATCH(A539,FPL_Raw_Data!AA:AA,0))*90)</f>
        <v>0</v>
      </c>
      <c r="AW539" s="2">
        <f t="shared" si="227"/>
        <v>0</v>
      </c>
      <c r="AX539" s="2">
        <f>IFERROR(INDEX(TEAM_ANALYSIS!$H$2:$H$21,MATCH($B539,TEAM_ANALYSIS!$A$2:$A$21,0)),0)</f>
        <v>1.3333333333333333</v>
      </c>
      <c r="AY539" s="2">
        <f t="shared" si="228"/>
        <v>0</v>
      </c>
      <c r="AZ539" s="2">
        <f t="shared" si="229"/>
        <v>4.1259637369629125</v>
      </c>
      <c r="BA539">
        <f t="shared" si="230"/>
        <v>0.67638749786277264</v>
      </c>
      <c r="BB539">
        <f>IFERROR(Player_Analysis!$Y539,1)</f>
        <v>1.0060034602076122</v>
      </c>
      <c r="BC539">
        <f t="shared" si="231"/>
        <v>4.1507337960758202</v>
      </c>
      <c r="BD539">
        <f t="shared" si="232"/>
        <v>2.8075044466221719</v>
      </c>
      <c r="BE539">
        <f t="shared" si="233"/>
        <v>4.1507337960758202</v>
      </c>
      <c r="BF539">
        <f t="shared" si="234"/>
        <v>147</v>
      </c>
      <c r="BG539">
        <f>IF($BE539="","",COUNTIFS($C$2:$C$596,$C539,$BE$2:$BE$596,"&gt;"&amp;$BE539)+COUNTIFS($C$2:$C539,$C539,$BE$2:$BE539,$BE539))</f>
        <v>72</v>
      </c>
    </row>
    <row r="540" spans="1:59" x14ac:dyDescent="0.25">
      <c r="A540" t="str">
        <f>Player_Analysis!A540</f>
        <v>Jacob Ramsey</v>
      </c>
      <c r="B540">
        <f>Player_Analysis!C540</f>
        <v>17</v>
      </c>
      <c r="C540" t="str">
        <f>Player_Analysis!B540</f>
        <v>MID</v>
      </c>
      <c r="D540" s="13">
        <f>Player_Analysis!E540</f>
        <v>4.9000000000000004</v>
      </c>
      <c r="E540">
        <f>Player_Analysis!I540</f>
        <v>69</v>
      </c>
      <c r="F540" s="8">
        <f>Player_Analysis!Z540</f>
        <v>0</v>
      </c>
      <c r="G540" s="17">
        <f t="shared" si="209"/>
        <v>0</v>
      </c>
      <c r="H540">
        <f t="shared" si="210"/>
        <v>0</v>
      </c>
      <c r="I540" s="8">
        <f>Player_Analysis!AF540</f>
        <v>1</v>
      </c>
      <c r="J540" s="8">
        <f>Player_Analysis!AG540</f>
        <v>0</v>
      </c>
      <c r="K540">
        <f>Player_Analysis!O540</f>
        <v>0.17</v>
      </c>
      <c r="L540">
        <f>Player_Analysis!P540</f>
        <v>0.16</v>
      </c>
      <c r="M540">
        <f t="shared" si="211"/>
        <v>0.22173913043478263</v>
      </c>
      <c r="N540">
        <f t="shared" si="212"/>
        <v>0.20869565217391303</v>
      </c>
      <c r="O540" s="2">
        <f>IF(E540=0,"",Player_Analysis!L540/E540*90)</f>
        <v>9.1304347826086953</v>
      </c>
      <c r="P540">
        <f>IF(E540=0,"",Player_Analysis!Q540/E540*90)</f>
        <v>0.43043478260869561</v>
      </c>
      <c r="Q540">
        <f>IF(E540=0,"",(Player_Analysis!AD540/E540)*90)</f>
        <v>33.913043478260867</v>
      </c>
      <c r="R540">
        <f>IF(E540=0,"",Player_Analysis!AA540/E540*90)</f>
        <v>14.34782608695652</v>
      </c>
      <c r="S540">
        <f t="array" ref="S540">IFERROR(INDEX('2023_24'!$O:$O,MATCH($A540,'2023_24'!$A:$A,0)),"")</f>
        <v>0.22181603773584904</v>
      </c>
      <c r="T540">
        <f>IFERROR(INDEX('2024_25'!$P:$P,MATCH($A540,'2024_25'!$A:$A,0)),"")</f>
        <v>8.8551980198019797E-2</v>
      </c>
      <c r="U540">
        <f>IFERROR(INDEX('2025_26'!$P:$P,MATCH($A540,'2025_26'!$A:$A,0)),"")</f>
        <v>7.4947952810548238E-2</v>
      </c>
      <c r="V540">
        <f>IFERROR(INDEX('2023_24'!$P:$P,MATCH($A540,'2023_24'!$A:$A,0)),"")</f>
        <v>0.14646226415094338</v>
      </c>
      <c r="W540">
        <f>IFERROR(INDEX('2024_25'!$Q:$Q,MATCH($A540,'2024_25'!$A:$A,0)),"")</f>
        <v>0.12141089108910892</v>
      </c>
      <c r="X540">
        <f>IFERROR(INDEX('2025_26'!$Q:$Q,MATCH($A540,'2025_26'!$A:$A,0)),"")</f>
        <v>9.0562109646079109E-2</v>
      </c>
      <c r="Y540">
        <f>IFERROR(INDEX('2023_24'!$M:$M,MATCH($A540,'2023_24'!$A:$A,0))/INDEX('2023_24'!$G:$G,MATCH($A540,'2023_24'!$A:$A,0))*90,"")</f>
        <v>3.0778301886792452</v>
      </c>
      <c r="Z540">
        <f>IFERROR(INDEX('2024_25'!$M:$M,MATCH($A540,'2024_25'!$A:$A,0))/INDEX('2024_25'!$G:$G,MATCH($A540,'2024_25'!$A:$A,0))*90,"")</f>
        <v>3.6757425742574257</v>
      </c>
      <c r="AA540">
        <f>IFERROR(INDEX('2025_26'!$M:$M,MATCH($A540,'2025_26'!$A:$A,0))/INDEX('2025_26'!$G:$G,MATCH($A540,'2025_26'!$A:$A,0))*90,"")</f>
        <v>3.8723108952116583</v>
      </c>
      <c r="AB540">
        <f>IFERROR(SUMPRODUCT(S540:U540,{0.2,0.3,0.5})/SUMPRODUCT(--(S540:U540&lt;&gt;""),{0.2,0.3,0.5}),"")</f>
        <v>0.10840277801184986</v>
      </c>
      <c r="AC540">
        <f>IFERROR(SUMPRODUCT(V540:X540,{0.2,0.3,0.5})/SUMPRODUCT(--(V540:X540&lt;&gt;""),{0.2,0.3,0.5}),"")</f>
        <v>0.11099677497996091</v>
      </c>
      <c r="AD540">
        <f>IFERROR(SUMPRODUCT(Y540:AA540,{0.2,0.3,0.5})/SUMPRODUCT((Y540:AA540&lt;&gt;"")*{0.2,0.3,0.5}),O540)</f>
        <v>3.654444257618906</v>
      </c>
      <c r="AE540">
        <f t="shared" si="213"/>
        <v>3</v>
      </c>
      <c r="AF540" t="str">
        <f t="shared" si="214"/>
        <v/>
      </c>
      <c r="AG540">
        <f t="shared" si="215"/>
        <v>0.13447013906912442</v>
      </c>
      <c r="AH540">
        <f t="shared" si="216"/>
        <v>0.13346751673456991</v>
      </c>
      <c r="AI540" s="2">
        <f t="shared" si="217"/>
        <v>4.9139220783665571</v>
      </c>
      <c r="AJ540">
        <f t="shared" si="218"/>
        <v>0.23</v>
      </c>
      <c r="AK540" t="str">
        <f t="shared" si="219"/>
        <v>NO</v>
      </c>
      <c r="AL540">
        <f t="shared" si="220"/>
        <v>0</v>
      </c>
      <c r="AM540">
        <f t="shared" si="221"/>
        <v>0</v>
      </c>
      <c r="AN540">
        <f t="shared" si="222"/>
        <v>0</v>
      </c>
      <c r="AO540">
        <f t="shared" si="223"/>
        <v>0</v>
      </c>
      <c r="AP540">
        <f t="array" ref="AP540">AL540*IF($C540="GKP",10,IF($C540="DEF",6,IF($C540="MID",5,4)))</f>
        <v>0</v>
      </c>
      <c r="AQ540">
        <f t="shared" si="224"/>
        <v>0</v>
      </c>
      <c r="AR540">
        <f t="shared" si="225"/>
        <v>0</v>
      </c>
      <c r="AS540" s="2">
        <f>IF($H540=0,0,Player_Analysis!$AM540*$H540/90)</f>
        <v>0</v>
      </c>
      <c r="AT540">
        <f t="shared" si="226"/>
        <v>0</v>
      </c>
      <c r="AU540" s="2">
        <f>0</f>
        <v>0</v>
      </c>
      <c r="AV540" s="2">
        <f>IF(INDEX(FPL_Raw_Data!K:K,MATCH(A540,FPL_Raw_Data!AA:AA,0))=0,"",INDEX(FPL_Raw_Data!P:P,MATCH(A540,FPL_Raw_Data!AA:AA,0))/INDEX(FPL_Raw_Data!K:K,MATCH(A540,FPL_Raw_Data!AA:AA,0))*90)</f>
        <v>0</v>
      </c>
      <c r="AW540" s="2">
        <f t="shared" si="227"/>
        <v>0</v>
      </c>
      <c r="AX540" s="2">
        <f>IFERROR(INDEX(TEAM_ANALYSIS!$H$2:$H$21,MATCH($B540,TEAM_ANALYSIS!$A$2:$A$21,0)),0)</f>
        <v>1.3333333333333333</v>
      </c>
      <c r="AY540" s="2">
        <f t="shared" si="228"/>
        <v>0</v>
      </c>
      <c r="AZ540" s="2">
        <f t="shared" si="229"/>
        <v>0</v>
      </c>
      <c r="BA540">
        <f t="shared" si="230"/>
        <v>0</v>
      </c>
      <c r="BB540">
        <f>IFERROR(Player_Analysis!$Y540,1)</f>
        <v>1.0060034602076122</v>
      </c>
      <c r="BC540">
        <f t="shared" si="231"/>
        <v>0</v>
      </c>
      <c r="BD540">
        <f t="shared" si="232"/>
        <v>0</v>
      </c>
      <c r="BE540">
        <f t="shared" si="233"/>
        <v>0</v>
      </c>
      <c r="BF540">
        <f t="shared" si="234"/>
        <v>253</v>
      </c>
      <c r="BG540">
        <f>IF($BE540="","",COUNTIFS($C$2:$C$596,$C540,$BE$2:$BE$596,"&gt;"&amp;$BE540)+COUNTIFS($C$2:$C540,$C540,$BE$2:$BE540,$BE540))</f>
        <v>254</v>
      </c>
    </row>
    <row r="541" spans="1:59" x14ac:dyDescent="0.25">
      <c r="A541" t="str">
        <f>Player_Analysis!A541</f>
        <v>Jacob Murphy</v>
      </c>
      <c r="B541">
        <f>Player_Analysis!C541</f>
        <v>17</v>
      </c>
      <c r="C541" t="str">
        <f>Player_Analysis!B541</f>
        <v>MID</v>
      </c>
      <c r="D541" s="13">
        <f>Player_Analysis!E541</f>
        <v>5.9</v>
      </c>
      <c r="E541">
        <f>Player_Analysis!I541</f>
        <v>35</v>
      </c>
      <c r="F541" s="8">
        <f>Player_Analysis!Z541</f>
        <v>0</v>
      </c>
      <c r="G541" s="17">
        <f t="shared" si="209"/>
        <v>0</v>
      </c>
      <c r="H541">
        <f t="shared" si="210"/>
        <v>0</v>
      </c>
      <c r="I541" s="8">
        <f>Player_Analysis!AF541</f>
        <v>0</v>
      </c>
      <c r="J541" s="8">
        <f>Player_Analysis!AG541</f>
        <v>0</v>
      </c>
      <c r="K541">
        <f>Player_Analysis!O541</f>
        <v>0</v>
      </c>
      <c r="L541">
        <f>Player_Analysis!P541</f>
        <v>0.2</v>
      </c>
      <c r="M541">
        <f t="shared" si="211"/>
        <v>0</v>
      </c>
      <c r="N541">
        <f t="shared" si="212"/>
        <v>0.51428571428571423</v>
      </c>
      <c r="O541" s="2">
        <f>IF(E541=0,"",Player_Analysis!L541/E541*90)</f>
        <v>5.1428571428571423</v>
      </c>
      <c r="P541">
        <f>IF(E541=0,"",Player_Analysis!Q541/E541*90)</f>
        <v>0.51428571428571423</v>
      </c>
      <c r="Q541">
        <f>IF(E541=0,"",(Player_Analysis!AD541/E541)*90)</f>
        <v>18</v>
      </c>
      <c r="R541">
        <f>IF(E541=0,"",Player_Analysis!AA541/E541*90)</f>
        <v>15.428571428571429</v>
      </c>
      <c r="S541">
        <f t="array" ref="S541">IFERROR(INDEX('2023_24'!$O:$O,MATCH($A541,'2023_24'!$A:$A,0)),"")</f>
        <v>0.16951013513513513</v>
      </c>
      <c r="T541">
        <f>IFERROR(INDEX('2024_25'!$P:$P,MATCH($A541,'2024_25'!$A:$A,0)),"")</f>
        <v>0.22500000000000001</v>
      </c>
      <c r="U541">
        <f>IFERROR(INDEX('2025_26'!$P:$P,MATCH($A541,'2025_26'!$A:$A,0)),"")</f>
        <v>0.17204234122042339</v>
      </c>
      <c r="V541">
        <f>IFERROR(INDEX('2023_24'!$P:$P,MATCH($A541,'2023_24'!$A:$A,0)),"")</f>
        <v>0.25464527027027029</v>
      </c>
      <c r="W541">
        <f>IFERROR(INDEX('2024_25'!$Q:$Q,MATCH($A541,'2024_25'!$A:$A,0)),"")</f>
        <v>0.23455008488964343</v>
      </c>
      <c r="X541">
        <f>IFERROR(INDEX('2025_26'!$Q:$Q,MATCH($A541,'2025_26'!$A:$A,0)),"")</f>
        <v>0.14906600249066004</v>
      </c>
      <c r="Y541">
        <f>IFERROR(INDEX('2023_24'!$M:$M,MATCH($A541,'2023_24'!$A:$A,0))/INDEX('2023_24'!$G:$G,MATCH($A541,'2023_24'!$A:$A,0))*90,"")</f>
        <v>6.2331081081081079</v>
      </c>
      <c r="Z541">
        <f>IFERROR(INDEX('2024_25'!$M:$M,MATCH($A541,'2024_25'!$A:$A,0))/INDEX('2024_25'!$G:$G,MATCH($A541,'2024_25'!$A:$A,0))*90,"")</f>
        <v>6.0738539898132426</v>
      </c>
      <c r="AA541">
        <f>IFERROR(INDEX('2025_26'!$M:$M,MATCH($A541,'2025_26'!$A:$A,0))/INDEX('2025_26'!$G:$G,MATCH($A541,'2025_26'!$A:$A,0))*90,"")</f>
        <v>4.5952677459526781</v>
      </c>
      <c r="AB541">
        <f>IFERROR(SUMPRODUCT(S541:U541,{0.2,0.3,0.5})/SUMPRODUCT(--(S541:U541&lt;&gt;""),{0.2,0.3,0.5}),"")</f>
        <v>0.18742319763723872</v>
      </c>
      <c r="AC541">
        <f>IFERROR(SUMPRODUCT(V541:X541,{0.2,0.3,0.5})/SUMPRODUCT(--(V541:X541&lt;&gt;""),{0.2,0.3,0.5}),"")</f>
        <v>0.19582708076627711</v>
      </c>
      <c r="AD541">
        <f>IFERROR(SUMPRODUCT(Y541:AA541,{0.2,0.3,0.5})/SUMPRODUCT((Y541:AA541&lt;&gt;"")*{0.2,0.3,0.5}),O541)</f>
        <v>5.3664116915419342</v>
      </c>
      <c r="AE541">
        <f t="shared" si="213"/>
        <v>3</v>
      </c>
      <c r="AF541" t="str">
        <f t="shared" si="214"/>
        <v/>
      </c>
      <c r="AG541">
        <f t="shared" si="215"/>
        <v>0.16555715791289419</v>
      </c>
      <c r="AH541">
        <f t="shared" si="216"/>
        <v>0.23298058801021143</v>
      </c>
      <c r="AI541" s="2">
        <f t="shared" si="217"/>
        <v>5.340330327528708</v>
      </c>
      <c r="AJ541">
        <f t="shared" si="218"/>
        <v>0.11666666666666667</v>
      </c>
      <c r="AK541" t="str">
        <f t="shared" si="219"/>
        <v>NO</v>
      </c>
      <c r="AL541">
        <f t="shared" si="220"/>
        <v>0</v>
      </c>
      <c r="AM541">
        <f t="shared" si="221"/>
        <v>0</v>
      </c>
      <c r="AN541">
        <f t="shared" si="222"/>
        <v>0</v>
      </c>
      <c r="AO541">
        <f t="shared" si="223"/>
        <v>0</v>
      </c>
      <c r="AP541">
        <f t="array" ref="AP541">AL541*IF($C541="GKP",10,IF($C541="DEF",6,IF($C541="MID",5,4)))</f>
        <v>0</v>
      </c>
      <c r="AQ541">
        <f t="shared" si="224"/>
        <v>0</v>
      </c>
      <c r="AR541">
        <f t="shared" si="225"/>
        <v>0</v>
      </c>
      <c r="AS541" s="2">
        <f>IF($H541=0,0,Player_Analysis!$AM541*$H541/90)</f>
        <v>0</v>
      </c>
      <c r="AT541">
        <f t="shared" si="226"/>
        <v>0</v>
      </c>
      <c r="AU541" s="2">
        <f>0</f>
        <v>0</v>
      </c>
      <c r="AV541" s="2">
        <f>IF(INDEX(FPL_Raw_Data!K:K,MATCH(A541,FPL_Raw_Data!AA:AA,0))=0,"",INDEX(FPL_Raw_Data!P:P,MATCH(A541,FPL_Raw_Data!AA:AA,0))/INDEX(FPL_Raw_Data!K:K,MATCH(A541,FPL_Raw_Data!AA:AA,0))*90)</f>
        <v>0</v>
      </c>
      <c r="AW541" s="2">
        <f t="shared" si="227"/>
        <v>0</v>
      </c>
      <c r="AX541" s="2">
        <f>IFERROR(INDEX(TEAM_ANALYSIS!$H$2:$H$21,MATCH($B541,TEAM_ANALYSIS!$A$2:$A$21,0)),0)</f>
        <v>1.3333333333333333</v>
      </c>
      <c r="AY541" s="2">
        <f t="shared" si="228"/>
        <v>0</v>
      </c>
      <c r="AZ541" s="2">
        <f t="shared" si="229"/>
        <v>0</v>
      </c>
      <c r="BA541">
        <f t="shared" si="230"/>
        <v>0</v>
      </c>
      <c r="BB541">
        <f>IFERROR(Player_Analysis!$Y541,1)</f>
        <v>1.0060034602076122</v>
      </c>
      <c r="BC541">
        <f t="shared" si="231"/>
        <v>0</v>
      </c>
      <c r="BD541">
        <f t="shared" si="232"/>
        <v>0</v>
      </c>
      <c r="BE541">
        <f t="shared" si="233"/>
        <v>0</v>
      </c>
      <c r="BF541">
        <f t="shared" si="234"/>
        <v>253</v>
      </c>
      <c r="BG541">
        <f>IF($BE541="","",COUNTIFS($C$2:$C$596,$C541,$BE$2:$BE$596,"&gt;"&amp;$BE541)+COUNTIFS($C$2:$C541,$C541,$BE$2:$BE541,$BE541))</f>
        <v>255</v>
      </c>
    </row>
    <row r="542" spans="1:59" x14ac:dyDescent="0.25">
      <c r="A542" t="str">
        <f>Player_Analysis!A542</f>
        <v>Joelinton Cássio Apolinário de Lira</v>
      </c>
      <c r="B542">
        <f>Player_Analysis!C542</f>
        <v>17</v>
      </c>
      <c r="C542" t="str">
        <f>Player_Analysis!B542</f>
        <v>MID</v>
      </c>
      <c r="D542" s="13">
        <f>Player_Analysis!E542</f>
        <v>5.4</v>
      </c>
      <c r="E542">
        <f>Player_Analysis!I542</f>
        <v>0</v>
      </c>
      <c r="F542" s="8">
        <f>Player_Analysis!Z542</f>
        <v>0</v>
      </c>
      <c r="G542" s="17">
        <f t="shared" si="209"/>
        <v>0</v>
      </c>
      <c r="H542">
        <f t="shared" si="210"/>
        <v>0</v>
      </c>
      <c r="I542" s="8">
        <f>Player_Analysis!AF542</f>
        <v>0</v>
      </c>
      <c r="J542" s="8">
        <f>Player_Analysis!AG542</f>
        <v>0</v>
      </c>
      <c r="K542">
        <f>Player_Analysis!O542</f>
        <v>0</v>
      </c>
      <c r="L542">
        <f>Player_Analysis!P542</f>
        <v>0</v>
      </c>
      <c r="M542" t="str">
        <f t="shared" si="211"/>
        <v/>
      </c>
      <c r="N542" t="str">
        <f t="shared" si="212"/>
        <v/>
      </c>
      <c r="O542" s="2" t="str">
        <f>IF(E542=0,"",Player_Analysis!L542/E542*90)</f>
        <v/>
      </c>
      <c r="P542" t="str">
        <f>IF(E542=0,"",Player_Analysis!Q542/E542*90)</f>
        <v/>
      </c>
      <c r="Q542" t="str">
        <f>IF(E542=0,"",(Player_Analysis!AD542/E542)*90)</f>
        <v/>
      </c>
      <c r="R542" t="str">
        <f>IF(E542=0,"",Player_Analysis!AA542/E542*90)</f>
        <v/>
      </c>
      <c r="S542">
        <f t="array" ref="S542">IFERROR(INDEX('2023_24'!$O:$O,MATCH($A542,'2023_24'!$A:$A,0)),"")</f>
        <v>0.19890282131661441</v>
      </c>
      <c r="T542">
        <f>IFERROR(INDEX('2024_25'!$P:$P,MATCH($A542,'2024_25'!$A:$A,0)),"")</f>
        <v>0.14060150375939851</v>
      </c>
      <c r="U542">
        <f>IFERROR(INDEX('2025_26'!$P:$P,MATCH($A542,'2025_26'!$A:$A,0)),"")</f>
        <v>0.10892307692307693</v>
      </c>
      <c r="V542">
        <f>IFERROR(INDEX('2023_24'!$P:$P,MATCH($A542,'2023_24'!$A:$A,0)),"")</f>
        <v>7.6880877742946718E-2</v>
      </c>
      <c r="W542">
        <f>IFERROR(INDEX('2024_25'!$Q:$Q,MATCH($A542,'2024_25'!$A:$A,0)),"")</f>
        <v>8.1578947368421043E-2</v>
      </c>
      <c r="X542">
        <f>IFERROR(INDEX('2025_26'!$Q:$Q,MATCH($A542,'2025_26'!$A:$A,0)),"")</f>
        <v>6.2307692307692314E-2</v>
      </c>
      <c r="Y542">
        <f>IFERROR(INDEX('2023_24'!$M:$M,MATCH($A542,'2023_24'!$A:$A,0))/INDEX('2023_24'!$G:$G,MATCH($A542,'2023_24'!$A:$A,0))*90,"")</f>
        <v>3.1739811912225702</v>
      </c>
      <c r="Z542">
        <f>IFERROR(INDEX('2024_25'!$M:$M,MATCH($A542,'2024_25'!$A:$A,0))/INDEX('2024_25'!$G:$G,MATCH($A542,'2024_25'!$A:$A,0))*90,"")</f>
        <v>3.7218045112781954</v>
      </c>
      <c r="AA542">
        <f>IFERROR(INDEX('2025_26'!$M:$M,MATCH($A542,'2025_26'!$A:$A,0))/INDEX('2025_26'!$G:$G,MATCH($A542,'2025_26'!$A:$A,0))*90,"")</f>
        <v>3.3692307692307697</v>
      </c>
      <c r="AB542">
        <f>IFERROR(SUMPRODUCT(S542:U542,{0.2,0.3,0.5})/SUMPRODUCT(--(S542:U542&lt;&gt;""),{0.2,0.3,0.5}),"")</f>
        <v>0.13642255385268087</v>
      </c>
      <c r="AC542">
        <f>IFERROR(SUMPRODUCT(V542:X542,{0.2,0.3,0.5})/SUMPRODUCT(--(V542:X542&lt;&gt;""),{0.2,0.3,0.5}),"")</f>
        <v>7.1003705912961818E-2</v>
      </c>
      <c r="AD542">
        <f>IFERROR(SUMPRODUCT(Y542:AA542,{0.2,0.3,0.5})/SUMPRODUCT((Y542:AA542&lt;&gt;"")*{0.2,0.3,0.5}),O542)</f>
        <v>3.4359529762433576</v>
      </c>
      <c r="AE542">
        <f t="shared" si="213"/>
        <v>3</v>
      </c>
      <c r="AF542" t="str">
        <f t="shared" si="214"/>
        <v/>
      </c>
      <c r="AG542">
        <f t="shared" si="215"/>
        <v>0.13642255385268087</v>
      </c>
      <c r="AH542">
        <f t="shared" si="216"/>
        <v>7.1003705912961818E-2</v>
      </c>
      <c r="AI542" s="2">
        <f t="shared" si="217"/>
        <v>3.4359529762433576</v>
      </c>
      <c r="AJ542">
        <f t="shared" si="218"/>
        <v>0</v>
      </c>
      <c r="AK542" t="str">
        <f t="shared" si="219"/>
        <v>NO</v>
      </c>
      <c r="AL542">
        <f t="shared" si="220"/>
        <v>0</v>
      </c>
      <c r="AM542">
        <f t="shared" si="221"/>
        <v>0</v>
      </c>
      <c r="AN542">
        <f t="shared" si="222"/>
        <v>0</v>
      </c>
      <c r="AO542">
        <f t="shared" si="223"/>
        <v>0</v>
      </c>
      <c r="AP542">
        <f t="array" ref="AP542">AL542*IF($C542="GKP",10,IF($C542="DEF",6,IF($C542="MID",5,4)))</f>
        <v>0</v>
      </c>
      <c r="AQ542">
        <f t="shared" si="224"/>
        <v>0</v>
      </c>
      <c r="AR542">
        <f t="shared" si="225"/>
        <v>0</v>
      </c>
      <c r="AS542" s="2">
        <f>IF($H542=0,0,Player_Analysis!$AM542*$H542/90)</f>
        <v>0</v>
      </c>
      <c r="AT542">
        <f t="shared" si="226"/>
        <v>0</v>
      </c>
      <c r="AU542" s="2">
        <f>0</f>
        <v>0</v>
      </c>
      <c r="AV542" s="2" t="str">
        <f>IF(INDEX(FPL_Raw_Data!K:K,MATCH(A542,FPL_Raw_Data!AA:AA,0))=0,"",INDEX(FPL_Raw_Data!P:P,MATCH(A542,FPL_Raw_Data!AA:AA,0))/INDEX(FPL_Raw_Data!K:K,MATCH(A542,FPL_Raw_Data!AA:AA,0))*90)</f>
        <v/>
      </c>
      <c r="AW542" s="2">
        <f t="shared" si="227"/>
        <v>0</v>
      </c>
      <c r="AX542" s="2">
        <f>IFERROR(INDEX(TEAM_ANALYSIS!$H$2:$H$21,MATCH($B542,TEAM_ANALYSIS!$A$2:$A$21,0)),0)</f>
        <v>1.3333333333333333</v>
      </c>
      <c r="AY542" s="2">
        <f t="shared" si="228"/>
        <v>0</v>
      </c>
      <c r="AZ542" s="2">
        <f t="shared" si="229"/>
        <v>0</v>
      </c>
      <c r="BA542">
        <f t="shared" si="230"/>
        <v>0</v>
      </c>
      <c r="BB542">
        <f>IFERROR(Player_Analysis!$Y542,1)</f>
        <v>1.0060034602076122</v>
      </c>
      <c r="BC542">
        <f t="shared" si="231"/>
        <v>0</v>
      </c>
      <c r="BD542">
        <f t="shared" si="232"/>
        <v>0</v>
      </c>
      <c r="BE542">
        <f t="shared" si="233"/>
        <v>0</v>
      </c>
      <c r="BF542">
        <f t="shared" si="234"/>
        <v>253</v>
      </c>
      <c r="BG542">
        <f>IF($BE542="","",COUNTIFS($C$2:$C$596,$C542,$BE$2:$BE$596,"&gt;"&amp;$BE542)+COUNTIFS($C$2:$C542,$C542,$BE$2:$BE542,$BE542))</f>
        <v>256</v>
      </c>
    </row>
    <row r="543" spans="1:59" x14ac:dyDescent="0.25">
      <c r="A543" t="str">
        <f>Player_Analysis!A543</f>
        <v>Lewis Miley</v>
      </c>
      <c r="B543">
        <f>Player_Analysis!C543</f>
        <v>17</v>
      </c>
      <c r="C543" t="str">
        <f>Player_Analysis!B543</f>
        <v>MID</v>
      </c>
      <c r="D543" s="13">
        <f>Player_Analysis!E543</f>
        <v>5.5</v>
      </c>
      <c r="E543">
        <f>Player_Analysis!I543</f>
        <v>227</v>
      </c>
      <c r="F543" s="8">
        <f>Player_Analysis!Z543</f>
        <v>3</v>
      </c>
      <c r="G543" s="17">
        <f t="shared" si="209"/>
        <v>1</v>
      </c>
      <c r="H543">
        <f t="shared" si="210"/>
        <v>90</v>
      </c>
      <c r="I543" s="8">
        <f>Player_Analysis!AF543</f>
        <v>0</v>
      </c>
      <c r="J543" s="8">
        <f>Player_Analysis!AG543</f>
        <v>0</v>
      </c>
      <c r="K543">
        <f>Player_Analysis!O543</f>
        <v>0.05</v>
      </c>
      <c r="L543">
        <f>Player_Analysis!P543</f>
        <v>7.0000000000000007E-2</v>
      </c>
      <c r="M543">
        <f t="shared" si="211"/>
        <v>1.9823788546255508E-2</v>
      </c>
      <c r="N543">
        <f t="shared" si="212"/>
        <v>2.7753303964757711E-2</v>
      </c>
      <c r="O543" s="2">
        <f>IF(E543=0,"",Player_Analysis!L543/E543*90)</f>
        <v>3.1718061674008813</v>
      </c>
      <c r="P543">
        <f>IF(E543=0,"",Player_Analysis!Q543/E543*90)</f>
        <v>4.7577092511013212E-2</v>
      </c>
      <c r="Q543">
        <f>IF(E543=0,"",(Player_Analysis!AD543/E543)*90)</f>
        <v>15.859030837004406</v>
      </c>
      <c r="R543">
        <f>IF(E543=0,"",Player_Analysis!AA543/E543*90)</f>
        <v>10.308370044052865</v>
      </c>
      <c r="S543">
        <f t="array" ref="S543">IFERROR(INDEX('2023_24'!$O:$O,MATCH($A543,'2023_24'!$A:$A,0)),"")</f>
        <v>9.1271820448877813E-2</v>
      </c>
      <c r="T543">
        <f>IFERROR(INDEX('2024_25'!$P:$P,MATCH($A543,'2024_25'!$A:$A,0)),"")</f>
        <v>0.16874999999999998</v>
      </c>
      <c r="U543">
        <f>IFERROR(INDEX('2025_26'!$P:$P,MATCH($A543,'2025_26'!$A:$A,0)),"")</f>
        <v>8.1982585398526459E-2</v>
      </c>
      <c r="V543">
        <f>IFERROR(INDEX('2023_24'!$P:$P,MATCH($A543,'2023_24'!$A:$A,0)),"")</f>
        <v>8.0798004987531175E-2</v>
      </c>
      <c r="W543">
        <f>IFERROR(INDEX('2024_25'!$Q:$Q,MATCH($A543,'2024_25'!$A:$A,0)),"")</f>
        <v>8.8815789473684209E-2</v>
      </c>
      <c r="X543">
        <f>IFERROR(INDEX('2025_26'!$Q:$Q,MATCH($A543,'2025_26'!$A:$A,0)),"")</f>
        <v>0.12659075686537175</v>
      </c>
      <c r="Y543">
        <f>IFERROR(INDEX('2023_24'!$M:$M,MATCH($A543,'2023_24'!$A:$A,0))/INDEX('2023_24'!$G:$G,MATCH($A543,'2023_24'!$A:$A,0))*90,"")</f>
        <v>3.2917705735660849</v>
      </c>
      <c r="Z543">
        <f>IFERROR(INDEX('2024_25'!$M:$M,MATCH($A543,'2024_25'!$A:$A,0))/INDEX('2024_25'!$G:$G,MATCH($A543,'2024_25'!$A:$A,0))*90,"")</f>
        <v>6.2171052631578956</v>
      </c>
      <c r="AA543">
        <f>IFERROR(INDEX('2025_26'!$M:$M,MATCH($A543,'2025_26'!$A:$A,0))/INDEX('2025_26'!$G:$G,MATCH($A543,'2025_26'!$A:$A,0))*90,"")</f>
        <v>4.3402545210984593</v>
      </c>
      <c r="AB543">
        <f>IFERROR(SUMPRODUCT(S543:U543,{0.2,0.3,0.5})/SUMPRODUCT(--(S543:U543&lt;&gt;""),{0.2,0.3,0.5}),"")</f>
        <v>0.10987065678903879</v>
      </c>
      <c r="AC543">
        <f>IFERROR(SUMPRODUCT(V543:X543,{0.2,0.3,0.5})/SUMPRODUCT(--(V543:X543&lt;&gt;""),{0.2,0.3,0.5}),"")</f>
        <v>0.10609971627229738</v>
      </c>
      <c r="AD543">
        <f>IFERROR(SUMPRODUCT(Y543:AA543,{0.2,0.3,0.5})/SUMPRODUCT((Y543:AA543&lt;&gt;"")*{0.2,0.3,0.5}),O543)</f>
        <v>4.6936129542098151</v>
      </c>
      <c r="AE543">
        <f t="shared" si="213"/>
        <v>3</v>
      </c>
      <c r="AF543">
        <f t="shared" si="214"/>
        <v>75.666666666666671</v>
      </c>
      <c r="AG543">
        <f t="shared" si="215"/>
        <v>4.1735193151999438E-2</v>
      </c>
      <c r="AH543">
        <f t="shared" si="216"/>
        <v>4.6817597626259026E-2</v>
      </c>
      <c r="AI543" s="2">
        <f t="shared" si="217"/>
        <v>3.5421124855243882</v>
      </c>
      <c r="AJ543">
        <f t="shared" si="218"/>
        <v>0.75666666666666671</v>
      </c>
      <c r="AK543" t="str">
        <f t="shared" si="219"/>
        <v>NO</v>
      </c>
      <c r="AL543">
        <f t="shared" si="220"/>
        <v>4.1735193151999438E-2</v>
      </c>
      <c r="AM543">
        <f t="shared" si="221"/>
        <v>4.6817597626259026E-2</v>
      </c>
      <c r="AN543">
        <f t="shared" si="222"/>
        <v>4.1735193151999438E-2</v>
      </c>
      <c r="AO543">
        <f t="shared" si="223"/>
        <v>4.6817597626259026E-2</v>
      </c>
      <c r="AP543">
        <f t="array" ref="AP543">AL543*IF($C543="GKP",10,IF($C543="DEF",6,IF($C543="MID",5,4)))</f>
        <v>0.2086759657599972</v>
      </c>
      <c r="AQ543">
        <f t="shared" si="224"/>
        <v>0.14045279287877707</v>
      </c>
      <c r="AR543">
        <f t="shared" si="225"/>
        <v>2</v>
      </c>
      <c r="AS543" s="2">
        <f>IF($H543=0,0,Player_Analysis!$AM543*$H543/90)</f>
        <v>0.33333333333333331</v>
      </c>
      <c r="AT543">
        <f t="shared" si="226"/>
        <v>1.7180616740088108</v>
      </c>
      <c r="AU543" s="2">
        <f>0</f>
        <v>0</v>
      </c>
      <c r="AV543" s="2">
        <f>IF(INDEX(FPL_Raw_Data!K:K,MATCH(A543,FPL_Raw_Data!AA:AA,0))=0,"",INDEX(FPL_Raw_Data!P:P,MATCH(A543,FPL_Raw_Data!AA:AA,0))/INDEX(FPL_Raw_Data!K:K,MATCH(A543,FPL_Raw_Data!AA:AA,0))*90)</f>
        <v>0</v>
      </c>
      <c r="AW543" s="2">
        <f t="shared" si="227"/>
        <v>0</v>
      </c>
      <c r="AX543" s="2">
        <f>IFERROR(INDEX(TEAM_ANALYSIS!$H$2:$H$21,MATCH($B543,TEAM_ANALYSIS!$A$2:$A$21,0)),0)</f>
        <v>1.3333333333333333</v>
      </c>
      <c r="AY543" s="2">
        <f t="shared" si="228"/>
        <v>0</v>
      </c>
      <c r="AZ543" s="2">
        <f t="shared" si="229"/>
        <v>4.4005237659809184</v>
      </c>
      <c r="BA543">
        <f t="shared" si="230"/>
        <v>0.80009523017834883</v>
      </c>
      <c r="BB543">
        <f>IFERROR(Player_Analysis!$Y543,1)</f>
        <v>1.0060034602076122</v>
      </c>
      <c r="BC543">
        <f t="shared" si="231"/>
        <v>4.426942135302637</v>
      </c>
      <c r="BD543">
        <f t="shared" si="232"/>
        <v>3.5419752867311942</v>
      </c>
      <c r="BE543">
        <f t="shared" si="233"/>
        <v>4.426942135302637</v>
      </c>
      <c r="BF543">
        <f t="shared" si="234"/>
        <v>126</v>
      </c>
      <c r="BG543">
        <f>IF($BE543="","",COUNTIFS($C$2:$C$596,$C543,$BE$2:$BE$596,"&gt;"&amp;$BE543)+COUNTIFS($C$2:$C543,$C543,$BE$2:$BE543,$BE543))</f>
        <v>61</v>
      </c>
    </row>
    <row r="544" spans="1:59" x14ac:dyDescent="0.25">
      <c r="A544" t="str">
        <f>Player_Analysis!A544</f>
        <v>Joe Willock</v>
      </c>
      <c r="B544">
        <f>Player_Analysis!C544</f>
        <v>17</v>
      </c>
      <c r="C544" t="str">
        <f>Player_Analysis!B544</f>
        <v>MID</v>
      </c>
      <c r="D544" s="13">
        <f>Player_Analysis!E544</f>
        <v>5</v>
      </c>
      <c r="E544">
        <f>Player_Analysis!I544</f>
        <v>166</v>
      </c>
      <c r="F544" s="8">
        <f>Player_Analysis!Z544</f>
        <v>2</v>
      </c>
      <c r="G544" s="17">
        <f t="shared" si="209"/>
        <v>1</v>
      </c>
      <c r="H544">
        <f t="shared" si="210"/>
        <v>90</v>
      </c>
      <c r="I544" s="8">
        <f>Player_Analysis!AF544</f>
        <v>1</v>
      </c>
      <c r="J544" s="8">
        <f>Player_Analysis!AG544</f>
        <v>0</v>
      </c>
      <c r="K544">
        <f>Player_Analysis!O544</f>
        <v>0.52</v>
      </c>
      <c r="L544">
        <f>Player_Analysis!P544</f>
        <v>0.2</v>
      </c>
      <c r="M544">
        <f t="shared" si="211"/>
        <v>0.28192771084337354</v>
      </c>
      <c r="N544">
        <f t="shared" si="212"/>
        <v>0.10843373493975905</v>
      </c>
      <c r="O544" s="2">
        <f>IF(E544=0,"",Player_Analysis!L544/E544*90)</f>
        <v>5.9638554216867474</v>
      </c>
      <c r="P544">
        <f>IF(E544=0,"",Player_Analysis!Q544/E544*90)</f>
        <v>0.39036144578313253</v>
      </c>
      <c r="Q544">
        <f>IF(E544=0,"",(Player_Analysis!AD544/E544)*90)</f>
        <v>18.433734939759034</v>
      </c>
      <c r="R544">
        <f>IF(E544=0,"",Player_Analysis!AA544/E544*90)</f>
        <v>4.3373493975903621</v>
      </c>
      <c r="S544">
        <f t="array" ref="S544">IFERROR(INDEX('2023_24'!$O:$O,MATCH($A544,'2023_24'!$A:$A,0)),"")</f>
        <v>0.19084337349397593</v>
      </c>
      <c r="T544">
        <f>IFERROR(INDEX('2024_25'!$P:$P,MATCH($A544,'2024_25'!$A:$A,0)),"")</f>
        <v>0.13943661971830987</v>
      </c>
      <c r="U544">
        <f>IFERROR(INDEX('2025_26'!$P:$P,MATCH($A544,'2025_26'!$A:$A,0)),"")</f>
        <v>0.11666666666666667</v>
      </c>
      <c r="V544">
        <f>IFERROR(INDEX('2023_24'!$P:$P,MATCH($A544,'2023_24'!$A:$A,0)),"")</f>
        <v>0.1236144578313253</v>
      </c>
      <c r="W544">
        <f>IFERROR(INDEX('2024_25'!$Q:$Q,MATCH($A544,'2024_25'!$A:$A,0)),"")</f>
        <v>7.8591549295774651E-2</v>
      </c>
      <c r="X544">
        <f>IFERROR(INDEX('2025_26'!$Q:$Q,MATCH($A544,'2025_26'!$A:$A,0)),"")</f>
        <v>9.9074074074074078E-2</v>
      </c>
      <c r="Y544">
        <f>IFERROR(INDEX('2023_24'!$M:$M,MATCH($A544,'2023_24'!$A:$A,0))/INDEX('2023_24'!$G:$G,MATCH($A544,'2023_24'!$A:$A,0))*90,"")</f>
        <v>3.9036144578313254</v>
      </c>
      <c r="Z544">
        <f>IFERROR(INDEX('2024_25'!$M:$M,MATCH($A544,'2024_25'!$A:$A,0))/INDEX('2024_25'!$G:$G,MATCH($A544,'2024_25'!$A:$A,0))*90,"")</f>
        <v>3.887323943661972</v>
      </c>
      <c r="AA544">
        <f>IFERROR(INDEX('2025_26'!$M:$M,MATCH($A544,'2025_26'!$A:$A,0))/INDEX('2025_26'!$G:$G,MATCH($A544,'2025_26'!$A:$A,0))*90,"")</f>
        <v>3.5185185185185186</v>
      </c>
      <c r="AB544">
        <f>IFERROR(SUMPRODUCT(S544:U544,{0.2,0.3,0.5})/SUMPRODUCT(--(S544:U544&lt;&gt;""),{0.2,0.3,0.5}),"")</f>
        <v>0.1383329939476215</v>
      </c>
      <c r="AC544">
        <f>IFERROR(SUMPRODUCT(V544:X544,{0.2,0.3,0.5})/SUMPRODUCT(--(V544:X544&lt;&gt;""),{0.2,0.3,0.5}),"")</f>
        <v>9.7837393392034483E-2</v>
      </c>
      <c r="AD544">
        <f>IFERROR(SUMPRODUCT(Y544:AA544,{0.2,0.3,0.5})/SUMPRODUCT((Y544:AA544&lt;&gt;"")*{0.2,0.3,0.5}),O544)</f>
        <v>3.706179333924116</v>
      </c>
      <c r="AE544">
        <f t="shared" si="213"/>
        <v>3</v>
      </c>
      <c r="AF544">
        <f t="shared" si="214"/>
        <v>83</v>
      </c>
      <c r="AG544">
        <f t="shared" si="215"/>
        <v>0.21778873729660431</v>
      </c>
      <c r="AH544">
        <f t="shared" si="216"/>
        <v>0.10370070238177542</v>
      </c>
      <c r="AI544" s="2">
        <f t="shared" si="217"/>
        <v>4.9554267691527718</v>
      </c>
      <c r="AJ544">
        <f t="shared" si="218"/>
        <v>0.55333333333333334</v>
      </c>
      <c r="AK544" t="str">
        <f t="shared" si="219"/>
        <v>NO</v>
      </c>
      <c r="AL544">
        <f t="shared" si="220"/>
        <v>0.21778873729660431</v>
      </c>
      <c r="AM544">
        <f t="shared" si="221"/>
        <v>0.10370070238177542</v>
      </c>
      <c r="AN544">
        <f t="shared" si="222"/>
        <v>0.21778873729660431</v>
      </c>
      <c r="AO544">
        <f t="shared" si="223"/>
        <v>0.10370070238177542</v>
      </c>
      <c r="AP544">
        <f t="array" ref="AP544">AL544*IF($C544="GKP",10,IF($C544="DEF",6,IF($C544="MID",5,4)))</f>
        <v>1.0889436864830215</v>
      </c>
      <c r="AQ544">
        <f t="shared" si="224"/>
        <v>0.31110210714532627</v>
      </c>
      <c r="AR544">
        <f t="shared" si="225"/>
        <v>2</v>
      </c>
      <c r="AS544" s="2">
        <f>IF($H544=0,0,Player_Analysis!$AM544*$H544/90)</f>
        <v>0.5</v>
      </c>
      <c r="AT544">
        <f t="shared" si="226"/>
        <v>0.72289156626506035</v>
      </c>
      <c r="AU544" s="2">
        <f>0</f>
        <v>0</v>
      </c>
      <c r="AV544" s="2">
        <f>IF(INDEX(FPL_Raw_Data!K:K,MATCH(A544,FPL_Raw_Data!AA:AA,0))=0,"",INDEX(FPL_Raw_Data!P:P,MATCH(A544,FPL_Raw_Data!AA:AA,0))/INDEX(FPL_Raw_Data!K:K,MATCH(A544,FPL_Raw_Data!AA:AA,0))*90)</f>
        <v>0</v>
      </c>
      <c r="AW544" s="2">
        <f t="shared" si="227"/>
        <v>0</v>
      </c>
      <c r="AX544" s="2">
        <f>IFERROR(INDEX(TEAM_ANALYSIS!$H$2:$H$21,MATCH($B544,TEAM_ANALYSIS!$A$2:$A$21,0)),0)</f>
        <v>1.3333333333333333</v>
      </c>
      <c r="AY544" s="2">
        <f t="shared" si="228"/>
        <v>0</v>
      </c>
      <c r="AZ544" s="2">
        <f t="shared" si="229"/>
        <v>4.6229373598934078</v>
      </c>
      <c r="BA544">
        <f t="shared" si="230"/>
        <v>0.92458747197868152</v>
      </c>
      <c r="BB544">
        <f>IFERROR(Player_Analysis!$Y544,1)</f>
        <v>1.0060034602076122</v>
      </c>
      <c r="BC544">
        <f t="shared" si="231"/>
        <v>4.6506909803758116</v>
      </c>
      <c r="BD544">
        <f t="shared" si="232"/>
        <v>4.2999706164997278</v>
      </c>
      <c r="BE544">
        <f t="shared" si="233"/>
        <v>4.6506909803758116</v>
      </c>
      <c r="BF544">
        <f t="shared" si="234"/>
        <v>117</v>
      </c>
      <c r="BG544">
        <f>IF($BE544="","",COUNTIFS($C$2:$C$596,$C544,$BE$2:$BE$596,"&gt;"&amp;$BE544)+COUNTIFS($C$2:$C544,$C544,$BE$2:$BE544,$BE544))</f>
        <v>55</v>
      </c>
    </row>
    <row r="545" spans="1:59" x14ac:dyDescent="0.25">
      <c r="A545" t="str">
        <f>Player_Analysis!A545</f>
        <v>Bazoumana Touré</v>
      </c>
      <c r="B545">
        <f>Player_Analysis!C545</f>
        <v>17</v>
      </c>
      <c r="C545" t="str">
        <f>Player_Analysis!B545</f>
        <v>MID</v>
      </c>
      <c r="D545" s="13">
        <f>Player_Analysis!E545</f>
        <v>5.9</v>
      </c>
      <c r="E545">
        <f>Player_Analysis!I545</f>
        <v>1</v>
      </c>
      <c r="F545" s="8">
        <f>Player_Analysis!Z545</f>
        <v>0</v>
      </c>
      <c r="G545" s="17">
        <f t="shared" si="209"/>
        <v>0</v>
      </c>
      <c r="H545">
        <f t="shared" si="210"/>
        <v>0</v>
      </c>
      <c r="I545" s="8">
        <f>Player_Analysis!AF545</f>
        <v>0</v>
      </c>
      <c r="J545" s="8">
        <f>Player_Analysis!AG545</f>
        <v>0</v>
      </c>
      <c r="K545">
        <f>Player_Analysis!O545</f>
        <v>0</v>
      </c>
      <c r="L545">
        <f>Player_Analysis!P545</f>
        <v>0</v>
      </c>
      <c r="M545">
        <f t="shared" si="211"/>
        <v>0</v>
      </c>
      <c r="N545">
        <f t="shared" si="212"/>
        <v>0</v>
      </c>
      <c r="O545" s="2">
        <f>IF(E545=0,"",Player_Analysis!L545/E545*90)</f>
        <v>90</v>
      </c>
      <c r="P545">
        <f>IF(E545=0,"",Player_Analysis!Q545/E545*90)</f>
        <v>0</v>
      </c>
      <c r="Q545">
        <f>IF(E545=0,"",(Player_Analysis!AD545/E545)*90)</f>
        <v>270</v>
      </c>
      <c r="R545">
        <f>IF(E545=0,"",Player_Analysis!AA545/E545*90)</f>
        <v>0</v>
      </c>
      <c r="S545" t="str">
        <f t="array" ref="S545">IFERROR(INDEX('2023_24'!$O:$O,MATCH($A545,'2023_24'!$A:$A,0)),"")</f>
        <v/>
      </c>
      <c r="T545" t="str">
        <f>IFERROR(INDEX('2024_25'!$P:$P,MATCH($A545,'2024_25'!$A:$A,0)),"")</f>
        <v/>
      </c>
      <c r="U545" t="str">
        <f>IFERROR(INDEX('2025_26'!$P:$P,MATCH($A545,'2025_26'!$A:$A,0)),"")</f>
        <v/>
      </c>
      <c r="V545" t="str">
        <f>IFERROR(INDEX('2023_24'!$P:$P,MATCH($A545,'2023_24'!$A:$A,0)),"")</f>
        <v/>
      </c>
      <c r="W545" t="str">
        <f>IFERROR(INDEX('2024_25'!$Q:$Q,MATCH($A545,'2024_25'!$A:$A,0)),"")</f>
        <v/>
      </c>
      <c r="X545" t="str">
        <f>IFERROR(INDEX('2025_26'!$Q:$Q,MATCH($A545,'2025_26'!$A:$A,0)),"")</f>
        <v/>
      </c>
      <c r="Y545" t="str">
        <f>IFERROR(INDEX('2023_24'!$M:$M,MATCH($A545,'2023_24'!$A:$A,0))/INDEX('2023_24'!$G:$G,MATCH($A545,'2023_24'!$A:$A,0))*90,"")</f>
        <v/>
      </c>
      <c r="Z545" t="str">
        <f>IFERROR(INDEX('2024_25'!$M:$M,MATCH($A545,'2024_25'!$A:$A,0))/INDEX('2024_25'!$G:$G,MATCH($A545,'2024_25'!$A:$A,0))*90,"")</f>
        <v/>
      </c>
      <c r="AA545" t="str">
        <f>IFERROR(INDEX('2025_26'!$M:$M,MATCH($A545,'2025_26'!$A:$A,0))/INDEX('2025_26'!$G:$G,MATCH($A545,'2025_26'!$A:$A,0))*90,"")</f>
        <v/>
      </c>
      <c r="AB545" t="str">
        <f>IFERROR(SUMPRODUCT(S545:U545,{0.2,0.3,0.5})/SUMPRODUCT(--(S545:U545&lt;&gt;""),{0.2,0.3,0.5}),"")</f>
        <v/>
      </c>
      <c r="AC545" t="str">
        <f>IFERROR(SUMPRODUCT(V545:X545,{0.2,0.3,0.5})/SUMPRODUCT(--(V545:X545&lt;&gt;""),{0.2,0.3,0.5}),"")</f>
        <v/>
      </c>
      <c r="AD545">
        <f>IFERROR(SUMPRODUCT(Y545:AA545,{0.2,0.3,0.5})/SUMPRODUCT((Y545:AA545&lt;&gt;"")*{0.2,0.3,0.5}),O545)</f>
        <v>90</v>
      </c>
      <c r="AE545">
        <f t="shared" si="213"/>
        <v>0</v>
      </c>
      <c r="AF545" t="str">
        <f t="shared" si="214"/>
        <v/>
      </c>
      <c r="AG545">
        <f t="shared" si="215"/>
        <v>0</v>
      </c>
      <c r="AH545">
        <f t="shared" si="216"/>
        <v>0</v>
      </c>
      <c r="AI545" s="2">
        <f t="shared" si="217"/>
        <v>90</v>
      </c>
      <c r="AJ545">
        <f t="shared" si="218"/>
        <v>3.3333333333333335E-3</v>
      </c>
      <c r="AK545" t="str">
        <f t="shared" si="219"/>
        <v>YES</v>
      </c>
      <c r="AL545">
        <f t="shared" si="220"/>
        <v>0</v>
      </c>
      <c r="AM545">
        <f t="shared" si="221"/>
        <v>0</v>
      </c>
      <c r="AN545">
        <f t="shared" si="222"/>
        <v>0</v>
      </c>
      <c r="AO545">
        <f t="shared" si="223"/>
        <v>0</v>
      </c>
      <c r="AP545">
        <f t="array" ref="AP545">AL545*IF($C545="GKP",10,IF($C545="DEF",6,IF($C545="MID",5,4)))</f>
        <v>0</v>
      </c>
      <c r="AQ545">
        <f t="shared" si="224"/>
        <v>0</v>
      </c>
      <c r="AR545">
        <f t="shared" si="225"/>
        <v>0</v>
      </c>
      <c r="AS545" s="2">
        <f>IF($H545=0,0,Player_Analysis!$AM545*$H545/90)</f>
        <v>0</v>
      </c>
      <c r="AT545">
        <f t="shared" si="226"/>
        <v>0</v>
      </c>
      <c r="AU545" s="2">
        <f>0</f>
        <v>0</v>
      </c>
      <c r="AV545" s="2">
        <f>IF(INDEX(FPL_Raw_Data!K:K,MATCH(A545,FPL_Raw_Data!AA:AA,0))=0,"",INDEX(FPL_Raw_Data!P:P,MATCH(A545,FPL_Raw_Data!AA:AA,0))/INDEX(FPL_Raw_Data!K:K,MATCH(A545,FPL_Raw_Data!AA:AA,0))*90)</f>
        <v>0</v>
      </c>
      <c r="AW545" s="2">
        <f t="shared" si="227"/>
        <v>0</v>
      </c>
      <c r="AX545" s="2">
        <f>IFERROR(INDEX(TEAM_ANALYSIS!$H$2:$H$21,MATCH($B545,TEAM_ANALYSIS!$A$2:$A$21,0)),0)</f>
        <v>1.3333333333333333</v>
      </c>
      <c r="AY545" s="2">
        <f t="shared" si="228"/>
        <v>0</v>
      </c>
      <c r="AZ545" s="2">
        <f t="shared" si="229"/>
        <v>0</v>
      </c>
      <c r="BA545">
        <f t="shared" si="230"/>
        <v>0</v>
      </c>
      <c r="BB545">
        <f>IFERROR(Player_Analysis!$Y545,1)</f>
        <v>1.0060034602076122</v>
      </c>
      <c r="BC545">
        <f t="shared" si="231"/>
        <v>0</v>
      </c>
      <c r="BD545">
        <f t="shared" si="232"/>
        <v>0</v>
      </c>
      <c r="BE545">
        <f t="shared" si="233"/>
        <v>0</v>
      </c>
      <c r="BF545">
        <f t="shared" si="234"/>
        <v>253</v>
      </c>
      <c r="BG545">
        <f>IF($BE545="","",COUNTIFS($C$2:$C$596,$C545,$BE$2:$BE$596,"&gt;"&amp;$BE545)+COUNTIFS($C$2:$C545,$C545,$BE$2:$BE545,$BE545))</f>
        <v>257</v>
      </c>
    </row>
    <row r="546" spans="1:59" x14ac:dyDescent="0.25">
      <c r="A546" t="str">
        <f>Player_Analysis!A546</f>
        <v>Sean Steur</v>
      </c>
      <c r="B546">
        <f>Player_Analysis!C546</f>
        <v>17</v>
      </c>
      <c r="C546" t="str">
        <f>Player_Analysis!B546</f>
        <v>MID</v>
      </c>
      <c r="D546" s="13">
        <f>Player_Analysis!E546</f>
        <v>4.9000000000000004</v>
      </c>
      <c r="E546">
        <f>Player_Analysis!I546</f>
        <v>87</v>
      </c>
      <c r="F546" s="8">
        <f>Player_Analysis!Z546</f>
        <v>1</v>
      </c>
      <c r="G546" s="17">
        <f t="shared" si="209"/>
        <v>1</v>
      </c>
      <c r="H546">
        <f t="shared" si="210"/>
        <v>90</v>
      </c>
      <c r="I546" s="8">
        <f>Player_Analysis!AF546</f>
        <v>0</v>
      </c>
      <c r="J546" s="8">
        <f>Player_Analysis!AG546</f>
        <v>0</v>
      </c>
      <c r="K546">
        <f>Player_Analysis!O546</f>
        <v>0</v>
      </c>
      <c r="L546">
        <f>Player_Analysis!P546</f>
        <v>0</v>
      </c>
      <c r="M546">
        <f t="shared" si="211"/>
        <v>0</v>
      </c>
      <c r="N546">
        <f t="shared" si="212"/>
        <v>0</v>
      </c>
      <c r="O546" s="2">
        <f>IF(E546=0,"",Player_Analysis!L546/E546*90)</f>
        <v>3.103448275862069</v>
      </c>
      <c r="P546">
        <f>IF(E546=0,"",Player_Analysis!Q546/E546*90)</f>
        <v>0</v>
      </c>
      <c r="Q546">
        <f>IF(E546=0,"",(Player_Analysis!AD546/E546)*90)</f>
        <v>10.344827586206897</v>
      </c>
      <c r="R546">
        <f>IF(E546=0,"",Player_Analysis!AA546/E546*90)</f>
        <v>7.2413793103448274</v>
      </c>
      <c r="S546" t="str">
        <f t="array" ref="S546">IFERROR(INDEX('2023_24'!$O:$O,MATCH($A546,'2023_24'!$A:$A,0)),"")</f>
        <v/>
      </c>
      <c r="T546" t="str">
        <f>IFERROR(INDEX('2024_25'!$P:$P,MATCH($A546,'2024_25'!$A:$A,0)),"")</f>
        <v/>
      </c>
      <c r="U546" t="str">
        <f>IFERROR(INDEX('2025_26'!$P:$P,MATCH($A546,'2025_26'!$A:$A,0)),"")</f>
        <v/>
      </c>
      <c r="V546" t="str">
        <f>IFERROR(INDEX('2023_24'!$P:$P,MATCH($A546,'2023_24'!$A:$A,0)),"")</f>
        <v/>
      </c>
      <c r="W546" t="str">
        <f>IFERROR(INDEX('2024_25'!$Q:$Q,MATCH($A546,'2024_25'!$A:$A,0)),"")</f>
        <v/>
      </c>
      <c r="X546" t="str">
        <f>IFERROR(INDEX('2025_26'!$Q:$Q,MATCH($A546,'2025_26'!$A:$A,0)),"")</f>
        <v/>
      </c>
      <c r="Y546" t="str">
        <f>IFERROR(INDEX('2023_24'!$M:$M,MATCH($A546,'2023_24'!$A:$A,0))/INDEX('2023_24'!$G:$G,MATCH($A546,'2023_24'!$A:$A,0))*90,"")</f>
        <v/>
      </c>
      <c r="Z546" t="str">
        <f>IFERROR(INDEX('2024_25'!$M:$M,MATCH($A546,'2024_25'!$A:$A,0))/INDEX('2024_25'!$G:$G,MATCH($A546,'2024_25'!$A:$A,0))*90,"")</f>
        <v/>
      </c>
      <c r="AA546" t="str">
        <f>IFERROR(INDEX('2025_26'!$M:$M,MATCH($A546,'2025_26'!$A:$A,0))/INDEX('2025_26'!$G:$G,MATCH($A546,'2025_26'!$A:$A,0))*90,"")</f>
        <v/>
      </c>
      <c r="AB546" t="str">
        <f>IFERROR(SUMPRODUCT(S546:U546,{0.2,0.3,0.5})/SUMPRODUCT(--(S546:U546&lt;&gt;""),{0.2,0.3,0.5}),"")</f>
        <v/>
      </c>
      <c r="AC546" t="str">
        <f>IFERROR(SUMPRODUCT(V546:X546,{0.2,0.3,0.5})/SUMPRODUCT(--(V546:X546&lt;&gt;""),{0.2,0.3,0.5}),"")</f>
        <v/>
      </c>
      <c r="AD546">
        <f>IFERROR(SUMPRODUCT(Y546:AA546,{0.2,0.3,0.5})/SUMPRODUCT((Y546:AA546&lt;&gt;"")*{0.2,0.3,0.5}),O546)</f>
        <v>3.103448275862069</v>
      </c>
      <c r="AE546">
        <f t="shared" si="213"/>
        <v>0</v>
      </c>
      <c r="AF546">
        <f t="shared" si="214"/>
        <v>87</v>
      </c>
      <c r="AG546">
        <f t="shared" si="215"/>
        <v>0</v>
      </c>
      <c r="AH546">
        <f t="shared" si="216"/>
        <v>0</v>
      </c>
      <c r="AI546" s="2">
        <f t="shared" si="217"/>
        <v>3.103448275862069</v>
      </c>
      <c r="AJ546">
        <f t="shared" si="218"/>
        <v>0.28999999999999998</v>
      </c>
      <c r="AK546" t="str">
        <f t="shared" si="219"/>
        <v>YES</v>
      </c>
      <c r="AL546">
        <f t="shared" si="220"/>
        <v>0</v>
      </c>
      <c r="AM546">
        <f t="shared" si="221"/>
        <v>0</v>
      </c>
      <c r="AN546">
        <f t="shared" si="222"/>
        <v>0</v>
      </c>
      <c r="AO546">
        <f t="shared" si="223"/>
        <v>0</v>
      </c>
      <c r="AP546">
        <f t="array" ref="AP546">AL546*IF($C546="GKP",10,IF($C546="DEF",6,IF($C546="MID",5,4)))</f>
        <v>0</v>
      </c>
      <c r="AQ546">
        <f t="shared" si="224"/>
        <v>0</v>
      </c>
      <c r="AR546">
        <f t="shared" si="225"/>
        <v>2</v>
      </c>
      <c r="AS546" s="2">
        <f>IF($H546=0,0,Player_Analysis!$AM546*$H546/90)</f>
        <v>0</v>
      </c>
      <c r="AT546">
        <f t="shared" si="226"/>
        <v>1.2068965517241377</v>
      </c>
      <c r="AU546" s="2">
        <f>0</f>
        <v>0</v>
      </c>
      <c r="AV546" s="2">
        <f>IF(INDEX(FPL_Raw_Data!K:K,MATCH(A546,FPL_Raw_Data!AA:AA,0))=0,"",INDEX(FPL_Raw_Data!P:P,MATCH(A546,FPL_Raw_Data!AA:AA,0))/INDEX(FPL_Raw_Data!K:K,MATCH(A546,FPL_Raw_Data!AA:AA,0))*90)</f>
        <v>0</v>
      </c>
      <c r="AW546" s="2">
        <f t="shared" si="227"/>
        <v>0</v>
      </c>
      <c r="AX546" s="2">
        <f>IFERROR(INDEX(TEAM_ANALYSIS!$H$2:$H$21,MATCH($B546,TEAM_ANALYSIS!$A$2:$A$21,0)),0)</f>
        <v>1.3333333333333333</v>
      </c>
      <c r="AY546" s="2">
        <f t="shared" si="228"/>
        <v>0</v>
      </c>
      <c r="AZ546" s="2">
        <f t="shared" si="229"/>
        <v>3.2068965517241379</v>
      </c>
      <c r="BA546">
        <f t="shared" si="230"/>
        <v>0.6544686840253342</v>
      </c>
      <c r="BB546">
        <f>IFERROR(Player_Analysis!$Y546,1)</f>
        <v>1.0060034602076122</v>
      </c>
      <c r="BC546">
        <f t="shared" si="231"/>
        <v>3.2261490275623426</v>
      </c>
      <c r="BD546">
        <f t="shared" si="232"/>
        <v>2.1114135085383379</v>
      </c>
      <c r="BE546">
        <f t="shared" si="233"/>
        <v>3.2261490275623426</v>
      </c>
      <c r="BF546">
        <f t="shared" si="234"/>
        <v>192</v>
      </c>
      <c r="BG546">
        <f>IF($BE546="","",COUNTIFS($C$2:$C$596,$C546,$BE$2:$BE$596,"&gt;"&amp;$BE546)+COUNTIFS($C$2:$C546,$C546,$BE$2:$BE546,$BE546))</f>
        <v>100</v>
      </c>
    </row>
    <row r="547" spans="1:59" x14ac:dyDescent="0.25">
      <c r="A547" t="str">
        <f>Player_Analysis!A547</f>
        <v>Nick Woltemade</v>
      </c>
      <c r="B547">
        <f>Player_Analysis!C547</f>
        <v>17</v>
      </c>
      <c r="C547" t="str">
        <f>Player_Analysis!B547</f>
        <v>FWD</v>
      </c>
      <c r="D547" s="13">
        <f>Player_Analysis!E547</f>
        <v>5.9</v>
      </c>
      <c r="E547">
        <f>Player_Analysis!I547</f>
        <v>19</v>
      </c>
      <c r="F547" s="8">
        <f>Player_Analysis!Z547</f>
        <v>0</v>
      </c>
      <c r="G547" s="17">
        <f t="shared" si="209"/>
        <v>0</v>
      </c>
      <c r="H547">
        <f t="shared" si="210"/>
        <v>0</v>
      </c>
      <c r="I547" s="8">
        <f>Player_Analysis!AF547</f>
        <v>0</v>
      </c>
      <c r="J547" s="8">
        <f>Player_Analysis!AG547</f>
        <v>1</v>
      </c>
      <c r="K547">
        <f>Player_Analysis!O547</f>
        <v>0.02</v>
      </c>
      <c r="L547">
        <f>Player_Analysis!P547</f>
        <v>0.01</v>
      </c>
      <c r="M547">
        <f t="shared" si="211"/>
        <v>9.4736842105263161E-2</v>
      </c>
      <c r="N547">
        <f t="shared" si="212"/>
        <v>4.736842105263158E-2</v>
      </c>
      <c r="O547" s="2">
        <f>IF(E547=0,"",Player_Analysis!L547/E547*90)</f>
        <v>18.94736842105263</v>
      </c>
      <c r="P547">
        <f>IF(E547=0,"",Player_Analysis!Q547/E547*90)</f>
        <v>0.14210526315789473</v>
      </c>
      <c r="Q547">
        <f>IF(E547=0,"",(Player_Analysis!AD547/E547)*90)</f>
        <v>85.263157894736835</v>
      </c>
      <c r="R547">
        <f>IF(E547=0,"",Player_Analysis!AA547/E547*90)</f>
        <v>0</v>
      </c>
      <c r="S547" t="str">
        <f t="array" ref="S547">IFERROR(INDEX('2023_24'!$O:$O,MATCH($A547,'2023_24'!$A:$A,0)),"")</f>
        <v/>
      </c>
      <c r="T547" t="str">
        <f>IFERROR(INDEX('2024_25'!$P:$P,MATCH($A547,'2024_25'!$A:$A,0)),"")</f>
        <v/>
      </c>
      <c r="U547">
        <f>IFERROR(INDEX('2025_26'!$P:$P,MATCH($A547,'2025_26'!$A:$A,0)),"")</f>
        <v>0.31281645569620253</v>
      </c>
      <c r="V547" t="str">
        <f>IFERROR(INDEX('2023_24'!$P:$P,MATCH($A547,'2023_24'!$A:$A,0)),"")</f>
        <v/>
      </c>
      <c r="W547" t="str">
        <f>IFERROR(INDEX('2024_25'!$Q:$Q,MATCH($A547,'2024_25'!$A:$A,0)),"")</f>
        <v/>
      </c>
      <c r="X547">
        <f>IFERROR(INDEX('2025_26'!$Q:$Q,MATCH($A547,'2025_26'!$A:$A,0)),"")</f>
        <v>7.2626582278481011E-2</v>
      </c>
      <c r="Y547" t="str">
        <f>IFERROR(INDEX('2023_24'!$M:$M,MATCH($A547,'2023_24'!$A:$A,0))/INDEX('2023_24'!$G:$G,MATCH($A547,'2023_24'!$A:$A,0))*90,"")</f>
        <v/>
      </c>
      <c r="Z547" t="str">
        <f>IFERROR(INDEX('2024_25'!$M:$M,MATCH($A547,'2024_25'!$A:$A,0))/INDEX('2024_25'!$G:$G,MATCH($A547,'2024_25'!$A:$A,0))*90,"")</f>
        <v/>
      </c>
      <c r="AA547">
        <f>IFERROR(INDEX('2025_26'!$M:$M,MATCH($A547,'2025_26'!$A:$A,0))/INDEX('2025_26'!$G:$G,MATCH($A547,'2025_26'!$A:$A,0))*90,"")</f>
        <v>5.1265822784810124</v>
      </c>
      <c r="AB547">
        <f>IFERROR(SUMPRODUCT(S547:U547,{0.2,0.3,0.5})/SUMPRODUCT(--(S547:U547&lt;&gt;""),{0.2,0.3,0.5}),"")</f>
        <v>0.31281645569620253</v>
      </c>
      <c r="AC547">
        <f>IFERROR(SUMPRODUCT(V547:X547,{0.2,0.3,0.5})/SUMPRODUCT(--(V547:X547&lt;&gt;""),{0.2,0.3,0.5}),"")</f>
        <v>7.2626582278481011E-2</v>
      </c>
      <c r="AD547">
        <f>IFERROR(SUMPRODUCT(Y547:AA547,{0.2,0.3,0.5})/SUMPRODUCT((Y547:AA547&lt;&gt;"")*{0.2,0.3,0.5}),O547)</f>
        <v>5.1265822784810124</v>
      </c>
      <c r="AE547">
        <f t="shared" si="213"/>
        <v>1</v>
      </c>
      <c r="AF547" t="str">
        <f t="shared" si="214"/>
        <v/>
      </c>
      <c r="AG547">
        <f t="shared" si="215"/>
        <v>0.29900474683544304</v>
      </c>
      <c r="AH547">
        <f t="shared" si="216"/>
        <v>7.102689873417721E-2</v>
      </c>
      <c r="AI547" s="2">
        <f t="shared" si="217"/>
        <v>6.0018987341772148</v>
      </c>
      <c r="AJ547">
        <f t="shared" si="218"/>
        <v>6.3333333333333339E-2</v>
      </c>
      <c r="AK547" t="str">
        <f t="shared" si="219"/>
        <v>NO</v>
      </c>
      <c r="AL547">
        <f t="shared" si="220"/>
        <v>0</v>
      </c>
      <c r="AM547">
        <f t="shared" si="221"/>
        <v>0</v>
      </c>
      <c r="AN547">
        <f t="shared" si="222"/>
        <v>0</v>
      </c>
      <c r="AO547">
        <f t="shared" si="223"/>
        <v>0</v>
      </c>
      <c r="AP547">
        <f t="array" ref="AP547">AL547*IF($C547="GKP",10,IF($C547="DEF",6,IF($C547="MID",5,4)))</f>
        <v>0</v>
      </c>
      <c r="AQ547">
        <f t="shared" si="224"/>
        <v>0</v>
      </c>
      <c r="AR547">
        <f t="shared" si="225"/>
        <v>0</v>
      </c>
      <c r="AS547" s="2">
        <f>IF($H547=0,0,Player_Analysis!$AM547*$H547/90)</f>
        <v>0</v>
      </c>
      <c r="AT547">
        <f t="shared" si="226"/>
        <v>0</v>
      </c>
      <c r="AU547" s="2">
        <f>0</f>
        <v>0</v>
      </c>
      <c r="AV547" s="2">
        <f>IF(INDEX(FPL_Raw_Data!K:K,MATCH(A547,FPL_Raw_Data!AA:AA,0))=0,"",INDEX(FPL_Raw_Data!P:P,MATCH(A547,FPL_Raw_Data!AA:AA,0))/INDEX(FPL_Raw_Data!K:K,MATCH(A547,FPL_Raw_Data!AA:AA,0))*90)</f>
        <v>0</v>
      </c>
      <c r="AW547" s="2">
        <f t="shared" si="227"/>
        <v>0</v>
      </c>
      <c r="AX547" s="2">
        <f>IFERROR(INDEX(TEAM_ANALYSIS!$H$2:$H$21,MATCH($B547,TEAM_ANALYSIS!$A$2:$A$21,0)),0)</f>
        <v>1.3333333333333333</v>
      </c>
      <c r="AY547" s="2">
        <f t="shared" si="228"/>
        <v>0</v>
      </c>
      <c r="AZ547" s="2">
        <f t="shared" si="229"/>
        <v>0</v>
      </c>
      <c r="BA547">
        <f t="shared" si="230"/>
        <v>0</v>
      </c>
      <c r="BB547">
        <f>IFERROR(Player_Analysis!$Y547,1)</f>
        <v>1.0060034602076122</v>
      </c>
      <c r="BC547">
        <f t="shared" si="231"/>
        <v>0</v>
      </c>
      <c r="BD547">
        <f t="shared" si="232"/>
        <v>0</v>
      </c>
      <c r="BE547">
        <f t="shared" si="233"/>
        <v>0</v>
      </c>
      <c r="BF547">
        <f t="shared" si="234"/>
        <v>253</v>
      </c>
      <c r="BG547">
        <f>IF($BE547="","",COUNTIFS($C$2:$C$596,$C547,$BE$2:$BE$596,"&gt;"&amp;$BE547)+COUNTIFS($C$2:$C547,$C547,$BE$2:$BE547,$BE547))</f>
        <v>68</v>
      </c>
    </row>
    <row r="548" spans="1:59" x14ac:dyDescent="0.25">
      <c r="A548" t="str">
        <f>Player_Analysis!A548</f>
        <v>Yoane Wissa</v>
      </c>
      <c r="B548">
        <f>Player_Analysis!C548</f>
        <v>17</v>
      </c>
      <c r="C548" t="str">
        <f>Player_Analysis!B548</f>
        <v>FWD</v>
      </c>
      <c r="D548" s="13">
        <f>Player_Analysis!E548</f>
        <v>6.2</v>
      </c>
      <c r="E548">
        <f>Player_Analysis!I548</f>
        <v>261</v>
      </c>
      <c r="F548" s="8">
        <f>Player_Analysis!Z548</f>
        <v>3</v>
      </c>
      <c r="G548" s="17">
        <f t="shared" si="209"/>
        <v>1</v>
      </c>
      <c r="H548">
        <f t="shared" si="210"/>
        <v>90</v>
      </c>
      <c r="I548" s="8">
        <f>Player_Analysis!AF548</f>
        <v>1</v>
      </c>
      <c r="J548" s="8">
        <f>Player_Analysis!AG548</f>
        <v>1</v>
      </c>
      <c r="K548">
        <f>Player_Analysis!O548</f>
        <v>1.35</v>
      </c>
      <c r="L548">
        <f>Player_Analysis!P548</f>
        <v>0.05</v>
      </c>
      <c r="M548">
        <f t="shared" si="211"/>
        <v>0.46551724137931033</v>
      </c>
      <c r="N548">
        <f t="shared" si="212"/>
        <v>1.7241379310344827E-2</v>
      </c>
      <c r="O548" s="2">
        <f>IF(E548=0,"",Player_Analysis!L548/E548*90)</f>
        <v>4.4827586206896548</v>
      </c>
      <c r="P548">
        <f>IF(E548=0,"",Player_Analysis!Q548/E548*90)</f>
        <v>0.48275862068965514</v>
      </c>
      <c r="Q548">
        <f>IF(E548=0,"",(Player_Analysis!AD548/E548)*90)</f>
        <v>17.586206896551726</v>
      </c>
      <c r="R548">
        <f>IF(E548=0,"",Player_Analysis!AA548/E548*90)</f>
        <v>5.8620689655172411</v>
      </c>
      <c r="S548">
        <f t="array" ref="S548">IFERROR(INDEX('2023_24'!$O:$O,MATCH($A548,'2023_24'!$A:$A,0)),"")</f>
        <v>0.38127009646302251</v>
      </c>
      <c r="T548">
        <f>IFERROR(INDEX('2024_25'!$P:$P,MATCH($A548,'2024_25'!$A:$A,0)),"")</f>
        <v>0.57247517973296813</v>
      </c>
      <c r="U548">
        <f>IFERROR(INDEX('2025_26'!$P:$P,MATCH($A548,'2025_26'!$A:$A,0)),"")</f>
        <v>0.54487427466150873</v>
      </c>
      <c r="V548">
        <f>IFERROR(INDEX('2023_24'!$P:$P,MATCH($A548,'2023_24'!$A:$A,0)),"")</f>
        <v>6.5836012861736334E-2</v>
      </c>
      <c r="W548">
        <f>IFERROR(INDEX('2024_25'!$Q:$Q,MATCH($A548,'2024_25'!$A:$A,0)),"")</f>
        <v>6.7785005135227672E-2</v>
      </c>
      <c r="X548">
        <f>IFERROR(INDEX('2025_26'!$Q:$Q,MATCH($A548,'2025_26'!$A:$A,0)),"")</f>
        <v>9.4003868471953592E-2</v>
      </c>
      <c r="Y548">
        <f>IFERROR(INDEX('2023_24'!$M:$M,MATCH($A548,'2023_24'!$A:$A,0))/INDEX('2023_24'!$G:$G,MATCH($A548,'2023_24'!$A:$A,0))*90,"")</f>
        <v>4.7387459807073959</v>
      </c>
      <c r="Z548">
        <f>IFERROR(INDEX('2024_25'!$M:$M,MATCH($A548,'2024_25'!$A:$A,0))/INDEX('2024_25'!$G:$G,MATCH($A548,'2024_25'!$A:$A,0))*90,"")</f>
        <v>5.7001027045532346</v>
      </c>
      <c r="AA548">
        <f>IFERROR(INDEX('2025_26'!$M:$M,MATCH($A548,'2025_26'!$A:$A,0))/INDEX('2025_26'!$G:$G,MATCH($A548,'2025_26'!$A:$A,0))*90,"")</f>
        <v>4.7001934235976792</v>
      </c>
      <c r="AB548">
        <f>IFERROR(SUMPRODUCT(S548:U548,{0.2,0.3,0.5})/SUMPRODUCT(--(S548:U548&lt;&gt;""),{0.2,0.3,0.5}),"")</f>
        <v>0.52043371054324927</v>
      </c>
      <c r="AC548">
        <f>IFERROR(SUMPRODUCT(V548:X548,{0.2,0.3,0.5})/SUMPRODUCT(--(V548:X548&lt;&gt;""),{0.2,0.3,0.5}),"")</f>
        <v>8.0504638348892363E-2</v>
      </c>
      <c r="AD548">
        <f>IFERROR(SUMPRODUCT(Y548:AA548,{0.2,0.3,0.5})/SUMPRODUCT((Y548:AA548&lt;&gt;"")*{0.2,0.3,0.5}),O548)</f>
        <v>5.0078767193062887</v>
      </c>
      <c r="AE548">
        <f t="shared" si="213"/>
        <v>3</v>
      </c>
      <c r="AF548">
        <f t="shared" si="214"/>
        <v>87</v>
      </c>
      <c r="AG548">
        <f t="shared" si="215"/>
        <v>0.47265638237062235</v>
      </c>
      <c r="AH548">
        <f t="shared" si="216"/>
        <v>2.5465602985356009E-2</v>
      </c>
      <c r="AI548" s="2">
        <f t="shared" si="217"/>
        <v>4.5510239735098175</v>
      </c>
      <c r="AJ548">
        <f t="shared" si="218"/>
        <v>0.87</v>
      </c>
      <c r="AK548" t="str">
        <f t="shared" si="219"/>
        <v>NO</v>
      </c>
      <c r="AL548">
        <f t="shared" si="220"/>
        <v>0.47265638237062235</v>
      </c>
      <c r="AM548">
        <f t="shared" si="221"/>
        <v>2.5465602985356009E-2</v>
      </c>
      <c r="AN548">
        <f t="shared" si="222"/>
        <v>0.47265638237062235</v>
      </c>
      <c r="AO548">
        <f t="shared" si="223"/>
        <v>2.5465602985356009E-2</v>
      </c>
      <c r="AP548">
        <f t="array" ref="AP548">AL548*IF($C548="GKP",10,IF($C548="DEF",6,IF($C548="MID",5,4)))</f>
        <v>1.8906255294824894</v>
      </c>
      <c r="AQ548">
        <f t="shared" si="224"/>
        <v>7.6396808956068027E-2</v>
      </c>
      <c r="AR548">
        <f t="shared" si="225"/>
        <v>2</v>
      </c>
      <c r="AS548" s="2">
        <f>IF($H548=0,0,Player_Analysis!$AM548*$H548/90)</f>
        <v>0</v>
      </c>
      <c r="AT548">
        <f t="shared" si="226"/>
        <v>0.9770114942528737</v>
      </c>
      <c r="AU548" s="2">
        <f>0</f>
        <v>0</v>
      </c>
      <c r="AV548" s="2">
        <f>IF(INDEX(FPL_Raw_Data!K:K,MATCH(A548,FPL_Raw_Data!AA:AA,0))=0,"",INDEX(FPL_Raw_Data!P:P,MATCH(A548,FPL_Raw_Data!AA:AA,0))/INDEX(FPL_Raw_Data!K:K,MATCH(A548,FPL_Raw_Data!AA:AA,0))*90)</f>
        <v>0</v>
      </c>
      <c r="AW548" s="2">
        <f t="shared" si="227"/>
        <v>0</v>
      </c>
      <c r="AX548" s="2">
        <f>IFERROR(INDEX(TEAM_ANALYSIS!$H$2:$H$21,MATCH($B548,TEAM_ANALYSIS!$A$2:$A$21,0)),0)</f>
        <v>1.3333333333333333</v>
      </c>
      <c r="AY548" s="2">
        <f t="shared" si="228"/>
        <v>0</v>
      </c>
      <c r="AZ548" s="2">
        <f t="shared" si="229"/>
        <v>4.9440338326914306</v>
      </c>
      <c r="BA548">
        <f t="shared" si="230"/>
        <v>0.79742481172442425</v>
      </c>
      <c r="BB548">
        <f>IFERROR(Player_Analysis!$Y548,1)</f>
        <v>1.0060034602076122</v>
      </c>
      <c r="BC548">
        <f t="shared" si="231"/>
        <v>4.9737151430710824</v>
      </c>
      <c r="BD548">
        <f t="shared" si="232"/>
        <v>3.9661638615343757</v>
      </c>
      <c r="BE548">
        <f t="shared" si="233"/>
        <v>4.9737151430710824</v>
      </c>
      <c r="BF548">
        <f t="shared" si="234"/>
        <v>95</v>
      </c>
      <c r="BG548">
        <f>IF($BE548="","",COUNTIFS($C$2:$C$596,$C548,$BE$2:$BE$596,"&gt;"&amp;$BE548)+COUNTIFS($C$2:$C548,$C548,$BE$2:$BE548,$BE548))</f>
        <v>11</v>
      </c>
    </row>
    <row r="549" spans="1:59" x14ac:dyDescent="0.25">
      <c r="A549" t="str">
        <f>Player_Analysis!A549</f>
        <v>William Osula</v>
      </c>
      <c r="B549">
        <f>Player_Analysis!C549</f>
        <v>17</v>
      </c>
      <c r="C549" t="str">
        <f>Player_Analysis!B549</f>
        <v>FWD</v>
      </c>
      <c r="D549" s="13">
        <f>Player_Analysis!E549</f>
        <v>5.9</v>
      </c>
      <c r="E549">
        <f>Player_Analysis!I549</f>
        <v>55</v>
      </c>
      <c r="F549" s="8">
        <f>Player_Analysis!Z549</f>
        <v>1</v>
      </c>
      <c r="G549" s="17">
        <f t="shared" si="209"/>
        <v>1</v>
      </c>
      <c r="H549">
        <f t="shared" si="210"/>
        <v>90</v>
      </c>
      <c r="I549" s="8">
        <f>Player_Analysis!AF549</f>
        <v>0</v>
      </c>
      <c r="J549" s="8">
        <f>Player_Analysis!AG549</f>
        <v>1</v>
      </c>
      <c r="K549">
        <f>Player_Analysis!O549</f>
        <v>0.06</v>
      </c>
      <c r="L549">
        <f>Player_Analysis!P549</f>
        <v>0.14000000000000001</v>
      </c>
      <c r="M549">
        <f t="shared" si="211"/>
        <v>9.818181818181819E-2</v>
      </c>
      <c r="N549">
        <f t="shared" si="212"/>
        <v>0.2290909090909091</v>
      </c>
      <c r="O549" s="2">
        <f>IF(E549=0,"",Player_Analysis!L549/E549*90)</f>
        <v>6.545454545454545</v>
      </c>
      <c r="P549">
        <f>IF(E549=0,"",Player_Analysis!Q549/E549*90)</f>
        <v>0.32727272727272727</v>
      </c>
      <c r="Q549">
        <f>IF(E549=0,"",(Player_Analysis!AD549/E549)*90)</f>
        <v>29.454545454545453</v>
      </c>
      <c r="R549">
        <f>IF(E549=0,"",Player_Analysis!AA549/E549*90)</f>
        <v>8.1818181818181817</v>
      </c>
      <c r="S549">
        <f t="array" ref="S549">IFERROR(INDEX('2023_24'!$O:$O,MATCH($A549,'2023_24'!$A:$A,0)),"")</f>
        <v>0.18971722365038557</v>
      </c>
      <c r="T549">
        <f>IFERROR(INDEX('2024_25'!$P:$P,MATCH($A549,'2024_25'!$A:$A,0)),"")</f>
        <v>0.11612903225806452</v>
      </c>
      <c r="U549">
        <f>IFERROR(INDEX('2025_26'!$P:$P,MATCH($A549,'2025_26'!$A:$A,0)),"")</f>
        <v>0.47850931677018638</v>
      </c>
      <c r="V549">
        <f>IFERROR(INDEX('2023_24'!$P:$P,MATCH($A549,'2023_24'!$A:$A,0)),"")</f>
        <v>1.7352185089974291E-2</v>
      </c>
      <c r="W549">
        <f>IFERROR(INDEX('2024_25'!$Q:$Q,MATCH($A549,'2024_25'!$A:$A,0)),"")</f>
        <v>3.6290322580645164E-2</v>
      </c>
      <c r="X549">
        <f>IFERROR(INDEX('2025_26'!$Q:$Q,MATCH($A549,'2025_26'!$A:$A,0)),"")</f>
        <v>6.9316770186335405E-2</v>
      </c>
      <c r="Y549">
        <f>IFERROR(INDEX('2023_24'!$M:$M,MATCH($A549,'2023_24'!$A:$A,0))/INDEX('2023_24'!$G:$G,MATCH($A549,'2023_24'!$A:$A,0))*90,"")</f>
        <v>2.8920308483290489</v>
      </c>
      <c r="Z549">
        <f>IFERROR(INDEX('2024_25'!$M:$M,MATCH($A549,'2024_25'!$A:$A,0))/INDEX('2024_25'!$G:$G,MATCH($A549,'2024_25'!$A:$A,0))*90,"")</f>
        <v>13.790322580645162</v>
      </c>
      <c r="AA549">
        <f>IFERROR(INDEX('2025_26'!$M:$M,MATCH($A549,'2025_26'!$A:$A,0))/INDEX('2025_26'!$G:$G,MATCH($A549,'2025_26'!$A:$A,0))*90,"")</f>
        <v>8.4968944099378891</v>
      </c>
      <c r="AB549">
        <f>IFERROR(SUMPRODUCT(S549:U549,{0.2,0.3,0.5})/SUMPRODUCT(--(S549:U549&lt;&gt;""),{0.2,0.3,0.5}),"")</f>
        <v>0.31203681279258966</v>
      </c>
      <c r="AC549">
        <f>IFERROR(SUMPRODUCT(V549:X549,{0.2,0.3,0.5})/SUMPRODUCT(--(V549:X549&lt;&gt;""),{0.2,0.3,0.5}),"")</f>
        <v>4.9015918885356113E-2</v>
      </c>
      <c r="AD549">
        <f>IFERROR(SUMPRODUCT(Y549:AA549,{0.2,0.3,0.5})/SUMPRODUCT((Y549:AA549&lt;&gt;"")*{0.2,0.3,0.5}),O549)</f>
        <v>8.9639501488283031</v>
      </c>
      <c r="AE549">
        <f t="shared" si="213"/>
        <v>3</v>
      </c>
      <c r="AF549">
        <f t="shared" si="214"/>
        <v>55</v>
      </c>
      <c r="AG549">
        <f t="shared" si="215"/>
        <v>0.27283006378061492</v>
      </c>
      <c r="AH549">
        <f t="shared" si="216"/>
        <v>8.2029667089707492E-2</v>
      </c>
      <c r="AI549" s="2">
        <f t="shared" si="217"/>
        <v>8.52055928820978</v>
      </c>
      <c r="AJ549">
        <f t="shared" si="218"/>
        <v>0.18333333333333332</v>
      </c>
      <c r="AK549" t="str">
        <f t="shared" si="219"/>
        <v>NO</v>
      </c>
      <c r="AL549">
        <f t="shared" si="220"/>
        <v>0.27283006378061492</v>
      </c>
      <c r="AM549">
        <f t="shared" si="221"/>
        <v>8.2029667089707492E-2</v>
      </c>
      <c r="AN549">
        <f t="shared" si="222"/>
        <v>0.27283006378061492</v>
      </c>
      <c r="AO549">
        <f t="shared" si="223"/>
        <v>8.2029667089707492E-2</v>
      </c>
      <c r="AP549">
        <f t="array" ref="AP549">AL549*IF($C549="GKP",10,IF($C549="DEF",6,IF($C549="MID",5,4)))</f>
        <v>1.0913202551224597</v>
      </c>
      <c r="AQ549">
        <f t="shared" si="224"/>
        <v>0.24608900126912248</v>
      </c>
      <c r="AR549">
        <f t="shared" si="225"/>
        <v>2</v>
      </c>
      <c r="AS549" s="2">
        <f>IF($H549=0,0,Player_Analysis!$AM549*$H549/90)</f>
        <v>0</v>
      </c>
      <c r="AT549">
        <f t="shared" si="226"/>
        <v>1.3636363636363635</v>
      </c>
      <c r="AU549" s="2">
        <f>0</f>
        <v>0</v>
      </c>
      <c r="AV549" s="2">
        <f>IF(INDEX(FPL_Raw_Data!K:K,MATCH(A549,FPL_Raw_Data!AA:AA,0))=0,"",INDEX(FPL_Raw_Data!P:P,MATCH(A549,FPL_Raw_Data!AA:AA,0))/INDEX(FPL_Raw_Data!K:K,MATCH(A549,FPL_Raw_Data!AA:AA,0))*90)</f>
        <v>0</v>
      </c>
      <c r="AW549" s="2">
        <f t="shared" si="227"/>
        <v>0</v>
      </c>
      <c r="AX549" s="2">
        <f>IFERROR(INDEX(TEAM_ANALYSIS!$H$2:$H$21,MATCH($B549,TEAM_ANALYSIS!$A$2:$A$21,0)),0)</f>
        <v>1.3333333333333333</v>
      </c>
      <c r="AY549" s="2">
        <f t="shared" si="228"/>
        <v>0</v>
      </c>
      <c r="AZ549" s="2">
        <f t="shared" si="229"/>
        <v>4.701045620027946</v>
      </c>
      <c r="BA549">
        <f t="shared" si="230"/>
        <v>0.79678739322507552</v>
      </c>
      <c r="BB549">
        <f>IFERROR(Player_Analysis!$Y549,1)</f>
        <v>1.0060034602076122</v>
      </c>
      <c r="BC549">
        <f t="shared" si="231"/>
        <v>4.7292681603419533</v>
      </c>
      <c r="BD549">
        <f t="shared" si="232"/>
        <v>3.7682212493412135</v>
      </c>
      <c r="BE549">
        <f t="shared" si="233"/>
        <v>4.7292681603419533</v>
      </c>
      <c r="BF549">
        <f t="shared" si="234"/>
        <v>112</v>
      </c>
      <c r="BG549">
        <f>IF($BE549="","",COUNTIFS($C$2:$C$596,$C549,$BE$2:$BE$596,"&gt;"&amp;$BE549)+COUNTIFS($C$2:$C549,$C549,$BE$2:$BE549,$BE549))</f>
        <v>13</v>
      </c>
    </row>
    <row r="550" spans="1:59" x14ac:dyDescent="0.25">
      <c r="A550" t="str">
        <f>Player_Analysis!A550</f>
        <v>Sean Neave</v>
      </c>
      <c r="B550">
        <f>Player_Analysis!C550</f>
        <v>17</v>
      </c>
      <c r="C550" t="str">
        <f>Player_Analysis!B550</f>
        <v>FWD</v>
      </c>
      <c r="D550" s="13">
        <f>Player_Analysis!E550</f>
        <v>4.5</v>
      </c>
      <c r="E550">
        <f>Player_Analysis!I550</f>
        <v>0</v>
      </c>
      <c r="F550" s="8">
        <f>Player_Analysis!Z550</f>
        <v>0</v>
      </c>
      <c r="G550" s="17">
        <f t="shared" si="209"/>
        <v>0</v>
      </c>
      <c r="H550">
        <f t="shared" si="210"/>
        <v>0</v>
      </c>
      <c r="I550" s="8">
        <f>Player_Analysis!AF550</f>
        <v>0</v>
      </c>
      <c r="J550" s="8">
        <f>Player_Analysis!AG550</f>
        <v>0</v>
      </c>
      <c r="K550">
        <f>Player_Analysis!O550</f>
        <v>0</v>
      </c>
      <c r="L550">
        <f>Player_Analysis!P550</f>
        <v>0</v>
      </c>
      <c r="M550" t="str">
        <f t="shared" si="211"/>
        <v/>
      </c>
      <c r="N550" t="str">
        <f t="shared" si="212"/>
        <v/>
      </c>
      <c r="O550" s="2" t="str">
        <f>IF(E550=0,"",Player_Analysis!L550/E550*90)</f>
        <v/>
      </c>
      <c r="P550" t="str">
        <f>IF(E550=0,"",Player_Analysis!Q550/E550*90)</f>
        <v/>
      </c>
      <c r="Q550" t="str">
        <f>IF(E550=0,"",(Player_Analysis!AD550/E550)*90)</f>
        <v/>
      </c>
      <c r="R550" t="str">
        <f>IF(E550=0,"",Player_Analysis!AA550/E550*90)</f>
        <v/>
      </c>
      <c r="S550" t="str">
        <f t="array" ref="S550">IFERROR(INDEX('2023_24'!$O:$O,MATCH($A550,'2023_24'!$A:$A,0)),"")</f>
        <v/>
      </c>
      <c r="T550">
        <f>IFERROR(INDEX('2024_25'!$P:$P,MATCH($A550,'2024_25'!$A:$A,0)),"")</f>
        <v>0</v>
      </c>
      <c r="U550">
        <f>IFERROR(INDEX('2025_26'!$P:$P,MATCH($A550,'2025_26'!$A:$A,0)),"")</f>
        <v>0.20769230769230768</v>
      </c>
      <c r="V550" t="str">
        <f>IFERROR(INDEX('2023_24'!$P:$P,MATCH($A550,'2023_24'!$A:$A,0)),"")</f>
        <v/>
      </c>
      <c r="W550">
        <f>IFERROR(INDEX('2024_25'!$Q:$Q,MATCH($A550,'2024_25'!$A:$A,0)),"")</f>
        <v>0</v>
      </c>
      <c r="X550">
        <f>IFERROR(INDEX('2025_26'!$Q:$Q,MATCH($A550,'2025_26'!$A:$A,0)),"")</f>
        <v>0</v>
      </c>
      <c r="Y550" t="str">
        <f>IFERROR(INDEX('2023_24'!$M:$M,MATCH($A550,'2023_24'!$A:$A,0))/INDEX('2023_24'!$G:$G,MATCH($A550,'2023_24'!$A:$A,0))*90,"")</f>
        <v/>
      </c>
      <c r="Z550" t="str">
        <f>IFERROR(INDEX('2024_25'!$M:$M,MATCH($A550,'2024_25'!$A:$A,0))/INDEX('2024_25'!$G:$G,MATCH($A550,'2024_25'!$A:$A,0))*90,"")</f>
        <v/>
      </c>
      <c r="AA550">
        <f>IFERROR(INDEX('2025_26'!$M:$M,MATCH($A550,'2025_26'!$A:$A,0))/INDEX('2025_26'!$G:$G,MATCH($A550,'2025_26'!$A:$A,0))*90,"")</f>
        <v>6.9230769230769234</v>
      </c>
      <c r="AB550">
        <f>IFERROR(SUMPRODUCT(S550:U550,{0.2,0.3,0.5})/SUMPRODUCT(--(S550:U550&lt;&gt;""),{0.2,0.3,0.5}),"")</f>
        <v>0.12980769230769229</v>
      </c>
      <c r="AC550">
        <f>IFERROR(SUMPRODUCT(V550:X550,{0.2,0.3,0.5})/SUMPRODUCT(--(V550:X550&lt;&gt;""),{0.2,0.3,0.5}),"")</f>
        <v>0</v>
      </c>
      <c r="AD550">
        <f>IFERROR(SUMPRODUCT(Y550:AA550,{0.2,0.3,0.5})/SUMPRODUCT((Y550:AA550&lt;&gt;"")*{0.2,0.3,0.5}),O550)</f>
        <v>6.9230769230769234</v>
      </c>
      <c r="AE550">
        <f t="shared" si="213"/>
        <v>2</v>
      </c>
      <c r="AF550" t="str">
        <f t="shared" si="214"/>
        <v/>
      </c>
      <c r="AG550">
        <f t="shared" si="215"/>
        <v>0.12980769230769229</v>
      </c>
      <c r="AH550">
        <f t="shared" si="216"/>
        <v>0</v>
      </c>
      <c r="AI550" s="2">
        <f t="shared" si="217"/>
        <v>6.9230769230769234</v>
      </c>
      <c r="AJ550">
        <f t="shared" si="218"/>
        <v>0</v>
      </c>
      <c r="AK550" t="str">
        <f t="shared" si="219"/>
        <v>NO</v>
      </c>
      <c r="AL550">
        <f t="shared" si="220"/>
        <v>0</v>
      </c>
      <c r="AM550">
        <f t="shared" si="221"/>
        <v>0</v>
      </c>
      <c r="AN550">
        <f t="shared" si="222"/>
        <v>0</v>
      </c>
      <c r="AO550">
        <f t="shared" si="223"/>
        <v>0</v>
      </c>
      <c r="AP550">
        <f t="array" ref="AP550">AL550*IF($C550="GKP",10,IF($C550="DEF",6,IF($C550="MID",5,4)))</f>
        <v>0</v>
      </c>
      <c r="AQ550">
        <f t="shared" si="224"/>
        <v>0</v>
      </c>
      <c r="AR550">
        <f t="shared" si="225"/>
        <v>0</v>
      </c>
      <c r="AS550" s="2">
        <f>IF($H550=0,0,Player_Analysis!$AM550*$H550/90)</f>
        <v>0</v>
      </c>
      <c r="AT550">
        <f t="shared" si="226"/>
        <v>0</v>
      </c>
      <c r="AU550" s="2">
        <f>0</f>
        <v>0</v>
      </c>
      <c r="AV550" s="2" t="str">
        <f>IF(INDEX(FPL_Raw_Data!K:K,MATCH(A550,FPL_Raw_Data!AA:AA,0))=0,"",INDEX(FPL_Raw_Data!P:P,MATCH(A550,FPL_Raw_Data!AA:AA,0))/INDEX(FPL_Raw_Data!K:K,MATCH(A550,FPL_Raw_Data!AA:AA,0))*90)</f>
        <v/>
      </c>
      <c r="AW550" s="2">
        <f t="shared" si="227"/>
        <v>0</v>
      </c>
      <c r="AX550" s="2">
        <f>IFERROR(INDEX(TEAM_ANALYSIS!$H$2:$H$21,MATCH($B550,TEAM_ANALYSIS!$A$2:$A$21,0)),0)</f>
        <v>1.3333333333333333</v>
      </c>
      <c r="AY550" s="2">
        <f t="shared" si="228"/>
        <v>0</v>
      </c>
      <c r="AZ550" s="2">
        <f t="shared" si="229"/>
        <v>0</v>
      </c>
      <c r="BA550">
        <f t="shared" si="230"/>
        <v>0</v>
      </c>
      <c r="BB550">
        <f>IFERROR(Player_Analysis!$Y550,1)</f>
        <v>1.0060034602076122</v>
      </c>
      <c r="BC550">
        <f t="shared" si="231"/>
        <v>0</v>
      </c>
      <c r="BD550">
        <f t="shared" si="232"/>
        <v>0</v>
      </c>
      <c r="BE550">
        <f t="shared" si="233"/>
        <v>0</v>
      </c>
      <c r="BF550">
        <f t="shared" si="234"/>
        <v>253</v>
      </c>
      <c r="BG550">
        <f>IF($BE550="","",COUNTIFS($C$2:$C$596,$C550,$BE$2:$BE$596,"&gt;"&amp;$BE550)+COUNTIFS($C$2:$C550,$C550,$BE$2:$BE550,$BE550))</f>
        <v>69</v>
      </c>
    </row>
    <row r="551" spans="1:59" x14ac:dyDescent="0.25">
      <c r="A551" t="str">
        <f>Player_Analysis!A551</f>
        <v>Aladji Bamba</v>
      </c>
      <c r="B551">
        <f>Player_Analysis!C551</f>
        <v>17</v>
      </c>
      <c r="C551" t="str">
        <f>Player_Analysis!B551</f>
        <v>MID</v>
      </c>
      <c r="D551" s="13">
        <f>Player_Analysis!E551</f>
        <v>4.9000000000000004</v>
      </c>
      <c r="E551">
        <f>Player_Analysis!I551</f>
        <v>14</v>
      </c>
      <c r="F551" s="8">
        <f>Player_Analysis!Z551</f>
        <v>0</v>
      </c>
      <c r="G551" s="17">
        <f t="shared" si="209"/>
        <v>0</v>
      </c>
      <c r="H551">
        <f t="shared" si="210"/>
        <v>0</v>
      </c>
      <c r="I551" s="8">
        <f>Player_Analysis!AF551</f>
        <v>0</v>
      </c>
      <c r="J551" s="8">
        <f>Player_Analysis!AG551</f>
        <v>0</v>
      </c>
      <c r="K551">
        <f>Player_Analysis!O551</f>
        <v>0</v>
      </c>
      <c r="L551">
        <f>Player_Analysis!P551</f>
        <v>0</v>
      </c>
      <c r="M551">
        <f t="shared" si="211"/>
        <v>0</v>
      </c>
      <c r="N551">
        <f t="shared" si="212"/>
        <v>0</v>
      </c>
      <c r="O551" s="2">
        <f>IF(E551=0,"",Player_Analysis!L551/E551*90)</f>
        <v>6.4285714285714279</v>
      </c>
      <c r="P551">
        <f>IF(E551=0,"",Player_Analysis!Q551/E551*90)</f>
        <v>0</v>
      </c>
      <c r="Q551">
        <f>IF(E551=0,"",(Player_Analysis!AD551/E551)*90)</f>
        <v>32.142857142857146</v>
      </c>
      <c r="R551">
        <f>IF(E551=0,"",Player_Analysis!AA551/E551*90)</f>
        <v>12.857142857142856</v>
      </c>
      <c r="S551" t="str">
        <f t="array" ref="S551">IFERROR(INDEX('2023_24'!$O:$O,MATCH($A551,'2023_24'!$A:$A,0)),"")</f>
        <v/>
      </c>
      <c r="T551" t="str">
        <f>IFERROR(INDEX('2024_25'!$P:$P,MATCH($A551,'2024_25'!$A:$A,0)),"")</f>
        <v/>
      </c>
      <c r="U551" t="str">
        <f>IFERROR(INDEX('2025_26'!$P:$P,MATCH($A551,'2025_26'!$A:$A,0)),"")</f>
        <v/>
      </c>
      <c r="V551" t="str">
        <f>IFERROR(INDEX('2023_24'!$P:$P,MATCH($A551,'2023_24'!$A:$A,0)),"")</f>
        <v/>
      </c>
      <c r="W551" t="str">
        <f>IFERROR(INDEX('2024_25'!$Q:$Q,MATCH($A551,'2024_25'!$A:$A,0)),"")</f>
        <v/>
      </c>
      <c r="X551" t="str">
        <f>IFERROR(INDEX('2025_26'!$Q:$Q,MATCH($A551,'2025_26'!$A:$A,0)),"")</f>
        <v/>
      </c>
      <c r="Y551" t="str">
        <f>IFERROR(INDEX('2023_24'!$M:$M,MATCH($A551,'2023_24'!$A:$A,0))/INDEX('2023_24'!$G:$G,MATCH($A551,'2023_24'!$A:$A,0))*90,"")</f>
        <v/>
      </c>
      <c r="Z551" t="str">
        <f>IFERROR(INDEX('2024_25'!$M:$M,MATCH($A551,'2024_25'!$A:$A,0))/INDEX('2024_25'!$G:$G,MATCH($A551,'2024_25'!$A:$A,0))*90,"")</f>
        <v/>
      </c>
      <c r="AA551" t="str">
        <f>IFERROR(INDEX('2025_26'!$M:$M,MATCH($A551,'2025_26'!$A:$A,0))/INDEX('2025_26'!$G:$G,MATCH($A551,'2025_26'!$A:$A,0))*90,"")</f>
        <v/>
      </c>
      <c r="AB551" t="str">
        <f>IFERROR(SUMPRODUCT(S551:U551,{0.2,0.3,0.5})/SUMPRODUCT(--(S551:U551&lt;&gt;""),{0.2,0.3,0.5}),"")</f>
        <v/>
      </c>
      <c r="AC551" t="str">
        <f>IFERROR(SUMPRODUCT(V551:X551,{0.2,0.3,0.5})/SUMPRODUCT(--(V551:X551&lt;&gt;""),{0.2,0.3,0.5}),"")</f>
        <v/>
      </c>
      <c r="AD551">
        <f>IFERROR(SUMPRODUCT(Y551:AA551,{0.2,0.3,0.5})/SUMPRODUCT((Y551:AA551&lt;&gt;"")*{0.2,0.3,0.5}),O551)</f>
        <v>6.4285714285714279</v>
      </c>
      <c r="AE551">
        <f t="shared" si="213"/>
        <v>0</v>
      </c>
      <c r="AF551" t="str">
        <f t="shared" si="214"/>
        <v/>
      </c>
      <c r="AG551">
        <f t="shared" si="215"/>
        <v>0</v>
      </c>
      <c r="AH551">
        <f t="shared" si="216"/>
        <v>0</v>
      </c>
      <c r="AI551" s="2">
        <f t="shared" si="217"/>
        <v>6.4285714285714279</v>
      </c>
      <c r="AJ551">
        <f t="shared" si="218"/>
        <v>4.6666666666666669E-2</v>
      </c>
      <c r="AK551" t="str">
        <f t="shared" si="219"/>
        <v>YES</v>
      </c>
      <c r="AL551">
        <f t="shared" si="220"/>
        <v>0</v>
      </c>
      <c r="AM551">
        <f t="shared" si="221"/>
        <v>0</v>
      </c>
      <c r="AN551">
        <f t="shared" si="222"/>
        <v>0</v>
      </c>
      <c r="AO551">
        <f t="shared" si="223"/>
        <v>0</v>
      </c>
      <c r="AP551">
        <f t="array" ref="AP551">AL551*IF($C551="GKP",10,IF($C551="DEF",6,IF($C551="MID",5,4)))</f>
        <v>0</v>
      </c>
      <c r="AQ551">
        <f t="shared" si="224"/>
        <v>0</v>
      </c>
      <c r="AR551">
        <f t="shared" si="225"/>
        <v>0</v>
      </c>
      <c r="AS551" s="2">
        <f>IF($H551=0,0,Player_Analysis!$AM551*$H551/90)</f>
        <v>0</v>
      </c>
      <c r="AT551">
        <f t="shared" si="226"/>
        <v>0</v>
      </c>
      <c r="AU551" s="2">
        <f>0</f>
        <v>0</v>
      </c>
      <c r="AV551" s="2">
        <f>IF(INDEX(FPL_Raw_Data!K:K,MATCH(A551,FPL_Raw_Data!AA:AA,0))=0,"",INDEX(FPL_Raw_Data!P:P,MATCH(A551,FPL_Raw_Data!AA:AA,0))/INDEX(FPL_Raw_Data!K:K,MATCH(A551,FPL_Raw_Data!AA:AA,0))*90)</f>
        <v>0</v>
      </c>
      <c r="AW551" s="2">
        <f t="shared" si="227"/>
        <v>0</v>
      </c>
      <c r="AX551" s="2">
        <f>IFERROR(INDEX(TEAM_ANALYSIS!$H$2:$H$21,MATCH($B551,TEAM_ANALYSIS!$A$2:$A$21,0)),0)</f>
        <v>1.3333333333333333</v>
      </c>
      <c r="AY551" s="2">
        <f t="shared" si="228"/>
        <v>0</v>
      </c>
      <c r="AZ551" s="2">
        <f t="shared" si="229"/>
        <v>0</v>
      </c>
      <c r="BA551">
        <f t="shared" si="230"/>
        <v>0</v>
      </c>
      <c r="BB551">
        <f>IFERROR(Player_Analysis!$Y551,1)</f>
        <v>1.0060034602076122</v>
      </c>
      <c r="BC551">
        <f t="shared" si="231"/>
        <v>0</v>
      </c>
      <c r="BD551">
        <f t="shared" si="232"/>
        <v>0</v>
      </c>
      <c r="BE551">
        <f t="shared" si="233"/>
        <v>0</v>
      </c>
      <c r="BF551">
        <f t="shared" si="234"/>
        <v>253</v>
      </c>
      <c r="BG551">
        <f>IF($BE551="","",COUNTIFS($C$2:$C$596,$C551,$BE$2:$BE$596,"&gt;"&amp;$BE551)+COUNTIFS($C$2:$C551,$C551,$BE$2:$BE551,$BE551))</f>
        <v>258</v>
      </c>
    </row>
    <row r="552" spans="1:59" x14ac:dyDescent="0.25">
      <c r="A552" t="str">
        <f>Player_Analysis!A552</f>
        <v>Lukás Hornícek</v>
      </c>
      <c r="B552">
        <f>Player_Analysis!C552</f>
        <v>17</v>
      </c>
      <c r="C552" t="str">
        <f>Player_Analysis!B552</f>
        <v>GK</v>
      </c>
      <c r="D552" s="13">
        <f>Player_Analysis!E552</f>
        <v>5</v>
      </c>
      <c r="E552">
        <f>Player_Analysis!I552</f>
        <v>270</v>
      </c>
      <c r="F552" s="8">
        <f>Player_Analysis!Z552</f>
        <v>3</v>
      </c>
      <c r="G552" s="17">
        <f t="shared" si="209"/>
        <v>1</v>
      </c>
      <c r="H552">
        <f t="shared" si="210"/>
        <v>90</v>
      </c>
      <c r="I552" s="8">
        <f>Player_Analysis!AF552</f>
        <v>0</v>
      </c>
      <c r="J552" s="8">
        <f>Player_Analysis!AG552</f>
        <v>0</v>
      </c>
      <c r="K552">
        <f>Player_Analysis!O552</f>
        <v>0</v>
      </c>
      <c r="L552">
        <f>Player_Analysis!P552</f>
        <v>0</v>
      </c>
      <c r="M552">
        <f t="shared" si="211"/>
        <v>0</v>
      </c>
      <c r="N552">
        <f t="shared" si="212"/>
        <v>0</v>
      </c>
      <c r="O552" s="2">
        <f>IF(E552=0,"",Player_Analysis!L552/E552*90)</f>
        <v>3.333333333333333</v>
      </c>
      <c r="P552">
        <f>IF(E552=0,"",Player_Analysis!Q552/E552*90)</f>
        <v>0</v>
      </c>
      <c r="Q552">
        <f>IF(E552=0,"",(Player_Analysis!AD552/E552)*90)</f>
        <v>18.666666666666668</v>
      </c>
      <c r="R552">
        <f>IF(E552=0,"",Player_Analysis!AA552/E552*90)</f>
        <v>0</v>
      </c>
      <c r="S552" t="str">
        <f t="array" ref="S552">IFERROR(INDEX('2023_24'!$O:$O,MATCH($A552,'2023_24'!$A:$A,0)),"")</f>
        <v/>
      </c>
      <c r="T552" t="str">
        <f>IFERROR(INDEX('2024_25'!$P:$P,MATCH($A552,'2024_25'!$A:$A,0)),"")</f>
        <v/>
      </c>
      <c r="U552" t="str">
        <f>IFERROR(INDEX('2025_26'!$P:$P,MATCH($A552,'2025_26'!$A:$A,0)),"")</f>
        <v/>
      </c>
      <c r="V552" t="str">
        <f>IFERROR(INDEX('2023_24'!$P:$P,MATCH($A552,'2023_24'!$A:$A,0)),"")</f>
        <v/>
      </c>
      <c r="W552" t="str">
        <f>IFERROR(INDEX('2024_25'!$Q:$Q,MATCH($A552,'2024_25'!$A:$A,0)),"")</f>
        <v/>
      </c>
      <c r="X552" t="str">
        <f>IFERROR(INDEX('2025_26'!$Q:$Q,MATCH($A552,'2025_26'!$A:$A,0)),"")</f>
        <v/>
      </c>
      <c r="Y552" t="str">
        <f>IFERROR(INDEX('2023_24'!$M:$M,MATCH($A552,'2023_24'!$A:$A,0))/INDEX('2023_24'!$G:$G,MATCH($A552,'2023_24'!$A:$A,0))*90,"")</f>
        <v/>
      </c>
      <c r="Z552" t="str">
        <f>IFERROR(INDEX('2024_25'!$M:$M,MATCH($A552,'2024_25'!$A:$A,0))/INDEX('2024_25'!$G:$G,MATCH($A552,'2024_25'!$A:$A,0))*90,"")</f>
        <v/>
      </c>
      <c r="AA552" t="str">
        <f>IFERROR(INDEX('2025_26'!$M:$M,MATCH($A552,'2025_26'!$A:$A,0))/INDEX('2025_26'!$G:$G,MATCH($A552,'2025_26'!$A:$A,0))*90,"")</f>
        <v/>
      </c>
      <c r="AB552" t="str">
        <f>IFERROR(SUMPRODUCT(S552:U552,{0.2,0.3,0.5})/SUMPRODUCT(--(S552:U552&lt;&gt;""),{0.2,0.3,0.5}),"")</f>
        <v/>
      </c>
      <c r="AC552" t="str">
        <f>IFERROR(SUMPRODUCT(V552:X552,{0.2,0.3,0.5})/SUMPRODUCT(--(V552:X552&lt;&gt;""),{0.2,0.3,0.5}),"")</f>
        <v/>
      </c>
      <c r="AD552">
        <f>IFERROR(SUMPRODUCT(Y552:AA552,{0.2,0.3,0.5})/SUMPRODUCT((Y552:AA552&lt;&gt;"")*{0.2,0.3,0.5}),O552)</f>
        <v>3.333333333333333</v>
      </c>
      <c r="AE552">
        <f t="shared" si="213"/>
        <v>0</v>
      </c>
      <c r="AF552">
        <f t="shared" si="214"/>
        <v>90</v>
      </c>
      <c r="AG552">
        <f t="shared" si="215"/>
        <v>0</v>
      </c>
      <c r="AH552">
        <f t="shared" si="216"/>
        <v>0</v>
      </c>
      <c r="AI552" s="2">
        <f t="shared" si="217"/>
        <v>3.333333333333333</v>
      </c>
      <c r="AJ552">
        <f t="shared" si="218"/>
        <v>0.9</v>
      </c>
      <c r="AK552" t="str">
        <f t="shared" si="219"/>
        <v>YES</v>
      </c>
      <c r="AL552">
        <f t="shared" si="220"/>
        <v>0</v>
      </c>
      <c r="AM552">
        <f t="shared" si="221"/>
        <v>0</v>
      </c>
      <c r="AN552">
        <f t="shared" si="222"/>
        <v>0</v>
      </c>
      <c r="AO552">
        <f t="shared" si="223"/>
        <v>0</v>
      </c>
      <c r="AP552">
        <f t="array" ref="AP552">AL552*IF($C552="GKP",10,IF($C552="DEF",6,IF($C552="MID",5,4)))</f>
        <v>0</v>
      </c>
      <c r="AQ552">
        <f t="shared" si="224"/>
        <v>0</v>
      </c>
      <c r="AR552">
        <f t="shared" si="225"/>
        <v>2</v>
      </c>
      <c r="AS552" s="2">
        <f>IF($H552=0,0,Player_Analysis!$AM552*$H552/90)</f>
        <v>1.3333333333333333</v>
      </c>
      <c r="AT552">
        <f t="shared" si="226"/>
        <v>0</v>
      </c>
      <c r="AU552" s="2">
        <f>0</f>
        <v>0</v>
      </c>
      <c r="AV552" s="2">
        <f>IF(INDEX(FPL_Raw_Data!K:K,MATCH(A552,FPL_Raw_Data!AA:AA,0))=0,"",INDEX(FPL_Raw_Data!P:P,MATCH(A552,FPL_Raw_Data!AA:AA,0))/INDEX(FPL_Raw_Data!K:K,MATCH(A552,FPL_Raw_Data!AA:AA,0))*90)</f>
        <v>4.333333333333333</v>
      </c>
      <c r="AW552" s="2">
        <f t="shared" si="227"/>
        <v>1.4444444444444444</v>
      </c>
      <c r="AX552" s="2">
        <f>IFERROR(INDEX(TEAM_ANALYSIS!$H$2:$H$21,MATCH($B552,TEAM_ANALYSIS!$A$2:$A$21,0)),0)</f>
        <v>1.3333333333333333</v>
      </c>
      <c r="AY552" s="2">
        <f t="shared" si="228"/>
        <v>0</v>
      </c>
      <c r="AZ552" s="2">
        <f t="shared" si="229"/>
        <v>4.7777777777777777</v>
      </c>
      <c r="BA552">
        <f t="shared" si="230"/>
        <v>0.95555555555555549</v>
      </c>
      <c r="BB552">
        <f>IFERROR(Player_Analysis!$Y552,1)</f>
        <v>1.1861524334251605</v>
      </c>
      <c r="BC552">
        <f t="shared" si="231"/>
        <v>5.6671727374757666</v>
      </c>
      <c r="BD552">
        <f t="shared" si="232"/>
        <v>5.4152983935879542</v>
      </c>
      <c r="BE552">
        <f t="shared" si="233"/>
        <v>5.6671727374757666</v>
      </c>
      <c r="BF552">
        <f t="shared" si="234"/>
        <v>57</v>
      </c>
      <c r="BG552">
        <f>IF($BE552="","",COUNTIFS($C$2:$C$596,$C552,$BE$2:$BE$596,"&gt;"&amp;$BE552)+COUNTIFS($C$2:$C552,$C552,$BE$2:$BE552,$BE552))</f>
        <v>3</v>
      </c>
    </row>
    <row r="553" spans="1:59" x14ac:dyDescent="0.25">
      <c r="A553" t="str">
        <f>Player_Analysis!A553</f>
        <v>Amar Dedic</v>
      </c>
      <c r="B553">
        <f>Player_Analysis!C553</f>
        <v>17</v>
      </c>
      <c r="C553" t="str">
        <f>Player_Analysis!B553</f>
        <v>DEF</v>
      </c>
      <c r="D553" s="13">
        <f>Player_Analysis!E553</f>
        <v>4.5</v>
      </c>
      <c r="E553">
        <f>Player_Analysis!I553</f>
        <v>270</v>
      </c>
      <c r="F553" s="8">
        <f>Player_Analysis!Z553</f>
        <v>3</v>
      </c>
      <c r="G553" s="17">
        <f t="shared" si="209"/>
        <v>1</v>
      </c>
      <c r="H553">
        <f t="shared" si="210"/>
        <v>90</v>
      </c>
      <c r="I553" s="8">
        <f>Player_Analysis!AF553</f>
        <v>0</v>
      </c>
      <c r="J553" s="8">
        <f>Player_Analysis!AG553</f>
        <v>1</v>
      </c>
      <c r="K553">
        <f>Player_Analysis!O553</f>
        <v>0.14000000000000001</v>
      </c>
      <c r="L553">
        <f>Player_Analysis!P553</f>
        <v>0.08</v>
      </c>
      <c r="M553">
        <f t="shared" si="211"/>
        <v>4.6666666666666669E-2</v>
      </c>
      <c r="N553">
        <f t="shared" si="212"/>
        <v>2.6666666666666665E-2</v>
      </c>
      <c r="O553" s="2">
        <f>IF(E553=0,"",Player_Analysis!L553/E553*90)</f>
        <v>4.333333333333333</v>
      </c>
      <c r="P553">
        <f>IF(E553=0,"",Player_Analysis!Q553/E553*90)</f>
        <v>7.3333333333333334E-2</v>
      </c>
      <c r="Q553">
        <f>IF(E553=0,"",(Player_Analysis!AD553/E553)*90)</f>
        <v>12.999999999999998</v>
      </c>
      <c r="R553">
        <f>IF(E553=0,"",Player_Analysis!AA553/E553*90)</f>
        <v>6</v>
      </c>
      <c r="S553" t="str">
        <f t="array" ref="S553">IFERROR(INDEX('2023_24'!$O:$O,MATCH($A553,'2023_24'!$A:$A,0)),"")</f>
        <v/>
      </c>
      <c r="T553" t="str">
        <f>IFERROR(INDEX('2024_25'!$P:$P,MATCH($A553,'2024_25'!$A:$A,0)),"")</f>
        <v/>
      </c>
      <c r="U553" t="str">
        <f>IFERROR(INDEX('2025_26'!$P:$P,MATCH($A553,'2025_26'!$A:$A,0)),"")</f>
        <v/>
      </c>
      <c r="V553" t="str">
        <f>IFERROR(INDEX('2023_24'!$P:$P,MATCH($A553,'2023_24'!$A:$A,0)),"")</f>
        <v/>
      </c>
      <c r="W553" t="str">
        <f>IFERROR(INDEX('2024_25'!$Q:$Q,MATCH($A553,'2024_25'!$A:$A,0)),"")</f>
        <v/>
      </c>
      <c r="X553" t="str">
        <f>IFERROR(INDEX('2025_26'!$Q:$Q,MATCH($A553,'2025_26'!$A:$A,0)),"")</f>
        <v/>
      </c>
      <c r="Y553" t="str">
        <f>IFERROR(INDEX('2023_24'!$M:$M,MATCH($A553,'2023_24'!$A:$A,0))/INDEX('2023_24'!$G:$G,MATCH($A553,'2023_24'!$A:$A,0))*90,"")</f>
        <v/>
      </c>
      <c r="Z553" t="str">
        <f>IFERROR(INDEX('2024_25'!$M:$M,MATCH($A553,'2024_25'!$A:$A,0))/INDEX('2024_25'!$G:$G,MATCH($A553,'2024_25'!$A:$A,0))*90,"")</f>
        <v/>
      </c>
      <c r="AA553" t="str">
        <f>IFERROR(INDEX('2025_26'!$M:$M,MATCH($A553,'2025_26'!$A:$A,0))/INDEX('2025_26'!$G:$G,MATCH($A553,'2025_26'!$A:$A,0))*90,"")</f>
        <v/>
      </c>
      <c r="AB553" t="str">
        <f>IFERROR(SUMPRODUCT(S553:U553,{0.2,0.3,0.5})/SUMPRODUCT(--(S553:U553&lt;&gt;""),{0.2,0.3,0.5}),"")</f>
        <v/>
      </c>
      <c r="AC553" t="str">
        <f>IFERROR(SUMPRODUCT(V553:X553,{0.2,0.3,0.5})/SUMPRODUCT(--(V553:X553&lt;&gt;""),{0.2,0.3,0.5}),"")</f>
        <v/>
      </c>
      <c r="AD553">
        <f>IFERROR(SUMPRODUCT(Y553:AA553,{0.2,0.3,0.5})/SUMPRODUCT((Y553:AA553&lt;&gt;"")*{0.2,0.3,0.5}),O553)</f>
        <v>4.333333333333333</v>
      </c>
      <c r="AE553">
        <f t="shared" si="213"/>
        <v>0</v>
      </c>
      <c r="AF553">
        <f t="shared" si="214"/>
        <v>90</v>
      </c>
      <c r="AG553">
        <f t="shared" si="215"/>
        <v>4.6666666666666669E-2</v>
      </c>
      <c r="AH553">
        <f t="shared" si="216"/>
        <v>2.6666666666666665E-2</v>
      </c>
      <c r="AI553" s="2">
        <f t="shared" si="217"/>
        <v>4.333333333333333</v>
      </c>
      <c r="AJ553">
        <f t="shared" si="218"/>
        <v>0.9</v>
      </c>
      <c r="AK553" t="str">
        <f t="shared" si="219"/>
        <v>YES</v>
      </c>
      <c r="AL553">
        <f t="shared" si="220"/>
        <v>4.6666666666666669E-2</v>
      </c>
      <c r="AM553">
        <f t="shared" si="221"/>
        <v>2.6666666666666665E-2</v>
      </c>
      <c r="AN553">
        <f t="shared" si="222"/>
        <v>4.6666666666666669E-2</v>
      </c>
      <c r="AO553">
        <f t="shared" si="223"/>
        <v>2.6666666666666665E-2</v>
      </c>
      <c r="AP553">
        <f t="array" ref="AP553">AL553*IF($C553="GKP",10,IF($C553="DEF",6,IF($C553="MID",5,4)))</f>
        <v>0.28000000000000003</v>
      </c>
      <c r="AQ553">
        <f t="shared" si="224"/>
        <v>7.9999999999999988E-2</v>
      </c>
      <c r="AR553">
        <f t="shared" si="225"/>
        <v>2</v>
      </c>
      <c r="AS553" s="2">
        <f>IF($H553=0,0,Player_Analysis!$AM553*$H553/90)</f>
        <v>1.3333333333333333</v>
      </c>
      <c r="AT553">
        <f t="shared" si="226"/>
        <v>1.2</v>
      </c>
      <c r="AU553" s="2">
        <f>0</f>
        <v>0</v>
      </c>
      <c r="AV553" s="2">
        <f>IF(INDEX(FPL_Raw_Data!K:K,MATCH(A553,FPL_Raw_Data!AA:AA,0))=0,"",INDEX(FPL_Raw_Data!P:P,MATCH(A553,FPL_Raw_Data!AA:AA,0))/INDEX(FPL_Raw_Data!K:K,MATCH(A553,FPL_Raw_Data!AA:AA,0))*90)</f>
        <v>0</v>
      </c>
      <c r="AW553" s="2">
        <f t="shared" si="227"/>
        <v>0</v>
      </c>
      <c r="AX553" s="2">
        <f>IFERROR(INDEX(TEAM_ANALYSIS!$H$2:$H$21,MATCH($B553,TEAM_ANALYSIS!$A$2:$A$21,0)),0)</f>
        <v>1.3333333333333333</v>
      </c>
      <c r="AY553" s="2">
        <f t="shared" si="228"/>
        <v>-0.66666666666666663</v>
      </c>
      <c r="AZ553" s="2">
        <f t="shared" si="229"/>
        <v>4.2266666666666666</v>
      </c>
      <c r="BA553">
        <f t="shared" si="230"/>
        <v>0.93925925925925924</v>
      </c>
      <c r="BB553">
        <f>IFERROR(Player_Analysis!$Y553,1)</f>
        <v>1.1861524334251605</v>
      </c>
      <c r="BC553">
        <f t="shared" si="231"/>
        <v>5.0134709519436784</v>
      </c>
      <c r="BD553">
        <f t="shared" si="232"/>
        <v>4.7089490126404323</v>
      </c>
      <c r="BE553">
        <f t="shared" si="233"/>
        <v>5.0134709519436784</v>
      </c>
      <c r="BF553">
        <f t="shared" si="234"/>
        <v>91</v>
      </c>
      <c r="BG553">
        <f>IF($BE553="","",COUNTIFS($C$2:$C$596,$C553,$BE$2:$BE$596,"&gt;"&amp;$BE553)+COUNTIFS($C$2:$C553,$C553,$BE$2:$BE553,$BE553))</f>
        <v>35</v>
      </c>
    </row>
    <row r="554" spans="1:59" x14ac:dyDescent="0.25">
      <c r="A554" t="str">
        <f>Player_Analysis!A554</f>
        <v>Leo Shahar</v>
      </c>
      <c r="B554">
        <f>Player_Analysis!C554</f>
        <v>17</v>
      </c>
      <c r="C554" t="str">
        <f>Player_Analysis!B554</f>
        <v>DEF</v>
      </c>
      <c r="D554" s="13">
        <f>Player_Analysis!E554</f>
        <v>4</v>
      </c>
      <c r="E554">
        <f>Player_Analysis!I554</f>
        <v>0</v>
      </c>
      <c r="F554" s="8">
        <f>Player_Analysis!Z554</f>
        <v>0</v>
      </c>
      <c r="G554" s="17">
        <f t="shared" si="209"/>
        <v>0</v>
      </c>
      <c r="H554">
        <f t="shared" si="210"/>
        <v>0</v>
      </c>
      <c r="I554" s="8">
        <f>Player_Analysis!AF554</f>
        <v>0</v>
      </c>
      <c r="J554" s="8">
        <f>Player_Analysis!AG554</f>
        <v>0</v>
      </c>
      <c r="K554">
        <f>Player_Analysis!O554</f>
        <v>0</v>
      </c>
      <c r="L554">
        <f>Player_Analysis!P554</f>
        <v>0</v>
      </c>
      <c r="M554" t="str">
        <f t="shared" si="211"/>
        <v/>
      </c>
      <c r="N554" t="str">
        <f t="shared" si="212"/>
        <v/>
      </c>
      <c r="O554" s="2" t="str">
        <f>IF(E554=0,"",Player_Analysis!L554/E554*90)</f>
        <v/>
      </c>
      <c r="P554" t="str">
        <f>IF(E554=0,"",Player_Analysis!Q554/E554*90)</f>
        <v/>
      </c>
      <c r="Q554" t="str">
        <f>IF(E554=0,"",(Player_Analysis!AD554/E554)*90)</f>
        <v/>
      </c>
      <c r="R554" t="str">
        <f>IF(E554=0,"",Player_Analysis!AA554/E554*90)</f>
        <v/>
      </c>
      <c r="S554" t="str">
        <f t="array" ref="S554">IFERROR(INDEX('2023_24'!$O:$O,MATCH($A554,'2023_24'!$A:$A,0)),"")</f>
        <v/>
      </c>
      <c r="T554" t="str">
        <f>IFERROR(INDEX('2024_25'!$P:$P,MATCH($A554,'2024_25'!$A:$A,0)),"")</f>
        <v/>
      </c>
      <c r="U554">
        <f>IFERROR(INDEX('2025_26'!$P:$P,MATCH($A554,'2025_26'!$A:$A,0)),"")</f>
        <v>0</v>
      </c>
      <c r="V554" t="str">
        <f>IFERROR(INDEX('2023_24'!$P:$P,MATCH($A554,'2023_24'!$A:$A,0)),"")</f>
        <v/>
      </c>
      <c r="W554" t="str">
        <f>IFERROR(INDEX('2024_25'!$Q:$Q,MATCH($A554,'2024_25'!$A:$A,0)),"")</f>
        <v/>
      </c>
      <c r="X554">
        <f>IFERROR(INDEX('2025_26'!$Q:$Q,MATCH($A554,'2025_26'!$A:$A,0)),"")</f>
        <v>0</v>
      </c>
      <c r="Y554" t="str">
        <f>IFERROR(INDEX('2023_24'!$M:$M,MATCH($A554,'2023_24'!$A:$A,0))/INDEX('2023_24'!$G:$G,MATCH($A554,'2023_24'!$A:$A,0))*90,"")</f>
        <v/>
      </c>
      <c r="Z554" t="str">
        <f>IFERROR(INDEX('2024_25'!$M:$M,MATCH($A554,'2024_25'!$A:$A,0))/INDEX('2024_25'!$G:$G,MATCH($A554,'2024_25'!$A:$A,0))*90,"")</f>
        <v/>
      </c>
      <c r="AA554" t="str">
        <f>IFERROR(INDEX('2025_26'!$M:$M,MATCH($A554,'2025_26'!$A:$A,0))/INDEX('2025_26'!$G:$G,MATCH($A554,'2025_26'!$A:$A,0))*90,"")</f>
        <v/>
      </c>
      <c r="AB554">
        <f>IFERROR(SUMPRODUCT(S554:U554,{0.2,0.3,0.5})/SUMPRODUCT(--(S554:U554&lt;&gt;""),{0.2,0.3,0.5}),"")</f>
        <v>0</v>
      </c>
      <c r="AC554">
        <f>IFERROR(SUMPRODUCT(V554:X554,{0.2,0.3,0.5})/SUMPRODUCT(--(V554:X554&lt;&gt;""),{0.2,0.3,0.5}),"")</f>
        <v>0</v>
      </c>
      <c r="AD554" t="str">
        <f>IFERROR(SUMPRODUCT(Y554:AA554,{0.2,0.3,0.5})/SUMPRODUCT((Y554:AA554&lt;&gt;"")*{0.2,0.3,0.5}),O554)</f>
        <v/>
      </c>
      <c r="AE554">
        <f t="shared" si="213"/>
        <v>1</v>
      </c>
      <c r="AF554" t="str">
        <f t="shared" si="214"/>
        <v/>
      </c>
      <c r="AG554">
        <f t="shared" si="215"/>
        <v>0</v>
      </c>
      <c r="AH554">
        <f t="shared" si="216"/>
        <v>0</v>
      </c>
      <c r="AI554" s="2">
        <f t="shared" si="217"/>
        <v>0</v>
      </c>
      <c r="AJ554">
        <f t="shared" si="218"/>
        <v>0</v>
      </c>
      <c r="AK554" t="str">
        <f t="shared" si="219"/>
        <v>NO</v>
      </c>
      <c r="AL554">
        <f t="shared" si="220"/>
        <v>0</v>
      </c>
      <c r="AM554">
        <f t="shared" si="221"/>
        <v>0</v>
      </c>
      <c r="AN554">
        <f t="shared" si="222"/>
        <v>0</v>
      </c>
      <c r="AO554">
        <f t="shared" si="223"/>
        <v>0</v>
      </c>
      <c r="AP554">
        <f t="array" ref="AP554">AL554*IF($C554="GKP",10,IF($C554="DEF",6,IF($C554="MID",5,4)))</f>
        <v>0</v>
      </c>
      <c r="AQ554">
        <f t="shared" si="224"/>
        <v>0</v>
      </c>
      <c r="AR554">
        <f t="shared" si="225"/>
        <v>0</v>
      </c>
      <c r="AS554" s="2">
        <f>IF($H554=0,0,Player_Analysis!$AM554*$H554/90)</f>
        <v>0</v>
      </c>
      <c r="AT554">
        <f t="shared" si="226"/>
        <v>0</v>
      </c>
      <c r="AU554" s="2">
        <f>0</f>
        <v>0</v>
      </c>
      <c r="AV554" s="2" t="str">
        <f>IF(INDEX(FPL_Raw_Data!K:K,MATCH(A554,FPL_Raw_Data!AA:AA,0))=0,"",INDEX(FPL_Raw_Data!P:P,MATCH(A554,FPL_Raw_Data!AA:AA,0))/INDEX(FPL_Raw_Data!K:K,MATCH(A554,FPL_Raw_Data!AA:AA,0))*90)</f>
        <v/>
      </c>
      <c r="AW554" s="2">
        <f t="shared" si="227"/>
        <v>0</v>
      </c>
      <c r="AX554" s="2">
        <f>IFERROR(INDEX(TEAM_ANALYSIS!$H$2:$H$21,MATCH($B554,TEAM_ANALYSIS!$A$2:$A$21,0)),0)</f>
        <v>1.3333333333333333</v>
      </c>
      <c r="AY554" s="2">
        <f t="shared" si="228"/>
        <v>-0.66666666666666663</v>
      </c>
      <c r="AZ554" s="2">
        <f t="shared" si="229"/>
        <v>-0.66666666666666663</v>
      </c>
      <c r="BA554">
        <f t="shared" si="230"/>
        <v>-0.16666666666666666</v>
      </c>
      <c r="BB554">
        <f>IFERROR(Player_Analysis!$Y554,1)</f>
        <v>1.1861524334251605</v>
      </c>
      <c r="BC554">
        <f t="shared" si="231"/>
        <v>-0.79076828895010698</v>
      </c>
      <c r="BD554">
        <f t="shared" si="232"/>
        <v>0.13179471482501781</v>
      </c>
      <c r="BE554">
        <f t="shared" si="233"/>
        <v>-0.79076828895010698</v>
      </c>
      <c r="BF554">
        <f t="shared" si="234"/>
        <v>548</v>
      </c>
      <c r="BG554">
        <f>IF($BE554="","",COUNTIFS($C$2:$C$596,$C554,$BE$2:$BE$596,"&gt;"&amp;$BE554)+COUNTIFS($C$2:$C554,$C554,$BE$2:$BE554,$BE554))</f>
        <v>149</v>
      </c>
    </row>
    <row r="555" spans="1:59" x14ac:dyDescent="0.25">
      <c r="A555" t="str">
        <f>Player_Analysis!A555</f>
        <v>Matias Fernandez-Pardo</v>
      </c>
      <c r="B555">
        <f>Player_Analysis!C555</f>
        <v>17</v>
      </c>
      <c r="C555" t="str">
        <f>Player_Analysis!B555</f>
        <v>FWD</v>
      </c>
      <c r="D555" s="13">
        <f>Player_Analysis!E555</f>
        <v>6</v>
      </c>
      <c r="E555">
        <f>Player_Analysis!I555</f>
        <v>27</v>
      </c>
      <c r="F555" s="8">
        <f>Player_Analysis!Z555</f>
        <v>0</v>
      </c>
      <c r="G555" s="17">
        <f t="shared" si="209"/>
        <v>0</v>
      </c>
      <c r="H555">
        <f t="shared" si="210"/>
        <v>0</v>
      </c>
      <c r="I555" s="8">
        <f>Player_Analysis!AF555</f>
        <v>0</v>
      </c>
      <c r="J555" s="8">
        <f>Player_Analysis!AG555</f>
        <v>0</v>
      </c>
      <c r="K555">
        <f>Player_Analysis!O555</f>
        <v>0</v>
      </c>
      <c r="L555">
        <f>Player_Analysis!P555</f>
        <v>0</v>
      </c>
      <c r="M555">
        <f t="shared" si="211"/>
        <v>0</v>
      </c>
      <c r="N555">
        <f t="shared" si="212"/>
        <v>0</v>
      </c>
      <c r="O555" s="2">
        <f>IF(E555=0,"",Player_Analysis!L555/E555*90)</f>
        <v>3.333333333333333</v>
      </c>
      <c r="P555">
        <f>IF(E555=0,"",Player_Analysis!Q555/E555*90)</f>
        <v>0</v>
      </c>
      <c r="Q555">
        <f>IF(E555=0,"",(Player_Analysis!AD555/E555)*90)</f>
        <v>13.333333333333332</v>
      </c>
      <c r="R555">
        <f>IF(E555=0,"",Player_Analysis!AA555/E555*90)</f>
        <v>3.333333333333333</v>
      </c>
      <c r="S555" t="str">
        <f t="array" ref="S555">IFERROR(INDEX('2023_24'!$O:$O,MATCH($A555,'2023_24'!$A:$A,0)),"")</f>
        <v/>
      </c>
      <c r="T555" t="str">
        <f>IFERROR(INDEX('2024_25'!$P:$P,MATCH($A555,'2024_25'!$A:$A,0)),"")</f>
        <v/>
      </c>
      <c r="U555" t="str">
        <f>IFERROR(INDEX('2025_26'!$P:$P,MATCH($A555,'2025_26'!$A:$A,0)),"")</f>
        <v/>
      </c>
      <c r="V555" t="str">
        <f>IFERROR(INDEX('2023_24'!$P:$P,MATCH($A555,'2023_24'!$A:$A,0)),"")</f>
        <v/>
      </c>
      <c r="W555" t="str">
        <f>IFERROR(INDEX('2024_25'!$Q:$Q,MATCH($A555,'2024_25'!$A:$A,0)),"")</f>
        <v/>
      </c>
      <c r="X555" t="str">
        <f>IFERROR(INDEX('2025_26'!$Q:$Q,MATCH($A555,'2025_26'!$A:$A,0)),"")</f>
        <v/>
      </c>
      <c r="Y555" t="str">
        <f>IFERROR(INDEX('2023_24'!$M:$M,MATCH($A555,'2023_24'!$A:$A,0))/INDEX('2023_24'!$G:$G,MATCH($A555,'2023_24'!$A:$A,0))*90,"")</f>
        <v/>
      </c>
      <c r="Z555" t="str">
        <f>IFERROR(INDEX('2024_25'!$M:$M,MATCH($A555,'2024_25'!$A:$A,0))/INDEX('2024_25'!$G:$G,MATCH($A555,'2024_25'!$A:$A,0))*90,"")</f>
        <v/>
      </c>
      <c r="AA555" t="str">
        <f>IFERROR(INDEX('2025_26'!$M:$M,MATCH($A555,'2025_26'!$A:$A,0))/INDEX('2025_26'!$G:$G,MATCH($A555,'2025_26'!$A:$A,0))*90,"")</f>
        <v/>
      </c>
      <c r="AB555" t="str">
        <f>IFERROR(SUMPRODUCT(S555:U555,{0.2,0.3,0.5})/SUMPRODUCT(--(S555:U555&lt;&gt;""),{0.2,0.3,0.5}),"")</f>
        <v/>
      </c>
      <c r="AC555" t="str">
        <f>IFERROR(SUMPRODUCT(V555:X555,{0.2,0.3,0.5})/SUMPRODUCT(--(V555:X555&lt;&gt;""),{0.2,0.3,0.5}),"")</f>
        <v/>
      </c>
      <c r="AD555">
        <f>IFERROR(SUMPRODUCT(Y555:AA555,{0.2,0.3,0.5})/SUMPRODUCT((Y555:AA555&lt;&gt;"")*{0.2,0.3,0.5}),O555)</f>
        <v>3.333333333333333</v>
      </c>
      <c r="AE555">
        <f t="shared" si="213"/>
        <v>0</v>
      </c>
      <c r="AF555" t="str">
        <f t="shared" si="214"/>
        <v/>
      </c>
      <c r="AG555">
        <f t="shared" si="215"/>
        <v>0</v>
      </c>
      <c r="AH555">
        <f t="shared" si="216"/>
        <v>0</v>
      </c>
      <c r="AI555" s="2">
        <f t="shared" si="217"/>
        <v>3.333333333333333</v>
      </c>
      <c r="AJ555">
        <f t="shared" si="218"/>
        <v>0.09</v>
      </c>
      <c r="AK555" t="str">
        <f t="shared" si="219"/>
        <v>YES</v>
      </c>
      <c r="AL555">
        <f t="shared" si="220"/>
        <v>0</v>
      </c>
      <c r="AM555">
        <f t="shared" si="221"/>
        <v>0</v>
      </c>
      <c r="AN555">
        <f t="shared" si="222"/>
        <v>0</v>
      </c>
      <c r="AO555">
        <f t="shared" si="223"/>
        <v>0</v>
      </c>
      <c r="AP555">
        <f t="array" ref="AP555">AL555*IF($C555="GKP",10,IF($C555="DEF",6,IF($C555="MID",5,4)))</f>
        <v>0</v>
      </c>
      <c r="AQ555">
        <f t="shared" si="224"/>
        <v>0</v>
      </c>
      <c r="AR555">
        <f t="shared" si="225"/>
        <v>0</v>
      </c>
      <c r="AS555" s="2">
        <f>IF($H555=0,0,Player_Analysis!$AM555*$H555/90)</f>
        <v>0</v>
      </c>
      <c r="AT555">
        <f t="shared" si="226"/>
        <v>0</v>
      </c>
      <c r="AU555" s="2">
        <f>0</f>
        <v>0</v>
      </c>
      <c r="AV555" s="2">
        <f>IF(INDEX(FPL_Raw_Data!K:K,MATCH(A555,FPL_Raw_Data!AA:AA,0))=0,"",INDEX(FPL_Raw_Data!P:P,MATCH(A555,FPL_Raw_Data!AA:AA,0))/INDEX(FPL_Raw_Data!K:K,MATCH(A555,FPL_Raw_Data!AA:AA,0))*90)</f>
        <v>0</v>
      </c>
      <c r="AW555" s="2">
        <f t="shared" si="227"/>
        <v>0</v>
      </c>
      <c r="AX555" s="2">
        <f>IFERROR(INDEX(TEAM_ANALYSIS!$H$2:$H$21,MATCH($B555,TEAM_ANALYSIS!$A$2:$A$21,0)),0)</f>
        <v>1.3333333333333333</v>
      </c>
      <c r="AY555" s="2">
        <f t="shared" si="228"/>
        <v>0</v>
      </c>
      <c r="AZ555" s="2">
        <f t="shared" si="229"/>
        <v>0</v>
      </c>
      <c r="BA555">
        <f t="shared" si="230"/>
        <v>0</v>
      </c>
      <c r="BB555">
        <f>IFERROR(Player_Analysis!$Y555,1)</f>
        <v>1.0060034602076122</v>
      </c>
      <c r="BC555">
        <f t="shared" si="231"/>
        <v>0</v>
      </c>
      <c r="BD555">
        <f t="shared" si="232"/>
        <v>0</v>
      </c>
      <c r="BE555">
        <f t="shared" si="233"/>
        <v>0</v>
      </c>
      <c r="BF555">
        <f t="shared" si="234"/>
        <v>253</v>
      </c>
      <c r="BG555">
        <f>IF($BE555="","",COUNTIFS($C$2:$C$596,$C555,$BE$2:$BE$596,"&gt;"&amp;$BE555)+COUNTIFS($C$2:$C555,$C555,$BE$2:$BE555,$BE555))</f>
        <v>70</v>
      </c>
    </row>
    <row r="556" spans="1:59" x14ac:dyDescent="0.25">
      <c r="A556" t="str">
        <f>Player_Analysis!A556</f>
        <v>Liam Delap</v>
      </c>
      <c r="B556">
        <f>Player_Analysis!C556</f>
        <v>18</v>
      </c>
      <c r="C556" t="str">
        <f>Player_Analysis!B556</f>
        <v>FWD</v>
      </c>
      <c r="D556" s="13">
        <f>Player_Analysis!E556</f>
        <v>5.5</v>
      </c>
      <c r="E556">
        <f>Player_Analysis!I556</f>
        <v>97</v>
      </c>
      <c r="F556" s="8">
        <f>Player_Analysis!Z556</f>
        <v>1</v>
      </c>
      <c r="G556" s="17">
        <f t="shared" si="209"/>
        <v>0.92783505154639179</v>
      </c>
      <c r="H556">
        <f t="shared" si="210"/>
        <v>83.505154639175259</v>
      </c>
      <c r="I556" s="8">
        <f>Player_Analysis!AF556</f>
        <v>0</v>
      </c>
      <c r="J556" s="8">
        <f>Player_Analysis!AG556</f>
        <v>0</v>
      </c>
      <c r="K556">
        <f>Player_Analysis!O556</f>
        <v>0.13</v>
      </c>
      <c r="L556">
        <f>Player_Analysis!P556</f>
        <v>0.06</v>
      </c>
      <c r="M556">
        <f t="shared" si="211"/>
        <v>0.12061855670103093</v>
      </c>
      <c r="N556">
        <f t="shared" si="212"/>
        <v>5.5670103092783502E-2</v>
      </c>
      <c r="O556" s="2">
        <f>IF(E556=0,"",Player_Analysis!L556/E556*90)</f>
        <v>2.7835051546391751</v>
      </c>
      <c r="P556">
        <f>IF(E556=0,"",Player_Analysis!Q556/E556*90)</f>
        <v>0.17628865979381442</v>
      </c>
      <c r="Q556">
        <f>IF(E556=0,"",(Player_Analysis!AD556/E556)*90)</f>
        <v>13.917525773195877</v>
      </c>
      <c r="R556">
        <f>IF(E556=0,"",Player_Analysis!AA556/E556*90)</f>
        <v>4.6391752577319583</v>
      </c>
      <c r="S556" t="str">
        <f t="array" ref="S556">IFERROR(INDEX('2023_24'!$O:$O,MATCH($A556,'2023_24'!$A:$A,0)),"")</f>
        <v/>
      </c>
      <c r="T556">
        <f>IFERROR(INDEX('2024_25'!$P:$P,MATCH($A556,'2024_25'!$A:$A,0)),"")</f>
        <v>0.32841128720525703</v>
      </c>
      <c r="U556">
        <f>IFERROR(INDEX('2025_26'!$P:$P,MATCH($A556,'2025_26'!$A:$A,0)),"")</f>
        <v>0.37417582417582418</v>
      </c>
      <c r="V556" t="str">
        <f>IFERROR(INDEX('2023_24'!$P:$P,MATCH($A556,'2023_24'!$A:$A,0)),"")</f>
        <v/>
      </c>
      <c r="W556">
        <f>IFERROR(INDEX('2024_25'!$Q:$Q,MATCH($A556,'2024_25'!$A:$A,0)),"")</f>
        <v>4.8009277155005796E-2</v>
      </c>
      <c r="X556">
        <f>IFERROR(INDEX('2025_26'!$Q:$Q,MATCH($A556,'2025_26'!$A:$A,0)),"")</f>
        <v>1.8956043956043955E-2</v>
      </c>
      <c r="Y556" t="str">
        <f>IFERROR(INDEX('2023_24'!$M:$M,MATCH($A556,'2023_24'!$A:$A,0))/INDEX('2023_24'!$G:$G,MATCH($A556,'2023_24'!$A:$A,0))*90,"")</f>
        <v/>
      </c>
      <c r="Z556">
        <f>IFERROR(INDEX('2024_25'!$M:$M,MATCH($A556,'2024_25'!$A:$A,0))/INDEX('2024_25'!$G:$G,MATCH($A556,'2024_25'!$A:$A,0))*90,"")</f>
        <v>4.5921917278701203</v>
      </c>
      <c r="AA556">
        <f>IFERROR(INDEX('2025_26'!$M:$M,MATCH($A556,'2025_26'!$A:$A,0))/INDEX('2025_26'!$G:$G,MATCH($A556,'2025_26'!$A:$A,0))*90,"")</f>
        <v>3.7087912087912089</v>
      </c>
      <c r="AB556">
        <f>IFERROR(SUMPRODUCT(S556:U556,{0.2,0.3,0.5})/SUMPRODUCT(--(S556:U556&lt;&gt;""),{0.2,0.3,0.5}),"")</f>
        <v>0.35701412281186146</v>
      </c>
      <c r="AC556">
        <f>IFERROR(SUMPRODUCT(V556:X556,{0.2,0.3,0.5})/SUMPRODUCT(--(V556:X556&lt;&gt;""),{0.2,0.3,0.5}),"")</f>
        <v>2.9851006405654645E-2</v>
      </c>
      <c r="AD556">
        <f>IFERROR(SUMPRODUCT(Y556:AA556,{0.2,0.3,0.5})/SUMPRODUCT((Y556:AA556&lt;&gt;"")*{0.2,0.3,0.5}),O556)</f>
        <v>4.0400664034458007</v>
      </c>
      <c r="AE556">
        <f t="shared" si="213"/>
        <v>2</v>
      </c>
      <c r="AF556">
        <f t="shared" si="214"/>
        <v>97</v>
      </c>
      <c r="AG556">
        <f t="shared" si="215"/>
        <v>0.28057955643602628</v>
      </c>
      <c r="AH556">
        <f t="shared" si="216"/>
        <v>3.8199181001159641E-2</v>
      </c>
      <c r="AI556" s="2">
        <f t="shared" si="217"/>
        <v>3.6337782663316589</v>
      </c>
      <c r="AJ556">
        <f t="shared" si="218"/>
        <v>0.32333333333333331</v>
      </c>
      <c r="AK556" t="str">
        <f t="shared" si="219"/>
        <v>NO</v>
      </c>
      <c r="AL556">
        <f t="shared" si="220"/>
        <v>0.26033154720868418</v>
      </c>
      <c r="AM556">
        <f t="shared" si="221"/>
        <v>3.5442539073240902E-2</v>
      </c>
      <c r="AN556">
        <f t="shared" si="222"/>
        <v>0.26033154720868418</v>
      </c>
      <c r="AO556">
        <f t="shared" si="223"/>
        <v>3.5442539073240902E-2</v>
      </c>
      <c r="AP556">
        <f t="array" ref="AP556">AL556*IF($C556="GKP",10,IF($C556="DEF",6,IF($C556="MID",5,4)))</f>
        <v>1.0413261888347367</v>
      </c>
      <c r="AQ556">
        <f t="shared" si="224"/>
        <v>0.1063276172197227</v>
      </c>
      <c r="AR556">
        <f t="shared" si="225"/>
        <v>1.8556701030927836</v>
      </c>
      <c r="AS556" s="2">
        <f>IF($H556=0,0,Player_Analysis!$AM556*$H556/90)</f>
        <v>0</v>
      </c>
      <c r="AT556">
        <f t="shared" si="226"/>
        <v>0.71739823573174599</v>
      </c>
      <c r="AU556" s="2">
        <f>0</f>
        <v>0</v>
      </c>
      <c r="AV556" s="2">
        <f>IF(INDEX(FPL_Raw_Data!K:K,MATCH(A556,FPL_Raw_Data!AA:AA,0))=0,"",INDEX(FPL_Raw_Data!P:P,MATCH(A556,FPL_Raw_Data!AA:AA,0))/INDEX(FPL_Raw_Data!K:K,MATCH(A556,FPL_Raw_Data!AA:AA,0))*90)</f>
        <v>0</v>
      </c>
      <c r="AW556" s="2">
        <f t="shared" si="227"/>
        <v>0</v>
      </c>
      <c r="AX556" s="2">
        <f>IFERROR(INDEX(TEAM_ANALYSIS!$H$2:$H$21,MATCH($B556,TEAM_ANALYSIS!$A$2:$A$21,0)),0)</f>
        <v>1</v>
      </c>
      <c r="AY556" s="2">
        <f t="shared" si="228"/>
        <v>0</v>
      </c>
      <c r="AZ556" s="2">
        <f t="shared" si="229"/>
        <v>3.7207221448789887</v>
      </c>
      <c r="BA556">
        <f t="shared" si="230"/>
        <v>0.67649493543254335</v>
      </c>
      <c r="BB556">
        <f>IFERROR(Player_Analysis!$Y556,1)</f>
        <v>0.87800173010380622</v>
      </c>
      <c r="BC556">
        <f t="shared" si="231"/>
        <v>3.2668004804392967</v>
      </c>
      <c r="BD556">
        <f t="shared" si="232"/>
        <v>2.2099739800857838</v>
      </c>
      <c r="BE556">
        <f t="shared" si="233"/>
        <v>3.2668004804392967</v>
      </c>
      <c r="BF556">
        <f t="shared" si="234"/>
        <v>189</v>
      </c>
      <c r="BG556">
        <f>IF($BE556="","",COUNTIFS($C$2:$C$596,$C556,$BE$2:$BE$596,"&gt;"&amp;$BE556)+COUNTIFS($C$2:$C556,$C556,$BE$2:$BE556,$BE556))</f>
        <v>19</v>
      </c>
    </row>
    <row r="557" spans="1:59" x14ac:dyDescent="0.25">
      <c r="A557" t="str">
        <f>Player_Analysis!A557</f>
        <v>Daniel Muñoz Mejía</v>
      </c>
      <c r="B557">
        <f>Player_Analysis!C557</f>
        <v>18</v>
      </c>
      <c r="C557" t="str">
        <f>Player_Analysis!B557</f>
        <v>DEF</v>
      </c>
      <c r="D557" s="13">
        <f>Player_Analysis!E557</f>
        <v>5.4</v>
      </c>
      <c r="E557">
        <f>Player_Analysis!I557</f>
        <v>85</v>
      </c>
      <c r="F557" s="8">
        <f>Player_Analysis!Z557</f>
        <v>1</v>
      </c>
      <c r="G557" s="17">
        <f t="shared" si="209"/>
        <v>1</v>
      </c>
      <c r="H557">
        <f t="shared" si="210"/>
        <v>90</v>
      </c>
      <c r="I557" s="8">
        <f>Player_Analysis!AF557</f>
        <v>0</v>
      </c>
      <c r="J557" s="8">
        <f>Player_Analysis!AG557</f>
        <v>0</v>
      </c>
      <c r="K557">
        <f>Player_Analysis!O557</f>
        <v>0.26</v>
      </c>
      <c r="L557">
        <f>Player_Analysis!P557</f>
        <v>0.01</v>
      </c>
      <c r="M557">
        <f t="shared" si="211"/>
        <v>0.27529411764705886</v>
      </c>
      <c r="N557">
        <f t="shared" si="212"/>
        <v>1.0588235294117647E-2</v>
      </c>
      <c r="O557" s="2">
        <f>IF(E557=0,"",Player_Analysis!L557/E557*90)</f>
        <v>1.0588235294117647</v>
      </c>
      <c r="P557">
        <f>IF(E557=0,"",Player_Analysis!Q557/E557*90)</f>
        <v>0.28588235294117648</v>
      </c>
      <c r="Q557">
        <f>IF(E557=0,"",(Player_Analysis!AD557/E557)*90)</f>
        <v>1.0588235294117647</v>
      </c>
      <c r="R557">
        <f>IF(E557=0,"",Player_Analysis!AA557/E557*90)</f>
        <v>5.2941176470588234</v>
      </c>
      <c r="S557" t="str">
        <f t="array" ref="S557">IFERROR(INDEX('2023_24'!$O:$O,MATCH($A557,'2023_24'!$A:$A,0)),"")</f>
        <v/>
      </c>
      <c r="T557" t="str">
        <f>IFERROR(INDEX('2024_25'!$P:$P,MATCH($A557,'2024_25'!$A:$A,0)),"")</f>
        <v/>
      </c>
      <c r="U557">
        <f>IFERROR(INDEX('2025_26'!$P:$P,MATCH($A557,'2025_26'!$A:$A,0)),"")</f>
        <v>9.1875000000000012E-2</v>
      </c>
      <c r="V557" t="str">
        <f>IFERROR(INDEX('2023_24'!$P:$P,MATCH($A557,'2023_24'!$A:$A,0)),"")</f>
        <v/>
      </c>
      <c r="W557" t="str">
        <f>IFERROR(INDEX('2024_25'!$Q:$Q,MATCH($A557,'2024_25'!$A:$A,0)),"")</f>
        <v/>
      </c>
      <c r="X557">
        <f>IFERROR(INDEX('2025_26'!$Q:$Q,MATCH($A557,'2025_26'!$A:$A,0)),"")</f>
        <v>0.14774999999999999</v>
      </c>
      <c r="Y557" t="str">
        <f>IFERROR(INDEX('2023_24'!$M:$M,MATCH($A557,'2023_24'!$A:$A,0))/INDEX('2023_24'!$G:$G,MATCH($A557,'2023_24'!$A:$A,0))*90,"")</f>
        <v/>
      </c>
      <c r="Z557" t="str">
        <f>IFERROR(INDEX('2024_25'!$M:$M,MATCH($A557,'2024_25'!$A:$A,0))/INDEX('2024_25'!$G:$G,MATCH($A557,'2024_25'!$A:$A,0))*90,"")</f>
        <v/>
      </c>
      <c r="AA557">
        <f>IFERROR(INDEX('2025_26'!$M:$M,MATCH($A557,'2025_26'!$A:$A,0))/INDEX('2025_26'!$G:$G,MATCH($A557,'2025_26'!$A:$A,0))*90,"")</f>
        <v>5.0999999999999996</v>
      </c>
      <c r="AB557">
        <f>IFERROR(SUMPRODUCT(S557:U557,{0.2,0.3,0.5})/SUMPRODUCT(--(S557:U557&lt;&gt;""),{0.2,0.3,0.5}),"")</f>
        <v>9.1875000000000012E-2</v>
      </c>
      <c r="AC557">
        <f>IFERROR(SUMPRODUCT(V557:X557,{0.2,0.3,0.5})/SUMPRODUCT(--(V557:X557&lt;&gt;""),{0.2,0.3,0.5}),"")</f>
        <v>0.14774999999999999</v>
      </c>
      <c r="AD557">
        <f>IFERROR(SUMPRODUCT(Y557:AA557,{0.2,0.3,0.5})/SUMPRODUCT((Y557:AA557&lt;&gt;"")*{0.2,0.3,0.5}),O557)</f>
        <v>5.0999999999999996</v>
      </c>
      <c r="AE557">
        <f t="shared" si="213"/>
        <v>1</v>
      </c>
      <c r="AF557">
        <f t="shared" si="214"/>
        <v>85</v>
      </c>
      <c r="AG557">
        <f t="shared" si="215"/>
        <v>0.14384375000000002</v>
      </c>
      <c r="AH557">
        <f t="shared" si="216"/>
        <v>0.1088875</v>
      </c>
      <c r="AI557" s="2">
        <f t="shared" si="217"/>
        <v>3.9549999999999996</v>
      </c>
      <c r="AJ557">
        <f t="shared" si="218"/>
        <v>0.28333333333333333</v>
      </c>
      <c r="AK557" t="str">
        <f t="shared" si="219"/>
        <v>NO</v>
      </c>
      <c r="AL557">
        <f t="shared" si="220"/>
        <v>0.14384375000000002</v>
      </c>
      <c r="AM557">
        <f t="shared" si="221"/>
        <v>0.1088875</v>
      </c>
      <c r="AN557">
        <f t="shared" si="222"/>
        <v>0.14384375000000002</v>
      </c>
      <c r="AO557">
        <f t="shared" si="223"/>
        <v>0.1088875</v>
      </c>
      <c r="AP557">
        <f t="array" ref="AP557">AL557*IF($C557="GKP",10,IF($C557="DEF",6,IF($C557="MID",5,4)))</f>
        <v>0.86306250000000007</v>
      </c>
      <c r="AQ557">
        <f t="shared" si="224"/>
        <v>0.32666249999999997</v>
      </c>
      <c r="AR557">
        <f t="shared" si="225"/>
        <v>2</v>
      </c>
      <c r="AS557" s="2">
        <f>IF($H557=0,0,Player_Analysis!$AM557*$H557/90)</f>
        <v>0</v>
      </c>
      <c r="AT557">
        <f t="shared" si="226"/>
        <v>1.0588235294117647</v>
      </c>
      <c r="AU557" s="2">
        <f>0</f>
        <v>0</v>
      </c>
      <c r="AV557" s="2">
        <f>IF(INDEX(FPL_Raw_Data!K:K,MATCH(A557,FPL_Raw_Data!AA:AA,0))=0,"",INDEX(FPL_Raw_Data!P:P,MATCH(A557,FPL_Raw_Data!AA:AA,0))/INDEX(FPL_Raw_Data!K:K,MATCH(A557,FPL_Raw_Data!AA:AA,0))*90)</f>
        <v>0</v>
      </c>
      <c r="AW557" s="2">
        <f t="shared" si="227"/>
        <v>0</v>
      </c>
      <c r="AX557" s="2">
        <f>IFERROR(INDEX(TEAM_ANALYSIS!$H$2:$H$21,MATCH($B557,TEAM_ANALYSIS!$A$2:$A$21,0)),0)</f>
        <v>1</v>
      </c>
      <c r="AY557" s="2">
        <f t="shared" si="228"/>
        <v>-0.5</v>
      </c>
      <c r="AZ557" s="2">
        <f t="shared" si="229"/>
        <v>3.7485485294117646</v>
      </c>
      <c r="BA557">
        <f t="shared" si="230"/>
        <v>0.69417565359477118</v>
      </c>
      <c r="BB557">
        <f>IFERROR(Player_Analysis!$Y557,1)</f>
        <v>1.1658368376787216</v>
      </c>
      <c r="BC557">
        <f t="shared" si="231"/>
        <v>4.3701959634146341</v>
      </c>
      <c r="BD557">
        <f t="shared" si="232"/>
        <v>3.0336836392405844</v>
      </c>
      <c r="BE557">
        <f t="shared" si="233"/>
        <v>4.3701959634146341</v>
      </c>
      <c r="BF557">
        <f t="shared" si="234"/>
        <v>133</v>
      </c>
      <c r="BG557">
        <f>IF($BE557="","",COUNTIFS($C$2:$C$596,$C557,$BE$2:$BE$596,"&gt;"&amp;$BE557)+COUNTIFS($C$2:$C557,$C557,$BE$2:$BE557,$BE557))</f>
        <v>45</v>
      </c>
    </row>
    <row r="558" spans="1:59" x14ac:dyDescent="0.25">
      <c r="A558" t="str">
        <f>Player_Analysis!A558</f>
        <v>Matz Sels</v>
      </c>
      <c r="B558">
        <f>Player_Analysis!C558</f>
        <v>18</v>
      </c>
      <c r="C558" t="str">
        <f>Player_Analysis!B558</f>
        <v>GK</v>
      </c>
      <c r="D558" s="13">
        <f>Player_Analysis!E558</f>
        <v>5</v>
      </c>
      <c r="E558">
        <f>Player_Analysis!I558</f>
        <v>270</v>
      </c>
      <c r="F558" s="8">
        <f>Player_Analysis!Z558</f>
        <v>3</v>
      </c>
      <c r="G558" s="17">
        <f t="shared" si="209"/>
        <v>1</v>
      </c>
      <c r="H558">
        <f t="shared" si="210"/>
        <v>90</v>
      </c>
      <c r="I558" s="8">
        <f>Player_Analysis!AF558</f>
        <v>0</v>
      </c>
      <c r="J558" s="8">
        <f>Player_Analysis!AG558</f>
        <v>0</v>
      </c>
      <c r="K558">
        <f>Player_Analysis!O558</f>
        <v>0</v>
      </c>
      <c r="L558">
        <f>Player_Analysis!P558</f>
        <v>0.01</v>
      </c>
      <c r="M558">
        <f t="shared" si="211"/>
        <v>0</v>
      </c>
      <c r="N558">
        <f t="shared" si="212"/>
        <v>3.3333333333333331E-3</v>
      </c>
      <c r="O558" s="2">
        <f>IF(E558=0,"",Player_Analysis!L558/E558*90)</f>
        <v>3</v>
      </c>
      <c r="P558">
        <f>IF(E558=0,"",Player_Analysis!Q558/E558*90)</f>
        <v>3.3333333333333331E-3</v>
      </c>
      <c r="Q558">
        <f>IF(E558=0,"",(Player_Analysis!AD558/E558)*90)</f>
        <v>12.666666666666668</v>
      </c>
      <c r="R558">
        <f>IF(E558=0,"",Player_Analysis!AA558/E558*90)</f>
        <v>0</v>
      </c>
      <c r="S558">
        <f t="array" ref="S558">IFERROR(INDEX('2023_24'!$O:$O,MATCH($A558,'2023_24'!$A:$A,0)),"")</f>
        <v>0</v>
      </c>
      <c r="T558">
        <f>IFERROR(INDEX('2024_25'!$P:$P,MATCH($A558,'2024_25'!$A:$A,0)),"")</f>
        <v>0</v>
      </c>
      <c r="U558">
        <f>IFERROR(INDEX('2025_26'!$P:$P,MATCH($A558,'2025_26'!$A:$A,0)),"")</f>
        <v>0</v>
      </c>
      <c r="V558">
        <f>IFERROR(INDEX('2023_24'!$P:$P,MATCH($A558,'2023_24'!$A:$A,0)),"")</f>
        <v>5.6249999999999998E-3</v>
      </c>
      <c r="W558">
        <f>IFERROR(INDEX('2024_25'!$Q:$Q,MATCH($A558,'2024_25'!$A:$A,0)),"")</f>
        <v>6.8421052631578959E-3</v>
      </c>
      <c r="X558">
        <f>IFERROR(INDEX('2025_26'!$Q:$Q,MATCH($A558,'2025_26'!$A:$A,0)),"")</f>
        <v>2.0247469066366703E-3</v>
      </c>
      <c r="Y558">
        <f>IFERROR(INDEX('2023_24'!$M:$M,MATCH($A558,'2023_24'!$A:$A,0))/INDEX('2023_24'!$G:$G,MATCH($A558,'2023_24'!$A:$A,0))*90,"")</f>
        <v>2.125</v>
      </c>
      <c r="Z558">
        <f>IFERROR(INDEX('2024_25'!$M:$M,MATCH($A558,'2024_25'!$A:$A,0))/INDEX('2024_25'!$G:$G,MATCH($A558,'2024_25'!$A:$A,0))*90,"")</f>
        <v>3.9473684210526314</v>
      </c>
      <c r="AA558">
        <f>IFERROR(INDEX('2025_26'!$M:$M,MATCH($A558,'2025_26'!$A:$A,0))/INDEX('2025_26'!$G:$G,MATCH($A558,'2025_26'!$A:$A,0))*90,"")</f>
        <v>3.5433070866141732</v>
      </c>
      <c r="AB558">
        <f>IFERROR(SUMPRODUCT(S558:U558,{0.2,0.3,0.5})/SUMPRODUCT(--(S558:U558&lt;&gt;""),{0.2,0.3,0.5}),"")</f>
        <v>0</v>
      </c>
      <c r="AC558">
        <f>IFERROR(SUMPRODUCT(V558:X558,{0.2,0.3,0.5})/SUMPRODUCT(--(V558:X558&lt;&gt;""),{0.2,0.3,0.5}),"")</f>
        <v>4.1900050322657041E-3</v>
      </c>
      <c r="AD558">
        <f>IFERROR(SUMPRODUCT(Y558:AA558,{0.2,0.3,0.5})/SUMPRODUCT((Y558:AA558&lt;&gt;"")*{0.2,0.3,0.5}),O558)</f>
        <v>3.3808640696228762</v>
      </c>
      <c r="AE558">
        <f t="shared" si="213"/>
        <v>3</v>
      </c>
      <c r="AF558">
        <f t="shared" si="214"/>
        <v>90</v>
      </c>
      <c r="AG558">
        <f t="shared" si="215"/>
        <v>0</v>
      </c>
      <c r="AH558">
        <f t="shared" si="216"/>
        <v>3.4190005032265704E-3</v>
      </c>
      <c r="AI558" s="2">
        <f t="shared" si="217"/>
        <v>3.0380864069622877</v>
      </c>
      <c r="AJ558">
        <f t="shared" si="218"/>
        <v>0.9</v>
      </c>
      <c r="AK558" t="str">
        <f t="shared" si="219"/>
        <v>NO</v>
      </c>
      <c r="AL558">
        <f t="shared" si="220"/>
        <v>0</v>
      </c>
      <c r="AM558">
        <f t="shared" si="221"/>
        <v>3.41900050322657E-3</v>
      </c>
      <c r="AN558">
        <f t="shared" si="222"/>
        <v>0</v>
      </c>
      <c r="AO558">
        <f t="shared" si="223"/>
        <v>3.41900050322657E-3</v>
      </c>
      <c r="AP558">
        <f t="array" ref="AP558">AL558*IF($C558="GKP",10,IF($C558="DEF",6,IF($C558="MID",5,4)))</f>
        <v>0</v>
      </c>
      <c r="AQ558">
        <f t="shared" si="224"/>
        <v>1.025700150967971E-2</v>
      </c>
      <c r="AR558">
        <f t="shared" si="225"/>
        <v>2</v>
      </c>
      <c r="AS558" s="2">
        <f>IF($H558=0,0,Player_Analysis!$AM558*$H558/90)</f>
        <v>1.3333333333333333</v>
      </c>
      <c r="AT558">
        <f t="shared" si="226"/>
        <v>0</v>
      </c>
      <c r="AU558" s="2">
        <f>0</f>
        <v>0</v>
      </c>
      <c r="AV558" s="2">
        <f>IF(INDEX(FPL_Raw_Data!K:K,MATCH(A558,FPL_Raw_Data!AA:AA,0))=0,"",INDEX(FPL_Raw_Data!P:P,MATCH(A558,FPL_Raw_Data!AA:AA,0))/INDEX(FPL_Raw_Data!K:K,MATCH(A558,FPL_Raw_Data!AA:AA,0))*90)</f>
        <v>1.3333333333333335</v>
      </c>
      <c r="AW558" s="2">
        <f t="shared" si="227"/>
        <v>0.44444444444444448</v>
      </c>
      <c r="AX558" s="2">
        <f>IFERROR(INDEX(TEAM_ANALYSIS!$H$2:$H$21,MATCH($B558,TEAM_ANALYSIS!$A$2:$A$21,0)),0)</f>
        <v>1</v>
      </c>
      <c r="AY558" s="2">
        <f t="shared" si="228"/>
        <v>0</v>
      </c>
      <c r="AZ558" s="2">
        <f t="shared" si="229"/>
        <v>3.7880347792874574</v>
      </c>
      <c r="BA558">
        <f t="shared" si="230"/>
        <v>0.75760695585749149</v>
      </c>
      <c r="BB558">
        <f>IFERROR(Player_Analysis!$Y558,1)</f>
        <v>1.1658368376787216</v>
      </c>
      <c r="BC558">
        <f t="shared" si="231"/>
        <v>4.4162304881015038</v>
      </c>
      <c r="BD558">
        <f t="shared" si="232"/>
        <v>3.345766936455624</v>
      </c>
      <c r="BE558">
        <f t="shared" si="233"/>
        <v>4.4162304881015038</v>
      </c>
      <c r="BF558">
        <f t="shared" si="234"/>
        <v>127</v>
      </c>
      <c r="BG558">
        <f>IF($BE558="","",COUNTIFS($C$2:$C$596,$C558,$BE$2:$BE$596,"&gt;"&amp;$BE558)+COUNTIFS($C$2:$C558,$C558,$BE$2:$BE558,$BE558))</f>
        <v>9</v>
      </c>
    </row>
    <row r="559" spans="1:59" x14ac:dyDescent="0.25">
      <c r="A559" t="str">
        <f>Player_Analysis!A559</f>
        <v>John Victor Maciel Furtado</v>
      </c>
      <c r="B559">
        <f>Player_Analysis!C559</f>
        <v>18</v>
      </c>
      <c r="C559" t="str">
        <f>Player_Analysis!B559</f>
        <v>GK</v>
      </c>
      <c r="D559" s="13">
        <f>Player_Analysis!E559</f>
        <v>4.5</v>
      </c>
      <c r="E559">
        <f>Player_Analysis!I559</f>
        <v>0</v>
      </c>
      <c r="F559" s="8">
        <f>Player_Analysis!Z559</f>
        <v>0</v>
      </c>
      <c r="G559" s="17">
        <f t="shared" si="209"/>
        <v>0</v>
      </c>
      <c r="H559">
        <f t="shared" si="210"/>
        <v>0</v>
      </c>
      <c r="I559" s="8">
        <f>Player_Analysis!AF559</f>
        <v>0</v>
      </c>
      <c r="J559" s="8">
        <f>Player_Analysis!AG559</f>
        <v>0</v>
      </c>
      <c r="K559">
        <f>Player_Analysis!O559</f>
        <v>0</v>
      </c>
      <c r="L559">
        <f>Player_Analysis!P559</f>
        <v>0</v>
      </c>
      <c r="M559" t="str">
        <f t="shared" si="211"/>
        <v/>
      </c>
      <c r="N559" t="str">
        <f t="shared" si="212"/>
        <v/>
      </c>
      <c r="O559" s="2" t="str">
        <f>IF(E559=0,"",Player_Analysis!L559/E559*90)</f>
        <v/>
      </c>
      <c r="P559" t="str">
        <f>IF(E559=0,"",Player_Analysis!Q559/E559*90)</f>
        <v/>
      </c>
      <c r="Q559" t="str">
        <f>IF(E559=0,"",(Player_Analysis!AD559/E559)*90)</f>
        <v/>
      </c>
      <c r="R559" t="str">
        <f>IF(E559=0,"",Player_Analysis!AA559/E559*90)</f>
        <v/>
      </c>
      <c r="S559" t="str">
        <f t="array" ref="S559">IFERROR(INDEX('2023_24'!$O:$O,MATCH($A559,'2023_24'!$A:$A,0)),"")</f>
        <v/>
      </c>
      <c r="T559" t="str">
        <f>IFERROR(INDEX('2024_25'!$P:$P,MATCH($A559,'2024_25'!$A:$A,0)),"")</f>
        <v/>
      </c>
      <c r="U559">
        <f>IFERROR(INDEX('2025_26'!$P:$P,MATCH($A559,'2025_26'!$A:$A,0)),"")</f>
        <v>0</v>
      </c>
      <c r="V559" t="str">
        <f>IFERROR(INDEX('2023_24'!$P:$P,MATCH($A559,'2023_24'!$A:$A,0)),"")</f>
        <v/>
      </c>
      <c r="W559" t="str">
        <f>IFERROR(INDEX('2024_25'!$Q:$Q,MATCH($A559,'2024_25'!$A:$A,0)),"")</f>
        <v/>
      </c>
      <c r="X559">
        <f>IFERROR(INDEX('2025_26'!$Q:$Q,MATCH($A559,'2025_26'!$A:$A,0)),"")</f>
        <v>0</v>
      </c>
      <c r="Y559" t="str">
        <f>IFERROR(INDEX('2023_24'!$M:$M,MATCH($A559,'2023_24'!$A:$A,0))/INDEX('2023_24'!$G:$G,MATCH($A559,'2023_24'!$A:$A,0))*90,"")</f>
        <v/>
      </c>
      <c r="Z559" t="str">
        <f>IFERROR(INDEX('2024_25'!$M:$M,MATCH($A559,'2024_25'!$A:$A,0))/INDEX('2024_25'!$G:$G,MATCH($A559,'2024_25'!$A:$A,0))*90,"")</f>
        <v/>
      </c>
      <c r="AA559">
        <f>IFERROR(INDEX('2025_26'!$M:$M,MATCH($A559,'2025_26'!$A:$A,0))/INDEX('2025_26'!$G:$G,MATCH($A559,'2025_26'!$A:$A,0))*90,"")</f>
        <v>2.2654462242562929</v>
      </c>
      <c r="AB559">
        <f>IFERROR(SUMPRODUCT(S559:U559,{0.2,0.3,0.5})/SUMPRODUCT(--(S559:U559&lt;&gt;""),{0.2,0.3,0.5}),"")</f>
        <v>0</v>
      </c>
      <c r="AC559">
        <f>IFERROR(SUMPRODUCT(V559:X559,{0.2,0.3,0.5})/SUMPRODUCT(--(V559:X559&lt;&gt;""),{0.2,0.3,0.5}),"")</f>
        <v>0</v>
      </c>
      <c r="AD559">
        <f>IFERROR(SUMPRODUCT(Y559:AA559,{0.2,0.3,0.5})/SUMPRODUCT((Y559:AA559&lt;&gt;"")*{0.2,0.3,0.5}),O559)</f>
        <v>2.2654462242562929</v>
      </c>
      <c r="AE559">
        <f t="shared" si="213"/>
        <v>1</v>
      </c>
      <c r="AF559" t="str">
        <f t="shared" si="214"/>
        <v/>
      </c>
      <c r="AG559">
        <f t="shared" si="215"/>
        <v>0</v>
      </c>
      <c r="AH559">
        <f t="shared" si="216"/>
        <v>0</v>
      </c>
      <c r="AI559" s="2">
        <f t="shared" si="217"/>
        <v>2.2654462242562929</v>
      </c>
      <c r="AJ559">
        <f t="shared" si="218"/>
        <v>0</v>
      </c>
      <c r="AK559" t="str">
        <f t="shared" si="219"/>
        <v>NO</v>
      </c>
      <c r="AL559">
        <f t="shared" si="220"/>
        <v>0</v>
      </c>
      <c r="AM559">
        <f t="shared" si="221"/>
        <v>0</v>
      </c>
      <c r="AN559">
        <f t="shared" si="222"/>
        <v>0</v>
      </c>
      <c r="AO559">
        <f t="shared" si="223"/>
        <v>0</v>
      </c>
      <c r="AP559">
        <f t="array" ref="AP559">AL559*IF($C559="GKP",10,IF($C559="DEF",6,IF($C559="MID",5,4)))</f>
        <v>0</v>
      </c>
      <c r="AQ559">
        <f t="shared" si="224"/>
        <v>0</v>
      </c>
      <c r="AR559">
        <f t="shared" si="225"/>
        <v>0</v>
      </c>
      <c r="AS559" s="2">
        <f>IF($H559=0,0,Player_Analysis!$AM559*$H559/90)</f>
        <v>0</v>
      </c>
      <c r="AT559">
        <f t="shared" si="226"/>
        <v>0</v>
      </c>
      <c r="AU559" s="2">
        <f>0</f>
        <v>0</v>
      </c>
      <c r="AV559" s="2" t="str">
        <f>IF(INDEX(FPL_Raw_Data!K:K,MATCH(A559,FPL_Raw_Data!AA:AA,0))=0,"",INDEX(FPL_Raw_Data!P:P,MATCH(A559,FPL_Raw_Data!AA:AA,0))/INDEX(FPL_Raw_Data!K:K,MATCH(A559,FPL_Raw_Data!AA:AA,0))*90)</f>
        <v/>
      </c>
      <c r="AW559" s="2">
        <f t="shared" si="227"/>
        <v>0</v>
      </c>
      <c r="AX559" s="2">
        <f>IFERROR(INDEX(TEAM_ANALYSIS!$H$2:$H$21,MATCH($B559,TEAM_ANALYSIS!$A$2:$A$21,0)),0)</f>
        <v>1</v>
      </c>
      <c r="AY559" s="2">
        <f t="shared" si="228"/>
        <v>0</v>
      </c>
      <c r="AZ559" s="2">
        <f t="shared" si="229"/>
        <v>0</v>
      </c>
      <c r="BA559">
        <f t="shared" si="230"/>
        <v>0</v>
      </c>
      <c r="BB559">
        <f>IFERROR(Player_Analysis!$Y559,1)</f>
        <v>1.1658368376787216</v>
      </c>
      <c r="BC559">
        <f t="shared" si="231"/>
        <v>0</v>
      </c>
      <c r="BD559">
        <f t="shared" si="232"/>
        <v>0</v>
      </c>
      <c r="BE559">
        <f t="shared" si="233"/>
        <v>0</v>
      </c>
      <c r="BF559">
        <f t="shared" si="234"/>
        <v>253</v>
      </c>
      <c r="BG559">
        <f>IF($BE559="","",COUNTIFS($C$2:$C$596,$C559,$BE$2:$BE$596,"&gt;"&amp;$BE559)+COUNTIFS($C$2:$C559,$C559,$BE$2:$BE559,$BE559))</f>
        <v>64</v>
      </c>
    </row>
    <row r="560" spans="1:59" x14ac:dyDescent="0.25">
      <c r="A560" t="str">
        <f>Player_Analysis!A560</f>
        <v>Neco Williams</v>
      </c>
      <c r="B560">
        <f>Player_Analysis!C560</f>
        <v>18</v>
      </c>
      <c r="C560" t="str">
        <f>Player_Analysis!B560</f>
        <v>DEF</v>
      </c>
      <c r="D560" s="13">
        <f>Player_Analysis!E560</f>
        <v>5</v>
      </c>
      <c r="E560">
        <f>Player_Analysis!I560</f>
        <v>270</v>
      </c>
      <c r="F560" s="8">
        <f>Player_Analysis!Z560</f>
        <v>3</v>
      </c>
      <c r="G560" s="17">
        <f t="shared" si="209"/>
        <v>1</v>
      </c>
      <c r="H560">
        <f t="shared" si="210"/>
        <v>90</v>
      </c>
      <c r="I560" s="8">
        <f>Player_Analysis!AF560</f>
        <v>0</v>
      </c>
      <c r="J560" s="8">
        <f>Player_Analysis!AG560</f>
        <v>1</v>
      </c>
      <c r="K560">
        <f>Player_Analysis!O560</f>
        <v>0.12</v>
      </c>
      <c r="L560">
        <f>Player_Analysis!P560</f>
        <v>0.24</v>
      </c>
      <c r="M560">
        <f t="shared" si="211"/>
        <v>3.9999999999999994E-2</v>
      </c>
      <c r="N560">
        <f t="shared" si="212"/>
        <v>7.9999999999999988E-2</v>
      </c>
      <c r="O560" s="2">
        <f>IF(E560=0,"",Player_Analysis!L560/E560*90)</f>
        <v>5</v>
      </c>
      <c r="P560">
        <f>IF(E560=0,"",Player_Analysis!Q560/E560*90)</f>
        <v>0.12</v>
      </c>
      <c r="Q560">
        <f>IF(E560=0,"",(Player_Analysis!AD560/E560)*90)</f>
        <v>19</v>
      </c>
      <c r="R560">
        <f>IF(E560=0,"",Player_Analysis!AA560/E560*90)</f>
        <v>8</v>
      </c>
      <c r="S560">
        <f t="array" ref="S560">IFERROR(INDEX('2023_24'!$O:$O,MATCH($A560,'2023_24'!$A:$A,0)),"")</f>
        <v>4.0858895705521474E-2</v>
      </c>
      <c r="T560">
        <f>IFERROR(INDEX('2024_25'!$P:$P,MATCH($A560,'2024_25'!$A:$A,0)),"")</f>
        <v>7.9636785162287477E-2</v>
      </c>
      <c r="U560">
        <f>IFERROR(INDEX('2025_26'!$P:$P,MATCH($A560,'2025_26'!$A:$A,0)),"")</f>
        <v>5.6478301592257259E-2</v>
      </c>
      <c r="V560">
        <f>IFERROR(INDEX('2023_24'!$P:$P,MATCH($A560,'2023_24'!$A:$A,0)),"")</f>
        <v>8.503067484662577E-2</v>
      </c>
      <c r="W560">
        <f>IFERROR(INDEX('2024_25'!$Q:$Q,MATCH($A560,'2024_25'!$A:$A,0)),"")</f>
        <v>5.3554868624420396E-2</v>
      </c>
      <c r="X560">
        <f>IFERROR(INDEX('2025_26'!$Q:$Q,MATCH($A560,'2025_26'!$A:$A,0)),"")</f>
        <v>0.11155167030908525</v>
      </c>
      <c r="Y560">
        <f>IFERROR(INDEX('2023_24'!$M:$M,MATCH($A560,'2023_24'!$A:$A,0))/INDEX('2023_24'!$G:$G,MATCH($A560,'2023_24'!$A:$A,0))*90,"")</f>
        <v>2.1533742331288344</v>
      </c>
      <c r="Z560">
        <f>IFERROR(INDEX('2024_25'!$M:$M,MATCH($A560,'2024_25'!$A:$A,0))/INDEX('2024_25'!$G:$G,MATCH($A560,'2024_25'!$A:$A,0))*90,"")</f>
        <v>3.7905718701700155</v>
      </c>
      <c r="AA560">
        <f>IFERROR(INDEX('2025_26'!$M:$M,MATCH($A560,'2025_26'!$A:$A,0))/INDEX('2025_26'!$G:$G,MATCH($A560,'2025_26'!$A:$A,0))*90,"")</f>
        <v>3.5966281610989701</v>
      </c>
      <c r="AB560">
        <f>IFERROR(SUMPRODUCT(S560:U560,{0.2,0.3,0.5})/SUMPRODUCT(--(S560:U560&lt;&gt;""),{0.2,0.3,0.5}),"")</f>
        <v>6.0301965485919165E-2</v>
      </c>
      <c r="AC560">
        <f>IFERROR(SUMPRODUCT(V560:X560,{0.2,0.3,0.5})/SUMPRODUCT(--(V560:X560&lt;&gt;""),{0.2,0.3,0.5}),"")</f>
        <v>8.8848430711193901E-2</v>
      </c>
      <c r="AD560">
        <f>IFERROR(SUMPRODUCT(Y560:AA560,{0.2,0.3,0.5})/SUMPRODUCT((Y560:AA560&lt;&gt;"")*{0.2,0.3,0.5}),O560)</f>
        <v>3.3661604882262566</v>
      </c>
      <c r="AE560">
        <f t="shared" si="213"/>
        <v>3</v>
      </c>
      <c r="AF560">
        <f t="shared" si="214"/>
        <v>90</v>
      </c>
      <c r="AG560">
        <f t="shared" si="215"/>
        <v>4.2030196548591914E-2</v>
      </c>
      <c r="AH560">
        <f t="shared" si="216"/>
        <v>8.0884843071119386E-2</v>
      </c>
      <c r="AI560" s="2">
        <f t="shared" si="217"/>
        <v>4.8366160488226253</v>
      </c>
      <c r="AJ560">
        <f t="shared" si="218"/>
        <v>0.9</v>
      </c>
      <c r="AK560" t="str">
        <f t="shared" si="219"/>
        <v>NO</v>
      </c>
      <c r="AL560">
        <f t="shared" si="220"/>
        <v>4.2030196548591914E-2</v>
      </c>
      <c r="AM560">
        <f t="shared" si="221"/>
        <v>8.0884843071119386E-2</v>
      </c>
      <c r="AN560">
        <f t="shared" si="222"/>
        <v>4.2030196548591914E-2</v>
      </c>
      <c r="AO560">
        <f t="shared" si="223"/>
        <v>8.0884843071119386E-2</v>
      </c>
      <c r="AP560">
        <f t="array" ref="AP560">AL560*IF($C560="GKP",10,IF($C560="DEF",6,IF($C560="MID",5,4)))</f>
        <v>0.25218117929155148</v>
      </c>
      <c r="AQ560">
        <f t="shared" si="224"/>
        <v>0.24265452921335817</v>
      </c>
      <c r="AR560">
        <f t="shared" si="225"/>
        <v>2</v>
      </c>
      <c r="AS560" s="2">
        <f>IF($H560=0,0,Player_Analysis!$AM560*$H560/90)</f>
        <v>1.3333333333333333</v>
      </c>
      <c r="AT560">
        <f t="shared" si="226"/>
        <v>1.6</v>
      </c>
      <c r="AU560" s="2">
        <f>0</f>
        <v>0</v>
      </c>
      <c r="AV560" s="2">
        <f>IF(INDEX(FPL_Raw_Data!K:K,MATCH(A560,FPL_Raw_Data!AA:AA,0))=0,"",INDEX(FPL_Raw_Data!P:P,MATCH(A560,FPL_Raw_Data!AA:AA,0))/INDEX(FPL_Raw_Data!K:K,MATCH(A560,FPL_Raw_Data!AA:AA,0))*90)</f>
        <v>0</v>
      </c>
      <c r="AW560" s="2">
        <f t="shared" si="227"/>
        <v>0</v>
      </c>
      <c r="AX560" s="2">
        <f>IFERROR(INDEX(TEAM_ANALYSIS!$H$2:$H$21,MATCH($B560,TEAM_ANALYSIS!$A$2:$A$21,0)),0)</f>
        <v>1</v>
      </c>
      <c r="AY560" s="2">
        <f t="shared" si="228"/>
        <v>-0.5</v>
      </c>
      <c r="AZ560" s="2">
        <f t="shared" si="229"/>
        <v>4.9281690418382436</v>
      </c>
      <c r="BA560">
        <f t="shared" si="230"/>
        <v>0.98563380836764869</v>
      </c>
      <c r="BB560">
        <f>IFERROR(Player_Analysis!$Y560,1)</f>
        <v>1.1658368376787216</v>
      </c>
      <c r="BC560">
        <f t="shared" si="231"/>
        <v>5.7454410112828729</v>
      </c>
      <c r="BD560">
        <f t="shared" si="232"/>
        <v>5.662900904702413</v>
      </c>
      <c r="BE560">
        <f t="shared" si="233"/>
        <v>5.7454410112828729</v>
      </c>
      <c r="BF560">
        <f t="shared" si="234"/>
        <v>54</v>
      </c>
      <c r="BG560">
        <f>IF($BE560="","",COUNTIFS($C$2:$C$596,$C560,$BE$2:$BE$596,"&gt;"&amp;$BE560)+COUNTIFS($C$2:$C560,$C560,$BE$2:$BE560,$BE560))</f>
        <v>26</v>
      </c>
    </row>
    <row r="561" spans="1:59" x14ac:dyDescent="0.25">
      <c r="A561" t="str">
        <f>Player_Analysis!A561</f>
        <v>Felipe Rodrigues da Silva</v>
      </c>
      <c r="B561">
        <f>Player_Analysis!C561</f>
        <v>18</v>
      </c>
      <c r="C561" t="str">
        <f>Player_Analysis!B561</f>
        <v>DEF</v>
      </c>
      <c r="D561" s="13">
        <f>Player_Analysis!E561</f>
        <v>5</v>
      </c>
      <c r="E561">
        <f>Player_Analysis!I561</f>
        <v>0</v>
      </c>
      <c r="F561" s="8">
        <f>Player_Analysis!Z561</f>
        <v>0</v>
      </c>
      <c r="G561" s="17">
        <f t="shared" si="209"/>
        <v>0</v>
      </c>
      <c r="H561">
        <f t="shared" si="210"/>
        <v>0</v>
      </c>
      <c r="I561" s="8">
        <f>Player_Analysis!AF561</f>
        <v>0</v>
      </c>
      <c r="J561" s="8">
        <f>Player_Analysis!AG561</f>
        <v>0</v>
      </c>
      <c r="K561">
        <f>Player_Analysis!O561</f>
        <v>0</v>
      </c>
      <c r="L561">
        <f>Player_Analysis!P561</f>
        <v>0</v>
      </c>
      <c r="M561" t="str">
        <f t="shared" si="211"/>
        <v/>
      </c>
      <c r="N561" t="str">
        <f t="shared" si="212"/>
        <v/>
      </c>
      <c r="O561" s="2" t="str">
        <f>IF(E561=0,"",Player_Analysis!L561/E561*90)</f>
        <v/>
      </c>
      <c r="P561" t="str">
        <f>IF(E561=0,"",Player_Analysis!Q561/E561*90)</f>
        <v/>
      </c>
      <c r="Q561" t="str">
        <f>IF(E561=0,"",(Player_Analysis!AD561/E561)*90)</f>
        <v/>
      </c>
      <c r="R561" t="str">
        <f>IF(E561=0,"",Player_Analysis!AA561/E561*90)</f>
        <v/>
      </c>
      <c r="S561" t="str">
        <f t="array" ref="S561">IFERROR(INDEX('2023_24'!$O:$O,MATCH($A561,'2023_24'!$A:$A,0)),"")</f>
        <v/>
      </c>
      <c r="T561">
        <f>IFERROR(INDEX('2024_25'!$P:$P,MATCH($A561,'2024_25'!$A:$A,0)),"")</f>
        <v>1.8181818181818181E-2</v>
      </c>
      <c r="U561">
        <f>IFERROR(INDEX('2025_26'!$P:$P,MATCH($A561,'2025_26'!$A:$A,0)),"")</f>
        <v>8.8656716417910453E-2</v>
      </c>
      <c r="V561" t="str">
        <f>IFERROR(INDEX('2023_24'!$P:$P,MATCH($A561,'2023_24'!$A:$A,0)),"")</f>
        <v/>
      </c>
      <c r="W561">
        <f>IFERROR(INDEX('2024_25'!$Q:$Q,MATCH($A561,'2024_25'!$A:$A,0)),"")</f>
        <v>3.0303030303030303E-3</v>
      </c>
      <c r="X561">
        <f>IFERROR(INDEX('2025_26'!$Q:$Q,MATCH($A561,'2025_26'!$A:$A,0)),"")</f>
        <v>1.0074626865671642E-2</v>
      </c>
      <c r="Y561" t="str">
        <f>IFERROR(INDEX('2023_24'!$M:$M,MATCH($A561,'2023_24'!$A:$A,0))/INDEX('2023_24'!$G:$G,MATCH($A561,'2023_24'!$A:$A,0))*90,"")</f>
        <v/>
      </c>
      <c r="Z561">
        <f>IFERROR(INDEX('2024_25'!$M:$M,MATCH($A561,'2024_25'!$A:$A,0))/INDEX('2024_25'!$G:$G,MATCH($A561,'2024_25'!$A:$A,0))*90,"")</f>
        <v>3.6363636363636367</v>
      </c>
      <c r="AA561">
        <f>IFERROR(INDEX('2025_26'!$M:$M,MATCH($A561,'2025_26'!$A:$A,0))/INDEX('2025_26'!$G:$G,MATCH($A561,'2025_26'!$A:$A,0))*90,"")</f>
        <v>3.5597014925373132</v>
      </c>
      <c r="AB561">
        <f>IFERROR(SUMPRODUCT(S561:U561,{0.2,0.3,0.5})/SUMPRODUCT(--(S561:U561&lt;&gt;""),{0.2,0.3,0.5}),"")</f>
        <v>6.2228629579375846E-2</v>
      </c>
      <c r="AC561">
        <f>IFERROR(SUMPRODUCT(V561:X561,{0.2,0.3,0.5})/SUMPRODUCT(--(V561:X561&lt;&gt;""),{0.2,0.3,0.5}),"")</f>
        <v>7.433005427408412E-3</v>
      </c>
      <c r="AD561">
        <f>IFERROR(SUMPRODUCT(Y561:AA561,{0.2,0.3,0.5})/SUMPRODUCT((Y561:AA561&lt;&gt;"")*{0.2,0.3,0.5}),O561)</f>
        <v>3.5884497964721844</v>
      </c>
      <c r="AE561">
        <f t="shared" si="213"/>
        <v>2</v>
      </c>
      <c r="AF561" t="str">
        <f t="shared" si="214"/>
        <v/>
      </c>
      <c r="AG561">
        <f t="shared" si="215"/>
        <v>6.2228629579375846E-2</v>
      </c>
      <c r="AH561">
        <f t="shared" si="216"/>
        <v>7.433005427408412E-3</v>
      </c>
      <c r="AI561" s="2">
        <f t="shared" si="217"/>
        <v>3.5884497964721844</v>
      </c>
      <c r="AJ561">
        <f t="shared" si="218"/>
        <v>0</v>
      </c>
      <c r="AK561" t="str">
        <f t="shared" si="219"/>
        <v>NO</v>
      </c>
      <c r="AL561">
        <f t="shared" si="220"/>
        <v>0</v>
      </c>
      <c r="AM561">
        <f t="shared" si="221"/>
        <v>0</v>
      </c>
      <c r="AN561">
        <f t="shared" si="222"/>
        <v>0</v>
      </c>
      <c r="AO561">
        <f t="shared" si="223"/>
        <v>0</v>
      </c>
      <c r="AP561">
        <f t="array" ref="AP561">AL561*IF($C561="GKP",10,IF($C561="DEF",6,IF($C561="MID",5,4)))</f>
        <v>0</v>
      </c>
      <c r="AQ561">
        <f t="shared" si="224"/>
        <v>0</v>
      </c>
      <c r="AR561">
        <f t="shared" si="225"/>
        <v>0</v>
      </c>
      <c r="AS561" s="2">
        <f>IF($H561=0,0,Player_Analysis!$AM561*$H561/90)</f>
        <v>0</v>
      </c>
      <c r="AT561">
        <f t="shared" si="226"/>
        <v>0</v>
      </c>
      <c r="AU561" s="2">
        <f>0</f>
        <v>0</v>
      </c>
      <c r="AV561" s="2" t="str">
        <f>IF(INDEX(FPL_Raw_Data!K:K,MATCH(A561,FPL_Raw_Data!AA:AA,0))=0,"",INDEX(FPL_Raw_Data!P:P,MATCH(A561,FPL_Raw_Data!AA:AA,0))/INDEX(FPL_Raw_Data!K:K,MATCH(A561,FPL_Raw_Data!AA:AA,0))*90)</f>
        <v/>
      </c>
      <c r="AW561" s="2">
        <f t="shared" si="227"/>
        <v>0</v>
      </c>
      <c r="AX561" s="2">
        <f>IFERROR(INDEX(TEAM_ANALYSIS!$H$2:$H$21,MATCH($B561,TEAM_ANALYSIS!$A$2:$A$21,0)),0)</f>
        <v>1</v>
      </c>
      <c r="AY561" s="2">
        <f t="shared" si="228"/>
        <v>-0.5</v>
      </c>
      <c r="AZ561" s="2">
        <f t="shared" si="229"/>
        <v>-0.5</v>
      </c>
      <c r="BA561">
        <f t="shared" si="230"/>
        <v>-0.1</v>
      </c>
      <c r="BB561">
        <f>IFERROR(Player_Analysis!$Y561,1)</f>
        <v>1.1658368376787216</v>
      </c>
      <c r="BC561">
        <f t="shared" si="231"/>
        <v>-0.5829184188393608</v>
      </c>
      <c r="BD561">
        <f t="shared" si="232"/>
        <v>5.8291841883936081E-2</v>
      </c>
      <c r="BE561">
        <f t="shared" si="233"/>
        <v>-0.5829184188393608</v>
      </c>
      <c r="BF561">
        <f t="shared" si="234"/>
        <v>530</v>
      </c>
      <c r="BG561">
        <f>IF($BE561="","",COUNTIFS($C$2:$C$596,$C561,$BE$2:$BE$596,"&gt;"&amp;$BE561)+COUNTIFS($C$2:$C561,$C561,$BE$2:$BE561,$BE561))</f>
        <v>127</v>
      </c>
    </row>
    <row r="562" spans="1:59" x14ac:dyDescent="0.25">
      <c r="A562" t="str">
        <f>Player_Analysis!A562</f>
        <v>Nikola Milenković</v>
      </c>
      <c r="B562">
        <f>Player_Analysis!C562</f>
        <v>18</v>
      </c>
      <c r="C562" t="str">
        <f>Player_Analysis!B562</f>
        <v>DEF</v>
      </c>
      <c r="D562" s="13">
        <f>Player_Analysis!E562</f>
        <v>5.5</v>
      </c>
      <c r="E562">
        <f>Player_Analysis!I562</f>
        <v>270</v>
      </c>
      <c r="F562" s="8">
        <f>Player_Analysis!Z562</f>
        <v>3</v>
      </c>
      <c r="G562" s="17">
        <f t="shared" si="209"/>
        <v>1</v>
      </c>
      <c r="H562">
        <f t="shared" si="210"/>
        <v>90</v>
      </c>
      <c r="I562" s="8">
        <f>Player_Analysis!AF562</f>
        <v>0</v>
      </c>
      <c r="J562" s="8">
        <f>Player_Analysis!AG562</f>
        <v>0</v>
      </c>
      <c r="K562">
        <f>Player_Analysis!O562</f>
        <v>0.11</v>
      </c>
      <c r="L562">
        <f>Player_Analysis!P562</f>
        <v>0.03</v>
      </c>
      <c r="M562">
        <f t="shared" si="211"/>
        <v>3.6666666666666667E-2</v>
      </c>
      <c r="N562">
        <f t="shared" si="212"/>
        <v>9.9999999999999985E-3</v>
      </c>
      <c r="O562" s="2">
        <f>IF(E562=0,"",Player_Analysis!L562/E562*90)</f>
        <v>4</v>
      </c>
      <c r="P562">
        <f>IF(E562=0,"",Player_Analysis!Q562/E562*90)</f>
        <v>4.6666666666666669E-2</v>
      </c>
      <c r="Q562">
        <f>IF(E562=0,"",(Player_Analysis!AD562/E562)*90)</f>
        <v>11.333333333333332</v>
      </c>
      <c r="R562">
        <f>IF(E562=0,"",Player_Analysis!AA562/E562*90)</f>
        <v>10.333333333333334</v>
      </c>
      <c r="S562" t="str">
        <f t="array" ref="S562">IFERROR(INDEX('2023_24'!$O:$O,MATCH($A562,'2023_24'!$A:$A,0)),"")</f>
        <v/>
      </c>
      <c r="T562">
        <f>IFERROR(INDEX('2024_25'!$P:$P,MATCH($A562,'2024_25'!$A:$A,0)),"")</f>
        <v>0.10945945945945945</v>
      </c>
      <c r="U562">
        <f>IFERROR(INDEX('2025_26'!$P:$P,MATCH($A562,'2025_26'!$A:$A,0)),"")</f>
        <v>2.2133333333333331E-2</v>
      </c>
      <c r="V562" t="str">
        <f>IFERROR(INDEX('2023_24'!$P:$P,MATCH($A562,'2023_24'!$A:$A,0)),"")</f>
        <v/>
      </c>
      <c r="W562">
        <f>IFERROR(INDEX('2024_25'!$Q:$Q,MATCH($A562,'2024_25'!$A:$A,0)),"")</f>
        <v>1.9729729729729729E-2</v>
      </c>
      <c r="X562">
        <f>IFERROR(INDEX('2025_26'!$Q:$Q,MATCH($A562,'2025_26'!$A:$A,0)),"")</f>
        <v>1.8133333333333335E-2</v>
      </c>
      <c r="Y562" t="str">
        <f>IFERROR(INDEX('2023_24'!$M:$M,MATCH($A562,'2023_24'!$A:$A,0))/INDEX('2023_24'!$G:$G,MATCH($A562,'2023_24'!$A:$A,0))*90,"")</f>
        <v/>
      </c>
      <c r="Z562">
        <f>IFERROR(INDEX('2024_25'!$M:$M,MATCH($A562,'2024_25'!$A:$A,0))/INDEX('2024_25'!$G:$G,MATCH($A562,'2024_25'!$A:$A,0))*90,"")</f>
        <v>3.9189189189189189</v>
      </c>
      <c r="AA562">
        <f>IFERROR(INDEX('2025_26'!$M:$M,MATCH($A562,'2025_26'!$A:$A,0))/INDEX('2025_26'!$G:$G,MATCH($A562,'2025_26'!$A:$A,0))*90,"")</f>
        <v>3.1733333333333333</v>
      </c>
      <c r="AB562">
        <f>IFERROR(SUMPRODUCT(S562:U562,{0.2,0.3,0.5})/SUMPRODUCT(--(S562:U562&lt;&gt;""),{0.2,0.3,0.5}),"")</f>
        <v>5.4880630630630631E-2</v>
      </c>
      <c r="AC562">
        <f>IFERROR(SUMPRODUCT(V562:X562,{0.2,0.3,0.5})/SUMPRODUCT(--(V562:X562&lt;&gt;""),{0.2,0.3,0.5}),"")</f>
        <v>1.873198198198198E-2</v>
      </c>
      <c r="AD562">
        <f>IFERROR(SUMPRODUCT(Y562:AA562,{0.2,0.3,0.5})/SUMPRODUCT((Y562:AA562&lt;&gt;"")*{0.2,0.3,0.5}),O562)</f>
        <v>3.4529279279279277</v>
      </c>
      <c r="AE562">
        <f t="shared" si="213"/>
        <v>2</v>
      </c>
      <c r="AF562">
        <f t="shared" si="214"/>
        <v>90</v>
      </c>
      <c r="AG562">
        <f t="shared" si="215"/>
        <v>3.8488063063063065E-2</v>
      </c>
      <c r="AH562">
        <f t="shared" si="216"/>
        <v>1.0873198198198196E-2</v>
      </c>
      <c r="AI562" s="2">
        <f t="shared" si="217"/>
        <v>3.9452927927927925</v>
      </c>
      <c r="AJ562">
        <f t="shared" si="218"/>
        <v>0.9</v>
      </c>
      <c r="AK562" t="str">
        <f t="shared" si="219"/>
        <v>NO</v>
      </c>
      <c r="AL562">
        <f t="shared" si="220"/>
        <v>3.8488063063063065E-2</v>
      </c>
      <c r="AM562">
        <f t="shared" si="221"/>
        <v>1.0873198198198196E-2</v>
      </c>
      <c r="AN562">
        <f t="shared" si="222"/>
        <v>3.8488063063063065E-2</v>
      </c>
      <c r="AO562">
        <f t="shared" si="223"/>
        <v>1.0873198198198196E-2</v>
      </c>
      <c r="AP562">
        <f t="array" ref="AP562">AL562*IF($C562="GKP",10,IF($C562="DEF",6,IF($C562="MID",5,4)))</f>
        <v>0.23092837837837837</v>
      </c>
      <c r="AQ562">
        <f t="shared" si="224"/>
        <v>3.2619594594594591E-2</v>
      </c>
      <c r="AR562">
        <f t="shared" si="225"/>
        <v>2</v>
      </c>
      <c r="AS562" s="2">
        <f>IF($H562=0,0,Player_Analysis!$AM562*$H562/90)</f>
        <v>1.3333333333333333</v>
      </c>
      <c r="AT562">
        <f t="shared" si="226"/>
        <v>2.0666666666666669</v>
      </c>
      <c r="AU562" s="2">
        <f>0</f>
        <v>0</v>
      </c>
      <c r="AV562" s="2">
        <f>IF(INDEX(FPL_Raw_Data!K:K,MATCH(A562,FPL_Raw_Data!AA:AA,0))=0,"",INDEX(FPL_Raw_Data!P:P,MATCH(A562,FPL_Raw_Data!AA:AA,0))/INDEX(FPL_Raw_Data!K:K,MATCH(A562,FPL_Raw_Data!AA:AA,0))*90)</f>
        <v>0</v>
      </c>
      <c r="AW562" s="2">
        <f t="shared" si="227"/>
        <v>0</v>
      </c>
      <c r="AX562" s="2">
        <f>IFERROR(INDEX(TEAM_ANALYSIS!$H$2:$H$21,MATCH($B562,TEAM_ANALYSIS!$A$2:$A$21,0)),0)</f>
        <v>1</v>
      </c>
      <c r="AY562" s="2">
        <f t="shared" si="228"/>
        <v>-0.5</v>
      </c>
      <c r="AZ562" s="2">
        <f t="shared" si="229"/>
        <v>5.1635479729729727</v>
      </c>
      <c r="BA562">
        <f t="shared" si="230"/>
        <v>0.93882690417690418</v>
      </c>
      <c r="BB562">
        <f>IFERROR(Player_Analysis!$Y562,1)</f>
        <v>1.1658368376787216</v>
      </c>
      <c r="BC562">
        <f t="shared" si="231"/>
        <v>6.0198544400131837</v>
      </c>
      <c r="BD562">
        <f t="shared" si="232"/>
        <v>5.6516013075131681</v>
      </c>
      <c r="BE562">
        <f t="shared" si="233"/>
        <v>6.0198544400131837</v>
      </c>
      <c r="BF562">
        <f t="shared" si="234"/>
        <v>46</v>
      </c>
      <c r="BG562">
        <f>IF($BE562="","",COUNTIFS($C$2:$C$596,$C562,$BE$2:$BE$596,"&gt;"&amp;$BE562)+COUNTIFS($C$2:$C562,$C562,$BE$2:$BE562,$BE562))</f>
        <v>22</v>
      </c>
    </row>
    <row r="563" spans="1:59" x14ac:dyDescent="0.25">
      <c r="A563" t="str">
        <f>Player_Analysis!A563</f>
        <v>Murillo Costa dos Santos</v>
      </c>
      <c r="B563">
        <f>Player_Analysis!C563</f>
        <v>18</v>
      </c>
      <c r="C563" t="str">
        <f>Player_Analysis!B563</f>
        <v>DEF</v>
      </c>
      <c r="D563" s="13">
        <f>Player_Analysis!E563</f>
        <v>5.5</v>
      </c>
      <c r="E563">
        <f>Player_Analysis!I563</f>
        <v>269</v>
      </c>
      <c r="F563" s="8">
        <f>Player_Analysis!Z563</f>
        <v>3</v>
      </c>
      <c r="G563" s="17">
        <f t="shared" si="209"/>
        <v>1</v>
      </c>
      <c r="H563">
        <f t="shared" si="210"/>
        <v>90</v>
      </c>
      <c r="I563" s="8">
        <f>Player_Analysis!AF563</f>
        <v>0</v>
      </c>
      <c r="J563" s="8">
        <f>Player_Analysis!AG563</f>
        <v>0</v>
      </c>
      <c r="K563">
        <f>Player_Analysis!O563</f>
        <v>0.35</v>
      </c>
      <c r="L563">
        <f>Player_Analysis!P563</f>
        <v>0.28000000000000003</v>
      </c>
      <c r="M563">
        <f t="shared" si="211"/>
        <v>0.11710037174721188</v>
      </c>
      <c r="N563">
        <f t="shared" si="212"/>
        <v>9.3680297397769521E-2</v>
      </c>
      <c r="O563" s="2">
        <f>IF(E563=0,"",Player_Analysis!L563/E563*90)</f>
        <v>4.3494423791821566</v>
      </c>
      <c r="P563">
        <f>IF(E563=0,"",Player_Analysis!Q563/E563*90)</f>
        <v>0.21078066914498142</v>
      </c>
      <c r="Q563">
        <f>IF(E563=0,"",(Player_Analysis!AD563/E563)*90)</f>
        <v>14.052044609665428</v>
      </c>
      <c r="R563">
        <f>IF(E563=0,"",Player_Analysis!AA563/E563*90)</f>
        <v>10.03717472118959</v>
      </c>
      <c r="S563" t="str">
        <f t="array" ref="S563">IFERROR(INDEX('2023_24'!$O:$O,MATCH($A563,'2023_24'!$A:$A,0)),"")</f>
        <v/>
      </c>
      <c r="T563" t="str">
        <f>IFERROR(INDEX('2024_25'!$P:$P,MATCH($A563,'2024_25'!$A:$A,0)),"")</f>
        <v/>
      </c>
      <c r="U563">
        <f>IFERROR(INDEX('2025_26'!$P:$P,MATCH($A563,'2025_26'!$A:$A,0)),"")</f>
        <v>3.084507042253521E-2</v>
      </c>
      <c r="V563" t="str">
        <f>IFERROR(INDEX('2023_24'!$P:$P,MATCH($A563,'2023_24'!$A:$A,0)),"")</f>
        <v/>
      </c>
      <c r="W563" t="str">
        <f>IFERROR(INDEX('2024_25'!$Q:$Q,MATCH($A563,'2024_25'!$A:$A,0)),"")</f>
        <v/>
      </c>
      <c r="X563">
        <f>IFERROR(INDEX('2025_26'!$Q:$Q,MATCH($A563,'2025_26'!$A:$A,0)),"")</f>
        <v>1.9859154929577464E-2</v>
      </c>
      <c r="Y563" t="str">
        <f>IFERROR(INDEX('2023_24'!$M:$M,MATCH($A563,'2023_24'!$A:$A,0))/INDEX('2023_24'!$G:$G,MATCH($A563,'2023_24'!$A:$A,0))*90,"")</f>
        <v/>
      </c>
      <c r="Z563" t="str">
        <f>IFERROR(INDEX('2024_25'!$M:$M,MATCH($A563,'2024_25'!$A:$A,0))/INDEX('2024_25'!$G:$G,MATCH($A563,'2024_25'!$A:$A,0))*90,"")</f>
        <v/>
      </c>
      <c r="AA563">
        <f>IFERROR(INDEX('2025_26'!$M:$M,MATCH($A563,'2025_26'!$A:$A,0))/INDEX('2025_26'!$G:$G,MATCH($A563,'2025_26'!$A:$A,0))*90,"")</f>
        <v>3.5070422535211265</v>
      </c>
      <c r="AB563">
        <f>IFERROR(SUMPRODUCT(S563:U563,{0.2,0.3,0.5})/SUMPRODUCT(--(S563:U563&lt;&gt;""),{0.2,0.3,0.5}),"")</f>
        <v>3.084507042253521E-2</v>
      </c>
      <c r="AC563">
        <f>IFERROR(SUMPRODUCT(V563:X563,{0.2,0.3,0.5})/SUMPRODUCT(--(V563:X563&lt;&gt;""),{0.2,0.3,0.5}),"")</f>
        <v>1.9859154929577464E-2</v>
      </c>
      <c r="AD563">
        <f>IFERROR(SUMPRODUCT(Y563:AA563,{0.2,0.3,0.5})/SUMPRODUCT((Y563:AA563&lt;&gt;"")*{0.2,0.3,0.5}),O563)</f>
        <v>3.5070422535211265</v>
      </c>
      <c r="AE563">
        <f t="shared" si="213"/>
        <v>1</v>
      </c>
      <c r="AF563">
        <f t="shared" si="214"/>
        <v>89.666666666666671</v>
      </c>
      <c r="AG563">
        <f t="shared" si="215"/>
        <v>0.10818732394366196</v>
      </c>
      <c r="AH563">
        <f t="shared" si="216"/>
        <v>8.605211267605635E-2</v>
      </c>
      <c r="AI563" s="2">
        <f t="shared" si="217"/>
        <v>4.2623943661971833</v>
      </c>
      <c r="AJ563">
        <f t="shared" si="218"/>
        <v>0.89666666666666661</v>
      </c>
      <c r="AK563" t="str">
        <f t="shared" si="219"/>
        <v>NO</v>
      </c>
      <c r="AL563">
        <f t="shared" si="220"/>
        <v>0.10818732394366196</v>
      </c>
      <c r="AM563">
        <f t="shared" si="221"/>
        <v>8.605211267605635E-2</v>
      </c>
      <c r="AN563">
        <f t="shared" si="222"/>
        <v>0.10818732394366196</v>
      </c>
      <c r="AO563">
        <f t="shared" si="223"/>
        <v>8.605211267605635E-2</v>
      </c>
      <c r="AP563">
        <f t="array" ref="AP563">AL563*IF($C563="GKP",10,IF($C563="DEF",6,IF($C563="MID",5,4)))</f>
        <v>0.64912394366197179</v>
      </c>
      <c r="AQ563">
        <f t="shared" si="224"/>
        <v>0.25815633802816906</v>
      </c>
      <c r="AR563">
        <f t="shared" si="225"/>
        <v>2</v>
      </c>
      <c r="AS563" s="2">
        <f>IF($H563=0,0,Player_Analysis!$AM563*$H563/90)</f>
        <v>1.3333333333333333</v>
      </c>
      <c r="AT563">
        <f t="shared" si="226"/>
        <v>2.007434944237918</v>
      </c>
      <c r="AU563" s="2">
        <f>0</f>
        <v>0</v>
      </c>
      <c r="AV563" s="2">
        <f>IF(INDEX(FPL_Raw_Data!K:K,MATCH(A563,FPL_Raw_Data!AA:AA,0))=0,"",INDEX(FPL_Raw_Data!P:P,MATCH(A563,FPL_Raw_Data!AA:AA,0))/INDEX(FPL_Raw_Data!K:K,MATCH(A563,FPL_Raw_Data!AA:AA,0))*90)</f>
        <v>0</v>
      </c>
      <c r="AW563" s="2">
        <f t="shared" si="227"/>
        <v>0</v>
      </c>
      <c r="AX563" s="2">
        <f>IFERROR(INDEX(TEAM_ANALYSIS!$H$2:$H$21,MATCH($B563,TEAM_ANALYSIS!$A$2:$A$21,0)),0)</f>
        <v>1</v>
      </c>
      <c r="AY563" s="2">
        <f t="shared" si="228"/>
        <v>-0.5</v>
      </c>
      <c r="AZ563" s="2">
        <f t="shared" si="229"/>
        <v>5.7480485592613917</v>
      </c>
      <c r="BA563">
        <f t="shared" si="230"/>
        <v>1.0450997380475258</v>
      </c>
      <c r="BB563">
        <f>IFERROR(Player_Analysis!$Y563,1)</f>
        <v>1.1658368376787216</v>
      </c>
      <c r="BC563">
        <f t="shared" si="231"/>
        <v>6.7012867551530322</v>
      </c>
      <c r="BD563">
        <f t="shared" si="232"/>
        <v>7.0035130323917878</v>
      </c>
      <c r="BE563">
        <f t="shared" si="233"/>
        <v>6.7012867551530322</v>
      </c>
      <c r="BF563">
        <f t="shared" si="234"/>
        <v>26</v>
      </c>
      <c r="BG563">
        <f>IF($BE563="","",COUNTIFS($C$2:$C$596,$C563,$BE$2:$BE$596,"&gt;"&amp;$BE563)+COUNTIFS($C$2:$C563,$C563,$BE$2:$BE563,$BE563))</f>
        <v>12</v>
      </c>
    </row>
    <row r="564" spans="1:59" x14ac:dyDescent="0.25">
      <c r="A564" t="str">
        <f>Player_Analysis!A564</f>
        <v>Ola Aina</v>
      </c>
      <c r="B564">
        <f>Player_Analysis!C564</f>
        <v>18</v>
      </c>
      <c r="C564" t="str">
        <f>Player_Analysis!B564</f>
        <v>DEF</v>
      </c>
      <c r="D564" s="13">
        <f>Player_Analysis!E564</f>
        <v>4.5</v>
      </c>
      <c r="E564">
        <f>Player_Analysis!I564</f>
        <v>216</v>
      </c>
      <c r="F564" s="8">
        <f>Player_Analysis!Z564</f>
        <v>3</v>
      </c>
      <c r="G564" s="17">
        <f t="shared" si="209"/>
        <v>1</v>
      </c>
      <c r="H564">
        <f t="shared" si="210"/>
        <v>90</v>
      </c>
      <c r="I564" s="8">
        <f>Player_Analysis!AF564</f>
        <v>0</v>
      </c>
      <c r="J564" s="8">
        <f>Player_Analysis!AG564</f>
        <v>0</v>
      </c>
      <c r="K564">
        <f>Player_Analysis!O564</f>
        <v>0.04</v>
      </c>
      <c r="L564">
        <f>Player_Analysis!P564</f>
        <v>0.52</v>
      </c>
      <c r="M564">
        <f t="shared" si="211"/>
        <v>1.6666666666666666E-2</v>
      </c>
      <c r="N564">
        <f t="shared" si="212"/>
        <v>0.21666666666666667</v>
      </c>
      <c r="O564" s="2">
        <f>IF(E564=0,"",Player_Analysis!L564/E564*90)</f>
        <v>2.5</v>
      </c>
      <c r="P564">
        <f>IF(E564=0,"",Player_Analysis!Q564/E564*90)</f>
        <v>0.23333333333333336</v>
      </c>
      <c r="Q564">
        <f>IF(E564=0,"",(Player_Analysis!AD564/E564)*90)</f>
        <v>14.166666666666668</v>
      </c>
      <c r="R564">
        <f>IF(E564=0,"",Player_Analysis!AA564/E564*90)</f>
        <v>5.833333333333333</v>
      </c>
      <c r="S564" t="str">
        <f t="array" ref="S564">IFERROR(INDEX('2023_24'!$O:$O,MATCH($A564,'2023_24'!$A:$A,0)),"")</f>
        <v/>
      </c>
      <c r="T564">
        <f>IFERROR(INDEX('2024_25'!$P:$P,MATCH($A564,'2024_25'!$A:$A,0)),"")</f>
        <v>1.8925233644859814E-2</v>
      </c>
      <c r="U564">
        <f>IFERROR(INDEX('2025_26'!$P:$P,MATCH($A564,'2025_26'!$A:$A,0)),"")</f>
        <v>2.3251417769376177E-2</v>
      </c>
      <c r="V564" t="str">
        <f>IFERROR(INDEX('2023_24'!$P:$P,MATCH($A564,'2023_24'!$A:$A,0)),"")</f>
        <v/>
      </c>
      <c r="W564">
        <f>IFERROR(INDEX('2024_25'!$Q:$Q,MATCH($A564,'2024_25'!$A:$A,0)),"")</f>
        <v>6.7590120160213624E-2</v>
      </c>
      <c r="X564">
        <f>IFERROR(INDEX('2025_26'!$Q:$Q,MATCH($A564,'2025_26'!$A:$A,0)),"")</f>
        <v>4.7637051039697537E-2</v>
      </c>
      <c r="Y564" t="str">
        <f>IFERROR(INDEX('2023_24'!$M:$M,MATCH($A564,'2023_24'!$A:$A,0))/INDEX('2023_24'!$G:$G,MATCH($A564,'2023_24'!$A:$A,0))*90,"")</f>
        <v/>
      </c>
      <c r="Z564">
        <f>IFERROR(INDEX('2024_25'!$M:$M,MATCH($A564,'2024_25'!$A:$A,0))/INDEX('2024_25'!$G:$G,MATCH($A564,'2024_25'!$A:$A,0))*90,"")</f>
        <v>3.8451268357810413</v>
      </c>
      <c r="AA564">
        <f>IFERROR(INDEX('2025_26'!$M:$M,MATCH($A564,'2025_26'!$A:$A,0))/INDEX('2025_26'!$G:$G,MATCH($A564,'2025_26'!$A:$A,0))*90,"")</f>
        <v>3.7996219281663515</v>
      </c>
      <c r="AB564">
        <f>IFERROR(SUMPRODUCT(S564:U564,{0.2,0.3,0.5})/SUMPRODUCT(--(S564:U564&lt;&gt;""),{0.2,0.3,0.5}),"")</f>
        <v>2.1629098722682542E-2</v>
      </c>
      <c r="AC564">
        <f>IFERROR(SUMPRODUCT(V564:X564,{0.2,0.3,0.5})/SUMPRODUCT(--(V564:X564&lt;&gt;""),{0.2,0.3,0.5}),"")</f>
        <v>5.5119451959891062E-2</v>
      </c>
      <c r="AD564">
        <f>IFERROR(SUMPRODUCT(Y564:AA564,{0.2,0.3,0.5})/SUMPRODUCT((Y564:AA564&lt;&gt;"")*{0.2,0.3,0.5}),O564)</f>
        <v>3.8166862685218597</v>
      </c>
      <c r="AE564">
        <f t="shared" si="213"/>
        <v>2</v>
      </c>
      <c r="AF564">
        <f t="shared" si="214"/>
        <v>72</v>
      </c>
      <c r="AG564">
        <f t="shared" si="215"/>
        <v>1.8056147642351111E-2</v>
      </c>
      <c r="AH564">
        <f t="shared" si="216"/>
        <v>0.17143344654876949</v>
      </c>
      <c r="AI564" s="2">
        <f t="shared" si="217"/>
        <v>2.868672155186121</v>
      </c>
      <c r="AJ564">
        <f t="shared" si="218"/>
        <v>0.72</v>
      </c>
      <c r="AK564" t="str">
        <f t="shared" si="219"/>
        <v>NO</v>
      </c>
      <c r="AL564">
        <f t="shared" si="220"/>
        <v>1.8056147642351111E-2</v>
      </c>
      <c r="AM564">
        <f t="shared" si="221"/>
        <v>0.17143344654876949</v>
      </c>
      <c r="AN564">
        <f t="shared" si="222"/>
        <v>1.8056147642351111E-2</v>
      </c>
      <c r="AO564">
        <f t="shared" si="223"/>
        <v>0.17143344654876949</v>
      </c>
      <c r="AP564">
        <f t="array" ref="AP564">AL564*IF($C564="GKP",10,IF($C564="DEF",6,IF($C564="MID",5,4)))</f>
        <v>0.10833688585410667</v>
      </c>
      <c r="AQ564">
        <f t="shared" si="224"/>
        <v>0.5143003396463085</v>
      </c>
      <c r="AR564">
        <f t="shared" si="225"/>
        <v>2</v>
      </c>
      <c r="AS564" s="2">
        <f>IF($H564=0,0,Player_Analysis!$AM564*$H564/90)</f>
        <v>1.3333333333333333</v>
      </c>
      <c r="AT564">
        <f t="shared" si="226"/>
        <v>1.1666666666666665</v>
      </c>
      <c r="AU564" s="2">
        <f>0</f>
        <v>0</v>
      </c>
      <c r="AV564" s="2">
        <f>IF(INDEX(FPL_Raw_Data!K:K,MATCH(A564,FPL_Raw_Data!AA:AA,0))=0,"",INDEX(FPL_Raw_Data!P:P,MATCH(A564,FPL_Raw_Data!AA:AA,0))/INDEX(FPL_Raw_Data!K:K,MATCH(A564,FPL_Raw_Data!AA:AA,0))*90)</f>
        <v>0</v>
      </c>
      <c r="AW564" s="2">
        <f t="shared" si="227"/>
        <v>0</v>
      </c>
      <c r="AX564" s="2">
        <f>IFERROR(INDEX(TEAM_ANALYSIS!$H$2:$H$21,MATCH($B564,TEAM_ANALYSIS!$A$2:$A$21,0)),0)</f>
        <v>1</v>
      </c>
      <c r="AY564" s="2">
        <f t="shared" si="228"/>
        <v>-0.5</v>
      </c>
      <c r="AZ564" s="2">
        <f t="shared" si="229"/>
        <v>4.622637225500414</v>
      </c>
      <c r="BA564">
        <f t="shared" si="230"/>
        <v>1.0272527167778698</v>
      </c>
      <c r="BB564">
        <f>IFERROR(Player_Analysis!$Y564,1)</f>
        <v>1.1658368376787216</v>
      </c>
      <c r="BC564">
        <f t="shared" si="231"/>
        <v>5.3892407647133425</v>
      </c>
      <c r="BD564">
        <f t="shared" si="232"/>
        <v>5.5361122169218255</v>
      </c>
      <c r="BE564">
        <f t="shared" si="233"/>
        <v>5.3892407647133425</v>
      </c>
      <c r="BF564">
        <f t="shared" si="234"/>
        <v>71</v>
      </c>
      <c r="BG564">
        <f>IF($BE564="","",COUNTIFS($C$2:$C$596,$C564,$BE$2:$BE$596,"&gt;"&amp;$BE564)+COUNTIFS($C$2:$C564,$C564,$BE$2:$BE564,$BE564))</f>
        <v>31</v>
      </c>
    </row>
    <row r="565" spans="1:59" x14ac:dyDescent="0.25">
      <c r="A565" t="str">
        <f>Player_Analysis!A565</f>
        <v>Jair Paula da Cunha Filho</v>
      </c>
      <c r="B565">
        <f>Player_Analysis!C565</f>
        <v>18</v>
      </c>
      <c r="C565" t="str">
        <f>Player_Analysis!B565</f>
        <v>DEF</v>
      </c>
      <c r="D565" s="13">
        <f>Player_Analysis!E565</f>
        <v>4.5</v>
      </c>
      <c r="E565">
        <f>Player_Analysis!I565</f>
        <v>270</v>
      </c>
      <c r="F565" s="8">
        <f>Player_Analysis!Z565</f>
        <v>3</v>
      </c>
      <c r="G565" s="17">
        <f t="shared" si="209"/>
        <v>1</v>
      </c>
      <c r="H565">
        <f t="shared" si="210"/>
        <v>90</v>
      </c>
      <c r="I565" s="8">
        <f>Player_Analysis!AF565</f>
        <v>0</v>
      </c>
      <c r="J565" s="8">
        <f>Player_Analysis!AG565</f>
        <v>0</v>
      </c>
      <c r="K565">
        <f>Player_Analysis!O565</f>
        <v>0.03</v>
      </c>
      <c r="L565">
        <f>Player_Analysis!P565</f>
        <v>0.01</v>
      </c>
      <c r="M565">
        <f t="shared" si="211"/>
        <v>9.9999999999999985E-3</v>
      </c>
      <c r="N565">
        <f t="shared" si="212"/>
        <v>3.3333333333333331E-3</v>
      </c>
      <c r="O565" s="2">
        <f>IF(E565=0,"",Player_Analysis!L565/E565*90)</f>
        <v>3.333333333333333</v>
      </c>
      <c r="P565">
        <f>IF(E565=0,"",Player_Analysis!Q565/E565*90)</f>
        <v>1.3333333333333332E-2</v>
      </c>
      <c r="Q565">
        <f>IF(E565=0,"",(Player_Analysis!AD565/E565)*90)</f>
        <v>11.666666666666666</v>
      </c>
      <c r="R565">
        <f>IF(E565=0,"",Player_Analysis!AA565/E565*90)</f>
        <v>9.3333333333333339</v>
      </c>
      <c r="S565" t="str">
        <f t="array" ref="S565">IFERROR(INDEX('2023_24'!$O:$O,MATCH($A565,'2023_24'!$A:$A,0)),"")</f>
        <v/>
      </c>
      <c r="T565" t="str">
        <f>IFERROR(INDEX('2024_25'!$P:$P,MATCH($A565,'2024_25'!$A:$A,0)),"")</f>
        <v/>
      </c>
      <c r="U565">
        <f>IFERROR(INDEX('2025_26'!$P:$P,MATCH($A565,'2025_26'!$A:$A,0)),"")</f>
        <v>4.7276264591439694E-2</v>
      </c>
      <c r="V565" t="str">
        <f>IFERROR(INDEX('2023_24'!$P:$P,MATCH($A565,'2023_24'!$A:$A,0)),"")</f>
        <v/>
      </c>
      <c r="W565" t="str">
        <f>IFERROR(INDEX('2024_25'!$Q:$Q,MATCH($A565,'2024_25'!$A:$A,0)),"")</f>
        <v/>
      </c>
      <c r="X565">
        <f>IFERROR(INDEX('2025_26'!$Q:$Q,MATCH($A565,'2025_26'!$A:$A,0)),"")</f>
        <v>1.0505836575875485E-2</v>
      </c>
      <c r="Y565" t="str">
        <f>IFERROR(INDEX('2023_24'!$M:$M,MATCH($A565,'2023_24'!$A:$A,0))/INDEX('2023_24'!$G:$G,MATCH($A565,'2023_24'!$A:$A,0))*90,"")</f>
        <v/>
      </c>
      <c r="Z565" t="str">
        <f>IFERROR(INDEX('2024_25'!$M:$M,MATCH($A565,'2024_25'!$A:$A,0))/INDEX('2024_25'!$G:$G,MATCH($A565,'2024_25'!$A:$A,0))*90,"")</f>
        <v/>
      </c>
      <c r="AA565">
        <f>IFERROR(INDEX('2025_26'!$M:$M,MATCH($A565,'2025_26'!$A:$A,0))/INDEX('2025_26'!$G:$G,MATCH($A565,'2025_26'!$A:$A,0))*90,"")</f>
        <v>2.2762645914396886</v>
      </c>
      <c r="AB565">
        <f>IFERROR(SUMPRODUCT(S565:U565,{0.2,0.3,0.5})/SUMPRODUCT(--(S565:U565&lt;&gt;""),{0.2,0.3,0.5}),"")</f>
        <v>4.7276264591439694E-2</v>
      </c>
      <c r="AC565">
        <f>IFERROR(SUMPRODUCT(V565:X565,{0.2,0.3,0.5})/SUMPRODUCT(--(V565:X565&lt;&gt;""),{0.2,0.3,0.5}),"")</f>
        <v>1.0505836575875485E-2</v>
      </c>
      <c r="AD565">
        <f>IFERROR(SUMPRODUCT(Y565:AA565,{0.2,0.3,0.5})/SUMPRODUCT((Y565:AA565&lt;&gt;"")*{0.2,0.3,0.5}),O565)</f>
        <v>2.2762645914396886</v>
      </c>
      <c r="AE565">
        <f t="shared" si="213"/>
        <v>1</v>
      </c>
      <c r="AF565">
        <f t="shared" si="214"/>
        <v>90</v>
      </c>
      <c r="AG565">
        <f t="shared" si="215"/>
        <v>1.3727626459143967E-2</v>
      </c>
      <c r="AH565">
        <f t="shared" si="216"/>
        <v>4.0505836575875486E-3</v>
      </c>
      <c r="AI565" s="2">
        <f t="shared" si="217"/>
        <v>3.227626459143969</v>
      </c>
      <c r="AJ565">
        <f t="shared" si="218"/>
        <v>0.9</v>
      </c>
      <c r="AK565" t="str">
        <f t="shared" si="219"/>
        <v>NO</v>
      </c>
      <c r="AL565">
        <f t="shared" si="220"/>
        <v>1.3727626459143967E-2</v>
      </c>
      <c r="AM565">
        <f t="shared" si="221"/>
        <v>4.0505836575875486E-3</v>
      </c>
      <c r="AN565">
        <f t="shared" si="222"/>
        <v>1.3727626459143967E-2</v>
      </c>
      <c r="AO565">
        <f t="shared" si="223"/>
        <v>4.0505836575875486E-3</v>
      </c>
      <c r="AP565">
        <f t="array" ref="AP565">AL565*IF($C565="GKP",10,IF($C565="DEF",6,IF($C565="MID",5,4)))</f>
        <v>8.2365758754863808E-2</v>
      </c>
      <c r="AQ565">
        <f t="shared" si="224"/>
        <v>1.2151750972762646E-2</v>
      </c>
      <c r="AR565">
        <f t="shared" si="225"/>
        <v>2</v>
      </c>
      <c r="AS565" s="2">
        <f>IF($H565=0,0,Player_Analysis!$AM565*$H565/90)</f>
        <v>1.3333333333333333</v>
      </c>
      <c r="AT565">
        <f t="shared" si="226"/>
        <v>1.8666666666666667</v>
      </c>
      <c r="AU565" s="2">
        <f>0</f>
        <v>0</v>
      </c>
      <c r="AV565" s="2">
        <f>IF(INDEX(FPL_Raw_Data!K:K,MATCH(A565,FPL_Raw_Data!AA:AA,0))=0,"",INDEX(FPL_Raw_Data!P:P,MATCH(A565,FPL_Raw_Data!AA:AA,0))/INDEX(FPL_Raw_Data!K:K,MATCH(A565,FPL_Raw_Data!AA:AA,0))*90)</f>
        <v>0</v>
      </c>
      <c r="AW565" s="2">
        <f t="shared" si="227"/>
        <v>0</v>
      </c>
      <c r="AX565" s="2">
        <f>IFERROR(INDEX(TEAM_ANALYSIS!$H$2:$H$21,MATCH($B565,TEAM_ANALYSIS!$A$2:$A$21,0)),0)</f>
        <v>1</v>
      </c>
      <c r="AY565" s="2">
        <f t="shared" si="228"/>
        <v>-0.5</v>
      </c>
      <c r="AZ565" s="2">
        <f t="shared" si="229"/>
        <v>4.7945175097276262</v>
      </c>
      <c r="BA565">
        <f t="shared" si="230"/>
        <v>1.0654483354950282</v>
      </c>
      <c r="BB565">
        <f>IFERROR(Player_Analysis!$Y565,1)</f>
        <v>1.1658368376787216</v>
      </c>
      <c r="BC565">
        <f t="shared" si="231"/>
        <v>5.5896251317361152</v>
      </c>
      <c r="BD565">
        <f t="shared" si="232"/>
        <v>5.9554567926494215</v>
      </c>
      <c r="BE565">
        <f t="shared" si="233"/>
        <v>5.5896251317361152</v>
      </c>
      <c r="BF565">
        <f t="shared" si="234"/>
        <v>62</v>
      </c>
      <c r="BG565">
        <f>IF($BE565="","",COUNTIFS($C$2:$C$596,$C565,$BE$2:$BE$596,"&gt;"&amp;$BE565)+COUNTIFS($C$2:$C565,$C565,$BE$2:$BE565,$BE565))</f>
        <v>27</v>
      </c>
    </row>
    <row r="566" spans="1:59" x14ac:dyDescent="0.25">
      <c r="A566" t="str">
        <f>Player_Analysis!A566</f>
        <v>Nicolò Savona</v>
      </c>
      <c r="B566">
        <f>Player_Analysis!C566</f>
        <v>18</v>
      </c>
      <c r="C566" t="str">
        <f>Player_Analysis!B566</f>
        <v>DEF</v>
      </c>
      <c r="D566" s="13">
        <f>Player_Analysis!E566</f>
        <v>4.5</v>
      </c>
      <c r="E566">
        <f>Player_Analysis!I566</f>
        <v>0</v>
      </c>
      <c r="F566" s="8">
        <f>Player_Analysis!Z566</f>
        <v>0</v>
      </c>
      <c r="G566" s="17">
        <f t="shared" si="209"/>
        <v>0</v>
      </c>
      <c r="H566">
        <f t="shared" si="210"/>
        <v>0</v>
      </c>
      <c r="I566" s="8">
        <f>Player_Analysis!AF566</f>
        <v>0</v>
      </c>
      <c r="J566" s="8">
        <f>Player_Analysis!AG566</f>
        <v>0</v>
      </c>
      <c r="K566">
        <f>Player_Analysis!O566</f>
        <v>0</v>
      </c>
      <c r="L566">
        <f>Player_Analysis!P566</f>
        <v>0</v>
      </c>
      <c r="M566" t="str">
        <f t="shared" si="211"/>
        <v/>
      </c>
      <c r="N566" t="str">
        <f t="shared" si="212"/>
        <v/>
      </c>
      <c r="O566" s="2" t="str">
        <f>IF(E566=0,"",Player_Analysis!L566/E566*90)</f>
        <v/>
      </c>
      <c r="P566" t="str">
        <f>IF(E566=0,"",Player_Analysis!Q566/E566*90)</f>
        <v/>
      </c>
      <c r="Q566" t="str">
        <f>IF(E566=0,"",(Player_Analysis!AD566/E566)*90)</f>
        <v/>
      </c>
      <c r="R566" t="str">
        <f>IF(E566=0,"",Player_Analysis!AA566/E566*90)</f>
        <v/>
      </c>
      <c r="S566" t="str">
        <f t="array" ref="S566">IFERROR(INDEX('2023_24'!$O:$O,MATCH($A566,'2023_24'!$A:$A,0)),"")</f>
        <v/>
      </c>
      <c r="T566" t="str">
        <f>IFERROR(INDEX('2024_25'!$P:$P,MATCH($A566,'2024_25'!$A:$A,0)),"")</f>
        <v/>
      </c>
      <c r="U566">
        <f>IFERROR(INDEX('2025_26'!$P:$P,MATCH($A566,'2025_26'!$A:$A,0)),"")</f>
        <v>0.11765853658536586</v>
      </c>
      <c r="V566" t="str">
        <f>IFERROR(INDEX('2023_24'!$P:$P,MATCH($A566,'2023_24'!$A:$A,0)),"")</f>
        <v/>
      </c>
      <c r="W566" t="str">
        <f>IFERROR(INDEX('2024_25'!$Q:$Q,MATCH($A566,'2024_25'!$A:$A,0)),"")</f>
        <v/>
      </c>
      <c r="X566">
        <f>IFERROR(INDEX('2025_26'!$Q:$Q,MATCH($A566,'2025_26'!$A:$A,0)),"")</f>
        <v>3.951219512195122E-2</v>
      </c>
      <c r="Y566" t="str">
        <f>IFERROR(INDEX('2023_24'!$M:$M,MATCH($A566,'2023_24'!$A:$A,0))/INDEX('2023_24'!$G:$G,MATCH($A566,'2023_24'!$A:$A,0))*90,"")</f>
        <v/>
      </c>
      <c r="Z566" t="str">
        <f>IFERROR(INDEX('2024_25'!$M:$M,MATCH($A566,'2024_25'!$A:$A,0))/INDEX('2024_25'!$G:$G,MATCH($A566,'2024_25'!$A:$A,0))*90,"")</f>
        <v/>
      </c>
      <c r="AA566">
        <f>IFERROR(INDEX('2025_26'!$M:$M,MATCH($A566,'2025_26'!$A:$A,0))/INDEX('2025_26'!$G:$G,MATCH($A566,'2025_26'!$A:$A,0))*90,"")</f>
        <v>3.424390243902439</v>
      </c>
      <c r="AB566">
        <f>IFERROR(SUMPRODUCT(S566:U566,{0.2,0.3,0.5})/SUMPRODUCT(--(S566:U566&lt;&gt;""),{0.2,0.3,0.5}),"")</f>
        <v>0.11765853658536586</v>
      </c>
      <c r="AC566">
        <f>IFERROR(SUMPRODUCT(V566:X566,{0.2,0.3,0.5})/SUMPRODUCT(--(V566:X566&lt;&gt;""),{0.2,0.3,0.5}),"")</f>
        <v>3.951219512195122E-2</v>
      </c>
      <c r="AD566">
        <f>IFERROR(SUMPRODUCT(Y566:AA566,{0.2,0.3,0.5})/SUMPRODUCT((Y566:AA566&lt;&gt;"")*{0.2,0.3,0.5}),O566)</f>
        <v>3.424390243902439</v>
      </c>
      <c r="AE566">
        <f t="shared" si="213"/>
        <v>1</v>
      </c>
      <c r="AF566" t="str">
        <f t="shared" si="214"/>
        <v/>
      </c>
      <c r="AG566">
        <f t="shared" si="215"/>
        <v>0.11765853658536586</v>
      </c>
      <c r="AH566">
        <f t="shared" si="216"/>
        <v>3.951219512195122E-2</v>
      </c>
      <c r="AI566" s="2">
        <f t="shared" si="217"/>
        <v>3.424390243902439</v>
      </c>
      <c r="AJ566">
        <f t="shared" si="218"/>
        <v>0</v>
      </c>
      <c r="AK566" t="str">
        <f t="shared" si="219"/>
        <v>NO</v>
      </c>
      <c r="AL566">
        <f t="shared" si="220"/>
        <v>0</v>
      </c>
      <c r="AM566">
        <f t="shared" si="221"/>
        <v>0</v>
      </c>
      <c r="AN566">
        <f t="shared" si="222"/>
        <v>0</v>
      </c>
      <c r="AO566">
        <f t="shared" si="223"/>
        <v>0</v>
      </c>
      <c r="AP566">
        <f t="array" ref="AP566">AL566*IF($C566="GKP",10,IF($C566="DEF",6,IF($C566="MID",5,4)))</f>
        <v>0</v>
      </c>
      <c r="AQ566">
        <f t="shared" si="224"/>
        <v>0</v>
      </c>
      <c r="AR566">
        <f t="shared" si="225"/>
        <v>0</v>
      </c>
      <c r="AS566" s="2">
        <f>IF($H566=0,0,Player_Analysis!$AM566*$H566/90)</f>
        <v>0</v>
      </c>
      <c r="AT566">
        <f t="shared" si="226"/>
        <v>0</v>
      </c>
      <c r="AU566" s="2">
        <f>0</f>
        <v>0</v>
      </c>
      <c r="AV566" s="2" t="str">
        <f>IF(INDEX(FPL_Raw_Data!K:K,MATCH(A566,FPL_Raw_Data!AA:AA,0))=0,"",INDEX(FPL_Raw_Data!P:P,MATCH(A566,FPL_Raw_Data!AA:AA,0))/INDEX(FPL_Raw_Data!K:K,MATCH(A566,FPL_Raw_Data!AA:AA,0))*90)</f>
        <v/>
      </c>
      <c r="AW566" s="2">
        <f t="shared" si="227"/>
        <v>0</v>
      </c>
      <c r="AX566" s="2">
        <f>IFERROR(INDEX(TEAM_ANALYSIS!$H$2:$H$21,MATCH($B566,TEAM_ANALYSIS!$A$2:$A$21,0)),0)</f>
        <v>1</v>
      </c>
      <c r="AY566" s="2">
        <f t="shared" si="228"/>
        <v>-0.5</v>
      </c>
      <c r="AZ566" s="2">
        <f t="shared" si="229"/>
        <v>-0.5</v>
      </c>
      <c r="BA566">
        <f t="shared" si="230"/>
        <v>-0.1111111111111111</v>
      </c>
      <c r="BB566">
        <f>IFERROR(Player_Analysis!$Y566,1)</f>
        <v>1.1658368376787216</v>
      </c>
      <c r="BC566">
        <f t="shared" si="231"/>
        <v>-0.5829184188393608</v>
      </c>
      <c r="BD566">
        <f t="shared" si="232"/>
        <v>6.4768713204373413E-2</v>
      </c>
      <c r="BE566">
        <f t="shared" si="233"/>
        <v>-0.5829184188393608</v>
      </c>
      <c r="BF566">
        <f t="shared" si="234"/>
        <v>530</v>
      </c>
      <c r="BG566">
        <f>IF($BE566="","",COUNTIFS($C$2:$C$596,$C566,$BE$2:$BE$596,"&gt;"&amp;$BE566)+COUNTIFS($C$2:$C566,$C566,$BE$2:$BE566,$BE566))</f>
        <v>128</v>
      </c>
    </row>
    <row r="567" spans="1:59" x14ac:dyDescent="0.25">
      <c r="A567" t="str">
        <f>Player_Analysis!A567</f>
        <v>Omar Richards</v>
      </c>
      <c r="B567">
        <f>Player_Analysis!C567</f>
        <v>18</v>
      </c>
      <c r="C567" t="str">
        <f>Player_Analysis!B567</f>
        <v>DEF</v>
      </c>
      <c r="D567" s="13">
        <f>Player_Analysis!E567</f>
        <v>4</v>
      </c>
      <c r="E567">
        <f>Player_Analysis!I567</f>
        <v>0</v>
      </c>
      <c r="F567" s="8">
        <f>Player_Analysis!Z567</f>
        <v>0</v>
      </c>
      <c r="G567" s="17">
        <f t="shared" si="209"/>
        <v>0</v>
      </c>
      <c r="H567">
        <f t="shared" si="210"/>
        <v>0</v>
      </c>
      <c r="I567" s="8">
        <f>Player_Analysis!AF567</f>
        <v>0</v>
      </c>
      <c r="J567" s="8">
        <f>Player_Analysis!AG567</f>
        <v>0</v>
      </c>
      <c r="K567">
        <f>Player_Analysis!O567</f>
        <v>0</v>
      </c>
      <c r="L567">
        <f>Player_Analysis!P567</f>
        <v>0</v>
      </c>
      <c r="M567" t="str">
        <f t="shared" si="211"/>
        <v/>
      </c>
      <c r="N567" t="str">
        <f t="shared" si="212"/>
        <v/>
      </c>
      <c r="O567" s="2" t="str">
        <f>IF(E567=0,"",Player_Analysis!L567/E567*90)</f>
        <v/>
      </c>
      <c r="P567" t="str">
        <f>IF(E567=0,"",Player_Analysis!Q567/E567*90)</f>
        <v/>
      </c>
      <c r="Q567" t="str">
        <f>IF(E567=0,"",(Player_Analysis!AD567/E567)*90)</f>
        <v/>
      </c>
      <c r="R567" t="str">
        <f>IF(E567=0,"",Player_Analysis!AA567/E567*90)</f>
        <v/>
      </c>
      <c r="S567">
        <f t="array" ref="S567">IFERROR(INDEX('2023_24'!$O:$O,MATCH($A567,'2023_24'!$A:$A,0)),"")</f>
        <v>0</v>
      </c>
      <c r="T567">
        <f>IFERROR(INDEX('2024_25'!$P:$P,MATCH($A567,'2024_25'!$A:$A,0)),"")</f>
        <v>0</v>
      </c>
      <c r="U567">
        <f>IFERROR(INDEX('2025_26'!$P:$P,MATCH($A567,'2025_26'!$A:$A,0)),"")</f>
        <v>0</v>
      </c>
      <c r="V567">
        <f>IFERROR(INDEX('2023_24'!$P:$P,MATCH($A567,'2023_24'!$A:$A,0)),"")</f>
        <v>0</v>
      </c>
      <c r="W567">
        <f>IFERROR(INDEX('2024_25'!$Q:$Q,MATCH($A567,'2024_25'!$A:$A,0)),"")</f>
        <v>0</v>
      </c>
      <c r="X567">
        <f>IFERROR(INDEX('2025_26'!$Q:$Q,MATCH($A567,'2025_26'!$A:$A,0)),"")</f>
        <v>0</v>
      </c>
      <c r="Y567" t="str">
        <f>IFERROR(INDEX('2023_24'!$M:$M,MATCH($A567,'2023_24'!$A:$A,0))/INDEX('2023_24'!$G:$G,MATCH($A567,'2023_24'!$A:$A,0))*90,"")</f>
        <v/>
      </c>
      <c r="Z567" t="str">
        <f>IFERROR(INDEX('2024_25'!$M:$M,MATCH($A567,'2024_25'!$A:$A,0))/INDEX('2024_25'!$G:$G,MATCH($A567,'2024_25'!$A:$A,0))*90,"")</f>
        <v/>
      </c>
      <c r="AA567" t="str">
        <f>IFERROR(INDEX('2025_26'!$M:$M,MATCH($A567,'2025_26'!$A:$A,0))/INDEX('2025_26'!$G:$G,MATCH($A567,'2025_26'!$A:$A,0))*90,"")</f>
        <v/>
      </c>
      <c r="AB567">
        <f>IFERROR(SUMPRODUCT(S567:U567,{0.2,0.3,0.5})/SUMPRODUCT(--(S567:U567&lt;&gt;""),{0.2,0.3,0.5}),"")</f>
        <v>0</v>
      </c>
      <c r="AC567">
        <f>IFERROR(SUMPRODUCT(V567:X567,{0.2,0.3,0.5})/SUMPRODUCT(--(V567:X567&lt;&gt;""),{0.2,0.3,0.5}),"")</f>
        <v>0</v>
      </c>
      <c r="AD567" t="str">
        <f>IFERROR(SUMPRODUCT(Y567:AA567,{0.2,0.3,0.5})/SUMPRODUCT((Y567:AA567&lt;&gt;"")*{0.2,0.3,0.5}),O567)</f>
        <v/>
      </c>
      <c r="AE567">
        <f t="shared" si="213"/>
        <v>3</v>
      </c>
      <c r="AF567" t="str">
        <f t="shared" si="214"/>
        <v/>
      </c>
      <c r="AG567">
        <f t="shared" si="215"/>
        <v>0</v>
      </c>
      <c r="AH567">
        <f t="shared" si="216"/>
        <v>0</v>
      </c>
      <c r="AI567" s="2">
        <f t="shared" si="217"/>
        <v>0</v>
      </c>
      <c r="AJ567">
        <f t="shared" si="218"/>
        <v>0</v>
      </c>
      <c r="AK567" t="str">
        <f t="shared" si="219"/>
        <v>NO</v>
      </c>
      <c r="AL567">
        <f t="shared" si="220"/>
        <v>0</v>
      </c>
      <c r="AM567">
        <f t="shared" si="221"/>
        <v>0</v>
      </c>
      <c r="AN567">
        <f t="shared" si="222"/>
        <v>0</v>
      </c>
      <c r="AO567">
        <f t="shared" si="223"/>
        <v>0</v>
      </c>
      <c r="AP567">
        <f t="array" ref="AP567">AL567*IF($C567="GKP",10,IF($C567="DEF",6,IF($C567="MID",5,4)))</f>
        <v>0</v>
      </c>
      <c r="AQ567">
        <f t="shared" si="224"/>
        <v>0</v>
      </c>
      <c r="AR567">
        <f t="shared" si="225"/>
        <v>0</v>
      </c>
      <c r="AS567" s="2">
        <f>IF($H567=0,0,Player_Analysis!$AM567*$H567/90)</f>
        <v>0</v>
      </c>
      <c r="AT567">
        <f t="shared" si="226"/>
        <v>0</v>
      </c>
      <c r="AU567" s="2">
        <f>0</f>
        <v>0</v>
      </c>
      <c r="AV567" s="2" t="str">
        <f>IF(INDEX(FPL_Raw_Data!K:K,MATCH(A567,FPL_Raw_Data!AA:AA,0))=0,"",INDEX(FPL_Raw_Data!P:P,MATCH(A567,FPL_Raw_Data!AA:AA,0))/INDEX(FPL_Raw_Data!K:K,MATCH(A567,FPL_Raw_Data!AA:AA,0))*90)</f>
        <v/>
      </c>
      <c r="AW567" s="2">
        <f t="shared" si="227"/>
        <v>0</v>
      </c>
      <c r="AX567" s="2">
        <f>IFERROR(INDEX(TEAM_ANALYSIS!$H$2:$H$21,MATCH($B567,TEAM_ANALYSIS!$A$2:$A$21,0)),0)</f>
        <v>1</v>
      </c>
      <c r="AY567" s="2">
        <f t="shared" si="228"/>
        <v>-0.5</v>
      </c>
      <c r="AZ567" s="2">
        <f t="shared" si="229"/>
        <v>-0.5</v>
      </c>
      <c r="BA567">
        <f t="shared" si="230"/>
        <v>-0.125</v>
      </c>
      <c r="BB567">
        <f>IFERROR(Player_Analysis!$Y567,1)</f>
        <v>1.1658368376787216</v>
      </c>
      <c r="BC567">
        <f t="shared" si="231"/>
        <v>-0.5829184188393608</v>
      </c>
      <c r="BD567">
        <f t="shared" si="232"/>
        <v>7.28648023549201E-2</v>
      </c>
      <c r="BE567">
        <f t="shared" si="233"/>
        <v>-0.5829184188393608</v>
      </c>
      <c r="BF567">
        <f t="shared" si="234"/>
        <v>530</v>
      </c>
      <c r="BG567">
        <f>IF($BE567="","",COUNTIFS($C$2:$C$596,$C567,$BE$2:$BE$596,"&gt;"&amp;$BE567)+COUNTIFS($C$2:$C567,$C567,$BE$2:$BE567,$BE567))</f>
        <v>129</v>
      </c>
    </row>
    <row r="568" spans="1:59" x14ac:dyDescent="0.25">
      <c r="A568" t="str">
        <f>Player_Analysis!A568</f>
        <v>Zach Abbott</v>
      </c>
      <c r="B568">
        <f>Player_Analysis!C568</f>
        <v>18</v>
      </c>
      <c r="C568" t="str">
        <f>Player_Analysis!B568</f>
        <v>DEF</v>
      </c>
      <c r="D568" s="13">
        <f>Player_Analysis!E568</f>
        <v>4</v>
      </c>
      <c r="E568">
        <f>Player_Analysis!I568</f>
        <v>0</v>
      </c>
      <c r="F568" s="8">
        <f>Player_Analysis!Z568</f>
        <v>0</v>
      </c>
      <c r="G568" s="17">
        <f t="shared" si="209"/>
        <v>0</v>
      </c>
      <c r="H568">
        <f t="shared" si="210"/>
        <v>0</v>
      </c>
      <c r="I568" s="8">
        <f>Player_Analysis!AF568</f>
        <v>0</v>
      </c>
      <c r="J568" s="8">
        <f>Player_Analysis!AG568</f>
        <v>0</v>
      </c>
      <c r="K568">
        <f>Player_Analysis!O568</f>
        <v>0</v>
      </c>
      <c r="L568">
        <f>Player_Analysis!P568</f>
        <v>0</v>
      </c>
      <c r="M568" t="str">
        <f t="shared" si="211"/>
        <v/>
      </c>
      <c r="N568" t="str">
        <f t="shared" si="212"/>
        <v/>
      </c>
      <c r="O568" s="2" t="str">
        <f>IF(E568=0,"",Player_Analysis!L568/E568*90)</f>
        <v/>
      </c>
      <c r="P568" t="str">
        <f>IF(E568=0,"",Player_Analysis!Q568/E568*90)</f>
        <v/>
      </c>
      <c r="Q568" t="str">
        <f>IF(E568=0,"",(Player_Analysis!AD568/E568)*90)</f>
        <v/>
      </c>
      <c r="R568" t="str">
        <f>IF(E568=0,"",Player_Analysis!AA568/E568*90)</f>
        <v/>
      </c>
      <c r="S568" t="str">
        <f t="array" ref="S568">IFERROR(INDEX('2023_24'!$O:$O,MATCH($A568,'2023_24'!$A:$A,0)),"")</f>
        <v/>
      </c>
      <c r="T568">
        <f>IFERROR(INDEX('2024_25'!$P:$P,MATCH($A568,'2024_25'!$A:$A,0)),"")</f>
        <v>0</v>
      </c>
      <c r="U568">
        <f>IFERROR(INDEX('2025_26'!$P:$P,MATCH($A568,'2025_26'!$A:$A,0)),"")</f>
        <v>0</v>
      </c>
      <c r="V568" t="str">
        <f>IFERROR(INDEX('2023_24'!$P:$P,MATCH($A568,'2023_24'!$A:$A,0)),"")</f>
        <v/>
      </c>
      <c r="W568">
        <f>IFERROR(INDEX('2024_25'!$Q:$Q,MATCH($A568,'2024_25'!$A:$A,0)),"")</f>
        <v>0</v>
      </c>
      <c r="X568">
        <f>IFERROR(INDEX('2025_26'!$Q:$Q,MATCH($A568,'2025_26'!$A:$A,0)),"")</f>
        <v>5.4545454545454541E-3</v>
      </c>
      <c r="Y568" t="str">
        <f>IFERROR(INDEX('2023_24'!$M:$M,MATCH($A568,'2023_24'!$A:$A,0))/INDEX('2023_24'!$G:$G,MATCH($A568,'2023_24'!$A:$A,0))*90,"")</f>
        <v/>
      </c>
      <c r="Z568" t="str">
        <f>IFERROR(INDEX('2024_25'!$M:$M,MATCH($A568,'2024_25'!$A:$A,0))/INDEX('2024_25'!$G:$G,MATCH($A568,'2024_25'!$A:$A,0))*90,"")</f>
        <v/>
      </c>
      <c r="AA568">
        <f>IFERROR(INDEX('2025_26'!$M:$M,MATCH($A568,'2025_26'!$A:$A,0))/INDEX('2025_26'!$G:$G,MATCH($A568,'2025_26'!$A:$A,0))*90,"")</f>
        <v>1.6363636363636362</v>
      </c>
      <c r="AB568">
        <f>IFERROR(SUMPRODUCT(S568:U568,{0.2,0.3,0.5})/SUMPRODUCT(--(S568:U568&lt;&gt;""),{0.2,0.3,0.5}),"")</f>
        <v>0</v>
      </c>
      <c r="AC568">
        <f>IFERROR(SUMPRODUCT(V568:X568,{0.2,0.3,0.5})/SUMPRODUCT(--(V568:X568&lt;&gt;""),{0.2,0.3,0.5}),"")</f>
        <v>3.4090909090909085E-3</v>
      </c>
      <c r="AD568">
        <f>IFERROR(SUMPRODUCT(Y568:AA568,{0.2,0.3,0.5})/SUMPRODUCT((Y568:AA568&lt;&gt;"")*{0.2,0.3,0.5}),O568)</f>
        <v>1.6363636363636362</v>
      </c>
      <c r="AE568">
        <f t="shared" si="213"/>
        <v>2</v>
      </c>
      <c r="AF568" t="str">
        <f t="shared" si="214"/>
        <v/>
      </c>
      <c r="AG568">
        <f t="shared" si="215"/>
        <v>0</v>
      </c>
      <c r="AH568">
        <f t="shared" si="216"/>
        <v>3.4090909090909085E-3</v>
      </c>
      <c r="AI568" s="2">
        <f t="shared" si="217"/>
        <v>1.6363636363636362</v>
      </c>
      <c r="AJ568">
        <f t="shared" si="218"/>
        <v>0</v>
      </c>
      <c r="AK568" t="str">
        <f t="shared" si="219"/>
        <v>NO</v>
      </c>
      <c r="AL568">
        <f t="shared" si="220"/>
        <v>0</v>
      </c>
      <c r="AM568">
        <f t="shared" si="221"/>
        <v>0</v>
      </c>
      <c r="AN568">
        <f t="shared" si="222"/>
        <v>0</v>
      </c>
      <c r="AO568">
        <f t="shared" si="223"/>
        <v>0</v>
      </c>
      <c r="AP568">
        <f t="array" ref="AP568">AL568*IF($C568="GKP",10,IF($C568="DEF",6,IF($C568="MID",5,4)))</f>
        <v>0</v>
      </c>
      <c r="AQ568">
        <f t="shared" si="224"/>
        <v>0</v>
      </c>
      <c r="AR568">
        <f t="shared" si="225"/>
        <v>0</v>
      </c>
      <c r="AS568" s="2">
        <f>IF($H568=0,0,Player_Analysis!$AM568*$H568/90)</f>
        <v>0</v>
      </c>
      <c r="AT568">
        <f t="shared" si="226"/>
        <v>0</v>
      </c>
      <c r="AU568" s="2">
        <f>0</f>
        <v>0</v>
      </c>
      <c r="AV568" s="2" t="str">
        <f>IF(INDEX(FPL_Raw_Data!K:K,MATCH(A568,FPL_Raw_Data!AA:AA,0))=0,"",INDEX(FPL_Raw_Data!P:P,MATCH(A568,FPL_Raw_Data!AA:AA,0))/INDEX(FPL_Raw_Data!K:K,MATCH(A568,FPL_Raw_Data!AA:AA,0))*90)</f>
        <v/>
      </c>
      <c r="AW568" s="2">
        <f t="shared" si="227"/>
        <v>0</v>
      </c>
      <c r="AX568" s="2">
        <f>IFERROR(INDEX(TEAM_ANALYSIS!$H$2:$H$21,MATCH($B568,TEAM_ANALYSIS!$A$2:$A$21,0)),0)</f>
        <v>1</v>
      </c>
      <c r="AY568" s="2">
        <f t="shared" si="228"/>
        <v>-0.5</v>
      </c>
      <c r="AZ568" s="2">
        <f t="shared" si="229"/>
        <v>-0.5</v>
      </c>
      <c r="BA568">
        <f t="shared" si="230"/>
        <v>-0.125</v>
      </c>
      <c r="BB568">
        <f>IFERROR(Player_Analysis!$Y568,1)</f>
        <v>1.1658368376787216</v>
      </c>
      <c r="BC568">
        <f t="shared" si="231"/>
        <v>-0.5829184188393608</v>
      </c>
      <c r="BD568">
        <f t="shared" si="232"/>
        <v>7.28648023549201E-2</v>
      </c>
      <c r="BE568">
        <f t="shared" si="233"/>
        <v>-0.5829184188393608</v>
      </c>
      <c r="BF568">
        <f t="shared" si="234"/>
        <v>530</v>
      </c>
      <c r="BG568">
        <f>IF($BE568="","",COUNTIFS($C$2:$C$596,$C568,$BE$2:$BE$596,"&gt;"&amp;$BE568)+COUNTIFS($C$2:$C568,$C568,$BE$2:$BE568,$BE568))</f>
        <v>130</v>
      </c>
    </row>
    <row r="569" spans="1:59" x14ac:dyDescent="0.25">
      <c r="A569" t="str">
        <f>Player_Analysis!A569</f>
        <v>Luca Netz</v>
      </c>
      <c r="B569">
        <f>Player_Analysis!C569</f>
        <v>18</v>
      </c>
      <c r="C569" t="str">
        <f>Player_Analysis!B569</f>
        <v>DEF</v>
      </c>
      <c r="D569" s="13">
        <f>Player_Analysis!E569</f>
        <v>4.5</v>
      </c>
      <c r="E569">
        <f>Player_Analysis!I569</f>
        <v>20</v>
      </c>
      <c r="F569" s="8">
        <f>Player_Analysis!Z569</f>
        <v>0</v>
      </c>
      <c r="G569" s="17">
        <f t="shared" si="209"/>
        <v>0</v>
      </c>
      <c r="H569">
        <f t="shared" si="210"/>
        <v>0</v>
      </c>
      <c r="I569" s="8">
        <f>Player_Analysis!AF569</f>
        <v>0</v>
      </c>
      <c r="J569" s="8">
        <f>Player_Analysis!AG569</f>
        <v>0</v>
      </c>
      <c r="K569">
        <f>Player_Analysis!O569</f>
        <v>0</v>
      </c>
      <c r="L569">
        <f>Player_Analysis!P569</f>
        <v>0</v>
      </c>
      <c r="M569">
        <f t="shared" si="211"/>
        <v>0</v>
      </c>
      <c r="N569">
        <f t="shared" si="212"/>
        <v>0</v>
      </c>
      <c r="O569" s="2">
        <f>IF(E569=0,"",Player_Analysis!L569/E569*90)</f>
        <v>9</v>
      </c>
      <c r="P569">
        <f>IF(E569=0,"",Player_Analysis!Q569/E569*90)</f>
        <v>0</v>
      </c>
      <c r="Q569">
        <f>IF(E569=0,"",(Player_Analysis!AD569/E569)*90)</f>
        <v>13.5</v>
      </c>
      <c r="R569">
        <f>IF(E569=0,"",Player_Analysis!AA569/E569*90)</f>
        <v>4.5</v>
      </c>
      <c r="S569" t="str">
        <f t="array" ref="S569">IFERROR(INDEX('2023_24'!$O:$O,MATCH($A569,'2023_24'!$A:$A,0)),"")</f>
        <v/>
      </c>
      <c r="T569" t="str">
        <f>IFERROR(INDEX('2024_25'!$P:$P,MATCH($A569,'2024_25'!$A:$A,0)),"")</f>
        <v/>
      </c>
      <c r="U569">
        <f>IFERROR(INDEX('2025_26'!$P:$P,MATCH($A569,'2025_26'!$A:$A,0)),"")</f>
        <v>0</v>
      </c>
      <c r="V569" t="str">
        <f>IFERROR(INDEX('2023_24'!$P:$P,MATCH($A569,'2023_24'!$A:$A,0)),"")</f>
        <v/>
      </c>
      <c r="W569" t="str">
        <f>IFERROR(INDEX('2024_25'!$Q:$Q,MATCH($A569,'2024_25'!$A:$A,0)),"")</f>
        <v/>
      </c>
      <c r="X569">
        <f>IFERROR(INDEX('2025_26'!$Q:$Q,MATCH($A569,'2025_26'!$A:$A,0)),"")</f>
        <v>0.10453257790368271</v>
      </c>
      <c r="Y569" t="str">
        <f>IFERROR(INDEX('2023_24'!$M:$M,MATCH($A569,'2023_24'!$A:$A,0))/INDEX('2023_24'!$G:$G,MATCH($A569,'2023_24'!$A:$A,0))*90,"")</f>
        <v/>
      </c>
      <c r="Z569" t="str">
        <f>IFERROR(INDEX('2024_25'!$M:$M,MATCH($A569,'2024_25'!$A:$A,0))/INDEX('2024_25'!$G:$G,MATCH($A569,'2024_25'!$A:$A,0))*90,"")</f>
        <v/>
      </c>
      <c r="AA569">
        <f>IFERROR(INDEX('2025_26'!$M:$M,MATCH($A569,'2025_26'!$A:$A,0))/INDEX('2025_26'!$G:$G,MATCH($A569,'2025_26'!$A:$A,0))*90,"")</f>
        <v>2.8045325779036827</v>
      </c>
      <c r="AB569">
        <f>IFERROR(SUMPRODUCT(S569:U569,{0.2,0.3,0.5})/SUMPRODUCT(--(S569:U569&lt;&gt;""),{0.2,0.3,0.5}),"")</f>
        <v>0</v>
      </c>
      <c r="AC569">
        <f>IFERROR(SUMPRODUCT(V569:X569,{0.2,0.3,0.5})/SUMPRODUCT(--(V569:X569&lt;&gt;""),{0.2,0.3,0.5}),"")</f>
        <v>0.10453257790368271</v>
      </c>
      <c r="AD569">
        <f>IFERROR(SUMPRODUCT(Y569:AA569,{0.2,0.3,0.5})/SUMPRODUCT((Y569:AA569&lt;&gt;"")*{0.2,0.3,0.5}),O569)</f>
        <v>2.8045325779036827</v>
      </c>
      <c r="AE569">
        <f t="shared" si="213"/>
        <v>1</v>
      </c>
      <c r="AF569" t="str">
        <f t="shared" si="214"/>
        <v/>
      </c>
      <c r="AG569">
        <f t="shared" si="215"/>
        <v>0</v>
      </c>
      <c r="AH569">
        <f t="shared" si="216"/>
        <v>9.7563739376770528E-2</v>
      </c>
      <c r="AI569" s="2">
        <f t="shared" si="217"/>
        <v>3.2175637393767706</v>
      </c>
      <c r="AJ569">
        <f t="shared" si="218"/>
        <v>6.6666666666666666E-2</v>
      </c>
      <c r="AK569" t="str">
        <f t="shared" si="219"/>
        <v>NO</v>
      </c>
      <c r="AL569">
        <f t="shared" si="220"/>
        <v>0</v>
      </c>
      <c r="AM569">
        <f t="shared" si="221"/>
        <v>0</v>
      </c>
      <c r="AN569">
        <f t="shared" si="222"/>
        <v>0</v>
      </c>
      <c r="AO569">
        <f t="shared" si="223"/>
        <v>0</v>
      </c>
      <c r="AP569">
        <f t="array" ref="AP569">AL569*IF($C569="GKP",10,IF($C569="DEF",6,IF($C569="MID",5,4)))</f>
        <v>0</v>
      </c>
      <c r="AQ569">
        <f t="shared" si="224"/>
        <v>0</v>
      </c>
      <c r="AR569">
        <f t="shared" si="225"/>
        <v>0</v>
      </c>
      <c r="AS569" s="2">
        <f>IF($H569=0,0,Player_Analysis!$AM569*$H569/90)</f>
        <v>0</v>
      </c>
      <c r="AT569">
        <f t="shared" si="226"/>
        <v>0</v>
      </c>
      <c r="AU569" s="2">
        <f>0</f>
        <v>0</v>
      </c>
      <c r="AV569" s="2">
        <f>IF(INDEX(FPL_Raw_Data!K:K,MATCH(A569,FPL_Raw_Data!AA:AA,0))=0,"",INDEX(FPL_Raw_Data!P:P,MATCH(A569,FPL_Raw_Data!AA:AA,0))/INDEX(FPL_Raw_Data!K:K,MATCH(A569,FPL_Raw_Data!AA:AA,0))*90)</f>
        <v>0</v>
      </c>
      <c r="AW569" s="2">
        <f t="shared" si="227"/>
        <v>0</v>
      </c>
      <c r="AX569" s="2">
        <f>IFERROR(INDEX(TEAM_ANALYSIS!$H$2:$H$21,MATCH($B569,TEAM_ANALYSIS!$A$2:$A$21,0)),0)</f>
        <v>1</v>
      </c>
      <c r="AY569" s="2">
        <f t="shared" si="228"/>
        <v>-0.5</v>
      </c>
      <c r="AZ569" s="2">
        <f t="shared" si="229"/>
        <v>-0.5</v>
      </c>
      <c r="BA569">
        <f t="shared" si="230"/>
        <v>-0.1111111111111111</v>
      </c>
      <c r="BB569">
        <f>IFERROR(Player_Analysis!$Y569,1)</f>
        <v>1.1658368376787216</v>
      </c>
      <c r="BC569">
        <f t="shared" si="231"/>
        <v>-0.5829184188393608</v>
      </c>
      <c r="BD569">
        <f t="shared" si="232"/>
        <v>6.4768713204373413E-2</v>
      </c>
      <c r="BE569">
        <f t="shared" si="233"/>
        <v>-0.5829184188393608</v>
      </c>
      <c r="BF569">
        <f t="shared" si="234"/>
        <v>530</v>
      </c>
      <c r="BG569">
        <f>IF($BE569="","",COUNTIFS($C$2:$C$596,$C569,$BE$2:$BE$596,"&gt;"&amp;$BE569)+COUNTIFS($C$2:$C569,$C569,$BE$2:$BE569,$BE569))</f>
        <v>131</v>
      </c>
    </row>
    <row r="570" spans="1:59" x14ac:dyDescent="0.25">
      <c r="A570" t="str">
        <f>Player_Analysis!A570</f>
        <v>Tyler Bindon</v>
      </c>
      <c r="B570">
        <f>Player_Analysis!C570</f>
        <v>18</v>
      </c>
      <c r="C570" t="str">
        <f>Player_Analysis!B570</f>
        <v>DEF</v>
      </c>
      <c r="D570" s="13">
        <f>Player_Analysis!E570</f>
        <v>4</v>
      </c>
      <c r="E570">
        <f>Player_Analysis!I570</f>
        <v>0</v>
      </c>
      <c r="F570" s="8">
        <f>Player_Analysis!Z570</f>
        <v>0</v>
      </c>
      <c r="G570" s="17">
        <f t="shared" si="209"/>
        <v>0</v>
      </c>
      <c r="H570">
        <f t="shared" si="210"/>
        <v>0</v>
      </c>
      <c r="I570" s="8">
        <f>Player_Analysis!AF570</f>
        <v>0</v>
      </c>
      <c r="J570" s="8">
        <f>Player_Analysis!AG570</f>
        <v>0</v>
      </c>
      <c r="K570">
        <f>Player_Analysis!O570</f>
        <v>0</v>
      </c>
      <c r="L570">
        <f>Player_Analysis!P570</f>
        <v>0</v>
      </c>
      <c r="M570" t="str">
        <f t="shared" si="211"/>
        <v/>
      </c>
      <c r="N570" t="str">
        <f t="shared" si="212"/>
        <v/>
      </c>
      <c r="O570" s="2" t="str">
        <f>IF(E570=0,"",Player_Analysis!L570/E570*90)</f>
        <v/>
      </c>
      <c r="P570" t="str">
        <f>IF(E570=0,"",Player_Analysis!Q570/E570*90)</f>
        <v/>
      </c>
      <c r="Q570" t="str">
        <f>IF(E570=0,"",(Player_Analysis!AD570/E570)*90)</f>
        <v/>
      </c>
      <c r="R570" t="str">
        <f>IF(E570=0,"",Player_Analysis!AA570/E570*90)</f>
        <v/>
      </c>
      <c r="S570" t="str">
        <f t="array" ref="S570">IFERROR(INDEX('2023_24'!$O:$O,MATCH($A570,'2023_24'!$A:$A,0)),"")</f>
        <v/>
      </c>
      <c r="T570" t="str">
        <f>IFERROR(INDEX('2024_25'!$P:$P,MATCH($A570,'2024_25'!$A:$A,0)),"")</f>
        <v/>
      </c>
      <c r="U570" t="str">
        <f>IFERROR(INDEX('2025_26'!$P:$P,MATCH($A570,'2025_26'!$A:$A,0)),"")</f>
        <v/>
      </c>
      <c r="V570" t="str">
        <f>IFERROR(INDEX('2023_24'!$P:$P,MATCH($A570,'2023_24'!$A:$A,0)),"")</f>
        <v/>
      </c>
      <c r="W570" t="str">
        <f>IFERROR(INDEX('2024_25'!$Q:$Q,MATCH($A570,'2024_25'!$A:$A,0)),"")</f>
        <v/>
      </c>
      <c r="X570" t="str">
        <f>IFERROR(INDEX('2025_26'!$Q:$Q,MATCH($A570,'2025_26'!$A:$A,0)),"")</f>
        <v/>
      </c>
      <c r="Y570" t="str">
        <f>IFERROR(INDEX('2023_24'!$M:$M,MATCH($A570,'2023_24'!$A:$A,0))/INDEX('2023_24'!$G:$G,MATCH($A570,'2023_24'!$A:$A,0))*90,"")</f>
        <v/>
      </c>
      <c r="Z570" t="str">
        <f>IFERROR(INDEX('2024_25'!$M:$M,MATCH($A570,'2024_25'!$A:$A,0))/INDEX('2024_25'!$G:$G,MATCH($A570,'2024_25'!$A:$A,0))*90,"")</f>
        <v/>
      </c>
      <c r="AA570" t="str">
        <f>IFERROR(INDEX('2025_26'!$M:$M,MATCH($A570,'2025_26'!$A:$A,0))/INDEX('2025_26'!$G:$G,MATCH($A570,'2025_26'!$A:$A,0))*90,"")</f>
        <v/>
      </c>
      <c r="AB570" t="str">
        <f>IFERROR(SUMPRODUCT(S570:U570,{0.2,0.3,0.5})/SUMPRODUCT(--(S570:U570&lt;&gt;""),{0.2,0.3,0.5}),"")</f>
        <v/>
      </c>
      <c r="AC570" t="str">
        <f>IFERROR(SUMPRODUCT(V570:X570,{0.2,0.3,0.5})/SUMPRODUCT(--(V570:X570&lt;&gt;""),{0.2,0.3,0.5}),"")</f>
        <v/>
      </c>
      <c r="AD570" t="str">
        <f>IFERROR(SUMPRODUCT(Y570:AA570,{0.2,0.3,0.5})/SUMPRODUCT((Y570:AA570&lt;&gt;"")*{0.2,0.3,0.5}),O570)</f>
        <v/>
      </c>
      <c r="AE570">
        <f t="shared" si="213"/>
        <v>0</v>
      </c>
      <c r="AF570" t="str">
        <f t="shared" si="214"/>
        <v/>
      </c>
      <c r="AG570">
        <f t="shared" si="215"/>
        <v>0</v>
      </c>
      <c r="AH570">
        <f t="shared" si="216"/>
        <v>0</v>
      </c>
      <c r="AI570" s="2">
        <f t="shared" si="217"/>
        <v>0</v>
      </c>
      <c r="AJ570">
        <f t="shared" si="218"/>
        <v>0</v>
      </c>
      <c r="AK570" t="str">
        <f t="shared" si="219"/>
        <v>YES</v>
      </c>
      <c r="AL570">
        <f t="shared" si="220"/>
        <v>0</v>
      </c>
      <c r="AM570">
        <f t="shared" si="221"/>
        <v>0</v>
      </c>
      <c r="AN570">
        <f t="shared" si="222"/>
        <v>0</v>
      </c>
      <c r="AO570">
        <f t="shared" si="223"/>
        <v>0</v>
      </c>
      <c r="AP570">
        <f t="array" ref="AP570">AL570*IF($C570="GKP",10,IF($C570="DEF",6,IF($C570="MID",5,4)))</f>
        <v>0</v>
      </c>
      <c r="AQ570">
        <f t="shared" si="224"/>
        <v>0</v>
      </c>
      <c r="AR570">
        <f t="shared" si="225"/>
        <v>0</v>
      </c>
      <c r="AS570" s="2">
        <f>IF($H570=0,0,Player_Analysis!$AM570*$H570/90)</f>
        <v>0</v>
      </c>
      <c r="AT570">
        <f t="shared" si="226"/>
        <v>0</v>
      </c>
      <c r="AU570" s="2">
        <f>0</f>
        <v>0</v>
      </c>
      <c r="AV570" s="2" t="str">
        <f>IF(INDEX(FPL_Raw_Data!K:K,MATCH(A570,FPL_Raw_Data!AA:AA,0))=0,"",INDEX(FPL_Raw_Data!P:P,MATCH(A570,FPL_Raw_Data!AA:AA,0))/INDEX(FPL_Raw_Data!K:K,MATCH(A570,FPL_Raw_Data!AA:AA,0))*90)</f>
        <v/>
      </c>
      <c r="AW570" s="2">
        <f t="shared" si="227"/>
        <v>0</v>
      </c>
      <c r="AX570" s="2">
        <f>IFERROR(INDEX(TEAM_ANALYSIS!$H$2:$H$21,MATCH($B570,TEAM_ANALYSIS!$A$2:$A$21,0)),0)</f>
        <v>1</v>
      </c>
      <c r="AY570" s="2">
        <f t="shared" si="228"/>
        <v>-0.5</v>
      </c>
      <c r="AZ570" s="2">
        <f t="shared" si="229"/>
        <v>-0.5</v>
      </c>
      <c r="BA570">
        <f t="shared" si="230"/>
        <v>-0.125</v>
      </c>
      <c r="BB570">
        <f>IFERROR(Player_Analysis!$Y570,1)</f>
        <v>1.1658368376787216</v>
      </c>
      <c r="BC570">
        <f t="shared" si="231"/>
        <v>-0.5829184188393608</v>
      </c>
      <c r="BD570">
        <f t="shared" si="232"/>
        <v>7.28648023549201E-2</v>
      </c>
      <c r="BE570">
        <f t="shared" si="233"/>
        <v>-0.5829184188393608</v>
      </c>
      <c r="BF570">
        <f t="shared" si="234"/>
        <v>530</v>
      </c>
      <c r="BG570">
        <f>IF($BE570="","",COUNTIFS($C$2:$C$596,$C570,$BE$2:$BE$596,"&gt;"&amp;$BE570)+COUNTIFS($C$2:$C570,$C570,$BE$2:$BE570,$BE570))</f>
        <v>132</v>
      </c>
    </row>
    <row r="571" spans="1:59" x14ac:dyDescent="0.25">
      <c r="A571" t="str">
        <f>Player_Analysis!A571</f>
        <v>Morgan Gibbs-White</v>
      </c>
      <c r="B571">
        <f>Player_Analysis!C571</f>
        <v>18</v>
      </c>
      <c r="C571" t="str">
        <f>Player_Analysis!B571</f>
        <v>MID</v>
      </c>
      <c r="D571" s="13">
        <f>Player_Analysis!E571</f>
        <v>7.9</v>
      </c>
      <c r="E571">
        <f>Player_Analysis!I571</f>
        <v>270</v>
      </c>
      <c r="F571" s="8">
        <f>Player_Analysis!Z571</f>
        <v>3</v>
      </c>
      <c r="G571" s="17">
        <f t="shared" si="209"/>
        <v>1</v>
      </c>
      <c r="H571">
        <f t="shared" si="210"/>
        <v>90</v>
      </c>
      <c r="I571" s="8">
        <f>Player_Analysis!AF571</f>
        <v>1</v>
      </c>
      <c r="J571" s="8">
        <f>Player_Analysis!AG571</f>
        <v>1</v>
      </c>
      <c r="K571">
        <f>Player_Analysis!O571</f>
        <v>1.4</v>
      </c>
      <c r="L571">
        <f>Player_Analysis!P571</f>
        <v>0.11</v>
      </c>
      <c r="M571">
        <f t="shared" si="211"/>
        <v>0.46666666666666667</v>
      </c>
      <c r="N571">
        <f t="shared" si="212"/>
        <v>3.6666666666666667E-2</v>
      </c>
      <c r="O571" s="2">
        <f>IF(E571=0,"",Player_Analysis!L571/E571*90)</f>
        <v>6</v>
      </c>
      <c r="P571">
        <f>IF(E571=0,"",Player_Analysis!Q571/E571*90)</f>
        <v>0.5033333333333333</v>
      </c>
      <c r="Q571">
        <f>IF(E571=0,"",(Player_Analysis!AD571/E571)*90)</f>
        <v>16.333333333333336</v>
      </c>
      <c r="R571">
        <f>IF(E571=0,"",Player_Analysis!AA571/E571*90)</f>
        <v>5</v>
      </c>
      <c r="S571">
        <f t="array" ref="S571">IFERROR(INDEX('2023_24'!$O:$O,MATCH($A571,'2023_24'!$A:$A,0)),"")</f>
        <v>0.189638783269962</v>
      </c>
      <c r="T571">
        <f>IFERROR(INDEX('2024_25'!$P:$P,MATCH($A571,'2024_25'!$A:$A,0)),"")</f>
        <v>0.20238774055595152</v>
      </c>
      <c r="U571">
        <f>IFERROR(INDEX('2025_26'!$P:$P,MATCH($A571,'2025_26'!$A:$A,0)),"")</f>
        <v>0.31373750403095779</v>
      </c>
      <c r="V571">
        <f>IFERROR(INDEX('2023_24'!$P:$P,MATCH($A571,'2023_24'!$A:$A,0)),"")</f>
        <v>0.19363117870722432</v>
      </c>
      <c r="W571">
        <f>IFERROR(INDEX('2024_25'!$Q:$Q,MATCH($A571,'2024_25'!$A:$A,0)),"")</f>
        <v>0.15010691375623661</v>
      </c>
      <c r="X571">
        <f>IFERROR(INDEX('2025_26'!$Q:$Q,MATCH($A571,'2025_26'!$A:$A,0)),"")</f>
        <v>8.4456626894550149E-2</v>
      </c>
      <c r="Y571">
        <f>IFERROR(INDEX('2023_24'!$M:$M,MATCH($A571,'2023_24'!$A:$A,0))/INDEX('2023_24'!$G:$G,MATCH($A571,'2023_24'!$A:$A,0))*90,"")</f>
        <v>4.0494296577946765</v>
      </c>
      <c r="Z571">
        <f>IFERROR(INDEX('2024_25'!$M:$M,MATCH($A571,'2024_25'!$A:$A,0))/INDEX('2024_25'!$G:$G,MATCH($A571,'2024_25'!$A:$A,0))*90,"")</f>
        <v>4.9394155381325726</v>
      </c>
      <c r="AA571">
        <f>IFERROR(INDEX('2025_26'!$M:$M,MATCH($A571,'2025_26'!$A:$A,0))/INDEX('2025_26'!$G:$G,MATCH($A571,'2025_26'!$A:$A,0))*90,"")</f>
        <v>5.4563044179297</v>
      </c>
      <c r="AB571">
        <f>IFERROR(SUMPRODUCT(S571:U571,{0.2,0.3,0.5})/SUMPRODUCT(--(S571:U571&lt;&gt;""),{0.2,0.3,0.5}),"")</f>
        <v>0.25551283083625675</v>
      </c>
      <c r="AC571">
        <f>IFERROR(SUMPRODUCT(V571:X571,{0.2,0.3,0.5})/SUMPRODUCT(--(V571:X571&lt;&gt;""),{0.2,0.3,0.5}),"")</f>
        <v>0.12598662331559093</v>
      </c>
      <c r="AD571">
        <f>IFERROR(SUMPRODUCT(Y571:AA571,{0.2,0.3,0.5})/SUMPRODUCT((Y571:AA571&lt;&gt;"")*{0.2,0.3,0.5}),O571)</f>
        <v>5.0198628019635567</v>
      </c>
      <c r="AE571">
        <f t="shared" si="213"/>
        <v>3</v>
      </c>
      <c r="AF571">
        <f t="shared" si="214"/>
        <v>90</v>
      </c>
      <c r="AG571">
        <f t="shared" si="215"/>
        <v>0.44555128308362568</v>
      </c>
      <c r="AH571">
        <f t="shared" si="216"/>
        <v>4.5598662331559091E-2</v>
      </c>
      <c r="AI571" s="2">
        <f t="shared" si="217"/>
        <v>5.9019862801963558</v>
      </c>
      <c r="AJ571">
        <f t="shared" si="218"/>
        <v>0.9</v>
      </c>
      <c r="AK571" t="str">
        <f t="shared" si="219"/>
        <v>NO</v>
      </c>
      <c r="AL571">
        <f t="shared" si="220"/>
        <v>0.44555128308362568</v>
      </c>
      <c r="AM571">
        <f t="shared" si="221"/>
        <v>4.5598662331559084E-2</v>
      </c>
      <c r="AN571">
        <f t="shared" si="222"/>
        <v>0.44555128308362568</v>
      </c>
      <c r="AO571">
        <f t="shared" si="223"/>
        <v>4.5598662331559084E-2</v>
      </c>
      <c r="AP571">
        <f t="array" ref="AP571">AL571*IF($C571="GKP",10,IF($C571="DEF",6,IF($C571="MID",5,4)))</f>
        <v>2.2277564154181286</v>
      </c>
      <c r="AQ571">
        <f t="shared" si="224"/>
        <v>0.13679598699467727</v>
      </c>
      <c r="AR571">
        <f t="shared" si="225"/>
        <v>2</v>
      </c>
      <c r="AS571" s="2">
        <f>IF($H571=0,0,Player_Analysis!$AM571*$H571/90)</f>
        <v>0.33333333333333331</v>
      </c>
      <c r="AT571">
        <f t="shared" si="226"/>
        <v>0.83333333333333337</v>
      </c>
      <c r="AU571" s="2">
        <f>0</f>
        <v>0</v>
      </c>
      <c r="AV571" s="2">
        <f>IF(INDEX(FPL_Raw_Data!K:K,MATCH(A571,FPL_Raw_Data!AA:AA,0))=0,"",INDEX(FPL_Raw_Data!P:P,MATCH(A571,FPL_Raw_Data!AA:AA,0))/INDEX(FPL_Raw_Data!K:K,MATCH(A571,FPL_Raw_Data!AA:AA,0))*90)</f>
        <v>0</v>
      </c>
      <c r="AW571" s="2">
        <f t="shared" si="227"/>
        <v>0</v>
      </c>
      <c r="AX571" s="2">
        <f>IFERROR(INDEX(TEAM_ANALYSIS!$H$2:$H$21,MATCH($B571,TEAM_ANALYSIS!$A$2:$A$21,0)),0)</f>
        <v>1</v>
      </c>
      <c r="AY571" s="2">
        <f t="shared" si="228"/>
        <v>0</v>
      </c>
      <c r="AZ571" s="2">
        <f t="shared" si="229"/>
        <v>5.531219069079472</v>
      </c>
      <c r="BA571">
        <f t="shared" si="230"/>
        <v>0.70015431254170524</v>
      </c>
      <c r="BB571">
        <f>IFERROR(Player_Analysis!$Y571,1)</f>
        <v>0.87800173010380622</v>
      </c>
      <c r="BC571">
        <f t="shared" si="231"/>
        <v>4.8564199122349407</v>
      </c>
      <c r="BD571">
        <f t="shared" si="232"/>
        <v>3.4002433450647036</v>
      </c>
      <c r="BE571">
        <f t="shared" si="233"/>
        <v>4.8564199122349407</v>
      </c>
      <c r="BF571">
        <f t="shared" si="234"/>
        <v>106</v>
      </c>
      <c r="BG571">
        <f>IF($BE571="","",COUNTIFS($C$2:$C$596,$C571,$BE$2:$BE$596,"&gt;"&amp;$BE571)+COUNTIFS($C$2:$C571,$C571,$BE$2:$BE571,$BE571))</f>
        <v>49</v>
      </c>
    </row>
    <row r="572" spans="1:59" x14ac:dyDescent="0.25">
      <c r="A572" t="str">
        <f>Player_Analysis!A572</f>
        <v>Callum Hudson-Odoi</v>
      </c>
      <c r="B572">
        <f>Player_Analysis!C572</f>
        <v>18</v>
      </c>
      <c r="C572" t="str">
        <f>Player_Analysis!B572</f>
        <v>MID</v>
      </c>
      <c r="D572" s="13">
        <f>Player_Analysis!E572</f>
        <v>5.9</v>
      </c>
      <c r="E572">
        <f>Player_Analysis!I572</f>
        <v>1</v>
      </c>
      <c r="F572" s="8">
        <f>Player_Analysis!Z572</f>
        <v>0</v>
      </c>
      <c r="G572" s="17">
        <f t="shared" si="209"/>
        <v>0</v>
      </c>
      <c r="H572">
        <f t="shared" si="210"/>
        <v>0</v>
      </c>
      <c r="I572" s="8">
        <f>Player_Analysis!AF572</f>
        <v>0</v>
      </c>
      <c r="J572" s="8">
        <f>Player_Analysis!AG572</f>
        <v>0</v>
      </c>
      <c r="K572">
        <f>Player_Analysis!O572</f>
        <v>0</v>
      </c>
      <c r="L572">
        <f>Player_Analysis!P572</f>
        <v>0</v>
      </c>
      <c r="M572">
        <f t="shared" si="211"/>
        <v>0</v>
      </c>
      <c r="N572">
        <f t="shared" si="212"/>
        <v>0</v>
      </c>
      <c r="O572" s="2">
        <f>IF(E572=0,"",Player_Analysis!L572/E572*90)</f>
        <v>90</v>
      </c>
      <c r="P572">
        <f>IF(E572=0,"",Player_Analysis!Q572/E572*90)</f>
        <v>0</v>
      </c>
      <c r="Q572">
        <f>IF(E572=0,"",(Player_Analysis!AD572/E572)*90)</f>
        <v>180</v>
      </c>
      <c r="R572">
        <f>IF(E572=0,"",Player_Analysis!AA572/E572*90)</f>
        <v>0</v>
      </c>
      <c r="S572">
        <f t="array" ref="S572">IFERROR(INDEX('2023_24'!$O:$O,MATCH($A572,'2023_24'!$A:$A,0)),"")</f>
        <v>0.12919826652221017</v>
      </c>
      <c r="T572">
        <f>IFERROR(INDEX('2024_25'!$P:$P,MATCH($A572,'2024_25'!$A:$A,0)),"")</f>
        <v>0.10356164383561645</v>
      </c>
      <c r="U572">
        <f>IFERROR(INDEX('2025_26'!$P:$P,MATCH($A572,'2025_26'!$A:$A,0)),"")</f>
        <v>0.13563656147986944</v>
      </c>
      <c r="V572">
        <f>IFERROR(INDEX('2023_24'!$P:$P,MATCH($A572,'2023_24'!$A:$A,0)),"")</f>
        <v>9.8483206933911147E-2</v>
      </c>
      <c r="W572">
        <f>IFERROR(INDEX('2024_25'!$Q:$Q,MATCH($A572,'2024_25'!$A:$A,0)),"")</f>
        <v>0.10438356164383562</v>
      </c>
      <c r="X572">
        <f>IFERROR(INDEX('2025_26'!$Q:$Q,MATCH($A572,'2025_26'!$A:$A,0)),"")</f>
        <v>0.14787812840043524</v>
      </c>
      <c r="Y572">
        <f>IFERROR(INDEX('2023_24'!$M:$M,MATCH($A572,'2023_24'!$A:$A,0))/INDEX('2023_24'!$G:$G,MATCH($A572,'2023_24'!$A:$A,0))*90,"")</f>
        <v>5.3141928494041171</v>
      </c>
      <c r="Z572">
        <f>IFERROR(INDEX('2024_25'!$M:$M,MATCH($A572,'2024_25'!$A:$A,0))/INDEX('2024_25'!$G:$G,MATCH($A572,'2024_25'!$A:$A,0))*90,"")</f>
        <v>4.2328767123287667</v>
      </c>
      <c r="AA572">
        <f>IFERROR(INDEX('2025_26'!$M:$M,MATCH($A572,'2025_26'!$A:$A,0))/INDEX('2025_26'!$G:$G,MATCH($A572,'2025_26'!$A:$A,0))*90,"")</f>
        <v>4.309031556039173</v>
      </c>
      <c r="AB572">
        <f>IFERROR(SUMPRODUCT(S572:U572,{0.2,0.3,0.5})/SUMPRODUCT(--(S572:U572&lt;&gt;""),{0.2,0.3,0.5}),"")</f>
        <v>0.12472642719506169</v>
      </c>
      <c r="AC572">
        <f>IFERROR(SUMPRODUCT(V572:X572,{0.2,0.3,0.5})/SUMPRODUCT(--(V572:X572&lt;&gt;""),{0.2,0.3,0.5}),"")</f>
        <v>0.12495077408015054</v>
      </c>
      <c r="AD572">
        <f>IFERROR(SUMPRODUCT(Y572:AA572,{0.2,0.3,0.5})/SUMPRODUCT((Y572:AA572&lt;&gt;"")*{0.2,0.3,0.5}),O572)</f>
        <v>4.4872173615990398</v>
      </c>
      <c r="AE572">
        <f t="shared" si="213"/>
        <v>3</v>
      </c>
      <c r="AF572" t="str">
        <f t="shared" si="214"/>
        <v/>
      </c>
      <c r="AG572">
        <f t="shared" si="215"/>
        <v>0.12431067243774482</v>
      </c>
      <c r="AH572">
        <f t="shared" si="216"/>
        <v>0.12453427149988337</v>
      </c>
      <c r="AI572" s="2">
        <f t="shared" si="217"/>
        <v>4.7722599703937094</v>
      </c>
      <c r="AJ572">
        <f t="shared" si="218"/>
        <v>3.3333333333333335E-3</v>
      </c>
      <c r="AK572" t="str">
        <f t="shared" si="219"/>
        <v>NO</v>
      </c>
      <c r="AL572">
        <f t="shared" si="220"/>
        <v>0</v>
      </c>
      <c r="AM572">
        <f t="shared" si="221"/>
        <v>0</v>
      </c>
      <c r="AN572">
        <f t="shared" si="222"/>
        <v>0</v>
      </c>
      <c r="AO572">
        <f t="shared" si="223"/>
        <v>0</v>
      </c>
      <c r="AP572">
        <f t="array" ref="AP572">AL572*IF($C572="GKP",10,IF($C572="DEF",6,IF($C572="MID",5,4)))</f>
        <v>0</v>
      </c>
      <c r="AQ572">
        <f t="shared" si="224"/>
        <v>0</v>
      </c>
      <c r="AR572">
        <f t="shared" si="225"/>
        <v>0</v>
      </c>
      <c r="AS572" s="2">
        <f>IF($H572=0,0,Player_Analysis!$AM572*$H572/90)</f>
        <v>0</v>
      </c>
      <c r="AT572">
        <f t="shared" si="226"/>
        <v>0</v>
      </c>
      <c r="AU572" s="2">
        <f>0</f>
        <v>0</v>
      </c>
      <c r="AV572" s="2">
        <f>IF(INDEX(FPL_Raw_Data!K:K,MATCH(A572,FPL_Raw_Data!AA:AA,0))=0,"",INDEX(FPL_Raw_Data!P:P,MATCH(A572,FPL_Raw_Data!AA:AA,0))/INDEX(FPL_Raw_Data!K:K,MATCH(A572,FPL_Raw_Data!AA:AA,0))*90)</f>
        <v>0</v>
      </c>
      <c r="AW572" s="2">
        <f t="shared" si="227"/>
        <v>0</v>
      </c>
      <c r="AX572" s="2">
        <f>IFERROR(INDEX(TEAM_ANALYSIS!$H$2:$H$21,MATCH($B572,TEAM_ANALYSIS!$A$2:$A$21,0)),0)</f>
        <v>1</v>
      </c>
      <c r="AY572" s="2">
        <f t="shared" si="228"/>
        <v>0</v>
      </c>
      <c r="AZ572" s="2">
        <f t="shared" si="229"/>
        <v>0</v>
      </c>
      <c r="BA572">
        <f t="shared" si="230"/>
        <v>0</v>
      </c>
      <c r="BB572">
        <f>IFERROR(Player_Analysis!$Y572,1)</f>
        <v>0.87800173010380622</v>
      </c>
      <c r="BC572">
        <f t="shared" si="231"/>
        <v>0</v>
      </c>
      <c r="BD572">
        <f t="shared" si="232"/>
        <v>0</v>
      </c>
      <c r="BE572">
        <f t="shared" si="233"/>
        <v>0</v>
      </c>
      <c r="BF572">
        <f t="shared" si="234"/>
        <v>253</v>
      </c>
      <c r="BG572">
        <f>IF($BE572="","",COUNTIFS($C$2:$C$596,$C572,$BE$2:$BE$596,"&gt;"&amp;$BE572)+COUNTIFS($C$2:$C572,$C572,$BE$2:$BE572,$BE572))</f>
        <v>259</v>
      </c>
    </row>
    <row r="573" spans="1:59" x14ac:dyDescent="0.25">
      <c r="A573" t="str">
        <f>Player_Analysis!A573</f>
        <v>Dan Ndoye</v>
      </c>
      <c r="B573">
        <f>Player_Analysis!C573</f>
        <v>18</v>
      </c>
      <c r="C573" t="str">
        <f>Player_Analysis!B573</f>
        <v>MID</v>
      </c>
      <c r="D573" s="13">
        <f>Player_Analysis!E573</f>
        <v>5.5</v>
      </c>
      <c r="E573">
        <f>Player_Analysis!I573</f>
        <v>184</v>
      </c>
      <c r="F573" s="8">
        <f>Player_Analysis!Z573</f>
        <v>3</v>
      </c>
      <c r="G573" s="17">
        <f t="shared" si="209"/>
        <v>1</v>
      </c>
      <c r="H573">
        <f t="shared" si="210"/>
        <v>90</v>
      </c>
      <c r="I573" s="8">
        <f>Player_Analysis!AF573</f>
        <v>1</v>
      </c>
      <c r="J573" s="8">
        <f>Player_Analysis!AG573</f>
        <v>0</v>
      </c>
      <c r="K573">
        <f>Player_Analysis!O573</f>
        <v>0.35</v>
      </c>
      <c r="L573">
        <f>Player_Analysis!P573</f>
        <v>0.63</v>
      </c>
      <c r="M573">
        <f t="shared" si="211"/>
        <v>0.17119565217391303</v>
      </c>
      <c r="N573">
        <f t="shared" si="212"/>
        <v>0.30815217391304345</v>
      </c>
      <c r="O573" s="2">
        <f>IF(E573=0,"",Player_Analysis!L573/E573*90)</f>
        <v>6.3586956521739122</v>
      </c>
      <c r="P573">
        <f>IF(E573=0,"",Player_Analysis!Q573/E573*90)</f>
        <v>0.47934782608695653</v>
      </c>
      <c r="Q573">
        <f>IF(E573=0,"",(Player_Analysis!AD573/E573)*90)</f>
        <v>19.565217391304348</v>
      </c>
      <c r="R573">
        <f>IF(E573=0,"",Player_Analysis!AA573/E573*90)</f>
        <v>8.3152173913043477</v>
      </c>
      <c r="S573" t="str">
        <f t="array" ref="S573">IFERROR(INDEX('2023_24'!$O:$O,MATCH($A573,'2023_24'!$A:$A,0)),"")</f>
        <v/>
      </c>
      <c r="T573" t="str">
        <f>IFERROR(INDEX('2024_25'!$P:$P,MATCH($A573,'2024_25'!$A:$A,0)),"")</f>
        <v/>
      </c>
      <c r="U573">
        <f>IFERROR(INDEX('2025_26'!$P:$P,MATCH($A573,'2025_26'!$A:$A,0)),"")</f>
        <v>8.0976863753213377E-2</v>
      </c>
      <c r="V573" t="str">
        <f>IFERROR(INDEX('2023_24'!$P:$P,MATCH($A573,'2023_24'!$A:$A,0)),"")</f>
        <v/>
      </c>
      <c r="W573" t="str">
        <f>IFERROR(INDEX('2024_25'!$Q:$Q,MATCH($A573,'2024_25'!$A:$A,0)),"")</f>
        <v/>
      </c>
      <c r="X573">
        <f>IFERROR(INDEX('2025_26'!$Q:$Q,MATCH($A573,'2025_26'!$A:$A,0)),"")</f>
        <v>0.11645244215938304</v>
      </c>
      <c r="Y573" t="str">
        <f>IFERROR(INDEX('2023_24'!$M:$M,MATCH($A573,'2023_24'!$A:$A,0))/INDEX('2023_24'!$G:$G,MATCH($A573,'2023_24'!$A:$A,0))*90,"")</f>
        <v/>
      </c>
      <c r="Z573" t="str">
        <f>IFERROR(INDEX('2024_25'!$M:$M,MATCH($A573,'2024_25'!$A:$A,0))/INDEX('2024_25'!$G:$G,MATCH($A573,'2024_25'!$A:$A,0))*90,"")</f>
        <v/>
      </c>
      <c r="AA573">
        <f>IFERROR(INDEX('2025_26'!$M:$M,MATCH($A573,'2025_26'!$A:$A,0))/INDEX('2025_26'!$G:$G,MATCH($A573,'2025_26'!$A:$A,0))*90,"")</f>
        <v>3.8560411311053984</v>
      </c>
      <c r="AB573">
        <f>IFERROR(SUMPRODUCT(S573:U573,{0.2,0.3,0.5})/SUMPRODUCT(--(S573:U573&lt;&gt;""),{0.2,0.3,0.5}),"")</f>
        <v>8.0976863753213377E-2</v>
      </c>
      <c r="AC573">
        <f>IFERROR(SUMPRODUCT(V573:X573,{0.2,0.3,0.5})/SUMPRODUCT(--(V573:X573&lt;&gt;""),{0.2,0.3,0.5}),"")</f>
        <v>0.11645244215938304</v>
      </c>
      <c r="AD573">
        <f>IFERROR(SUMPRODUCT(Y573:AA573,{0.2,0.3,0.5})/SUMPRODUCT((Y573:AA573&lt;&gt;"")*{0.2,0.3,0.5}),O573)</f>
        <v>3.8560411311053984</v>
      </c>
      <c r="AE573">
        <f t="shared" si="213"/>
        <v>1</v>
      </c>
      <c r="AF573">
        <f t="shared" si="214"/>
        <v>61.333333333333336</v>
      </c>
      <c r="AG573">
        <f t="shared" si="215"/>
        <v>0.13631105398457583</v>
      </c>
      <c r="AH573">
        <f t="shared" si="216"/>
        <v>0.23402827763496142</v>
      </c>
      <c r="AI573" s="2">
        <f t="shared" si="217"/>
        <v>5.3910025706940861</v>
      </c>
      <c r="AJ573">
        <f t="shared" si="218"/>
        <v>0.61333333333333329</v>
      </c>
      <c r="AK573" t="str">
        <f t="shared" si="219"/>
        <v>NO</v>
      </c>
      <c r="AL573">
        <f t="shared" si="220"/>
        <v>0.13631105398457583</v>
      </c>
      <c r="AM573">
        <f t="shared" si="221"/>
        <v>0.23402827763496142</v>
      </c>
      <c r="AN573">
        <f t="shared" si="222"/>
        <v>0.13631105398457583</v>
      </c>
      <c r="AO573">
        <f t="shared" si="223"/>
        <v>0.23402827763496142</v>
      </c>
      <c r="AP573">
        <f t="array" ref="AP573">AL573*IF($C573="GKP",10,IF($C573="DEF",6,IF($C573="MID",5,4)))</f>
        <v>0.68155526992287907</v>
      </c>
      <c r="AQ573">
        <f t="shared" si="224"/>
        <v>0.70208483290488433</v>
      </c>
      <c r="AR573">
        <f t="shared" si="225"/>
        <v>2</v>
      </c>
      <c r="AS573" s="2">
        <f>IF($H573=0,0,Player_Analysis!$AM573*$H573/90)</f>
        <v>0.33333333333333331</v>
      </c>
      <c r="AT573">
        <f t="shared" si="226"/>
        <v>1.3858695652173914</v>
      </c>
      <c r="AU573" s="2">
        <f>0</f>
        <v>0</v>
      </c>
      <c r="AV573" s="2">
        <f>IF(INDEX(FPL_Raw_Data!K:K,MATCH(A573,FPL_Raw_Data!AA:AA,0))=0,"",INDEX(FPL_Raw_Data!P:P,MATCH(A573,FPL_Raw_Data!AA:AA,0))/INDEX(FPL_Raw_Data!K:K,MATCH(A573,FPL_Raw_Data!AA:AA,0))*90)</f>
        <v>0</v>
      </c>
      <c r="AW573" s="2">
        <f t="shared" si="227"/>
        <v>0</v>
      </c>
      <c r="AX573" s="2">
        <f>IFERROR(INDEX(TEAM_ANALYSIS!$H$2:$H$21,MATCH($B573,TEAM_ANALYSIS!$A$2:$A$21,0)),0)</f>
        <v>1</v>
      </c>
      <c r="AY573" s="2">
        <f t="shared" si="228"/>
        <v>0</v>
      </c>
      <c r="AZ573" s="2">
        <f t="shared" si="229"/>
        <v>5.1028430013784885</v>
      </c>
      <c r="BA573">
        <f t="shared" si="230"/>
        <v>0.92778963661427061</v>
      </c>
      <c r="BB573">
        <f>IFERROR(Player_Analysis!$Y573,1)</f>
        <v>0.87800173010380622</v>
      </c>
      <c r="BC573">
        <f t="shared" si="231"/>
        <v>4.4803049836584119</v>
      </c>
      <c r="BD573">
        <f t="shared" si="232"/>
        <v>4.1567805327095435</v>
      </c>
      <c r="BE573">
        <f t="shared" si="233"/>
        <v>4.4803049836584119</v>
      </c>
      <c r="BF573">
        <f t="shared" si="234"/>
        <v>125</v>
      </c>
      <c r="BG573">
        <f>IF($BE573="","",COUNTIFS($C$2:$C$596,$C573,$BE$2:$BE$596,"&gt;"&amp;$BE573)+COUNTIFS($C$2:$C573,$C573,$BE$2:$BE573,$BE573))</f>
        <v>60</v>
      </c>
    </row>
    <row r="574" spans="1:59" x14ac:dyDescent="0.25">
      <c r="A574" t="str">
        <f>Player_Analysis!A574</f>
        <v>Omari Hutchinson</v>
      </c>
      <c r="B574">
        <f>Player_Analysis!C574</f>
        <v>18</v>
      </c>
      <c r="C574" t="str">
        <f>Player_Analysis!B574</f>
        <v>MID</v>
      </c>
      <c r="D574" s="13">
        <f>Player_Analysis!E574</f>
        <v>5.4</v>
      </c>
      <c r="E574">
        <f>Player_Analysis!I574</f>
        <v>0</v>
      </c>
      <c r="F574" s="8">
        <f>Player_Analysis!Z574</f>
        <v>0</v>
      </c>
      <c r="G574" s="17">
        <f t="shared" si="209"/>
        <v>0</v>
      </c>
      <c r="H574">
        <f t="shared" si="210"/>
        <v>0</v>
      </c>
      <c r="I574" s="8">
        <f>Player_Analysis!AF574</f>
        <v>0</v>
      </c>
      <c r="J574" s="8">
        <f>Player_Analysis!AG574</f>
        <v>0</v>
      </c>
      <c r="K574">
        <f>Player_Analysis!O574</f>
        <v>0</v>
      </c>
      <c r="L574">
        <f>Player_Analysis!P574</f>
        <v>0</v>
      </c>
      <c r="M574" t="str">
        <f t="shared" si="211"/>
        <v/>
      </c>
      <c r="N574" t="str">
        <f t="shared" si="212"/>
        <v/>
      </c>
      <c r="O574" s="2" t="str">
        <f>IF(E574=0,"",Player_Analysis!L574/E574*90)</f>
        <v/>
      </c>
      <c r="P574" t="str">
        <f>IF(E574=0,"",Player_Analysis!Q574/E574*90)</f>
        <v/>
      </c>
      <c r="Q574" t="str">
        <f>IF(E574=0,"",(Player_Analysis!AD574/E574)*90)</f>
        <v/>
      </c>
      <c r="R574" t="str">
        <f>IF(E574=0,"",Player_Analysis!AA574/E574*90)</f>
        <v/>
      </c>
      <c r="S574" t="str">
        <f t="array" ref="S574">IFERROR(INDEX('2023_24'!$O:$O,MATCH($A574,'2023_24'!$A:$A,0)),"")</f>
        <v/>
      </c>
      <c r="T574" t="str">
        <f>IFERROR(INDEX('2024_25'!$P:$P,MATCH($A574,'2024_25'!$A:$A,0)),"")</f>
        <v/>
      </c>
      <c r="U574">
        <f>IFERROR(INDEX('2025_26'!$P:$P,MATCH($A574,'2025_26'!$A:$A,0)),"")</f>
        <v>0.10793556085918853</v>
      </c>
      <c r="V574" t="str">
        <f>IFERROR(INDEX('2023_24'!$P:$P,MATCH($A574,'2023_24'!$A:$A,0)),"")</f>
        <v/>
      </c>
      <c r="W574" t="str">
        <f>IFERROR(INDEX('2024_25'!$Q:$Q,MATCH($A574,'2024_25'!$A:$A,0)),"")</f>
        <v/>
      </c>
      <c r="X574">
        <f>IFERROR(INDEX('2025_26'!$Q:$Q,MATCH($A574,'2025_26'!$A:$A,0)),"")</f>
        <v>0.20781622911694508</v>
      </c>
      <c r="Y574" t="str">
        <f>IFERROR(INDEX('2023_24'!$M:$M,MATCH($A574,'2023_24'!$A:$A,0))/INDEX('2023_24'!$G:$G,MATCH($A574,'2023_24'!$A:$A,0))*90,"")</f>
        <v/>
      </c>
      <c r="Z574" t="str">
        <f>IFERROR(INDEX('2024_25'!$M:$M,MATCH($A574,'2024_25'!$A:$A,0))/INDEX('2024_25'!$G:$G,MATCH($A574,'2024_25'!$A:$A,0))*90,"")</f>
        <v/>
      </c>
      <c r="AA574">
        <f>IFERROR(INDEX('2025_26'!$M:$M,MATCH($A574,'2025_26'!$A:$A,0))/INDEX('2025_26'!$G:$G,MATCH($A574,'2025_26'!$A:$A,0))*90,"")</f>
        <v>4.4033412887828165</v>
      </c>
      <c r="AB574">
        <f>IFERROR(SUMPRODUCT(S574:U574,{0.2,0.3,0.5})/SUMPRODUCT(--(S574:U574&lt;&gt;""),{0.2,0.3,0.5}),"")</f>
        <v>0.10793556085918853</v>
      </c>
      <c r="AC574">
        <f>IFERROR(SUMPRODUCT(V574:X574,{0.2,0.3,0.5})/SUMPRODUCT(--(V574:X574&lt;&gt;""),{0.2,0.3,0.5}),"")</f>
        <v>0.20781622911694508</v>
      </c>
      <c r="AD574">
        <f>IFERROR(SUMPRODUCT(Y574:AA574,{0.2,0.3,0.5})/SUMPRODUCT((Y574:AA574&lt;&gt;"")*{0.2,0.3,0.5}),O574)</f>
        <v>4.4033412887828165</v>
      </c>
      <c r="AE574">
        <f t="shared" si="213"/>
        <v>1</v>
      </c>
      <c r="AF574" t="str">
        <f t="shared" si="214"/>
        <v/>
      </c>
      <c r="AG574">
        <f t="shared" si="215"/>
        <v>0.10793556085918853</v>
      </c>
      <c r="AH574">
        <f t="shared" si="216"/>
        <v>0.20781622911694508</v>
      </c>
      <c r="AI574" s="2">
        <f t="shared" si="217"/>
        <v>4.4033412887828165</v>
      </c>
      <c r="AJ574">
        <f t="shared" si="218"/>
        <v>0</v>
      </c>
      <c r="AK574" t="str">
        <f t="shared" si="219"/>
        <v>NO</v>
      </c>
      <c r="AL574">
        <f t="shared" si="220"/>
        <v>0</v>
      </c>
      <c r="AM574">
        <f t="shared" si="221"/>
        <v>0</v>
      </c>
      <c r="AN574">
        <f t="shared" si="222"/>
        <v>0</v>
      </c>
      <c r="AO574">
        <f t="shared" si="223"/>
        <v>0</v>
      </c>
      <c r="AP574">
        <f t="array" ref="AP574">AL574*IF($C574="GKP",10,IF($C574="DEF",6,IF($C574="MID",5,4)))</f>
        <v>0</v>
      </c>
      <c r="AQ574">
        <f t="shared" si="224"/>
        <v>0</v>
      </c>
      <c r="AR574">
        <f t="shared" si="225"/>
        <v>0</v>
      </c>
      <c r="AS574" s="2">
        <f>IF($H574=0,0,Player_Analysis!$AM574*$H574/90)</f>
        <v>0</v>
      </c>
      <c r="AT574">
        <f t="shared" si="226"/>
        <v>0</v>
      </c>
      <c r="AU574" s="2">
        <f>0</f>
        <v>0</v>
      </c>
      <c r="AV574" s="2" t="str">
        <f>IF(INDEX(FPL_Raw_Data!K:K,MATCH(A574,FPL_Raw_Data!AA:AA,0))=0,"",INDEX(FPL_Raw_Data!P:P,MATCH(A574,FPL_Raw_Data!AA:AA,0))/INDEX(FPL_Raw_Data!K:K,MATCH(A574,FPL_Raw_Data!AA:AA,0))*90)</f>
        <v/>
      </c>
      <c r="AW574" s="2">
        <f t="shared" si="227"/>
        <v>0</v>
      </c>
      <c r="AX574" s="2">
        <f>IFERROR(INDEX(TEAM_ANALYSIS!$H$2:$H$21,MATCH($B574,TEAM_ANALYSIS!$A$2:$A$21,0)),0)</f>
        <v>1</v>
      </c>
      <c r="AY574" s="2">
        <f t="shared" si="228"/>
        <v>0</v>
      </c>
      <c r="AZ574" s="2">
        <f t="shared" si="229"/>
        <v>0</v>
      </c>
      <c r="BA574">
        <f t="shared" si="230"/>
        <v>0</v>
      </c>
      <c r="BB574">
        <f>IFERROR(Player_Analysis!$Y574,1)</f>
        <v>0.87800173010380622</v>
      </c>
      <c r="BC574">
        <f t="shared" si="231"/>
        <v>0</v>
      </c>
      <c r="BD574">
        <f t="shared" si="232"/>
        <v>0</v>
      </c>
      <c r="BE574">
        <f t="shared" si="233"/>
        <v>0</v>
      </c>
      <c r="BF574">
        <f t="shared" si="234"/>
        <v>253</v>
      </c>
      <c r="BG574">
        <f>IF($BE574="","",COUNTIFS($C$2:$C$596,$C574,$BE$2:$BE$596,"&gt;"&amp;$BE574)+COUNTIFS($C$2:$C574,$C574,$BE$2:$BE574,$BE574))</f>
        <v>260</v>
      </c>
    </row>
    <row r="575" spans="1:59" x14ac:dyDescent="0.25">
      <c r="A575" t="str">
        <f>Player_Analysis!A575</f>
        <v>Dilane Bakwa</v>
      </c>
      <c r="B575">
        <f>Player_Analysis!C575</f>
        <v>18</v>
      </c>
      <c r="C575" t="str">
        <f>Player_Analysis!B575</f>
        <v>MID</v>
      </c>
      <c r="D575" s="13">
        <f>Player_Analysis!E575</f>
        <v>5.5</v>
      </c>
      <c r="E575">
        <f>Player_Analysis!I575</f>
        <v>0</v>
      </c>
      <c r="F575" s="8">
        <f>Player_Analysis!Z575</f>
        <v>0</v>
      </c>
      <c r="G575" s="17">
        <f t="shared" si="209"/>
        <v>0</v>
      </c>
      <c r="H575">
        <f t="shared" si="210"/>
        <v>0</v>
      </c>
      <c r="I575" s="8">
        <f>Player_Analysis!AF575</f>
        <v>0</v>
      </c>
      <c r="J575" s="8">
        <f>Player_Analysis!AG575</f>
        <v>0</v>
      </c>
      <c r="K575">
        <f>Player_Analysis!O575</f>
        <v>0</v>
      </c>
      <c r="L575">
        <f>Player_Analysis!P575</f>
        <v>0</v>
      </c>
      <c r="M575" t="str">
        <f t="shared" si="211"/>
        <v/>
      </c>
      <c r="N575" t="str">
        <f t="shared" si="212"/>
        <v/>
      </c>
      <c r="O575" s="2" t="str">
        <f>IF(E575=0,"",Player_Analysis!L575/E575*90)</f>
        <v/>
      </c>
      <c r="P575" t="str">
        <f>IF(E575=0,"",Player_Analysis!Q575/E575*90)</f>
        <v/>
      </c>
      <c r="Q575" t="str">
        <f>IF(E575=0,"",(Player_Analysis!AD575/E575)*90)</f>
        <v/>
      </c>
      <c r="R575" t="str">
        <f>IF(E575=0,"",Player_Analysis!AA575/E575*90)</f>
        <v/>
      </c>
      <c r="S575" t="str">
        <f t="array" ref="S575">IFERROR(INDEX('2023_24'!$O:$O,MATCH($A575,'2023_24'!$A:$A,0)),"")</f>
        <v/>
      </c>
      <c r="T575" t="str">
        <f>IFERROR(INDEX('2024_25'!$P:$P,MATCH($A575,'2024_25'!$A:$A,0)),"")</f>
        <v/>
      </c>
      <c r="U575">
        <f>IFERROR(INDEX('2025_26'!$P:$P,MATCH($A575,'2025_26'!$A:$A,0)),"")</f>
        <v>8.8524590163934422E-2</v>
      </c>
      <c r="V575" t="str">
        <f>IFERROR(INDEX('2023_24'!$P:$P,MATCH($A575,'2023_24'!$A:$A,0)),"")</f>
        <v/>
      </c>
      <c r="W575" t="str">
        <f>IFERROR(INDEX('2024_25'!$Q:$Q,MATCH($A575,'2024_25'!$A:$A,0)),"")</f>
        <v/>
      </c>
      <c r="X575">
        <f>IFERROR(INDEX('2025_26'!$Q:$Q,MATCH($A575,'2025_26'!$A:$A,0)),"")</f>
        <v>0.16557377049180327</v>
      </c>
      <c r="Y575" t="str">
        <f>IFERROR(INDEX('2023_24'!$M:$M,MATCH($A575,'2023_24'!$A:$A,0))/INDEX('2023_24'!$G:$G,MATCH($A575,'2023_24'!$A:$A,0))*90,"")</f>
        <v/>
      </c>
      <c r="Z575" t="str">
        <f>IFERROR(INDEX('2024_25'!$M:$M,MATCH($A575,'2024_25'!$A:$A,0))/INDEX('2024_25'!$G:$G,MATCH($A575,'2024_25'!$A:$A,0))*90,"")</f>
        <v/>
      </c>
      <c r="AA575">
        <f>IFERROR(INDEX('2025_26'!$M:$M,MATCH($A575,'2025_26'!$A:$A,0))/INDEX('2025_26'!$G:$G,MATCH($A575,'2025_26'!$A:$A,0))*90,"")</f>
        <v>4.2622950819672134</v>
      </c>
      <c r="AB575">
        <f>IFERROR(SUMPRODUCT(S575:U575,{0.2,0.3,0.5})/SUMPRODUCT(--(S575:U575&lt;&gt;""),{0.2,0.3,0.5}),"")</f>
        <v>8.8524590163934422E-2</v>
      </c>
      <c r="AC575">
        <f>IFERROR(SUMPRODUCT(V575:X575,{0.2,0.3,0.5})/SUMPRODUCT(--(V575:X575&lt;&gt;""),{0.2,0.3,0.5}),"")</f>
        <v>0.16557377049180327</v>
      </c>
      <c r="AD575">
        <f>IFERROR(SUMPRODUCT(Y575:AA575,{0.2,0.3,0.5})/SUMPRODUCT((Y575:AA575&lt;&gt;"")*{0.2,0.3,0.5}),O575)</f>
        <v>4.2622950819672134</v>
      </c>
      <c r="AE575">
        <f t="shared" si="213"/>
        <v>1</v>
      </c>
      <c r="AF575" t="str">
        <f t="shared" si="214"/>
        <v/>
      </c>
      <c r="AG575">
        <f t="shared" si="215"/>
        <v>8.8524590163934422E-2</v>
      </c>
      <c r="AH575">
        <f t="shared" si="216"/>
        <v>0.16557377049180327</v>
      </c>
      <c r="AI575" s="2">
        <f t="shared" si="217"/>
        <v>4.2622950819672134</v>
      </c>
      <c r="AJ575">
        <f t="shared" si="218"/>
        <v>0</v>
      </c>
      <c r="AK575" t="str">
        <f t="shared" si="219"/>
        <v>NO</v>
      </c>
      <c r="AL575">
        <f t="shared" si="220"/>
        <v>0</v>
      </c>
      <c r="AM575">
        <f t="shared" si="221"/>
        <v>0</v>
      </c>
      <c r="AN575">
        <f t="shared" si="222"/>
        <v>0</v>
      </c>
      <c r="AO575">
        <f t="shared" si="223"/>
        <v>0</v>
      </c>
      <c r="AP575">
        <f t="array" ref="AP575">AL575*IF($C575="GKP",10,IF($C575="DEF",6,IF($C575="MID",5,4)))</f>
        <v>0</v>
      </c>
      <c r="AQ575">
        <f t="shared" si="224"/>
        <v>0</v>
      </c>
      <c r="AR575">
        <f t="shared" si="225"/>
        <v>0</v>
      </c>
      <c r="AS575" s="2">
        <f>IF($H575=0,0,Player_Analysis!$AM575*$H575/90)</f>
        <v>0</v>
      </c>
      <c r="AT575">
        <f t="shared" si="226"/>
        <v>0</v>
      </c>
      <c r="AU575" s="2">
        <f>0</f>
        <v>0</v>
      </c>
      <c r="AV575" s="2" t="str">
        <f>IF(INDEX(FPL_Raw_Data!K:K,MATCH(A575,FPL_Raw_Data!AA:AA,0))=0,"",INDEX(FPL_Raw_Data!P:P,MATCH(A575,FPL_Raw_Data!AA:AA,0))/INDEX(FPL_Raw_Data!K:K,MATCH(A575,FPL_Raw_Data!AA:AA,0))*90)</f>
        <v/>
      </c>
      <c r="AW575" s="2">
        <f t="shared" si="227"/>
        <v>0</v>
      </c>
      <c r="AX575" s="2">
        <f>IFERROR(INDEX(TEAM_ANALYSIS!$H$2:$H$21,MATCH($B575,TEAM_ANALYSIS!$A$2:$A$21,0)),0)</f>
        <v>1</v>
      </c>
      <c r="AY575" s="2">
        <f t="shared" si="228"/>
        <v>0</v>
      </c>
      <c r="AZ575" s="2">
        <f t="shared" si="229"/>
        <v>0</v>
      </c>
      <c r="BA575">
        <f t="shared" si="230"/>
        <v>0</v>
      </c>
      <c r="BB575">
        <f>IFERROR(Player_Analysis!$Y575,1)</f>
        <v>0.87800173010380622</v>
      </c>
      <c r="BC575">
        <f t="shared" si="231"/>
        <v>0</v>
      </c>
      <c r="BD575">
        <f t="shared" si="232"/>
        <v>0</v>
      </c>
      <c r="BE575">
        <f t="shared" si="233"/>
        <v>0</v>
      </c>
      <c r="BF575">
        <f t="shared" si="234"/>
        <v>253</v>
      </c>
      <c r="BG575">
        <f>IF($BE575="","",COUNTIFS($C$2:$C$596,$C575,$BE$2:$BE$596,"&gt;"&amp;$BE575)+COUNTIFS($C$2:$C575,$C575,$BE$2:$BE575,$BE575))</f>
        <v>261</v>
      </c>
    </row>
    <row r="576" spans="1:59" x14ac:dyDescent="0.25">
      <c r="A576" t="str">
        <f>Player_Analysis!A576</f>
        <v>James McAtee</v>
      </c>
      <c r="B576">
        <f>Player_Analysis!C576</f>
        <v>18</v>
      </c>
      <c r="C576" t="str">
        <f>Player_Analysis!B576</f>
        <v>MID</v>
      </c>
      <c r="D576" s="13">
        <f>Player_Analysis!E576</f>
        <v>5.5</v>
      </c>
      <c r="E576">
        <f>Player_Analysis!I576</f>
        <v>253</v>
      </c>
      <c r="F576" s="8">
        <f>Player_Analysis!Z576</f>
        <v>3</v>
      </c>
      <c r="G576" s="17">
        <f t="shared" si="209"/>
        <v>1</v>
      </c>
      <c r="H576">
        <f t="shared" si="210"/>
        <v>90</v>
      </c>
      <c r="I576" s="8">
        <f>Player_Analysis!AF576</f>
        <v>0</v>
      </c>
      <c r="J576" s="8">
        <f>Player_Analysis!AG576</f>
        <v>0</v>
      </c>
      <c r="K576">
        <f>Player_Analysis!O576</f>
        <v>0.13</v>
      </c>
      <c r="L576">
        <f>Player_Analysis!P576</f>
        <v>0.54</v>
      </c>
      <c r="M576">
        <f t="shared" si="211"/>
        <v>4.6245059288537553E-2</v>
      </c>
      <c r="N576">
        <f t="shared" si="212"/>
        <v>0.19209486166007905</v>
      </c>
      <c r="O576" s="2">
        <f>IF(E576=0,"",Player_Analysis!L576/E576*90)</f>
        <v>2.4901185770750986</v>
      </c>
      <c r="P576">
        <f>IF(E576=0,"",Player_Analysis!Q576/E576*90)</f>
        <v>0.23833992094861661</v>
      </c>
      <c r="Q576">
        <f>IF(E576=0,"",(Player_Analysis!AD576/E576)*90)</f>
        <v>19.920948616600789</v>
      </c>
      <c r="R576">
        <f>IF(E576=0,"",Player_Analysis!AA576/E576*90)</f>
        <v>8.1818181818181817</v>
      </c>
      <c r="S576">
        <f t="array" ref="S576">IFERROR(INDEX('2023_24'!$O:$O,MATCH($A576,'2023_24'!$A:$A,0)),"")</f>
        <v>0.14776859504132231</v>
      </c>
      <c r="T576">
        <f>IFERROR(INDEX('2024_25'!$P:$P,MATCH($A576,'2024_25'!$A:$A,0)),"")</f>
        <v>0.74117647058823521</v>
      </c>
      <c r="U576">
        <f>IFERROR(INDEX('2025_26'!$P:$P,MATCH($A576,'2025_26'!$A:$A,0)),"")</f>
        <v>5.6250000000000001E-2</v>
      </c>
      <c r="V576">
        <f>IFERROR(INDEX('2023_24'!$P:$P,MATCH($A576,'2023_24'!$A:$A,0)),"")</f>
        <v>0.10710743801652893</v>
      </c>
      <c r="W576">
        <f>IFERROR(INDEX('2024_25'!$Q:$Q,MATCH($A576,'2024_25'!$A:$A,0)),"")</f>
        <v>0.21176470588235297</v>
      </c>
      <c r="X576">
        <f>IFERROR(INDEX('2025_26'!$Q:$Q,MATCH($A576,'2025_26'!$A:$A,0)),"")</f>
        <v>0.11562500000000001</v>
      </c>
      <c r="Y576">
        <f>IFERROR(INDEX('2023_24'!$M:$M,MATCH($A576,'2023_24'!$A:$A,0))/INDEX('2023_24'!$G:$G,MATCH($A576,'2023_24'!$A:$A,0))*90,"")</f>
        <v>3.8181818181818183</v>
      </c>
      <c r="Z576">
        <f>IFERROR(INDEX('2024_25'!$M:$M,MATCH($A576,'2024_25'!$A:$A,0))/INDEX('2024_25'!$G:$G,MATCH($A576,'2024_25'!$A:$A,0))*90,"")</f>
        <v>8.2058823529411757</v>
      </c>
      <c r="AA576">
        <f>IFERROR(INDEX('2025_26'!$M:$M,MATCH($A576,'2025_26'!$A:$A,0))/INDEX('2025_26'!$G:$G,MATCH($A576,'2025_26'!$A:$A,0))*90,"")</f>
        <v>5.3125</v>
      </c>
      <c r="AB576">
        <f>IFERROR(SUMPRODUCT(S576:U576,{0.2,0.3,0.5})/SUMPRODUCT(--(S576:U576&lt;&gt;""),{0.2,0.3,0.5}),"")</f>
        <v>0.28003166018473502</v>
      </c>
      <c r="AC576">
        <f>IFERROR(SUMPRODUCT(V576:X576,{0.2,0.3,0.5})/SUMPRODUCT(--(V576:X576&lt;&gt;""),{0.2,0.3,0.5}),"")</f>
        <v>0.14276339936801169</v>
      </c>
      <c r="AD576">
        <f>IFERROR(SUMPRODUCT(Y576:AA576,{0.2,0.3,0.5})/SUMPRODUCT((Y576:AA576&lt;&gt;"")*{0.2,0.3,0.5}),O576)</f>
        <v>5.8816510695187159</v>
      </c>
      <c r="AE576">
        <f t="shared" si="213"/>
        <v>3</v>
      </c>
      <c r="AF576">
        <f t="shared" si="214"/>
        <v>84.333333333333329</v>
      </c>
      <c r="AG576">
        <f t="shared" si="215"/>
        <v>8.287162676227515E-2</v>
      </c>
      <c r="AH576">
        <f t="shared" si="216"/>
        <v>0.18436626590098851</v>
      </c>
      <c r="AI576" s="2">
        <f t="shared" si="217"/>
        <v>3.021458667557932</v>
      </c>
      <c r="AJ576">
        <f t="shared" si="218"/>
        <v>0.84333333333333338</v>
      </c>
      <c r="AK576" t="str">
        <f t="shared" si="219"/>
        <v>NO</v>
      </c>
      <c r="AL576">
        <f t="shared" si="220"/>
        <v>8.287162676227515E-2</v>
      </c>
      <c r="AM576">
        <f t="shared" si="221"/>
        <v>0.18436626590098854</v>
      </c>
      <c r="AN576">
        <f t="shared" si="222"/>
        <v>8.287162676227515E-2</v>
      </c>
      <c r="AO576">
        <f t="shared" si="223"/>
        <v>0.18436626590098854</v>
      </c>
      <c r="AP576">
        <f t="array" ref="AP576">AL576*IF($C576="GKP",10,IF($C576="DEF",6,IF($C576="MID",5,4)))</f>
        <v>0.41435813381137576</v>
      </c>
      <c r="AQ576">
        <f t="shared" si="224"/>
        <v>0.55309879770296555</v>
      </c>
      <c r="AR576">
        <f t="shared" si="225"/>
        <v>2</v>
      </c>
      <c r="AS576" s="2">
        <f>IF($H576=0,0,Player_Analysis!$AM576*$H576/90)</f>
        <v>0.66666666666666663</v>
      </c>
      <c r="AT576">
        <f t="shared" si="226"/>
        <v>1.3636363636363635</v>
      </c>
      <c r="AU576" s="2">
        <f>0</f>
        <v>0</v>
      </c>
      <c r="AV576" s="2">
        <f>IF(INDEX(FPL_Raw_Data!K:K,MATCH(A576,FPL_Raw_Data!AA:AA,0))=0,"",INDEX(FPL_Raw_Data!P:P,MATCH(A576,FPL_Raw_Data!AA:AA,0))/INDEX(FPL_Raw_Data!K:K,MATCH(A576,FPL_Raw_Data!AA:AA,0))*90)</f>
        <v>0</v>
      </c>
      <c r="AW576" s="2">
        <f t="shared" si="227"/>
        <v>0</v>
      </c>
      <c r="AX576" s="2">
        <f>IFERROR(INDEX(TEAM_ANALYSIS!$H$2:$H$21,MATCH($B576,TEAM_ANALYSIS!$A$2:$A$21,0)),0)</f>
        <v>1</v>
      </c>
      <c r="AY576" s="2">
        <f t="shared" si="228"/>
        <v>0</v>
      </c>
      <c r="AZ576" s="2">
        <f t="shared" si="229"/>
        <v>4.9977599618173718</v>
      </c>
      <c r="BA576">
        <f t="shared" si="230"/>
        <v>0.90868362942134029</v>
      </c>
      <c r="BB576">
        <f>IFERROR(Player_Analysis!$Y576,1)</f>
        <v>0.87800173010380622</v>
      </c>
      <c r="BC576">
        <f t="shared" si="231"/>
        <v>4.3880418931191851</v>
      </c>
      <c r="BD576">
        <f t="shared" si="232"/>
        <v>3.98734183349243</v>
      </c>
      <c r="BE576">
        <f t="shared" si="233"/>
        <v>4.3880418931191851</v>
      </c>
      <c r="BF576">
        <f t="shared" si="234"/>
        <v>131</v>
      </c>
      <c r="BG576">
        <f>IF($BE576="","",COUNTIFS($C$2:$C$596,$C576,$BE$2:$BE$596,"&gt;"&amp;$BE576)+COUNTIFS($C$2:$C576,$C576,$BE$2:$BE576,$BE576))</f>
        <v>64</v>
      </c>
    </row>
    <row r="577" spans="1:59" x14ac:dyDescent="0.25">
      <c r="A577" t="str">
        <f>Player_Analysis!A577</f>
        <v>Nicolás Domínguez</v>
      </c>
      <c r="B577">
        <f>Player_Analysis!C577</f>
        <v>18</v>
      </c>
      <c r="C577" t="str">
        <f>Player_Analysis!B577</f>
        <v>MID</v>
      </c>
      <c r="D577" s="13">
        <f>Player_Analysis!E577</f>
        <v>4.9000000000000004</v>
      </c>
      <c r="E577">
        <f>Player_Analysis!I577</f>
        <v>1</v>
      </c>
      <c r="F577" s="8">
        <f>Player_Analysis!Z577</f>
        <v>0</v>
      </c>
      <c r="G577" s="17">
        <f t="shared" si="209"/>
        <v>0</v>
      </c>
      <c r="H577">
        <f t="shared" si="210"/>
        <v>0</v>
      </c>
      <c r="I577" s="8">
        <f>Player_Analysis!AF577</f>
        <v>0</v>
      </c>
      <c r="J577" s="8">
        <f>Player_Analysis!AG577</f>
        <v>0</v>
      </c>
      <c r="K577">
        <f>Player_Analysis!O577</f>
        <v>0</v>
      </c>
      <c r="L577">
        <f>Player_Analysis!P577</f>
        <v>0</v>
      </c>
      <c r="M577">
        <f t="shared" si="211"/>
        <v>0</v>
      </c>
      <c r="N577">
        <f t="shared" si="212"/>
        <v>0</v>
      </c>
      <c r="O577" s="2">
        <f>IF(E577=0,"",Player_Analysis!L577/E577*90)</f>
        <v>90</v>
      </c>
      <c r="P577">
        <f>IF(E577=0,"",Player_Analysis!Q577/E577*90)</f>
        <v>0</v>
      </c>
      <c r="Q577">
        <f>IF(E577=0,"",(Player_Analysis!AD577/E577)*90)</f>
        <v>270</v>
      </c>
      <c r="R577">
        <f>IF(E577=0,"",Player_Analysis!AA577/E577*90)</f>
        <v>0</v>
      </c>
      <c r="S577">
        <f t="array" ref="S577">IFERROR(INDEX('2023_24'!$O:$O,MATCH($A577,'2023_24'!$A:$A,0)),"")</f>
        <v>7.8576225654801879E-2</v>
      </c>
      <c r="T577">
        <f>IFERROR(INDEX('2024_25'!$P:$P,MATCH($A577,'2024_25'!$A:$A,0)),"")</f>
        <v>7.2773797338792232E-2</v>
      </c>
      <c r="U577">
        <f>IFERROR(INDEX('2025_26'!$P:$P,MATCH($A577,'2025_26'!$A:$A,0)),"")</f>
        <v>0.11327054794520547</v>
      </c>
      <c r="V577">
        <f>IFERROR(INDEX('2023_24'!$P:$P,MATCH($A577,'2023_24'!$A:$A,0)),"")</f>
        <v>6.8905305574210873E-2</v>
      </c>
      <c r="W577">
        <f>IFERROR(INDEX('2024_25'!$Q:$Q,MATCH($A577,'2024_25'!$A:$A,0)),"")</f>
        <v>7.2773797338792232E-2</v>
      </c>
      <c r="X577">
        <f>IFERROR(INDEX('2025_26'!$Q:$Q,MATCH($A577,'2025_26'!$A:$A,0)),"")</f>
        <v>5.933219178082192E-2</v>
      </c>
      <c r="Y577">
        <f>IFERROR(INDEX('2023_24'!$M:$M,MATCH($A577,'2023_24'!$A:$A,0))/INDEX('2023_24'!$G:$G,MATCH($A577,'2023_24'!$A:$A,0))*90,"")</f>
        <v>4.0496977837474812</v>
      </c>
      <c r="Z577">
        <f>IFERROR(INDEX('2024_25'!$M:$M,MATCH($A577,'2024_25'!$A:$A,0))/INDEX('2024_25'!$G:$G,MATCH($A577,'2024_25'!$A:$A,0))*90,"")</f>
        <v>2.4872057318321392</v>
      </c>
      <c r="AA577">
        <f>IFERROR(INDEX('2025_26'!$M:$M,MATCH($A577,'2025_26'!$A:$A,0))/INDEX('2025_26'!$G:$G,MATCH($A577,'2025_26'!$A:$A,0))*90,"")</f>
        <v>3.6986301369863011</v>
      </c>
      <c r="AB577">
        <f>IFERROR(SUMPRODUCT(S577:U577,{0.2,0.3,0.5})/SUMPRODUCT(--(S577:U577&lt;&gt;""),{0.2,0.3,0.5}),"")</f>
        <v>9.4182658305200784E-2</v>
      </c>
      <c r="AC577">
        <f>IFERROR(SUMPRODUCT(V577:X577,{0.2,0.3,0.5})/SUMPRODUCT(--(V577:X577&lt;&gt;""),{0.2,0.3,0.5}),"")</f>
        <v>6.5279296206890797E-2</v>
      </c>
      <c r="AD577">
        <f>IFERROR(SUMPRODUCT(Y577:AA577,{0.2,0.3,0.5})/SUMPRODUCT((Y577:AA577&lt;&gt;"")*{0.2,0.3,0.5}),O577)</f>
        <v>3.4054163447922887</v>
      </c>
      <c r="AE577">
        <f t="shared" si="213"/>
        <v>3</v>
      </c>
      <c r="AF577" t="str">
        <f t="shared" si="214"/>
        <v/>
      </c>
      <c r="AG577">
        <f t="shared" si="215"/>
        <v>9.3868716110850112E-2</v>
      </c>
      <c r="AH577">
        <f t="shared" si="216"/>
        <v>6.5061698552867836E-2</v>
      </c>
      <c r="AI577" s="2">
        <f t="shared" si="217"/>
        <v>3.6940649569763142</v>
      </c>
      <c r="AJ577">
        <f t="shared" si="218"/>
        <v>3.3333333333333335E-3</v>
      </c>
      <c r="AK577" t="str">
        <f t="shared" si="219"/>
        <v>NO</v>
      </c>
      <c r="AL577">
        <f t="shared" si="220"/>
        <v>0</v>
      </c>
      <c r="AM577">
        <f t="shared" si="221"/>
        <v>0</v>
      </c>
      <c r="AN577">
        <f t="shared" si="222"/>
        <v>0</v>
      </c>
      <c r="AO577">
        <f t="shared" si="223"/>
        <v>0</v>
      </c>
      <c r="AP577">
        <f t="array" ref="AP577">AL577*IF($C577="GKP",10,IF($C577="DEF",6,IF($C577="MID",5,4)))</f>
        <v>0</v>
      </c>
      <c r="AQ577">
        <f t="shared" si="224"/>
        <v>0</v>
      </c>
      <c r="AR577">
        <f t="shared" si="225"/>
        <v>0</v>
      </c>
      <c r="AS577" s="2">
        <f>IF($H577=0,0,Player_Analysis!$AM577*$H577/90)</f>
        <v>0</v>
      </c>
      <c r="AT577">
        <f t="shared" si="226"/>
        <v>0</v>
      </c>
      <c r="AU577" s="2">
        <f>0</f>
        <v>0</v>
      </c>
      <c r="AV577" s="2">
        <f>IF(INDEX(FPL_Raw_Data!K:K,MATCH(A577,FPL_Raw_Data!AA:AA,0))=0,"",INDEX(FPL_Raw_Data!P:P,MATCH(A577,FPL_Raw_Data!AA:AA,0))/INDEX(FPL_Raw_Data!K:K,MATCH(A577,FPL_Raw_Data!AA:AA,0))*90)</f>
        <v>0</v>
      </c>
      <c r="AW577" s="2">
        <f t="shared" si="227"/>
        <v>0</v>
      </c>
      <c r="AX577" s="2">
        <f>IFERROR(INDEX(TEAM_ANALYSIS!$H$2:$H$21,MATCH($B577,TEAM_ANALYSIS!$A$2:$A$21,0)),0)</f>
        <v>1</v>
      </c>
      <c r="AY577" s="2">
        <f t="shared" si="228"/>
        <v>0</v>
      </c>
      <c r="AZ577" s="2">
        <f t="shared" si="229"/>
        <v>0</v>
      </c>
      <c r="BA577">
        <f t="shared" si="230"/>
        <v>0</v>
      </c>
      <c r="BB577">
        <f>IFERROR(Player_Analysis!$Y577,1)</f>
        <v>0.87800173010380622</v>
      </c>
      <c r="BC577">
        <f t="shared" si="231"/>
        <v>0</v>
      </c>
      <c r="BD577">
        <f t="shared" si="232"/>
        <v>0</v>
      </c>
      <c r="BE577">
        <f t="shared" si="233"/>
        <v>0</v>
      </c>
      <c r="BF577">
        <f t="shared" si="234"/>
        <v>253</v>
      </c>
      <c r="BG577">
        <f>IF($BE577="","",COUNTIFS($C$2:$C$596,$C577,$BE$2:$BE$596,"&gt;"&amp;$BE577)+COUNTIFS($C$2:$C577,$C577,$BE$2:$BE577,$BE577))</f>
        <v>262</v>
      </c>
    </row>
    <row r="578" spans="1:59" x14ac:dyDescent="0.25">
      <c r="A578" t="str">
        <f>Player_Analysis!A578</f>
        <v>Ibrahim Sangaré</v>
      </c>
      <c r="B578">
        <f>Player_Analysis!C578</f>
        <v>18</v>
      </c>
      <c r="C578" t="str">
        <f>Player_Analysis!B578</f>
        <v>MID</v>
      </c>
      <c r="D578" s="13">
        <f>Player_Analysis!E578</f>
        <v>4.9000000000000004</v>
      </c>
      <c r="E578">
        <f>Player_Analysis!I578</f>
        <v>90</v>
      </c>
      <c r="F578" s="8">
        <f>Player_Analysis!Z578</f>
        <v>1</v>
      </c>
      <c r="G578" s="17">
        <f t="shared" ref="G578:G596" si="235">IF(E578=0,0,MIN(1,F578/(E578/90)))</f>
        <v>1</v>
      </c>
      <c r="H578">
        <f t="shared" ref="H578:H596" si="236">IF($E578=0,0,MIN(90,$G578*90))</f>
        <v>90</v>
      </c>
      <c r="I578" s="8">
        <f>Player_Analysis!AF578</f>
        <v>0</v>
      </c>
      <c r="J578" s="8">
        <f>Player_Analysis!AG578</f>
        <v>0</v>
      </c>
      <c r="K578">
        <f>Player_Analysis!O578</f>
        <v>0.03</v>
      </c>
      <c r="L578">
        <f>Player_Analysis!P578</f>
        <v>0.01</v>
      </c>
      <c r="M578">
        <f t="shared" ref="M578:M596" si="237">IF(E578=0,"",K578/E578*90)</f>
        <v>0.03</v>
      </c>
      <c r="N578">
        <f t="shared" ref="N578:N596" si="238">IF(E578=0,"",L578/E578*90)</f>
        <v>0.01</v>
      </c>
      <c r="O578" s="2">
        <f>IF(E578=0,"",Player_Analysis!L578/E578*90)</f>
        <v>2</v>
      </c>
      <c r="P578">
        <f>IF(E578=0,"",Player_Analysis!Q578/E578*90)</f>
        <v>0.04</v>
      </c>
      <c r="Q578">
        <f>IF(E578=0,"",(Player_Analysis!AD578/E578)*90)</f>
        <v>10</v>
      </c>
      <c r="R578">
        <f>IF(E578=0,"",Player_Analysis!AA578/E578*90)</f>
        <v>6</v>
      </c>
      <c r="S578">
        <f t="array" ref="S578">IFERROR(INDEX('2023_24'!$O:$O,MATCH($A578,'2023_24'!$A:$A,0)),"")</f>
        <v>5.8486905916585841E-2</v>
      </c>
      <c r="T578">
        <f>IFERROR(INDEX('2024_25'!$P:$P,MATCH($A578,'2024_25'!$A:$A,0)),"")</f>
        <v>3.0821917808219177E-3</v>
      </c>
      <c r="U578">
        <f>IFERROR(INDEX('2025_26'!$P:$P,MATCH($A578,'2025_26'!$A:$A,0)),"")</f>
        <v>5.0361794500723582E-2</v>
      </c>
      <c r="V578">
        <f>IFERROR(INDEX('2023_24'!$P:$P,MATCH($A578,'2023_24'!$A:$A,0)),"")</f>
        <v>3.491755577109603E-2</v>
      </c>
      <c r="W578">
        <f>IFERROR(INDEX('2024_25'!$Q:$Q,MATCH($A578,'2024_25'!$A:$A,0)),"")</f>
        <v>3.2363013698630136E-2</v>
      </c>
      <c r="X578">
        <f>IFERROR(INDEX('2025_26'!$Q:$Q,MATCH($A578,'2025_26'!$A:$A,0)),"")</f>
        <v>7.8147612156295232E-2</v>
      </c>
      <c r="Y578">
        <f>IFERROR(INDEX('2023_24'!$M:$M,MATCH($A578,'2023_24'!$A:$A,0))/INDEX('2023_24'!$G:$G,MATCH($A578,'2023_24'!$A:$A,0))*90,"")</f>
        <v>2.1823472356935012</v>
      </c>
      <c r="Z578">
        <f>IFERROR(INDEX('2024_25'!$M:$M,MATCH($A578,'2024_25'!$A:$A,0))/INDEX('2024_25'!$G:$G,MATCH($A578,'2024_25'!$A:$A,0))*90,"")</f>
        <v>3.0821917808219177</v>
      </c>
      <c r="AA578">
        <f>IFERROR(INDEX('2025_26'!$M:$M,MATCH($A578,'2025_26'!$A:$A,0))/INDEX('2025_26'!$G:$G,MATCH($A578,'2025_26'!$A:$A,0))*90,"")</f>
        <v>3.8639652677279308</v>
      </c>
      <c r="AB578">
        <f>IFERROR(SUMPRODUCT(S578:U578,{0.2,0.3,0.5})/SUMPRODUCT(--(S578:U578&lt;&gt;""),{0.2,0.3,0.5}),"")</f>
        <v>3.7802935967925534E-2</v>
      </c>
      <c r="AC578">
        <f>IFERROR(SUMPRODUCT(V578:X578,{0.2,0.3,0.5})/SUMPRODUCT(--(V578:X578&lt;&gt;""),{0.2,0.3,0.5}),"")</f>
        <v>5.5766221341955864E-2</v>
      </c>
      <c r="AD578">
        <f>IFERROR(SUMPRODUCT(Y578:AA578,{0.2,0.3,0.5})/SUMPRODUCT((Y578:AA578&lt;&gt;"")*{0.2,0.3,0.5}),O578)</f>
        <v>3.2931096152492412</v>
      </c>
      <c r="AE578">
        <f t="shared" ref="AE578:AE596" si="239">COUNT(S578:U578)</f>
        <v>3</v>
      </c>
      <c r="AF578">
        <f t="shared" ref="AF578:AF596" si="240">IF(F578=0,"",E578/F578)</f>
        <v>90</v>
      </c>
      <c r="AG578">
        <f t="shared" ref="AG578:AG596" si="241">IF(AND(M578="",AB578=""),0,IF(M578="",AB578,IF(AB578="",M578,M578*AJ578+AB578*(1-AJ578))))</f>
        <v>3.5462055177547872E-2</v>
      </c>
      <c r="AH578">
        <f t="shared" ref="AH578:AH596" si="242">IF(AND(N578="",AC578=""),0,IF(N578="",AC578,IF(AC578="",N578,N578*AJ578+AC578*(1-AJ578))))</f>
        <v>4.2036354939369108E-2</v>
      </c>
      <c r="AI578" s="2">
        <f t="shared" ref="AI578:AI596" si="243">IF(AND(O578="",AD578=""),0,IF(O578="",AD578,IF(AD578="",O578,O578*AJ578+AD578*(1-AJ578))))</f>
        <v>2.9051767306744689</v>
      </c>
      <c r="AJ578">
        <f t="shared" ref="AJ578:AJ596" si="244">IF($E578=0,0,MIN(0.9,$E578/300))</f>
        <v>0.3</v>
      </c>
      <c r="AK578" t="str">
        <f t="shared" ref="AK578:AK596" si="245">IF(AE578=0,"YES","NO")</f>
        <v>NO</v>
      </c>
      <c r="AL578">
        <f t="shared" ref="AL578:AL596" si="246">IF($H578=0,0,$AG578*$H578/90)</f>
        <v>3.5462055177547872E-2</v>
      </c>
      <c r="AM578">
        <f t="shared" ref="AM578:AM596" si="247">IF($H578=0,0,$AH578*$H578/90)</f>
        <v>4.2036354939369108E-2</v>
      </c>
      <c r="AN578">
        <f t="shared" ref="AN578:AN596" si="248">AL578</f>
        <v>3.5462055177547872E-2</v>
      </c>
      <c r="AO578">
        <f t="shared" ref="AO578:AO596" si="249">AM578</f>
        <v>4.2036354939369108E-2</v>
      </c>
      <c r="AP578">
        <f t="array" ref="AP578">AL578*IF($C578="GKP",10,IF($C578="DEF",6,IF($C578="MID",5,4)))</f>
        <v>0.17731027588773934</v>
      </c>
      <c r="AQ578">
        <f t="shared" ref="AQ578:AQ596" si="250">AM578*3</f>
        <v>0.12610906481810732</v>
      </c>
      <c r="AR578">
        <f t="shared" ref="AR578:AR596" si="251">$G578*2</f>
        <v>2</v>
      </c>
      <c r="AS578" s="2">
        <f>IF($H578=0,0,Player_Analysis!$AM578*$H578/90)</f>
        <v>0</v>
      </c>
      <c r="AT578">
        <f t="shared" ref="AT578:AT596" si="252">IF($H578=0,0,$R578*$H578/90*2/IF(OR($C578="GKP",$C578="DEF"),10,12))</f>
        <v>1</v>
      </c>
      <c r="AU578" s="2">
        <f>0</f>
        <v>0</v>
      </c>
      <c r="AV578" s="2">
        <f>IF(INDEX(FPL_Raw_Data!K:K,MATCH(A578,FPL_Raw_Data!AA:AA,0))=0,"",INDEX(FPL_Raw_Data!P:P,MATCH(A578,FPL_Raw_Data!AA:AA,0))/INDEX(FPL_Raw_Data!K:K,MATCH(A578,FPL_Raw_Data!AA:AA,0))*90)</f>
        <v>0</v>
      </c>
      <c r="AW578" s="2">
        <f t="shared" ref="AW578:AW596" si="253">IF(AV578="",0,AV578/3)</f>
        <v>0</v>
      </c>
      <c r="AX578" s="2">
        <f>IFERROR(INDEX(TEAM_ANALYSIS!$H$2:$H$21,MATCH($B578,TEAM_ANALYSIS!$A$2:$A$21,0)),0)</f>
        <v>1</v>
      </c>
      <c r="AY578" s="2">
        <f t="shared" ref="AY578:AY596" si="254">IF(OR($C578="GKP",$C578="DEF"),-($AX578/2),0)</f>
        <v>0</v>
      </c>
      <c r="AZ578" s="2">
        <f t="shared" ref="AZ578:AZ596" si="255">SUM(AP578:AU578)+AW578+AY578</f>
        <v>3.3034193407058465</v>
      </c>
      <c r="BA578">
        <f t="shared" ref="BA578:BA596" si="256">IF($D578=0,0,$AZ578/$D578)</f>
        <v>0.67416721238894817</v>
      </c>
      <c r="BB578">
        <f>IFERROR(Player_Analysis!$Y578,1)</f>
        <v>0.87800173010380622</v>
      </c>
      <c r="BC578">
        <f t="shared" ref="BC578:BC641" si="257">BB578*AZ578</f>
        <v>2.9004078963981081</v>
      </c>
      <c r="BD578">
        <f t="shared" ref="BD578:BD641" si="258">BA578*BC578</f>
        <v>1.9553599063056057</v>
      </c>
      <c r="BE578">
        <f t="shared" ref="BE578:BE596" si="259">BC578</f>
        <v>2.9004078963981081</v>
      </c>
      <c r="BF578">
        <f t="shared" ref="BF578:BF596" si="260">IF($BE578="","",_xlfn.RANK.EQ($BE578,$BE$2:$BE$596,0))</f>
        <v>203</v>
      </c>
      <c r="BG578">
        <f>IF($BE578="","",COUNTIFS($C$2:$C$596,$C578,$BE$2:$BE$596,"&gt;"&amp;$BE578)+COUNTIFS($C$2:$C578,$C578,$BE$2:$BE578,$BE578))</f>
        <v>106</v>
      </c>
    </row>
    <row r="579" spans="1:59" x14ac:dyDescent="0.25">
      <c r="A579" t="str">
        <f>Player_Analysis!A579</f>
        <v>Ryan Yates</v>
      </c>
      <c r="B579">
        <f>Player_Analysis!C579</f>
        <v>18</v>
      </c>
      <c r="C579" t="str">
        <f>Player_Analysis!B579</f>
        <v>MID</v>
      </c>
      <c r="D579" s="13">
        <f>Player_Analysis!E579</f>
        <v>4.5</v>
      </c>
      <c r="E579">
        <f>Player_Analysis!I579</f>
        <v>0</v>
      </c>
      <c r="F579" s="8">
        <f>Player_Analysis!Z579</f>
        <v>0</v>
      </c>
      <c r="G579" s="17">
        <f t="shared" si="235"/>
        <v>0</v>
      </c>
      <c r="H579">
        <f t="shared" si="236"/>
        <v>0</v>
      </c>
      <c r="I579" s="8">
        <f>Player_Analysis!AF579</f>
        <v>0</v>
      </c>
      <c r="J579" s="8">
        <f>Player_Analysis!AG579</f>
        <v>0</v>
      </c>
      <c r="K579">
        <f>Player_Analysis!O579</f>
        <v>0</v>
      </c>
      <c r="L579">
        <f>Player_Analysis!P579</f>
        <v>0</v>
      </c>
      <c r="M579" t="str">
        <f t="shared" si="237"/>
        <v/>
      </c>
      <c r="N579" t="str">
        <f t="shared" si="238"/>
        <v/>
      </c>
      <c r="O579" s="2" t="str">
        <f>IF(E579=0,"",Player_Analysis!L579/E579*90)</f>
        <v/>
      </c>
      <c r="P579" t="str">
        <f>IF(E579=0,"",Player_Analysis!Q579/E579*90)</f>
        <v/>
      </c>
      <c r="Q579" t="str">
        <f>IF(E579=0,"",(Player_Analysis!AD579/E579)*90)</f>
        <v/>
      </c>
      <c r="R579" t="str">
        <f>IF(E579=0,"",Player_Analysis!AA579/E579*90)</f>
        <v/>
      </c>
      <c r="S579">
        <f t="array" ref="S579">IFERROR(INDEX('2023_24'!$O:$O,MATCH($A579,'2023_24'!$A:$A,0)),"")</f>
        <v>0.1264274886306215</v>
      </c>
      <c r="T579">
        <f>IFERROR(INDEX('2024_25'!$P:$P,MATCH($A579,'2024_25'!$A:$A,0)),"")</f>
        <v>0.11409784324039979</v>
      </c>
      <c r="U579">
        <f>IFERROR(INDEX('2025_26'!$P:$P,MATCH($A579,'2025_26'!$A:$A,0)),"")</f>
        <v>7.3255813953488375E-2</v>
      </c>
      <c r="V579">
        <f>IFERROR(INDEX('2023_24'!$P:$P,MATCH($A579,'2023_24'!$A:$A,0)),"")</f>
        <v>2.6831733198585141E-2</v>
      </c>
      <c r="W579">
        <f>IFERROR(INDEX('2024_25'!$Q:$Q,MATCH($A579,'2024_25'!$A:$A,0)),"")</f>
        <v>2.2251446607048923E-2</v>
      </c>
      <c r="X579">
        <f>IFERROR(INDEX('2025_26'!$Q:$Q,MATCH($A579,'2025_26'!$A:$A,0)),"")</f>
        <v>5.5315614617940198E-2</v>
      </c>
      <c r="Y579">
        <f>IFERROR(INDEX('2023_24'!$M:$M,MATCH($A579,'2023_24'!$A:$A,0))/INDEX('2023_24'!$G:$G,MATCH($A579,'2023_24'!$A:$A,0))*90,"")</f>
        <v>2.6831733198585144</v>
      </c>
      <c r="Z579">
        <f>IFERROR(INDEX('2024_25'!$M:$M,MATCH($A579,'2024_25'!$A:$A,0))/INDEX('2024_25'!$G:$G,MATCH($A579,'2024_25'!$A:$A,0))*90,"")</f>
        <v>3.1720147290899527</v>
      </c>
      <c r="AA579">
        <f>IFERROR(INDEX('2025_26'!$M:$M,MATCH($A579,'2025_26'!$A:$A,0))/INDEX('2025_26'!$G:$G,MATCH($A579,'2025_26'!$A:$A,0))*90,"")</f>
        <v>4.485049833887043</v>
      </c>
      <c r="AB579">
        <f>IFERROR(SUMPRODUCT(S579:U579,{0.2,0.3,0.5})/SUMPRODUCT(--(S579:U579&lt;&gt;""),{0.2,0.3,0.5}),"")</f>
        <v>9.6142757674988422E-2</v>
      </c>
      <c r="AC579">
        <f>IFERROR(SUMPRODUCT(V579:X579,{0.2,0.3,0.5})/SUMPRODUCT(--(V579:X579&lt;&gt;""),{0.2,0.3,0.5}),"")</f>
        <v>3.9699587930801805E-2</v>
      </c>
      <c r="AD579">
        <f>IFERROR(SUMPRODUCT(Y579:AA579,{0.2,0.3,0.5})/SUMPRODUCT((Y579:AA579&lt;&gt;"")*{0.2,0.3,0.5}),O579)</f>
        <v>3.7307639996422104</v>
      </c>
      <c r="AE579">
        <f t="shared" si="239"/>
        <v>3</v>
      </c>
      <c r="AF579" t="str">
        <f t="shared" si="240"/>
        <v/>
      </c>
      <c r="AG579">
        <f t="shared" si="241"/>
        <v>9.6142757674988422E-2</v>
      </c>
      <c r="AH579">
        <f t="shared" si="242"/>
        <v>3.9699587930801805E-2</v>
      </c>
      <c r="AI579" s="2">
        <f t="shared" si="243"/>
        <v>3.7307639996422104</v>
      </c>
      <c r="AJ579">
        <f t="shared" si="244"/>
        <v>0</v>
      </c>
      <c r="AK579" t="str">
        <f t="shared" si="245"/>
        <v>NO</v>
      </c>
      <c r="AL579">
        <f t="shared" si="246"/>
        <v>0</v>
      </c>
      <c r="AM579">
        <f t="shared" si="247"/>
        <v>0</v>
      </c>
      <c r="AN579">
        <f t="shared" si="248"/>
        <v>0</v>
      </c>
      <c r="AO579">
        <f t="shared" si="249"/>
        <v>0</v>
      </c>
      <c r="AP579">
        <f t="array" ref="AP579">AL579*IF($C579="GKP",10,IF($C579="DEF",6,IF($C579="MID",5,4)))</f>
        <v>0</v>
      </c>
      <c r="AQ579">
        <f t="shared" si="250"/>
        <v>0</v>
      </c>
      <c r="AR579">
        <f t="shared" si="251"/>
        <v>0</v>
      </c>
      <c r="AS579" s="2">
        <f>IF($H579=0,0,Player_Analysis!$AM579*$H579/90)</f>
        <v>0</v>
      </c>
      <c r="AT579">
        <f t="shared" si="252"/>
        <v>0</v>
      </c>
      <c r="AU579" s="2">
        <f>0</f>
        <v>0</v>
      </c>
      <c r="AV579" s="2" t="str">
        <f>IF(INDEX(FPL_Raw_Data!K:K,MATCH(A579,FPL_Raw_Data!AA:AA,0))=0,"",INDEX(FPL_Raw_Data!P:P,MATCH(A579,FPL_Raw_Data!AA:AA,0))/INDEX(FPL_Raw_Data!K:K,MATCH(A579,FPL_Raw_Data!AA:AA,0))*90)</f>
        <v/>
      </c>
      <c r="AW579" s="2">
        <f t="shared" si="253"/>
        <v>0</v>
      </c>
      <c r="AX579" s="2">
        <f>IFERROR(INDEX(TEAM_ANALYSIS!$H$2:$H$21,MATCH($B579,TEAM_ANALYSIS!$A$2:$A$21,0)),0)</f>
        <v>1</v>
      </c>
      <c r="AY579" s="2">
        <f t="shared" si="254"/>
        <v>0</v>
      </c>
      <c r="AZ579" s="2">
        <f t="shared" si="255"/>
        <v>0</v>
      </c>
      <c r="BA579">
        <f t="shared" si="256"/>
        <v>0</v>
      </c>
      <c r="BB579">
        <f>IFERROR(Player_Analysis!$Y579,1)</f>
        <v>0.87800173010380622</v>
      </c>
      <c r="BC579">
        <f t="shared" si="257"/>
        <v>0</v>
      </c>
      <c r="BD579">
        <f t="shared" si="258"/>
        <v>0</v>
      </c>
      <c r="BE579">
        <f t="shared" si="259"/>
        <v>0</v>
      </c>
      <c r="BF579">
        <f t="shared" si="260"/>
        <v>253</v>
      </c>
      <c r="BG579">
        <f>IF($BE579="","",COUNTIFS($C$2:$C$596,$C579,$BE$2:$BE$596,"&gt;"&amp;$BE579)+COUNTIFS($C$2:$C579,$C579,$BE$2:$BE579,$BE579))</f>
        <v>263</v>
      </c>
    </row>
    <row r="580" spans="1:59" x14ac:dyDescent="0.25">
      <c r="A580" t="str">
        <f>Player_Analysis!A580</f>
        <v>Chris Wood</v>
      </c>
      <c r="B580">
        <f>Player_Analysis!C580</f>
        <v>18</v>
      </c>
      <c r="C580" t="str">
        <f>Player_Analysis!B580</f>
        <v>FWD</v>
      </c>
      <c r="D580" s="13">
        <f>Player_Analysis!E580</f>
        <v>5.9</v>
      </c>
      <c r="E580">
        <f>Player_Analysis!I580</f>
        <v>44</v>
      </c>
      <c r="F580" s="8">
        <f>Player_Analysis!Z580</f>
        <v>0</v>
      </c>
      <c r="G580" s="17">
        <f t="shared" si="235"/>
        <v>0</v>
      </c>
      <c r="H580">
        <f t="shared" si="236"/>
        <v>0</v>
      </c>
      <c r="I580" s="8">
        <f>Player_Analysis!AF580</f>
        <v>0</v>
      </c>
      <c r="J580" s="8">
        <f>Player_Analysis!AG580</f>
        <v>0</v>
      </c>
      <c r="K580">
        <f>Player_Analysis!O580</f>
        <v>0.12</v>
      </c>
      <c r="L580">
        <f>Player_Analysis!P580</f>
        <v>0.01</v>
      </c>
      <c r="M580">
        <f t="shared" si="237"/>
        <v>0.24545454545454543</v>
      </c>
      <c r="N580">
        <f t="shared" si="238"/>
        <v>2.0454545454545454E-2</v>
      </c>
      <c r="O580" s="2">
        <f>IF(E580=0,"",Player_Analysis!L580/E580*90)</f>
        <v>4.0909090909090908</v>
      </c>
      <c r="P580">
        <f>IF(E580=0,"",Player_Analysis!Q580/E580*90)</f>
        <v>0.26590909090909093</v>
      </c>
      <c r="Q580">
        <f>IF(E580=0,"",(Player_Analysis!AD580/E580)*90)</f>
        <v>12.272727272727272</v>
      </c>
      <c r="R580">
        <f>IF(E580=0,"",Player_Analysis!AA580/E580*90)</f>
        <v>2.0454545454545454</v>
      </c>
      <c r="S580">
        <f t="array" ref="S580">IFERROR(INDEX('2023_24'!$O:$O,MATCH($A580,'2023_24'!$A:$A,0)),"")</f>
        <v>0.58517490283176021</v>
      </c>
      <c r="T580">
        <f>IFERROR(INDEX('2024_25'!$P:$P,MATCH($A580,'2024_25'!$A:$A,0)),"")</f>
        <v>0.40831643002028395</v>
      </c>
      <c r="U580">
        <f>IFERROR(INDEX('2025_26'!$P:$P,MATCH($A580,'2025_26'!$A:$A,0)),"")</f>
        <v>0.43091517857142858</v>
      </c>
      <c r="V580">
        <f>IFERROR(INDEX('2023_24'!$P:$P,MATCH($A580,'2023_24'!$A:$A,0)),"")</f>
        <v>4.597445863409217E-2</v>
      </c>
      <c r="W580">
        <f>IFERROR(INDEX('2024_25'!$Q:$Q,MATCH($A580,'2024_25'!$A:$A,0)),"")</f>
        <v>4.8377281947261666E-2</v>
      </c>
      <c r="X580">
        <f>IFERROR(INDEX('2025_26'!$Q:$Q,MATCH($A580,'2025_26'!$A:$A,0)),"")</f>
        <v>3.214285714285714E-2</v>
      </c>
      <c r="Y580">
        <f>IFERROR(INDEX('2023_24'!$M:$M,MATCH($A580,'2023_24'!$A:$A,0))/INDEX('2023_24'!$G:$G,MATCH($A580,'2023_24'!$A:$A,0))*90,"")</f>
        <v>6.5463631315935595</v>
      </c>
      <c r="Z580">
        <f>IFERROR(INDEX('2024_25'!$M:$M,MATCH($A580,'2024_25'!$A:$A,0))/INDEX('2024_25'!$G:$G,MATCH($A580,'2024_25'!$A:$A,0))*90,"")</f>
        <v>6.0851926977687629</v>
      </c>
      <c r="AA580">
        <f>IFERROR(INDEX('2025_26'!$M:$M,MATCH($A580,'2025_26'!$A:$A,0))/INDEX('2025_26'!$G:$G,MATCH($A580,'2025_26'!$A:$A,0))*90,"")</f>
        <v>4.1183035714285712</v>
      </c>
      <c r="AB580">
        <f>IFERROR(SUMPRODUCT(S580:U580,{0.2,0.3,0.5})/SUMPRODUCT(--(S580:U580&lt;&gt;""),{0.2,0.3,0.5}),"")</f>
        <v>0.45498749885815148</v>
      </c>
      <c r="AC580">
        <f>IFERROR(SUMPRODUCT(V580:X580,{0.2,0.3,0.5})/SUMPRODUCT(--(V580:X580&lt;&gt;""),{0.2,0.3,0.5}),"")</f>
        <v>3.9779504882425501E-2</v>
      </c>
      <c r="AD580">
        <f>IFERROR(SUMPRODUCT(Y580:AA580,{0.2,0.3,0.5})/SUMPRODUCT((Y580:AA580&lt;&gt;"")*{0.2,0.3,0.5}),O580)</f>
        <v>5.1939822213636262</v>
      </c>
      <c r="AE580">
        <f t="shared" si="239"/>
        <v>3</v>
      </c>
      <c r="AF580" t="str">
        <f t="shared" si="240"/>
        <v/>
      </c>
      <c r="AG580">
        <f t="shared" si="241"/>
        <v>0.42425599902562255</v>
      </c>
      <c r="AH580">
        <f t="shared" si="242"/>
        <v>3.694517749966976E-2</v>
      </c>
      <c r="AI580" s="2">
        <f t="shared" si="243"/>
        <v>5.0321981622302934</v>
      </c>
      <c r="AJ580">
        <f t="shared" si="244"/>
        <v>0.14666666666666667</v>
      </c>
      <c r="AK580" t="str">
        <f t="shared" si="245"/>
        <v>NO</v>
      </c>
      <c r="AL580">
        <f t="shared" si="246"/>
        <v>0</v>
      </c>
      <c r="AM580">
        <f t="shared" si="247"/>
        <v>0</v>
      </c>
      <c r="AN580">
        <f t="shared" si="248"/>
        <v>0</v>
      </c>
      <c r="AO580">
        <f t="shared" si="249"/>
        <v>0</v>
      </c>
      <c r="AP580">
        <f t="array" ref="AP580">AL580*IF($C580="GKP",10,IF($C580="DEF",6,IF($C580="MID",5,4)))</f>
        <v>0</v>
      </c>
      <c r="AQ580">
        <f t="shared" si="250"/>
        <v>0</v>
      </c>
      <c r="AR580">
        <f t="shared" si="251"/>
        <v>0</v>
      </c>
      <c r="AS580" s="2">
        <f>IF($H580=0,0,Player_Analysis!$AM580*$H580/90)</f>
        <v>0</v>
      </c>
      <c r="AT580">
        <f t="shared" si="252"/>
        <v>0</v>
      </c>
      <c r="AU580" s="2">
        <f>0</f>
        <v>0</v>
      </c>
      <c r="AV580" s="2">
        <f>IF(INDEX(FPL_Raw_Data!K:K,MATCH(A580,FPL_Raw_Data!AA:AA,0))=0,"",INDEX(FPL_Raw_Data!P:P,MATCH(A580,FPL_Raw_Data!AA:AA,0))/INDEX(FPL_Raw_Data!K:K,MATCH(A580,FPL_Raw_Data!AA:AA,0))*90)</f>
        <v>0</v>
      </c>
      <c r="AW580" s="2">
        <f t="shared" si="253"/>
        <v>0</v>
      </c>
      <c r="AX580" s="2">
        <f>IFERROR(INDEX(TEAM_ANALYSIS!$H$2:$H$21,MATCH($B580,TEAM_ANALYSIS!$A$2:$A$21,0)),0)</f>
        <v>1</v>
      </c>
      <c r="AY580" s="2">
        <f t="shared" si="254"/>
        <v>0</v>
      </c>
      <c r="AZ580" s="2">
        <f t="shared" si="255"/>
        <v>0</v>
      </c>
      <c r="BA580">
        <f t="shared" si="256"/>
        <v>0</v>
      </c>
      <c r="BB580">
        <f>IFERROR(Player_Analysis!$Y580,1)</f>
        <v>0.87800173010380622</v>
      </c>
      <c r="BC580">
        <f t="shared" si="257"/>
        <v>0</v>
      </c>
      <c r="BD580">
        <f t="shared" si="258"/>
        <v>0</v>
      </c>
      <c r="BE580">
        <f t="shared" si="259"/>
        <v>0</v>
      </c>
      <c r="BF580">
        <f t="shared" si="260"/>
        <v>253</v>
      </c>
      <c r="BG580">
        <f>IF($BE580="","",COUNTIFS($C$2:$C$596,$C580,$BE$2:$BE$596,"&gt;"&amp;$BE580)+COUNTIFS($C$2:$C580,$C580,$BE$2:$BE580,$BE580))</f>
        <v>71</v>
      </c>
    </row>
    <row r="581" spans="1:59" x14ac:dyDescent="0.25">
      <c r="A581" t="str">
        <f>Player_Analysis!A581</f>
        <v>Igor Jesus Maciel da Cruz</v>
      </c>
      <c r="B581">
        <f>Player_Analysis!C581</f>
        <v>18</v>
      </c>
      <c r="C581" t="str">
        <f>Player_Analysis!B581</f>
        <v>FWD</v>
      </c>
      <c r="D581" s="13">
        <f>Player_Analysis!E581</f>
        <v>5.9</v>
      </c>
      <c r="E581">
        <f>Player_Analysis!I581</f>
        <v>211</v>
      </c>
      <c r="F581" s="8">
        <f>Player_Analysis!Z581</f>
        <v>2</v>
      </c>
      <c r="G581" s="17">
        <f t="shared" si="235"/>
        <v>0.85308056872037907</v>
      </c>
      <c r="H581">
        <f t="shared" si="236"/>
        <v>76.777251184834114</v>
      </c>
      <c r="I581" s="8">
        <f>Player_Analysis!AF581</f>
        <v>0</v>
      </c>
      <c r="J581" s="8">
        <f>Player_Analysis!AG581</f>
        <v>0</v>
      </c>
      <c r="K581">
        <f>Player_Analysis!O581</f>
        <v>0.96</v>
      </c>
      <c r="L581">
        <f>Player_Analysis!P581</f>
        <v>0.06</v>
      </c>
      <c r="M581">
        <f t="shared" si="237"/>
        <v>0.40947867298578194</v>
      </c>
      <c r="N581">
        <f t="shared" si="238"/>
        <v>2.5592417061611372E-2</v>
      </c>
      <c r="O581" s="2">
        <f>IF(E581=0,"",Player_Analysis!L581/E581*90)</f>
        <v>1.7061611374407584</v>
      </c>
      <c r="P581">
        <f>IF(E581=0,"",Player_Analysis!Q581/E581*90)</f>
        <v>0.43507109004739336</v>
      </c>
      <c r="Q581">
        <f>IF(E581=0,"",(Player_Analysis!AD581/E581)*90)</f>
        <v>6.3981042654028437</v>
      </c>
      <c r="R581">
        <f>IF(E581=0,"",Player_Analysis!AA581/E581*90)</f>
        <v>3.8388625592417065</v>
      </c>
      <c r="S581" t="str">
        <f t="array" ref="S581">IFERROR(INDEX('2023_24'!$O:$O,MATCH($A581,'2023_24'!$A:$A,0)),"")</f>
        <v/>
      </c>
      <c r="T581" t="str">
        <f>IFERROR(INDEX('2024_25'!$P:$P,MATCH($A581,'2024_25'!$A:$A,0)),"")</f>
        <v/>
      </c>
      <c r="U581">
        <f>IFERROR(INDEX('2025_26'!$P:$P,MATCH($A581,'2025_26'!$A:$A,0)),"")</f>
        <v>0.25433929350196249</v>
      </c>
      <c r="V581" t="str">
        <f>IFERROR(INDEX('2023_24'!$P:$P,MATCH($A581,'2023_24'!$A:$A,0)),"")</f>
        <v/>
      </c>
      <c r="W581" t="str">
        <f>IFERROR(INDEX('2024_25'!$Q:$Q,MATCH($A581,'2024_25'!$A:$A,0)),"")</f>
        <v/>
      </c>
      <c r="X581">
        <f>IFERROR(INDEX('2025_26'!$Q:$Q,MATCH($A581,'2025_26'!$A:$A,0)),"")</f>
        <v>4.9454862625381596E-2</v>
      </c>
      <c r="Y581" t="str">
        <f>IFERROR(INDEX('2023_24'!$M:$M,MATCH($A581,'2023_24'!$A:$A,0))/INDEX('2023_24'!$G:$G,MATCH($A581,'2023_24'!$A:$A,0))*90,"")</f>
        <v/>
      </c>
      <c r="Z581" t="str">
        <f>IFERROR(INDEX('2024_25'!$M:$M,MATCH($A581,'2024_25'!$A:$A,0))/INDEX('2024_25'!$G:$G,MATCH($A581,'2024_25'!$A:$A,0))*90,"")</f>
        <v/>
      </c>
      <c r="AA581">
        <f>IFERROR(INDEX('2025_26'!$M:$M,MATCH($A581,'2025_26'!$A:$A,0))/INDEX('2025_26'!$G:$G,MATCH($A581,'2025_26'!$A:$A,0))*90,"")</f>
        <v>4.4744875708678586</v>
      </c>
      <c r="AB581">
        <f>IFERROR(SUMPRODUCT(S581:U581,{0.2,0.3,0.5})/SUMPRODUCT(--(S581:U581&lt;&gt;""),{0.2,0.3,0.5}),"")</f>
        <v>0.25433929350196249</v>
      </c>
      <c r="AC581">
        <f>IFERROR(SUMPRODUCT(V581:X581,{0.2,0.3,0.5})/SUMPRODUCT(--(V581:X581&lt;&gt;""),{0.2,0.3,0.5}),"")</f>
        <v>4.9454862625381596E-2</v>
      </c>
      <c r="AD581">
        <f>IFERROR(SUMPRODUCT(Y581:AA581,{0.2,0.3,0.5})/SUMPRODUCT((Y581:AA581&lt;&gt;"")*{0.2,0.3,0.5}),O581)</f>
        <v>4.4744875708678586</v>
      </c>
      <c r="AE581">
        <f t="shared" si="239"/>
        <v>1</v>
      </c>
      <c r="AF581">
        <f t="shared" si="240"/>
        <v>105.5</v>
      </c>
      <c r="AG581">
        <f t="shared" si="241"/>
        <v>0.36345399040558218</v>
      </c>
      <c r="AH581">
        <f t="shared" si="242"/>
        <v>3.2671609245529872E-2</v>
      </c>
      <c r="AI581" s="2">
        <f t="shared" si="243"/>
        <v>2.5274313126907981</v>
      </c>
      <c r="AJ581">
        <f t="shared" si="244"/>
        <v>0.70333333333333337</v>
      </c>
      <c r="AK581" t="str">
        <f t="shared" si="245"/>
        <v>NO</v>
      </c>
      <c r="AL581">
        <f t="shared" si="246"/>
        <v>0.31005553683888526</v>
      </c>
      <c r="AM581">
        <f t="shared" si="247"/>
        <v>2.7871514996186619E-2</v>
      </c>
      <c r="AN581">
        <f t="shared" si="248"/>
        <v>0.31005553683888526</v>
      </c>
      <c r="AO581">
        <f t="shared" si="249"/>
        <v>2.7871514996186619E-2</v>
      </c>
      <c r="AP581">
        <f t="array" ref="AP581">AL581*IF($C581="GKP",10,IF($C581="DEF",6,IF($C581="MID",5,4)))</f>
        <v>1.240222147355541</v>
      </c>
      <c r="AQ581">
        <f t="shared" si="250"/>
        <v>8.3614544988559858E-2</v>
      </c>
      <c r="AR581">
        <f t="shared" si="251"/>
        <v>1.7061611374407581</v>
      </c>
      <c r="AS581" s="2">
        <f>IF($H581=0,0,Player_Analysis!$AM581*$H581/90)</f>
        <v>0</v>
      </c>
      <c r="AT581">
        <f t="shared" si="252"/>
        <v>0.54580984254621412</v>
      </c>
      <c r="AU581" s="2">
        <f>0</f>
        <v>0</v>
      </c>
      <c r="AV581" s="2">
        <f>IF(INDEX(FPL_Raw_Data!K:K,MATCH(A581,FPL_Raw_Data!AA:AA,0))=0,"",INDEX(FPL_Raw_Data!P:P,MATCH(A581,FPL_Raw_Data!AA:AA,0))/INDEX(FPL_Raw_Data!K:K,MATCH(A581,FPL_Raw_Data!AA:AA,0))*90)</f>
        <v>0</v>
      </c>
      <c r="AW581" s="2">
        <f t="shared" si="253"/>
        <v>0</v>
      </c>
      <c r="AX581" s="2">
        <f>IFERROR(INDEX(TEAM_ANALYSIS!$H$2:$H$21,MATCH($B581,TEAM_ANALYSIS!$A$2:$A$21,0)),0)</f>
        <v>1</v>
      </c>
      <c r="AY581" s="2">
        <f t="shared" si="254"/>
        <v>0</v>
      </c>
      <c r="AZ581" s="2">
        <f t="shared" si="255"/>
        <v>3.5758076723310737</v>
      </c>
      <c r="BA581">
        <f t="shared" si="256"/>
        <v>0.60606909700526668</v>
      </c>
      <c r="BB581">
        <f>IFERROR(Player_Analysis!$Y581,1)</f>
        <v>0.87800173010380622</v>
      </c>
      <c r="BC581">
        <f t="shared" si="257"/>
        <v>3.1395653228251468</v>
      </c>
      <c r="BD581">
        <f t="shared" si="258"/>
        <v>1.9027935201936852</v>
      </c>
      <c r="BE581">
        <f t="shared" si="259"/>
        <v>3.1395653228251468</v>
      </c>
      <c r="BF581">
        <f t="shared" si="260"/>
        <v>196</v>
      </c>
      <c r="BG581">
        <f>IF($BE581="","",COUNTIFS($C$2:$C$596,$C581,$BE$2:$BE$596,"&gt;"&amp;$BE581)+COUNTIFS($C$2:$C581,$C581,$BE$2:$BE581,$BE581))</f>
        <v>20</v>
      </c>
    </row>
    <row r="582" spans="1:59" x14ac:dyDescent="0.25">
      <c r="A582" t="str">
        <f>Player_Analysis!A582</f>
        <v>Arnaud Kalimuendo</v>
      </c>
      <c r="B582">
        <f>Player_Analysis!C582</f>
        <v>18</v>
      </c>
      <c r="C582" t="str">
        <f>Player_Analysis!B582</f>
        <v>FWD</v>
      </c>
      <c r="D582" s="13">
        <f>Player_Analysis!E582</f>
        <v>5.4</v>
      </c>
      <c r="E582">
        <f>Player_Analysis!I582</f>
        <v>1</v>
      </c>
      <c r="F582" s="8">
        <f>Player_Analysis!Z582</f>
        <v>0</v>
      </c>
      <c r="G582" s="17">
        <f t="shared" si="235"/>
        <v>0</v>
      </c>
      <c r="H582">
        <f t="shared" si="236"/>
        <v>0</v>
      </c>
      <c r="I582" s="8">
        <f>Player_Analysis!AF582</f>
        <v>0</v>
      </c>
      <c r="J582" s="8">
        <f>Player_Analysis!AG582</f>
        <v>0</v>
      </c>
      <c r="K582">
        <f>Player_Analysis!O582</f>
        <v>0</v>
      </c>
      <c r="L582">
        <f>Player_Analysis!P582</f>
        <v>0</v>
      </c>
      <c r="M582">
        <f t="shared" si="237"/>
        <v>0</v>
      </c>
      <c r="N582">
        <f t="shared" si="238"/>
        <v>0</v>
      </c>
      <c r="O582" s="2">
        <f>IF(E582=0,"",Player_Analysis!L582/E582*90)</f>
        <v>90</v>
      </c>
      <c r="P582">
        <f>IF(E582=0,"",Player_Analysis!Q582/E582*90)</f>
        <v>0</v>
      </c>
      <c r="Q582">
        <f>IF(E582=0,"",(Player_Analysis!AD582/E582)*90)</f>
        <v>270</v>
      </c>
      <c r="R582">
        <f>IF(E582=0,"",Player_Analysis!AA582/E582*90)</f>
        <v>0</v>
      </c>
      <c r="S582" t="str">
        <f t="array" ref="S582">IFERROR(INDEX('2023_24'!$O:$O,MATCH($A582,'2023_24'!$A:$A,0)),"")</f>
        <v/>
      </c>
      <c r="T582" t="str">
        <f>IFERROR(INDEX('2024_25'!$P:$P,MATCH($A582,'2024_25'!$A:$A,0)),"")</f>
        <v/>
      </c>
      <c r="U582">
        <f>IFERROR(INDEX('2025_26'!$P:$P,MATCH($A582,'2025_26'!$A:$A,0)),"")</f>
        <v>0.44494382022471907</v>
      </c>
      <c r="V582" t="str">
        <f>IFERROR(INDEX('2023_24'!$P:$P,MATCH($A582,'2023_24'!$A:$A,0)),"")</f>
        <v/>
      </c>
      <c r="W582" t="str">
        <f>IFERROR(INDEX('2024_25'!$Q:$Q,MATCH($A582,'2024_25'!$A:$A,0)),"")</f>
        <v/>
      </c>
      <c r="X582">
        <f>IFERROR(INDEX('2025_26'!$Q:$Q,MATCH($A582,'2025_26'!$A:$A,0)),"")</f>
        <v>2.0224719101123598E-2</v>
      </c>
      <c r="Y582" t="str">
        <f>IFERROR(INDEX('2023_24'!$M:$M,MATCH($A582,'2023_24'!$A:$A,0))/INDEX('2023_24'!$G:$G,MATCH($A582,'2023_24'!$A:$A,0))*90,"")</f>
        <v/>
      </c>
      <c r="Z582" t="str">
        <f>IFERROR(INDEX('2024_25'!$M:$M,MATCH($A582,'2024_25'!$A:$A,0))/INDEX('2024_25'!$G:$G,MATCH($A582,'2024_25'!$A:$A,0))*90,"")</f>
        <v/>
      </c>
      <c r="AA582">
        <f>IFERROR(INDEX('2025_26'!$M:$M,MATCH($A582,'2025_26'!$A:$A,0))/INDEX('2025_26'!$G:$G,MATCH($A582,'2025_26'!$A:$A,0))*90,"")</f>
        <v>9.1011235955056176</v>
      </c>
      <c r="AB582">
        <f>IFERROR(SUMPRODUCT(S582:U582,{0.2,0.3,0.5})/SUMPRODUCT(--(S582:U582&lt;&gt;""),{0.2,0.3,0.5}),"")</f>
        <v>0.44494382022471907</v>
      </c>
      <c r="AC582">
        <f>IFERROR(SUMPRODUCT(V582:X582,{0.2,0.3,0.5})/SUMPRODUCT(--(V582:X582&lt;&gt;""),{0.2,0.3,0.5}),"")</f>
        <v>2.0224719101123598E-2</v>
      </c>
      <c r="AD582">
        <f>IFERROR(SUMPRODUCT(Y582:AA582,{0.2,0.3,0.5})/SUMPRODUCT((Y582:AA582&lt;&gt;"")*{0.2,0.3,0.5}),O582)</f>
        <v>9.1011235955056176</v>
      </c>
      <c r="AE582">
        <f t="shared" si="239"/>
        <v>1</v>
      </c>
      <c r="AF582" t="str">
        <f t="shared" si="240"/>
        <v/>
      </c>
      <c r="AG582">
        <f t="shared" si="241"/>
        <v>0.44346067415730334</v>
      </c>
      <c r="AH582">
        <f t="shared" si="242"/>
        <v>2.0157303370786521E-2</v>
      </c>
      <c r="AI582" s="2">
        <f t="shared" si="243"/>
        <v>9.3707865168539328</v>
      </c>
      <c r="AJ582">
        <f t="shared" si="244"/>
        <v>3.3333333333333335E-3</v>
      </c>
      <c r="AK582" t="str">
        <f t="shared" si="245"/>
        <v>NO</v>
      </c>
      <c r="AL582">
        <f t="shared" si="246"/>
        <v>0</v>
      </c>
      <c r="AM582">
        <f t="shared" si="247"/>
        <v>0</v>
      </c>
      <c r="AN582">
        <f t="shared" si="248"/>
        <v>0</v>
      </c>
      <c r="AO582">
        <f t="shared" si="249"/>
        <v>0</v>
      </c>
      <c r="AP582">
        <f t="array" ref="AP582">AL582*IF($C582="GKP",10,IF($C582="DEF",6,IF($C582="MID",5,4)))</f>
        <v>0</v>
      </c>
      <c r="AQ582">
        <f t="shared" si="250"/>
        <v>0</v>
      </c>
      <c r="AR582">
        <f t="shared" si="251"/>
        <v>0</v>
      </c>
      <c r="AS582" s="2">
        <f>IF($H582=0,0,Player_Analysis!$AM582*$H582/90)</f>
        <v>0</v>
      </c>
      <c r="AT582">
        <f t="shared" si="252"/>
        <v>0</v>
      </c>
      <c r="AU582" s="2">
        <f>0</f>
        <v>0</v>
      </c>
      <c r="AV582" s="2">
        <f>IF(INDEX(FPL_Raw_Data!K:K,MATCH(A582,FPL_Raw_Data!AA:AA,0))=0,"",INDEX(FPL_Raw_Data!P:P,MATCH(A582,FPL_Raw_Data!AA:AA,0))/INDEX(FPL_Raw_Data!K:K,MATCH(A582,FPL_Raw_Data!AA:AA,0))*90)</f>
        <v>0</v>
      </c>
      <c r="AW582" s="2">
        <f t="shared" si="253"/>
        <v>0</v>
      </c>
      <c r="AX582" s="2">
        <f>IFERROR(INDEX(TEAM_ANALYSIS!$H$2:$H$21,MATCH($B582,TEAM_ANALYSIS!$A$2:$A$21,0)),0)</f>
        <v>1</v>
      </c>
      <c r="AY582" s="2">
        <f t="shared" si="254"/>
        <v>0</v>
      </c>
      <c r="AZ582" s="2">
        <f t="shared" si="255"/>
        <v>0</v>
      </c>
      <c r="BA582">
        <f t="shared" si="256"/>
        <v>0</v>
      </c>
      <c r="BB582">
        <f>IFERROR(Player_Analysis!$Y582,1)</f>
        <v>0.87800173010380622</v>
      </c>
      <c r="BC582">
        <f t="shared" si="257"/>
        <v>0</v>
      </c>
      <c r="BD582">
        <f t="shared" si="258"/>
        <v>0</v>
      </c>
      <c r="BE582">
        <f t="shared" si="259"/>
        <v>0</v>
      </c>
      <c r="BF582">
        <f t="shared" si="260"/>
        <v>253</v>
      </c>
      <c r="BG582">
        <f>IF($BE582="","",COUNTIFS($C$2:$C$596,$C582,$BE$2:$BE$596,"&gt;"&amp;$BE582)+COUNTIFS($C$2:$C582,$C582,$BE$2:$BE582,$BE582))</f>
        <v>72</v>
      </c>
    </row>
    <row r="583" spans="1:59" x14ac:dyDescent="0.25">
      <c r="A583" t="str">
        <f>Player_Analysis!A583</f>
        <v>Xaver Schlager</v>
      </c>
      <c r="B583">
        <f>Player_Analysis!C583</f>
        <v>18</v>
      </c>
      <c r="C583" t="str">
        <f>Player_Analysis!B583</f>
        <v>MID</v>
      </c>
      <c r="D583" s="13">
        <f>Player_Analysis!E583</f>
        <v>5</v>
      </c>
      <c r="E583">
        <f>Player_Analysis!I583</f>
        <v>196</v>
      </c>
      <c r="F583" s="8">
        <f>Player_Analysis!Z583</f>
        <v>2</v>
      </c>
      <c r="G583" s="17">
        <f t="shared" si="235"/>
        <v>0.91836734693877564</v>
      </c>
      <c r="H583">
        <f t="shared" si="236"/>
        <v>82.653061224489804</v>
      </c>
      <c r="I583" s="8">
        <f>Player_Analysis!AF583</f>
        <v>0</v>
      </c>
      <c r="J583" s="8">
        <f>Player_Analysis!AG583</f>
        <v>0</v>
      </c>
      <c r="K583">
        <f>Player_Analysis!O583</f>
        <v>0.08</v>
      </c>
      <c r="L583">
        <f>Player_Analysis!P583</f>
        <v>0.06</v>
      </c>
      <c r="M583">
        <f t="shared" si="237"/>
        <v>3.6734693877551024E-2</v>
      </c>
      <c r="N583">
        <f t="shared" si="238"/>
        <v>2.7551020408163263E-2</v>
      </c>
      <c r="O583" s="2">
        <f>IF(E583=0,"",Player_Analysis!L583/E583*90)</f>
        <v>3.6734693877551017</v>
      </c>
      <c r="P583">
        <f>IF(E583=0,"",Player_Analysis!Q583/E583*90)</f>
        <v>6.4285714285714293E-2</v>
      </c>
      <c r="Q583">
        <f>IF(E583=0,"",(Player_Analysis!AD583/E583)*90)</f>
        <v>16.530612244897959</v>
      </c>
      <c r="R583">
        <f>IF(E583=0,"",Player_Analysis!AA583/E583*90)</f>
        <v>11.938775510204083</v>
      </c>
      <c r="S583" t="str">
        <f t="array" ref="S583">IFERROR(INDEX('2023_24'!$O:$O,MATCH($A583,'2023_24'!$A:$A,0)),"")</f>
        <v/>
      </c>
      <c r="T583" t="str">
        <f>IFERROR(INDEX('2024_25'!$P:$P,MATCH($A583,'2024_25'!$A:$A,0)),"")</f>
        <v/>
      </c>
      <c r="U583" t="str">
        <f>IFERROR(INDEX('2025_26'!$P:$P,MATCH($A583,'2025_26'!$A:$A,0)),"")</f>
        <v/>
      </c>
      <c r="V583" t="str">
        <f>IFERROR(INDEX('2023_24'!$P:$P,MATCH($A583,'2023_24'!$A:$A,0)),"")</f>
        <v/>
      </c>
      <c r="W583" t="str">
        <f>IFERROR(INDEX('2024_25'!$Q:$Q,MATCH($A583,'2024_25'!$A:$A,0)),"")</f>
        <v/>
      </c>
      <c r="X583" t="str">
        <f>IFERROR(INDEX('2025_26'!$Q:$Q,MATCH($A583,'2025_26'!$A:$A,0)),"")</f>
        <v/>
      </c>
      <c r="Y583" t="str">
        <f>IFERROR(INDEX('2023_24'!$M:$M,MATCH($A583,'2023_24'!$A:$A,0))/INDEX('2023_24'!$G:$G,MATCH($A583,'2023_24'!$A:$A,0))*90,"")</f>
        <v/>
      </c>
      <c r="Z583" t="str">
        <f>IFERROR(INDEX('2024_25'!$M:$M,MATCH($A583,'2024_25'!$A:$A,0))/INDEX('2024_25'!$G:$G,MATCH($A583,'2024_25'!$A:$A,0))*90,"")</f>
        <v/>
      </c>
      <c r="AA583" t="str">
        <f>IFERROR(INDEX('2025_26'!$M:$M,MATCH($A583,'2025_26'!$A:$A,0))/INDEX('2025_26'!$G:$G,MATCH($A583,'2025_26'!$A:$A,0))*90,"")</f>
        <v/>
      </c>
      <c r="AB583" t="str">
        <f>IFERROR(SUMPRODUCT(S583:U583,{0.2,0.3,0.5})/SUMPRODUCT(--(S583:U583&lt;&gt;""),{0.2,0.3,0.5}),"")</f>
        <v/>
      </c>
      <c r="AC583" t="str">
        <f>IFERROR(SUMPRODUCT(V583:X583,{0.2,0.3,0.5})/SUMPRODUCT(--(V583:X583&lt;&gt;""),{0.2,0.3,0.5}),"")</f>
        <v/>
      </c>
      <c r="AD583">
        <f>IFERROR(SUMPRODUCT(Y583:AA583,{0.2,0.3,0.5})/SUMPRODUCT((Y583:AA583&lt;&gt;"")*{0.2,0.3,0.5}),O583)</f>
        <v>3.6734693877551017</v>
      </c>
      <c r="AE583">
        <f t="shared" si="239"/>
        <v>0</v>
      </c>
      <c r="AF583">
        <f t="shared" si="240"/>
        <v>98</v>
      </c>
      <c r="AG583">
        <f t="shared" si="241"/>
        <v>3.6734693877551024E-2</v>
      </c>
      <c r="AH583">
        <f t="shared" si="242"/>
        <v>2.7551020408163263E-2</v>
      </c>
      <c r="AI583" s="2">
        <f t="shared" si="243"/>
        <v>3.6734693877551017</v>
      </c>
      <c r="AJ583">
        <f t="shared" si="244"/>
        <v>0.65333333333333332</v>
      </c>
      <c r="AK583" t="str">
        <f t="shared" si="245"/>
        <v>YES</v>
      </c>
      <c r="AL583">
        <f t="shared" si="246"/>
        <v>3.3735943356934618E-2</v>
      </c>
      <c r="AM583">
        <f t="shared" si="247"/>
        <v>2.5301957517700958E-2</v>
      </c>
      <c r="AN583">
        <f t="shared" si="248"/>
        <v>3.3735943356934618E-2</v>
      </c>
      <c r="AO583">
        <f t="shared" si="249"/>
        <v>2.5301957517700958E-2</v>
      </c>
      <c r="AP583">
        <f t="array" ref="AP583">AL583*IF($C583="GKP",10,IF($C583="DEF",6,IF($C583="MID",5,4)))</f>
        <v>0.16867971678467308</v>
      </c>
      <c r="AQ583">
        <f t="shared" si="250"/>
        <v>7.5905872553102882E-2</v>
      </c>
      <c r="AR583">
        <f t="shared" si="251"/>
        <v>1.8367346938775513</v>
      </c>
      <c r="AS583" s="2">
        <f>IF($H583=0,0,Player_Analysis!$AM583*$H583/90)</f>
        <v>0.45918367346938782</v>
      </c>
      <c r="AT583">
        <f t="shared" si="252"/>
        <v>1.8273635985006251</v>
      </c>
      <c r="AU583" s="2">
        <f>0</f>
        <v>0</v>
      </c>
      <c r="AV583" s="2">
        <f>IF(INDEX(FPL_Raw_Data!K:K,MATCH(A583,FPL_Raw_Data!AA:AA,0))=0,"",INDEX(FPL_Raw_Data!P:P,MATCH(A583,FPL_Raw_Data!AA:AA,0))/INDEX(FPL_Raw_Data!K:K,MATCH(A583,FPL_Raw_Data!AA:AA,0))*90)</f>
        <v>0</v>
      </c>
      <c r="AW583" s="2">
        <f t="shared" si="253"/>
        <v>0</v>
      </c>
      <c r="AX583" s="2">
        <f>IFERROR(INDEX(TEAM_ANALYSIS!$H$2:$H$21,MATCH($B583,TEAM_ANALYSIS!$A$2:$A$21,0)),0)</f>
        <v>1</v>
      </c>
      <c r="AY583" s="2">
        <f t="shared" si="254"/>
        <v>0</v>
      </c>
      <c r="AZ583" s="2">
        <f t="shared" si="255"/>
        <v>4.3678675551853399</v>
      </c>
      <c r="BA583">
        <f t="shared" si="256"/>
        <v>0.87357351103706793</v>
      </c>
      <c r="BB583">
        <f>IFERROR(Player_Analysis!$Y583,1)</f>
        <v>0.87800173010380622</v>
      </c>
      <c r="BC583">
        <f t="shared" si="257"/>
        <v>3.8349952703170107</v>
      </c>
      <c r="BD583">
        <f t="shared" si="258"/>
        <v>3.3501502831013803</v>
      </c>
      <c r="BE583">
        <f t="shared" si="259"/>
        <v>3.8349952703170107</v>
      </c>
      <c r="BF583">
        <f t="shared" si="260"/>
        <v>168</v>
      </c>
      <c r="BG583">
        <f>IF($BE583="","",COUNTIFS($C$2:$C$596,$C583,$BE$2:$BE$596,"&gt;"&amp;$BE583)+COUNTIFS($C$2:$C583,$C583,$BE$2:$BE583,$BE583))</f>
        <v>86</v>
      </c>
    </row>
    <row r="584" spans="1:59" x14ac:dyDescent="0.25">
      <c r="A584" t="str">
        <f>Player_Analysis!A584</f>
        <v>Ousmane Diomande</v>
      </c>
      <c r="B584">
        <f>Player_Analysis!C584</f>
        <v>18</v>
      </c>
      <c r="C584" t="str">
        <f>Player_Analysis!B584</f>
        <v>DEF</v>
      </c>
      <c r="D584" s="13">
        <f>Player_Analysis!E584</f>
        <v>5.4</v>
      </c>
      <c r="E584">
        <f>Player_Analysis!I584</f>
        <v>1</v>
      </c>
      <c r="F584" s="8">
        <f>Player_Analysis!Z584</f>
        <v>0</v>
      </c>
      <c r="G584" s="17">
        <f t="shared" si="235"/>
        <v>0</v>
      </c>
      <c r="H584">
        <f t="shared" si="236"/>
        <v>0</v>
      </c>
      <c r="I584" s="8">
        <f>Player_Analysis!AF584</f>
        <v>0</v>
      </c>
      <c r="J584" s="8">
        <f>Player_Analysis!AG584</f>
        <v>0</v>
      </c>
      <c r="K584">
        <f>Player_Analysis!O584</f>
        <v>0</v>
      </c>
      <c r="L584">
        <f>Player_Analysis!P584</f>
        <v>0</v>
      </c>
      <c r="M584">
        <f t="shared" si="237"/>
        <v>0</v>
      </c>
      <c r="N584">
        <f t="shared" si="238"/>
        <v>0</v>
      </c>
      <c r="O584" s="2">
        <f>IF(E584=0,"",Player_Analysis!L584/E584*90)</f>
        <v>90</v>
      </c>
      <c r="P584">
        <f>IF(E584=0,"",Player_Analysis!Q584/E584*90)</f>
        <v>0</v>
      </c>
      <c r="Q584">
        <f>IF(E584=0,"",(Player_Analysis!AD584/E584)*90)</f>
        <v>270</v>
      </c>
      <c r="R584">
        <f>IF(E584=0,"",Player_Analysis!AA584/E584*90)</f>
        <v>0</v>
      </c>
      <c r="S584" t="str">
        <f t="array" ref="S584">IFERROR(INDEX('2023_24'!$O:$O,MATCH($A584,'2023_24'!$A:$A,0)),"")</f>
        <v/>
      </c>
      <c r="T584" t="str">
        <f>IFERROR(INDEX('2024_25'!$P:$P,MATCH($A584,'2024_25'!$A:$A,0)),"")</f>
        <v/>
      </c>
      <c r="U584" t="str">
        <f>IFERROR(INDEX('2025_26'!$P:$P,MATCH($A584,'2025_26'!$A:$A,0)),"")</f>
        <v/>
      </c>
      <c r="V584" t="str">
        <f>IFERROR(INDEX('2023_24'!$P:$P,MATCH($A584,'2023_24'!$A:$A,0)),"")</f>
        <v/>
      </c>
      <c r="W584" t="str">
        <f>IFERROR(INDEX('2024_25'!$Q:$Q,MATCH($A584,'2024_25'!$A:$A,0)),"")</f>
        <v/>
      </c>
      <c r="X584" t="str">
        <f>IFERROR(INDEX('2025_26'!$Q:$Q,MATCH($A584,'2025_26'!$A:$A,0)),"")</f>
        <v/>
      </c>
      <c r="Y584" t="str">
        <f>IFERROR(INDEX('2023_24'!$M:$M,MATCH($A584,'2023_24'!$A:$A,0))/INDEX('2023_24'!$G:$G,MATCH($A584,'2023_24'!$A:$A,0))*90,"")</f>
        <v/>
      </c>
      <c r="Z584" t="str">
        <f>IFERROR(INDEX('2024_25'!$M:$M,MATCH($A584,'2024_25'!$A:$A,0))/INDEX('2024_25'!$G:$G,MATCH($A584,'2024_25'!$A:$A,0))*90,"")</f>
        <v/>
      </c>
      <c r="AA584" t="str">
        <f>IFERROR(INDEX('2025_26'!$M:$M,MATCH($A584,'2025_26'!$A:$A,0))/INDEX('2025_26'!$G:$G,MATCH($A584,'2025_26'!$A:$A,0))*90,"")</f>
        <v/>
      </c>
      <c r="AB584" t="str">
        <f>IFERROR(SUMPRODUCT(S584:U584,{0.2,0.3,0.5})/SUMPRODUCT(--(S584:U584&lt;&gt;""),{0.2,0.3,0.5}),"")</f>
        <v/>
      </c>
      <c r="AC584" t="str">
        <f>IFERROR(SUMPRODUCT(V584:X584,{0.2,0.3,0.5})/SUMPRODUCT(--(V584:X584&lt;&gt;""),{0.2,0.3,0.5}),"")</f>
        <v/>
      </c>
      <c r="AD584">
        <f>IFERROR(SUMPRODUCT(Y584:AA584,{0.2,0.3,0.5})/SUMPRODUCT((Y584:AA584&lt;&gt;"")*{0.2,0.3,0.5}),O584)</f>
        <v>90</v>
      </c>
      <c r="AE584">
        <f t="shared" si="239"/>
        <v>0</v>
      </c>
      <c r="AF584" t="str">
        <f t="shared" si="240"/>
        <v/>
      </c>
      <c r="AG584">
        <f t="shared" si="241"/>
        <v>0</v>
      </c>
      <c r="AH584">
        <f t="shared" si="242"/>
        <v>0</v>
      </c>
      <c r="AI584" s="2">
        <f t="shared" si="243"/>
        <v>90</v>
      </c>
      <c r="AJ584">
        <f t="shared" si="244"/>
        <v>3.3333333333333335E-3</v>
      </c>
      <c r="AK584" t="str">
        <f t="shared" si="245"/>
        <v>YES</v>
      </c>
      <c r="AL584">
        <f t="shared" si="246"/>
        <v>0</v>
      </c>
      <c r="AM584">
        <f t="shared" si="247"/>
        <v>0</v>
      </c>
      <c r="AN584">
        <f t="shared" si="248"/>
        <v>0</v>
      </c>
      <c r="AO584">
        <f t="shared" si="249"/>
        <v>0</v>
      </c>
      <c r="AP584">
        <f t="array" ref="AP584">AL584*IF($C584="GKP",10,IF($C584="DEF",6,IF($C584="MID",5,4)))</f>
        <v>0</v>
      </c>
      <c r="AQ584">
        <f t="shared" si="250"/>
        <v>0</v>
      </c>
      <c r="AR584">
        <f t="shared" si="251"/>
        <v>0</v>
      </c>
      <c r="AS584" s="2">
        <f>IF($H584=0,0,Player_Analysis!$AM584*$H584/90)</f>
        <v>0</v>
      </c>
      <c r="AT584">
        <f t="shared" si="252"/>
        <v>0</v>
      </c>
      <c r="AU584" s="2">
        <f>0</f>
        <v>0</v>
      </c>
      <c r="AV584" s="2">
        <f>IF(INDEX(FPL_Raw_Data!K:K,MATCH(A584,FPL_Raw_Data!AA:AA,0))=0,"",INDEX(FPL_Raw_Data!P:P,MATCH(A584,FPL_Raw_Data!AA:AA,0))/INDEX(FPL_Raw_Data!K:K,MATCH(A584,FPL_Raw_Data!AA:AA,0))*90)</f>
        <v>0</v>
      </c>
      <c r="AW584" s="2">
        <f t="shared" si="253"/>
        <v>0</v>
      </c>
      <c r="AX584" s="2">
        <f>IFERROR(INDEX(TEAM_ANALYSIS!$H$2:$H$21,MATCH($B584,TEAM_ANALYSIS!$A$2:$A$21,0)),0)</f>
        <v>1</v>
      </c>
      <c r="AY584" s="2">
        <f t="shared" si="254"/>
        <v>-0.5</v>
      </c>
      <c r="AZ584" s="2">
        <f t="shared" si="255"/>
        <v>-0.5</v>
      </c>
      <c r="BA584">
        <f t="shared" si="256"/>
        <v>-9.2592592592592587E-2</v>
      </c>
      <c r="BB584">
        <f>IFERROR(Player_Analysis!$Y584,1)</f>
        <v>1.1658368376787216</v>
      </c>
      <c r="BC584">
        <f t="shared" si="257"/>
        <v>-0.5829184188393608</v>
      </c>
      <c r="BD584">
        <f t="shared" si="258"/>
        <v>5.3973927670311179E-2</v>
      </c>
      <c r="BE584">
        <f t="shared" si="259"/>
        <v>-0.5829184188393608</v>
      </c>
      <c r="BF584">
        <f t="shared" si="260"/>
        <v>530</v>
      </c>
      <c r="BG584">
        <f>IF($BE584="","",COUNTIFS($C$2:$C$596,$C584,$BE$2:$BE$596,"&gt;"&amp;$BE584)+COUNTIFS($C$2:$C584,$C584,$BE$2:$BE584,$BE584))</f>
        <v>133</v>
      </c>
    </row>
    <row r="585" spans="1:59" x14ac:dyDescent="0.25">
      <c r="A585" t="str">
        <f>Player_Analysis!A585</f>
        <v>Steven Benda</v>
      </c>
      <c r="B585">
        <f>Player_Analysis!C585</f>
        <v>18</v>
      </c>
      <c r="C585" t="str">
        <f>Player_Analysis!B585</f>
        <v>GK</v>
      </c>
      <c r="D585" s="13">
        <f>Player_Analysis!E585</f>
        <v>4.5</v>
      </c>
      <c r="E585">
        <f>Player_Analysis!I585</f>
        <v>0</v>
      </c>
      <c r="F585" s="8">
        <f>Player_Analysis!Z585</f>
        <v>0</v>
      </c>
      <c r="G585" s="17">
        <f t="shared" si="235"/>
        <v>0</v>
      </c>
      <c r="H585">
        <f t="shared" si="236"/>
        <v>0</v>
      </c>
      <c r="I585" s="8">
        <f>Player_Analysis!AF585</f>
        <v>0</v>
      </c>
      <c r="J585" s="8">
        <f>Player_Analysis!AG585</f>
        <v>0</v>
      </c>
      <c r="K585">
        <f>Player_Analysis!O585</f>
        <v>0</v>
      </c>
      <c r="L585">
        <f>Player_Analysis!P585</f>
        <v>0</v>
      </c>
      <c r="M585" t="str">
        <f t="shared" si="237"/>
        <v/>
      </c>
      <c r="N585" t="str">
        <f t="shared" si="238"/>
        <v/>
      </c>
      <c r="O585" s="2" t="str">
        <f>IF(E585=0,"",Player_Analysis!L585/E585*90)</f>
        <v/>
      </c>
      <c r="P585" t="str">
        <f>IF(E585=0,"",Player_Analysis!Q585/E585*90)</f>
        <v/>
      </c>
      <c r="Q585" t="str">
        <f>IF(E585=0,"",(Player_Analysis!AD585/E585)*90)</f>
        <v/>
      </c>
      <c r="R585" t="str">
        <f>IF(E585=0,"",Player_Analysis!AA585/E585*90)</f>
        <v/>
      </c>
      <c r="S585">
        <f t="array" ref="S585">IFERROR(INDEX('2023_24'!$O:$O,MATCH($A585,'2023_24'!$A:$A,0)),"")</f>
        <v>0</v>
      </c>
      <c r="T585">
        <f>IFERROR(INDEX('2024_25'!$P:$P,MATCH($A585,'2024_25'!$A:$A,0)),"")</f>
        <v>0</v>
      </c>
      <c r="U585">
        <f>IFERROR(INDEX('2025_26'!$P:$P,MATCH($A585,'2025_26'!$A:$A,0)),"")</f>
        <v>0</v>
      </c>
      <c r="V585">
        <f>IFERROR(INDEX('2023_24'!$P:$P,MATCH($A585,'2023_24'!$A:$A,0)),"")</f>
        <v>0</v>
      </c>
      <c r="W585">
        <f>IFERROR(INDEX('2024_25'!$Q:$Q,MATCH($A585,'2024_25'!$A:$A,0)),"")</f>
        <v>0</v>
      </c>
      <c r="X585">
        <f>IFERROR(INDEX('2025_26'!$Q:$Q,MATCH($A585,'2025_26'!$A:$A,0)),"")</f>
        <v>0</v>
      </c>
      <c r="Y585" t="str">
        <f>IFERROR(INDEX('2023_24'!$M:$M,MATCH($A585,'2023_24'!$A:$A,0))/INDEX('2023_24'!$G:$G,MATCH($A585,'2023_24'!$A:$A,0))*90,"")</f>
        <v/>
      </c>
      <c r="Z585" t="str">
        <f>IFERROR(INDEX('2024_25'!$M:$M,MATCH($A585,'2024_25'!$A:$A,0))/INDEX('2024_25'!$G:$G,MATCH($A585,'2024_25'!$A:$A,0))*90,"")</f>
        <v/>
      </c>
      <c r="AA585" t="str">
        <f>IFERROR(INDEX('2025_26'!$M:$M,MATCH($A585,'2025_26'!$A:$A,0))/INDEX('2025_26'!$G:$G,MATCH($A585,'2025_26'!$A:$A,0))*90,"")</f>
        <v/>
      </c>
      <c r="AB585">
        <f>IFERROR(SUMPRODUCT(S585:U585,{0.2,0.3,0.5})/SUMPRODUCT(--(S585:U585&lt;&gt;""),{0.2,0.3,0.5}),"")</f>
        <v>0</v>
      </c>
      <c r="AC585">
        <f>IFERROR(SUMPRODUCT(V585:X585,{0.2,0.3,0.5})/SUMPRODUCT(--(V585:X585&lt;&gt;""),{0.2,0.3,0.5}),"")</f>
        <v>0</v>
      </c>
      <c r="AD585" t="str">
        <f>IFERROR(SUMPRODUCT(Y585:AA585,{0.2,0.3,0.5})/SUMPRODUCT((Y585:AA585&lt;&gt;"")*{0.2,0.3,0.5}),O585)</f>
        <v/>
      </c>
      <c r="AE585">
        <f t="shared" si="239"/>
        <v>3</v>
      </c>
      <c r="AF585" t="str">
        <f t="shared" si="240"/>
        <v/>
      </c>
      <c r="AG585">
        <f t="shared" si="241"/>
        <v>0</v>
      </c>
      <c r="AH585">
        <f t="shared" si="242"/>
        <v>0</v>
      </c>
      <c r="AI585" s="2">
        <f t="shared" si="243"/>
        <v>0</v>
      </c>
      <c r="AJ585">
        <f t="shared" si="244"/>
        <v>0</v>
      </c>
      <c r="AK585" t="str">
        <f t="shared" si="245"/>
        <v>NO</v>
      </c>
      <c r="AL585">
        <f t="shared" si="246"/>
        <v>0</v>
      </c>
      <c r="AM585">
        <f t="shared" si="247"/>
        <v>0</v>
      </c>
      <c r="AN585">
        <f t="shared" si="248"/>
        <v>0</v>
      </c>
      <c r="AO585">
        <f t="shared" si="249"/>
        <v>0</v>
      </c>
      <c r="AP585">
        <f t="array" ref="AP585">AL585*IF($C585="GKP",10,IF($C585="DEF",6,IF($C585="MID",5,4)))</f>
        <v>0</v>
      </c>
      <c r="AQ585">
        <f t="shared" si="250"/>
        <v>0</v>
      </c>
      <c r="AR585">
        <f t="shared" si="251"/>
        <v>0</v>
      </c>
      <c r="AS585" s="2">
        <f>IF($H585=0,0,Player_Analysis!$AM585*$H585/90)</f>
        <v>0</v>
      </c>
      <c r="AT585">
        <f t="shared" si="252"/>
        <v>0</v>
      </c>
      <c r="AU585" s="2">
        <f>0</f>
        <v>0</v>
      </c>
      <c r="AV585" s="2" t="str">
        <f>IF(INDEX(FPL_Raw_Data!K:K,MATCH(A585,FPL_Raw_Data!AA:AA,0))=0,"",INDEX(FPL_Raw_Data!P:P,MATCH(A585,FPL_Raw_Data!AA:AA,0))/INDEX(FPL_Raw_Data!K:K,MATCH(A585,FPL_Raw_Data!AA:AA,0))*90)</f>
        <v/>
      </c>
      <c r="AW585" s="2">
        <f t="shared" si="253"/>
        <v>0</v>
      </c>
      <c r="AX585" s="2">
        <f>IFERROR(INDEX(TEAM_ANALYSIS!$H$2:$H$21,MATCH($B585,TEAM_ANALYSIS!$A$2:$A$21,0)),0)</f>
        <v>1</v>
      </c>
      <c r="AY585" s="2">
        <f t="shared" si="254"/>
        <v>0</v>
      </c>
      <c r="AZ585" s="2">
        <f t="shared" si="255"/>
        <v>0</v>
      </c>
      <c r="BA585">
        <f t="shared" si="256"/>
        <v>0</v>
      </c>
      <c r="BB585">
        <f>IFERROR(Player_Analysis!$Y585,1)</f>
        <v>1.1658368376787216</v>
      </c>
      <c r="BC585">
        <f t="shared" si="257"/>
        <v>0</v>
      </c>
      <c r="BD585">
        <f t="shared" si="258"/>
        <v>0</v>
      </c>
      <c r="BE585">
        <f t="shared" si="259"/>
        <v>0</v>
      </c>
      <c r="BF585">
        <f t="shared" si="260"/>
        <v>253</v>
      </c>
      <c r="BG585">
        <f>IF($BE585="","",COUNTIFS($C$2:$C$596,$C585,$BE$2:$BE$596,"&gt;"&amp;$BE585)+COUNTIFS($C$2:$C585,$C585,$BE$2:$BE585,$BE585))</f>
        <v>65</v>
      </c>
    </row>
    <row r="586" spans="1:59" x14ac:dyDescent="0.25">
      <c r="A586" t="str">
        <f>Player_Analysis!A586</f>
        <v>Jan Paul van Hecke</v>
      </c>
      <c r="B586">
        <f>Player_Analysis!C586</f>
        <v>19</v>
      </c>
      <c r="C586" t="str">
        <f>Player_Analysis!B586</f>
        <v>DEF</v>
      </c>
      <c r="D586" s="13">
        <f>Player_Analysis!E586</f>
        <v>4.9000000000000004</v>
      </c>
      <c r="E586">
        <f>Player_Analysis!I586</f>
        <v>270</v>
      </c>
      <c r="F586" s="8">
        <f>Player_Analysis!Z586</f>
        <v>3</v>
      </c>
      <c r="G586" s="17">
        <f t="shared" si="235"/>
        <v>1</v>
      </c>
      <c r="H586">
        <f t="shared" si="236"/>
        <v>90</v>
      </c>
      <c r="I586" s="8">
        <f>Player_Analysis!AF586</f>
        <v>0</v>
      </c>
      <c r="J586" s="8">
        <f>Player_Analysis!AG586</f>
        <v>0</v>
      </c>
      <c r="K586">
        <f>Player_Analysis!O586</f>
        <v>0.2</v>
      </c>
      <c r="L586">
        <f>Player_Analysis!P586</f>
        <v>7.0000000000000007E-2</v>
      </c>
      <c r="M586">
        <f t="shared" si="237"/>
        <v>6.666666666666668E-2</v>
      </c>
      <c r="N586">
        <f t="shared" si="238"/>
        <v>2.3333333333333334E-2</v>
      </c>
      <c r="O586" s="2">
        <f>IF(E586=0,"",Player_Analysis!L586/E586*90)</f>
        <v>3.333333333333333</v>
      </c>
      <c r="P586">
        <f>IF(E586=0,"",Player_Analysis!Q586/E586*90)</f>
        <v>0.09</v>
      </c>
      <c r="Q586">
        <f>IF(E586=0,"",(Player_Analysis!AD586/E586)*90)</f>
        <v>13.666666666666666</v>
      </c>
      <c r="R586">
        <f>IF(E586=0,"",Player_Analysis!AA586/E586*90)</f>
        <v>7</v>
      </c>
      <c r="S586">
        <f t="array" ref="S586">IFERROR(INDEX('2023_24'!$O:$O,MATCH($A586,'2023_24'!$A:$A,0)),"")</f>
        <v>5.3969594594594592E-2</v>
      </c>
      <c r="T586">
        <f>IFERROR(INDEX('2024_25'!$P:$P,MATCH($A586,'2024_25'!$A:$A,0)),"")</f>
        <v>4.0135135135135135E-2</v>
      </c>
      <c r="U586">
        <f>IFERROR(INDEX('2025_26'!$P:$P,MATCH($A586,'2025_26'!$A:$A,0)),"")</f>
        <v>9.2803738317757012E-2</v>
      </c>
      <c r="V586">
        <f>IFERROR(INDEX('2023_24'!$P:$P,MATCH($A586,'2023_24'!$A:$A,0)),"")</f>
        <v>3.5346283783783787E-2</v>
      </c>
      <c r="W586">
        <f>IFERROR(INDEX('2024_25'!$Q:$Q,MATCH($A586,'2024_25'!$A:$A,0)),"")</f>
        <v>4.2871621621621614E-2</v>
      </c>
      <c r="X586">
        <f>IFERROR(INDEX('2025_26'!$Q:$Q,MATCH($A586,'2025_26'!$A:$A,0)),"")</f>
        <v>4.4018691588785047E-2</v>
      </c>
      <c r="Y586">
        <f>IFERROR(INDEX('2023_24'!$M:$M,MATCH($A586,'2023_24'!$A:$A,0))/INDEX('2023_24'!$G:$G,MATCH($A586,'2023_24'!$A:$A,0))*90,"")</f>
        <v>2.3184121621621623</v>
      </c>
      <c r="Z586">
        <f>IFERROR(INDEX('2024_25'!$M:$M,MATCH($A586,'2024_25'!$A:$A,0))/INDEX('2024_25'!$G:$G,MATCH($A586,'2024_25'!$A:$A,0))*90,"")</f>
        <v>2.6452702702702706</v>
      </c>
      <c r="AA586">
        <f>IFERROR(INDEX('2025_26'!$M:$M,MATCH($A586,'2025_26'!$A:$A,0))/INDEX('2025_26'!$G:$G,MATCH($A586,'2025_26'!$A:$A,0))*90,"")</f>
        <v>4.1495327102803738</v>
      </c>
      <c r="AB586">
        <f>IFERROR(SUMPRODUCT(S586:U586,{0.2,0.3,0.5})/SUMPRODUCT(--(S586:U586&lt;&gt;""),{0.2,0.3,0.5}),"")</f>
        <v>6.9236328618337964E-2</v>
      </c>
      <c r="AC586">
        <f>IFERROR(SUMPRODUCT(V586:X586,{0.2,0.3,0.5})/SUMPRODUCT(--(V586:X586&lt;&gt;""),{0.2,0.3,0.5}),"")</f>
        <v>4.1940089037635762E-2</v>
      </c>
      <c r="AD586">
        <f>IFERROR(SUMPRODUCT(Y586:AA586,{0.2,0.3,0.5})/SUMPRODUCT((Y586:AA586&lt;&gt;"")*{0.2,0.3,0.5}),O586)</f>
        <v>3.3320298686537004</v>
      </c>
      <c r="AE586">
        <f t="shared" si="239"/>
        <v>3</v>
      </c>
      <c r="AF586">
        <f t="shared" si="240"/>
        <v>90</v>
      </c>
      <c r="AG586">
        <f t="shared" si="241"/>
        <v>6.6923632861833809E-2</v>
      </c>
      <c r="AH586">
        <f t="shared" si="242"/>
        <v>2.5194008903763575E-2</v>
      </c>
      <c r="AI586" s="2">
        <f t="shared" si="243"/>
        <v>3.3332029868653699</v>
      </c>
      <c r="AJ586">
        <f t="shared" si="244"/>
        <v>0.9</v>
      </c>
      <c r="AK586" t="str">
        <f t="shared" si="245"/>
        <v>NO</v>
      </c>
      <c r="AL586">
        <f t="shared" si="246"/>
        <v>6.6923632861833809E-2</v>
      </c>
      <c r="AM586">
        <f t="shared" si="247"/>
        <v>2.5194008903763575E-2</v>
      </c>
      <c r="AN586">
        <f t="shared" si="248"/>
        <v>6.6923632861833809E-2</v>
      </c>
      <c r="AO586">
        <f t="shared" si="249"/>
        <v>2.5194008903763575E-2</v>
      </c>
      <c r="AP586">
        <f t="array" ref="AP586">AL586*IF($C586="GKP",10,IF($C586="DEF",6,IF($C586="MID",5,4)))</f>
        <v>0.40154179717100286</v>
      </c>
      <c r="AQ586">
        <f t="shared" si="250"/>
        <v>7.5582026711290717E-2</v>
      </c>
      <c r="AR586">
        <f t="shared" si="251"/>
        <v>2</v>
      </c>
      <c r="AS586" s="2">
        <f>IF($H586=0,0,Player_Analysis!$AM586*$H586/90)</f>
        <v>1.3333333333333333</v>
      </c>
      <c r="AT586">
        <f t="shared" si="252"/>
        <v>1.4</v>
      </c>
      <c r="AU586" s="2">
        <f>0</f>
        <v>0</v>
      </c>
      <c r="AV586" s="2">
        <f>IF(INDEX(FPL_Raw_Data!K:K,MATCH(A586,FPL_Raw_Data!AA:AA,0))=0,"",INDEX(FPL_Raw_Data!P:P,MATCH(A586,FPL_Raw_Data!AA:AA,0))/INDEX(FPL_Raw_Data!K:K,MATCH(A586,FPL_Raw_Data!AA:AA,0))*90)</f>
        <v>0</v>
      </c>
      <c r="AW586" s="2">
        <f t="shared" si="253"/>
        <v>0</v>
      </c>
      <c r="AX586" s="2">
        <f>IFERROR(INDEX(TEAM_ANALYSIS!$H$2:$H$21,MATCH($B586,TEAM_ANALYSIS!$A$2:$A$21,0)),0)</f>
        <v>1.6666666666666667</v>
      </c>
      <c r="AY586" s="2">
        <f t="shared" si="254"/>
        <v>-0.83333333333333337</v>
      </c>
      <c r="AZ586" s="2">
        <f t="shared" si="255"/>
        <v>4.377123823882294</v>
      </c>
      <c r="BA586">
        <f t="shared" si="256"/>
        <v>0.89329057630250897</v>
      </c>
      <c r="BB586">
        <f>IFERROR(Player_Analysis!$Y586,1)</f>
        <v>0.97332359386413447</v>
      </c>
      <c r="BC586">
        <f t="shared" si="257"/>
        <v>4.2603578910494369</v>
      </c>
      <c r="BD586">
        <f t="shared" si="258"/>
        <v>3.8057375557504933</v>
      </c>
      <c r="BE586">
        <f t="shared" si="259"/>
        <v>4.2603578910494369</v>
      </c>
      <c r="BF586">
        <f t="shared" si="260"/>
        <v>139</v>
      </c>
      <c r="BG586">
        <f>IF($BE586="","",COUNTIFS($C$2:$C$596,$C586,$BE$2:$BE$596,"&gt;"&amp;$BE586)+COUNTIFS($C$2:$C586,$C586,$BE$2:$BE586,$BE586))</f>
        <v>47</v>
      </c>
    </row>
    <row r="587" spans="1:59" x14ac:dyDescent="0.25">
      <c r="A587" t="str">
        <f>Player_Analysis!A587</f>
        <v>Tosin Adarabioyo</v>
      </c>
      <c r="B587">
        <f>Player_Analysis!C587</f>
        <v>19</v>
      </c>
      <c r="C587" t="str">
        <f>Player_Analysis!B587</f>
        <v>DEF</v>
      </c>
      <c r="D587" s="13">
        <f>Player_Analysis!E587</f>
        <v>4.4000000000000004</v>
      </c>
      <c r="E587">
        <f>Player_Analysis!I587</f>
        <v>0</v>
      </c>
      <c r="F587" s="8">
        <f>Player_Analysis!Z587</f>
        <v>0</v>
      </c>
      <c r="G587" s="17">
        <f t="shared" si="235"/>
        <v>0</v>
      </c>
      <c r="H587">
        <f t="shared" si="236"/>
        <v>0</v>
      </c>
      <c r="I587" s="8">
        <f>Player_Analysis!AF587</f>
        <v>0</v>
      </c>
      <c r="J587" s="8">
        <f>Player_Analysis!AG587</f>
        <v>0</v>
      </c>
      <c r="K587">
        <f>Player_Analysis!O587</f>
        <v>0</v>
      </c>
      <c r="L587">
        <f>Player_Analysis!P587</f>
        <v>0</v>
      </c>
      <c r="M587" t="str">
        <f t="shared" si="237"/>
        <v/>
      </c>
      <c r="N587" t="str">
        <f t="shared" si="238"/>
        <v/>
      </c>
      <c r="O587" s="2" t="str">
        <f>IF(E587=0,"",Player_Analysis!L587/E587*90)</f>
        <v/>
      </c>
      <c r="P587" t="str">
        <f>IF(E587=0,"",Player_Analysis!Q587/E587*90)</f>
        <v/>
      </c>
      <c r="Q587" t="str">
        <f>IF(E587=0,"",(Player_Analysis!AD587/E587)*90)</f>
        <v/>
      </c>
      <c r="R587" t="str">
        <f>IF(E587=0,"",Player_Analysis!AA587/E587*90)</f>
        <v/>
      </c>
      <c r="S587">
        <f t="array" ref="S587">IFERROR(INDEX('2023_24'!$O:$O,MATCH($A587,'2023_24'!$A:$A,0)),"")</f>
        <v>4.3440594059405938E-2</v>
      </c>
      <c r="T587">
        <f>IFERROR(INDEX('2024_25'!$P:$P,MATCH($A587,'2024_25'!$A:$A,0)),"")</f>
        <v>5.9657875980042768E-2</v>
      </c>
      <c r="U587">
        <f>IFERROR(INDEX('2025_26'!$P:$P,MATCH($A587,'2025_26'!$A:$A,0)),"")</f>
        <v>1.2563451776649746E-2</v>
      </c>
      <c r="V587">
        <f>IFERROR(INDEX('2023_24'!$P:$P,MATCH($A587,'2023_24'!$A:$A,0)),"")</f>
        <v>1.7821782178217824E-2</v>
      </c>
      <c r="W587">
        <f>IFERROR(INDEX('2024_25'!$Q:$Q,MATCH($A587,'2024_25'!$A:$A,0)),"")</f>
        <v>1.4754098360655738E-2</v>
      </c>
      <c r="X587">
        <f>IFERROR(INDEX('2025_26'!$Q:$Q,MATCH($A587,'2025_26'!$A:$A,0)),"")</f>
        <v>4.5685279187817264E-2</v>
      </c>
      <c r="Y587">
        <f>IFERROR(INDEX('2023_24'!$M:$M,MATCH($A587,'2023_24'!$A:$A,0))/INDEX('2023_24'!$G:$G,MATCH($A587,'2023_24'!$A:$A,0))*90,"")</f>
        <v>3.6757425742574257</v>
      </c>
      <c r="Z587">
        <f>IFERROR(INDEX('2024_25'!$M:$M,MATCH($A587,'2024_25'!$A:$A,0))/INDEX('2024_25'!$G:$G,MATCH($A587,'2024_25'!$A:$A,0))*90,"")</f>
        <v>4.5545260156806844</v>
      </c>
      <c r="AA587">
        <f>IFERROR(INDEX('2025_26'!$M:$M,MATCH($A587,'2025_26'!$A:$A,0))/INDEX('2025_26'!$G:$G,MATCH($A587,'2025_26'!$A:$A,0))*90,"")</f>
        <v>3.8832487309644668</v>
      </c>
      <c r="AB587">
        <f>IFERROR(SUMPRODUCT(S587:U587,{0.2,0.3,0.5})/SUMPRODUCT(--(S587:U587&lt;&gt;""),{0.2,0.3,0.5}),"")</f>
        <v>3.286720749421889E-2</v>
      </c>
      <c r="AC587">
        <f>IFERROR(SUMPRODUCT(V587:X587,{0.2,0.3,0.5})/SUMPRODUCT(--(V587:X587&lt;&gt;""),{0.2,0.3,0.5}),"")</f>
        <v>3.0833225537748917E-2</v>
      </c>
      <c r="AD587">
        <f>IFERROR(SUMPRODUCT(Y587:AA587,{0.2,0.3,0.5})/SUMPRODUCT((Y587:AA587&lt;&gt;"")*{0.2,0.3,0.5}),O587)</f>
        <v>4.0431306850379238</v>
      </c>
      <c r="AE587">
        <f t="shared" si="239"/>
        <v>3</v>
      </c>
      <c r="AF587" t="str">
        <f t="shared" si="240"/>
        <v/>
      </c>
      <c r="AG587">
        <f t="shared" si="241"/>
        <v>3.286720749421889E-2</v>
      </c>
      <c r="AH587">
        <f t="shared" si="242"/>
        <v>3.0833225537748917E-2</v>
      </c>
      <c r="AI587" s="2">
        <f t="shared" si="243"/>
        <v>4.0431306850379238</v>
      </c>
      <c r="AJ587">
        <f t="shared" si="244"/>
        <v>0</v>
      </c>
      <c r="AK587" t="str">
        <f t="shared" si="245"/>
        <v>NO</v>
      </c>
      <c r="AL587">
        <f t="shared" si="246"/>
        <v>0</v>
      </c>
      <c r="AM587">
        <f t="shared" si="247"/>
        <v>0</v>
      </c>
      <c r="AN587">
        <f t="shared" si="248"/>
        <v>0</v>
      </c>
      <c r="AO587">
        <f t="shared" si="249"/>
        <v>0</v>
      </c>
      <c r="AP587">
        <f t="array" ref="AP587">AL587*IF($C587="GKP",10,IF($C587="DEF",6,IF($C587="MID",5,4)))</f>
        <v>0</v>
      </c>
      <c r="AQ587">
        <f t="shared" si="250"/>
        <v>0</v>
      </c>
      <c r="AR587">
        <f t="shared" si="251"/>
        <v>0</v>
      </c>
      <c r="AS587" s="2">
        <f>IF($H587=0,0,Player_Analysis!$AM587*$H587/90)</f>
        <v>0</v>
      </c>
      <c r="AT587">
        <f t="shared" si="252"/>
        <v>0</v>
      </c>
      <c r="AU587" s="2">
        <f>0</f>
        <v>0</v>
      </c>
      <c r="AV587" s="2" t="str">
        <f>IF(INDEX(FPL_Raw_Data!K:K,MATCH(A587,FPL_Raw_Data!AA:AA,0))=0,"",INDEX(FPL_Raw_Data!P:P,MATCH(A587,FPL_Raw_Data!AA:AA,0))/INDEX(FPL_Raw_Data!K:K,MATCH(A587,FPL_Raw_Data!AA:AA,0))*90)</f>
        <v/>
      </c>
      <c r="AW587" s="2">
        <f t="shared" si="253"/>
        <v>0</v>
      </c>
      <c r="AX587" s="2">
        <f>IFERROR(INDEX(TEAM_ANALYSIS!$H$2:$H$21,MATCH($B587,TEAM_ANALYSIS!$A$2:$A$21,0)),0)</f>
        <v>1.6666666666666667</v>
      </c>
      <c r="AY587" s="2">
        <f t="shared" si="254"/>
        <v>-0.83333333333333337</v>
      </c>
      <c r="AZ587" s="2">
        <f t="shared" si="255"/>
        <v>-0.83333333333333337</v>
      </c>
      <c r="BA587">
        <f t="shared" si="256"/>
        <v>-0.18939393939393939</v>
      </c>
      <c r="BB587">
        <f>IFERROR(Player_Analysis!$Y587,1)</f>
        <v>0.97332359386413447</v>
      </c>
      <c r="BC587">
        <f t="shared" si="257"/>
        <v>-0.81110299488677873</v>
      </c>
      <c r="BD587">
        <f t="shared" si="258"/>
        <v>0.1536179914558293</v>
      </c>
      <c r="BE587">
        <f t="shared" si="259"/>
        <v>-0.81110299488677873</v>
      </c>
      <c r="BF587">
        <f t="shared" si="260"/>
        <v>553</v>
      </c>
      <c r="BG587">
        <f>IF($BE587="","",COUNTIFS($C$2:$C$596,$C587,$BE$2:$BE$596,"&gt;"&amp;$BE587)+COUNTIFS($C$2:$C587,$C587,$BE$2:$BE587,$BE587))</f>
        <v>150</v>
      </c>
    </row>
    <row r="588" spans="1:59" x14ac:dyDescent="0.25">
      <c r="A588" t="str">
        <f>Player_Analysis!A588</f>
        <v>Omar Marmoush</v>
      </c>
      <c r="B588">
        <f>Player_Analysis!C588</f>
        <v>19</v>
      </c>
      <c r="C588" t="str">
        <f>Player_Analysis!B588</f>
        <v>FWD</v>
      </c>
      <c r="D588" s="13">
        <f>Player_Analysis!E588</f>
        <v>7</v>
      </c>
      <c r="E588">
        <f>Player_Analysis!I588</f>
        <v>173</v>
      </c>
      <c r="F588" s="8">
        <f>Player_Analysis!Z588</f>
        <v>2</v>
      </c>
      <c r="G588" s="17">
        <f t="shared" si="235"/>
        <v>1</v>
      </c>
      <c r="H588">
        <f t="shared" si="236"/>
        <v>90</v>
      </c>
      <c r="I588" s="8">
        <f>Player_Analysis!AF588</f>
        <v>0</v>
      </c>
      <c r="J588" s="8">
        <f>Player_Analysis!AG588</f>
        <v>0</v>
      </c>
      <c r="K588">
        <f>Player_Analysis!O588</f>
        <v>0.34</v>
      </c>
      <c r="L588">
        <f>Player_Analysis!P588</f>
        <v>0.08</v>
      </c>
      <c r="M588">
        <f t="shared" si="237"/>
        <v>0.17687861271676303</v>
      </c>
      <c r="N588">
        <f t="shared" si="238"/>
        <v>4.161849710982659E-2</v>
      </c>
      <c r="O588" s="2">
        <f>IF(E588=0,"",Player_Analysis!L588/E588*90)</f>
        <v>2.0809248554913293</v>
      </c>
      <c r="P588">
        <f>IF(E588=0,"",Player_Analysis!Q588/E588*90)</f>
        <v>0.2184971098265896</v>
      </c>
      <c r="Q588">
        <f>IF(E588=0,"",(Player_Analysis!AD588/E588)*90)</f>
        <v>10.404624277456648</v>
      </c>
      <c r="R588">
        <f>IF(E588=0,"",Player_Analysis!AA588/E588*90)</f>
        <v>2.0809248554913293</v>
      </c>
      <c r="S588" t="str">
        <f t="array" ref="S588">IFERROR(INDEX('2023_24'!$O:$O,MATCH($A588,'2023_24'!$A:$A,0)),"")</f>
        <v/>
      </c>
      <c r="T588">
        <f>IFERROR(INDEX('2024_25'!$P:$P,MATCH($A588,'2024_25'!$A:$A,0)),"")</f>
        <v>0.41473594548551956</v>
      </c>
      <c r="U588">
        <f>IFERROR(INDEX('2025_26'!$P:$P,MATCH($A588,'2025_26'!$A:$A,0)),"")</f>
        <v>0.36208393632416785</v>
      </c>
      <c r="V588" t="str">
        <f>IFERROR(INDEX('2023_24'!$P:$P,MATCH($A588,'2023_24'!$A:$A,0)),"")</f>
        <v/>
      </c>
      <c r="W588">
        <f>IFERROR(INDEX('2024_25'!$Q:$Q,MATCH($A588,'2024_25'!$A:$A,0)),"")</f>
        <v>0.13109028960817717</v>
      </c>
      <c r="X588">
        <f>IFERROR(INDEX('2025_26'!$Q:$Q,MATCH($A588,'2025_26'!$A:$A,0)),"")</f>
        <v>0.10028943560057887</v>
      </c>
      <c r="Y588" t="str">
        <f>IFERROR(INDEX('2023_24'!$M:$M,MATCH($A588,'2023_24'!$A:$A,0))/INDEX('2023_24'!$G:$G,MATCH($A588,'2023_24'!$A:$A,0))*90,"")</f>
        <v/>
      </c>
      <c r="Z588">
        <f>IFERROR(INDEX('2024_25'!$M:$M,MATCH($A588,'2024_25'!$A:$A,0))/INDEX('2024_25'!$G:$G,MATCH($A588,'2024_25'!$A:$A,0))*90,"")</f>
        <v>5.5962521294718908</v>
      </c>
      <c r="AA588">
        <f>IFERROR(INDEX('2025_26'!$M:$M,MATCH($A588,'2025_26'!$A:$A,0))/INDEX('2025_26'!$G:$G,MATCH($A588,'2025_26'!$A:$A,0))*90,"")</f>
        <v>7.2937771345875539</v>
      </c>
      <c r="AB588">
        <f>IFERROR(SUMPRODUCT(S588:U588,{0.2,0.3,0.5})/SUMPRODUCT(--(S588:U588&lt;&gt;""),{0.2,0.3,0.5}),"")</f>
        <v>0.38182843975967473</v>
      </c>
      <c r="AC588">
        <f>IFERROR(SUMPRODUCT(V588:X588,{0.2,0.3,0.5})/SUMPRODUCT(--(V588:X588&lt;&gt;""),{0.2,0.3,0.5}),"")</f>
        <v>0.11183975585342823</v>
      </c>
      <c r="AD588">
        <f>IFERROR(SUMPRODUCT(Y588:AA588,{0.2,0.3,0.5})/SUMPRODUCT((Y588:AA588&lt;&gt;"")*{0.2,0.3,0.5}),O588)</f>
        <v>6.6572052576691796</v>
      </c>
      <c r="AE588">
        <f t="shared" si="239"/>
        <v>2</v>
      </c>
      <c r="AF588">
        <f t="shared" si="240"/>
        <v>86.5</v>
      </c>
      <c r="AG588">
        <f t="shared" si="241"/>
        <v>0.26364070616492896</v>
      </c>
      <c r="AH588">
        <f t="shared" si="242"/>
        <v>7.1345496644617951E-2</v>
      </c>
      <c r="AI588" s="2">
        <f t="shared" si="243"/>
        <v>4.0182168924132862</v>
      </c>
      <c r="AJ588">
        <f t="shared" si="244"/>
        <v>0.57666666666666666</v>
      </c>
      <c r="AK588" t="str">
        <f t="shared" si="245"/>
        <v>NO</v>
      </c>
      <c r="AL588">
        <f t="shared" si="246"/>
        <v>0.26364070616492896</v>
      </c>
      <c r="AM588">
        <f t="shared" si="247"/>
        <v>7.1345496644617951E-2</v>
      </c>
      <c r="AN588">
        <f t="shared" si="248"/>
        <v>0.26364070616492896</v>
      </c>
      <c r="AO588">
        <f t="shared" si="249"/>
        <v>7.1345496644617951E-2</v>
      </c>
      <c r="AP588">
        <f t="array" ref="AP588">AL588*IF($C588="GKP",10,IF($C588="DEF",6,IF($C588="MID",5,4)))</f>
        <v>1.0545628246597158</v>
      </c>
      <c r="AQ588">
        <f t="shared" si="250"/>
        <v>0.21403648993385385</v>
      </c>
      <c r="AR588">
        <f t="shared" si="251"/>
        <v>2</v>
      </c>
      <c r="AS588" s="2">
        <f>IF($H588=0,0,Player_Analysis!$AM588*$H588/90)</f>
        <v>0</v>
      </c>
      <c r="AT588">
        <f t="shared" si="252"/>
        <v>0.34682080924855491</v>
      </c>
      <c r="AU588" s="2">
        <f>0</f>
        <v>0</v>
      </c>
      <c r="AV588" s="2">
        <f>IF(INDEX(FPL_Raw_Data!K:K,MATCH(A588,FPL_Raw_Data!AA:AA,0))=0,"",INDEX(FPL_Raw_Data!P:P,MATCH(A588,FPL_Raw_Data!AA:AA,0))/INDEX(FPL_Raw_Data!K:K,MATCH(A588,FPL_Raw_Data!AA:AA,0))*90)</f>
        <v>0</v>
      </c>
      <c r="AW588" s="2">
        <f t="shared" si="253"/>
        <v>0</v>
      </c>
      <c r="AX588" s="2">
        <f>IFERROR(INDEX(TEAM_ANALYSIS!$H$2:$H$21,MATCH($B588,TEAM_ANALYSIS!$A$2:$A$21,0)),0)</f>
        <v>1.6666666666666667</v>
      </c>
      <c r="AY588" s="2">
        <f t="shared" si="254"/>
        <v>0</v>
      </c>
      <c r="AZ588" s="2">
        <f t="shared" si="255"/>
        <v>3.6154201238421249</v>
      </c>
      <c r="BA588">
        <f t="shared" si="256"/>
        <v>0.5164885891203036</v>
      </c>
      <c r="BB588">
        <f>IFERROR(Player_Analysis!$Y588,1)</f>
        <v>0.8</v>
      </c>
      <c r="BC588">
        <f t="shared" si="257"/>
        <v>2.8923360990737002</v>
      </c>
      <c r="BD588">
        <f t="shared" si="258"/>
        <v>1.4938585910722981</v>
      </c>
      <c r="BE588">
        <f t="shared" si="259"/>
        <v>2.8923360990737002</v>
      </c>
      <c r="BF588">
        <f t="shared" si="260"/>
        <v>205</v>
      </c>
      <c r="BG588">
        <f>IF($BE588="","",COUNTIFS($C$2:$C$596,$C588,$BE$2:$BE$596,"&gt;"&amp;$BE588)+COUNTIFS($C$2:$C588,$C588,$BE$2:$BE588,$BE588))</f>
        <v>22</v>
      </c>
    </row>
    <row r="589" spans="1:59" x14ac:dyDescent="0.25">
      <c r="A589" t="str">
        <f>Player_Analysis!A589</f>
        <v>Sávio Moreira de Oliveira</v>
      </c>
      <c r="B589">
        <f>Player_Analysis!C589</f>
        <v>19</v>
      </c>
      <c r="C589" t="str">
        <f>Player_Analysis!B589</f>
        <v>MID</v>
      </c>
      <c r="D589" s="13">
        <f>Player_Analysis!E589</f>
        <v>6.5</v>
      </c>
      <c r="E589">
        <f>Player_Analysis!I589</f>
        <v>60</v>
      </c>
      <c r="F589" s="8">
        <f>Player_Analysis!Z589</f>
        <v>1</v>
      </c>
      <c r="G589" s="17">
        <f t="shared" si="235"/>
        <v>1</v>
      </c>
      <c r="H589">
        <f t="shared" si="236"/>
        <v>90</v>
      </c>
      <c r="I589" s="8">
        <f>Player_Analysis!AF589</f>
        <v>0</v>
      </c>
      <c r="J589" s="8">
        <f>Player_Analysis!AG589</f>
        <v>0</v>
      </c>
      <c r="K589">
        <f>Player_Analysis!O589</f>
        <v>0.02</v>
      </c>
      <c r="L589">
        <f>Player_Analysis!P589</f>
        <v>0.27</v>
      </c>
      <c r="M589">
        <f t="shared" si="237"/>
        <v>0.03</v>
      </c>
      <c r="N589">
        <f t="shared" si="238"/>
        <v>0.40500000000000003</v>
      </c>
      <c r="O589" s="2">
        <f>IF(E589=0,"",Player_Analysis!L589/E589*90)</f>
        <v>4.5</v>
      </c>
      <c r="P589">
        <f>IF(E589=0,"",Player_Analysis!Q589/E589*90)</f>
        <v>0.43499999999999994</v>
      </c>
      <c r="Q589">
        <f>IF(E589=0,"",(Player_Analysis!AD589/E589)*90)</f>
        <v>22.5</v>
      </c>
      <c r="R589">
        <f>IF(E589=0,"",Player_Analysis!AA589/E589*90)</f>
        <v>0</v>
      </c>
      <c r="S589" t="str">
        <f t="array" ref="S589">IFERROR(INDEX('2023_24'!$O:$O,MATCH($A589,'2023_24'!$A:$A,0)),"")</f>
        <v/>
      </c>
      <c r="T589" t="str">
        <f>IFERROR(INDEX('2024_25'!$P:$P,MATCH($A589,'2024_25'!$A:$A,0)),"")</f>
        <v/>
      </c>
      <c r="U589">
        <f>IFERROR(INDEX('2025_26'!$P:$P,MATCH($A589,'2025_26'!$A:$A,0)),"")</f>
        <v>0.2753977968176255</v>
      </c>
      <c r="V589" t="str">
        <f>IFERROR(INDEX('2023_24'!$P:$P,MATCH($A589,'2023_24'!$A:$A,0)),"")</f>
        <v/>
      </c>
      <c r="W589" t="str">
        <f>IFERROR(INDEX('2024_25'!$Q:$Q,MATCH($A589,'2024_25'!$A:$A,0)),"")</f>
        <v/>
      </c>
      <c r="X589">
        <f>IFERROR(INDEX('2025_26'!$Q:$Q,MATCH($A589,'2025_26'!$A:$A,0)),"")</f>
        <v>0.17515299877600979</v>
      </c>
      <c r="Y589" t="str">
        <f>IFERROR(INDEX('2023_24'!$M:$M,MATCH($A589,'2023_24'!$A:$A,0))/INDEX('2023_24'!$G:$G,MATCH($A589,'2023_24'!$A:$A,0))*90,"")</f>
        <v/>
      </c>
      <c r="Z589" t="str">
        <f>IFERROR(INDEX('2024_25'!$M:$M,MATCH($A589,'2024_25'!$A:$A,0))/INDEX('2024_25'!$G:$G,MATCH($A589,'2024_25'!$A:$A,0))*90,"")</f>
        <v/>
      </c>
      <c r="AA589">
        <f>IFERROR(INDEX('2025_26'!$M:$M,MATCH($A589,'2025_26'!$A:$A,0))/INDEX('2025_26'!$G:$G,MATCH($A589,'2025_26'!$A:$A,0))*90,"")</f>
        <v>4.7368421052631575</v>
      </c>
      <c r="AB589">
        <f>IFERROR(SUMPRODUCT(S589:U589,{0.2,0.3,0.5})/SUMPRODUCT(--(S589:U589&lt;&gt;""),{0.2,0.3,0.5}),"")</f>
        <v>0.2753977968176255</v>
      </c>
      <c r="AC589">
        <f>IFERROR(SUMPRODUCT(V589:X589,{0.2,0.3,0.5})/SUMPRODUCT(--(V589:X589&lt;&gt;""),{0.2,0.3,0.5}),"")</f>
        <v>0.17515299877600979</v>
      </c>
      <c r="AD589">
        <f>IFERROR(SUMPRODUCT(Y589:AA589,{0.2,0.3,0.5})/SUMPRODUCT((Y589:AA589&lt;&gt;"")*{0.2,0.3,0.5}),O589)</f>
        <v>4.7368421052631575</v>
      </c>
      <c r="AE589">
        <f t="shared" si="239"/>
        <v>1</v>
      </c>
      <c r="AF589">
        <f t="shared" si="240"/>
        <v>60</v>
      </c>
      <c r="AG589">
        <f t="shared" si="241"/>
        <v>0.2263182374541004</v>
      </c>
      <c r="AH589">
        <f t="shared" si="242"/>
        <v>0.22112239902080785</v>
      </c>
      <c r="AI589" s="2">
        <f t="shared" si="243"/>
        <v>4.689473684210526</v>
      </c>
      <c r="AJ589">
        <f t="shared" si="244"/>
        <v>0.2</v>
      </c>
      <c r="AK589" t="str">
        <f t="shared" si="245"/>
        <v>NO</v>
      </c>
      <c r="AL589">
        <f t="shared" si="246"/>
        <v>0.2263182374541004</v>
      </c>
      <c r="AM589">
        <f t="shared" si="247"/>
        <v>0.22112239902080788</v>
      </c>
      <c r="AN589">
        <f t="shared" si="248"/>
        <v>0.2263182374541004</v>
      </c>
      <c r="AO589">
        <f t="shared" si="249"/>
        <v>0.22112239902080788</v>
      </c>
      <c r="AP589">
        <f t="array" ref="AP589">AL589*IF($C589="GKP",10,IF($C589="DEF",6,IF($C589="MID",5,4)))</f>
        <v>1.131591187270502</v>
      </c>
      <c r="AQ589">
        <f t="shared" si="250"/>
        <v>0.66336719706242364</v>
      </c>
      <c r="AR589">
        <f t="shared" si="251"/>
        <v>2</v>
      </c>
      <c r="AS589" s="2">
        <f>IF($H589=0,0,Player_Analysis!$AM589*$H589/90)</f>
        <v>1</v>
      </c>
      <c r="AT589">
        <f t="shared" si="252"/>
        <v>0</v>
      </c>
      <c r="AU589" s="2">
        <f>0</f>
        <v>0</v>
      </c>
      <c r="AV589" s="2">
        <f>IF(INDEX(FPL_Raw_Data!K:K,MATCH(A589,FPL_Raw_Data!AA:AA,0))=0,"",INDEX(FPL_Raw_Data!P:P,MATCH(A589,FPL_Raw_Data!AA:AA,0))/INDEX(FPL_Raw_Data!K:K,MATCH(A589,FPL_Raw_Data!AA:AA,0))*90)</f>
        <v>0</v>
      </c>
      <c r="AW589" s="2">
        <f t="shared" si="253"/>
        <v>0</v>
      </c>
      <c r="AX589" s="2">
        <f>IFERROR(INDEX(TEAM_ANALYSIS!$H$2:$H$21,MATCH($B589,TEAM_ANALYSIS!$A$2:$A$21,0)),0)</f>
        <v>1.6666666666666667</v>
      </c>
      <c r="AY589" s="2">
        <f t="shared" si="254"/>
        <v>0</v>
      </c>
      <c r="AZ589" s="2">
        <f t="shared" si="255"/>
        <v>4.7949583843329258</v>
      </c>
      <c r="BA589">
        <f t="shared" si="256"/>
        <v>0.73768590528198863</v>
      </c>
      <c r="BB589">
        <f>IFERROR(Player_Analysis!$Y589,1)</f>
        <v>0.8</v>
      </c>
      <c r="BC589">
        <f t="shared" si="257"/>
        <v>3.8359667074663406</v>
      </c>
      <c r="BD589">
        <f t="shared" si="258"/>
        <v>2.8297385732288767</v>
      </c>
      <c r="BE589">
        <f t="shared" si="259"/>
        <v>3.8359667074663406</v>
      </c>
      <c r="BF589">
        <f t="shared" si="260"/>
        <v>165</v>
      </c>
      <c r="BG589">
        <f>IF($BE589="","",COUNTIFS($C$2:$C$596,$C589,$BE$2:$BE$596,"&gt;"&amp;$BE589)+COUNTIFS($C$2:$C589,$C589,$BE$2:$BE589,$BE589))</f>
        <v>84</v>
      </c>
    </row>
    <row r="590" spans="1:59" x14ac:dyDescent="0.25">
      <c r="A590" t="str">
        <f>Player_Analysis!A590</f>
        <v>Sandro Tonali</v>
      </c>
      <c r="B590">
        <f>Player_Analysis!C590</f>
        <v>19</v>
      </c>
      <c r="C590" t="str">
        <f>Player_Analysis!B590</f>
        <v>MID</v>
      </c>
      <c r="D590" s="13">
        <f>Player_Analysis!E590</f>
        <v>5.4</v>
      </c>
      <c r="E590">
        <f>Player_Analysis!I590</f>
        <v>254</v>
      </c>
      <c r="F590" s="8">
        <f>Player_Analysis!Z590</f>
        <v>3</v>
      </c>
      <c r="G590" s="17">
        <f t="shared" si="235"/>
        <v>1</v>
      </c>
      <c r="H590">
        <f t="shared" si="236"/>
        <v>90</v>
      </c>
      <c r="I590" s="8">
        <f>Player_Analysis!AF590</f>
        <v>0</v>
      </c>
      <c r="J590" s="8">
        <f>Player_Analysis!AG590</f>
        <v>0</v>
      </c>
      <c r="K590">
        <f>Player_Analysis!O590</f>
        <v>0.09</v>
      </c>
      <c r="L590">
        <f>Player_Analysis!P590</f>
        <v>0.09</v>
      </c>
      <c r="M590">
        <f t="shared" si="237"/>
        <v>3.1889763779527555E-2</v>
      </c>
      <c r="N590">
        <f t="shared" si="238"/>
        <v>3.1889763779527555E-2</v>
      </c>
      <c r="O590" s="2">
        <f>IF(E590=0,"",Player_Analysis!L590/E590*90)</f>
        <v>3.188976377952756</v>
      </c>
      <c r="P590">
        <f>IF(E590=0,"",Player_Analysis!Q590/E590*90)</f>
        <v>6.377952755905511E-2</v>
      </c>
      <c r="Q590">
        <f>IF(E590=0,"",(Player_Analysis!AD590/E590)*90)</f>
        <v>18.4251968503937</v>
      </c>
      <c r="R590">
        <f>IF(E590=0,"",Player_Analysis!AA590/E590*90)</f>
        <v>7.0866141732283463</v>
      </c>
      <c r="S590">
        <f t="array" ref="S590">IFERROR(INDEX('2023_24'!$O:$O,MATCH($A590,'2023_24'!$A:$A,0)),"")</f>
        <v>0.1276887871853547</v>
      </c>
      <c r="T590">
        <f>IFERROR(INDEX('2024_25'!$P:$P,MATCH($A590,'2024_25'!$A:$A,0)),"")</f>
        <v>0.15291428571428572</v>
      </c>
      <c r="U590">
        <f>IFERROR(INDEX('2025_26'!$P:$P,MATCH($A590,'2025_26'!$A:$A,0)),"")</f>
        <v>6.2154696132596679E-2</v>
      </c>
      <c r="V590">
        <f>IFERROR(INDEX('2023_24'!$P:$P,MATCH($A590,'2023_24'!$A:$A,0)),"")</f>
        <v>9.6796338672768878E-2</v>
      </c>
      <c r="W590">
        <f>IFERROR(INDEX('2024_25'!$Q:$Q,MATCH($A590,'2024_25'!$A:$A,0)),"")</f>
        <v>9.4971428571428568E-2</v>
      </c>
      <c r="X590">
        <f>IFERROR(INDEX('2025_26'!$Q:$Q,MATCH($A590,'2025_26'!$A:$A,0)),"")</f>
        <v>0.10193370165745858</v>
      </c>
      <c r="Y590">
        <f>IFERROR(INDEX('2023_24'!$M:$M,MATCH($A590,'2023_24'!$A:$A,0))/INDEX('2023_24'!$G:$G,MATCH($A590,'2023_24'!$A:$A,0))*90,"")</f>
        <v>3.2951945080091534</v>
      </c>
      <c r="Z590">
        <f>IFERROR(INDEX('2024_25'!$M:$M,MATCH($A590,'2024_25'!$A:$A,0))/INDEX('2024_25'!$G:$G,MATCH($A590,'2024_25'!$A:$A,0))*90,"")</f>
        <v>3.6342857142857139</v>
      </c>
      <c r="AA590">
        <f>IFERROR(INDEX('2025_26'!$M:$M,MATCH($A590,'2025_26'!$A:$A,0))/INDEX('2025_26'!$G:$G,MATCH($A590,'2025_26'!$A:$A,0))*90,"")</f>
        <v>2.8768745067087611</v>
      </c>
      <c r="AB590">
        <f>IFERROR(SUMPRODUCT(S590:U590,{0.2,0.3,0.5})/SUMPRODUCT(--(S590:U590&lt;&gt;""),{0.2,0.3,0.5}),"")</f>
        <v>0.10248939121765499</v>
      </c>
      <c r="AC590">
        <f>IFERROR(SUMPRODUCT(V590:X590,{0.2,0.3,0.5})/SUMPRODUCT(--(V590:X590&lt;&gt;""),{0.2,0.3,0.5}),"")</f>
        <v>9.8817547134711636E-2</v>
      </c>
      <c r="AD590">
        <f>IFERROR(SUMPRODUCT(Y590:AA590,{0.2,0.3,0.5})/SUMPRODUCT((Y590:AA590&lt;&gt;"")*{0.2,0.3,0.5}),O590)</f>
        <v>3.1877618692419256</v>
      </c>
      <c r="AE590">
        <f t="shared" si="239"/>
        <v>3</v>
      </c>
      <c r="AF590">
        <f t="shared" si="240"/>
        <v>84.666666666666671</v>
      </c>
      <c r="AG590">
        <f t="shared" si="241"/>
        <v>4.2715039986707094E-2</v>
      </c>
      <c r="AH590">
        <f t="shared" si="242"/>
        <v>4.2152023893989116E-2</v>
      </c>
      <c r="AI590" s="2">
        <f t="shared" si="243"/>
        <v>3.1887901532837621</v>
      </c>
      <c r="AJ590">
        <f t="shared" si="244"/>
        <v>0.84666666666666668</v>
      </c>
      <c r="AK590" t="str">
        <f t="shared" si="245"/>
        <v>NO</v>
      </c>
      <c r="AL590">
        <f t="shared" si="246"/>
        <v>4.2715039986707094E-2</v>
      </c>
      <c r="AM590">
        <f t="shared" si="247"/>
        <v>4.2152023893989116E-2</v>
      </c>
      <c r="AN590">
        <f t="shared" si="248"/>
        <v>4.2715039986707094E-2</v>
      </c>
      <c r="AO590">
        <f t="shared" si="249"/>
        <v>4.2152023893989116E-2</v>
      </c>
      <c r="AP590">
        <f t="array" ref="AP590">AL590*IF($C590="GKP",10,IF($C590="DEF",6,IF($C590="MID",5,4)))</f>
        <v>0.21357519993353546</v>
      </c>
      <c r="AQ590">
        <f t="shared" si="250"/>
        <v>0.12645607168196735</v>
      </c>
      <c r="AR590">
        <f t="shared" si="251"/>
        <v>2</v>
      </c>
      <c r="AS590" s="2">
        <f>IF($H590=0,0,Player_Analysis!$AM590*$H590/90)</f>
        <v>0.33333333333333331</v>
      </c>
      <c r="AT590">
        <f t="shared" si="252"/>
        <v>1.1811023622047243</v>
      </c>
      <c r="AU590" s="2">
        <f>0</f>
        <v>0</v>
      </c>
      <c r="AV590" s="2">
        <f>IF(INDEX(FPL_Raw_Data!K:K,MATCH(A590,FPL_Raw_Data!AA:AA,0))=0,"",INDEX(FPL_Raw_Data!P:P,MATCH(A590,FPL_Raw_Data!AA:AA,0))/INDEX(FPL_Raw_Data!K:K,MATCH(A590,FPL_Raw_Data!AA:AA,0))*90)</f>
        <v>0</v>
      </c>
      <c r="AW590" s="2">
        <f t="shared" si="253"/>
        <v>0</v>
      </c>
      <c r="AX590" s="2">
        <f>IFERROR(INDEX(TEAM_ANALYSIS!$H$2:$H$21,MATCH($B590,TEAM_ANALYSIS!$A$2:$A$21,0)),0)</f>
        <v>1.6666666666666667</v>
      </c>
      <c r="AY590" s="2">
        <f t="shared" si="254"/>
        <v>0</v>
      </c>
      <c r="AZ590" s="2">
        <f t="shared" si="255"/>
        <v>3.8544669671535603</v>
      </c>
      <c r="BA590">
        <f t="shared" si="256"/>
        <v>0.71379017910251108</v>
      </c>
      <c r="BB590">
        <f>IFERROR(Player_Analysis!$Y590,1)</f>
        <v>0.8</v>
      </c>
      <c r="BC590">
        <f t="shared" si="257"/>
        <v>3.0835735737228482</v>
      </c>
      <c r="BD590">
        <f t="shared" si="258"/>
        <v>2.2010245334634022</v>
      </c>
      <c r="BE590">
        <f t="shared" si="259"/>
        <v>3.0835735737228482</v>
      </c>
      <c r="BF590">
        <f t="shared" si="260"/>
        <v>199</v>
      </c>
      <c r="BG590">
        <f>IF($BE590="","",COUNTIFS($C$2:$C$596,$C590,$BE$2:$BE$596,"&gt;"&amp;$BE590)+COUNTIFS($C$2:$C590,$C590,$BE$2:$BE590,$BE590))</f>
        <v>104</v>
      </c>
    </row>
    <row r="591" spans="1:59" x14ac:dyDescent="0.25">
      <c r="A591" t="str">
        <f>Player_Analysis!A591</f>
        <v>Guglielmo Vicario</v>
      </c>
      <c r="B591">
        <f>Player_Analysis!C591</f>
        <v>19</v>
      </c>
      <c r="C591" t="str">
        <f>Player_Analysis!B591</f>
        <v>GK</v>
      </c>
      <c r="D591" s="13">
        <f>Player_Analysis!E591</f>
        <v>4.5</v>
      </c>
      <c r="E591">
        <f>Player_Analysis!I591</f>
        <v>0</v>
      </c>
      <c r="F591" s="8">
        <f>Player_Analysis!Z591</f>
        <v>0</v>
      </c>
      <c r="G591" s="17">
        <f t="shared" si="235"/>
        <v>0</v>
      </c>
      <c r="H591">
        <f t="shared" si="236"/>
        <v>0</v>
      </c>
      <c r="I591" s="8">
        <f>Player_Analysis!AF591</f>
        <v>0</v>
      </c>
      <c r="J591" s="8">
        <f>Player_Analysis!AG591</f>
        <v>0</v>
      </c>
      <c r="K591">
        <f>Player_Analysis!O591</f>
        <v>0</v>
      </c>
      <c r="L591">
        <f>Player_Analysis!P591</f>
        <v>0</v>
      </c>
      <c r="M591" t="str">
        <f t="shared" si="237"/>
        <v/>
      </c>
      <c r="N591" t="str">
        <f t="shared" si="238"/>
        <v/>
      </c>
      <c r="O591" s="2" t="str">
        <f>IF(E591=0,"",Player_Analysis!L591/E591*90)</f>
        <v/>
      </c>
      <c r="P591" t="str">
        <f>IF(E591=0,"",Player_Analysis!Q591/E591*90)</f>
        <v/>
      </c>
      <c r="Q591" t="str">
        <f>IF(E591=0,"",(Player_Analysis!AD591/E591)*90)</f>
        <v/>
      </c>
      <c r="R591" t="str">
        <f>IF(E591=0,"",Player_Analysis!AA591/E591*90)</f>
        <v/>
      </c>
      <c r="S591">
        <f t="array" ref="S591">IFERROR(INDEX('2023_24'!$O:$O,MATCH($A591,'2023_24'!$A:$A,0)),"")</f>
        <v>0</v>
      </c>
      <c r="T591">
        <f>IFERROR(INDEX('2024_25'!$P:$P,MATCH($A591,'2024_25'!$A:$A,0)),"")</f>
        <v>0</v>
      </c>
      <c r="U591">
        <f>IFERROR(INDEX('2025_26'!$P:$P,MATCH($A591,'2025_26'!$A:$A,0)),"")</f>
        <v>0</v>
      </c>
      <c r="V591">
        <f>IFERROR(INDEX('2023_24'!$P:$P,MATCH($A591,'2023_24'!$A:$A,0)),"")</f>
        <v>0</v>
      </c>
      <c r="W591">
        <f>IFERROR(INDEX('2024_25'!$Q:$Q,MATCH($A591,'2024_25'!$A:$A,0)),"")</f>
        <v>0</v>
      </c>
      <c r="X591">
        <f>IFERROR(INDEX('2025_26'!$Q:$Q,MATCH($A591,'2025_26'!$A:$A,0)),"")</f>
        <v>1.2903225806451613E-3</v>
      </c>
      <c r="Y591">
        <f>IFERROR(INDEX('2023_24'!$M:$M,MATCH($A591,'2023_24'!$A:$A,0))/INDEX('2023_24'!$G:$G,MATCH($A591,'2023_24'!$A:$A,0))*90,"")</f>
        <v>2.9473684210526319</v>
      </c>
      <c r="Z591">
        <f>IFERROR(INDEX('2024_25'!$M:$M,MATCH($A591,'2024_25'!$A:$A,0))/INDEX('2024_25'!$G:$G,MATCH($A591,'2024_25'!$A:$A,0))*90,"")</f>
        <v>2.75</v>
      </c>
      <c r="AA591">
        <f>IFERROR(INDEX('2025_26'!$M:$M,MATCH($A591,'2025_26'!$A:$A,0))/INDEX('2025_26'!$G:$G,MATCH($A591,'2025_26'!$A:$A,0))*90,"")</f>
        <v>2.903225806451613</v>
      </c>
      <c r="AB591">
        <f>IFERROR(SUMPRODUCT(S591:U591,{0.2,0.3,0.5})/SUMPRODUCT(--(S591:U591&lt;&gt;""),{0.2,0.3,0.5}),"")</f>
        <v>0</v>
      </c>
      <c r="AC591">
        <f>IFERROR(SUMPRODUCT(V591:X591,{0.2,0.3,0.5})/SUMPRODUCT(--(V591:X591&lt;&gt;""),{0.2,0.3,0.5}),"")</f>
        <v>6.4516129032258064E-4</v>
      </c>
      <c r="AD591">
        <f>IFERROR(SUMPRODUCT(Y591:AA591,{0.2,0.3,0.5})/SUMPRODUCT((Y591:AA591&lt;&gt;"")*{0.2,0.3,0.5}),O591)</f>
        <v>2.8660865874363326</v>
      </c>
      <c r="AE591">
        <f t="shared" si="239"/>
        <v>3</v>
      </c>
      <c r="AF591" t="str">
        <f t="shared" si="240"/>
        <v/>
      </c>
      <c r="AG591">
        <f t="shared" si="241"/>
        <v>0</v>
      </c>
      <c r="AH591">
        <f t="shared" si="242"/>
        <v>6.4516129032258064E-4</v>
      </c>
      <c r="AI591" s="2">
        <f t="shared" si="243"/>
        <v>2.8660865874363326</v>
      </c>
      <c r="AJ591">
        <f t="shared" si="244"/>
        <v>0</v>
      </c>
      <c r="AK591" t="str">
        <f t="shared" si="245"/>
        <v>NO</v>
      </c>
      <c r="AL591">
        <f t="shared" si="246"/>
        <v>0</v>
      </c>
      <c r="AM591">
        <f t="shared" si="247"/>
        <v>0</v>
      </c>
      <c r="AN591">
        <f t="shared" si="248"/>
        <v>0</v>
      </c>
      <c r="AO591">
        <f t="shared" si="249"/>
        <v>0</v>
      </c>
      <c r="AP591">
        <f t="array" ref="AP591">AL591*IF($C591="GKP",10,IF($C591="DEF",6,IF($C591="MID",5,4)))</f>
        <v>0</v>
      </c>
      <c r="AQ591">
        <f t="shared" si="250"/>
        <v>0</v>
      </c>
      <c r="AR591">
        <f t="shared" si="251"/>
        <v>0</v>
      </c>
      <c r="AS591" s="2">
        <f>IF($H591=0,0,Player_Analysis!$AM591*$H591/90)</f>
        <v>0</v>
      </c>
      <c r="AT591">
        <f t="shared" si="252"/>
        <v>0</v>
      </c>
      <c r="AU591" s="2">
        <f>0</f>
        <v>0</v>
      </c>
      <c r="AV591" s="2" t="str">
        <f>IF(INDEX(FPL_Raw_Data!K:K,MATCH(A591,FPL_Raw_Data!AA:AA,0))=0,"",INDEX(FPL_Raw_Data!P:P,MATCH(A591,FPL_Raw_Data!AA:AA,0))/INDEX(FPL_Raw_Data!K:K,MATCH(A591,FPL_Raw_Data!AA:AA,0))*90)</f>
        <v/>
      </c>
      <c r="AW591" s="2">
        <f t="shared" si="253"/>
        <v>0</v>
      </c>
      <c r="AX591" s="2">
        <f>IFERROR(INDEX(TEAM_ANALYSIS!$H$2:$H$21,MATCH($B591,TEAM_ANALYSIS!$A$2:$A$21,0)),0)</f>
        <v>1.6666666666666667</v>
      </c>
      <c r="AY591" s="2">
        <f t="shared" si="254"/>
        <v>0</v>
      </c>
      <c r="AZ591" s="2">
        <f t="shared" si="255"/>
        <v>0</v>
      </c>
      <c r="BA591">
        <f t="shared" si="256"/>
        <v>0</v>
      </c>
      <c r="BB591">
        <f>IFERROR(Player_Analysis!$Y591,1)</f>
        <v>0.97332359386413447</v>
      </c>
      <c r="BC591">
        <f t="shared" si="257"/>
        <v>0</v>
      </c>
      <c r="BD591">
        <f t="shared" si="258"/>
        <v>0</v>
      </c>
      <c r="BE591">
        <f t="shared" si="259"/>
        <v>0</v>
      </c>
      <c r="BF591">
        <f t="shared" si="260"/>
        <v>253</v>
      </c>
      <c r="BG591">
        <f>IF($BE591="","",COUNTIFS($C$2:$C$596,$C591,$BE$2:$BE$596,"&gt;"&amp;$BE591)+COUNTIFS($C$2:$C591,$C591,$BE$2:$BE591,$BE591))</f>
        <v>66</v>
      </c>
    </row>
    <row r="592" spans="1:59" x14ac:dyDescent="0.25">
      <c r="A592" t="str">
        <f>Player_Analysis!A592</f>
        <v>Brandon Austin</v>
      </c>
      <c r="B592">
        <f>Player_Analysis!C592</f>
        <v>19</v>
      </c>
      <c r="C592" t="str">
        <f>Player_Analysis!B592</f>
        <v>GK</v>
      </c>
      <c r="D592" s="13">
        <f>Player_Analysis!E592</f>
        <v>4</v>
      </c>
      <c r="E592">
        <f>Player_Analysis!I592</f>
        <v>0</v>
      </c>
      <c r="F592" s="8">
        <f>Player_Analysis!Z592</f>
        <v>0</v>
      </c>
      <c r="G592" s="17">
        <f t="shared" si="235"/>
        <v>0</v>
      </c>
      <c r="H592">
        <f t="shared" si="236"/>
        <v>0</v>
      </c>
      <c r="I592" s="8">
        <f>Player_Analysis!AF592</f>
        <v>0</v>
      </c>
      <c r="J592" s="8">
        <f>Player_Analysis!AG592</f>
        <v>0</v>
      </c>
      <c r="K592">
        <f>Player_Analysis!O592</f>
        <v>0</v>
      </c>
      <c r="L592">
        <f>Player_Analysis!P592</f>
        <v>0</v>
      </c>
      <c r="M592" t="str">
        <f t="shared" si="237"/>
        <v/>
      </c>
      <c r="N592" t="str">
        <f t="shared" si="238"/>
        <v/>
      </c>
      <c r="O592" s="2" t="str">
        <f>IF(E592=0,"",Player_Analysis!L592/E592*90)</f>
        <v/>
      </c>
      <c r="P592" t="str">
        <f>IF(E592=0,"",Player_Analysis!Q592/E592*90)</f>
        <v/>
      </c>
      <c r="Q592" t="str">
        <f>IF(E592=0,"",(Player_Analysis!AD592/E592)*90)</f>
        <v/>
      </c>
      <c r="R592" t="str">
        <f>IF(E592=0,"",Player_Analysis!AA592/E592*90)</f>
        <v/>
      </c>
      <c r="S592">
        <f t="array" ref="S592">IFERROR(INDEX('2023_24'!$O:$O,MATCH($A592,'2023_24'!$A:$A,0)),"")</f>
        <v>0</v>
      </c>
      <c r="T592">
        <f>IFERROR(INDEX('2024_25'!$P:$P,MATCH($A592,'2024_25'!$A:$A,0)),"")</f>
        <v>0</v>
      </c>
      <c r="U592">
        <f>IFERROR(INDEX('2025_26'!$P:$P,MATCH($A592,'2025_26'!$A:$A,0)),"")</f>
        <v>0</v>
      </c>
      <c r="V592">
        <f>IFERROR(INDEX('2023_24'!$P:$P,MATCH($A592,'2023_24'!$A:$A,0)),"")</f>
        <v>0</v>
      </c>
      <c r="W592">
        <f>IFERROR(INDEX('2024_25'!$Q:$Q,MATCH($A592,'2024_25'!$A:$A,0)),"")</f>
        <v>0</v>
      </c>
      <c r="X592">
        <f>IFERROR(INDEX('2025_26'!$Q:$Q,MATCH($A592,'2025_26'!$A:$A,0)),"")</f>
        <v>0</v>
      </c>
      <c r="Y592" t="str">
        <f>IFERROR(INDEX('2023_24'!$M:$M,MATCH($A592,'2023_24'!$A:$A,0))/INDEX('2023_24'!$G:$G,MATCH($A592,'2023_24'!$A:$A,0))*90,"")</f>
        <v/>
      </c>
      <c r="Z592">
        <f>IFERROR(INDEX('2024_25'!$M:$M,MATCH($A592,'2024_25'!$A:$A,0))/INDEX('2024_25'!$G:$G,MATCH($A592,'2024_25'!$A:$A,0))*90,"")</f>
        <v>1</v>
      </c>
      <c r="AA592" t="str">
        <f>IFERROR(INDEX('2025_26'!$M:$M,MATCH($A592,'2025_26'!$A:$A,0))/INDEX('2025_26'!$G:$G,MATCH($A592,'2025_26'!$A:$A,0))*90,"")</f>
        <v/>
      </c>
      <c r="AB592">
        <f>IFERROR(SUMPRODUCT(S592:U592,{0.2,0.3,0.5})/SUMPRODUCT(--(S592:U592&lt;&gt;""),{0.2,0.3,0.5}),"")</f>
        <v>0</v>
      </c>
      <c r="AC592">
        <f>IFERROR(SUMPRODUCT(V592:X592,{0.2,0.3,0.5})/SUMPRODUCT(--(V592:X592&lt;&gt;""),{0.2,0.3,0.5}),"")</f>
        <v>0</v>
      </c>
      <c r="AD592">
        <f>IFERROR(SUMPRODUCT(Y592:AA592,{0.2,0.3,0.5})/SUMPRODUCT((Y592:AA592&lt;&gt;"")*{0.2,0.3,0.5}),O592)</f>
        <v>1</v>
      </c>
      <c r="AE592">
        <f t="shared" si="239"/>
        <v>3</v>
      </c>
      <c r="AF592" t="str">
        <f t="shared" si="240"/>
        <v/>
      </c>
      <c r="AG592">
        <f t="shared" si="241"/>
        <v>0</v>
      </c>
      <c r="AH592">
        <f t="shared" si="242"/>
        <v>0</v>
      </c>
      <c r="AI592" s="2">
        <f t="shared" si="243"/>
        <v>1</v>
      </c>
      <c r="AJ592">
        <f t="shared" si="244"/>
        <v>0</v>
      </c>
      <c r="AK592" t="str">
        <f t="shared" si="245"/>
        <v>NO</v>
      </c>
      <c r="AL592">
        <f t="shared" si="246"/>
        <v>0</v>
      </c>
      <c r="AM592">
        <f t="shared" si="247"/>
        <v>0</v>
      </c>
      <c r="AN592">
        <f t="shared" si="248"/>
        <v>0</v>
      </c>
      <c r="AO592">
        <f t="shared" si="249"/>
        <v>0</v>
      </c>
      <c r="AP592">
        <f t="array" ref="AP592">AL592*IF($C592="GKP",10,IF($C592="DEF",6,IF($C592="MID",5,4)))</f>
        <v>0</v>
      </c>
      <c r="AQ592">
        <f t="shared" si="250"/>
        <v>0</v>
      </c>
      <c r="AR592">
        <f t="shared" si="251"/>
        <v>0</v>
      </c>
      <c r="AS592" s="2">
        <f>IF($H592=0,0,Player_Analysis!$AM592*$H592/90)</f>
        <v>0</v>
      </c>
      <c r="AT592">
        <f t="shared" si="252"/>
        <v>0</v>
      </c>
      <c r="AU592" s="2">
        <f>0</f>
        <v>0</v>
      </c>
      <c r="AV592" s="2" t="str">
        <f>IF(INDEX(FPL_Raw_Data!K:K,MATCH(A592,FPL_Raw_Data!AA:AA,0))=0,"",INDEX(FPL_Raw_Data!P:P,MATCH(A592,FPL_Raw_Data!AA:AA,0))/INDEX(FPL_Raw_Data!K:K,MATCH(A592,FPL_Raw_Data!AA:AA,0))*90)</f>
        <v/>
      </c>
      <c r="AW592" s="2">
        <f t="shared" si="253"/>
        <v>0</v>
      </c>
      <c r="AX592" s="2">
        <f>IFERROR(INDEX(TEAM_ANALYSIS!$H$2:$H$21,MATCH($B592,TEAM_ANALYSIS!$A$2:$A$21,0)),0)</f>
        <v>1.6666666666666667</v>
      </c>
      <c r="AY592" s="2">
        <f t="shared" si="254"/>
        <v>0</v>
      </c>
      <c r="AZ592" s="2">
        <f t="shared" si="255"/>
        <v>0</v>
      </c>
      <c r="BA592">
        <f t="shared" si="256"/>
        <v>0</v>
      </c>
      <c r="BB592">
        <f>IFERROR(Player_Analysis!$Y592,1)</f>
        <v>0.97332359386413447</v>
      </c>
      <c r="BC592">
        <f t="shared" si="257"/>
        <v>0</v>
      </c>
      <c r="BD592">
        <f t="shared" si="258"/>
        <v>0</v>
      </c>
      <c r="BE592">
        <f t="shared" si="259"/>
        <v>0</v>
      </c>
      <c r="BF592">
        <f t="shared" si="260"/>
        <v>253</v>
      </c>
      <c r="BG592">
        <f>IF($BE592="","",COUNTIFS($C$2:$C$596,$C592,$BE$2:$BE$596,"&gt;"&amp;$BE592)+COUNTIFS($C$2:$C592,$C592,$BE$2:$BE592,$BE592))</f>
        <v>67</v>
      </c>
    </row>
    <row r="593" spans="1:59" x14ac:dyDescent="0.25">
      <c r="A593" t="str">
        <f>Player_Analysis!A593</f>
        <v>Antonín Kinský</v>
      </c>
      <c r="B593">
        <f>Player_Analysis!C593</f>
        <v>19</v>
      </c>
      <c r="C593" t="str">
        <f>Player_Analysis!B593</f>
        <v>GK</v>
      </c>
      <c r="D593" s="13">
        <f>Player_Analysis!E593</f>
        <v>4.5</v>
      </c>
      <c r="E593">
        <f>Player_Analysis!I593</f>
        <v>270</v>
      </c>
      <c r="F593" s="8">
        <f>Player_Analysis!Z593</f>
        <v>3</v>
      </c>
      <c r="G593" s="17">
        <f t="shared" si="235"/>
        <v>1</v>
      </c>
      <c r="H593">
        <f t="shared" si="236"/>
        <v>90</v>
      </c>
      <c r="I593" s="8">
        <f>Player_Analysis!AF593</f>
        <v>0</v>
      </c>
      <c r="J593" s="8">
        <f>Player_Analysis!AG593</f>
        <v>0</v>
      </c>
      <c r="K593">
        <f>Player_Analysis!O593</f>
        <v>0</v>
      </c>
      <c r="L593">
        <f>Player_Analysis!P593</f>
        <v>0</v>
      </c>
      <c r="M593">
        <f t="shared" si="237"/>
        <v>0</v>
      </c>
      <c r="N593">
        <f t="shared" si="238"/>
        <v>0</v>
      </c>
      <c r="O593" s="2">
        <f>IF(E593=0,"",Player_Analysis!L593/E593*90)</f>
        <v>3</v>
      </c>
      <c r="P593">
        <f>IF(E593=0,"",Player_Analysis!Q593/E593*90)</f>
        <v>0</v>
      </c>
      <c r="Q593">
        <f>IF(E593=0,"",(Player_Analysis!AD593/E593)*90)</f>
        <v>14.333333333333334</v>
      </c>
      <c r="R593">
        <f>IF(E593=0,"",Player_Analysis!AA593/E593*90)</f>
        <v>0</v>
      </c>
      <c r="S593" t="str">
        <f t="array" ref="S593">IFERROR(INDEX('2023_24'!$O:$O,MATCH($A593,'2023_24'!$A:$A,0)),"")</f>
        <v/>
      </c>
      <c r="T593" t="str">
        <f>IFERROR(INDEX('2024_25'!$P:$P,MATCH($A593,'2024_25'!$A:$A,0)),"")</f>
        <v/>
      </c>
      <c r="U593">
        <f>IFERROR(INDEX('2025_26'!$P:$P,MATCH($A593,'2025_26'!$A:$A,0)),"")</f>
        <v>0</v>
      </c>
      <c r="V593" t="str">
        <f>IFERROR(INDEX('2023_24'!$P:$P,MATCH($A593,'2023_24'!$A:$A,0)),"")</f>
        <v/>
      </c>
      <c r="W593" t="str">
        <f>IFERROR(INDEX('2024_25'!$Q:$Q,MATCH($A593,'2024_25'!$A:$A,0)),"")</f>
        <v/>
      </c>
      <c r="X593">
        <f>IFERROR(INDEX('2025_26'!$Q:$Q,MATCH($A593,'2025_26'!$A:$A,0)),"")</f>
        <v>0</v>
      </c>
      <c r="Y593" t="str">
        <f>IFERROR(INDEX('2023_24'!$M:$M,MATCH($A593,'2023_24'!$A:$A,0))/INDEX('2023_24'!$G:$G,MATCH($A593,'2023_24'!$A:$A,0))*90,"")</f>
        <v/>
      </c>
      <c r="Z593" t="str">
        <f>IFERROR(INDEX('2024_25'!$M:$M,MATCH($A593,'2024_25'!$A:$A,0))/INDEX('2024_25'!$G:$G,MATCH($A593,'2024_25'!$A:$A,0))*90,"")</f>
        <v/>
      </c>
      <c r="AA593">
        <f>IFERROR(INDEX('2025_26'!$M:$M,MATCH($A593,'2025_26'!$A:$A,0))/INDEX('2025_26'!$G:$G,MATCH($A593,'2025_26'!$A:$A,0))*90,"")</f>
        <v>2.8571428571428568</v>
      </c>
      <c r="AB593">
        <f>IFERROR(SUMPRODUCT(S593:U593,{0.2,0.3,0.5})/SUMPRODUCT(--(S593:U593&lt;&gt;""),{0.2,0.3,0.5}),"")</f>
        <v>0</v>
      </c>
      <c r="AC593">
        <f>IFERROR(SUMPRODUCT(V593:X593,{0.2,0.3,0.5})/SUMPRODUCT(--(V593:X593&lt;&gt;""),{0.2,0.3,0.5}),"")</f>
        <v>0</v>
      </c>
      <c r="AD593">
        <f>IFERROR(SUMPRODUCT(Y593:AA593,{0.2,0.3,0.5})/SUMPRODUCT((Y593:AA593&lt;&gt;"")*{0.2,0.3,0.5}),O593)</f>
        <v>2.8571428571428568</v>
      </c>
      <c r="AE593">
        <f t="shared" si="239"/>
        <v>1</v>
      </c>
      <c r="AF593">
        <f t="shared" si="240"/>
        <v>90</v>
      </c>
      <c r="AG593">
        <f t="shared" si="241"/>
        <v>0</v>
      </c>
      <c r="AH593">
        <f t="shared" si="242"/>
        <v>0</v>
      </c>
      <c r="AI593" s="2">
        <f t="shared" si="243"/>
        <v>2.9857142857142858</v>
      </c>
      <c r="AJ593">
        <f t="shared" si="244"/>
        <v>0.9</v>
      </c>
      <c r="AK593" t="str">
        <f t="shared" si="245"/>
        <v>NO</v>
      </c>
      <c r="AL593">
        <f t="shared" si="246"/>
        <v>0</v>
      </c>
      <c r="AM593">
        <f t="shared" si="247"/>
        <v>0</v>
      </c>
      <c r="AN593">
        <f t="shared" si="248"/>
        <v>0</v>
      </c>
      <c r="AO593">
        <f t="shared" si="249"/>
        <v>0</v>
      </c>
      <c r="AP593">
        <f t="array" ref="AP593">AL593*IF($C593="GKP",10,IF($C593="DEF",6,IF($C593="MID",5,4)))</f>
        <v>0</v>
      </c>
      <c r="AQ593">
        <f t="shared" si="250"/>
        <v>0</v>
      </c>
      <c r="AR593">
        <f t="shared" si="251"/>
        <v>2</v>
      </c>
      <c r="AS593" s="2">
        <f>IF($H593=0,0,Player_Analysis!$AM593*$H593/90)</f>
        <v>1.3333333333333333</v>
      </c>
      <c r="AT593">
        <f t="shared" si="252"/>
        <v>0</v>
      </c>
      <c r="AU593" s="2">
        <f>0</f>
        <v>0</v>
      </c>
      <c r="AV593" s="2">
        <f>IF(INDEX(FPL_Raw_Data!K:K,MATCH(A593,FPL_Raw_Data!AA:AA,0))=0,"",INDEX(FPL_Raw_Data!P:P,MATCH(A593,FPL_Raw_Data!AA:AA,0))/INDEX(FPL_Raw_Data!K:K,MATCH(A593,FPL_Raw_Data!AA:AA,0))*90)</f>
        <v>2</v>
      </c>
      <c r="AW593" s="2">
        <f t="shared" si="253"/>
        <v>0.66666666666666663</v>
      </c>
      <c r="AX593" s="2">
        <f>IFERROR(INDEX(TEAM_ANALYSIS!$H$2:$H$21,MATCH($B593,TEAM_ANALYSIS!$A$2:$A$21,0)),0)</f>
        <v>1.6666666666666667</v>
      </c>
      <c r="AY593" s="2">
        <f t="shared" si="254"/>
        <v>0</v>
      </c>
      <c r="AZ593" s="2">
        <f t="shared" si="255"/>
        <v>3.9999999999999996</v>
      </c>
      <c r="BA593">
        <f t="shared" si="256"/>
        <v>0.88888888888888884</v>
      </c>
      <c r="BB593">
        <f>IFERROR(Player_Analysis!$Y593,1)</f>
        <v>0.97332359386413447</v>
      </c>
      <c r="BC593">
        <f t="shared" si="257"/>
        <v>3.8932943754565374</v>
      </c>
      <c r="BD593">
        <f t="shared" si="258"/>
        <v>3.460706111516922</v>
      </c>
      <c r="BE593">
        <f t="shared" si="259"/>
        <v>3.8932943754565374</v>
      </c>
      <c r="BF593">
        <f t="shared" si="260"/>
        <v>160</v>
      </c>
      <c r="BG593">
        <f>IF($BE593="","",COUNTIFS($C$2:$C$596,$C593,$BE$2:$BE$596,"&gt;"&amp;$BE593)+COUNTIFS($C$2:$C593,$C593,$BE$2:$BE593,$BE593))</f>
        <v>12</v>
      </c>
    </row>
    <row r="594" spans="1:59" x14ac:dyDescent="0.25">
      <c r="A594" t="str">
        <f>Player_Analysis!A594</f>
        <v>Martin Dubravka</v>
      </c>
      <c r="B594">
        <f>Player_Analysis!C594</f>
        <v>19</v>
      </c>
      <c r="C594" t="str">
        <f>Player_Analysis!B594</f>
        <v>GK</v>
      </c>
      <c r="D594" s="13">
        <f>Player_Analysis!E594</f>
        <v>4</v>
      </c>
      <c r="E594">
        <f>Player_Analysis!I594</f>
        <v>0</v>
      </c>
      <c r="F594" s="8">
        <f>Player_Analysis!Z594</f>
        <v>0</v>
      </c>
      <c r="G594" s="17">
        <f t="shared" si="235"/>
        <v>0</v>
      </c>
      <c r="H594">
        <f t="shared" si="236"/>
        <v>0</v>
      </c>
      <c r="I594" s="8">
        <f>Player_Analysis!AF594</f>
        <v>0</v>
      </c>
      <c r="J594" s="8">
        <f>Player_Analysis!AG594</f>
        <v>0</v>
      </c>
      <c r="K594">
        <f>Player_Analysis!O594</f>
        <v>0</v>
      </c>
      <c r="L594">
        <f>Player_Analysis!P594</f>
        <v>0</v>
      </c>
      <c r="M594" t="str">
        <f t="shared" si="237"/>
        <v/>
      </c>
      <c r="N594" t="str">
        <f t="shared" si="238"/>
        <v/>
      </c>
      <c r="O594" s="2" t="str">
        <f>IF(E594=0,"",Player_Analysis!L594/E594*90)</f>
        <v/>
      </c>
      <c r="P594" t="str">
        <f>IF(E594=0,"",Player_Analysis!Q594/E594*90)</f>
        <v/>
      </c>
      <c r="Q594" t="str">
        <f>IF(E594=0,"",(Player_Analysis!AD594/E594)*90)</f>
        <v/>
      </c>
      <c r="R594" t="str">
        <f>IF(E594=0,"",Player_Analysis!AA594/E594*90)</f>
        <v/>
      </c>
      <c r="S594">
        <f t="array" ref="S594">IFERROR(INDEX('2023_24'!$O:$O,MATCH($A594,'2023_24'!$A:$A,0)),"")</f>
        <v>0</v>
      </c>
      <c r="T594" t="str">
        <f>IFERROR(INDEX('2024_25'!$P:$P,MATCH($A594,'2024_25'!$A:$A,0)),"")</f>
        <v/>
      </c>
      <c r="U594" t="str">
        <f>IFERROR(INDEX('2025_26'!$P:$P,MATCH($A594,'2025_26'!$A:$A,0)),"")</f>
        <v/>
      </c>
      <c r="V594">
        <f>IFERROR(INDEX('2023_24'!$P:$P,MATCH($A594,'2023_24'!$A:$A,0)),"")</f>
        <v>0</v>
      </c>
      <c r="W594" t="str">
        <f>IFERROR(INDEX('2024_25'!$Q:$Q,MATCH($A594,'2024_25'!$A:$A,0)),"")</f>
        <v/>
      </c>
      <c r="X594" t="str">
        <f>IFERROR(INDEX('2025_26'!$Q:$Q,MATCH($A594,'2025_26'!$A:$A,0)),"")</f>
        <v/>
      </c>
      <c r="Y594">
        <f>IFERROR(INDEX('2023_24'!$M:$M,MATCH($A594,'2023_24'!$A:$A,0))/INDEX('2023_24'!$G:$G,MATCH($A594,'2023_24'!$A:$A,0))*90,"")</f>
        <v>3.402217741935484</v>
      </c>
      <c r="Z594" t="str">
        <f>IFERROR(INDEX('2024_25'!$M:$M,MATCH($A594,'2024_25'!$A:$A,0))/INDEX('2024_25'!$G:$G,MATCH($A594,'2024_25'!$A:$A,0))*90,"")</f>
        <v/>
      </c>
      <c r="AA594" t="str">
        <f>IFERROR(INDEX('2025_26'!$M:$M,MATCH($A594,'2025_26'!$A:$A,0))/INDEX('2025_26'!$G:$G,MATCH($A594,'2025_26'!$A:$A,0))*90,"")</f>
        <v/>
      </c>
      <c r="AB594">
        <f>IFERROR(SUMPRODUCT(S594:U594,{0.2,0.3,0.5})/SUMPRODUCT(--(S594:U594&lt;&gt;""),{0.2,0.3,0.5}),"")</f>
        <v>0</v>
      </c>
      <c r="AC594">
        <f>IFERROR(SUMPRODUCT(V594:X594,{0.2,0.3,0.5})/SUMPRODUCT(--(V594:X594&lt;&gt;""),{0.2,0.3,0.5}),"")</f>
        <v>0</v>
      </c>
      <c r="AD594">
        <f>IFERROR(SUMPRODUCT(Y594:AA594,{0.2,0.3,0.5})/SUMPRODUCT((Y594:AA594&lt;&gt;"")*{0.2,0.3,0.5}),O594)</f>
        <v>3.402217741935484</v>
      </c>
      <c r="AE594">
        <f t="shared" si="239"/>
        <v>1</v>
      </c>
      <c r="AF594" t="str">
        <f t="shared" si="240"/>
        <v/>
      </c>
      <c r="AG594">
        <f t="shared" si="241"/>
        <v>0</v>
      </c>
      <c r="AH594">
        <f t="shared" si="242"/>
        <v>0</v>
      </c>
      <c r="AI594" s="2">
        <f t="shared" si="243"/>
        <v>3.402217741935484</v>
      </c>
      <c r="AJ594">
        <f t="shared" si="244"/>
        <v>0</v>
      </c>
      <c r="AK594" t="str">
        <f t="shared" si="245"/>
        <v>NO</v>
      </c>
      <c r="AL594">
        <f t="shared" si="246"/>
        <v>0</v>
      </c>
      <c r="AM594">
        <f t="shared" si="247"/>
        <v>0</v>
      </c>
      <c r="AN594">
        <f t="shared" si="248"/>
        <v>0</v>
      </c>
      <c r="AO594">
        <f t="shared" si="249"/>
        <v>0</v>
      </c>
      <c r="AP594">
        <f t="array" ref="AP594">AL594*IF($C594="GKP",10,IF($C594="DEF",6,IF($C594="MID",5,4)))</f>
        <v>0</v>
      </c>
      <c r="AQ594">
        <f t="shared" si="250"/>
        <v>0</v>
      </c>
      <c r="AR594">
        <f t="shared" si="251"/>
        <v>0</v>
      </c>
      <c r="AS594" s="2">
        <f>IF($H594=0,0,Player_Analysis!$AM594*$H594/90)</f>
        <v>0</v>
      </c>
      <c r="AT594">
        <f t="shared" si="252"/>
        <v>0</v>
      </c>
      <c r="AU594" s="2">
        <f>0</f>
        <v>0</v>
      </c>
      <c r="AV594" s="2" t="str">
        <f>IF(INDEX(FPL_Raw_Data!K:K,MATCH(A594,FPL_Raw_Data!AA:AA,0))=0,"",INDEX(FPL_Raw_Data!P:P,MATCH(A594,FPL_Raw_Data!AA:AA,0))/INDEX(FPL_Raw_Data!K:K,MATCH(A594,FPL_Raw_Data!AA:AA,0))*90)</f>
        <v/>
      </c>
      <c r="AW594" s="2">
        <f t="shared" si="253"/>
        <v>0</v>
      </c>
      <c r="AX594" s="2">
        <f>IFERROR(INDEX(TEAM_ANALYSIS!$H$2:$H$21,MATCH($B594,TEAM_ANALYSIS!$A$2:$A$21,0)),0)</f>
        <v>1.6666666666666667</v>
      </c>
      <c r="AY594" s="2">
        <f t="shared" si="254"/>
        <v>0</v>
      </c>
      <c r="AZ594" s="2">
        <f t="shared" si="255"/>
        <v>0</v>
      </c>
      <c r="BA594">
        <f t="shared" si="256"/>
        <v>0</v>
      </c>
      <c r="BB594">
        <f>IFERROR(Player_Analysis!$Y594,1)</f>
        <v>0.97332359386413447</v>
      </c>
      <c r="BC594">
        <f t="shared" si="257"/>
        <v>0</v>
      </c>
      <c r="BD594">
        <f t="shared" si="258"/>
        <v>0</v>
      </c>
      <c r="BE594">
        <f t="shared" si="259"/>
        <v>0</v>
      </c>
      <c r="BF594">
        <f t="shared" si="260"/>
        <v>253</v>
      </c>
      <c r="BG594">
        <f>IF($BE594="","",COUNTIFS($C$2:$C$596,$C594,$BE$2:$BE$596,"&gt;"&amp;$BE594)+COUNTIFS($C$2:$C594,$C594,$BE$2:$BE594,$BE594))</f>
        <v>68</v>
      </c>
    </row>
    <row r="595" spans="1:59" x14ac:dyDescent="0.25">
      <c r="A595" t="str">
        <f>Player_Analysis!A595</f>
        <v>Marcos Senesi Barón</v>
      </c>
      <c r="B595">
        <f>Player_Analysis!C595</f>
        <v>19</v>
      </c>
      <c r="C595" t="str">
        <f>Player_Analysis!B595</f>
        <v>DEF</v>
      </c>
      <c r="D595" s="13">
        <f>Player_Analysis!E595</f>
        <v>5.9</v>
      </c>
      <c r="E595">
        <f>Player_Analysis!I595</f>
        <v>90</v>
      </c>
      <c r="F595" s="8">
        <f>Player_Analysis!Z595</f>
        <v>1</v>
      </c>
      <c r="G595" s="17">
        <f t="shared" si="235"/>
        <v>1</v>
      </c>
      <c r="H595">
        <f t="shared" si="236"/>
        <v>90</v>
      </c>
      <c r="I595" s="8">
        <f>Player_Analysis!AF595</f>
        <v>0</v>
      </c>
      <c r="J595" s="8">
        <f>Player_Analysis!AG595</f>
        <v>0</v>
      </c>
      <c r="K595">
        <f>Player_Analysis!O595</f>
        <v>0</v>
      </c>
      <c r="L595">
        <f>Player_Analysis!P595</f>
        <v>0.02</v>
      </c>
      <c r="M595">
        <f t="shared" si="237"/>
        <v>0</v>
      </c>
      <c r="N595">
        <f t="shared" si="238"/>
        <v>0.02</v>
      </c>
      <c r="O595" s="2">
        <f>IF(E595=0,"",Player_Analysis!L595/E595*90)</f>
        <v>3</v>
      </c>
      <c r="P595">
        <f>IF(E595=0,"",Player_Analysis!Q595/E595*90)</f>
        <v>0.02</v>
      </c>
      <c r="Q595">
        <f>IF(E595=0,"",(Player_Analysis!AD595/E595)*90)</f>
        <v>10</v>
      </c>
      <c r="R595">
        <f>IF(E595=0,"",Player_Analysis!AA595/E595*90)</f>
        <v>16</v>
      </c>
      <c r="S595" t="str">
        <f t="array" ref="S595">IFERROR(INDEX('2023_24'!$O:$O,MATCH($A595,'2023_24'!$A:$A,0)),"")</f>
        <v/>
      </c>
      <c r="T595" t="str">
        <f>IFERROR(INDEX('2024_25'!$P:$P,MATCH($A595,'2024_25'!$A:$A,0)),"")</f>
        <v/>
      </c>
      <c r="U595">
        <f>IFERROR(INDEX('2025_26'!$P:$P,MATCH($A595,'2025_26'!$A:$A,0)),"")</f>
        <v>4.1879562043795622E-2</v>
      </c>
      <c r="V595" t="str">
        <f>IFERROR(INDEX('2023_24'!$P:$P,MATCH($A595,'2023_24'!$A:$A,0)),"")</f>
        <v/>
      </c>
      <c r="W595" t="str">
        <f>IFERROR(INDEX('2024_25'!$Q:$Q,MATCH($A595,'2024_25'!$A:$A,0)),"")</f>
        <v/>
      </c>
      <c r="X595">
        <f>IFERROR(INDEX('2025_26'!$Q:$Q,MATCH($A595,'2025_26'!$A:$A,0)),"")</f>
        <v>0.1291970802919708</v>
      </c>
      <c r="Y595" t="str">
        <f>IFERROR(INDEX('2023_24'!$M:$M,MATCH($A595,'2023_24'!$A:$A,0))/INDEX('2023_24'!$G:$G,MATCH($A595,'2023_24'!$A:$A,0))*90,"")</f>
        <v/>
      </c>
      <c r="Z595" t="str">
        <f>IFERROR(INDEX('2024_25'!$M:$M,MATCH($A595,'2024_25'!$A:$A,0))/INDEX('2024_25'!$G:$G,MATCH($A595,'2024_25'!$A:$A,0))*90,"")</f>
        <v/>
      </c>
      <c r="AA595">
        <f>IFERROR(INDEX('2025_26'!$M:$M,MATCH($A595,'2025_26'!$A:$A,0))/INDEX('2025_26'!$G:$G,MATCH($A595,'2025_26'!$A:$A,0))*90,"")</f>
        <v>4.7901459854014599</v>
      </c>
      <c r="AB595">
        <f>IFERROR(SUMPRODUCT(S595:U595,{0.2,0.3,0.5})/SUMPRODUCT(--(S595:U595&lt;&gt;""),{0.2,0.3,0.5}),"")</f>
        <v>4.1879562043795622E-2</v>
      </c>
      <c r="AC595">
        <f>IFERROR(SUMPRODUCT(V595:X595,{0.2,0.3,0.5})/SUMPRODUCT(--(V595:X595&lt;&gt;""),{0.2,0.3,0.5}),"")</f>
        <v>0.1291970802919708</v>
      </c>
      <c r="AD595">
        <f>IFERROR(SUMPRODUCT(Y595:AA595,{0.2,0.3,0.5})/SUMPRODUCT((Y595:AA595&lt;&gt;"")*{0.2,0.3,0.5}),O595)</f>
        <v>4.7901459854014599</v>
      </c>
      <c r="AE595">
        <f t="shared" si="239"/>
        <v>1</v>
      </c>
      <c r="AF595">
        <f t="shared" si="240"/>
        <v>90</v>
      </c>
      <c r="AG595">
        <f t="shared" si="241"/>
        <v>2.9315693430656934E-2</v>
      </c>
      <c r="AH595">
        <f t="shared" si="242"/>
        <v>9.643795620437956E-2</v>
      </c>
      <c r="AI595" s="2">
        <f t="shared" si="243"/>
        <v>4.2531021897810213</v>
      </c>
      <c r="AJ595">
        <f t="shared" si="244"/>
        <v>0.3</v>
      </c>
      <c r="AK595" t="str">
        <f t="shared" si="245"/>
        <v>NO</v>
      </c>
      <c r="AL595">
        <f t="shared" si="246"/>
        <v>2.9315693430656934E-2</v>
      </c>
      <c r="AM595">
        <f t="shared" si="247"/>
        <v>9.643795620437956E-2</v>
      </c>
      <c r="AN595">
        <f t="shared" si="248"/>
        <v>2.9315693430656934E-2</v>
      </c>
      <c r="AO595">
        <f t="shared" si="249"/>
        <v>9.643795620437956E-2</v>
      </c>
      <c r="AP595">
        <f t="array" ref="AP595">AL595*IF($C595="GKP",10,IF($C595="DEF",6,IF($C595="MID",5,4)))</f>
        <v>0.17589416058394161</v>
      </c>
      <c r="AQ595">
        <f t="shared" si="250"/>
        <v>0.28931386861313868</v>
      </c>
      <c r="AR595">
        <f t="shared" si="251"/>
        <v>2</v>
      </c>
      <c r="AS595" s="2">
        <f>IF($H595=0,0,Player_Analysis!$AM595*$H595/90)</f>
        <v>0</v>
      </c>
      <c r="AT595">
        <f t="shared" si="252"/>
        <v>3.2</v>
      </c>
      <c r="AU595" s="2">
        <f>0</f>
        <v>0</v>
      </c>
      <c r="AV595" s="2">
        <f>IF(INDEX(FPL_Raw_Data!K:K,MATCH(A595,FPL_Raw_Data!AA:AA,0))=0,"",INDEX(FPL_Raw_Data!P:P,MATCH(A595,FPL_Raw_Data!AA:AA,0))/INDEX(FPL_Raw_Data!K:K,MATCH(A595,FPL_Raw_Data!AA:AA,0))*90)</f>
        <v>0</v>
      </c>
      <c r="AW595" s="2">
        <f t="shared" si="253"/>
        <v>0</v>
      </c>
      <c r="AX595" s="2">
        <f>IFERROR(INDEX(TEAM_ANALYSIS!$H$2:$H$21,MATCH($B595,TEAM_ANALYSIS!$A$2:$A$21,0)),0)</f>
        <v>1.6666666666666667</v>
      </c>
      <c r="AY595" s="2">
        <f t="shared" si="254"/>
        <v>-0.83333333333333337</v>
      </c>
      <c r="AZ595" s="2">
        <f t="shared" si="255"/>
        <v>4.8318746958637471</v>
      </c>
      <c r="BA595">
        <f t="shared" si="256"/>
        <v>0.81896181285826219</v>
      </c>
      <c r="BB595">
        <f>IFERROR(Player_Analysis!$Y595,1)</f>
        <v>0.97332359386413447</v>
      </c>
      <c r="BC595">
        <f t="shared" si="257"/>
        <v>4.7029776440792741</v>
      </c>
      <c r="BD595">
        <f t="shared" si="258"/>
        <v>3.8515590972270415</v>
      </c>
      <c r="BE595">
        <f t="shared" si="259"/>
        <v>4.7029776440792741</v>
      </c>
      <c r="BF595">
        <f t="shared" si="260"/>
        <v>114</v>
      </c>
      <c r="BG595">
        <f>IF($BE595="","",COUNTIFS($C$2:$C$596,$C595,$BE$2:$BE$596,"&gt;"&amp;$BE595)+COUNTIFS($C$2:$C595,$C595,$BE$2:$BE595,$BE595))</f>
        <v>42</v>
      </c>
    </row>
    <row r="596" spans="1:59" x14ac:dyDescent="0.25">
      <c r="A596" t="str">
        <f>Player_Analysis!A596</f>
        <v>Pedro Porro Sauceda</v>
      </c>
      <c r="B596">
        <f>Player_Analysis!C596</f>
        <v>19</v>
      </c>
      <c r="C596" t="str">
        <f>Player_Analysis!B596</f>
        <v>DEF</v>
      </c>
      <c r="D596" s="13">
        <f>Player_Analysis!E596</f>
        <v>5.5</v>
      </c>
      <c r="E596">
        <f>Player_Analysis!I596</f>
        <v>180</v>
      </c>
      <c r="F596" s="8">
        <f>Player_Analysis!Z596</f>
        <v>2</v>
      </c>
      <c r="G596" s="17">
        <f t="shared" si="235"/>
        <v>1</v>
      </c>
      <c r="H596">
        <f t="shared" si="236"/>
        <v>90</v>
      </c>
      <c r="I596" s="8">
        <f>Player_Analysis!AF596</f>
        <v>0</v>
      </c>
      <c r="J596" s="8">
        <f>Player_Analysis!AG596</f>
        <v>0</v>
      </c>
      <c r="K596">
        <f>Player_Analysis!O596</f>
        <v>0.36</v>
      </c>
      <c r="L596">
        <f>Player_Analysis!P596</f>
        <v>0.16</v>
      </c>
      <c r="M596">
        <f t="shared" si="237"/>
        <v>0.18</v>
      </c>
      <c r="N596">
        <f t="shared" si="238"/>
        <v>0.08</v>
      </c>
      <c r="O596" s="2">
        <f>IF(E596=0,"",Player_Analysis!L596/E596*90)</f>
        <v>4</v>
      </c>
      <c r="P596">
        <f>IF(E596=0,"",Player_Analysis!Q596/E596*90)</f>
        <v>0.26</v>
      </c>
      <c r="Q596">
        <f>IF(E596=0,"",(Player_Analysis!AD596/E596)*90)</f>
        <v>14.500000000000002</v>
      </c>
      <c r="R596">
        <f>IF(E596=0,"",Player_Analysis!AA596/E596*90)</f>
        <v>4</v>
      </c>
      <c r="S596" t="str">
        <f t="array" ref="S596">IFERROR(INDEX('2023_24'!$O:$O,MATCH($A596,'2023_24'!$A:$A,0)),"")</f>
        <v/>
      </c>
      <c r="T596" t="str">
        <f>IFERROR(INDEX('2024_25'!$P:$P,MATCH($A596,'2024_25'!$A:$A,0)),"")</f>
        <v/>
      </c>
      <c r="U596">
        <f>IFERROR(INDEX('2025_26'!$P:$P,MATCH($A596,'2025_26'!$A:$A,0)),"")</f>
        <v>3.3834586466165419E-2</v>
      </c>
      <c r="V596" t="str">
        <f>IFERROR(INDEX('2023_24'!$P:$P,MATCH($A596,'2023_24'!$A:$A,0)),"")</f>
        <v/>
      </c>
      <c r="W596" t="str">
        <f>IFERROR(INDEX('2024_25'!$Q:$Q,MATCH($A596,'2024_25'!$A:$A,0)),"")</f>
        <v/>
      </c>
      <c r="X596">
        <f>IFERROR(INDEX('2025_26'!$Q:$Q,MATCH($A596,'2025_26'!$A:$A,0)),"")</f>
        <v>0.14081632653061224</v>
      </c>
      <c r="Y596" t="str">
        <f>IFERROR(INDEX('2023_24'!$M:$M,MATCH($A596,'2023_24'!$A:$A,0))/INDEX('2023_24'!$G:$G,MATCH($A596,'2023_24'!$A:$A,0))*90,"")</f>
        <v/>
      </c>
      <c r="Z596" t="str">
        <f>IFERROR(INDEX('2024_25'!$M:$M,MATCH($A596,'2024_25'!$A:$A,0))/INDEX('2024_25'!$G:$G,MATCH($A596,'2024_25'!$A:$A,0))*90,"")</f>
        <v/>
      </c>
      <c r="AA596">
        <f>IFERROR(INDEX('2025_26'!$M:$M,MATCH($A596,'2025_26'!$A:$A,0))/INDEX('2025_26'!$G:$G,MATCH($A596,'2025_26'!$A:$A,0))*90,"")</f>
        <v>3.7701396348012888</v>
      </c>
      <c r="AB596">
        <f>IFERROR(SUMPRODUCT(S596:U596,{0.2,0.3,0.5})/SUMPRODUCT(--(S596:U596&lt;&gt;""),{0.2,0.3,0.5}),"")</f>
        <v>3.3834586466165419E-2</v>
      </c>
      <c r="AC596">
        <f>IFERROR(SUMPRODUCT(V596:X596,{0.2,0.3,0.5})/SUMPRODUCT(--(V596:X596&lt;&gt;""),{0.2,0.3,0.5}),"")</f>
        <v>0.14081632653061224</v>
      </c>
      <c r="AD596">
        <f>IFERROR(SUMPRODUCT(Y596:AA596,{0.2,0.3,0.5})/SUMPRODUCT((Y596:AA596&lt;&gt;"")*{0.2,0.3,0.5}),O596)</f>
        <v>3.7701396348012888</v>
      </c>
      <c r="AE596">
        <f t="shared" si="239"/>
        <v>1</v>
      </c>
      <c r="AF596">
        <f t="shared" si="240"/>
        <v>90</v>
      </c>
      <c r="AG596">
        <f t="shared" si="241"/>
        <v>0.12153383458646616</v>
      </c>
      <c r="AH596">
        <f t="shared" si="242"/>
        <v>0.10432653061224489</v>
      </c>
      <c r="AI596" s="2">
        <f t="shared" si="243"/>
        <v>3.9080558539205157</v>
      </c>
      <c r="AJ596">
        <f t="shared" si="244"/>
        <v>0.6</v>
      </c>
      <c r="AK596" t="str">
        <f t="shared" si="245"/>
        <v>NO</v>
      </c>
      <c r="AL596">
        <f t="shared" si="246"/>
        <v>0.12153383458646617</v>
      </c>
      <c r="AM596">
        <f t="shared" si="247"/>
        <v>0.10432653061224489</v>
      </c>
      <c r="AN596">
        <f t="shared" si="248"/>
        <v>0.12153383458646617</v>
      </c>
      <c r="AO596">
        <f t="shared" si="249"/>
        <v>0.10432653061224489</v>
      </c>
      <c r="AP596">
        <f t="array" ref="AP596">AL596*IF($C596="GKP",10,IF($C596="DEF",6,IF($C596="MID",5,4)))</f>
        <v>0.72920300751879708</v>
      </c>
      <c r="AQ596">
        <f t="shared" si="250"/>
        <v>0.31297959183673468</v>
      </c>
      <c r="AR596">
        <f t="shared" si="251"/>
        <v>2</v>
      </c>
      <c r="AS596" s="2">
        <f>IF($H596=0,0,Player_Analysis!$AM596*$H596/90)</f>
        <v>2</v>
      </c>
      <c r="AT596">
        <f t="shared" si="252"/>
        <v>0.8</v>
      </c>
      <c r="AU596" s="2">
        <f>0</f>
        <v>0</v>
      </c>
      <c r="AV596" s="2">
        <f>IF(INDEX(FPL_Raw_Data!K:K,MATCH(A596,FPL_Raw_Data!AA:AA,0))=0,"",INDEX(FPL_Raw_Data!P:P,MATCH(A596,FPL_Raw_Data!AA:AA,0))/INDEX(FPL_Raw_Data!K:K,MATCH(A596,FPL_Raw_Data!AA:AA,0))*90)</f>
        <v>0</v>
      </c>
      <c r="AW596" s="2">
        <f t="shared" si="253"/>
        <v>0</v>
      </c>
      <c r="AX596" s="2">
        <f>IFERROR(INDEX(TEAM_ANALYSIS!$H$2:$H$21,MATCH($B596,TEAM_ANALYSIS!$A$2:$A$21,0)),0)</f>
        <v>1.6666666666666667</v>
      </c>
      <c r="AY596" s="2">
        <f t="shared" si="254"/>
        <v>-0.83333333333333337</v>
      </c>
      <c r="AZ596" s="2">
        <f t="shared" si="255"/>
        <v>5.0088492660221986</v>
      </c>
      <c r="BA596">
        <f t="shared" si="256"/>
        <v>0.91069986654949064</v>
      </c>
      <c r="BB596">
        <f>IFERROR(Player_Analysis!$Y596,1)</f>
        <v>0.97332359386413447</v>
      </c>
      <c r="BC596">
        <f t="shared" si="257"/>
        <v>4.8752311687284582</v>
      </c>
      <c r="BD596">
        <f t="shared" si="258"/>
        <v>4.4398723747589246</v>
      </c>
      <c r="BE596">
        <f t="shared" si="259"/>
        <v>4.8752311687284582</v>
      </c>
      <c r="BF596">
        <f t="shared" si="260"/>
        <v>103</v>
      </c>
      <c r="BG596">
        <f>IF($BE596="","",COUNTIFS($C$2:$C$596,$C596,$BE$2:$BE$596,"&gt;"&amp;$BE596)+COUNTIFS($C$2:$C596,$C596,$BE$2:$BE596,$BE596))</f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E13F-21BA-4DE6-8220-6A1F2D28D440}">
  <dimension ref="A1:P866"/>
  <sheetViews>
    <sheetView topLeftCell="C1" workbookViewId="0">
      <selection activeCell="P4" sqref="P4"/>
    </sheetView>
  </sheetViews>
  <sheetFormatPr defaultRowHeight="15" x14ac:dyDescent="0.25"/>
  <cols>
    <col min="1" max="1" width="34.42578125" bestFit="1" customWidth="1"/>
    <col min="2" max="2" width="19.140625" bestFit="1" customWidth="1"/>
    <col min="3" max="3" width="26.42578125" bestFit="1" customWidth="1"/>
    <col min="4" max="4" width="7.85546875" bestFit="1" customWidth="1"/>
    <col min="5" max="5" width="16" bestFit="1" customWidth="1"/>
    <col min="6" max="6" width="11.7109375" bestFit="1" customWidth="1"/>
    <col min="7" max="7" width="10.5703125" bestFit="1" customWidth="1"/>
    <col min="8" max="8" width="8.140625" bestFit="1" customWidth="1"/>
    <col min="9" max="9" width="14.7109375" bestFit="1" customWidth="1"/>
    <col min="10" max="10" width="9" bestFit="1" customWidth="1"/>
    <col min="11" max="11" width="17.28515625" bestFit="1" customWidth="1"/>
    <col min="12" max="12" width="18.42578125" bestFit="1" customWidth="1"/>
    <col min="13" max="13" width="14" bestFit="1" customWidth="1"/>
    <col min="14" max="14" width="6.42578125" bestFit="1" customWidth="1"/>
    <col min="15" max="15" width="12.7109375" bestFit="1" customWidth="1"/>
    <col min="16" max="16" width="12.5703125" bestFit="1" customWidth="1"/>
  </cols>
  <sheetData>
    <row r="1" spans="1:16" x14ac:dyDescent="0.25">
      <c r="A1" t="s">
        <v>1036</v>
      </c>
      <c r="B1" t="s">
        <v>4</v>
      </c>
      <c r="C1" t="s">
        <v>7</v>
      </c>
      <c r="D1" t="s">
        <v>8</v>
      </c>
      <c r="E1" t="s">
        <v>1030</v>
      </c>
      <c r="F1" t="s">
        <v>5</v>
      </c>
      <c r="G1" t="s">
        <v>10</v>
      </c>
      <c r="H1" t="s">
        <v>1028</v>
      </c>
      <c r="I1" t="s">
        <v>11</v>
      </c>
      <c r="J1" t="s">
        <v>12</v>
      </c>
      <c r="K1" t="s">
        <v>17</v>
      </c>
      <c r="L1" t="s">
        <v>18</v>
      </c>
      <c r="M1" t="s">
        <v>9</v>
      </c>
      <c r="N1" t="s">
        <v>16</v>
      </c>
      <c r="O1" t="s">
        <v>2590</v>
      </c>
      <c r="P1" t="s">
        <v>2591</v>
      </c>
    </row>
    <row r="2" spans="1:16" x14ac:dyDescent="0.25">
      <c r="A2" t="str">
        <f t="shared" ref="A2:A65" si="0">_xlfn.CONCAT(B2, " ", C2)</f>
        <v>Folarin Balogun</v>
      </c>
      <c r="B2" t="s">
        <v>1273</v>
      </c>
      <c r="C2" t="s">
        <v>1274</v>
      </c>
      <c r="D2">
        <v>1</v>
      </c>
      <c r="E2">
        <v>4</v>
      </c>
      <c r="F2">
        <v>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 t="shared" ref="O2:O65" si="1">IFERROR(K2/G2*90,0)</f>
        <v>0</v>
      </c>
      <c r="P2">
        <f t="shared" ref="P2:P65" si="2">IFERROR(L2/G2*90,0)</f>
        <v>0</v>
      </c>
    </row>
    <row r="3" spans="1:16" x14ac:dyDescent="0.25">
      <c r="A3" t="str">
        <f t="shared" si="0"/>
        <v>Cédric Alves Soares</v>
      </c>
      <c r="B3" t="s">
        <v>606</v>
      </c>
      <c r="C3" t="s">
        <v>1275</v>
      </c>
      <c r="D3">
        <v>1</v>
      </c>
      <c r="E3">
        <v>2</v>
      </c>
      <c r="F3">
        <v>38</v>
      </c>
      <c r="G3">
        <v>59</v>
      </c>
      <c r="H3">
        <v>0</v>
      </c>
      <c r="I3">
        <v>0</v>
      </c>
      <c r="J3">
        <v>0</v>
      </c>
      <c r="K3">
        <v>0</v>
      </c>
      <c r="L3">
        <v>0.02</v>
      </c>
      <c r="M3">
        <v>3</v>
      </c>
      <c r="N3">
        <v>15</v>
      </c>
      <c r="O3">
        <f t="shared" si="1"/>
        <v>0</v>
      </c>
      <c r="P3">
        <f t="shared" si="2"/>
        <v>3.0508474576271188E-2</v>
      </c>
    </row>
    <row r="4" spans="1:16" x14ac:dyDescent="0.25">
      <c r="A4" t="str">
        <f t="shared" si="0"/>
        <v>Mohamed Elneny</v>
      </c>
      <c r="B4" t="s">
        <v>561</v>
      </c>
      <c r="C4" t="s">
        <v>1276</v>
      </c>
      <c r="D4">
        <v>1</v>
      </c>
      <c r="E4">
        <v>3</v>
      </c>
      <c r="F4">
        <v>44</v>
      </c>
      <c r="G4">
        <v>25</v>
      </c>
      <c r="H4">
        <v>0</v>
      </c>
      <c r="I4">
        <v>0</v>
      </c>
      <c r="J4">
        <v>1</v>
      </c>
      <c r="K4">
        <v>0.08</v>
      </c>
      <c r="L4">
        <v>0.01</v>
      </c>
      <c r="M4">
        <v>6</v>
      </c>
      <c r="N4">
        <v>16</v>
      </c>
      <c r="O4">
        <f t="shared" si="1"/>
        <v>0.28800000000000003</v>
      </c>
      <c r="P4">
        <f t="shared" si="2"/>
        <v>3.6000000000000004E-2</v>
      </c>
    </row>
    <row r="5" spans="1:16" x14ac:dyDescent="0.25">
      <c r="A5" t="str">
        <f t="shared" si="0"/>
        <v>Fábio Ferreira Vieira</v>
      </c>
      <c r="B5" t="s">
        <v>61</v>
      </c>
      <c r="C5" t="s">
        <v>62</v>
      </c>
      <c r="D5">
        <v>1</v>
      </c>
      <c r="E5">
        <v>3</v>
      </c>
      <c r="F5">
        <v>54</v>
      </c>
      <c r="G5">
        <v>290</v>
      </c>
      <c r="H5">
        <v>2</v>
      </c>
      <c r="I5">
        <v>1</v>
      </c>
      <c r="J5">
        <v>3</v>
      </c>
      <c r="K5">
        <v>1.25</v>
      </c>
      <c r="L5">
        <v>0.64</v>
      </c>
      <c r="M5">
        <v>24</v>
      </c>
      <c r="N5">
        <v>67</v>
      </c>
      <c r="O5">
        <f t="shared" si="1"/>
        <v>0.38793103448275862</v>
      </c>
      <c r="P5">
        <f t="shared" si="2"/>
        <v>0.19862068965517243</v>
      </c>
    </row>
    <row r="6" spans="1:16" x14ac:dyDescent="0.25">
      <c r="A6" t="str">
        <f t="shared" si="0"/>
        <v>Gabriel dos Santos Magalhães</v>
      </c>
      <c r="B6" t="s">
        <v>26</v>
      </c>
      <c r="C6" t="s">
        <v>27</v>
      </c>
      <c r="D6">
        <v>1</v>
      </c>
      <c r="E6">
        <v>2</v>
      </c>
      <c r="F6">
        <v>54</v>
      </c>
      <c r="G6">
        <v>3042</v>
      </c>
      <c r="H6">
        <v>34</v>
      </c>
      <c r="I6">
        <v>3</v>
      </c>
      <c r="J6">
        <v>1</v>
      </c>
      <c r="K6">
        <v>4.4800000000000004</v>
      </c>
      <c r="L6">
        <v>0.65</v>
      </c>
      <c r="M6">
        <v>149</v>
      </c>
      <c r="N6">
        <v>676</v>
      </c>
      <c r="O6">
        <f t="shared" si="1"/>
        <v>0.13254437869822486</v>
      </c>
      <c r="P6">
        <f t="shared" si="2"/>
        <v>1.9230769230769232E-2</v>
      </c>
    </row>
    <row r="7" spans="1:16" x14ac:dyDescent="0.25">
      <c r="A7" t="str">
        <f t="shared" si="0"/>
        <v>Kai Havertz</v>
      </c>
      <c r="B7" t="s">
        <v>67</v>
      </c>
      <c r="C7" t="s">
        <v>68</v>
      </c>
      <c r="D7">
        <v>1</v>
      </c>
      <c r="E7">
        <v>3</v>
      </c>
      <c r="F7">
        <v>76</v>
      </c>
      <c r="G7">
        <v>2627</v>
      </c>
      <c r="H7">
        <v>30</v>
      </c>
      <c r="I7">
        <v>13</v>
      </c>
      <c r="J7">
        <v>10</v>
      </c>
      <c r="K7">
        <v>12.36</v>
      </c>
      <c r="L7">
        <v>3.88</v>
      </c>
      <c r="M7">
        <v>180</v>
      </c>
      <c r="N7">
        <v>515</v>
      </c>
      <c r="O7">
        <f t="shared" si="1"/>
        <v>0.42344880091358961</v>
      </c>
      <c r="P7">
        <f t="shared" si="2"/>
        <v>0.13292729349067378</v>
      </c>
    </row>
    <row r="8" spans="1:16" x14ac:dyDescent="0.25">
      <c r="A8" t="str">
        <f t="shared" si="0"/>
        <v>Gabriel Fernando de Jesus</v>
      </c>
      <c r="B8" t="s">
        <v>26</v>
      </c>
      <c r="C8" t="s">
        <v>69</v>
      </c>
      <c r="D8">
        <v>1</v>
      </c>
      <c r="E8">
        <v>4</v>
      </c>
      <c r="F8">
        <v>77</v>
      </c>
      <c r="G8">
        <v>1470</v>
      </c>
      <c r="H8">
        <v>17</v>
      </c>
      <c r="I8">
        <v>4</v>
      </c>
      <c r="J8">
        <v>7</v>
      </c>
      <c r="K8">
        <v>6.27</v>
      </c>
      <c r="L8">
        <v>3.26</v>
      </c>
      <c r="M8">
        <v>85</v>
      </c>
      <c r="N8">
        <v>271</v>
      </c>
      <c r="O8">
        <f t="shared" si="1"/>
        <v>0.38387755102040816</v>
      </c>
      <c r="P8">
        <f t="shared" si="2"/>
        <v>0.19959183673469386</v>
      </c>
    </row>
    <row r="9" spans="1:16" x14ac:dyDescent="0.25">
      <c r="A9" t="str">
        <f t="shared" si="0"/>
        <v>Jorge Luiz Frello Filho</v>
      </c>
      <c r="B9" t="s">
        <v>1277</v>
      </c>
      <c r="C9" t="s">
        <v>1278</v>
      </c>
      <c r="D9">
        <v>1</v>
      </c>
      <c r="E9">
        <v>3</v>
      </c>
      <c r="F9">
        <v>53</v>
      </c>
      <c r="G9">
        <v>913</v>
      </c>
      <c r="H9">
        <v>10</v>
      </c>
      <c r="I9">
        <v>0</v>
      </c>
      <c r="J9">
        <v>2</v>
      </c>
      <c r="K9">
        <v>0.1</v>
      </c>
      <c r="L9">
        <v>1.77</v>
      </c>
      <c r="M9">
        <v>44</v>
      </c>
      <c r="N9">
        <v>182</v>
      </c>
      <c r="O9">
        <f t="shared" si="1"/>
        <v>9.8576122672508221E-3</v>
      </c>
      <c r="P9">
        <f t="shared" si="2"/>
        <v>0.17447973713033954</v>
      </c>
    </row>
    <row r="10" spans="1:16" x14ac:dyDescent="0.25">
      <c r="A10" t="str">
        <f t="shared" si="0"/>
        <v>Jakub Kiwior</v>
      </c>
      <c r="B10" t="s">
        <v>1279</v>
      </c>
      <c r="C10" t="s">
        <v>1280</v>
      </c>
      <c r="D10">
        <v>1</v>
      </c>
      <c r="E10">
        <v>2</v>
      </c>
      <c r="F10">
        <v>40</v>
      </c>
      <c r="G10">
        <v>942</v>
      </c>
      <c r="H10">
        <v>11</v>
      </c>
      <c r="I10">
        <v>1</v>
      </c>
      <c r="J10">
        <v>3</v>
      </c>
      <c r="K10">
        <v>0.74</v>
      </c>
      <c r="L10">
        <v>0.6</v>
      </c>
      <c r="M10">
        <v>67</v>
      </c>
      <c r="N10">
        <v>260</v>
      </c>
      <c r="O10">
        <f t="shared" si="1"/>
        <v>7.0700636942675157E-2</v>
      </c>
      <c r="P10">
        <f t="shared" si="2"/>
        <v>5.7324840764331204E-2</v>
      </c>
    </row>
    <row r="11" spans="1:16" x14ac:dyDescent="0.25">
      <c r="A11" t="str">
        <f t="shared" si="0"/>
        <v>Marcus Oliveira Alencar</v>
      </c>
      <c r="B11" t="s">
        <v>151</v>
      </c>
      <c r="C11" t="s">
        <v>1281</v>
      </c>
      <c r="D11">
        <v>1</v>
      </c>
      <c r="E11">
        <v>3</v>
      </c>
      <c r="F11">
        <v>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1"/>
        <v>0</v>
      </c>
      <c r="P11">
        <f t="shared" si="2"/>
        <v>0</v>
      </c>
    </row>
    <row r="12" spans="1:16" x14ac:dyDescent="0.25">
      <c r="A12" t="str">
        <f t="shared" si="0"/>
        <v>Gabriel Martinelli Silva</v>
      </c>
      <c r="B12" t="s">
        <v>26</v>
      </c>
      <c r="C12" t="s">
        <v>54</v>
      </c>
      <c r="D12">
        <v>1</v>
      </c>
      <c r="E12">
        <v>3</v>
      </c>
      <c r="F12">
        <v>75</v>
      </c>
      <c r="G12">
        <v>2010</v>
      </c>
      <c r="H12">
        <v>24</v>
      </c>
      <c r="I12">
        <v>6</v>
      </c>
      <c r="J12">
        <v>5</v>
      </c>
      <c r="K12">
        <v>6.36</v>
      </c>
      <c r="L12">
        <v>5.18</v>
      </c>
      <c r="M12">
        <v>118</v>
      </c>
      <c r="N12">
        <v>404</v>
      </c>
      <c r="O12">
        <f t="shared" si="1"/>
        <v>0.28477611940298508</v>
      </c>
      <c r="P12">
        <f t="shared" si="2"/>
        <v>0.23194029850746267</v>
      </c>
    </row>
    <row r="13" spans="1:16" x14ac:dyDescent="0.25">
      <c r="A13" t="str">
        <f t="shared" si="0"/>
        <v>Eddie Nketiah</v>
      </c>
      <c r="B13" t="s">
        <v>456</v>
      </c>
      <c r="C13" t="s">
        <v>457</v>
      </c>
      <c r="D13">
        <v>1</v>
      </c>
      <c r="E13">
        <v>4</v>
      </c>
      <c r="F13">
        <v>50</v>
      </c>
      <c r="G13">
        <v>1065</v>
      </c>
      <c r="H13">
        <v>10</v>
      </c>
      <c r="I13">
        <v>5</v>
      </c>
      <c r="J13">
        <v>4</v>
      </c>
      <c r="K13">
        <v>4.6500000000000004</v>
      </c>
      <c r="L13">
        <v>0.53</v>
      </c>
      <c r="M13">
        <v>71</v>
      </c>
      <c r="N13">
        <v>206</v>
      </c>
      <c r="O13">
        <f t="shared" si="1"/>
        <v>0.39295774647887322</v>
      </c>
      <c r="P13">
        <f t="shared" si="2"/>
        <v>4.4788732394366197E-2</v>
      </c>
    </row>
    <row r="14" spans="1:16" x14ac:dyDescent="0.25">
      <c r="A14" t="str">
        <f t="shared" si="0"/>
        <v>Martin Ødegaard</v>
      </c>
      <c r="B14" t="s">
        <v>48</v>
      </c>
      <c r="C14" t="s">
        <v>49</v>
      </c>
      <c r="D14">
        <v>1</v>
      </c>
      <c r="E14">
        <v>3</v>
      </c>
      <c r="F14">
        <v>86</v>
      </c>
      <c r="G14">
        <v>3098</v>
      </c>
      <c r="H14">
        <v>35</v>
      </c>
      <c r="I14">
        <v>8</v>
      </c>
      <c r="J14">
        <v>11</v>
      </c>
      <c r="K14">
        <v>7.53</v>
      </c>
      <c r="L14">
        <v>10.16</v>
      </c>
      <c r="M14">
        <v>186</v>
      </c>
      <c r="N14">
        <v>703</v>
      </c>
      <c r="O14">
        <f t="shared" si="1"/>
        <v>0.21875403486120079</v>
      </c>
      <c r="P14">
        <f t="shared" si="2"/>
        <v>0.29515816655907035</v>
      </c>
    </row>
    <row r="15" spans="1:16" x14ac:dyDescent="0.25">
      <c r="A15" t="str">
        <f t="shared" si="0"/>
        <v>Thomas Partey</v>
      </c>
      <c r="B15" t="s">
        <v>364</v>
      </c>
      <c r="C15" t="s">
        <v>1282</v>
      </c>
      <c r="D15">
        <v>1</v>
      </c>
      <c r="E15">
        <v>3</v>
      </c>
      <c r="F15">
        <v>48</v>
      </c>
      <c r="G15">
        <v>785</v>
      </c>
      <c r="H15">
        <v>9</v>
      </c>
      <c r="I15">
        <v>0</v>
      </c>
      <c r="J15">
        <v>0</v>
      </c>
      <c r="K15">
        <v>0.43</v>
      </c>
      <c r="L15">
        <v>0.57999999999999996</v>
      </c>
      <c r="M15">
        <v>24</v>
      </c>
      <c r="N15">
        <v>142</v>
      </c>
      <c r="O15">
        <f t="shared" si="1"/>
        <v>4.9299363057324845E-2</v>
      </c>
      <c r="P15">
        <f t="shared" si="2"/>
        <v>6.6496815286624197E-2</v>
      </c>
    </row>
    <row r="16" spans="1:16" x14ac:dyDescent="0.25">
      <c r="A16" t="str">
        <f t="shared" si="0"/>
        <v>Nicolas Pépé</v>
      </c>
      <c r="B16" t="s">
        <v>336</v>
      </c>
      <c r="C16" t="s">
        <v>1283</v>
      </c>
      <c r="D16">
        <v>1</v>
      </c>
      <c r="E16">
        <v>3</v>
      </c>
      <c r="F16">
        <v>49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1"/>
        <v>0</v>
      </c>
      <c r="P16">
        <f t="shared" si="2"/>
        <v>0</v>
      </c>
    </row>
    <row r="17" spans="1:16" x14ac:dyDescent="0.25">
      <c r="A17" t="str">
        <f t="shared" si="0"/>
        <v>Aaron Ramsdale</v>
      </c>
      <c r="B17" t="s">
        <v>197</v>
      </c>
      <c r="C17" t="s">
        <v>1284</v>
      </c>
      <c r="D17">
        <v>1</v>
      </c>
      <c r="E17">
        <v>1</v>
      </c>
      <c r="F17">
        <v>45</v>
      </c>
      <c r="G17">
        <v>540</v>
      </c>
      <c r="H17">
        <v>6</v>
      </c>
      <c r="I17">
        <v>0</v>
      </c>
      <c r="J17">
        <v>0</v>
      </c>
      <c r="K17">
        <v>0</v>
      </c>
      <c r="L17">
        <v>0.01</v>
      </c>
      <c r="M17">
        <v>20</v>
      </c>
      <c r="N17">
        <v>90</v>
      </c>
      <c r="O17">
        <f t="shared" si="1"/>
        <v>0</v>
      </c>
      <c r="P17">
        <f t="shared" si="2"/>
        <v>1.6666666666666666E-3</v>
      </c>
    </row>
    <row r="18" spans="1:16" x14ac:dyDescent="0.25">
      <c r="A18" t="str">
        <f t="shared" si="0"/>
        <v>Rúnar Alex Rúnarsson</v>
      </c>
      <c r="B18" t="s">
        <v>1285</v>
      </c>
      <c r="C18" t="s">
        <v>1286</v>
      </c>
      <c r="D18">
        <v>1</v>
      </c>
      <c r="E18">
        <v>1</v>
      </c>
      <c r="F18">
        <v>40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1"/>
        <v>0</v>
      </c>
      <c r="P18">
        <f t="shared" si="2"/>
        <v>0</v>
      </c>
    </row>
    <row r="19" spans="1:16" x14ac:dyDescent="0.25">
      <c r="A19" t="str">
        <f t="shared" si="0"/>
        <v>Bukayo Saka</v>
      </c>
      <c r="B19" t="s">
        <v>42</v>
      </c>
      <c r="C19" t="s">
        <v>43</v>
      </c>
      <c r="D19">
        <v>1</v>
      </c>
      <c r="E19">
        <v>3</v>
      </c>
      <c r="F19">
        <v>88</v>
      </c>
      <c r="G19">
        <v>2922</v>
      </c>
      <c r="H19">
        <v>35</v>
      </c>
      <c r="I19">
        <v>16</v>
      </c>
      <c r="J19">
        <v>12</v>
      </c>
      <c r="K19">
        <v>15.4</v>
      </c>
      <c r="L19">
        <v>10.9</v>
      </c>
      <c r="M19">
        <v>226</v>
      </c>
      <c r="N19">
        <v>776</v>
      </c>
      <c r="O19">
        <f t="shared" si="1"/>
        <v>0.47433264887063659</v>
      </c>
      <c r="P19">
        <f t="shared" si="2"/>
        <v>0.33572895277207393</v>
      </c>
    </row>
    <row r="20" spans="1:16" x14ac:dyDescent="0.25">
      <c r="A20" t="str">
        <f t="shared" si="0"/>
        <v>William Saliba</v>
      </c>
      <c r="B20" t="s">
        <v>30</v>
      </c>
      <c r="C20" t="s">
        <v>31</v>
      </c>
      <c r="D20">
        <v>1</v>
      </c>
      <c r="E20">
        <v>2</v>
      </c>
      <c r="F20">
        <v>59</v>
      </c>
      <c r="G20">
        <v>3420</v>
      </c>
      <c r="H20">
        <v>38</v>
      </c>
      <c r="I20">
        <v>2</v>
      </c>
      <c r="J20">
        <v>1</v>
      </c>
      <c r="K20">
        <v>1.7</v>
      </c>
      <c r="L20">
        <v>0.9</v>
      </c>
      <c r="M20">
        <v>164</v>
      </c>
      <c r="N20">
        <v>781</v>
      </c>
      <c r="O20">
        <f t="shared" si="1"/>
        <v>4.4736842105263158E-2</v>
      </c>
      <c r="P20">
        <f t="shared" si="2"/>
        <v>2.368421052631579E-2</v>
      </c>
    </row>
    <row r="21" spans="1:16" x14ac:dyDescent="0.25">
      <c r="A21" t="str">
        <f t="shared" si="0"/>
        <v>Emile Smith Rowe</v>
      </c>
      <c r="B21" t="s">
        <v>522</v>
      </c>
      <c r="C21" t="s">
        <v>523</v>
      </c>
      <c r="D21">
        <v>1</v>
      </c>
      <c r="E21">
        <v>3</v>
      </c>
      <c r="F21">
        <v>53</v>
      </c>
      <c r="G21">
        <v>343</v>
      </c>
      <c r="H21">
        <v>3</v>
      </c>
      <c r="I21">
        <v>0</v>
      </c>
      <c r="J21">
        <v>2</v>
      </c>
      <c r="K21">
        <v>1.86</v>
      </c>
      <c r="L21">
        <v>0.4</v>
      </c>
      <c r="M21">
        <v>25</v>
      </c>
      <c r="N21">
        <v>73</v>
      </c>
      <c r="O21">
        <f t="shared" si="1"/>
        <v>0.48804664723032071</v>
      </c>
      <c r="P21">
        <f t="shared" si="2"/>
        <v>0.10495626822157435</v>
      </c>
    </row>
    <row r="22" spans="1:16" x14ac:dyDescent="0.25">
      <c r="A22" t="str">
        <f t="shared" si="0"/>
        <v>Kieran Tierney</v>
      </c>
      <c r="B22" t="s">
        <v>564</v>
      </c>
      <c r="C22" t="s">
        <v>1287</v>
      </c>
      <c r="D22">
        <v>1</v>
      </c>
      <c r="E22">
        <v>2</v>
      </c>
      <c r="F22">
        <v>44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1"/>
        <v>0</v>
      </c>
      <c r="P22">
        <f t="shared" si="2"/>
        <v>0</v>
      </c>
    </row>
    <row r="23" spans="1:16" x14ac:dyDescent="0.25">
      <c r="A23" t="str">
        <f t="shared" si="0"/>
        <v>Takehiro Tomiyasu</v>
      </c>
      <c r="B23" t="s">
        <v>464</v>
      </c>
      <c r="C23" t="s">
        <v>465</v>
      </c>
      <c r="D23">
        <v>1</v>
      </c>
      <c r="E23">
        <v>2</v>
      </c>
      <c r="F23">
        <v>45</v>
      </c>
      <c r="G23">
        <v>1140</v>
      </c>
      <c r="H23">
        <v>10</v>
      </c>
      <c r="I23">
        <v>2</v>
      </c>
      <c r="J23">
        <v>1</v>
      </c>
      <c r="K23">
        <v>1.74</v>
      </c>
      <c r="L23">
        <v>0.68</v>
      </c>
      <c r="M23">
        <v>70</v>
      </c>
      <c r="N23">
        <v>244</v>
      </c>
      <c r="O23">
        <f t="shared" si="1"/>
        <v>0.13736842105263158</v>
      </c>
      <c r="P23">
        <f t="shared" si="2"/>
        <v>5.3684210526315793E-2</v>
      </c>
    </row>
    <row r="24" spans="1:16" x14ac:dyDescent="0.25">
      <c r="A24" t="str">
        <f t="shared" si="0"/>
        <v>Leandro Trossard</v>
      </c>
      <c r="B24" t="s">
        <v>1288</v>
      </c>
      <c r="C24" t="s">
        <v>1289</v>
      </c>
      <c r="D24">
        <v>1</v>
      </c>
      <c r="E24">
        <v>3</v>
      </c>
      <c r="F24">
        <v>66</v>
      </c>
      <c r="G24">
        <v>1633</v>
      </c>
      <c r="H24">
        <v>18</v>
      </c>
      <c r="I24">
        <v>12</v>
      </c>
      <c r="J24">
        <v>2</v>
      </c>
      <c r="K24">
        <v>8.2899999999999991</v>
      </c>
      <c r="L24">
        <v>2.96</v>
      </c>
      <c r="M24">
        <v>138</v>
      </c>
      <c r="N24">
        <v>398</v>
      </c>
      <c r="O24">
        <f t="shared" si="1"/>
        <v>0.45688916105327609</v>
      </c>
      <c r="P24">
        <f t="shared" si="2"/>
        <v>0.1631353337415799</v>
      </c>
    </row>
    <row r="25" spans="1:16" x14ac:dyDescent="0.25">
      <c r="A25" t="str">
        <f t="shared" si="0"/>
        <v>Benjamin White</v>
      </c>
      <c r="B25" t="s">
        <v>38</v>
      </c>
      <c r="C25" t="s">
        <v>39</v>
      </c>
      <c r="D25">
        <v>1</v>
      </c>
      <c r="E25">
        <v>2</v>
      </c>
      <c r="F25">
        <v>61</v>
      </c>
      <c r="G25">
        <v>2987</v>
      </c>
      <c r="H25">
        <v>35</v>
      </c>
      <c r="I25">
        <v>4</v>
      </c>
      <c r="J25">
        <v>5</v>
      </c>
      <c r="K25">
        <v>1.27</v>
      </c>
      <c r="L25">
        <v>3.66</v>
      </c>
      <c r="M25">
        <v>182</v>
      </c>
      <c r="N25">
        <v>776</v>
      </c>
      <c r="O25">
        <f t="shared" si="1"/>
        <v>3.8265818547037159E-2</v>
      </c>
      <c r="P25">
        <f t="shared" si="2"/>
        <v>0.11027787077335119</v>
      </c>
    </row>
    <row r="26" spans="1:16" x14ac:dyDescent="0.25">
      <c r="A26" t="str">
        <f t="shared" si="0"/>
        <v>Granit Xhaka</v>
      </c>
      <c r="B26" t="s">
        <v>1008</v>
      </c>
      <c r="C26" t="s">
        <v>1009</v>
      </c>
      <c r="D26">
        <v>1</v>
      </c>
      <c r="E26">
        <v>3</v>
      </c>
      <c r="F26">
        <v>60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f t="shared" si="1"/>
        <v>0</v>
      </c>
      <c r="P26">
        <f t="shared" si="2"/>
        <v>0</v>
      </c>
    </row>
    <row r="27" spans="1:16" x14ac:dyDescent="0.25">
      <c r="A27" t="str">
        <f t="shared" si="0"/>
        <v>Oleksandr Zinchenko</v>
      </c>
      <c r="B27" t="s">
        <v>1290</v>
      </c>
      <c r="C27" t="s">
        <v>1291</v>
      </c>
      <c r="D27">
        <v>1</v>
      </c>
      <c r="E27">
        <v>2</v>
      </c>
      <c r="F27">
        <v>50</v>
      </c>
      <c r="G27">
        <v>1717</v>
      </c>
      <c r="H27">
        <v>20</v>
      </c>
      <c r="I27">
        <v>1</v>
      </c>
      <c r="J27">
        <v>2</v>
      </c>
      <c r="K27">
        <v>0.6</v>
      </c>
      <c r="L27">
        <v>2.65</v>
      </c>
      <c r="M27">
        <v>104</v>
      </c>
      <c r="N27">
        <v>468</v>
      </c>
      <c r="O27">
        <f t="shared" si="1"/>
        <v>3.1450203843913803E-2</v>
      </c>
      <c r="P27">
        <f t="shared" si="2"/>
        <v>0.13890506697728597</v>
      </c>
    </row>
    <row r="28" spans="1:16" x14ac:dyDescent="0.25">
      <c r="A28" t="str">
        <f t="shared" si="0"/>
        <v>David Raya Martin</v>
      </c>
      <c r="B28" t="s">
        <v>20</v>
      </c>
      <c r="C28" t="s">
        <v>1292</v>
      </c>
      <c r="D28">
        <v>1</v>
      </c>
      <c r="E28">
        <v>1</v>
      </c>
      <c r="F28">
        <v>53</v>
      </c>
      <c r="G28">
        <v>2880</v>
      </c>
      <c r="H28">
        <v>32</v>
      </c>
      <c r="I28">
        <v>0</v>
      </c>
      <c r="J28">
        <v>0</v>
      </c>
      <c r="K28">
        <v>0</v>
      </c>
      <c r="L28">
        <v>0.04</v>
      </c>
      <c r="M28">
        <v>135</v>
      </c>
      <c r="N28">
        <v>569</v>
      </c>
      <c r="O28">
        <f t="shared" si="1"/>
        <v>0</v>
      </c>
      <c r="P28">
        <f t="shared" si="2"/>
        <v>1.25E-3</v>
      </c>
    </row>
    <row r="29" spans="1:16" x14ac:dyDescent="0.25">
      <c r="A29" t="str">
        <f t="shared" si="0"/>
        <v>Declan Rice</v>
      </c>
      <c r="B29" t="s">
        <v>44</v>
      </c>
      <c r="C29" t="s">
        <v>45</v>
      </c>
      <c r="D29">
        <v>1</v>
      </c>
      <c r="E29">
        <v>3</v>
      </c>
      <c r="F29">
        <v>55</v>
      </c>
      <c r="G29">
        <v>3225</v>
      </c>
      <c r="H29">
        <v>37</v>
      </c>
      <c r="I29">
        <v>7</v>
      </c>
      <c r="J29">
        <v>9</v>
      </c>
      <c r="K29">
        <v>3.53</v>
      </c>
      <c r="L29">
        <v>5.09</v>
      </c>
      <c r="M29">
        <v>165</v>
      </c>
      <c r="N29">
        <v>744</v>
      </c>
      <c r="O29">
        <f t="shared" si="1"/>
        <v>9.8511627906976748E-2</v>
      </c>
      <c r="P29">
        <f t="shared" si="2"/>
        <v>0.14204651162790696</v>
      </c>
    </row>
    <row r="30" spans="1:16" x14ac:dyDescent="0.25">
      <c r="A30" t="str">
        <f t="shared" si="0"/>
        <v>Reiss Nelson</v>
      </c>
      <c r="B30" t="s">
        <v>63</v>
      </c>
      <c r="C30" t="s">
        <v>64</v>
      </c>
      <c r="D30">
        <v>1</v>
      </c>
      <c r="E30">
        <v>3</v>
      </c>
      <c r="F30">
        <v>48</v>
      </c>
      <c r="G30">
        <v>256</v>
      </c>
      <c r="H30">
        <v>1</v>
      </c>
      <c r="I30">
        <v>0</v>
      </c>
      <c r="J30">
        <v>0</v>
      </c>
      <c r="K30">
        <v>0.18</v>
      </c>
      <c r="L30">
        <v>0.43</v>
      </c>
      <c r="M30">
        <v>16</v>
      </c>
      <c r="N30">
        <v>58</v>
      </c>
      <c r="O30">
        <f t="shared" si="1"/>
        <v>6.3281249999999997E-2</v>
      </c>
      <c r="P30">
        <f t="shared" si="2"/>
        <v>0.15117187500000001</v>
      </c>
    </row>
    <row r="31" spans="1:16" x14ac:dyDescent="0.25">
      <c r="A31" t="str">
        <f t="shared" si="0"/>
        <v>Jurriën Timber</v>
      </c>
      <c r="B31" t="s">
        <v>28</v>
      </c>
      <c r="C31" t="s">
        <v>29</v>
      </c>
      <c r="D31">
        <v>1</v>
      </c>
      <c r="E31">
        <v>2</v>
      </c>
      <c r="F31">
        <v>46</v>
      </c>
      <c r="G31">
        <v>70</v>
      </c>
      <c r="H31">
        <v>1</v>
      </c>
      <c r="I31">
        <v>0</v>
      </c>
      <c r="J31">
        <v>0</v>
      </c>
      <c r="K31">
        <v>0</v>
      </c>
      <c r="L31">
        <v>0.02</v>
      </c>
      <c r="M31">
        <v>0</v>
      </c>
      <c r="N31">
        <v>4</v>
      </c>
      <c r="O31">
        <f t="shared" si="1"/>
        <v>0</v>
      </c>
      <c r="P31">
        <f t="shared" si="2"/>
        <v>2.5714285714285717E-2</v>
      </c>
    </row>
    <row r="32" spans="1:16" x14ac:dyDescent="0.25">
      <c r="A32" t="str">
        <f t="shared" si="0"/>
        <v>Karl Hein</v>
      </c>
      <c r="B32" t="s">
        <v>799</v>
      </c>
      <c r="C32" t="s">
        <v>1293</v>
      </c>
      <c r="D32">
        <v>1</v>
      </c>
      <c r="E32">
        <v>1</v>
      </c>
      <c r="F32">
        <v>40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f t="shared" si="1"/>
        <v>0</v>
      </c>
      <c r="P32">
        <f t="shared" si="2"/>
        <v>0</v>
      </c>
    </row>
    <row r="33" spans="1:16" x14ac:dyDescent="0.25">
      <c r="A33" t="str">
        <f t="shared" si="0"/>
        <v>Charles Sagoe</v>
      </c>
      <c r="B33" t="s">
        <v>539</v>
      </c>
      <c r="C33" t="s">
        <v>1294</v>
      </c>
      <c r="D33">
        <v>1</v>
      </c>
      <c r="E33">
        <v>3</v>
      </c>
      <c r="F33">
        <v>45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1"/>
        <v>0</v>
      </c>
      <c r="P33">
        <f t="shared" si="2"/>
        <v>0</v>
      </c>
    </row>
    <row r="34" spans="1:16" x14ac:dyDescent="0.25">
      <c r="A34" t="str">
        <f t="shared" si="0"/>
        <v>Reuell Walters</v>
      </c>
      <c r="B34" t="s">
        <v>1295</v>
      </c>
      <c r="C34" t="s">
        <v>1296</v>
      </c>
      <c r="D34">
        <v>1</v>
      </c>
      <c r="E34">
        <v>2</v>
      </c>
      <c r="F34">
        <v>40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si="1"/>
        <v>0</v>
      </c>
      <c r="P34">
        <f t="shared" si="2"/>
        <v>0</v>
      </c>
    </row>
    <row r="35" spans="1:16" x14ac:dyDescent="0.25">
      <c r="A35" t="str">
        <f t="shared" si="0"/>
        <v>Bradley Ibrahim</v>
      </c>
      <c r="B35" t="s">
        <v>111</v>
      </c>
      <c r="C35" t="s">
        <v>916</v>
      </c>
      <c r="D35">
        <v>1</v>
      </c>
      <c r="E35">
        <v>3</v>
      </c>
      <c r="F35">
        <v>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si="1"/>
        <v>0</v>
      </c>
      <c r="P35">
        <f t="shared" si="2"/>
        <v>0</v>
      </c>
    </row>
    <row r="36" spans="1:16" x14ac:dyDescent="0.25">
      <c r="A36" t="str">
        <f t="shared" si="0"/>
        <v>Myles Lewis-Skelly</v>
      </c>
      <c r="B36" t="s">
        <v>32</v>
      </c>
      <c r="C36" t="s">
        <v>33</v>
      </c>
      <c r="D36">
        <v>1</v>
      </c>
      <c r="E36">
        <v>3</v>
      </c>
      <c r="F36">
        <v>45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f t="shared" si="1"/>
        <v>0</v>
      </c>
      <c r="P36">
        <f t="shared" si="2"/>
        <v>0</v>
      </c>
    </row>
    <row r="37" spans="1:16" x14ac:dyDescent="0.25">
      <c r="A37" t="str">
        <f t="shared" si="0"/>
        <v>Ethan Nwaneri</v>
      </c>
      <c r="B37" t="s">
        <v>59</v>
      </c>
      <c r="C37" t="s">
        <v>60</v>
      </c>
      <c r="D37">
        <v>1</v>
      </c>
      <c r="E37">
        <v>3</v>
      </c>
      <c r="F37">
        <v>45</v>
      </c>
      <c r="G37">
        <v>13</v>
      </c>
      <c r="H37">
        <v>0</v>
      </c>
      <c r="I37">
        <v>0</v>
      </c>
      <c r="J37">
        <v>0</v>
      </c>
      <c r="K37">
        <v>0</v>
      </c>
      <c r="L37">
        <v>0.05</v>
      </c>
      <c r="M37">
        <v>1</v>
      </c>
      <c r="N37">
        <v>3</v>
      </c>
      <c r="O37">
        <f t="shared" si="1"/>
        <v>0</v>
      </c>
      <c r="P37">
        <f t="shared" si="2"/>
        <v>0.34615384615384615</v>
      </c>
    </row>
    <row r="38" spans="1:16" x14ac:dyDescent="0.25">
      <c r="A38" t="str">
        <f t="shared" si="0"/>
        <v>Mauro Bandeira</v>
      </c>
      <c r="B38" t="s">
        <v>1297</v>
      </c>
      <c r="C38" t="s">
        <v>1298</v>
      </c>
      <c r="D38">
        <v>1</v>
      </c>
      <c r="E38">
        <v>3</v>
      </c>
      <c r="F38">
        <v>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f t="shared" si="1"/>
        <v>0</v>
      </c>
      <c r="P38">
        <f t="shared" si="2"/>
        <v>0</v>
      </c>
    </row>
    <row r="39" spans="1:16" x14ac:dyDescent="0.25">
      <c r="A39" t="str">
        <f t="shared" si="0"/>
        <v>James Sweet</v>
      </c>
      <c r="B39" t="s">
        <v>135</v>
      </c>
      <c r="C39" t="s">
        <v>1299</v>
      </c>
      <c r="D39">
        <v>1</v>
      </c>
      <c r="E39">
        <v>2</v>
      </c>
      <c r="F39">
        <v>40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f t="shared" si="1"/>
        <v>0</v>
      </c>
      <c r="P39">
        <f t="shared" si="2"/>
        <v>0</v>
      </c>
    </row>
    <row r="40" spans="1:16" x14ac:dyDescent="0.25">
      <c r="A40" t="str">
        <f t="shared" si="0"/>
        <v>Alexandre Moreno Lopera</v>
      </c>
      <c r="B40" t="s">
        <v>1300</v>
      </c>
      <c r="C40" t="s">
        <v>1301</v>
      </c>
      <c r="D40">
        <v>2</v>
      </c>
      <c r="E40">
        <v>2</v>
      </c>
      <c r="F40">
        <v>49</v>
      </c>
      <c r="G40">
        <v>1024</v>
      </c>
      <c r="H40">
        <v>11</v>
      </c>
      <c r="I40">
        <v>2</v>
      </c>
      <c r="J40">
        <v>0</v>
      </c>
      <c r="K40">
        <v>1.1100000000000001</v>
      </c>
      <c r="L40">
        <v>0.98</v>
      </c>
      <c r="M40">
        <v>49</v>
      </c>
      <c r="N40">
        <v>211</v>
      </c>
      <c r="O40">
        <f t="shared" si="1"/>
        <v>9.7558593750000006E-2</v>
      </c>
      <c r="P40">
        <f t="shared" si="2"/>
        <v>8.6132812500000003E-2</v>
      </c>
    </row>
    <row r="41" spans="1:16" x14ac:dyDescent="0.25">
      <c r="A41" t="str">
        <f t="shared" si="0"/>
        <v>Leon Bailey</v>
      </c>
      <c r="B41" t="s">
        <v>99</v>
      </c>
      <c r="C41" t="s">
        <v>100</v>
      </c>
      <c r="D41">
        <v>2</v>
      </c>
      <c r="E41">
        <v>3</v>
      </c>
      <c r="F41">
        <v>54</v>
      </c>
      <c r="G41">
        <v>2063</v>
      </c>
      <c r="H41">
        <v>22</v>
      </c>
      <c r="I41">
        <v>10</v>
      </c>
      <c r="J41">
        <v>11</v>
      </c>
      <c r="K41">
        <v>6.29</v>
      </c>
      <c r="L41">
        <v>7.17</v>
      </c>
      <c r="M41">
        <v>148</v>
      </c>
      <c r="N41">
        <v>482</v>
      </c>
      <c r="O41">
        <f t="shared" si="1"/>
        <v>0.27440620455647119</v>
      </c>
      <c r="P41">
        <f t="shared" si="2"/>
        <v>0.31279689772176439</v>
      </c>
    </row>
    <row r="42" spans="1:16" x14ac:dyDescent="0.25">
      <c r="A42" t="str">
        <f t="shared" si="0"/>
        <v>Emiliano Buendía Stati</v>
      </c>
      <c r="B42" t="s">
        <v>74</v>
      </c>
      <c r="C42" t="s">
        <v>98</v>
      </c>
      <c r="D42">
        <v>2</v>
      </c>
      <c r="E42">
        <v>3</v>
      </c>
      <c r="F42">
        <v>57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f t="shared" si="1"/>
        <v>0</v>
      </c>
      <c r="P42">
        <f t="shared" si="2"/>
        <v>0</v>
      </c>
    </row>
    <row r="43" spans="1:16" x14ac:dyDescent="0.25">
      <c r="A43" t="str">
        <f t="shared" si="0"/>
        <v>Matty Cash</v>
      </c>
      <c r="B43" t="s">
        <v>82</v>
      </c>
      <c r="C43" t="s">
        <v>83</v>
      </c>
      <c r="D43">
        <v>2</v>
      </c>
      <c r="E43">
        <v>2</v>
      </c>
      <c r="F43">
        <v>45</v>
      </c>
      <c r="G43">
        <v>2138</v>
      </c>
      <c r="H43">
        <v>23</v>
      </c>
      <c r="I43">
        <v>2</v>
      </c>
      <c r="J43">
        <v>2</v>
      </c>
      <c r="K43">
        <v>4.41</v>
      </c>
      <c r="L43">
        <v>2.4700000000000002</v>
      </c>
      <c r="M43">
        <v>64</v>
      </c>
      <c r="N43">
        <v>337</v>
      </c>
      <c r="O43">
        <f t="shared" si="1"/>
        <v>0.18564078578110385</v>
      </c>
      <c r="P43">
        <f t="shared" si="2"/>
        <v>0.10397567820392892</v>
      </c>
    </row>
    <row r="44" spans="1:16" x14ac:dyDescent="0.25">
      <c r="A44" t="str">
        <f t="shared" si="0"/>
        <v>Calum Chambers</v>
      </c>
      <c r="B44" t="s">
        <v>1302</v>
      </c>
      <c r="C44" t="s">
        <v>1303</v>
      </c>
      <c r="D44">
        <v>2</v>
      </c>
      <c r="E44">
        <v>2</v>
      </c>
      <c r="F44">
        <v>38</v>
      </c>
      <c r="G44">
        <v>149</v>
      </c>
      <c r="H44">
        <v>1</v>
      </c>
      <c r="I44">
        <v>0</v>
      </c>
      <c r="J44">
        <v>1</v>
      </c>
      <c r="K44">
        <v>0</v>
      </c>
      <c r="L44">
        <v>0.01</v>
      </c>
      <c r="M44">
        <v>6</v>
      </c>
      <c r="N44">
        <v>37</v>
      </c>
      <c r="O44">
        <f t="shared" si="1"/>
        <v>0</v>
      </c>
      <c r="P44">
        <f t="shared" si="2"/>
        <v>6.0402684563758396E-3</v>
      </c>
    </row>
    <row r="45" spans="1:16" x14ac:dyDescent="0.25">
      <c r="A45" t="str">
        <f t="shared" si="0"/>
        <v>Philippe Coutinho Correia</v>
      </c>
      <c r="B45" t="s">
        <v>1304</v>
      </c>
      <c r="C45" t="s">
        <v>1305</v>
      </c>
      <c r="D45">
        <v>2</v>
      </c>
      <c r="E45">
        <v>3</v>
      </c>
      <c r="F45">
        <v>58</v>
      </c>
      <c r="G45">
        <v>24</v>
      </c>
      <c r="H45">
        <v>0</v>
      </c>
      <c r="I45">
        <v>0</v>
      </c>
      <c r="J45">
        <v>0</v>
      </c>
      <c r="K45">
        <v>0.15</v>
      </c>
      <c r="L45">
        <v>0.02</v>
      </c>
      <c r="M45">
        <v>2</v>
      </c>
      <c r="N45">
        <v>7</v>
      </c>
      <c r="O45">
        <f t="shared" si="1"/>
        <v>0.5625</v>
      </c>
      <c r="P45">
        <f t="shared" si="2"/>
        <v>7.5000000000000011E-2</v>
      </c>
    </row>
    <row r="46" spans="1:16" x14ac:dyDescent="0.25">
      <c r="A46" t="str">
        <f t="shared" si="0"/>
        <v>Keinan Davis</v>
      </c>
      <c r="B46" t="s">
        <v>1306</v>
      </c>
      <c r="C46" t="s">
        <v>611</v>
      </c>
      <c r="D46">
        <v>2</v>
      </c>
      <c r="E46">
        <v>4</v>
      </c>
      <c r="F46">
        <v>49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 t="shared" si="1"/>
        <v>0</v>
      </c>
      <c r="P46">
        <f t="shared" si="2"/>
        <v>0</v>
      </c>
    </row>
    <row r="47" spans="1:16" x14ac:dyDescent="0.25">
      <c r="A47" t="str">
        <f t="shared" si="0"/>
        <v>Leander Dendoncker</v>
      </c>
      <c r="B47" t="s">
        <v>1307</v>
      </c>
      <c r="C47" t="s">
        <v>1308</v>
      </c>
      <c r="D47">
        <v>2</v>
      </c>
      <c r="E47">
        <v>3</v>
      </c>
      <c r="F47">
        <v>49</v>
      </c>
      <c r="G47">
        <v>118</v>
      </c>
      <c r="H47">
        <v>1</v>
      </c>
      <c r="I47">
        <v>1</v>
      </c>
      <c r="J47">
        <v>1</v>
      </c>
      <c r="K47">
        <v>0.73</v>
      </c>
      <c r="L47">
        <v>0.01</v>
      </c>
      <c r="M47">
        <v>20</v>
      </c>
      <c r="N47">
        <v>64</v>
      </c>
      <c r="O47">
        <f t="shared" si="1"/>
        <v>0.55677966101694909</v>
      </c>
      <c r="P47">
        <f t="shared" si="2"/>
        <v>7.6271186440677969E-3</v>
      </c>
    </row>
    <row r="48" spans="1:16" x14ac:dyDescent="0.25">
      <c r="A48" t="str">
        <f t="shared" si="0"/>
        <v>Diego Carlos Santos Silva</v>
      </c>
      <c r="B48" t="s">
        <v>1309</v>
      </c>
      <c r="C48" t="s">
        <v>1310</v>
      </c>
      <c r="D48">
        <v>2</v>
      </c>
      <c r="E48">
        <v>2</v>
      </c>
      <c r="F48">
        <v>44</v>
      </c>
      <c r="G48">
        <v>1809</v>
      </c>
      <c r="H48">
        <v>20</v>
      </c>
      <c r="I48">
        <v>0</v>
      </c>
      <c r="J48">
        <v>0</v>
      </c>
      <c r="K48">
        <v>1.95</v>
      </c>
      <c r="L48">
        <v>0.35</v>
      </c>
      <c r="M48">
        <v>55</v>
      </c>
      <c r="N48">
        <v>338</v>
      </c>
      <c r="O48">
        <f t="shared" si="1"/>
        <v>9.7014925373134331E-2</v>
      </c>
      <c r="P48">
        <f t="shared" si="2"/>
        <v>1.7412935323383082E-2</v>
      </c>
    </row>
    <row r="49" spans="1:16" x14ac:dyDescent="0.25">
      <c r="A49" t="str">
        <f t="shared" si="0"/>
        <v>Lucas Digne</v>
      </c>
      <c r="B49" t="s">
        <v>78</v>
      </c>
      <c r="C49" t="s">
        <v>79</v>
      </c>
      <c r="D49">
        <v>2</v>
      </c>
      <c r="E49">
        <v>2</v>
      </c>
      <c r="F49">
        <v>46</v>
      </c>
      <c r="G49">
        <v>2405</v>
      </c>
      <c r="H49">
        <v>27</v>
      </c>
      <c r="I49">
        <v>1</v>
      </c>
      <c r="J49">
        <v>4</v>
      </c>
      <c r="K49">
        <v>0.99</v>
      </c>
      <c r="L49">
        <v>3.49</v>
      </c>
      <c r="M49">
        <v>85</v>
      </c>
      <c r="N49">
        <v>420</v>
      </c>
      <c r="O49">
        <f t="shared" si="1"/>
        <v>3.7047817047817053E-2</v>
      </c>
      <c r="P49">
        <f t="shared" si="2"/>
        <v>0.1306029106029106</v>
      </c>
    </row>
    <row r="50" spans="1:16" x14ac:dyDescent="0.25">
      <c r="A50" t="str">
        <f t="shared" si="0"/>
        <v>Douglas Luiz Soares de Paulo</v>
      </c>
      <c r="B50" t="s">
        <v>1311</v>
      </c>
      <c r="C50" t="s">
        <v>1312</v>
      </c>
      <c r="D50">
        <v>2</v>
      </c>
      <c r="E50">
        <v>3</v>
      </c>
      <c r="F50">
        <v>54</v>
      </c>
      <c r="G50">
        <v>2994</v>
      </c>
      <c r="H50">
        <v>35</v>
      </c>
      <c r="I50">
        <v>9</v>
      </c>
      <c r="J50">
        <v>5</v>
      </c>
      <c r="K50">
        <v>6.69</v>
      </c>
      <c r="L50">
        <v>4.8600000000000003</v>
      </c>
      <c r="M50">
        <v>148</v>
      </c>
      <c r="N50">
        <v>666</v>
      </c>
      <c r="O50">
        <f t="shared" si="1"/>
        <v>0.20110220440881765</v>
      </c>
      <c r="P50">
        <f t="shared" si="2"/>
        <v>0.14609218436873747</v>
      </c>
    </row>
    <row r="51" spans="1:16" x14ac:dyDescent="0.25">
      <c r="A51" t="str">
        <f t="shared" si="0"/>
        <v>Jhon Durán</v>
      </c>
      <c r="B51" t="s">
        <v>1313</v>
      </c>
      <c r="C51" t="s">
        <v>1314</v>
      </c>
      <c r="D51">
        <v>2</v>
      </c>
      <c r="E51">
        <v>4</v>
      </c>
      <c r="F51">
        <v>50</v>
      </c>
      <c r="G51">
        <v>461</v>
      </c>
      <c r="H51">
        <v>3</v>
      </c>
      <c r="I51">
        <v>5</v>
      </c>
      <c r="J51">
        <v>1</v>
      </c>
      <c r="K51">
        <v>2.04</v>
      </c>
      <c r="L51">
        <v>0.15</v>
      </c>
      <c r="M51">
        <v>50</v>
      </c>
      <c r="N51">
        <v>162</v>
      </c>
      <c r="O51">
        <f t="shared" si="1"/>
        <v>0.39826464208242951</v>
      </c>
      <c r="P51">
        <f t="shared" si="2"/>
        <v>2.9284164859002169E-2</v>
      </c>
    </row>
    <row r="52" spans="1:16" x14ac:dyDescent="0.25">
      <c r="A52" t="str">
        <f t="shared" si="0"/>
        <v>Kortney Hause</v>
      </c>
      <c r="B52" t="s">
        <v>1315</v>
      </c>
      <c r="C52" t="s">
        <v>1316</v>
      </c>
      <c r="D52">
        <v>2</v>
      </c>
      <c r="E52">
        <v>2</v>
      </c>
      <c r="F52">
        <v>39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f t="shared" si="1"/>
        <v>0</v>
      </c>
      <c r="P52">
        <f t="shared" si="2"/>
        <v>0</v>
      </c>
    </row>
    <row r="53" spans="1:16" x14ac:dyDescent="0.25">
      <c r="A53" t="str">
        <f t="shared" si="0"/>
        <v>Tim Iroegbunam</v>
      </c>
      <c r="B53" t="s">
        <v>489</v>
      </c>
      <c r="C53" t="s">
        <v>490</v>
      </c>
      <c r="D53">
        <v>2</v>
      </c>
      <c r="E53">
        <v>3</v>
      </c>
      <c r="F53">
        <v>44</v>
      </c>
      <c r="G53">
        <v>157</v>
      </c>
      <c r="H53">
        <v>1</v>
      </c>
      <c r="I53">
        <v>0</v>
      </c>
      <c r="J53">
        <v>0</v>
      </c>
      <c r="K53">
        <v>0</v>
      </c>
      <c r="L53">
        <v>0</v>
      </c>
      <c r="M53">
        <v>10</v>
      </c>
      <c r="N53">
        <v>29</v>
      </c>
      <c r="O53">
        <f t="shared" si="1"/>
        <v>0</v>
      </c>
      <c r="P53">
        <f t="shared" si="2"/>
        <v>0</v>
      </c>
    </row>
    <row r="54" spans="1:16" x14ac:dyDescent="0.25">
      <c r="A54" t="str">
        <f t="shared" si="0"/>
        <v>Boubacar Kamara</v>
      </c>
      <c r="B54" t="s">
        <v>105</v>
      </c>
      <c r="C54" t="s">
        <v>106</v>
      </c>
      <c r="D54">
        <v>2</v>
      </c>
      <c r="E54">
        <v>3</v>
      </c>
      <c r="F54">
        <v>50</v>
      </c>
      <c r="G54">
        <v>1653</v>
      </c>
      <c r="H54">
        <v>20</v>
      </c>
      <c r="I54">
        <v>0</v>
      </c>
      <c r="J54">
        <v>1</v>
      </c>
      <c r="K54">
        <v>0.13</v>
      </c>
      <c r="L54">
        <v>1.39</v>
      </c>
      <c r="M54">
        <v>40</v>
      </c>
      <c r="N54">
        <v>247</v>
      </c>
      <c r="O54">
        <f t="shared" si="1"/>
        <v>7.0780399274047194E-3</v>
      </c>
      <c r="P54">
        <f t="shared" si="2"/>
        <v>7.5680580762250441E-2</v>
      </c>
    </row>
    <row r="55" spans="1:16" x14ac:dyDescent="0.25">
      <c r="A55" t="str">
        <f t="shared" si="0"/>
        <v>Ezri Konsa Ngoyo</v>
      </c>
      <c r="B55" t="s">
        <v>80</v>
      </c>
      <c r="C55" t="s">
        <v>81</v>
      </c>
      <c r="D55">
        <v>2</v>
      </c>
      <c r="E55">
        <v>2</v>
      </c>
      <c r="F55">
        <v>45</v>
      </c>
      <c r="G55">
        <v>3069</v>
      </c>
      <c r="H55">
        <v>35</v>
      </c>
      <c r="I55">
        <v>1</v>
      </c>
      <c r="J55">
        <v>1</v>
      </c>
      <c r="K55">
        <v>2.56</v>
      </c>
      <c r="L55">
        <v>1.01</v>
      </c>
      <c r="M55">
        <v>91</v>
      </c>
      <c r="N55">
        <v>562</v>
      </c>
      <c r="O55">
        <f t="shared" si="1"/>
        <v>7.5073313782991202E-2</v>
      </c>
      <c r="P55">
        <f t="shared" si="2"/>
        <v>2.9618768328445746E-2</v>
      </c>
    </row>
    <row r="56" spans="1:16" x14ac:dyDescent="0.25">
      <c r="A56" t="str">
        <f t="shared" si="0"/>
        <v>Emiliano Martínez Romero</v>
      </c>
      <c r="B56" t="s">
        <v>74</v>
      </c>
      <c r="C56" t="s">
        <v>75</v>
      </c>
      <c r="D56">
        <v>2</v>
      </c>
      <c r="E56">
        <v>1</v>
      </c>
      <c r="F56">
        <v>52</v>
      </c>
      <c r="G56">
        <v>3015</v>
      </c>
      <c r="H56">
        <v>34</v>
      </c>
      <c r="I56">
        <v>0</v>
      </c>
      <c r="J56">
        <v>0</v>
      </c>
      <c r="K56">
        <v>0</v>
      </c>
      <c r="L56">
        <v>0.01</v>
      </c>
      <c r="M56">
        <v>115</v>
      </c>
      <c r="N56">
        <v>640</v>
      </c>
      <c r="O56">
        <f t="shared" si="1"/>
        <v>0</v>
      </c>
      <c r="P56">
        <f t="shared" si="2"/>
        <v>2.9850746268656717E-4</v>
      </c>
    </row>
    <row r="57" spans="1:16" x14ac:dyDescent="0.25">
      <c r="A57" t="str">
        <f t="shared" si="0"/>
        <v>John McGinn</v>
      </c>
      <c r="B57" t="s">
        <v>101</v>
      </c>
      <c r="C57" t="s">
        <v>102</v>
      </c>
      <c r="D57">
        <v>2</v>
      </c>
      <c r="E57">
        <v>3</v>
      </c>
      <c r="F57">
        <v>53</v>
      </c>
      <c r="G57">
        <v>3000</v>
      </c>
      <c r="H57">
        <v>35</v>
      </c>
      <c r="I57">
        <v>6</v>
      </c>
      <c r="J57">
        <v>5</v>
      </c>
      <c r="K57">
        <v>5.01</v>
      </c>
      <c r="L57">
        <v>4.99</v>
      </c>
      <c r="M57">
        <v>119</v>
      </c>
      <c r="N57">
        <v>502</v>
      </c>
      <c r="O57">
        <f t="shared" si="1"/>
        <v>0.15029999999999999</v>
      </c>
      <c r="P57">
        <f t="shared" si="2"/>
        <v>0.14970000000000003</v>
      </c>
    </row>
    <row r="58" spans="1:16" x14ac:dyDescent="0.25">
      <c r="A58" t="str">
        <f t="shared" si="0"/>
        <v>Tyrone Mings</v>
      </c>
      <c r="B58" t="s">
        <v>84</v>
      </c>
      <c r="C58" t="s">
        <v>85</v>
      </c>
      <c r="D58">
        <v>2</v>
      </c>
      <c r="E58">
        <v>2</v>
      </c>
      <c r="F58">
        <v>41</v>
      </c>
      <c r="G58">
        <v>30</v>
      </c>
      <c r="H58">
        <v>1</v>
      </c>
      <c r="I58">
        <v>0</v>
      </c>
      <c r="J58">
        <v>0</v>
      </c>
      <c r="K58">
        <v>0.01</v>
      </c>
      <c r="L58">
        <v>0.16</v>
      </c>
      <c r="M58">
        <v>0</v>
      </c>
      <c r="N58">
        <v>5</v>
      </c>
      <c r="O58">
        <f t="shared" si="1"/>
        <v>0.03</v>
      </c>
      <c r="P58">
        <f t="shared" si="2"/>
        <v>0.48</v>
      </c>
    </row>
    <row r="59" spans="1:16" x14ac:dyDescent="0.25">
      <c r="A59" t="str">
        <f t="shared" si="0"/>
        <v>Robin Olsen</v>
      </c>
      <c r="B59" t="s">
        <v>985</v>
      </c>
      <c r="C59" t="s">
        <v>1317</v>
      </c>
      <c r="D59">
        <v>2</v>
      </c>
      <c r="E59">
        <v>1</v>
      </c>
      <c r="F59">
        <v>39</v>
      </c>
      <c r="G59">
        <v>405</v>
      </c>
      <c r="H59">
        <v>4</v>
      </c>
      <c r="I59">
        <v>0</v>
      </c>
      <c r="J59">
        <v>0</v>
      </c>
      <c r="K59">
        <v>0</v>
      </c>
      <c r="L59">
        <v>0</v>
      </c>
      <c r="M59">
        <v>17</v>
      </c>
      <c r="N59">
        <v>107</v>
      </c>
      <c r="O59">
        <f t="shared" si="1"/>
        <v>0</v>
      </c>
      <c r="P59">
        <f t="shared" si="2"/>
        <v>0</v>
      </c>
    </row>
    <row r="60" spans="1:16" x14ac:dyDescent="0.25">
      <c r="A60" t="str">
        <f t="shared" si="0"/>
        <v>Jaden Philogene-Bidace</v>
      </c>
      <c r="B60" t="s">
        <v>630</v>
      </c>
      <c r="C60" t="s">
        <v>1318</v>
      </c>
      <c r="D60">
        <v>2</v>
      </c>
      <c r="E60">
        <v>3</v>
      </c>
      <c r="F60">
        <v>45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3</v>
      </c>
      <c r="O60">
        <f t="shared" si="1"/>
        <v>0</v>
      </c>
      <c r="P60">
        <f t="shared" si="2"/>
        <v>0</v>
      </c>
    </row>
    <row r="61" spans="1:16" x14ac:dyDescent="0.25">
      <c r="A61" t="str">
        <f t="shared" si="0"/>
        <v>Jacob Ramsey</v>
      </c>
      <c r="B61" t="s">
        <v>556</v>
      </c>
      <c r="C61" t="s">
        <v>866</v>
      </c>
      <c r="D61">
        <v>2</v>
      </c>
      <c r="E61">
        <v>3</v>
      </c>
      <c r="F61">
        <v>59</v>
      </c>
      <c r="G61">
        <v>848</v>
      </c>
      <c r="H61">
        <v>8</v>
      </c>
      <c r="I61">
        <v>1</v>
      </c>
      <c r="J61">
        <v>1</v>
      </c>
      <c r="K61">
        <v>2.09</v>
      </c>
      <c r="L61">
        <v>1.38</v>
      </c>
      <c r="M61">
        <v>29</v>
      </c>
      <c r="N61">
        <v>101</v>
      </c>
      <c r="O61">
        <f t="shared" si="1"/>
        <v>0.22181603773584904</v>
      </c>
      <c r="P61">
        <f t="shared" si="2"/>
        <v>0.14646226415094338</v>
      </c>
    </row>
    <row r="62" spans="1:16" x14ac:dyDescent="0.25">
      <c r="A62" t="str">
        <f t="shared" si="0"/>
        <v>Morgan Sanson</v>
      </c>
      <c r="B62" t="s">
        <v>287</v>
      </c>
      <c r="C62" t="s">
        <v>1319</v>
      </c>
      <c r="D62">
        <v>2</v>
      </c>
      <c r="E62">
        <v>3</v>
      </c>
      <c r="F62">
        <v>45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f t="shared" si="1"/>
        <v>0</v>
      </c>
      <c r="P62">
        <f t="shared" si="2"/>
        <v>0</v>
      </c>
    </row>
    <row r="63" spans="1:16" x14ac:dyDescent="0.25">
      <c r="A63" t="str">
        <f t="shared" si="0"/>
        <v>Viljami Sinisalo</v>
      </c>
      <c r="B63" t="s">
        <v>1320</v>
      </c>
      <c r="C63" t="s">
        <v>1321</v>
      </c>
      <c r="D63">
        <v>2</v>
      </c>
      <c r="E63">
        <v>1</v>
      </c>
      <c r="F63">
        <v>40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f t="shared" si="1"/>
        <v>0</v>
      </c>
      <c r="P63">
        <f t="shared" si="2"/>
        <v>0</v>
      </c>
    </row>
    <row r="64" spans="1:16" x14ac:dyDescent="0.25">
      <c r="A64" t="str">
        <f t="shared" si="0"/>
        <v>Youri Tielemans</v>
      </c>
      <c r="B64" t="s">
        <v>795</v>
      </c>
      <c r="C64" t="s">
        <v>796</v>
      </c>
      <c r="D64">
        <v>2</v>
      </c>
      <c r="E64">
        <v>3</v>
      </c>
      <c r="F64">
        <v>56</v>
      </c>
      <c r="G64">
        <v>1613</v>
      </c>
      <c r="H64">
        <v>17</v>
      </c>
      <c r="I64">
        <v>2</v>
      </c>
      <c r="J64">
        <v>6</v>
      </c>
      <c r="K64">
        <v>1.24</v>
      </c>
      <c r="L64">
        <v>1.98</v>
      </c>
      <c r="M64">
        <v>77</v>
      </c>
      <c r="N64">
        <v>318</v>
      </c>
      <c r="O64">
        <f t="shared" si="1"/>
        <v>6.9187848729076254E-2</v>
      </c>
      <c r="P64">
        <f t="shared" si="2"/>
        <v>0.11047737135771854</v>
      </c>
    </row>
    <row r="65" spans="1:16" x14ac:dyDescent="0.25">
      <c r="A65" t="str">
        <f t="shared" si="0"/>
        <v>Bertrand Traoré</v>
      </c>
      <c r="B65" t="s">
        <v>1322</v>
      </c>
      <c r="C65" t="s">
        <v>1323</v>
      </c>
      <c r="D65">
        <v>2</v>
      </c>
      <c r="E65">
        <v>3</v>
      </c>
      <c r="F65">
        <v>50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6</v>
      </c>
      <c r="O65">
        <f t="shared" si="1"/>
        <v>0</v>
      </c>
      <c r="P65">
        <f t="shared" si="2"/>
        <v>0</v>
      </c>
    </row>
    <row r="66" spans="1:16" x14ac:dyDescent="0.25">
      <c r="A66" t="str">
        <f t="shared" ref="A66:A129" si="3">_xlfn.CONCAT(B66, " ", C66)</f>
        <v>Ollie Watkins</v>
      </c>
      <c r="B66" t="s">
        <v>121</v>
      </c>
      <c r="C66" t="s">
        <v>122</v>
      </c>
      <c r="D66">
        <v>2</v>
      </c>
      <c r="E66">
        <v>4</v>
      </c>
      <c r="F66">
        <v>89</v>
      </c>
      <c r="G66">
        <v>3222</v>
      </c>
      <c r="H66">
        <v>37</v>
      </c>
      <c r="I66">
        <v>19</v>
      </c>
      <c r="J66">
        <v>18</v>
      </c>
      <c r="K66">
        <v>16.739999999999998</v>
      </c>
      <c r="L66">
        <v>4.0199999999999996</v>
      </c>
      <c r="M66">
        <v>228</v>
      </c>
      <c r="N66">
        <v>752</v>
      </c>
      <c r="O66">
        <f t="shared" ref="O66:O129" si="4">IFERROR(K66/G66*90,0)</f>
        <v>0.46759776536312847</v>
      </c>
      <c r="P66">
        <f t="shared" ref="P66:P129" si="5">IFERROR(L66/G66*90,0)</f>
        <v>0.11229050279329608</v>
      </c>
    </row>
    <row r="67" spans="1:16" x14ac:dyDescent="0.25">
      <c r="A67" t="str">
        <f t="shared" si="3"/>
        <v>Wesley Moraes Ferreira da Silva</v>
      </c>
      <c r="B67" t="s">
        <v>302</v>
      </c>
      <c r="C67" t="s">
        <v>1324</v>
      </c>
      <c r="D67">
        <v>2</v>
      </c>
      <c r="E67">
        <v>4</v>
      </c>
      <c r="F67">
        <v>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f t="shared" si="4"/>
        <v>0</v>
      </c>
      <c r="P67">
        <f t="shared" si="5"/>
        <v>0</v>
      </c>
    </row>
    <row r="68" spans="1:16" x14ac:dyDescent="0.25">
      <c r="A68" t="str">
        <f t="shared" si="3"/>
        <v>Pau Torres</v>
      </c>
      <c r="B68" t="s">
        <v>86</v>
      </c>
      <c r="C68" t="s">
        <v>87</v>
      </c>
      <c r="D68">
        <v>2</v>
      </c>
      <c r="E68">
        <v>2</v>
      </c>
      <c r="F68">
        <v>46</v>
      </c>
      <c r="G68">
        <v>2462</v>
      </c>
      <c r="H68">
        <v>27</v>
      </c>
      <c r="I68">
        <v>2</v>
      </c>
      <c r="J68">
        <v>0</v>
      </c>
      <c r="K68">
        <v>0.96</v>
      </c>
      <c r="L68">
        <v>0.71</v>
      </c>
      <c r="M68">
        <v>85</v>
      </c>
      <c r="N68">
        <v>461</v>
      </c>
      <c r="O68">
        <f t="shared" si="4"/>
        <v>3.5093419983753045E-2</v>
      </c>
      <c r="P68">
        <f t="shared" si="5"/>
        <v>2.5954508529650689E-2</v>
      </c>
    </row>
    <row r="69" spans="1:16" x14ac:dyDescent="0.25">
      <c r="A69" t="str">
        <f t="shared" si="3"/>
        <v>Moussa Diaby</v>
      </c>
      <c r="B69" t="s">
        <v>1325</v>
      </c>
      <c r="C69" t="s">
        <v>1326</v>
      </c>
      <c r="D69">
        <v>2</v>
      </c>
      <c r="E69">
        <v>3</v>
      </c>
      <c r="F69">
        <v>63</v>
      </c>
      <c r="G69">
        <v>2168</v>
      </c>
      <c r="H69">
        <v>25</v>
      </c>
      <c r="I69">
        <v>6</v>
      </c>
      <c r="J69">
        <v>11</v>
      </c>
      <c r="K69">
        <v>7.4</v>
      </c>
      <c r="L69">
        <v>4.24</v>
      </c>
      <c r="M69">
        <v>142</v>
      </c>
      <c r="N69">
        <v>429</v>
      </c>
      <c r="O69">
        <f t="shared" si="4"/>
        <v>0.30719557195571956</v>
      </c>
      <c r="P69">
        <f t="shared" si="5"/>
        <v>0.17601476014760148</v>
      </c>
    </row>
    <row r="70" spans="1:16" x14ac:dyDescent="0.25">
      <c r="A70" t="str">
        <f t="shared" si="3"/>
        <v>Omari Kellyman</v>
      </c>
      <c r="B70" t="s">
        <v>909</v>
      </c>
      <c r="C70" t="s">
        <v>1327</v>
      </c>
      <c r="D70">
        <v>2</v>
      </c>
      <c r="E70">
        <v>3</v>
      </c>
      <c r="F70">
        <v>45</v>
      </c>
      <c r="G70">
        <v>35</v>
      </c>
      <c r="H70">
        <v>0</v>
      </c>
      <c r="I70">
        <v>0</v>
      </c>
      <c r="J70">
        <v>0</v>
      </c>
      <c r="K70">
        <v>0.04</v>
      </c>
      <c r="L70">
        <v>0</v>
      </c>
      <c r="M70">
        <v>2</v>
      </c>
      <c r="N70">
        <v>6</v>
      </c>
      <c r="O70">
        <f t="shared" si="4"/>
        <v>0.10285714285714287</v>
      </c>
      <c r="P70">
        <f t="shared" si="5"/>
        <v>0</v>
      </c>
    </row>
    <row r="71" spans="1:16" x14ac:dyDescent="0.25">
      <c r="A71" t="str">
        <f t="shared" si="3"/>
        <v>Filip Marschall</v>
      </c>
      <c r="B71" t="s">
        <v>295</v>
      </c>
      <c r="C71" t="s">
        <v>1328</v>
      </c>
      <c r="D71">
        <v>2</v>
      </c>
      <c r="E71">
        <v>1</v>
      </c>
      <c r="F71">
        <v>40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f t="shared" si="4"/>
        <v>0</v>
      </c>
      <c r="P71">
        <f t="shared" si="5"/>
        <v>0</v>
      </c>
    </row>
    <row r="72" spans="1:16" x14ac:dyDescent="0.25">
      <c r="A72" t="str">
        <f t="shared" si="3"/>
        <v>Nicolò Zaniolo</v>
      </c>
      <c r="B72" t="s">
        <v>899</v>
      </c>
      <c r="C72" t="s">
        <v>1329</v>
      </c>
      <c r="D72">
        <v>2</v>
      </c>
      <c r="E72">
        <v>3</v>
      </c>
      <c r="F72">
        <v>54</v>
      </c>
      <c r="G72">
        <v>824</v>
      </c>
      <c r="H72">
        <v>9</v>
      </c>
      <c r="I72">
        <v>2</v>
      </c>
      <c r="J72">
        <v>0</v>
      </c>
      <c r="K72">
        <v>2.67</v>
      </c>
      <c r="L72">
        <v>0.7</v>
      </c>
      <c r="M72">
        <v>34</v>
      </c>
      <c r="N72">
        <v>36</v>
      </c>
      <c r="O72">
        <f t="shared" si="4"/>
        <v>0.29162621359223301</v>
      </c>
      <c r="P72">
        <f t="shared" si="5"/>
        <v>7.6456310679611644E-2</v>
      </c>
    </row>
    <row r="73" spans="1:16" x14ac:dyDescent="0.25">
      <c r="A73" t="str">
        <f t="shared" si="3"/>
        <v>Oliwier Zych</v>
      </c>
      <c r="B73" t="s">
        <v>1330</v>
      </c>
      <c r="C73" t="s">
        <v>1331</v>
      </c>
      <c r="D73">
        <v>2</v>
      </c>
      <c r="E73">
        <v>1</v>
      </c>
      <c r="F73">
        <v>40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f t="shared" si="4"/>
        <v>0</v>
      </c>
      <c r="P73">
        <f t="shared" si="5"/>
        <v>0</v>
      </c>
    </row>
    <row r="74" spans="1:16" x14ac:dyDescent="0.25">
      <c r="A74" t="str">
        <f t="shared" si="3"/>
        <v>Clément Lenglet</v>
      </c>
      <c r="B74" t="s">
        <v>1332</v>
      </c>
      <c r="C74" t="s">
        <v>1333</v>
      </c>
      <c r="D74">
        <v>2</v>
      </c>
      <c r="E74">
        <v>2</v>
      </c>
      <c r="F74">
        <v>45</v>
      </c>
      <c r="G74">
        <v>1153</v>
      </c>
      <c r="H74">
        <v>14</v>
      </c>
      <c r="I74">
        <v>0</v>
      </c>
      <c r="J74">
        <v>1</v>
      </c>
      <c r="K74">
        <v>0.81</v>
      </c>
      <c r="L74">
        <v>0.52</v>
      </c>
      <c r="M74">
        <v>24</v>
      </c>
      <c r="N74">
        <v>207</v>
      </c>
      <c r="O74">
        <f t="shared" si="4"/>
        <v>6.3226366001734605E-2</v>
      </c>
      <c r="P74">
        <f t="shared" si="5"/>
        <v>4.0589765828274067E-2</v>
      </c>
    </row>
    <row r="75" spans="1:16" x14ac:dyDescent="0.25">
      <c r="A75" t="str">
        <f t="shared" si="3"/>
        <v>Sam Proctor</v>
      </c>
      <c r="B75" t="s">
        <v>632</v>
      </c>
      <c r="C75" t="s">
        <v>1334</v>
      </c>
      <c r="D75">
        <v>2</v>
      </c>
      <c r="E75">
        <v>1</v>
      </c>
      <c r="F75">
        <v>40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f t="shared" si="4"/>
        <v>0</v>
      </c>
      <c r="P75">
        <f t="shared" si="5"/>
        <v>0</v>
      </c>
    </row>
    <row r="76" spans="1:16" x14ac:dyDescent="0.25">
      <c r="A76" t="str">
        <f t="shared" si="3"/>
        <v>Tommi O'Reilly</v>
      </c>
      <c r="B76" t="s">
        <v>1335</v>
      </c>
      <c r="C76" t="s">
        <v>753</v>
      </c>
      <c r="D76">
        <v>2</v>
      </c>
      <c r="E76">
        <v>3</v>
      </c>
      <c r="F76">
        <v>45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f t="shared" si="4"/>
        <v>0</v>
      </c>
      <c r="P76">
        <f t="shared" si="5"/>
        <v>0</v>
      </c>
    </row>
    <row r="77" spans="1:16" x14ac:dyDescent="0.25">
      <c r="A77" t="str">
        <f t="shared" si="3"/>
        <v>James Wright</v>
      </c>
      <c r="B77" t="s">
        <v>135</v>
      </c>
      <c r="C77" t="s">
        <v>396</v>
      </c>
      <c r="D77">
        <v>2</v>
      </c>
      <c r="E77">
        <v>1</v>
      </c>
      <c r="F77">
        <v>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f t="shared" si="4"/>
        <v>0</v>
      </c>
      <c r="P77">
        <f t="shared" si="5"/>
        <v>0</v>
      </c>
    </row>
    <row r="78" spans="1:16" x14ac:dyDescent="0.25">
      <c r="A78" t="str">
        <f t="shared" si="3"/>
        <v>Kaine Kesler-Hayden</v>
      </c>
      <c r="B78" t="s">
        <v>369</v>
      </c>
      <c r="C78" t="s">
        <v>370</v>
      </c>
      <c r="D78">
        <v>2</v>
      </c>
      <c r="E78">
        <v>2</v>
      </c>
      <c r="F78">
        <v>40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  <c r="N78">
        <v>9</v>
      </c>
      <c r="O78">
        <f t="shared" si="4"/>
        <v>0</v>
      </c>
      <c r="P78">
        <f t="shared" si="5"/>
        <v>0</v>
      </c>
    </row>
    <row r="79" spans="1:16" x14ac:dyDescent="0.25">
      <c r="A79" t="str">
        <f t="shared" si="3"/>
        <v>Morgan Rogers</v>
      </c>
      <c r="B79" t="s">
        <v>287</v>
      </c>
      <c r="C79" t="s">
        <v>288</v>
      </c>
      <c r="D79">
        <v>2</v>
      </c>
      <c r="E79">
        <v>3</v>
      </c>
      <c r="F79">
        <v>50</v>
      </c>
      <c r="G79">
        <v>636</v>
      </c>
      <c r="H79">
        <v>8</v>
      </c>
      <c r="I79">
        <v>3</v>
      </c>
      <c r="J79">
        <v>1</v>
      </c>
      <c r="K79">
        <v>1.35</v>
      </c>
      <c r="L79">
        <v>0.33</v>
      </c>
      <c r="M79">
        <v>35</v>
      </c>
      <c r="N79">
        <v>114</v>
      </c>
      <c r="O79">
        <f t="shared" si="4"/>
        <v>0.19103773584905659</v>
      </c>
      <c r="P79">
        <f t="shared" si="5"/>
        <v>4.6698113207547173E-2</v>
      </c>
    </row>
    <row r="80" spans="1:16" x14ac:dyDescent="0.25">
      <c r="A80" t="str">
        <f t="shared" si="3"/>
        <v>Joe Gauci</v>
      </c>
      <c r="B80" t="s">
        <v>585</v>
      </c>
      <c r="C80" t="s">
        <v>1336</v>
      </c>
      <c r="D80">
        <v>2</v>
      </c>
      <c r="E80">
        <v>1</v>
      </c>
      <c r="F80">
        <v>39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f t="shared" si="4"/>
        <v>0</v>
      </c>
      <c r="P80">
        <f t="shared" si="5"/>
        <v>0</v>
      </c>
    </row>
    <row r="81" spans="1:16" x14ac:dyDescent="0.25">
      <c r="A81" t="str">
        <f t="shared" si="3"/>
        <v>Finley Munroe</v>
      </c>
      <c r="B81" t="s">
        <v>1337</v>
      </c>
      <c r="C81" t="s">
        <v>1338</v>
      </c>
      <c r="D81">
        <v>2</v>
      </c>
      <c r="E81">
        <v>2</v>
      </c>
      <c r="F81">
        <v>40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3</v>
      </c>
      <c r="O81">
        <f t="shared" si="4"/>
        <v>0</v>
      </c>
      <c r="P81">
        <f t="shared" si="5"/>
        <v>0</v>
      </c>
    </row>
    <row r="82" spans="1:16" x14ac:dyDescent="0.25">
      <c r="A82" t="str">
        <f t="shared" si="3"/>
        <v>Kadan Young</v>
      </c>
      <c r="B82" t="s">
        <v>1339</v>
      </c>
      <c r="C82" t="s">
        <v>1340</v>
      </c>
      <c r="D82">
        <v>2</v>
      </c>
      <c r="E82">
        <v>3</v>
      </c>
      <c r="F82">
        <v>45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f t="shared" si="4"/>
        <v>0</v>
      </c>
      <c r="P82">
        <f t="shared" si="5"/>
        <v>0</v>
      </c>
    </row>
    <row r="83" spans="1:16" x14ac:dyDescent="0.25">
      <c r="A83" t="str">
        <f t="shared" si="3"/>
        <v>Lander Emery</v>
      </c>
      <c r="B83" t="s">
        <v>1341</v>
      </c>
      <c r="C83" t="s">
        <v>1342</v>
      </c>
      <c r="D83">
        <v>2</v>
      </c>
      <c r="E83">
        <v>1</v>
      </c>
      <c r="F83">
        <v>40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f t="shared" si="4"/>
        <v>0</v>
      </c>
      <c r="P83">
        <f t="shared" si="5"/>
        <v>0</v>
      </c>
    </row>
    <row r="84" spans="1:16" x14ac:dyDescent="0.25">
      <c r="A84" t="str">
        <f t="shared" si="3"/>
        <v>Jaidon Anthony</v>
      </c>
      <c r="B84" t="s">
        <v>221</v>
      </c>
      <c r="C84" t="s">
        <v>222</v>
      </c>
      <c r="D84">
        <v>3</v>
      </c>
      <c r="E84">
        <v>3</v>
      </c>
      <c r="F84">
        <v>49</v>
      </c>
      <c r="G84">
        <v>151</v>
      </c>
      <c r="H84">
        <v>2</v>
      </c>
      <c r="I84">
        <v>0</v>
      </c>
      <c r="J84">
        <v>0</v>
      </c>
      <c r="K84">
        <v>7.0000000000000007E-2</v>
      </c>
      <c r="L84">
        <v>0.02</v>
      </c>
      <c r="M84">
        <v>3</v>
      </c>
      <c r="N84">
        <v>4</v>
      </c>
      <c r="O84">
        <f t="shared" si="4"/>
        <v>4.1721854304635764E-2</v>
      </c>
      <c r="P84">
        <f t="shared" si="5"/>
        <v>1.1920529801324502E-2</v>
      </c>
    </row>
    <row r="85" spans="1:16" x14ac:dyDescent="0.25">
      <c r="A85" t="str">
        <f t="shared" si="3"/>
        <v>Philip Billing</v>
      </c>
      <c r="B85" t="s">
        <v>1343</v>
      </c>
      <c r="C85" t="s">
        <v>1344</v>
      </c>
      <c r="D85">
        <v>3</v>
      </c>
      <c r="E85">
        <v>3</v>
      </c>
      <c r="F85">
        <v>51</v>
      </c>
      <c r="G85">
        <v>1385</v>
      </c>
      <c r="H85">
        <v>13</v>
      </c>
      <c r="I85">
        <v>2</v>
      </c>
      <c r="J85">
        <v>3</v>
      </c>
      <c r="K85">
        <v>2.5299999999999998</v>
      </c>
      <c r="L85">
        <v>2.11</v>
      </c>
      <c r="M85">
        <v>60</v>
      </c>
      <c r="N85">
        <v>228</v>
      </c>
      <c r="O85">
        <f t="shared" si="4"/>
        <v>0.16440433212996389</v>
      </c>
      <c r="P85">
        <f t="shared" si="5"/>
        <v>0.13711191335740072</v>
      </c>
    </row>
    <row r="86" spans="1:16" x14ac:dyDescent="0.25">
      <c r="A86" t="str">
        <f t="shared" si="3"/>
        <v>David Brooks</v>
      </c>
      <c r="B86" t="s">
        <v>20</v>
      </c>
      <c r="C86" t="s">
        <v>163</v>
      </c>
      <c r="D86">
        <v>3</v>
      </c>
      <c r="E86">
        <v>3</v>
      </c>
      <c r="F86">
        <v>47</v>
      </c>
      <c r="G86">
        <v>271</v>
      </c>
      <c r="H86">
        <v>2</v>
      </c>
      <c r="I86">
        <v>1</v>
      </c>
      <c r="J86">
        <v>1</v>
      </c>
      <c r="K86">
        <v>2.4500000000000002</v>
      </c>
      <c r="L86">
        <v>0.47</v>
      </c>
      <c r="M86">
        <v>23</v>
      </c>
      <c r="N86">
        <v>71</v>
      </c>
      <c r="O86">
        <f t="shared" si="4"/>
        <v>0.8136531365313654</v>
      </c>
      <c r="P86">
        <f t="shared" si="5"/>
        <v>0.15608856088560885</v>
      </c>
    </row>
    <row r="87" spans="1:16" x14ac:dyDescent="0.25">
      <c r="A87" t="str">
        <f t="shared" si="3"/>
        <v>Ryan Christie</v>
      </c>
      <c r="B87" t="s">
        <v>164</v>
      </c>
      <c r="C87" t="s">
        <v>165</v>
      </c>
      <c r="D87">
        <v>3</v>
      </c>
      <c r="E87">
        <v>3</v>
      </c>
      <c r="F87">
        <v>50</v>
      </c>
      <c r="G87">
        <v>2908</v>
      </c>
      <c r="H87">
        <v>35</v>
      </c>
      <c r="I87">
        <v>0</v>
      </c>
      <c r="J87">
        <v>5</v>
      </c>
      <c r="K87">
        <v>2.4900000000000002</v>
      </c>
      <c r="L87">
        <v>5.37</v>
      </c>
      <c r="M87">
        <v>90</v>
      </c>
      <c r="N87">
        <v>433</v>
      </c>
      <c r="O87">
        <f t="shared" si="4"/>
        <v>7.7063273727647874E-2</v>
      </c>
      <c r="P87">
        <f t="shared" si="5"/>
        <v>0.16619669876203577</v>
      </c>
    </row>
    <row r="88" spans="1:16" x14ac:dyDescent="0.25">
      <c r="A88" t="str">
        <f t="shared" si="3"/>
        <v>Lewis Cook</v>
      </c>
      <c r="B88" t="s">
        <v>157</v>
      </c>
      <c r="C88" t="s">
        <v>158</v>
      </c>
      <c r="D88">
        <v>3</v>
      </c>
      <c r="E88">
        <v>3</v>
      </c>
      <c r="F88">
        <v>48</v>
      </c>
      <c r="G88">
        <v>2787</v>
      </c>
      <c r="H88">
        <v>32</v>
      </c>
      <c r="I88">
        <v>0</v>
      </c>
      <c r="J88">
        <v>3</v>
      </c>
      <c r="K88">
        <v>0.42</v>
      </c>
      <c r="L88">
        <v>2.92</v>
      </c>
      <c r="M88">
        <v>77</v>
      </c>
      <c r="N88">
        <v>446</v>
      </c>
      <c r="O88">
        <f t="shared" si="4"/>
        <v>1.3562970936490849E-2</v>
      </c>
      <c r="P88">
        <f t="shared" si="5"/>
        <v>9.4294940796555426E-2</v>
      </c>
    </row>
    <row r="89" spans="1:16" x14ac:dyDescent="0.25">
      <c r="A89" t="str">
        <f t="shared" si="3"/>
        <v>Siriki Dembélé</v>
      </c>
      <c r="B89" t="s">
        <v>1345</v>
      </c>
      <c r="C89" t="s">
        <v>1346</v>
      </c>
      <c r="D89">
        <v>3</v>
      </c>
      <c r="E89">
        <v>3</v>
      </c>
      <c r="F89">
        <v>45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f t="shared" si="4"/>
        <v>0</v>
      </c>
      <c r="P89">
        <f t="shared" si="5"/>
        <v>0</v>
      </c>
    </row>
    <row r="90" spans="1:16" x14ac:dyDescent="0.25">
      <c r="A90" t="str">
        <f t="shared" si="3"/>
        <v>Ryan Fredericks</v>
      </c>
      <c r="B90" t="s">
        <v>164</v>
      </c>
      <c r="C90" t="s">
        <v>1347</v>
      </c>
      <c r="D90">
        <v>3</v>
      </c>
      <c r="E90">
        <v>2</v>
      </c>
      <c r="F90">
        <v>43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f t="shared" si="4"/>
        <v>0</v>
      </c>
      <c r="P90">
        <f t="shared" si="5"/>
        <v>0</v>
      </c>
    </row>
    <row r="91" spans="1:16" x14ac:dyDescent="0.25">
      <c r="A91" t="str">
        <f t="shared" si="3"/>
        <v>James Hill</v>
      </c>
      <c r="B91" t="s">
        <v>135</v>
      </c>
      <c r="C91" t="s">
        <v>136</v>
      </c>
      <c r="D91">
        <v>3</v>
      </c>
      <c r="E91">
        <v>2</v>
      </c>
      <c r="F91">
        <v>40</v>
      </c>
      <c r="G91">
        <v>74</v>
      </c>
      <c r="H91">
        <v>1</v>
      </c>
      <c r="I91">
        <v>0</v>
      </c>
      <c r="J91">
        <v>0</v>
      </c>
      <c r="K91">
        <v>0</v>
      </c>
      <c r="L91">
        <v>0.01</v>
      </c>
      <c r="M91">
        <v>5</v>
      </c>
      <c r="N91">
        <v>22</v>
      </c>
      <c r="O91">
        <f t="shared" si="4"/>
        <v>0</v>
      </c>
      <c r="P91">
        <f t="shared" si="5"/>
        <v>1.2162162162162163E-2</v>
      </c>
    </row>
    <row r="92" spans="1:16" x14ac:dyDescent="0.25">
      <c r="A92" t="str">
        <f t="shared" si="3"/>
        <v>Lloyd Kelly</v>
      </c>
      <c r="B92" t="s">
        <v>1348</v>
      </c>
      <c r="C92" t="s">
        <v>1349</v>
      </c>
      <c r="D92">
        <v>3</v>
      </c>
      <c r="E92">
        <v>2</v>
      </c>
      <c r="F92">
        <v>45</v>
      </c>
      <c r="G92">
        <v>1553</v>
      </c>
      <c r="H92">
        <v>17</v>
      </c>
      <c r="I92">
        <v>0</v>
      </c>
      <c r="J92">
        <v>1</v>
      </c>
      <c r="K92">
        <v>0.34</v>
      </c>
      <c r="L92">
        <v>0.77</v>
      </c>
      <c r="M92">
        <v>48</v>
      </c>
      <c r="N92">
        <v>293</v>
      </c>
      <c r="O92">
        <f t="shared" si="4"/>
        <v>1.9703799098518996E-2</v>
      </c>
      <c r="P92">
        <f t="shared" si="5"/>
        <v>4.4623309723116553E-2</v>
      </c>
    </row>
    <row r="93" spans="1:16" x14ac:dyDescent="0.25">
      <c r="A93" t="str">
        <f t="shared" si="3"/>
        <v>Gavin Kilkenny</v>
      </c>
      <c r="B93" t="s">
        <v>1350</v>
      </c>
      <c r="C93" t="s">
        <v>1351</v>
      </c>
      <c r="D93">
        <v>3</v>
      </c>
      <c r="E93">
        <v>3</v>
      </c>
      <c r="F93">
        <v>43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f t="shared" si="4"/>
        <v>0</v>
      </c>
      <c r="P93">
        <f t="shared" si="5"/>
        <v>0</v>
      </c>
    </row>
    <row r="94" spans="1:16" x14ac:dyDescent="0.25">
      <c r="A94" t="str">
        <f t="shared" si="3"/>
        <v>Justin Kluivert</v>
      </c>
      <c r="B94" t="s">
        <v>155</v>
      </c>
      <c r="C94" t="s">
        <v>156</v>
      </c>
      <c r="D94">
        <v>3</v>
      </c>
      <c r="E94">
        <v>3</v>
      </c>
      <c r="F94">
        <v>46</v>
      </c>
      <c r="G94">
        <v>1910</v>
      </c>
      <c r="H94">
        <v>26</v>
      </c>
      <c r="I94">
        <v>7</v>
      </c>
      <c r="J94">
        <v>1</v>
      </c>
      <c r="K94">
        <v>5.76</v>
      </c>
      <c r="L94">
        <v>1.68</v>
      </c>
      <c r="M94">
        <v>100</v>
      </c>
      <c r="N94">
        <v>229</v>
      </c>
      <c r="O94">
        <f t="shared" si="4"/>
        <v>0.27141361256544499</v>
      </c>
      <c r="P94">
        <f t="shared" si="5"/>
        <v>7.9162303664921468E-2</v>
      </c>
    </row>
    <row r="95" spans="1:16" x14ac:dyDescent="0.25">
      <c r="A95" t="str">
        <f t="shared" si="3"/>
        <v>Jamal Lowe</v>
      </c>
      <c r="B95" t="s">
        <v>1352</v>
      </c>
      <c r="C95" t="s">
        <v>1353</v>
      </c>
      <c r="D95">
        <v>3</v>
      </c>
      <c r="E95">
        <v>3</v>
      </c>
      <c r="F95">
        <v>49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f t="shared" si="4"/>
        <v>0</v>
      </c>
      <c r="P95">
        <f t="shared" si="5"/>
        <v>0</v>
      </c>
    </row>
    <row r="96" spans="1:16" x14ac:dyDescent="0.25">
      <c r="A96" t="str">
        <f t="shared" si="3"/>
        <v>Emiliano Marcondes</v>
      </c>
      <c r="B96" t="s">
        <v>74</v>
      </c>
      <c r="C96" t="s">
        <v>1354</v>
      </c>
      <c r="D96">
        <v>3</v>
      </c>
      <c r="E96">
        <v>3</v>
      </c>
      <c r="F96">
        <v>43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f t="shared" si="4"/>
        <v>0</v>
      </c>
      <c r="P96">
        <f t="shared" si="5"/>
        <v>0</v>
      </c>
    </row>
    <row r="97" spans="1:16" x14ac:dyDescent="0.25">
      <c r="A97" t="str">
        <f t="shared" si="3"/>
        <v>Chris Mepham</v>
      </c>
      <c r="B97" t="s">
        <v>418</v>
      </c>
      <c r="C97" t="s">
        <v>1355</v>
      </c>
      <c r="D97">
        <v>3</v>
      </c>
      <c r="E97">
        <v>2</v>
      </c>
      <c r="F97">
        <v>43</v>
      </c>
      <c r="G97">
        <v>613</v>
      </c>
      <c r="H97">
        <v>6</v>
      </c>
      <c r="I97">
        <v>0</v>
      </c>
      <c r="J97">
        <v>1</v>
      </c>
      <c r="K97">
        <v>0.09</v>
      </c>
      <c r="L97">
        <v>0.17</v>
      </c>
      <c r="M97">
        <v>16</v>
      </c>
      <c r="N97">
        <v>113</v>
      </c>
      <c r="O97">
        <f t="shared" si="4"/>
        <v>1.3213703099510603E-2</v>
      </c>
      <c r="P97">
        <f t="shared" si="5"/>
        <v>2.4959216965742253E-2</v>
      </c>
    </row>
    <row r="98" spans="1:16" x14ac:dyDescent="0.25">
      <c r="A98" t="str">
        <f t="shared" si="3"/>
        <v>Kieffer Moore</v>
      </c>
      <c r="B98" t="s">
        <v>1356</v>
      </c>
      <c r="C98" t="s">
        <v>976</v>
      </c>
      <c r="D98">
        <v>3</v>
      </c>
      <c r="E98">
        <v>4</v>
      </c>
      <c r="F98">
        <v>46</v>
      </c>
      <c r="G98">
        <v>100</v>
      </c>
      <c r="H98">
        <v>0</v>
      </c>
      <c r="I98">
        <v>1</v>
      </c>
      <c r="J98">
        <v>0</v>
      </c>
      <c r="K98">
        <v>1.44</v>
      </c>
      <c r="L98">
        <v>0.33</v>
      </c>
      <c r="M98">
        <v>14</v>
      </c>
      <c r="N98">
        <v>38</v>
      </c>
      <c r="O98">
        <f t="shared" si="4"/>
        <v>1.296</v>
      </c>
      <c r="P98">
        <f t="shared" si="5"/>
        <v>0.29699999999999999</v>
      </c>
    </row>
    <row r="99" spans="1:16" x14ac:dyDescent="0.25">
      <c r="A99" t="str">
        <f t="shared" si="3"/>
        <v>Norberto Murara Neto</v>
      </c>
      <c r="B99" t="s">
        <v>1357</v>
      </c>
      <c r="C99" t="s">
        <v>1358</v>
      </c>
      <c r="D99">
        <v>3</v>
      </c>
      <c r="E99">
        <v>1</v>
      </c>
      <c r="F99">
        <v>46</v>
      </c>
      <c r="G99">
        <v>2880</v>
      </c>
      <c r="H99">
        <v>32</v>
      </c>
      <c r="I99">
        <v>0</v>
      </c>
      <c r="J99">
        <v>0</v>
      </c>
      <c r="K99">
        <v>0</v>
      </c>
      <c r="L99">
        <v>0.01</v>
      </c>
      <c r="M99">
        <v>110</v>
      </c>
      <c r="N99">
        <v>592</v>
      </c>
      <c r="O99">
        <f t="shared" si="4"/>
        <v>0</v>
      </c>
      <c r="P99">
        <f t="shared" si="5"/>
        <v>3.1250000000000001E-4</v>
      </c>
    </row>
    <row r="100" spans="1:16" x14ac:dyDescent="0.25">
      <c r="A100" t="str">
        <f t="shared" si="3"/>
        <v>Dango Ouattara</v>
      </c>
      <c r="B100" t="s">
        <v>206</v>
      </c>
      <c r="C100" t="s">
        <v>207</v>
      </c>
      <c r="D100">
        <v>3</v>
      </c>
      <c r="E100">
        <v>3</v>
      </c>
      <c r="F100">
        <v>47</v>
      </c>
      <c r="G100">
        <v>1214</v>
      </c>
      <c r="H100">
        <v>12</v>
      </c>
      <c r="I100">
        <v>1</v>
      </c>
      <c r="J100">
        <v>2</v>
      </c>
      <c r="K100">
        <v>2.65</v>
      </c>
      <c r="L100">
        <v>1.1000000000000001</v>
      </c>
      <c r="M100">
        <v>56</v>
      </c>
      <c r="N100">
        <v>207</v>
      </c>
      <c r="O100">
        <f t="shared" si="4"/>
        <v>0.19645799011532125</v>
      </c>
      <c r="P100">
        <f t="shared" si="5"/>
        <v>8.1548599670510716E-2</v>
      </c>
    </row>
    <row r="101" spans="1:16" x14ac:dyDescent="0.25">
      <c r="A101" t="str">
        <f t="shared" si="3"/>
        <v>Ben Pearson</v>
      </c>
      <c r="B101" t="s">
        <v>159</v>
      </c>
      <c r="C101" t="s">
        <v>1359</v>
      </c>
      <c r="D101">
        <v>3</v>
      </c>
      <c r="E101">
        <v>3</v>
      </c>
      <c r="F101">
        <v>45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f t="shared" si="4"/>
        <v>0</v>
      </c>
      <c r="P101">
        <f t="shared" si="5"/>
        <v>0</v>
      </c>
    </row>
    <row r="102" spans="1:16" x14ac:dyDescent="0.25">
      <c r="A102" t="str">
        <f t="shared" si="3"/>
        <v>Darren Randolph</v>
      </c>
      <c r="B102" t="s">
        <v>1360</v>
      </c>
      <c r="C102" t="s">
        <v>1361</v>
      </c>
      <c r="D102">
        <v>3</v>
      </c>
      <c r="E102">
        <v>1</v>
      </c>
      <c r="F102">
        <v>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f t="shared" si="4"/>
        <v>0</v>
      </c>
      <c r="P102">
        <f t="shared" si="5"/>
        <v>0</v>
      </c>
    </row>
    <row r="103" spans="1:16" x14ac:dyDescent="0.25">
      <c r="A103" t="str">
        <f t="shared" si="3"/>
        <v>Joe Rothwell</v>
      </c>
      <c r="B103" t="s">
        <v>585</v>
      </c>
      <c r="C103" t="s">
        <v>1362</v>
      </c>
      <c r="D103">
        <v>3</v>
      </c>
      <c r="E103">
        <v>3</v>
      </c>
      <c r="F103">
        <v>48</v>
      </c>
      <c r="G103">
        <v>380</v>
      </c>
      <c r="H103">
        <v>3</v>
      </c>
      <c r="I103">
        <v>0</v>
      </c>
      <c r="J103">
        <v>0</v>
      </c>
      <c r="K103">
        <v>0.06</v>
      </c>
      <c r="L103">
        <v>0.22</v>
      </c>
      <c r="M103">
        <v>13</v>
      </c>
      <c r="N103">
        <v>54</v>
      </c>
      <c r="O103">
        <f t="shared" si="4"/>
        <v>1.4210526315789474E-2</v>
      </c>
      <c r="P103">
        <f t="shared" si="5"/>
        <v>5.2105263157894745E-2</v>
      </c>
    </row>
    <row r="104" spans="1:16" x14ac:dyDescent="0.25">
      <c r="A104" t="str">
        <f t="shared" si="3"/>
        <v>Antoine Semenyo</v>
      </c>
      <c r="B104" t="s">
        <v>767</v>
      </c>
      <c r="C104" t="s">
        <v>768</v>
      </c>
      <c r="D104">
        <v>3</v>
      </c>
      <c r="E104">
        <v>4</v>
      </c>
      <c r="F104">
        <v>45</v>
      </c>
      <c r="G104">
        <v>2099</v>
      </c>
      <c r="H104">
        <v>25</v>
      </c>
      <c r="I104">
        <v>8</v>
      </c>
      <c r="J104">
        <v>4</v>
      </c>
      <c r="K104">
        <v>4.6900000000000004</v>
      </c>
      <c r="L104">
        <v>2.19</v>
      </c>
      <c r="M104">
        <v>107</v>
      </c>
      <c r="N104">
        <v>363</v>
      </c>
      <c r="O104">
        <f t="shared" si="4"/>
        <v>0.20109575988565984</v>
      </c>
      <c r="P104">
        <f t="shared" si="5"/>
        <v>9.3901858027632207E-2</v>
      </c>
    </row>
    <row r="105" spans="1:16" x14ac:dyDescent="0.25">
      <c r="A105" t="str">
        <f t="shared" si="3"/>
        <v>Marcos Senesi</v>
      </c>
      <c r="B105" t="s">
        <v>939</v>
      </c>
      <c r="C105" t="s">
        <v>1363</v>
      </c>
      <c r="D105">
        <v>3</v>
      </c>
      <c r="E105">
        <v>2</v>
      </c>
      <c r="F105">
        <v>44</v>
      </c>
      <c r="G105">
        <v>2239</v>
      </c>
      <c r="H105">
        <v>26</v>
      </c>
      <c r="I105">
        <v>4</v>
      </c>
      <c r="J105">
        <v>5</v>
      </c>
      <c r="K105">
        <v>1.98</v>
      </c>
      <c r="L105">
        <v>2.27</v>
      </c>
      <c r="M105">
        <v>102</v>
      </c>
      <c r="N105">
        <v>486</v>
      </c>
      <c r="O105">
        <f t="shared" si="4"/>
        <v>7.9589102277802595E-2</v>
      </c>
      <c r="P105">
        <f t="shared" si="5"/>
        <v>9.1246092005359547E-2</v>
      </c>
    </row>
    <row r="106" spans="1:16" x14ac:dyDescent="0.25">
      <c r="A106" t="str">
        <f t="shared" si="3"/>
        <v>Adam Smith</v>
      </c>
      <c r="B106" t="s">
        <v>143</v>
      </c>
      <c r="C106" t="s">
        <v>144</v>
      </c>
      <c r="D106">
        <v>3</v>
      </c>
      <c r="E106">
        <v>2</v>
      </c>
      <c r="F106">
        <v>44</v>
      </c>
      <c r="G106">
        <v>2148</v>
      </c>
      <c r="H106">
        <v>25</v>
      </c>
      <c r="I106">
        <v>0</v>
      </c>
      <c r="J106">
        <v>3</v>
      </c>
      <c r="K106">
        <v>0.05</v>
      </c>
      <c r="L106">
        <v>1.5</v>
      </c>
      <c r="M106">
        <v>80</v>
      </c>
      <c r="N106">
        <v>378</v>
      </c>
      <c r="O106">
        <f t="shared" si="4"/>
        <v>2.0949720670391065E-3</v>
      </c>
      <c r="P106">
        <f t="shared" si="5"/>
        <v>6.2849162011173187E-2</v>
      </c>
    </row>
    <row r="107" spans="1:16" x14ac:dyDescent="0.25">
      <c r="A107" t="str">
        <f t="shared" si="3"/>
        <v>Dominic Solanke</v>
      </c>
      <c r="B107" t="s">
        <v>681</v>
      </c>
      <c r="C107" t="s">
        <v>1364</v>
      </c>
      <c r="D107">
        <v>3</v>
      </c>
      <c r="E107">
        <v>4</v>
      </c>
      <c r="F107">
        <v>69</v>
      </c>
      <c r="G107">
        <v>3325</v>
      </c>
      <c r="H107">
        <v>37</v>
      </c>
      <c r="I107">
        <v>19</v>
      </c>
      <c r="J107">
        <v>3</v>
      </c>
      <c r="K107">
        <v>19.64</v>
      </c>
      <c r="L107">
        <v>2.11</v>
      </c>
      <c r="M107">
        <v>175</v>
      </c>
      <c r="N107">
        <v>560</v>
      </c>
      <c r="O107">
        <f t="shared" si="4"/>
        <v>0.53160902255639098</v>
      </c>
      <c r="P107">
        <f t="shared" si="5"/>
        <v>5.7112781954887212E-2</v>
      </c>
    </row>
    <row r="108" spans="1:16" x14ac:dyDescent="0.25">
      <c r="A108" t="str">
        <f t="shared" si="3"/>
        <v>Marcus Tavernier</v>
      </c>
      <c r="B108" t="s">
        <v>151</v>
      </c>
      <c r="C108" t="s">
        <v>152</v>
      </c>
      <c r="D108">
        <v>3</v>
      </c>
      <c r="E108">
        <v>3</v>
      </c>
      <c r="F108">
        <v>50</v>
      </c>
      <c r="G108">
        <v>2118</v>
      </c>
      <c r="H108">
        <v>25</v>
      </c>
      <c r="I108">
        <v>3</v>
      </c>
      <c r="J108">
        <v>4</v>
      </c>
      <c r="K108">
        <v>3.88</v>
      </c>
      <c r="L108">
        <v>4.24</v>
      </c>
      <c r="M108">
        <v>89</v>
      </c>
      <c r="N108">
        <v>324</v>
      </c>
      <c r="O108">
        <f t="shared" si="4"/>
        <v>0.16487252124645893</v>
      </c>
      <c r="P108">
        <f t="shared" si="5"/>
        <v>0.1801699716713881</v>
      </c>
    </row>
    <row r="109" spans="1:16" x14ac:dyDescent="0.25">
      <c r="A109" t="str">
        <f t="shared" si="3"/>
        <v>Hamed Traorè</v>
      </c>
      <c r="B109" t="s">
        <v>1365</v>
      </c>
      <c r="C109" t="s">
        <v>1366</v>
      </c>
      <c r="D109">
        <v>3</v>
      </c>
      <c r="E109">
        <v>3</v>
      </c>
      <c r="F109">
        <v>47</v>
      </c>
      <c r="G109">
        <v>44</v>
      </c>
      <c r="H109">
        <v>0</v>
      </c>
      <c r="I109">
        <v>0</v>
      </c>
      <c r="J109">
        <v>0</v>
      </c>
      <c r="K109">
        <v>0.17</v>
      </c>
      <c r="L109">
        <v>0.01</v>
      </c>
      <c r="M109">
        <v>3</v>
      </c>
      <c r="N109">
        <v>10</v>
      </c>
      <c r="O109">
        <f t="shared" si="4"/>
        <v>0.34772727272727272</v>
      </c>
      <c r="P109">
        <f t="shared" si="5"/>
        <v>2.0454545454545454E-2</v>
      </c>
    </row>
    <row r="110" spans="1:16" x14ac:dyDescent="0.25">
      <c r="A110" t="str">
        <f t="shared" si="3"/>
        <v>Mark Travers</v>
      </c>
      <c r="B110" t="s">
        <v>473</v>
      </c>
      <c r="C110" t="s">
        <v>474</v>
      </c>
      <c r="D110">
        <v>3</v>
      </c>
      <c r="E110">
        <v>1</v>
      </c>
      <c r="F110">
        <v>40</v>
      </c>
      <c r="G110">
        <v>360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19</v>
      </c>
      <c r="N110">
        <v>79</v>
      </c>
      <c r="O110">
        <f t="shared" si="4"/>
        <v>0</v>
      </c>
      <c r="P110">
        <f t="shared" si="5"/>
        <v>0</v>
      </c>
    </row>
    <row r="111" spans="1:16" x14ac:dyDescent="0.25">
      <c r="A111" t="str">
        <f t="shared" si="3"/>
        <v>Illia Zabarnyi</v>
      </c>
      <c r="B111" t="s">
        <v>1367</v>
      </c>
      <c r="C111" t="s">
        <v>1368</v>
      </c>
      <c r="D111">
        <v>3</v>
      </c>
      <c r="E111">
        <v>2</v>
      </c>
      <c r="F111">
        <v>44</v>
      </c>
      <c r="G111">
        <v>3330</v>
      </c>
      <c r="H111">
        <v>37</v>
      </c>
      <c r="I111">
        <v>1</v>
      </c>
      <c r="J111">
        <v>0</v>
      </c>
      <c r="K111">
        <v>1.1299999999999999</v>
      </c>
      <c r="L111">
        <v>0.55000000000000004</v>
      </c>
      <c r="M111">
        <v>84</v>
      </c>
      <c r="N111">
        <v>583</v>
      </c>
      <c r="O111">
        <f t="shared" si="4"/>
        <v>3.0540540540540537E-2</v>
      </c>
      <c r="P111">
        <f t="shared" si="5"/>
        <v>1.4864864864864866E-2</v>
      </c>
    </row>
    <row r="112" spans="1:16" x14ac:dyDescent="0.25">
      <c r="A112" t="str">
        <f t="shared" si="3"/>
        <v>Milos Kerkez</v>
      </c>
      <c r="B112" t="s">
        <v>705</v>
      </c>
      <c r="C112" t="s">
        <v>706</v>
      </c>
      <c r="D112">
        <v>3</v>
      </c>
      <c r="E112">
        <v>2</v>
      </c>
      <c r="F112">
        <v>44</v>
      </c>
      <c r="G112">
        <v>1966</v>
      </c>
      <c r="H112">
        <v>22</v>
      </c>
      <c r="I112">
        <v>0</v>
      </c>
      <c r="J112">
        <v>2</v>
      </c>
      <c r="K112">
        <v>1.32</v>
      </c>
      <c r="L112">
        <v>1.06</v>
      </c>
      <c r="M112">
        <v>59</v>
      </c>
      <c r="N112">
        <v>290</v>
      </c>
      <c r="O112">
        <f t="shared" si="4"/>
        <v>6.0427263479145475E-2</v>
      </c>
      <c r="P112">
        <f t="shared" si="5"/>
        <v>4.8524923702950154E-2</v>
      </c>
    </row>
    <row r="113" spans="1:16" x14ac:dyDescent="0.25">
      <c r="A113" t="str">
        <f t="shared" si="3"/>
        <v>Ionuț Radu</v>
      </c>
      <c r="B113" t="s">
        <v>1369</v>
      </c>
      <c r="C113" t="s">
        <v>1370</v>
      </c>
      <c r="D113">
        <v>3</v>
      </c>
      <c r="E113">
        <v>1</v>
      </c>
      <c r="F113">
        <v>43</v>
      </c>
      <c r="G113">
        <v>180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31</v>
      </c>
      <c r="O113">
        <f t="shared" si="4"/>
        <v>0</v>
      </c>
      <c r="P113">
        <f t="shared" si="5"/>
        <v>0</v>
      </c>
    </row>
    <row r="114" spans="1:16" x14ac:dyDescent="0.25">
      <c r="A114" t="str">
        <f t="shared" si="3"/>
        <v>Ben Greenwood</v>
      </c>
      <c r="B114" t="s">
        <v>159</v>
      </c>
      <c r="C114" t="s">
        <v>1371</v>
      </c>
      <c r="D114">
        <v>3</v>
      </c>
      <c r="E114">
        <v>2</v>
      </c>
      <c r="F114">
        <v>40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f t="shared" si="4"/>
        <v>0</v>
      </c>
      <c r="P114">
        <f t="shared" si="5"/>
        <v>0</v>
      </c>
    </row>
    <row r="115" spans="1:16" x14ac:dyDescent="0.25">
      <c r="A115" t="str">
        <f t="shared" si="3"/>
        <v>Max Aarons</v>
      </c>
      <c r="B115" t="s">
        <v>57</v>
      </c>
      <c r="C115" t="s">
        <v>1372</v>
      </c>
      <c r="D115">
        <v>3</v>
      </c>
      <c r="E115">
        <v>2</v>
      </c>
      <c r="F115">
        <v>44</v>
      </c>
      <c r="G115">
        <v>1233</v>
      </c>
      <c r="H115">
        <v>13</v>
      </c>
      <c r="I115">
        <v>0</v>
      </c>
      <c r="J115">
        <v>1</v>
      </c>
      <c r="K115">
        <v>0.04</v>
      </c>
      <c r="L115">
        <v>0.89</v>
      </c>
      <c r="M115">
        <v>28</v>
      </c>
      <c r="N115">
        <v>199</v>
      </c>
      <c r="O115">
        <f t="shared" si="4"/>
        <v>2.9197080291970801E-3</v>
      </c>
      <c r="P115">
        <f t="shared" si="5"/>
        <v>6.4963503649635032E-2</v>
      </c>
    </row>
    <row r="116" spans="1:16" x14ac:dyDescent="0.25">
      <c r="A116" t="str">
        <f t="shared" si="3"/>
        <v>Alex Scott</v>
      </c>
      <c r="B116" t="s">
        <v>153</v>
      </c>
      <c r="C116" t="s">
        <v>154</v>
      </c>
      <c r="D116">
        <v>3</v>
      </c>
      <c r="E116">
        <v>3</v>
      </c>
      <c r="F116">
        <v>49</v>
      </c>
      <c r="G116">
        <v>1003</v>
      </c>
      <c r="H116">
        <v>11</v>
      </c>
      <c r="I116">
        <v>1</v>
      </c>
      <c r="J116">
        <v>1</v>
      </c>
      <c r="K116">
        <v>0.82</v>
      </c>
      <c r="L116">
        <v>1.06</v>
      </c>
      <c r="M116">
        <v>41</v>
      </c>
      <c r="N116">
        <v>163</v>
      </c>
      <c r="O116">
        <f t="shared" si="4"/>
        <v>7.3579262213359919E-2</v>
      </c>
      <c r="P116">
        <f t="shared" si="5"/>
        <v>9.5114656031904291E-2</v>
      </c>
    </row>
    <row r="117" spans="1:16" x14ac:dyDescent="0.25">
      <c r="A117" t="str">
        <f t="shared" si="3"/>
        <v>Tyler Adams</v>
      </c>
      <c r="B117" t="s">
        <v>161</v>
      </c>
      <c r="C117" t="s">
        <v>162</v>
      </c>
      <c r="D117">
        <v>3</v>
      </c>
      <c r="E117">
        <v>3</v>
      </c>
      <c r="F117">
        <v>49</v>
      </c>
      <c r="G117">
        <v>118</v>
      </c>
      <c r="H117">
        <v>1</v>
      </c>
      <c r="I117">
        <v>0</v>
      </c>
      <c r="J117">
        <v>0</v>
      </c>
      <c r="K117">
        <v>0</v>
      </c>
      <c r="L117">
        <v>0.03</v>
      </c>
      <c r="M117">
        <v>5</v>
      </c>
      <c r="N117">
        <v>28</v>
      </c>
      <c r="O117">
        <f t="shared" si="4"/>
        <v>0</v>
      </c>
      <c r="P117">
        <f t="shared" si="5"/>
        <v>2.288135593220339E-2</v>
      </c>
    </row>
    <row r="118" spans="1:16" x14ac:dyDescent="0.25">
      <c r="A118" t="str">
        <f t="shared" si="3"/>
        <v>Luis Sinisterra</v>
      </c>
      <c r="B118" t="s">
        <v>1373</v>
      </c>
      <c r="C118" t="s">
        <v>1374</v>
      </c>
      <c r="D118">
        <v>3</v>
      </c>
      <c r="E118">
        <v>3</v>
      </c>
      <c r="F118">
        <v>55</v>
      </c>
      <c r="G118">
        <v>685</v>
      </c>
      <c r="H118">
        <v>7</v>
      </c>
      <c r="I118">
        <v>2</v>
      </c>
      <c r="J118">
        <v>2</v>
      </c>
      <c r="K118">
        <v>2.62</v>
      </c>
      <c r="L118">
        <v>1.03</v>
      </c>
      <c r="M118">
        <v>43</v>
      </c>
      <c r="N118">
        <v>149</v>
      </c>
      <c r="O118">
        <f t="shared" si="4"/>
        <v>0.34423357664233578</v>
      </c>
      <c r="P118">
        <f t="shared" si="5"/>
        <v>0.13532846715328467</v>
      </c>
    </row>
    <row r="119" spans="1:16" x14ac:dyDescent="0.25">
      <c r="A119" t="str">
        <f t="shared" si="3"/>
        <v>Romain Faivre</v>
      </c>
      <c r="B119" t="s">
        <v>440</v>
      </c>
      <c r="C119" t="s">
        <v>1375</v>
      </c>
      <c r="D119">
        <v>3</v>
      </c>
      <c r="E119">
        <v>3</v>
      </c>
      <c r="F119">
        <v>50</v>
      </c>
      <c r="G119">
        <v>37</v>
      </c>
      <c r="H119">
        <v>0</v>
      </c>
      <c r="I119">
        <v>0</v>
      </c>
      <c r="J119">
        <v>0</v>
      </c>
      <c r="K119">
        <v>0.15</v>
      </c>
      <c r="L119">
        <v>0.03</v>
      </c>
      <c r="M119">
        <v>4</v>
      </c>
      <c r="N119">
        <v>9</v>
      </c>
      <c r="O119">
        <f t="shared" si="4"/>
        <v>0.36486486486486491</v>
      </c>
      <c r="P119">
        <f t="shared" si="5"/>
        <v>7.2972972972972963E-2</v>
      </c>
    </row>
    <row r="120" spans="1:16" x14ac:dyDescent="0.25">
      <c r="A120" t="str">
        <f t="shared" si="3"/>
        <v>Max Kinsey</v>
      </c>
      <c r="B120" t="s">
        <v>57</v>
      </c>
      <c r="C120" t="s">
        <v>1376</v>
      </c>
      <c r="D120">
        <v>3</v>
      </c>
      <c r="E120">
        <v>2</v>
      </c>
      <c r="F120">
        <v>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f t="shared" si="4"/>
        <v>0</v>
      </c>
      <c r="P120">
        <f t="shared" si="5"/>
        <v>0</v>
      </c>
    </row>
    <row r="121" spans="1:16" x14ac:dyDescent="0.25">
      <c r="A121" t="str">
        <f t="shared" si="3"/>
        <v>Enes Ünal</v>
      </c>
      <c r="B121" t="s">
        <v>173</v>
      </c>
      <c r="C121" t="s">
        <v>174</v>
      </c>
      <c r="D121">
        <v>3</v>
      </c>
      <c r="E121">
        <v>4</v>
      </c>
      <c r="F121">
        <v>50</v>
      </c>
      <c r="G121">
        <v>317</v>
      </c>
      <c r="H121">
        <v>2</v>
      </c>
      <c r="I121">
        <v>2</v>
      </c>
      <c r="J121">
        <v>4</v>
      </c>
      <c r="K121">
        <v>2.84</v>
      </c>
      <c r="L121">
        <v>0.13</v>
      </c>
      <c r="M121">
        <v>40</v>
      </c>
      <c r="N121">
        <v>99</v>
      </c>
      <c r="O121">
        <f t="shared" si="4"/>
        <v>0.80630914826498423</v>
      </c>
      <c r="P121">
        <f t="shared" si="5"/>
        <v>3.6908517350157731E-2</v>
      </c>
    </row>
    <row r="122" spans="1:16" x14ac:dyDescent="0.25">
      <c r="A122" t="str">
        <f t="shared" si="3"/>
        <v>Dominic Sadi</v>
      </c>
      <c r="B122" t="s">
        <v>681</v>
      </c>
      <c r="C122" t="s">
        <v>1377</v>
      </c>
      <c r="D122">
        <v>3</v>
      </c>
      <c r="E122">
        <v>3</v>
      </c>
      <c r="F122">
        <v>45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3</v>
      </c>
      <c r="O122">
        <f t="shared" si="4"/>
        <v>0</v>
      </c>
      <c r="P122">
        <f t="shared" si="5"/>
        <v>0</v>
      </c>
    </row>
    <row r="123" spans="1:16" x14ac:dyDescent="0.25">
      <c r="A123" t="str">
        <f t="shared" si="3"/>
        <v>Michael Dacosta Gonzalez</v>
      </c>
      <c r="B123" t="s">
        <v>193</v>
      </c>
      <c r="C123" t="s">
        <v>1378</v>
      </c>
      <c r="D123">
        <v>3</v>
      </c>
      <c r="E123">
        <v>3</v>
      </c>
      <c r="F123">
        <v>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f t="shared" si="4"/>
        <v>0</v>
      </c>
      <c r="P123">
        <f t="shared" si="5"/>
        <v>0</v>
      </c>
    </row>
    <row r="124" spans="1:16" x14ac:dyDescent="0.25">
      <c r="A124" t="str">
        <f t="shared" si="3"/>
        <v>Callan McKenna</v>
      </c>
      <c r="B124" t="s">
        <v>1379</v>
      </c>
      <c r="C124" t="s">
        <v>1380</v>
      </c>
      <c r="D124">
        <v>3</v>
      </c>
      <c r="E124">
        <v>1</v>
      </c>
      <c r="F124">
        <v>40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f t="shared" si="4"/>
        <v>0</v>
      </c>
      <c r="P124">
        <f t="shared" si="5"/>
        <v>0</v>
      </c>
    </row>
    <row r="125" spans="1:16" x14ac:dyDescent="0.25">
      <c r="A125" t="str">
        <f t="shared" si="3"/>
        <v>Kristoffer Ajer</v>
      </c>
      <c r="B125" t="s">
        <v>191</v>
      </c>
      <c r="C125" t="s">
        <v>192</v>
      </c>
      <c r="D125">
        <v>4</v>
      </c>
      <c r="E125">
        <v>2</v>
      </c>
      <c r="F125">
        <v>44</v>
      </c>
      <c r="G125">
        <v>1826</v>
      </c>
      <c r="H125">
        <v>21</v>
      </c>
      <c r="I125">
        <v>2</v>
      </c>
      <c r="J125">
        <v>1</v>
      </c>
      <c r="K125">
        <v>1.22</v>
      </c>
      <c r="L125">
        <v>2.68</v>
      </c>
      <c r="M125">
        <v>68</v>
      </c>
      <c r="N125">
        <v>323</v>
      </c>
      <c r="O125">
        <f t="shared" si="4"/>
        <v>6.0131434830230007E-2</v>
      </c>
      <c r="P125">
        <f t="shared" si="5"/>
        <v>0.13209200438116103</v>
      </c>
    </row>
    <row r="126" spans="1:16" x14ac:dyDescent="0.25">
      <c r="A126" t="str">
        <f t="shared" si="3"/>
        <v>Ellery Balcombe</v>
      </c>
      <c r="B126" t="s">
        <v>1381</v>
      </c>
      <c r="C126" t="s">
        <v>1382</v>
      </c>
      <c r="D126">
        <v>4</v>
      </c>
      <c r="E126">
        <v>1</v>
      </c>
      <c r="F126">
        <v>39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f t="shared" si="4"/>
        <v>0</v>
      </c>
      <c r="P126">
        <f t="shared" si="5"/>
        <v>0</v>
      </c>
    </row>
    <row r="127" spans="1:16" x14ac:dyDescent="0.25">
      <c r="A127" t="str">
        <f t="shared" si="3"/>
        <v>Shandon Baptiste</v>
      </c>
      <c r="B127" t="s">
        <v>1383</v>
      </c>
      <c r="C127" t="s">
        <v>1384</v>
      </c>
      <c r="D127">
        <v>4</v>
      </c>
      <c r="E127">
        <v>3</v>
      </c>
      <c r="F127">
        <v>43</v>
      </c>
      <c r="G127">
        <v>222</v>
      </c>
      <c r="H127">
        <v>2</v>
      </c>
      <c r="I127">
        <v>1</v>
      </c>
      <c r="J127">
        <v>1</v>
      </c>
      <c r="K127">
        <v>0.89</v>
      </c>
      <c r="L127">
        <v>0.36</v>
      </c>
      <c r="M127">
        <v>19</v>
      </c>
      <c r="N127">
        <v>83</v>
      </c>
      <c r="O127">
        <f t="shared" si="4"/>
        <v>0.36081081081081079</v>
      </c>
      <c r="P127">
        <f t="shared" si="5"/>
        <v>0.14594594594594593</v>
      </c>
    </row>
    <row r="128" spans="1:16" x14ac:dyDescent="0.25">
      <c r="A128" t="str">
        <f t="shared" si="3"/>
        <v>Mads Bech Sørensen</v>
      </c>
      <c r="B128" t="s">
        <v>1385</v>
      </c>
      <c r="C128" t="s">
        <v>1386</v>
      </c>
      <c r="D128">
        <v>4</v>
      </c>
      <c r="E128">
        <v>2</v>
      </c>
      <c r="F128">
        <v>40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f t="shared" si="4"/>
        <v>0</v>
      </c>
      <c r="P128">
        <f t="shared" si="5"/>
        <v>0</v>
      </c>
    </row>
    <row r="129" spans="1:16" x14ac:dyDescent="0.25">
      <c r="A129" t="str">
        <f t="shared" si="3"/>
        <v>Mads Bidstrup</v>
      </c>
      <c r="B129" t="s">
        <v>1385</v>
      </c>
      <c r="C129" t="s">
        <v>1387</v>
      </c>
      <c r="D129">
        <v>4</v>
      </c>
      <c r="E129">
        <v>3</v>
      </c>
      <c r="F129">
        <v>45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f t="shared" si="4"/>
        <v>0</v>
      </c>
      <c r="P129">
        <f t="shared" si="5"/>
        <v>0</v>
      </c>
    </row>
    <row r="130" spans="1:16" x14ac:dyDescent="0.25">
      <c r="A130" t="str">
        <f t="shared" ref="A130:A193" si="6">_xlfn.CONCAT(B130, " ", C130)</f>
        <v>Sergi Canós Tenés</v>
      </c>
      <c r="B130" t="s">
        <v>1388</v>
      </c>
      <c r="C130" t="s">
        <v>1389</v>
      </c>
      <c r="D130">
        <v>4</v>
      </c>
      <c r="E130">
        <v>3</v>
      </c>
      <c r="F130">
        <v>50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f t="shared" ref="O130:O193" si="7">IFERROR(K130/G130*90,0)</f>
        <v>0</v>
      </c>
      <c r="P130">
        <f t="shared" ref="P130:P193" si="8">IFERROR(L130/G130*90,0)</f>
        <v>0</v>
      </c>
    </row>
    <row r="131" spans="1:16" x14ac:dyDescent="0.25">
      <c r="A131" t="str">
        <f t="shared" si="6"/>
        <v>Nathan Collins</v>
      </c>
      <c r="B131" t="s">
        <v>185</v>
      </c>
      <c r="C131" t="s">
        <v>186</v>
      </c>
      <c r="D131">
        <v>4</v>
      </c>
      <c r="E131">
        <v>2</v>
      </c>
      <c r="F131">
        <v>45</v>
      </c>
      <c r="G131">
        <v>2649</v>
      </c>
      <c r="H131">
        <v>29</v>
      </c>
      <c r="I131">
        <v>1</v>
      </c>
      <c r="J131">
        <v>1</v>
      </c>
      <c r="K131">
        <v>1.59</v>
      </c>
      <c r="L131">
        <v>0.95</v>
      </c>
      <c r="M131">
        <v>84</v>
      </c>
      <c r="N131">
        <v>489</v>
      </c>
      <c r="O131">
        <f t="shared" si="7"/>
        <v>5.4020385050962634E-2</v>
      </c>
      <c r="P131">
        <f t="shared" si="8"/>
        <v>3.2276330690826728E-2</v>
      </c>
    </row>
    <row r="132" spans="1:16" x14ac:dyDescent="0.25">
      <c r="A132" t="str">
        <f t="shared" si="6"/>
        <v>Matthew Cox</v>
      </c>
      <c r="B132" t="s">
        <v>1390</v>
      </c>
      <c r="C132" t="s">
        <v>1391</v>
      </c>
      <c r="D132">
        <v>4</v>
      </c>
      <c r="E132">
        <v>1</v>
      </c>
      <c r="F132">
        <v>40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f t="shared" si="7"/>
        <v>0</v>
      </c>
      <c r="P132">
        <f t="shared" si="8"/>
        <v>0</v>
      </c>
    </row>
    <row r="133" spans="1:16" x14ac:dyDescent="0.25">
      <c r="A133" t="str">
        <f t="shared" si="6"/>
        <v>Mikkel Damsgaard</v>
      </c>
      <c r="B133" t="s">
        <v>208</v>
      </c>
      <c r="C133" t="s">
        <v>209</v>
      </c>
      <c r="D133">
        <v>4</v>
      </c>
      <c r="E133">
        <v>3</v>
      </c>
      <c r="F133">
        <v>48</v>
      </c>
      <c r="G133">
        <v>829</v>
      </c>
      <c r="H133">
        <v>7</v>
      </c>
      <c r="I133">
        <v>0</v>
      </c>
      <c r="J133">
        <v>4</v>
      </c>
      <c r="K133">
        <v>0.76</v>
      </c>
      <c r="L133">
        <v>0.93</v>
      </c>
      <c r="M133">
        <v>45</v>
      </c>
      <c r="N133">
        <v>155</v>
      </c>
      <c r="O133">
        <f t="shared" si="7"/>
        <v>8.2509047044632092E-2</v>
      </c>
      <c r="P133">
        <f t="shared" si="8"/>
        <v>0.10096501809408925</v>
      </c>
    </row>
    <row r="134" spans="1:16" x14ac:dyDescent="0.25">
      <c r="A134" t="str">
        <f t="shared" si="6"/>
        <v>Josh Dasilva</v>
      </c>
      <c r="B134" t="s">
        <v>219</v>
      </c>
      <c r="C134" t="s">
        <v>220</v>
      </c>
      <c r="D134">
        <v>4</v>
      </c>
      <c r="E134">
        <v>3</v>
      </c>
      <c r="F134">
        <v>47</v>
      </c>
      <c r="G134">
        <v>22</v>
      </c>
      <c r="H134">
        <v>0</v>
      </c>
      <c r="I134">
        <v>0</v>
      </c>
      <c r="J134">
        <v>0</v>
      </c>
      <c r="K134">
        <v>0</v>
      </c>
      <c r="L134">
        <v>0.23</v>
      </c>
      <c r="M134">
        <v>3</v>
      </c>
      <c r="N134">
        <v>6</v>
      </c>
      <c r="O134">
        <f t="shared" si="7"/>
        <v>0</v>
      </c>
      <c r="P134">
        <f t="shared" si="8"/>
        <v>0.94090909090909092</v>
      </c>
    </row>
    <row r="135" spans="1:16" x14ac:dyDescent="0.25">
      <c r="A135" t="str">
        <f t="shared" si="6"/>
        <v>Halil Dervişoğlu</v>
      </c>
      <c r="B135" t="s">
        <v>1392</v>
      </c>
      <c r="C135" t="s">
        <v>1393</v>
      </c>
      <c r="D135">
        <v>4</v>
      </c>
      <c r="E135">
        <v>4</v>
      </c>
      <c r="F135">
        <v>45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f t="shared" si="7"/>
        <v>0</v>
      </c>
      <c r="P135">
        <f t="shared" si="8"/>
        <v>0</v>
      </c>
    </row>
    <row r="136" spans="1:16" x14ac:dyDescent="0.25">
      <c r="A136" t="str">
        <f t="shared" si="6"/>
        <v>Mark Flekken</v>
      </c>
      <c r="B136" t="s">
        <v>473</v>
      </c>
      <c r="C136" t="s">
        <v>1394</v>
      </c>
      <c r="D136">
        <v>4</v>
      </c>
      <c r="E136">
        <v>1</v>
      </c>
      <c r="F136">
        <v>47</v>
      </c>
      <c r="G136">
        <v>3285</v>
      </c>
      <c r="H136">
        <v>37</v>
      </c>
      <c r="I136">
        <v>0</v>
      </c>
      <c r="J136">
        <v>1</v>
      </c>
      <c r="K136">
        <v>0</v>
      </c>
      <c r="L136">
        <v>0.14000000000000001</v>
      </c>
      <c r="M136">
        <v>119</v>
      </c>
      <c r="N136">
        <v>685</v>
      </c>
      <c r="O136">
        <f t="shared" si="7"/>
        <v>0</v>
      </c>
      <c r="P136">
        <f t="shared" si="8"/>
        <v>3.8356164383561648E-3</v>
      </c>
    </row>
    <row r="137" spans="1:16" x14ac:dyDescent="0.25">
      <c r="A137" t="str">
        <f t="shared" si="6"/>
        <v>Charlie Goode</v>
      </c>
      <c r="B137" t="s">
        <v>548</v>
      </c>
      <c r="C137" t="s">
        <v>1395</v>
      </c>
      <c r="D137">
        <v>4</v>
      </c>
      <c r="E137">
        <v>2</v>
      </c>
      <c r="F137">
        <v>39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f t="shared" si="7"/>
        <v>0</v>
      </c>
      <c r="P137">
        <f t="shared" si="8"/>
        <v>0</v>
      </c>
    </row>
    <row r="138" spans="1:16" x14ac:dyDescent="0.25">
      <c r="A138" t="str">
        <f t="shared" si="6"/>
        <v>Rico Henry</v>
      </c>
      <c r="B138" t="s">
        <v>195</v>
      </c>
      <c r="C138" t="s">
        <v>196</v>
      </c>
      <c r="D138">
        <v>4</v>
      </c>
      <c r="E138">
        <v>2</v>
      </c>
      <c r="F138">
        <v>42</v>
      </c>
      <c r="G138">
        <v>401</v>
      </c>
      <c r="H138">
        <v>5</v>
      </c>
      <c r="I138">
        <v>0</v>
      </c>
      <c r="J138">
        <v>1</v>
      </c>
      <c r="K138">
        <v>7.0000000000000007E-2</v>
      </c>
      <c r="L138">
        <v>0.9</v>
      </c>
      <c r="M138">
        <v>13</v>
      </c>
      <c r="N138">
        <v>74</v>
      </c>
      <c r="O138">
        <f t="shared" si="7"/>
        <v>1.5710723192019951E-2</v>
      </c>
      <c r="P138">
        <f t="shared" si="8"/>
        <v>0.20199501246882795</v>
      </c>
    </row>
    <row r="139" spans="1:16" x14ac:dyDescent="0.25">
      <c r="A139" t="str">
        <f t="shared" si="6"/>
        <v>Aaron Hickey</v>
      </c>
      <c r="B139" t="s">
        <v>197</v>
      </c>
      <c r="C139" t="s">
        <v>198</v>
      </c>
      <c r="D139">
        <v>4</v>
      </c>
      <c r="E139">
        <v>2</v>
      </c>
      <c r="F139">
        <v>43</v>
      </c>
      <c r="G139">
        <v>713</v>
      </c>
      <c r="H139">
        <v>9</v>
      </c>
      <c r="I139">
        <v>0</v>
      </c>
      <c r="J139">
        <v>0</v>
      </c>
      <c r="K139">
        <v>0.2</v>
      </c>
      <c r="L139">
        <v>0.13</v>
      </c>
      <c r="M139">
        <v>17</v>
      </c>
      <c r="N139">
        <v>87</v>
      </c>
      <c r="O139">
        <f t="shared" si="7"/>
        <v>2.5245441795231419E-2</v>
      </c>
      <c r="P139">
        <f t="shared" si="8"/>
        <v>1.6409537166900419E-2</v>
      </c>
    </row>
    <row r="140" spans="1:16" x14ac:dyDescent="0.25">
      <c r="A140" t="str">
        <f t="shared" si="6"/>
        <v>Vitaly Janelt</v>
      </c>
      <c r="B140" t="s">
        <v>212</v>
      </c>
      <c r="C140" t="s">
        <v>213</v>
      </c>
      <c r="D140">
        <v>4</v>
      </c>
      <c r="E140">
        <v>3</v>
      </c>
      <c r="F140">
        <v>52</v>
      </c>
      <c r="G140">
        <v>3054</v>
      </c>
      <c r="H140">
        <v>37</v>
      </c>
      <c r="I140">
        <v>1</v>
      </c>
      <c r="J140">
        <v>4</v>
      </c>
      <c r="K140">
        <v>1.82</v>
      </c>
      <c r="L140">
        <v>3.44</v>
      </c>
      <c r="M140">
        <v>93</v>
      </c>
      <c r="N140">
        <v>466</v>
      </c>
      <c r="O140">
        <f t="shared" si="7"/>
        <v>5.363457760314342E-2</v>
      </c>
      <c r="P140">
        <f t="shared" si="8"/>
        <v>0.10137524557956779</v>
      </c>
    </row>
    <row r="141" spans="1:16" x14ac:dyDescent="0.25">
      <c r="A141" t="str">
        <f t="shared" si="6"/>
        <v>Mathias Jensen</v>
      </c>
      <c r="B141" t="s">
        <v>210</v>
      </c>
      <c r="C141" t="s">
        <v>211</v>
      </c>
      <c r="D141">
        <v>4</v>
      </c>
      <c r="E141">
        <v>3</v>
      </c>
      <c r="F141">
        <v>52</v>
      </c>
      <c r="G141">
        <v>2201</v>
      </c>
      <c r="H141">
        <v>27</v>
      </c>
      <c r="I141">
        <v>3</v>
      </c>
      <c r="J141">
        <v>4</v>
      </c>
      <c r="K141">
        <v>0.71</v>
      </c>
      <c r="L141">
        <v>4.8899999999999997</v>
      </c>
      <c r="M141">
        <v>98</v>
      </c>
      <c r="N141">
        <v>422</v>
      </c>
      <c r="O141">
        <f t="shared" si="7"/>
        <v>2.903225806451613E-2</v>
      </c>
      <c r="P141">
        <f t="shared" si="8"/>
        <v>0.19995456610631529</v>
      </c>
    </row>
    <row r="142" spans="1:16" x14ac:dyDescent="0.25">
      <c r="A142" t="str">
        <f t="shared" si="6"/>
        <v>Keane Lewis-Potter</v>
      </c>
      <c r="B142" t="s">
        <v>189</v>
      </c>
      <c r="C142" t="s">
        <v>190</v>
      </c>
      <c r="D142">
        <v>4</v>
      </c>
      <c r="E142">
        <v>3</v>
      </c>
      <c r="F142">
        <v>47</v>
      </c>
      <c r="G142">
        <v>1428</v>
      </c>
      <c r="H142">
        <v>15</v>
      </c>
      <c r="I142">
        <v>3</v>
      </c>
      <c r="J142">
        <v>2</v>
      </c>
      <c r="K142">
        <v>6.42</v>
      </c>
      <c r="L142">
        <v>1.66</v>
      </c>
      <c r="M142">
        <v>73</v>
      </c>
      <c r="N142">
        <v>186</v>
      </c>
      <c r="O142">
        <f t="shared" si="7"/>
        <v>0.4046218487394958</v>
      </c>
      <c r="P142">
        <f t="shared" si="8"/>
        <v>0.10462184873949579</v>
      </c>
    </row>
    <row r="143" spans="1:16" x14ac:dyDescent="0.25">
      <c r="A143" t="str">
        <f t="shared" si="6"/>
        <v>Bryan Mbeumo</v>
      </c>
      <c r="B143" t="s">
        <v>825</v>
      </c>
      <c r="C143" t="s">
        <v>826</v>
      </c>
      <c r="D143">
        <v>4</v>
      </c>
      <c r="E143">
        <v>3</v>
      </c>
      <c r="F143">
        <v>68</v>
      </c>
      <c r="G143">
        <v>1957</v>
      </c>
      <c r="H143">
        <v>22</v>
      </c>
      <c r="I143">
        <v>9</v>
      </c>
      <c r="J143">
        <v>7</v>
      </c>
      <c r="K143">
        <v>9.6999999999999993</v>
      </c>
      <c r="L143">
        <v>5.67</v>
      </c>
      <c r="M143">
        <v>127</v>
      </c>
      <c r="N143">
        <v>364</v>
      </c>
      <c r="O143">
        <f t="shared" si="7"/>
        <v>0.44609095554420031</v>
      </c>
      <c r="P143">
        <f t="shared" si="8"/>
        <v>0.2607562595809913</v>
      </c>
    </row>
    <row r="144" spans="1:16" x14ac:dyDescent="0.25">
      <c r="A144" t="str">
        <f t="shared" si="6"/>
        <v>Ben Mee</v>
      </c>
      <c r="B144" t="s">
        <v>159</v>
      </c>
      <c r="C144" t="s">
        <v>1396</v>
      </c>
      <c r="D144">
        <v>4</v>
      </c>
      <c r="E144">
        <v>2</v>
      </c>
      <c r="F144">
        <v>47</v>
      </c>
      <c r="G144">
        <v>1272</v>
      </c>
      <c r="H144">
        <v>15</v>
      </c>
      <c r="I144">
        <v>2</v>
      </c>
      <c r="J144">
        <v>1</v>
      </c>
      <c r="K144">
        <v>1.57</v>
      </c>
      <c r="L144">
        <v>0.78</v>
      </c>
      <c r="M144">
        <v>39</v>
      </c>
      <c r="N144">
        <v>210</v>
      </c>
      <c r="O144">
        <f t="shared" si="7"/>
        <v>0.11108490566037736</v>
      </c>
      <c r="P144">
        <f t="shared" si="8"/>
        <v>5.518867924528302E-2</v>
      </c>
    </row>
    <row r="145" spans="1:16" x14ac:dyDescent="0.25">
      <c r="A145" t="str">
        <f t="shared" si="6"/>
        <v>Christian Nørgaard</v>
      </c>
      <c r="B145" t="s">
        <v>468</v>
      </c>
      <c r="C145" t="s">
        <v>469</v>
      </c>
      <c r="D145">
        <v>4</v>
      </c>
      <c r="E145">
        <v>3</v>
      </c>
      <c r="F145">
        <v>52</v>
      </c>
      <c r="G145">
        <v>2504</v>
      </c>
      <c r="H145">
        <v>30</v>
      </c>
      <c r="I145">
        <v>2</v>
      </c>
      <c r="J145">
        <v>1</v>
      </c>
      <c r="K145">
        <v>3.61</v>
      </c>
      <c r="L145">
        <v>2.44</v>
      </c>
      <c r="M145">
        <v>74</v>
      </c>
      <c r="N145">
        <v>414</v>
      </c>
      <c r="O145">
        <f t="shared" si="7"/>
        <v>0.12975239616613418</v>
      </c>
      <c r="P145">
        <f t="shared" si="8"/>
        <v>8.7699680511182113E-2</v>
      </c>
    </row>
    <row r="146" spans="1:16" x14ac:dyDescent="0.25">
      <c r="A146" t="str">
        <f t="shared" si="6"/>
        <v>Frank Onyeka</v>
      </c>
      <c r="B146" t="s">
        <v>357</v>
      </c>
      <c r="C146" t="s">
        <v>358</v>
      </c>
      <c r="D146">
        <v>4</v>
      </c>
      <c r="E146">
        <v>3</v>
      </c>
      <c r="F146">
        <v>49</v>
      </c>
      <c r="G146">
        <v>1147</v>
      </c>
      <c r="H146">
        <v>11</v>
      </c>
      <c r="I146">
        <v>1</v>
      </c>
      <c r="J146">
        <v>2</v>
      </c>
      <c r="K146">
        <v>2.09</v>
      </c>
      <c r="L146">
        <v>1.44</v>
      </c>
      <c r="M146">
        <v>39</v>
      </c>
      <c r="N146">
        <v>150</v>
      </c>
      <c r="O146">
        <f t="shared" si="7"/>
        <v>0.16399302528334786</v>
      </c>
      <c r="P146">
        <f t="shared" si="8"/>
        <v>0.1129904097646033</v>
      </c>
    </row>
    <row r="147" spans="1:16" x14ac:dyDescent="0.25">
      <c r="A147" t="str">
        <f t="shared" si="6"/>
        <v>Ethan Pinnock</v>
      </c>
      <c r="B147" t="s">
        <v>59</v>
      </c>
      <c r="C147" t="s">
        <v>199</v>
      </c>
      <c r="D147">
        <v>4</v>
      </c>
      <c r="E147">
        <v>2</v>
      </c>
      <c r="F147">
        <v>45</v>
      </c>
      <c r="G147">
        <v>2521</v>
      </c>
      <c r="H147">
        <v>28</v>
      </c>
      <c r="I147">
        <v>2</v>
      </c>
      <c r="J147">
        <v>0</v>
      </c>
      <c r="K147">
        <v>2.0099999999999998</v>
      </c>
      <c r="L147">
        <v>0.83</v>
      </c>
      <c r="M147">
        <v>77</v>
      </c>
      <c r="N147">
        <v>479</v>
      </c>
      <c r="O147">
        <f t="shared" si="7"/>
        <v>7.1757239190797295E-2</v>
      </c>
      <c r="P147">
        <f t="shared" si="8"/>
        <v>2.9631098770329236E-2</v>
      </c>
    </row>
    <row r="148" spans="1:16" x14ac:dyDescent="0.25">
      <c r="A148" t="str">
        <f t="shared" si="6"/>
        <v>Mads Roerslev Rasmussen</v>
      </c>
      <c r="B148" t="s">
        <v>1385</v>
      </c>
      <c r="C148" t="s">
        <v>1397</v>
      </c>
      <c r="D148">
        <v>4</v>
      </c>
      <c r="E148">
        <v>2</v>
      </c>
      <c r="F148">
        <v>44</v>
      </c>
      <c r="G148">
        <v>1975</v>
      </c>
      <c r="H148">
        <v>22</v>
      </c>
      <c r="I148">
        <v>1</v>
      </c>
      <c r="J148">
        <v>2</v>
      </c>
      <c r="K148">
        <v>1.05</v>
      </c>
      <c r="L148">
        <v>1.34</v>
      </c>
      <c r="M148">
        <v>75</v>
      </c>
      <c r="N148">
        <v>354</v>
      </c>
      <c r="O148">
        <f t="shared" si="7"/>
        <v>4.7848101265822784E-2</v>
      </c>
      <c r="P148">
        <f t="shared" si="8"/>
        <v>6.1063291139240507E-2</v>
      </c>
    </row>
    <row r="149" spans="1:16" x14ac:dyDescent="0.25">
      <c r="A149" t="str">
        <f t="shared" si="6"/>
        <v>Kevin Schade</v>
      </c>
      <c r="B149" t="s">
        <v>204</v>
      </c>
      <c r="C149" t="s">
        <v>205</v>
      </c>
      <c r="D149">
        <v>4</v>
      </c>
      <c r="E149">
        <v>3</v>
      </c>
      <c r="F149">
        <v>52</v>
      </c>
      <c r="G149">
        <v>327</v>
      </c>
      <c r="H149">
        <v>3</v>
      </c>
      <c r="I149">
        <v>2</v>
      </c>
      <c r="J149">
        <v>2</v>
      </c>
      <c r="K149">
        <v>1.29</v>
      </c>
      <c r="L149">
        <v>0.72</v>
      </c>
      <c r="M149">
        <v>33</v>
      </c>
      <c r="N149">
        <v>81</v>
      </c>
      <c r="O149">
        <f t="shared" si="7"/>
        <v>0.35504587155963307</v>
      </c>
      <c r="P149">
        <f t="shared" si="8"/>
        <v>0.19816513761467888</v>
      </c>
    </row>
    <row r="150" spans="1:16" x14ac:dyDescent="0.25">
      <c r="A150" t="str">
        <f t="shared" si="6"/>
        <v>Thomas Strakosha</v>
      </c>
      <c r="B150" t="s">
        <v>364</v>
      </c>
      <c r="C150" t="s">
        <v>1398</v>
      </c>
      <c r="D150">
        <v>4</v>
      </c>
      <c r="E150">
        <v>1</v>
      </c>
      <c r="F150">
        <v>39</v>
      </c>
      <c r="G150">
        <v>135</v>
      </c>
      <c r="H150">
        <v>1</v>
      </c>
      <c r="I150">
        <v>0</v>
      </c>
      <c r="J150">
        <v>0</v>
      </c>
      <c r="K150">
        <v>0</v>
      </c>
      <c r="L150">
        <v>0.01</v>
      </c>
      <c r="M150">
        <v>4</v>
      </c>
      <c r="N150">
        <v>24</v>
      </c>
      <c r="O150">
        <f t="shared" si="7"/>
        <v>0</v>
      </c>
      <c r="P150">
        <f t="shared" si="8"/>
        <v>6.6666666666666662E-3</v>
      </c>
    </row>
    <row r="151" spans="1:16" x14ac:dyDescent="0.25">
      <c r="A151" t="str">
        <f t="shared" si="6"/>
        <v>Ivan Toney</v>
      </c>
      <c r="B151" t="s">
        <v>1399</v>
      </c>
      <c r="C151" t="s">
        <v>1400</v>
      </c>
      <c r="D151">
        <v>4</v>
      </c>
      <c r="E151">
        <v>4</v>
      </c>
      <c r="F151">
        <v>77</v>
      </c>
      <c r="G151">
        <v>1449</v>
      </c>
      <c r="H151">
        <v>16</v>
      </c>
      <c r="I151">
        <v>4</v>
      </c>
      <c r="J151">
        <v>3</v>
      </c>
      <c r="K151">
        <v>5.72</v>
      </c>
      <c r="L151">
        <v>1.51</v>
      </c>
      <c r="M151">
        <v>57</v>
      </c>
      <c r="N151">
        <v>159</v>
      </c>
      <c r="O151">
        <f t="shared" si="7"/>
        <v>0.35527950310559003</v>
      </c>
      <c r="P151">
        <f t="shared" si="8"/>
        <v>9.3788819875776391E-2</v>
      </c>
    </row>
    <row r="152" spans="1:16" x14ac:dyDescent="0.25">
      <c r="A152" t="str">
        <f t="shared" si="6"/>
        <v>Ryan Trevitt</v>
      </c>
      <c r="B152" t="s">
        <v>164</v>
      </c>
      <c r="C152" t="s">
        <v>1401</v>
      </c>
      <c r="D152">
        <v>4</v>
      </c>
      <c r="E152">
        <v>3</v>
      </c>
      <c r="F152">
        <v>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f t="shared" si="7"/>
        <v>0</v>
      </c>
      <c r="P152">
        <f t="shared" si="8"/>
        <v>0</v>
      </c>
    </row>
    <row r="153" spans="1:16" x14ac:dyDescent="0.25">
      <c r="A153" t="str">
        <f t="shared" si="6"/>
        <v>Yoane Wissa</v>
      </c>
      <c r="B153" t="s">
        <v>875</v>
      </c>
      <c r="C153" t="s">
        <v>876</v>
      </c>
      <c r="D153">
        <v>4</v>
      </c>
      <c r="E153">
        <v>4</v>
      </c>
      <c r="F153">
        <v>57</v>
      </c>
      <c r="G153">
        <v>2488</v>
      </c>
      <c r="H153">
        <v>29</v>
      </c>
      <c r="I153">
        <v>12</v>
      </c>
      <c r="J153">
        <v>4</v>
      </c>
      <c r="K153">
        <v>10.54</v>
      </c>
      <c r="L153">
        <v>1.82</v>
      </c>
      <c r="M153">
        <v>131</v>
      </c>
      <c r="N153">
        <v>457</v>
      </c>
      <c r="O153">
        <f t="shared" si="7"/>
        <v>0.38127009646302251</v>
      </c>
      <c r="P153">
        <f t="shared" si="8"/>
        <v>6.5836012861736334E-2</v>
      </c>
    </row>
    <row r="154" spans="1:16" x14ac:dyDescent="0.25">
      <c r="A154" t="str">
        <f t="shared" si="6"/>
        <v>Yegor Yarmoliuk</v>
      </c>
      <c r="B154" t="s">
        <v>1402</v>
      </c>
      <c r="C154" t="s">
        <v>218</v>
      </c>
      <c r="D154">
        <v>4</v>
      </c>
      <c r="E154">
        <v>3</v>
      </c>
      <c r="F154">
        <v>42</v>
      </c>
      <c r="G154">
        <v>670</v>
      </c>
      <c r="H154">
        <v>6</v>
      </c>
      <c r="I154">
        <v>0</v>
      </c>
      <c r="J154">
        <v>0</v>
      </c>
      <c r="K154">
        <v>0.94</v>
      </c>
      <c r="L154">
        <v>1</v>
      </c>
      <c r="M154">
        <v>33</v>
      </c>
      <c r="N154">
        <v>95</v>
      </c>
      <c r="O154">
        <f t="shared" si="7"/>
        <v>0.1262686567164179</v>
      </c>
      <c r="P154">
        <f t="shared" si="8"/>
        <v>0.13432835820895522</v>
      </c>
    </row>
    <row r="155" spans="1:16" x14ac:dyDescent="0.25">
      <c r="A155" t="str">
        <f t="shared" si="6"/>
        <v>Mathias Jorgensen</v>
      </c>
      <c r="B155" t="s">
        <v>210</v>
      </c>
      <c r="C155" t="s">
        <v>1403</v>
      </c>
      <c r="D155">
        <v>4</v>
      </c>
      <c r="E155">
        <v>2</v>
      </c>
      <c r="F155">
        <v>43</v>
      </c>
      <c r="G155">
        <v>1086</v>
      </c>
      <c r="H155">
        <v>12</v>
      </c>
      <c r="I155">
        <v>1</v>
      </c>
      <c r="J155">
        <v>0</v>
      </c>
      <c r="K155">
        <v>0.74</v>
      </c>
      <c r="L155">
        <v>0.55000000000000004</v>
      </c>
      <c r="M155">
        <v>29</v>
      </c>
      <c r="N155">
        <v>179</v>
      </c>
      <c r="O155">
        <f t="shared" si="7"/>
        <v>6.132596685082873E-2</v>
      </c>
      <c r="P155">
        <f t="shared" si="8"/>
        <v>4.5580110497237571E-2</v>
      </c>
    </row>
    <row r="156" spans="1:16" x14ac:dyDescent="0.25">
      <c r="A156" t="str">
        <f t="shared" si="6"/>
        <v>Neal Maupay</v>
      </c>
      <c r="B156" t="s">
        <v>1404</v>
      </c>
      <c r="C156" t="s">
        <v>1405</v>
      </c>
      <c r="D156">
        <v>4</v>
      </c>
      <c r="E156">
        <v>4</v>
      </c>
      <c r="F156">
        <v>49</v>
      </c>
      <c r="G156">
        <v>1417</v>
      </c>
      <c r="H156">
        <v>14</v>
      </c>
      <c r="I156">
        <v>6</v>
      </c>
      <c r="J156">
        <v>3</v>
      </c>
      <c r="K156">
        <v>6.89</v>
      </c>
      <c r="L156">
        <v>1.99</v>
      </c>
      <c r="M156">
        <v>76</v>
      </c>
      <c r="N156">
        <v>248</v>
      </c>
      <c r="O156">
        <f t="shared" si="7"/>
        <v>0.43761467889908251</v>
      </c>
      <c r="P156">
        <f t="shared" si="8"/>
        <v>0.126393789696542</v>
      </c>
    </row>
    <row r="157" spans="1:16" x14ac:dyDescent="0.25">
      <c r="A157" t="str">
        <f t="shared" si="6"/>
        <v>Sergio Reguilón</v>
      </c>
      <c r="B157" t="s">
        <v>1406</v>
      </c>
      <c r="C157" t="s">
        <v>1407</v>
      </c>
      <c r="D157">
        <v>4</v>
      </c>
      <c r="E157">
        <v>2</v>
      </c>
      <c r="F157">
        <v>45</v>
      </c>
      <c r="G157">
        <v>1524</v>
      </c>
      <c r="H157">
        <v>18</v>
      </c>
      <c r="I157">
        <v>0</v>
      </c>
      <c r="J157">
        <v>6</v>
      </c>
      <c r="K157">
        <v>0.94</v>
      </c>
      <c r="L157">
        <v>2.83</v>
      </c>
      <c r="M157">
        <v>74</v>
      </c>
      <c r="N157">
        <v>350</v>
      </c>
      <c r="O157">
        <f t="shared" si="7"/>
        <v>5.551181102362205E-2</v>
      </c>
      <c r="P157">
        <f t="shared" si="8"/>
        <v>0.16712598425196851</v>
      </c>
    </row>
    <row r="158" spans="1:16" x14ac:dyDescent="0.25">
      <c r="A158" t="str">
        <f t="shared" si="6"/>
        <v>Michael Olakigbe</v>
      </c>
      <c r="B158" t="s">
        <v>193</v>
      </c>
      <c r="C158" t="s">
        <v>1408</v>
      </c>
      <c r="D158">
        <v>4</v>
      </c>
      <c r="E158">
        <v>3</v>
      </c>
      <c r="F158">
        <v>45</v>
      </c>
      <c r="G158">
        <v>51</v>
      </c>
      <c r="H158">
        <v>0</v>
      </c>
      <c r="I158">
        <v>0</v>
      </c>
      <c r="J158">
        <v>0</v>
      </c>
      <c r="K158">
        <v>0.14000000000000001</v>
      </c>
      <c r="L158">
        <v>0.02</v>
      </c>
      <c r="M158">
        <v>8</v>
      </c>
      <c r="N158">
        <v>14</v>
      </c>
      <c r="O158">
        <f t="shared" si="7"/>
        <v>0.24705882352941178</v>
      </c>
      <c r="P158">
        <f t="shared" si="8"/>
        <v>3.5294117647058823E-2</v>
      </c>
    </row>
    <row r="159" spans="1:16" x14ac:dyDescent="0.25">
      <c r="A159" t="str">
        <f t="shared" si="6"/>
        <v>Ethan Brierley</v>
      </c>
      <c r="B159" t="s">
        <v>59</v>
      </c>
      <c r="C159" t="s">
        <v>1409</v>
      </c>
      <c r="D159">
        <v>4</v>
      </c>
      <c r="E159">
        <v>3</v>
      </c>
      <c r="F159">
        <v>45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f t="shared" si="7"/>
        <v>0</v>
      </c>
      <c r="P159">
        <f t="shared" si="8"/>
        <v>0</v>
      </c>
    </row>
    <row r="160" spans="1:16" x14ac:dyDescent="0.25">
      <c r="A160" t="str">
        <f t="shared" si="6"/>
        <v>Saman Ghoddos</v>
      </c>
      <c r="B160" t="s">
        <v>1410</v>
      </c>
      <c r="C160" t="s">
        <v>1411</v>
      </c>
      <c r="D160">
        <v>4</v>
      </c>
      <c r="E160">
        <v>3</v>
      </c>
      <c r="F160">
        <v>45</v>
      </c>
      <c r="G160">
        <v>728</v>
      </c>
      <c r="H160">
        <v>7</v>
      </c>
      <c r="I160">
        <v>1</v>
      </c>
      <c r="J160">
        <v>0</v>
      </c>
      <c r="K160">
        <v>0.3</v>
      </c>
      <c r="L160">
        <v>1.05</v>
      </c>
      <c r="M160">
        <v>26</v>
      </c>
      <c r="N160">
        <v>127</v>
      </c>
      <c r="O160">
        <f t="shared" si="7"/>
        <v>3.7087912087912088E-2</v>
      </c>
      <c r="P160">
        <f t="shared" si="8"/>
        <v>0.12980769230769232</v>
      </c>
    </row>
    <row r="161" spans="1:16" x14ac:dyDescent="0.25">
      <c r="A161" t="str">
        <f t="shared" si="6"/>
        <v>Ji-Soo Kim</v>
      </c>
      <c r="B161" t="s">
        <v>1412</v>
      </c>
      <c r="C161" t="s">
        <v>200</v>
      </c>
      <c r="D161">
        <v>4</v>
      </c>
      <c r="E161">
        <v>2</v>
      </c>
      <c r="F161">
        <v>40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f t="shared" si="7"/>
        <v>0</v>
      </c>
      <c r="P161">
        <f t="shared" si="8"/>
        <v>0</v>
      </c>
    </row>
    <row r="162" spans="1:16" x14ac:dyDescent="0.25">
      <c r="A162" t="str">
        <f t="shared" si="6"/>
        <v>Valintino Adedokun</v>
      </c>
      <c r="B162" t="s">
        <v>1413</v>
      </c>
      <c r="C162" t="s">
        <v>1414</v>
      </c>
      <c r="D162">
        <v>4</v>
      </c>
      <c r="E162">
        <v>2</v>
      </c>
      <c r="F162">
        <v>40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f t="shared" si="7"/>
        <v>0</v>
      </c>
      <c r="P162">
        <f t="shared" si="8"/>
        <v>0</v>
      </c>
    </row>
    <row r="163" spans="1:16" x14ac:dyDescent="0.25">
      <c r="A163" t="str">
        <f t="shared" si="6"/>
        <v>Myles Peart-Harris</v>
      </c>
      <c r="B163" t="s">
        <v>32</v>
      </c>
      <c r="C163" t="s">
        <v>1415</v>
      </c>
      <c r="D163">
        <v>4</v>
      </c>
      <c r="E163">
        <v>3</v>
      </c>
      <c r="F163">
        <v>45</v>
      </c>
      <c r="G163">
        <v>11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</v>
      </c>
      <c r="N163">
        <v>6</v>
      </c>
      <c r="O163">
        <f t="shared" si="7"/>
        <v>0</v>
      </c>
      <c r="P163">
        <f t="shared" si="8"/>
        <v>0</v>
      </c>
    </row>
    <row r="164" spans="1:16" x14ac:dyDescent="0.25">
      <c r="A164" t="str">
        <f t="shared" si="6"/>
        <v>Vincent Angelini</v>
      </c>
      <c r="B164" t="s">
        <v>1416</v>
      </c>
      <c r="C164" t="s">
        <v>1417</v>
      </c>
      <c r="D164">
        <v>4</v>
      </c>
      <c r="E164">
        <v>1</v>
      </c>
      <c r="F164">
        <v>40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f t="shared" si="7"/>
        <v>0</v>
      </c>
      <c r="P164">
        <f t="shared" si="8"/>
        <v>0</v>
      </c>
    </row>
    <row r="165" spans="1:16" x14ac:dyDescent="0.25">
      <c r="A165" t="str">
        <f t="shared" si="6"/>
        <v>Hákon Valdimarsson</v>
      </c>
      <c r="B165" t="s">
        <v>1418</v>
      </c>
      <c r="C165" t="s">
        <v>184</v>
      </c>
      <c r="D165">
        <v>4</v>
      </c>
      <c r="E165">
        <v>1</v>
      </c>
      <c r="F165">
        <v>40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f t="shared" si="7"/>
        <v>0</v>
      </c>
      <c r="P165">
        <f t="shared" si="8"/>
        <v>0</v>
      </c>
    </row>
    <row r="166" spans="1:16" x14ac:dyDescent="0.25">
      <c r="A166" t="str">
        <f t="shared" si="6"/>
        <v>Benjamin Fredrick</v>
      </c>
      <c r="B166" t="s">
        <v>38</v>
      </c>
      <c r="C166" t="s">
        <v>1419</v>
      </c>
      <c r="D166">
        <v>4</v>
      </c>
      <c r="E166">
        <v>2</v>
      </c>
      <c r="F166">
        <v>40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f t="shared" si="7"/>
        <v>0</v>
      </c>
      <c r="P166">
        <f t="shared" si="8"/>
        <v>0</v>
      </c>
    </row>
    <row r="167" spans="1:16" x14ac:dyDescent="0.25">
      <c r="A167" t="str">
        <f t="shared" si="6"/>
        <v>Benjamin Arthur</v>
      </c>
      <c r="B167" t="s">
        <v>38</v>
      </c>
      <c r="C167" t="s">
        <v>1002</v>
      </c>
      <c r="D167">
        <v>4</v>
      </c>
      <c r="E167">
        <v>2</v>
      </c>
      <c r="F167">
        <v>40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f t="shared" si="7"/>
        <v>0</v>
      </c>
      <c r="P167">
        <f t="shared" si="8"/>
        <v>0</v>
      </c>
    </row>
    <row r="168" spans="1:16" x14ac:dyDescent="0.25">
      <c r="A168" t="str">
        <f t="shared" si="6"/>
        <v>Yunus Konak</v>
      </c>
      <c r="B168" t="s">
        <v>1420</v>
      </c>
      <c r="C168" t="s">
        <v>1421</v>
      </c>
      <c r="D168">
        <v>4</v>
      </c>
      <c r="E168">
        <v>3</v>
      </c>
      <c r="F168">
        <v>45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f t="shared" si="7"/>
        <v>0</v>
      </c>
      <c r="P168">
        <f t="shared" si="8"/>
        <v>0</v>
      </c>
    </row>
    <row r="169" spans="1:16" x14ac:dyDescent="0.25">
      <c r="A169" t="str">
        <f t="shared" si="6"/>
        <v>Simon Adingra</v>
      </c>
      <c r="B169" t="s">
        <v>1011</v>
      </c>
      <c r="C169" t="s">
        <v>1012</v>
      </c>
      <c r="D169">
        <v>5</v>
      </c>
      <c r="E169">
        <v>3</v>
      </c>
      <c r="F169">
        <v>50</v>
      </c>
      <c r="G169">
        <v>2220</v>
      </c>
      <c r="H169">
        <v>25</v>
      </c>
      <c r="I169">
        <v>6</v>
      </c>
      <c r="J169">
        <v>1</v>
      </c>
      <c r="K169">
        <v>4.1900000000000004</v>
      </c>
      <c r="L169">
        <v>3.26</v>
      </c>
      <c r="M169">
        <v>97</v>
      </c>
      <c r="N169">
        <v>330</v>
      </c>
      <c r="O169">
        <f t="shared" si="7"/>
        <v>0.16986486486486488</v>
      </c>
      <c r="P169">
        <f t="shared" si="8"/>
        <v>0.13216216216216214</v>
      </c>
    </row>
    <row r="170" spans="1:16" x14ac:dyDescent="0.25">
      <c r="A170" t="str">
        <f t="shared" si="6"/>
        <v>Steven Alzate</v>
      </c>
      <c r="B170" t="s">
        <v>927</v>
      </c>
      <c r="C170" t="s">
        <v>1422</v>
      </c>
      <c r="D170">
        <v>5</v>
      </c>
      <c r="E170">
        <v>3</v>
      </c>
      <c r="F170">
        <v>44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f t="shared" si="7"/>
        <v>0</v>
      </c>
      <c r="P170">
        <f t="shared" si="8"/>
        <v>0</v>
      </c>
    </row>
    <row r="171" spans="1:16" x14ac:dyDescent="0.25">
      <c r="A171" t="str">
        <f t="shared" si="6"/>
        <v>Yasin Ayari</v>
      </c>
      <c r="B171" t="s">
        <v>264</v>
      </c>
      <c r="C171" t="s">
        <v>265</v>
      </c>
      <c r="D171">
        <v>5</v>
      </c>
      <c r="E171">
        <v>3</v>
      </c>
      <c r="F171">
        <v>45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f t="shared" si="7"/>
        <v>0</v>
      </c>
      <c r="P171">
        <f t="shared" si="8"/>
        <v>0</v>
      </c>
    </row>
    <row r="172" spans="1:16" x14ac:dyDescent="0.25">
      <c r="A172" t="str">
        <f t="shared" si="6"/>
        <v>Facundo Buonanotte</v>
      </c>
      <c r="B172" t="s">
        <v>262</v>
      </c>
      <c r="C172" t="s">
        <v>263</v>
      </c>
      <c r="D172">
        <v>5</v>
      </c>
      <c r="E172">
        <v>3</v>
      </c>
      <c r="F172">
        <v>47</v>
      </c>
      <c r="G172">
        <v>1356</v>
      </c>
      <c r="H172">
        <v>17</v>
      </c>
      <c r="I172">
        <v>3</v>
      </c>
      <c r="J172">
        <v>1</v>
      </c>
      <c r="K172">
        <v>2.34</v>
      </c>
      <c r="L172">
        <v>1.1599999999999999</v>
      </c>
      <c r="M172">
        <v>57</v>
      </c>
      <c r="N172">
        <v>160</v>
      </c>
      <c r="O172">
        <f t="shared" si="7"/>
        <v>0.15530973451327432</v>
      </c>
      <c r="P172">
        <f t="shared" si="8"/>
        <v>7.6991150442477868E-2</v>
      </c>
    </row>
    <row r="173" spans="1:16" x14ac:dyDescent="0.25">
      <c r="A173" t="str">
        <f t="shared" si="6"/>
        <v>Aaron Connolly</v>
      </c>
      <c r="B173" t="s">
        <v>197</v>
      </c>
      <c r="C173" t="s">
        <v>1423</v>
      </c>
      <c r="D173">
        <v>5</v>
      </c>
      <c r="E173">
        <v>4</v>
      </c>
      <c r="F173">
        <v>45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f t="shared" si="7"/>
        <v>0</v>
      </c>
      <c r="P173">
        <f t="shared" si="8"/>
        <v>0</v>
      </c>
    </row>
    <row r="174" spans="1:16" x14ac:dyDescent="0.25">
      <c r="A174" t="str">
        <f t="shared" si="6"/>
        <v>Mahmoud Dahoud</v>
      </c>
      <c r="B174" t="s">
        <v>1424</v>
      </c>
      <c r="C174" t="s">
        <v>1425</v>
      </c>
      <c r="D174">
        <v>5</v>
      </c>
      <c r="E174">
        <v>3</v>
      </c>
      <c r="F174">
        <v>48</v>
      </c>
      <c r="G174">
        <v>449</v>
      </c>
      <c r="H174">
        <v>6</v>
      </c>
      <c r="I174">
        <v>0</v>
      </c>
      <c r="J174">
        <v>1</v>
      </c>
      <c r="K174">
        <v>0.22</v>
      </c>
      <c r="L174">
        <v>0.54</v>
      </c>
      <c r="M174">
        <v>14</v>
      </c>
      <c r="N174">
        <v>68</v>
      </c>
      <c r="O174">
        <f t="shared" si="7"/>
        <v>4.4097995545657014E-2</v>
      </c>
      <c r="P174">
        <f t="shared" si="8"/>
        <v>0.10824053452115814</v>
      </c>
    </row>
    <row r="175" spans="1:16" x14ac:dyDescent="0.25">
      <c r="A175" t="str">
        <f t="shared" si="6"/>
        <v>Lewis Dunk</v>
      </c>
      <c r="B175" t="s">
        <v>157</v>
      </c>
      <c r="C175" t="s">
        <v>241</v>
      </c>
      <c r="D175">
        <v>5</v>
      </c>
      <c r="E175">
        <v>2</v>
      </c>
      <c r="F175">
        <v>52</v>
      </c>
      <c r="G175">
        <v>2869</v>
      </c>
      <c r="H175">
        <v>33</v>
      </c>
      <c r="I175">
        <v>3</v>
      </c>
      <c r="J175">
        <v>1</v>
      </c>
      <c r="K175">
        <v>3.15</v>
      </c>
      <c r="L175">
        <v>2.2400000000000002</v>
      </c>
      <c r="M175">
        <v>89</v>
      </c>
      <c r="N175">
        <v>567</v>
      </c>
      <c r="O175">
        <f t="shared" si="7"/>
        <v>9.881491808992679E-2</v>
      </c>
      <c r="P175">
        <f t="shared" si="8"/>
        <v>7.0268386197281291E-2</v>
      </c>
    </row>
    <row r="176" spans="1:16" x14ac:dyDescent="0.25">
      <c r="A176" t="str">
        <f t="shared" si="6"/>
        <v>Julio Enciso</v>
      </c>
      <c r="B176" t="s">
        <v>147</v>
      </c>
      <c r="C176" t="s">
        <v>652</v>
      </c>
      <c r="D176">
        <v>5</v>
      </c>
      <c r="E176">
        <v>3</v>
      </c>
      <c r="F176">
        <v>50</v>
      </c>
      <c r="G176">
        <v>468</v>
      </c>
      <c r="H176">
        <v>5</v>
      </c>
      <c r="I176">
        <v>0</v>
      </c>
      <c r="J176">
        <v>2</v>
      </c>
      <c r="K176">
        <v>1.38</v>
      </c>
      <c r="L176">
        <v>1.28</v>
      </c>
      <c r="M176">
        <v>20</v>
      </c>
      <c r="N176">
        <v>62</v>
      </c>
      <c r="O176">
        <f t="shared" si="7"/>
        <v>0.26538461538461533</v>
      </c>
      <c r="P176">
        <f t="shared" si="8"/>
        <v>0.24615384615384617</v>
      </c>
    </row>
    <row r="177" spans="1:16" x14ac:dyDescent="0.25">
      <c r="A177" t="str">
        <f t="shared" si="6"/>
        <v>Pervis Estupiñán</v>
      </c>
      <c r="B177" t="s">
        <v>1426</v>
      </c>
      <c r="C177" t="s">
        <v>1427</v>
      </c>
      <c r="D177">
        <v>5</v>
      </c>
      <c r="E177">
        <v>2</v>
      </c>
      <c r="F177">
        <v>47</v>
      </c>
      <c r="G177">
        <v>1242</v>
      </c>
      <c r="H177">
        <v>15</v>
      </c>
      <c r="I177">
        <v>2</v>
      </c>
      <c r="J177">
        <v>3</v>
      </c>
      <c r="K177">
        <v>1</v>
      </c>
      <c r="L177">
        <v>2.2200000000000002</v>
      </c>
      <c r="M177">
        <v>57</v>
      </c>
      <c r="N177">
        <v>291</v>
      </c>
      <c r="O177">
        <f t="shared" si="7"/>
        <v>7.2463768115942032E-2</v>
      </c>
      <c r="P177">
        <f t="shared" si="8"/>
        <v>0.16086956521739132</v>
      </c>
    </row>
    <row r="178" spans="1:16" x14ac:dyDescent="0.25">
      <c r="A178" t="str">
        <f t="shared" si="6"/>
        <v>Evan Ferguson</v>
      </c>
      <c r="B178" t="s">
        <v>282</v>
      </c>
      <c r="C178" t="s">
        <v>283</v>
      </c>
      <c r="D178">
        <v>5</v>
      </c>
      <c r="E178">
        <v>4</v>
      </c>
      <c r="F178">
        <v>57</v>
      </c>
      <c r="G178">
        <v>1356</v>
      </c>
      <c r="H178">
        <v>15</v>
      </c>
      <c r="I178">
        <v>6</v>
      </c>
      <c r="J178">
        <v>1</v>
      </c>
      <c r="K178">
        <v>4.49</v>
      </c>
      <c r="L178">
        <v>0.77</v>
      </c>
      <c r="M178">
        <v>69</v>
      </c>
      <c r="N178">
        <v>218</v>
      </c>
      <c r="O178">
        <f t="shared" si="7"/>
        <v>0.2980088495575221</v>
      </c>
      <c r="P178">
        <f t="shared" si="8"/>
        <v>5.1106194690265491E-2</v>
      </c>
    </row>
    <row r="179" spans="1:16" x14ac:dyDescent="0.25">
      <c r="A179" t="str">
        <f t="shared" si="6"/>
        <v>Billy Gilmour</v>
      </c>
      <c r="B179" t="s">
        <v>1428</v>
      </c>
      <c r="C179" t="s">
        <v>1429</v>
      </c>
      <c r="D179">
        <v>5</v>
      </c>
      <c r="E179">
        <v>3</v>
      </c>
      <c r="F179">
        <v>48</v>
      </c>
      <c r="G179">
        <v>2116</v>
      </c>
      <c r="H179">
        <v>24</v>
      </c>
      <c r="I179">
        <v>0</v>
      </c>
      <c r="J179">
        <v>3</v>
      </c>
      <c r="K179">
        <v>0.98</v>
      </c>
      <c r="L179">
        <v>2.56</v>
      </c>
      <c r="M179">
        <v>61</v>
      </c>
      <c r="N179">
        <v>354</v>
      </c>
      <c r="O179">
        <f t="shared" si="7"/>
        <v>4.1682419659735348E-2</v>
      </c>
      <c r="P179">
        <f t="shared" si="8"/>
        <v>0.10888468809073724</v>
      </c>
    </row>
    <row r="180" spans="1:16" x14ac:dyDescent="0.25">
      <c r="A180" t="str">
        <f t="shared" si="6"/>
        <v>Pascal Groß</v>
      </c>
      <c r="B180" t="s">
        <v>255</v>
      </c>
      <c r="C180" t="s">
        <v>256</v>
      </c>
      <c r="D180">
        <v>5</v>
      </c>
      <c r="E180">
        <v>3</v>
      </c>
      <c r="F180">
        <v>61</v>
      </c>
      <c r="G180">
        <v>3112</v>
      </c>
      <c r="H180">
        <v>34</v>
      </c>
      <c r="I180">
        <v>4</v>
      </c>
      <c r="J180">
        <v>11</v>
      </c>
      <c r="K180">
        <v>6.4</v>
      </c>
      <c r="L180">
        <v>8.89</v>
      </c>
      <c r="M180">
        <v>153</v>
      </c>
      <c r="N180">
        <v>724</v>
      </c>
      <c r="O180">
        <f t="shared" si="7"/>
        <v>0.18508997429305915</v>
      </c>
      <c r="P180">
        <f t="shared" si="8"/>
        <v>0.25710154241645244</v>
      </c>
    </row>
    <row r="181" spans="1:16" x14ac:dyDescent="0.25">
      <c r="A181" t="str">
        <f t="shared" si="6"/>
        <v>João Pedro Junqueira de Jesus</v>
      </c>
      <c r="B181" t="s">
        <v>246</v>
      </c>
      <c r="C181" t="s">
        <v>335</v>
      </c>
      <c r="D181">
        <v>5</v>
      </c>
      <c r="E181">
        <v>4</v>
      </c>
      <c r="F181">
        <v>52</v>
      </c>
      <c r="G181">
        <v>2037</v>
      </c>
      <c r="H181">
        <v>19</v>
      </c>
      <c r="I181">
        <v>9</v>
      </c>
      <c r="J181">
        <v>3</v>
      </c>
      <c r="K181">
        <v>12.01</v>
      </c>
      <c r="L181">
        <v>4.6399999999999997</v>
      </c>
      <c r="M181">
        <v>104</v>
      </c>
      <c r="N181">
        <v>406</v>
      </c>
      <c r="O181">
        <f t="shared" si="7"/>
        <v>0.53063328424153167</v>
      </c>
      <c r="P181">
        <f t="shared" si="8"/>
        <v>0.20500736377025033</v>
      </c>
    </row>
    <row r="182" spans="1:16" x14ac:dyDescent="0.25">
      <c r="A182" t="str">
        <f t="shared" si="6"/>
        <v>Michał Karbownik</v>
      </c>
      <c r="B182" t="s">
        <v>1430</v>
      </c>
      <c r="C182" t="s">
        <v>1431</v>
      </c>
      <c r="D182">
        <v>5</v>
      </c>
      <c r="E182">
        <v>2</v>
      </c>
      <c r="F182">
        <v>40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f t="shared" si="7"/>
        <v>0</v>
      </c>
      <c r="P182">
        <f t="shared" si="8"/>
        <v>0</v>
      </c>
    </row>
    <row r="183" spans="1:16" x14ac:dyDescent="0.25">
      <c r="A183" t="str">
        <f t="shared" si="6"/>
        <v>Kacper Kozłowski</v>
      </c>
      <c r="B183" t="s">
        <v>1432</v>
      </c>
      <c r="C183" t="s">
        <v>1433</v>
      </c>
      <c r="D183">
        <v>5</v>
      </c>
      <c r="E183">
        <v>3</v>
      </c>
      <c r="F183">
        <v>45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t="shared" si="7"/>
        <v>0</v>
      </c>
      <c r="P183">
        <f t="shared" si="8"/>
        <v>0</v>
      </c>
    </row>
    <row r="184" spans="1:16" x14ac:dyDescent="0.25">
      <c r="A184" t="str">
        <f t="shared" si="6"/>
        <v>Adam Lallana</v>
      </c>
      <c r="B184" t="s">
        <v>143</v>
      </c>
      <c r="C184" t="s">
        <v>1434</v>
      </c>
      <c r="D184">
        <v>5</v>
      </c>
      <c r="E184">
        <v>3</v>
      </c>
      <c r="F184">
        <v>49</v>
      </c>
      <c r="G184">
        <v>839</v>
      </c>
      <c r="H184">
        <v>13</v>
      </c>
      <c r="I184">
        <v>0</v>
      </c>
      <c r="J184">
        <v>1</v>
      </c>
      <c r="K184">
        <v>0.83</v>
      </c>
      <c r="L184">
        <v>1.6</v>
      </c>
      <c r="M184">
        <v>30</v>
      </c>
      <c r="N184">
        <v>95</v>
      </c>
      <c r="O184">
        <f t="shared" si="7"/>
        <v>8.9034564958283671E-2</v>
      </c>
      <c r="P184">
        <f t="shared" si="8"/>
        <v>0.17163289630512515</v>
      </c>
    </row>
    <row r="185" spans="1:16" x14ac:dyDescent="0.25">
      <c r="A185" t="str">
        <f t="shared" si="6"/>
        <v>Tariq Lamptey</v>
      </c>
      <c r="B185" t="s">
        <v>1435</v>
      </c>
      <c r="C185" t="s">
        <v>1436</v>
      </c>
      <c r="D185">
        <v>5</v>
      </c>
      <c r="E185">
        <v>2</v>
      </c>
      <c r="F185">
        <v>39</v>
      </c>
      <c r="G185">
        <v>908</v>
      </c>
      <c r="H185">
        <v>10</v>
      </c>
      <c r="I185">
        <v>0</v>
      </c>
      <c r="J185">
        <v>3</v>
      </c>
      <c r="K185">
        <v>0.34</v>
      </c>
      <c r="L185">
        <v>0.9</v>
      </c>
      <c r="M185">
        <v>31</v>
      </c>
      <c r="N185">
        <v>155</v>
      </c>
      <c r="O185">
        <f t="shared" si="7"/>
        <v>3.3700440528634364E-2</v>
      </c>
      <c r="P185">
        <f t="shared" si="8"/>
        <v>8.9207048458149779E-2</v>
      </c>
    </row>
    <row r="186" spans="1:16" x14ac:dyDescent="0.25">
      <c r="A186" t="str">
        <f t="shared" si="6"/>
        <v>Solly March</v>
      </c>
      <c r="B186" t="s">
        <v>1437</v>
      </c>
      <c r="C186" t="s">
        <v>1438</v>
      </c>
      <c r="D186">
        <v>5</v>
      </c>
      <c r="E186">
        <v>3</v>
      </c>
      <c r="F186">
        <v>61</v>
      </c>
      <c r="G186">
        <v>555</v>
      </c>
      <c r="H186">
        <v>7</v>
      </c>
      <c r="I186">
        <v>3</v>
      </c>
      <c r="J186">
        <v>1</v>
      </c>
      <c r="K186">
        <v>2.1</v>
      </c>
      <c r="L186">
        <v>0.97</v>
      </c>
      <c r="M186">
        <v>39</v>
      </c>
      <c r="N186">
        <v>134</v>
      </c>
      <c r="O186">
        <f t="shared" si="7"/>
        <v>0.34054054054054056</v>
      </c>
      <c r="P186">
        <f t="shared" si="8"/>
        <v>0.1572972972972973</v>
      </c>
    </row>
    <row r="187" spans="1:16" x14ac:dyDescent="0.25">
      <c r="A187" t="str">
        <f t="shared" si="6"/>
        <v>Tom McGill</v>
      </c>
      <c r="B187" t="s">
        <v>272</v>
      </c>
      <c r="C187" t="s">
        <v>1439</v>
      </c>
      <c r="D187">
        <v>5</v>
      </c>
      <c r="E187">
        <v>1</v>
      </c>
      <c r="F187">
        <v>39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f t="shared" si="7"/>
        <v>0</v>
      </c>
      <c r="P187">
        <f t="shared" si="8"/>
        <v>0</v>
      </c>
    </row>
    <row r="188" spans="1:16" x14ac:dyDescent="0.25">
      <c r="A188" t="str">
        <f t="shared" si="6"/>
        <v>James Milner</v>
      </c>
      <c r="B188" t="s">
        <v>135</v>
      </c>
      <c r="C188" t="s">
        <v>1440</v>
      </c>
      <c r="D188">
        <v>5</v>
      </c>
      <c r="E188">
        <v>3</v>
      </c>
      <c r="F188">
        <v>48</v>
      </c>
      <c r="G188">
        <v>770</v>
      </c>
      <c r="H188">
        <v>11</v>
      </c>
      <c r="I188">
        <v>0</v>
      </c>
      <c r="J188">
        <v>2</v>
      </c>
      <c r="K188">
        <v>0.28999999999999998</v>
      </c>
      <c r="L188">
        <v>2.1800000000000002</v>
      </c>
      <c r="M188">
        <v>28</v>
      </c>
      <c r="N188">
        <v>146</v>
      </c>
      <c r="O188">
        <f t="shared" si="7"/>
        <v>3.3896103896103896E-2</v>
      </c>
      <c r="P188">
        <f t="shared" si="8"/>
        <v>0.25480519480519481</v>
      </c>
    </row>
    <row r="189" spans="1:16" x14ac:dyDescent="0.25">
      <c r="A189" t="str">
        <f t="shared" si="6"/>
        <v>Kaoru Mitoma</v>
      </c>
      <c r="B189" t="s">
        <v>250</v>
      </c>
      <c r="C189" t="s">
        <v>249</v>
      </c>
      <c r="D189">
        <v>5</v>
      </c>
      <c r="E189">
        <v>3</v>
      </c>
      <c r="F189">
        <v>64</v>
      </c>
      <c r="G189">
        <v>1485</v>
      </c>
      <c r="H189">
        <v>15</v>
      </c>
      <c r="I189">
        <v>3</v>
      </c>
      <c r="J189">
        <v>7</v>
      </c>
      <c r="K189">
        <v>3.49</v>
      </c>
      <c r="L189">
        <v>3.56</v>
      </c>
      <c r="M189">
        <v>74</v>
      </c>
      <c r="N189">
        <v>252</v>
      </c>
      <c r="O189">
        <f t="shared" si="7"/>
        <v>0.21151515151515152</v>
      </c>
      <c r="P189">
        <f t="shared" si="8"/>
        <v>0.21575757575757579</v>
      </c>
    </row>
    <row r="190" spans="1:16" x14ac:dyDescent="0.25">
      <c r="A190" t="str">
        <f t="shared" si="6"/>
        <v>Jakub Moder</v>
      </c>
      <c r="B190" t="s">
        <v>1279</v>
      </c>
      <c r="C190" t="s">
        <v>1441</v>
      </c>
      <c r="D190">
        <v>5</v>
      </c>
      <c r="E190">
        <v>3</v>
      </c>
      <c r="F190">
        <v>44</v>
      </c>
      <c r="G190">
        <v>608</v>
      </c>
      <c r="H190">
        <v>6</v>
      </c>
      <c r="I190">
        <v>0</v>
      </c>
      <c r="J190">
        <v>0</v>
      </c>
      <c r="K190">
        <v>0.78</v>
      </c>
      <c r="L190">
        <v>0.67</v>
      </c>
      <c r="M190">
        <v>21</v>
      </c>
      <c r="N190">
        <v>89</v>
      </c>
      <c r="O190">
        <f t="shared" si="7"/>
        <v>0.11546052631578947</v>
      </c>
      <c r="P190">
        <f t="shared" si="8"/>
        <v>9.9177631578947378E-2</v>
      </c>
    </row>
    <row r="191" spans="1:16" x14ac:dyDescent="0.25">
      <c r="A191" t="str">
        <f t="shared" si="6"/>
        <v>Jeremy Sarmiento Morante</v>
      </c>
      <c r="B191" t="s">
        <v>711</v>
      </c>
      <c r="C191" t="s">
        <v>1442</v>
      </c>
      <c r="D191">
        <v>5</v>
      </c>
      <c r="E191">
        <v>3</v>
      </c>
      <c r="F191">
        <v>45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f t="shared" si="7"/>
        <v>0</v>
      </c>
      <c r="P191">
        <f t="shared" si="8"/>
        <v>0</v>
      </c>
    </row>
    <row r="192" spans="1:16" x14ac:dyDescent="0.25">
      <c r="A192" t="str">
        <f t="shared" si="6"/>
        <v>Kjell Scherpen</v>
      </c>
      <c r="B192" t="s">
        <v>648</v>
      </c>
      <c r="C192" t="s">
        <v>649</v>
      </c>
      <c r="D192">
        <v>5</v>
      </c>
      <c r="E192">
        <v>1</v>
      </c>
      <c r="F192">
        <v>40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f t="shared" si="7"/>
        <v>0</v>
      </c>
      <c r="P192">
        <f t="shared" si="8"/>
        <v>0</v>
      </c>
    </row>
    <row r="193" spans="1:16" x14ac:dyDescent="0.25">
      <c r="A193" t="str">
        <f t="shared" si="6"/>
        <v>Jason Steele</v>
      </c>
      <c r="B193" t="s">
        <v>233</v>
      </c>
      <c r="C193" t="s">
        <v>234</v>
      </c>
      <c r="D193">
        <v>5</v>
      </c>
      <c r="E193">
        <v>1</v>
      </c>
      <c r="F193">
        <v>40</v>
      </c>
      <c r="G193">
        <v>1530</v>
      </c>
      <c r="H193">
        <v>17</v>
      </c>
      <c r="I193">
        <v>0</v>
      </c>
      <c r="J193">
        <v>0</v>
      </c>
      <c r="K193">
        <v>0</v>
      </c>
      <c r="L193">
        <v>0</v>
      </c>
      <c r="M193">
        <v>42</v>
      </c>
      <c r="N193">
        <v>300</v>
      </c>
      <c r="O193">
        <f t="shared" si="7"/>
        <v>0</v>
      </c>
      <c r="P193">
        <f t="shared" si="8"/>
        <v>0</v>
      </c>
    </row>
    <row r="194" spans="1:16" x14ac:dyDescent="0.25">
      <c r="A194" t="str">
        <f t="shared" ref="A194:A257" si="9">_xlfn.CONCAT(B194, " ", C194)</f>
        <v>Deniz Undav</v>
      </c>
      <c r="B194" t="s">
        <v>1443</v>
      </c>
      <c r="C194" t="s">
        <v>1444</v>
      </c>
      <c r="D194">
        <v>5</v>
      </c>
      <c r="E194">
        <v>4</v>
      </c>
      <c r="F194">
        <v>55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f t="shared" ref="O194:O257" si="10">IFERROR(K194/G194*90,0)</f>
        <v>0</v>
      </c>
      <c r="P194">
        <f t="shared" ref="P194:P257" si="11">IFERROR(L194/G194*90,0)</f>
        <v>0</v>
      </c>
    </row>
    <row r="195" spans="1:16" x14ac:dyDescent="0.25">
      <c r="A195" t="str">
        <f t="shared" si="9"/>
        <v>Jan Paul van Hecke</v>
      </c>
      <c r="B195" t="s">
        <v>929</v>
      </c>
      <c r="C195" t="s">
        <v>930</v>
      </c>
      <c r="D195">
        <v>5</v>
      </c>
      <c r="E195">
        <v>2</v>
      </c>
      <c r="F195">
        <v>40</v>
      </c>
      <c r="G195">
        <v>2368</v>
      </c>
      <c r="H195">
        <v>26</v>
      </c>
      <c r="I195">
        <v>0</v>
      </c>
      <c r="J195">
        <v>0</v>
      </c>
      <c r="K195">
        <v>1.42</v>
      </c>
      <c r="L195">
        <v>0.93</v>
      </c>
      <c r="M195">
        <v>61</v>
      </c>
      <c r="N195">
        <v>454</v>
      </c>
      <c r="O195">
        <f t="shared" si="10"/>
        <v>5.3969594594594592E-2</v>
      </c>
      <c r="P195">
        <f t="shared" si="11"/>
        <v>3.5346283783783787E-2</v>
      </c>
    </row>
    <row r="196" spans="1:16" x14ac:dyDescent="0.25">
      <c r="A196" t="str">
        <f t="shared" si="9"/>
        <v>Joël Veltman</v>
      </c>
      <c r="B196" t="s">
        <v>685</v>
      </c>
      <c r="C196" t="s">
        <v>1445</v>
      </c>
      <c r="D196">
        <v>5</v>
      </c>
      <c r="E196">
        <v>2</v>
      </c>
      <c r="F196">
        <v>43</v>
      </c>
      <c r="G196">
        <v>1579</v>
      </c>
      <c r="H196">
        <v>17</v>
      </c>
      <c r="I196">
        <v>1</v>
      </c>
      <c r="J196">
        <v>1</v>
      </c>
      <c r="K196">
        <v>0.46</v>
      </c>
      <c r="L196">
        <v>0.53</v>
      </c>
      <c r="M196">
        <v>49</v>
      </c>
      <c r="N196">
        <v>294</v>
      </c>
      <c r="O196">
        <f t="shared" si="10"/>
        <v>2.6219126029132366E-2</v>
      </c>
      <c r="P196">
        <f t="shared" si="11"/>
        <v>3.020899303356555E-2</v>
      </c>
    </row>
    <row r="197" spans="1:16" x14ac:dyDescent="0.25">
      <c r="A197" t="str">
        <f t="shared" si="9"/>
        <v>Bart Verbruggen</v>
      </c>
      <c r="B197" t="s">
        <v>231</v>
      </c>
      <c r="C197" t="s">
        <v>232</v>
      </c>
      <c r="D197">
        <v>5</v>
      </c>
      <c r="E197">
        <v>1</v>
      </c>
      <c r="F197">
        <v>44</v>
      </c>
      <c r="G197">
        <v>1890</v>
      </c>
      <c r="H197">
        <v>21</v>
      </c>
      <c r="I197">
        <v>0</v>
      </c>
      <c r="J197">
        <v>0</v>
      </c>
      <c r="K197">
        <v>0</v>
      </c>
      <c r="L197">
        <v>0</v>
      </c>
      <c r="M197">
        <v>68</v>
      </c>
      <c r="N197">
        <v>417</v>
      </c>
      <c r="O197">
        <f t="shared" si="10"/>
        <v>0</v>
      </c>
      <c r="P197">
        <f t="shared" si="11"/>
        <v>0</v>
      </c>
    </row>
    <row r="198" spans="1:16" x14ac:dyDescent="0.25">
      <c r="A198" t="str">
        <f t="shared" si="9"/>
        <v>Adam Webster</v>
      </c>
      <c r="B198" t="s">
        <v>143</v>
      </c>
      <c r="C198" t="s">
        <v>1446</v>
      </c>
      <c r="D198">
        <v>5</v>
      </c>
      <c r="E198">
        <v>2</v>
      </c>
      <c r="F198">
        <v>42</v>
      </c>
      <c r="G198">
        <v>1142</v>
      </c>
      <c r="H198">
        <v>13</v>
      </c>
      <c r="I198">
        <v>0</v>
      </c>
      <c r="J198">
        <v>0</v>
      </c>
      <c r="K198">
        <v>0.5</v>
      </c>
      <c r="L198">
        <v>0.33</v>
      </c>
      <c r="M198">
        <v>26</v>
      </c>
      <c r="N198">
        <v>212</v>
      </c>
      <c r="O198">
        <f t="shared" si="10"/>
        <v>3.94045534150613E-2</v>
      </c>
      <c r="P198">
        <f t="shared" si="11"/>
        <v>2.6007005253940459E-2</v>
      </c>
    </row>
    <row r="199" spans="1:16" x14ac:dyDescent="0.25">
      <c r="A199" t="str">
        <f t="shared" si="9"/>
        <v>Danny Welbeck</v>
      </c>
      <c r="B199" t="s">
        <v>291</v>
      </c>
      <c r="C199" t="s">
        <v>292</v>
      </c>
      <c r="D199">
        <v>5</v>
      </c>
      <c r="E199">
        <v>4</v>
      </c>
      <c r="F199">
        <v>57</v>
      </c>
      <c r="G199">
        <v>1687</v>
      </c>
      <c r="H199">
        <v>21</v>
      </c>
      <c r="I199">
        <v>5</v>
      </c>
      <c r="J199">
        <v>4</v>
      </c>
      <c r="K199">
        <v>5.09</v>
      </c>
      <c r="L199">
        <v>1.46</v>
      </c>
      <c r="M199">
        <v>79</v>
      </c>
      <c r="N199">
        <v>261</v>
      </c>
      <c r="O199">
        <f t="shared" si="10"/>
        <v>0.27154712507409601</v>
      </c>
      <c r="P199">
        <f t="shared" si="11"/>
        <v>7.7889745109662123E-2</v>
      </c>
    </row>
    <row r="200" spans="1:16" x14ac:dyDescent="0.25">
      <c r="A200" t="str">
        <f t="shared" si="9"/>
        <v>Andi Zeqiri</v>
      </c>
      <c r="B200" t="s">
        <v>1447</v>
      </c>
      <c r="C200" t="s">
        <v>1448</v>
      </c>
      <c r="D200">
        <v>5</v>
      </c>
      <c r="E200">
        <v>4</v>
      </c>
      <c r="F200">
        <v>44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f t="shared" si="10"/>
        <v>0</v>
      </c>
      <c r="P200">
        <f t="shared" si="11"/>
        <v>0</v>
      </c>
    </row>
    <row r="201" spans="1:16" x14ac:dyDescent="0.25">
      <c r="A201" t="str">
        <f t="shared" si="9"/>
        <v>Igor Julio dos Santos de Paulo</v>
      </c>
      <c r="B201" t="s">
        <v>244</v>
      </c>
      <c r="C201" t="s">
        <v>245</v>
      </c>
      <c r="D201">
        <v>5</v>
      </c>
      <c r="E201">
        <v>2</v>
      </c>
      <c r="F201">
        <v>43</v>
      </c>
      <c r="G201">
        <v>1631</v>
      </c>
      <c r="H201">
        <v>17</v>
      </c>
      <c r="I201">
        <v>0</v>
      </c>
      <c r="J201">
        <v>0</v>
      </c>
      <c r="K201">
        <v>0.25</v>
      </c>
      <c r="L201">
        <v>0.5</v>
      </c>
      <c r="M201">
        <v>37</v>
      </c>
      <c r="N201">
        <v>311</v>
      </c>
      <c r="O201">
        <f t="shared" si="10"/>
        <v>1.3795217657878601E-2</v>
      </c>
      <c r="P201">
        <f t="shared" si="11"/>
        <v>2.7590435315757202E-2</v>
      </c>
    </row>
    <row r="202" spans="1:16" x14ac:dyDescent="0.25">
      <c r="A202" t="str">
        <f t="shared" si="9"/>
        <v>Jack Hinshelwood</v>
      </c>
      <c r="B202" t="s">
        <v>253</v>
      </c>
      <c r="C202" t="s">
        <v>254</v>
      </c>
      <c r="D202">
        <v>5</v>
      </c>
      <c r="E202">
        <v>3</v>
      </c>
      <c r="F202">
        <v>45</v>
      </c>
      <c r="G202">
        <v>866</v>
      </c>
      <c r="H202">
        <v>8</v>
      </c>
      <c r="I202">
        <v>3</v>
      </c>
      <c r="J202">
        <v>0</v>
      </c>
      <c r="K202">
        <v>2.1</v>
      </c>
      <c r="L202">
        <v>0.36</v>
      </c>
      <c r="M202">
        <v>42</v>
      </c>
      <c r="N202">
        <v>155</v>
      </c>
      <c r="O202">
        <f t="shared" si="10"/>
        <v>0.21824480369515012</v>
      </c>
      <c r="P202">
        <f t="shared" si="11"/>
        <v>3.7413394919168591E-2</v>
      </c>
    </row>
    <row r="203" spans="1:16" x14ac:dyDescent="0.25">
      <c r="A203" t="str">
        <f t="shared" si="9"/>
        <v>Carlos Baleba</v>
      </c>
      <c r="B203" t="s">
        <v>268</v>
      </c>
      <c r="C203" t="s">
        <v>269</v>
      </c>
      <c r="D203">
        <v>5</v>
      </c>
      <c r="E203">
        <v>3</v>
      </c>
      <c r="F203">
        <v>45</v>
      </c>
      <c r="G203">
        <v>1314</v>
      </c>
      <c r="H203">
        <v>15</v>
      </c>
      <c r="I203">
        <v>0</v>
      </c>
      <c r="J203">
        <v>0</v>
      </c>
      <c r="K203">
        <v>0.85</v>
      </c>
      <c r="L203">
        <v>0.24</v>
      </c>
      <c r="M203">
        <v>34</v>
      </c>
      <c r="N203">
        <v>174</v>
      </c>
      <c r="O203">
        <f t="shared" si="10"/>
        <v>5.8219178082191785E-2</v>
      </c>
      <c r="P203">
        <f t="shared" si="11"/>
        <v>1.6438356164383564E-2</v>
      </c>
    </row>
    <row r="204" spans="1:16" x14ac:dyDescent="0.25">
      <c r="A204" t="str">
        <f t="shared" si="9"/>
        <v>Anssumane Fati Vieira</v>
      </c>
      <c r="B204" t="s">
        <v>1449</v>
      </c>
      <c r="C204" t="s">
        <v>1450</v>
      </c>
      <c r="D204">
        <v>5</v>
      </c>
      <c r="E204">
        <v>3</v>
      </c>
      <c r="F204">
        <v>64</v>
      </c>
      <c r="G204">
        <v>509</v>
      </c>
      <c r="H204">
        <v>3</v>
      </c>
      <c r="I204">
        <v>2</v>
      </c>
      <c r="J204">
        <v>1</v>
      </c>
      <c r="K204">
        <v>3.51</v>
      </c>
      <c r="L204">
        <v>0.61</v>
      </c>
      <c r="M204">
        <v>33</v>
      </c>
      <c r="N204">
        <v>84</v>
      </c>
      <c r="O204">
        <f t="shared" si="10"/>
        <v>0.62062868369351665</v>
      </c>
      <c r="P204">
        <f t="shared" si="11"/>
        <v>0.10785854616895875</v>
      </c>
    </row>
    <row r="205" spans="1:16" x14ac:dyDescent="0.25">
      <c r="A205" t="str">
        <f t="shared" si="9"/>
        <v>Mark O’Mahony</v>
      </c>
      <c r="B205" t="s">
        <v>473</v>
      </c>
      <c r="C205" t="s">
        <v>1451</v>
      </c>
      <c r="D205">
        <v>5</v>
      </c>
      <c r="E205">
        <v>4</v>
      </c>
      <c r="F205">
        <v>45</v>
      </c>
      <c r="G205">
        <v>61</v>
      </c>
      <c r="H205">
        <v>1</v>
      </c>
      <c r="I205">
        <v>0</v>
      </c>
      <c r="J205">
        <v>0</v>
      </c>
      <c r="K205">
        <v>0.06</v>
      </c>
      <c r="L205">
        <v>0</v>
      </c>
      <c r="M205">
        <v>2</v>
      </c>
      <c r="N205">
        <v>5</v>
      </c>
      <c r="O205">
        <f t="shared" si="10"/>
        <v>8.8524590163934422E-2</v>
      </c>
      <c r="P205">
        <f t="shared" si="11"/>
        <v>0</v>
      </c>
    </row>
    <row r="206" spans="1:16" x14ac:dyDescent="0.25">
      <c r="A206" t="str">
        <f t="shared" si="9"/>
        <v>Benicio Baker-Boaitey</v>
      </c>
      <c r="B206" t="s">
        <v>1452</v>
      </c>
      <c r="C206" t="s">
        <v>1453</v>
      </c>
      <c r="D206">
        <v>5</v>
      </c>
      <c r="E206">
        <v>3</v>
      </c>
      <c r="F206">
        <v>45</v>
      </c>
      <c r="G206">
        <v>37</v>
      </c>
      <c r="H206">
        <v>0</v>
      </c>
      <c r="I206">
        <v>0</v>
      </c>
      <c r="J206">
        <v>0</v>
      </c>
      <c r="K206">
        <v>0.02</v>
      </c>
      <c r="L206">
        <v>0.1</v>
      </c>
      <c r="M206">
        <v>4</v>
      </c>
      <c r="N206">
        <v>10</v>
      </c>
      <c r="O206">
        <f t="shared" si="10"/>
        <v>4.8648648648648651E-2</v>
      </c>
      <c r="P206">
        <f t="shared" si="11"/>
        <v>0.24324324324324326</v>
      </c>
    </row>
    <row r="207" spans="1:16" x14ac:dyDescent="0.25">
      <c r="A207" t="str">
        <f t="shared" si="9"/>
        <v>Ben Jackson</v>
      </c>
      <c r="B207" t="s">
        <v>159</v>
      </c>
      <c r="C207" t="s">
        <v>337</v>
      </c>
      <c r="D207">
        <v>5</v>
      </c>
      <c r="E207">
        <v>2</v>
      </c>
      <c r="F207">
        <v>40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f t="shared" si="10"/>
        <v>0</v>
      </c>
      <c r="P207">
        <f t="shared" si="11"/>
        <v>0</v>
      </c>
    </row>
    <row r="208" spans="1:16" x14ac:dyDescent="0.25">
      <c r="A208" t="str">
        <f t="shared" si="9"/>
        <v>Joshua Duffus</v>
      </c>
      <c r="B208" t="s">
        <v>843</v>
      </c>
      <c r="C208" t="s">
        <v>1454</v>
      </c>
      <c r="D208">
        <v>5</v>
      </c>
      <c r="E208">
        <v>3</v>
      </c>
      <c r="F208">
        <v>44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f t="shared" si="10"/>
        <v>0</v>
      </c>
      <c r="P208">
        <f t="shared" si="11"/>
        <v>0</v>
      </c>
    </row>
    <row r="209" spans="1:16" x14ac:dyDescent="0.25">
      <c r="A209" t="str">
        <f t="shared" si="9"/>
        <v>Leigh Kavanagh</v>
      </c>
      <c r="B209" t="s">
        <v>1455</v>
      </c>
      <c r="C209" t="s">
        <v>1456</v>
      </c>
      <c r="D209">
        <v>5</v>
      </c>
      <c r="E209">
        <v>2</v>
      </c>
      <c r="F209">
        <v>40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f t="shared" si="10"/>
        <v>0</v>
      </c>
      <c r="P209">
        <f t="shared" si="11"/>
        <v>0</v>
      </c>
    </row>
    <row r="210" spans="1:16" x14ac:dyDescent="0.25">
      <c r="A210" t="str">
        <f t="shared" si="9"/>
        <v>Luca Barrington</v>
      </c>
      <c r="B210" t="s">
        <v>903</v>
      </c>
      <c r="C210" t="s">
        <v>1457</v>
      </c>
      <c r="D210">
        <v>5</v>
      </c>
      <c r="E210">
        <v>3</v>
      </c>
      <c r="F210">
        <v>45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f t="shared" si="10"/>
        <v>0</v>
      </c>
      <c r="P210">
        <f t="shared" si="11"/>
        <v>0</v>
      </c>
    </row>
    <row r="211" spans="1:16" x14ac:dyDescent="0.25">
      <c r="A211" t="str">
        <f t="shared" si="9"/>
        <v>Cameron Peupion</v>
      </c>
      <c r="B211" t="s">
        <v>1225</v>
      </c>
      <c r="C211" t="s">
        <v>1458</v>
      </c>
      <c r="D211">
        <v>5</v>
      </c>
      <c r="E211">
        <v>3</v>
      </c>
      <c r="F211">
        <v>45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f t="shared" si="10"/>
        <v>0</v>
      </c>
      <c r="P211">
        <f t="shared" si="11"/>
        <v>0</v>
      </c>
    </row>
    <row r="212" spans="1:16" x14ac:dyDescent="0.25">
      <c r="A212" t="str">
        <f t="shared" si="9"/>
        <v>Valentín Barco</v>
      </c>
      <c r="B212" t="s">
        <v>351</v>
      </c>
      <c r="C212" t="s">
        <v>352</v>
      </c>
      <c r="D212">
        <v>5</v>
      </c>
      <c r="E212">
        <v>2</v>
      </c>
      <c r="F212">
        <v>40</v>
      </c>
      <c r="G212">
        <v>307</v>
      </c>
      <c r="H212">
        <v>3</v>
      </c>
      <c r="I212">
        <v>0</v>
      </c>
      <c r="J212">
        <v>0</v>
      </c>
      <c r="K212">
        <v>0.2</v>
      </c>
      <c r="L212">
        <v>0.38</v>
      </c>
      <c r="M212">
        <v>5</v>
      </c>
      <c r="N212">
        <v>33</v>
      </c>
      <c r="O212">
        <f t="shared" si="10"/>
        <v>5.863192182410424E-2</v>
      </c>
      <c r="P212">
        <f t="shared" si="11"/>
        <v>0.11140065146579804</v>
      </c>
    </row>
    <row r="213" spans="1:16" x14ac:dyDescent="0.25">
      <c r="A213" t="str">
        <f t="shared" si="9"/>
        <v>Samy Chouchane</v>
      </c>
      <c r="B213" t="s">
        <v>1459</v>
      </c>
      <c r="C213" t="s">
        <v>1460</v>
      </c>
      <c r="D213">
        <v>5</v>
      </c>
      <c r="E213">
        <v>3</v>
      </c>
      <c r="F213">
        <v>45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f t="shared" si="10"/>
        <v>0</v>
      </c>
      <c r="P213">
        <f t="shared" si="11"/>
        <v>0</v>
      </c>
    </row>
    <row r="214" spans="1:16" x14ac:dyDescent="0.25">
      <c r="A214" t="str">
        <f t="shared" si="9"/>
        <v>Odeluga Offiah</v>
      </c>
      <c r="B214" t="s">
        <v>1461</v>
      </c>
      <c r="C214" t="s">
        <v>1462</v>
      </c>
      <c r="D214">
        <v>5</v>
      </c>
      <c r="E214">
        <v>2</v>
      </c>
      <c r="F214">
        <v>40</v>
      </c>
      <c r="G214">
        <v>126</v>
      </c>
      <c r="H214">
        <v>1</v>
      </c>
      <c r="I214">
        <v>0</v>
      </c>
      <c r="J214">
        <v>0</v>
      </c>
      <c r="K214">
        <v>0</v>
      </c>
      <c r="L214">
        <v>0.03</v>
      </c>
      <c r="M214">
        <v>4</v>
      </c>
      <c r="N214">
        <v>21</v>
      </c>
      <c r="O214">
        <f t="shared" si="10"/>
        <v>0</v>
      </c>
      <c r="P214">
        <f t="shared" si="11"/>
        <v>2.1428571428571429E-2</v>
      </c>
    </row>
    <row r="215" spans="1:16" x14ac:dyDescent="0.25">
      <c r="A215" t="str">
        <f t="shared" si="9"/>
        <v>Noël Atom</v>
      </c>
      <c r="B215" t="s">
        <v>1463</v>
      </c>
      <c r="C215" t="s">
        <v>1464</v>
      </c>
      <c r="D215">
        <v>5</v>
      </c>
      <c r="E215">
        <v>2</v>
      </c>
      <c r="F215">
        <v>40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f t="shared" si="10"/>
        <v>0</v>
      </c>
      <c r="P215">
        <f t="shared" si="11"/>
        <v>0</v>
      </c>
    </row>
    <row r="216" spans="1:16" x14ac:dyDescent="0.25">
      <c r="A216" t="str">
        <f t="shared" si="9"/>
        <v>Enock Agyei</v>
      </c>
      <c r="B216" t="s">
        <v>1465</v>
      </c>
      <c r="C216" t="s">
        <v>1466</v>
      </c>
      <c r="D216">
        <v>6</v>
      </c>
      <c r="E216">
        <v>3</v>
      </c>
      <c r="F216">
        <v>42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 t="shared" si="10"/>
        <v>0</v>
      </c>
      <c r="P216">
        <f t="shared" si="11"/>
        <v>0</v>
      </c>
    </row>
    <row r="217" spans="1:16" x14ac:dyDescent="0.25">
      <c r="A217" t="str">
        <f t="shared" si="9"/>
        <v>Ameen Al-Dakhil</v>
      </c>
      <c r="B217" t="s">
        <v>1467</v>
      </c>
      <c r="C217" t="s">
        <v>1468</v>
      </c>
      <c r="D217">
        <v>6</v>
      </c>
      <c r="E217">
        <v>2</v>
      </c>
      <c r="F217">
        <v>38</v>
      </c>
      <c r="G217">
        <v>1055</v>
      </c>
      <c r="H217">
        <v>12</v>
      </c>
      <c r="I217">
        <v>1</v>
      </c>
      <c r="J217">
        <v>0</v>
      </c>
      <c r="K217">
        <v>1.28</v>
      </c>
      <c r="L217">
        <v>0.54</v>
      </c>
      <c r="M217">
        <v>19</v>
      </c>
      <c r="N217">
        <v>127</v>
      </c>
      <c r="O217">
        <f t="shared" si="10"/>
        <v>0.10919431279620853</v>
      </c>
      <c r="P217">
        <f t="shared" si="11"/>
        <v>4.6066350710900483E-2</v>
      </c>
    </row>
    <row r="218" spans="1:16" x14ac:dyDescent="0.25">
      <c r="A218" t="str">
        <f t="shared" si="9"/>
        <v>Samuel Bastien</v>
      </c>
      <c r="B218" t="s">
        <v>109</v>
      </c>
      <c r="C218" t="s">
        <v>1469</v>
      </c>
      <c r="D218">
        <v>6</v>
      </c>
      <c r="E218">
        <v>3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 t="shared" si="10"/>
        <v>0</v>
      </c>
      <c r="P218">
        <f t="shared" si="11"/>
        <v>0</v>
      </c>
    </row>
    <row r="219" spans="1:16" x14ac:dyDescent="0.25">
      <c r="A219" t="str">
        <f t="shared" si="9"/>
        <v>Manuel Benson Hedilazio</v>
      </c>
      <c r="B219" t="s">
        <v>1470</v>
      </c>
      <c r="C219" t="s">
        <v>1471</v>
      </c>
      <c r="D219">
        <v>6</v>
      </c>
      <c r="E219">
        <v>3</v>
      </c>
      <c r="F219">
        <v>52</v>
      </c>
      <c r="G219">
        <v>110</v>
      </c>
      <c r="H219">
        <v>1</v>
      </c>
      <c r="I219">
        <v>0</v>
      </c>
      <c r="J219">
        <v>0</v>
      </c>
      <c r="K219">
        <v>7.0000000000000007E-2</v>
      </c>
      <c r="L219">
        <v>0.18</v>
      </c>
      <c r="M219">
        <v>8</v>
      </c>
      <c r="N219">
        <v>22</v>
      </c>
      <c r="O219">
        <f t="shared" si="10"/>
        <v>5.7272727272727274E-2</v>
      </c>
      <c r="P219">
        <f t="shared" si="11"/>
        <v>0.14727272727272728</v>
      </c>
    </row>
    <row r="220" spans="1:16" x14ac:dyDescent="0.25">
      <c r="A220" t="str">
        <f t="shared" si="9"/>
        <v>Jordan Beyer</v>
      </c>
      <c r="B220" t="s">
        <v>289</v>
      </c>
      <c r="C220" t="s">
        <v>1472</v>
      </c>
      <c r="D220">
        <v>6</v>
      </c>
      <c r="E220">
        <v>2</v>
      </c>
      <c r="F220">
        <v>39</v>
      </c>
      <c r="G220">
        <v>1234</v>
      </c>
      <c r="H220">
        <v>15</v>
      </c>
      <c r="I220">
        <v>0</v>
      </c>
      <c r="J220">
        <v>1</v>
      </c>
      <c r="K220">
        <v>0.56000000000000005</v>
      </c>
      <c r="L220">
        <v>0.19</v>
      </c>
      <c r="M220">
        <v>30</v>
      </c>
      <c r="N220">
        <v>236</v>
      </c>
      <c r="O220">
        <f t="shared" si="10"/>
        <v>4.0842787682333875E-2</v>
      </c>
      <c r="P220">
        <f t="shared" si="11"/>
        <v>1.3857374392220423E-2</v>
      </c>
    </row>
    <row r="221" spans="1:16" x14ac:dyDescent="0.25">
      <c r="A221" t="str">
        <f t="shared" si="9"/>
        <v>Josh Brownhill</v>
      </c>
      <c r="B221" t="s">
        <v>219</v>
      </c>
      <c r="C221" t="s">
        <v>1473</v>
      </c>
      <c r="D221">
        <v>6</v>
      </c>
      <c r="E221">
        <v>3</v>
      </c>
      <c r="F221">
        <v>47</v>
      </c>
      <c r="G221">
        <v>2248</v>
      </c>
      <c r="H221">
        <v>23</v>
      </c>
      <c r="I221">
        <v>4</v>
      </c>
      <c r="J221">
        <v>2</v>
      </c>
      <c r="K221">
        <v>1.81</v>
      </c>
      <c r="L221">
        <v>2.04</v>
      </c>
      <c r="M221">
        <v>78</v>
      </c>
      <c r="N221">
        <v>365</v>
      </c>
      <c r="O221">
        <f t="shared" si="10"/>
        <v>7.2464412811387907E-2</v>
      </c>
      <c r="P221">
        <f t="shared" si="11"/>
        <v>8.1672597864768687E-2</v>
      </c>
    </row>
    <row r="222" spans="1:16" x14ac:dyDescent="0.25">
      <c r="A222" t="str">
        <f t="shared" si="9"/>
        <v>Darko Churlinov</v>
      </c>
      <c r="B222" t="s">
        <v>579</v>
      </c>
      <c r="C222" t="s">
        <v>1474</v>
      </c>
      <c r="D222">
        <v>6</v>
      </c>
      <c r="E222">
        <v>3</v>
      </c>
      <c r="F222">
        <v>44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f t="shared" si="10"/>
        <v>0</v>
      </c>
      <c r="P222">
        <f t="shared" si="11"/>
        <v>0</v>
      </c>
    </row>
    <row r="223" spans="1:16" x14ac:dyDescent="0.25">
      <c r="A223" t="str">
        <f t="shared" si="9"/>
        <v>Jack Cork</v>
      </c>
      <c r="B223" t="s">
        <v>253</v>
      </c>
      <c r="C223" t="s">
        <v>1475</v>
      </c>
      <c r="D223">
        <v>6</v>
      </c>
      <c r="E223">
        <v>3</v>
      </c>
      <c r="F223">
        <v>48</v>
      </c>
      <c r="G223">
        <v>25</v>
      </c>
      <c r="H223">
        <v>0</v>
      </c>
      <c r="I223">
        <v>0</v>
      </c>
      <c r="J223">
        <v>0</v>
      </c>
      <c r="K223">
        <v>0</v>
      </c>
      <c r="L223">
        <v>0.02</v>
      </c>
      <c r="M223">
        <v>4</v>
      </c>
      <c r="N223">
        <v>8</v>
      </c>
      <c r="O223">
        <f t="shared" si="10"/>
        <v>0</v>
      </c>
      <c r="P223">
        <f t="shared" si="11"/>
        <v>7.2000000000000008E-2</v>
      </c>
    </row>
    <row r="224" spans="1:16" x14ac:dyDescent="0.25">
      <c r="A224" t="str">
        <f t="shared" si="9"/>
        <v>Dara Costelloe</v>
      </c>
      <c r="B224" t="s">
        <v>608</v>
      </c>
      <c r="C224" t="s">
        <v>1476</v>
      </c>
      <c r="D224">
        <v>6</v>
      </c>
      <c r="E224">
        <v>3</v>
      </c>
      <c r="F224">
        <v>45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f t="shared" si="10"/>
        <v>0</v>
      </c>
      <c r="P224">
        <f t="shared" si="11"/>
        <v>0</v>
      </c>
    </row>
    <row r="225" spans="1:16" x14ac:dyDescent="0.25">
      <c r="A225" t="str">
        <f t="shared" si="9"/>
        <v>Josh Cullen</v>
      </c>
      <c r="B225" t="s">
        <v>219</v>
      </c>
      <c r="C225" t="s">
        <v>1477</v>
      </c>
      <c r="D225">
        <v>6</v>
      </c>
      <c r="E225">
        <v>3</v>
      </c>
      <c r="F225">
        <v>50</v>
      </c>
      <c r="G225">
        <v>2055</v>
      </c>
      <c r="H225">
        <v>23</v>
      </c>
      <c r="I225">
        <v>2</v>
      </c>
      <c r="J225">
        <v>4</v>
      </c>
      <c r="K225">
        <v>0.59</v>
      </c>
      <c r="L225">
        <v>2.29</v>
      </c>
      <c r="M225">
        <v>65</v>
      </c>
      <c r="N225">
        <v>375</v>
      </c>
      <c r="O225">
        <f t="shared" si="10"/>
        <v>2.5839416058394162E-2</v>
      </c>
      <c r="P225">
        <f t="shared" si="11"/>
        <v>0.1002919708029197</v>
      </c>
    </row>
    <row r="226" spans="1:16" x14ac:dyDescent="0.25">
      <c r="A226" t="str">
        <f t="shared" si="9"/>
        <v>CJ Egan-Riley</v>
      </c>
      <c r="B226" t="s">
        <v>1478</v>
      </c>
      <c r="C226" t="s">
        <v>1479</v>
      </c>
      <c r="D226">
        <v>6</v>
      </c>
      <c r="E226">
        <v>2</v>
      </c>
      <c r="F226">
        <v>39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 t="shared" si="10"/>
        <v>0</v>
      </c>
      <c r="P226">
        <f t="shared" si="11"/>
        <v>0</v>
      </c>
    </row>
    <row r="227" spans="1:16" x14ac:dyDescent="0.25">
      <c r="A227" t="str">
        <f t="shared" si="9"/>
        <v>Hjalmar Ekdal</v>
      </c>
      <c r="B227" t="s">
        <v>1480</v>
      </c>
      <c r="C227" t="s">
        <v>1481</v>
      </c>
      <c r="D227">
        <v>6</v>
      </c>
      <c r="E227">
        <v>2</v>
      </c>
      <c r="F227">
        <v>39</v>
      </c>
      <c r="G227">
        <v>436</v>
      </c>
      <c r="H227">
        <v>5</v>
      </c>
      <c r="I227">
        <v>0</v>
      </c>
      <c r="J227">
        <v>0</v>
      </c>
      <c r="K227">
        <v>0.06</v>
      </c>
      <c r="L227">
        <v>0.01</v>
      </c>
      <c r="M227">
        <v>15</v>
      </c>
      <c r="N227">
        <v>77</v>
      </c>
      <c r="O227">
        <f t="shared" si="10"/>
        <v>1.238532110091743E-2</v>
      </c>
      <c r="P227">
        <f t="shared" si="11"/>
        <v>2.0642201834862386E-3</v>
      </c>
    </row>
    <row r="228" spans="1:16" x14ac:dyDescent="0.25">
      <c r="A228" t="str">
        <f t="shared" si="9"/>
        <v>Lyle Foster</v>
      </c>
      <c r="B228" t="s">
        <v>1482</v>
      </c>
      <c r="C228" t="s">
        <v>1483</v>
      </c>
      <c r="D228">
        <v>6</v>
      </c>
      <c r="E228">
        <v>4</v>
      </c>
      <c r="F228">
        <v>47</v>
      </c>
      <c r="G228">
        <v>1898</v>
      </c>
      <c r="H228">
        <v>22</v>
      </c>
      <c r="I228">
        <v>5</v>
      </c>
      <c r="J228">
        <v>3</v>
      </c>
      <c r="K228">
        <v>4.3600000000000003</v>
      </c>
      <c r="L228">
        <v>1.27</v>
      </c>
      <c r="M228">
        <v>75</v>
      </c>
      <c r="N228">
        <v>229</v>
      </c>
      <c r="O228">
        <f t="shared" si="10"/>
        <v>0.20674394099051638</v>
      </c>
      <c r="P228">
        <f t="shared" si="11"/>
        <v>6.0221285563751323E-2</v>
      </c>
    </row>
    <row r="229" spans="1:16" x14ac:dyDescent="0.25">
      <c r="A229" t="str">
        <f t="shared" si="9"/>
        <v>Denis Franchi</v>
      </c>
      <c r="B229" t="s">
        <v>1484</v>
      </c>
      <c r="C229" t="s">
        <v>1485</v>
      </c>
      <c r="D229">
        <v>6</v>
      </c>
      <c r="E229">
        <v>1</v>
      </c>
      <c r="F229">
        <v>39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f t="shared" si="10"/>
        <v>0</v>
      </c>
      <c r="P229">
        <f t="shared" si="11"/>
        <v>0</v>
      </c>
    </row>
    <row r="230" spans="1:16" x14ac:dyDescent="0.25">
      <c r="A230" t="str">
        <f t="shared" si="9"/>
        <v>Jóhann Berg Gudmundsson</v>
      </c>
      <c r="B230" t="s">
        <v>1486</v>
      </c>
      <c r="C230" t="s">
        <v>661</v>
      </c>
      <c r="D230">
        <v>6</v>
      </c>
      <c r="E230">
        <v>3</v>
      </c>
      <c r="F230">
        <v>48</v>
      </c>
      <c r="G230">
        <v>1185</v>
      </c>
      <c r="H230">
        <v>12</v>
      </c>
      <c r="I230">
        <v>1</v>
      </c>
      <c r="J230">
        <v>3</v>
      </c>
      <c r="K230">
        <v>1.8</v>
      </c>
      <c r="L230">
        <v>2.5299999999999998</v>
      </c>
      <c r="M230">
        <v>48</v>
      </c>
      <c r="N230">
        <v>193</v>
      </c>
      <c r="O230">
        <f t="shared" si="10"/>
        <v>0.13670886075949368</v>
      </c>
      <c r="P230">
        <f t="shared" si="11"/>
        <v>0.19215189873417721</v>
      </c>
    </row>
    <row r="231" spans="1:16" x14ac:dyDescent="0.25">
      <c r="A231" t="str">
        <f t="shared" si="9"/>
        <v>Luke McNally</v>
      </c>
      <c r="B231" t="s">
        <v>375</v>
      </c>
      <c r="C231" t="s">
        <v>508</v>
      </c>
      <c r="D231">
        <v>6</v>
      </c>
      <c r="E231">
        <v>2</v>
      </c>
      <c r="F231">
        <v>40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f t="shared" si="10"/>
        <v>0</v>
      </c>
      <c r="P231">
        <f t="shared" si="11"/>
        <v>0</v>
      </c>
    </row>
    <row r="232" spans="1:16" x14ac:dyDescent="0.25">
      <c r="A232" t="str">
        <f t="shared" si="9"/>
        <v>Arijanet Muric</v>
      </c>
      <c r="B232" t="s">
        <v>1487</v>
      </c>
      <c r="C232" t="s">
        <v>1488</v>
      </c>
      <c r="D232">
        <v>6</v>
      </c>
      <c r="E232">
        <v>1</v>
      </c>
      <c r="F232">
        <v>43</v>
      </c>
      <c r="G232">
        <v>900</v>
      </c>
      <c r="H232">
        <v>10</v>
      </c>
      <c r="I232">
        <v>0</v>
      </c>
      <c r="J232">
        <v>0</v>
      </c>
      <c r="K232">
        <v>0</v>
      </c>
      <c r="L232">
        <v>0.05</v>
      </c>
      <c r="M232">
        <v>47</v>
      </c>
      <c r="N232">
        <v>241</v>
      </c>
      <c r="O232">
        <f t="shared" si="10"/>
        <v>0</v>
      </c>
      <c r="P232">
        <f t="shared" si="11"/>
        <v>5.0000000000000001E-3</v>
      </c>
    </row>
    <row r="233" spans="1:16" x14ac:dyDescent="0.25">
      <c r="A233" t="str">
        <f t="shared" si="9"/>
        <v>Dara O'Shea</v>
      </c>
      <c r="B233" t="s">
        <v>608</v>
      </c>
      <c r="C233" t="s">
        <v>609</v>
      </c>
      <c r="D233">
        <v>6</v>
      </c>
      <c r="E233">
        <v>2</v>
      </c>
      <c r="F233">
        <v>44</v>
      </c>
      <c r="G233">
        <v>2892</v>
      </c>
      <c r="H233">
        <v>32</v>
      </c>
      <c r="I233">
        <v>3</v>
      </c>
      <c r="J233">
        <v>4</v>
      </c>
      <c r="K233">
        <v>0.74</v>
      </c>
      <c r="L233">
        <v>0.9</v>
      </c>
      <c r="M233">
        <v>69</v>
      </c>
      <c r="N233">
        <v>478</v>
      </c>
      <c r="O233">
        <f t="shared" si="10"/>
        <v>2.3029045643153525E-2</v>
      </c>
      <c r="P233">
        <f t="shared" si="11"/>
        <v>2.8008298755186727E-2</v>
      </c>
    </row>
    <row r="234" spans="1:16" x14ac:dyDescent="0.25">
      <c r="A234" t="str">
        <f t="shared" si="9"/>
        <v>Michael Obafemi</v>
      </c>
      <c r="B234" t="s">
        <v>193</v>
      </c>
      <c r="C234" t="s">
        <v>1489</v>
      </c>
      <c r="D234">
        <v>6</v>
      </c>
      <c r="E234">
        <v>4</v>
      </c>
      <c r="F234">
        <v>49</v>
      </c>
      <c r="G234">
        <v>19</v>
      </c>
      <c r="H234">
        <v>0</v>
      </c>
      <c r="I234">
        <v>0</v>
      </c>
      <c r="J234">
        <v>0</v>
      </c>
      <c r="K234">
        <v>0.11</v>
      </c>
      <c r="L234">
        <v>0.01</v>
      </c>
      <c r="M234">
        <v>2</v>
      </c>
      <c r="N234">
        <v>4</v>
      </c>
      <c r="O234">
        <f t="shared" si="10"/>
        <v>0.52105263157894743</v>
      </c>
      <c r="P234">
        <f t="shared" si="11"/>
        <v>4.736842105263158E-2</v>
      </c>
    </row>
    <row r="235" spans="1:16" x14ac:dyDescent="0.25">
      <c r="A235" t="str">
        <f t="shared" si="9"/>
        <v>Bailey Peacock-Farrell</v>
      </c>
      <c r="B235" t="s">
        <v>100</v>
      </c>
      <c r="C235" t="s">
        <v>1490</v>
      </c>
      <c r="D235">
        <v>6</v>
      </c>
      <c r="E235">
        <v>1</v>
      </c>
      <c r="F235">
        <v>40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f t="shared" si="10"/>
        <v>0</v>
      </c>
      <c r="P235">
        <f t="shared" si="11"/>
        <v>0</v>
      </c>
    </row>
    <row r="236" spans="1:16" x14ac:dyDescent="0.25">
      <c r="A236" t="str">
        <f t="shared" si="9"/>
        <v>Connor Roberts</v>
      </c>
      <c r="B236" t="s">
        <v>1491</v>
      </c>
      <c r="C236" t="s">
        <v>1492</v>
      </c>
      <c r="D236">
        <v>6</v>
      </c>
      <c r="E236">
        <v>2</v>
      </c>
      <c r="F236">
        <v>43</v>
      </c>
      <c r="G236">
        <v>817</v>
      </c>
      <c r="H236">
        <v>8</v>
      </c>
      <c r="I236">
        <v>0</v>
      </c>
      <c r="J236">
        <v>1</v>
      </c>
      <c r="K236">
        <v>0</v>
      </c>
      <c r="L236">
        <v>0.35</v>
      </c>
      <c r="M236">
        <v>12</v>
      </c>
      <c r="N236">
        <v>111</v>
      </c>
      <c r="O236">
        <f t="shared" si="10"/>
        <v>0</v>
      </c>
      <c r="P236">
        <f t="shared" si="11"/>
        <v>3.8555691554467558E-2</v>
      </c>
    </row>
    <row r="237" spans="1:16" x14ac:dyDescent="0.25">
      <c r="A237" t="str">
        <f t="shared" si="9"/>
        <v>Jay Rodriguez</v>
      </c>
      <c r="B237" t="s">
        <v>368</v>
      </c>
      <c r="C237" t="s">
        <v>1493</v>
      </c>
      <c r="D237">
        <v>6</v>
      </c>
      <c r="E237">
        <v>4</v>
      </c>
      <c r="F237">
        <v>53</v>
      </c>
      <c r="G237">
        <v>811</v>
      </c>
      <c r="H237">
        <v>7</v>
      </c>
      <c r="I237">
        <v>2</v>
      </c>
      <c r="J237">
        <v>1</v>
      </c>
      <c r="K237">
        <v>3.82</v>
      </c>
      <c r="L237">
        <v>0.08</v>
      </c>
      <c r="M237">
        <v>41</v>
      </c>
      <c r="N237">
        <v>108</v>
      </c>
      <c r="O237">
        <f t="shared" si="10"/>
        <v>0.42392108508014792</v>
      </c>
      <c r="P237">
        <f t="shared" si="11"/>
        <v>8.8779284833538849E-3</v>
      </c>
    </row>
    <row r="238" spans="1:16" x14ac:dyDescent="0.25">
      <c r="A238" t="str">
        <f t="shared" si="9"/>
        <v>Charlie Taylor</v>
      </c>
      <c r="B238" t="s">
        <v>548</v>
      </c>
      <c r="C238" t="s">
        <v>621</v>
      </c>
      <c r="D238">
        <v>6</v>
      </c>
      <c r="E238">
        <v>2</v>
      </c>
      <c r="F238">
        <v>39</v>
      </c>
      <c r="G238">
        <v>2329</v>
      </c>
      <c r="H238">
        <v>25</v>
      </c>
      <c r="I238">
        <v>1</v>
      </c>
      <c r="J238">
        <v>1</v>
      </c>
      <c r="K238">
        <v>0.25</v>
      </c>
      <c r="L238">
        <v>1.66</v>
      </c>
      <c r="M238">
        <v>47</v>
      </c>
      <c r="N238">
        <v>347</v>
      </c>
      <c r="O238">
        <f t="shared" si="10"/>
        <v>9.6607986260197516E-3</v>
      </c>
      <c r="P238">
        <f t="shared" si="11"/>
        <v>6.4147702876771143E-2</v>
      </c>
    </row>
    <row r="239" spans="1:16" x14ac:dyDescent="0.25">
      <c r="A239" t="str">
        <f t="shared" si="9"/>
        <v>Bobby Thomas</v>
      </c>
      <c r="B239" t="s">
        <v>363</v>
      </c>
      <c r="C239" t="s">
        <v>364</v>
      </c>
      <c r="D239">
        <v>6</v>
      </c>
      <c r="E239">
        <v>2</v>
      </c>
      <c r="F239">
        <v>40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f t="shared" si="10"/>
        <v>0</v>
      </c>
      <c r="P239">
        <f t="shared" si="11"/>
        <v>0</v>
      </c>
    </row>
    <row r="240" spans="1:16" x14ac:dyDescent="0.25">
      <c r="A240" t="str">
        <f t="shared" si="9"/>
        <v>Scott Twine</v>
      </c>
      <c r="B240" t="s">
        <v>154</v>
      </c>
      <c r="C240" t="s">
        <v>1494</v>
      </c>
      <c r="D240">
        <v>6</v>
      </c>
      <c r="E240">
        <v>3</v>
      </c>
      <c r="F240">
        <v>49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f t="shared" si="10"/>
        <v>0</v>
      </c>
      <c r="P240">
        <f t="shared" si="11"/>
        <v>0</v>
      </c>
    </row>
    <row r="241" spans="1:16" x14ac:dyDescent="0.25">
      <c r="A241" t="str">
        <f t="shared" si="9"/>
        <v>Lawrence Vigouroux</v>
      </c>
      <c r="B241" t="s">
        <v>1495</v>
      </c>
      <c r="C241" t="s">
        <v>1496</v>
      </c>
      <c r="D241">
        <v>6</v>
      </c>
      <c r="E241">
        <v>1</v>
      </c>
      <c r="F241">
        <v>39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t="shared" si="10"/>
        <v>0</v>
      </c>
      <c r="P241">
        <f t="shared" si="11"/>
        <v>0</v>
      </c>
    </row>
    <row r="242" spans="1:16" x14ac:dyDescent="0.25">
      <c r="A242" t="str">
        <f t="shared" si="9"/>
        <v>Victor da Silva</v>
      </c>
      <c r="B242" t="s">
        <v>92</v>
      </c>
      <c r="C242" t="s">
        <v>1497</v>
      </c>
      <c r="D242">
        <v>6</v>
      </c>
      <c r="E242">
        <v>2</v>
      </c>
      <c r="F242">
        <v>44</v>
      </c>
      <c r="G242">
        <v>2311</v>
      </c>
      <c r="H242">
        <v>26</v>
      </c>
      <c r="I242">
        <v>0</v>
      </c>
      <c r="J242">
        <v>3</v>
      </c>
      <c r="K242">
        <v>1.7</v>
      </c>
      <c r="L242">
        <v>1.1299999999999999</v>
      </c>
      <c r="M242">
        <v>60</v>
      </c>
      <c r="N242">
        <v>259</v>
      </c>
      <c r="O242">
        <f t="shared" si="10"/>
        <v>6.6205106014712245E-2</v>
      </c>
      <c r="P242">
        <f t="shared" si="11"/>
        <v>4.4006923409779318E-2</v>
      </c>
    </row>
    <row r="243" spans="1:16" x14ac:dyDescent="0.25">
      <c r="A243" t="str">
        <f t="shared" si="9"/>
        <v>Wout Weghorst</v>
      </c>
      <c r="B243" t="s">
        <v>1498</v>
      </c>
      <c r="C243" t="s">
        <v>1499</v>
      </c>
      <c r="D243">
        <v>6</v>
      </c>
      <c r="E243">
        <v>4</v>
      </c>
      <c r="F243">
        <v>55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f t="shared" si="10"/>
        <v>0</v>
      </c>
      <c r="P243">
        <f t="shared" si="11"/>
        <v>0</v>
      </c>
    </row>
    <row r="244" spans="1:16" x14ac:dyDescent="0.25">
      <c r="A244" t="str">
        <f t="shared" si="9"/>
        <v>Anass Zaroury</v>
      </c>
      <c r="B244" t="s">
        <v>1500</v>
      </c>
      <c r="C244" t="s">
        <v>1501</v>
      </c>
      <c r="D244">
        <v>6</v>
      </c>
      <c r="E244">
        <v>3</v>
      </c>
      <c r="F244">
        <v>46</v>
      </c>
      <c r="G244">
        <v>149</v>
      </c>
      <c r="H244">
        <v>1</v>
      </c>
      <c r="I244">
        <v>0</v>
      </c>
      <c r="J244">
        <v>0</v>
      </c>
      <c r="K244">
        <v>0.16</v>
      </c>
      <c r="L244">
        <v>0.11</v>
      </c>
      <c r="M244">
        <v>4</v>
      </c>
      <c r="N244">
        <v>10</v>
      </c>
      <c r="O244">
        <f t="shared" si="10"/>
        <v>9.6644295302013433E-2</v>
      </c>
      <c r="P244">
        <f t="shared" si="11"/>
        <v>6.6442953020134227E-2</v>
      </c>
    </row>
    <row r="245" spans="1:16" x14ac:dyDescent="0.25">
      <c r="A245" t="str">
        <f t="shared" si="9"/>
        <v>David Datro Fofana</v>
      </c>
      <c r="B245" t="s">
        <v>1502</v>
      </c>
      <c r="C245" t="s">
        <v>303</v>
      </c>
      <c r="D245">
        <v>6</v>
      </c>
      <c r="E245">
        <v>4</v>
      </c>
      <c r="F245">
        <v>50</v>
      </c>
      <c r="G245">
        <v>876</v>
      </c>
      <c r="H245">
        <v>10</v>
      </c>
      <c r="I245">
        <v>4</v>
      </c>
      <c r="J245">
        <v>1</v>
      </c>
      <c r="K245">
        <v>4.58</v>
      </c>
      <c r="L245">
        <v>0.3</v>
      </c>
      <c r="M245">
        <v>50</v>
      </c>
      <c r="N245">
        <v>133</v>
      </c>
      <c r="O245">
        <f t="shared" si="10"/>
        <v>0.47054794520547943</v>
      </c>
      <c r="P245">
        <f t="shared" si="11"/>
        <v>3.082191780821918E-2</v>
      </c>
    </row>
    <row r="246" spans="1:16" x14ac:dyDescent="0.25">
      <c r="A246" t="str">
        <f t="shared" si="9"/>
        <v>Sander Berge</v>
      </c>
      <c r="B246" t="s">
        <v>526</v>
      </c>
      <c r="C246" t="s">
        <v>527</v>
      </c>
      <c r="D246">
        <v>6</v>
      </c>
      <c r="E246">
        <v>3</v>
      </c>
      <c r="F246">
        <v>46</v>
      </c>
      <c r="G246">
        <v>3002</v>
      </c>
      <c r="H246">
        <v>34</v>
      </c>
      <c r="I246">
        <v>1</v>
      </c>
      <c r="J246">
        <v>2</v>
      </c>
      <c r="K246">
        <v>2.04</v>
      </c>
      <c r="L246">
        <v>1.66</v>
      </c>
      <c r="M246">
        <v>74</v>
      </c>
      <c r="N246">
        <v>430</v>
      </c>
      <c r="O246">
        <f t="shared" si="10"/>
        <v>6.1159227181878752E-2</v>
      </c>
      <c r="P246">
        <f t="shared" si="11"/>
        <v>4.9766822118587607E-2</v>
      </c>
    </row>
    <row r="247" spans="1:16" x14ac:dyDescent="0.25">
      <c r="A247" t="str">
        <f t="shared" si="9"/>
        <v>Zeki Amdouni</v>
      </c>
      <c r="B247" t="s">
        <v>1503</v>
      </c>
      <c r="C247" t="s">
        <v>1504</v>
      </c>
      <c r="D247">
        <v>6</v>
      </c>
      <c r="E247">
        <v>4</v>
      </c>
      <c r="F247">
        <v>51</v>
      </c>
      <c r="G247">
        <v>1953</v>
      </c>
      <c r="H247">
        <v>27</v>
      </c>
      <c r="I247">
        <v>5</v>
      </c>
      <c r="J247">
        <v>1</v>
      </c>
      <c r="K247">
        <v>5.55</v>
      </c>
      <c r="L247">
        <v>1.22</v>
      </c>
      <c r="M247">
        <v>85</v>
      </c>
      <c r="N247">
        <v>243</v>
      </c>
      <c r="O247">
        <f t="shared" si="10"/>
        <v>0.25576036866359447</v>
      </c>
      <c r="P247">
        <f t="shared" si="11"/>
        <v>5.6221198156682028E-2</v>
      </c>
    </row>
    <row r="248" spans="1:16" x14ac:dyDescent="0.25">
      <c r="A248" t="str">
        <f t="shared" si="9"/>
        <v>James Trafford</v>
      </c>
      <c r="B248" t="s">
        <v>135</v>
      </c>
      <c r="C248" t="s">
        <v>689</v>
      </c>
      <c r="D248">
        <v>6</v>
      </c>
      <c r="E248">
        <v>1</v>
      </c>
      <c r="F248">
        <v>44</v>
      </c>
      <c r="G248">
        <v>2520</v>
      </c>
      <c r="H248">
        <v>28</v>
      </c>
      <c r="I248">
        <v>0</v>
      </c>
      <c r="J248">
        <v>0</v>
      </c>
      <c r="K248">
        <v>0</v>
      </c>
      <c r="L248">
        <v>0.04</v>
      </c>
      <c r="M248">
        <v>70</v>
      </c>
      <c r="N248">
        <v>533</v>
      </c>
      <c r="O248">
        <f t="shared" si="10"/>
        <v>0</v>
      </c>
      <c r="P248">
        <f t="shared" si="11"/>
        <v>1.4285714285714286E-3</v>
      </c>
    </row>
    <row r="249" spans="1:16" x14ac:dyDescent="0.25">
      <c r="A249" t="str">
        <f t="shared" si="9"/>
        <v>Nathan Redmond</v>
      </c>
      <c r="B249" t="s">
        <v>185</v>
      </c>
      <c r="C249" t="s">
        <v>1505</v>
      </c>
      <c r="D249">
        <v>6</v>
      </c>
      <c r="E249">
        <v>3</v>
      </c>
      <c r="F249">
        <v>47</v>
      </c>
      <c r="G249">
        <v>132</v>
      </c>
      <c r="H249">
        <v>0</v>
      </c>
      <c r="I249">
        <v>0</v>
      </c>
      <c r="J249">
        <v>0</v>
      </c>
      <c r="K249">
        <v>0.03</v>
      </c>
      <c r="L249">
        <v>0.37</v>
      </c>
      <c r="M249">
        <v>11</v>
      </c>
      <c r="N249">
        <v>38</v>
      </c>
      <c r="O249">
        <f t="shared" si="10"/>
        <v>2.0454545454545454E-2</v>
      </c>
      <c r="P249">
        <f t="shared" si="11"/>
        <v>0.25227272727272726</v>
      </c>
    </row>
    <row r="250" spans="1:16" x14ac:dyDescent="0.25">
      <c r="A250" t="str">
        <f t="shared" si="9"/>
        <v>Luca Koleosho</v>
      </c>
      <c r="B250" t="s">
        <v>903</v>
      </c>
      <c r="C250" t="s">
        <v>1506</v>
      </c>
      <c r="D250">
        <v>6</v>
      </c>
      <c r="E250">
        <v>3</v>
      </c>
      <c r="F250">
        <v>48</v>
      </c>
      <c r="G250">
        <v>972</v>
      </c>
      <c r="H250">
        <v>13</v>
      </c>
      <c r="I250">
        <v>1</v>
      </c>
      <c r="J250">
        <v>2</v>
      </c>
      <c r="K250">
        <v>1.96</v>
      </c>
      <c r="L250">
        <v>1.07</v>
      </c>
      <c r="M250">
        <v>40</v>
      </c>
      <c r="N250">
        <v>80</v>
      </c>
      <c r="O250">
        <f t="shared" si="10"/>
        <v>0.18148148148148147</v>
      </c>
      <c r="P250">
        <f t="shared" si="11"/>
        <v>9.9074074074074078E-2</v>
      </c>
    </row>
    <row r="251" spans="1:16" x14ac:dyDescent="0.25">
      <c r="A251" t="str">
        <f t="shared" si="9"/>
        <v>Jacob Bruun Larsen</v>
      </c>
      <c r="B251" t="s">
        <v>556</v>
      </c>
      <c r="C251" t="s">
        <v>1507</v>
      </c>
      <c r="D251">
        <v>6</v>
      </c>
      <c r="E251">
        <v>3</v>
      </c>
      <c r="F251">
        <v>48</v>
      </c>
      <c r="G251">
        <v>1235</v>
      </c>
      <c r="H251">
        <v>16</v>
      </c>
      <c r="I251">
        <v>6</v>
      </c>
      <c r="J251">
        <v>0</v>
      </c>
      <c r="K251">
        <v>4.6500000000000004</v>
      </c>
      <c r="L251">
        <v>1.44</v>
      </c>
      <c r="M251">
        <v>82</v>
      </c>
      <c r="N251">
        <v>237</v>
      </c>
      <c r="O251">
        <f t="shared" si="10"/>
        <v>0.33886639676113361</v>
      </c>
      <c r="P251">
        <f t="shared" si="11"/>
        <v>0.10493927125506072</v>
      </c>
    </row>
    <row r="252" spans="1:16" x14ac:dyDescent="0.25">
      <c r="A252" t="str">
        <f t="shared" si="9"/>
        <v>Owen Dodgson</v>
      </c>
      <c r="B252" t="s">
        <v>1508</v>
      </c>
      <c r="C252" t="s">
        <v>1509</v>
      </c>
      <c r="D252">
        <v>6</v>
      </c>
      <c r="E252">
        <v>2</v>
      </c>
      <c r="F252">
        <v>40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f t="shared" si="10"/>
        <v>0</v>
      </c>
      <c r="P252">
        <f t="shared" si="11"/>
        <v>0</v>
      </c>
    </row>
    <row r="253" spans="1:16" x14ac:dyDescent="0.25">
      <c r="A253" t="str">
        <f t="shared" si="9"/>
        <v>Wilson Odobert</v>
      </c>
      <c r="B253" t="s">
        <v>228</v>
      </c>
      <c r="C253" t="s">
        <v>967</v>
      </c>
      <c r="D253">
        <v>6</v>
      </c>
      <c r="E253">
        <v>3</v>
      </c>
      <c r="F253">
        <v>50</v>
      </c>
      <c r="G253">
        <v>2095</v>
      </c>
      <c r="H253">
        <v>25</v>
      </c>
      <c r="I253">
        <v>3</v>
      </c>
      <c r="J253">
        <v>4</v>
      </c>
      <c r="K253">
        <v>2.75</v>
      </c>
      <c r="L253">
        <v>3.32</v>
      </c>
      <c r="M253">
        <v>82</v>
      </c>
      <c r="N253">
        <v>303</v>
      </c>
      <c r="O253">
        <f t="shared" si="10"/>
        <v>0.11813842482100238</v>
      </c>
      <c r="P253">
        <f t="shared" si="11"/>
        <v>0.14262529832935561</v>
      </c>
    </row>
    <row r="254" spans="1:16" x14ac:dyDescent="0.25">
      <c r="A254" t="str">
        <f t="shared" si="9"/>
        <v>Hannes Delcroix</v>
      </c>
      <c r="B254" t="s">
        <v>1510</v>
      </c>
      <c r="C254" t="s">
        <v>1511</v>
      </c>
      <c r="D254">
        <v>6</v>
      </c>
      <c r="E254">
        <v>2</v>
      </c>
      <c r="F254">
        <v>40</v>
      </c>
      <c r="G254">
        <v>584</v>
      </c>
      <c r="H254">
        <v>5</v>
      </c>
      <c r="I254">
        <v>0</v>
      </c>
      <c r="J254">
        <v>0</v>
      </c>
      <c r="K254">
        <v>0.35</v>
      </c>
      <c r="L254">
        <v>0.12</v>
      </c>
      <c r="M254">
        <v>7</v>
      </c>
      <c r="N254">
        <v>88</v>
      </c>
      <c r="O254">
        <f t="shared" si="10"/>
        <v>5.3938356164383555E-2</v>
      </c>
      <c r="P254">
        <f t="shared" si="11"/>
        <v>1.8493150684931507E-2</v>
      </c>
    </row>
    <row r="255" spans="1:16" x14ac:dyDescent="0.25">
      <c r="A255" t="str">
        <f t="shared" si="9"/>
        <v>Aaron Ramsey</v>
      </c>
      <c r="B255" t="s">
        <v>197</v>
      </c>
      <c r="C255" t="s">
        <v>866</v>
      </c>
      <c r="D255">
        <v>6</v>
      </c>
      <c r="E255">
        <v>3</v>
      </c>
      <c r="F255">
        <v>50</v>
      </c>
      <c r="G255">
        <v>522</v>
      </c>
      <c r="H255">
        <v>5</v>
      </c>
      <c r="I255">
        <v>0</v>
      </c>
      <c r="J255">
        <v>0</v>
      </c>
      <c r="K255">
        <v>0.35</v>
      </c>
      <c r="L255">
        <v>0.48</v>
      </c>
      <c r="M255">
        <v>18</v>
      </c>
      <c r="N255">
        <v>62</v>
      </c>
      <c r="O255">
        <f t="shared" si="10"/>
        <v>6.0344827586206892E-2</v>
      </c>
      <c r="P255">
        <f t="shared" si="11"/>
        <v>8.2758620689655171E-2</v>
      </c>
    </row>
    <row r="256" spans="1:16" x14ac:dyDescent="0.25">
      <c r="A256" t="str">
        <f t="shared" si="9"/>
        <v>Han-Noah Massengo</v>
      </c>
      <c r="B256" t="s">
        <v>1512</v>
      </c>
      <c r="C256" t="s">
        <v>1513</v>
      </c>
      <c r="D256">
        <v>6</v>
      </c>
      <c r="E256">
        <v>3</v>
      </c>
      <c r="F256">
        <v>49</v>
      </c>
      <c r="G256">
        <v>14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11</v>
      </c>
      <c r="O256">
        <f t="shared" si="10"/>
        <v>0</v>
      </c>
      <c r="P256">
        <f t="shared" si="11"/>
        <v>0</v>
      </c>
    </row>
    <row r="257" spans="1:16" x14ac:dyDescent="0.25">
      <c r="A257" t="str">
        <f t="shared" si="9"/>
        <v>Mike Trésor</v>
      </c>
      <c r="B257" t="s">
        <v>348</v>
      </c>
      <c r="C257" t="s">
        <v>1514</v>
      </c>
      <c r="D257">
        <v>6</v>
      </c>
      <c r="E257">
        <v>3</v>
      </c>
      <c r="F257">
        <v>52</v>
      </c>
      <c r="G257">
        <v>410</v>
      </c>
      <c r="H257">
        <v>3</v>
      </c>
      <c r="I257">
        <v>0</v>
      </c>
      <c r="J257">
        <v>0</v>
      </c>
      <c r="K257">
        <v>0.37</v>
      </c>
      <c r="L257">
        <v>0.54</v>
      </c>
      <c r="M257">
        <v>20</v>
      </c>
      <c r="N257">
        <v>73</v>
      </c>
      <c r="O257">
        <f t="shared" si="10"/>
        <v>8.1219512195121954E-2</v>
      </c>
      <c r="P257">
        <f t="shared" si="11"/>
        <v>0.11853658536585367</v>
      </c>
    </row>
    <row r="258" spans="1:16" x14ac:dyDescent="0.25">
      <c r="A258" t="str">
        <f t="shared" ref="A258:A321" si="12">_xlfn.CONCAT(B258, " ", C258)</f>
        <v>Lorenz Assignon</v>
      </c>
      <c r="B258" t="s">
        <v>1515</v>
      </c>
      <c r="C258" t="s">
        <v>1516</v>
      </c>
      <c r="D258">
        <v>6</v>
      </c>
      <c r="E258">
        <v>2</v>
      </c>
      <c r="F258">
        <v>40</v>
      </c>
      <c r="G258">
        <v>1235</v>
      </c>
      <c r="H258">
        <v>15</v>
      </c>
      <c r="I258">
        <v>1</v>
      </c>
      <c r="J258">
        <v>2</v>
      </c>
      <c r="K258">
        <v>0.42</v>
      </c>
      <c r="L258">
        <v>1.55</v>
      </c>
      <c r="M258">
        <v>25</v>
      </c>
      <c r="N258">
        <v>140</v>
      </c>
      <c r="O258">
        <f t="shared" ref="O258:O321" si="13">IFERROR(K258/G258*90,0)</f>
        <v>3.0607287449392711E-2</v>
      </c>
      <c r="P258">
        <f t="shared" ref="P258:P321" si="14">IFERROR(L258/G258*90,0)</f>
        <v>0.11295546558704454</v>
      </c>
    </row>
    <row r="259" spans="1:16" x14ac:dyDescent="0.25">
      <c r="A259" t="str">
        <f t="shared" si="12"/>
        <v>Maxime Esteve</v>
      </c>
      <c r="B259" t="s">
        <v>1517</v>
      </c>
      <c r="C259" t="s">
        <v>1518</v>
      </c>
      <c r="D259">
        <v>6</v>
      </c>
      <c r="E259">
        <v>2</v>
      </c>
      <c r="F259">
        <v>40</v>
      </c>
      <c r="G259">
        <v>1310</v>
      </c>
      <c r="H259">
        <v>15</v>
      </c>
      <c r="I259">
        <v>0</v>
      </c>
      <c r="J259">
        <v>0</v>
      </c>
      <c r="K259">
        <v>0.27</v>
      </c>
      <c r="L259">
        <v>0.16</v>
      </c>
      <c r="M259">
        <v>15</v>
      </c>
      <c r="N259">
        <v>157</v>
      </c>
      <c r="O259">
        <f t="shared" si="13"/>
        <v>1.8549618320610688E-2</v>
      </c>
      <c r="P259">
        <f t="shared" si="14"/>
        <v>1.0992366412213741E-2</v>
      </c>
    </row>
    <row r="260" spans="1:16" x14ac:dyDescent="0.25">
      <c r="A260" t="str">
        <f t="shared" si="12"/>
        <v>Moisés Caicedo Corozo</v>
      </c>
      <c r="B260" t="s">
        <v>327</v>
      </c>
      <c r="C260" t="s">
        <v>328</v>
      </c>
      <c r="D260">
        <v>7</v>
      </c>
      <c r="E260">
        <v>3</v>
      </c>
      <c r="F260">
        <v>45</v>
      </c>
      <c r="G260">
        <v>2865</v>
      </c>
      <c r="H260">
        <v>33</v>
      </c>
      <c r="I260">
        <v>1</v>
      </c>
      <c r="J260">
        <v>3</v>
      </c>
      <c r="K260">
        <v>0.42</v>
      </c>
      <c r="L260">
        <v>2.0099999999999998</v>
      </c>
      <c r="M260">
        <v>84</v>
      </c>
      <c r="N260">
        <v>466</v>
      </c>
      <c r="O260">
        <f t="shared" si="13"/>
        <v>1.3193717277486909E-2</v>
      </c>
      <c r="P260">
        <f t="shared" si="14"/>
        <v>6.3141361256544501E-2</v>
      </c>
    </row>
    <row r="261" spans="1:16" x14ac:dyDescent="0.25">
      <c r="A261" t="str">
        <f t="shared" si="12"/>
        <v>Robert Sánchez</v>
      </c>
      <c r="B261" t="s">
        <v>293</v>
      </c>
      <c r="C261" t="s">
        <v>180</v>
      </c>
      <c r="D261">
        <v>7</v>
      </c>
      <c r="E261">
        <v>1</v>
      </c>
      <c r="F261">
        <v>45</v>
      </c>
      <c r="G261">
        <v>1433</v>
      </c>
      <c r="H261">
        <v>16</v>
      </c>
      <c r="I261">
        <v>0</v>
      </c>
      <c r="J261">
        <v>0</v>
      </c>
      <c r="K261">
        <v>0</v>
      </c>
      <c r="L261">
        <v>0</v>
      </c>
      <c r="M261">
        <v>59</v>
      </c>
      <c r="N261">
        <v>317</v>
      </c>
      <c r="O261">
        <f t="shared" si="13"/>
        <v>0</v>
      </c>
      <c r="P261">
        <f t="shared" si="14"/>
        <v>0</v>
      </c>
    </row>
    <row r="262" spans="1:16" x14ac:dyDescent="0.25">
      <c r="A262" t="str">
        <f t="shared" si="12"/>
        <v>Ethan Ampadu</v>
      </c>
      <c r="B262" t="s">
        <v>59</v>
      </c>
      <c r="C262" t="s">
        <v>672</v>
      </c>
      <c r="D262">
        <v>7</v>
      </c>
      <c r="E262">
        <v>2</v>
      </c>
      <c r="F262">
        <v>40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f t="shared" si="13"/>
        <v>0</v>
      </c>
      <c r="P262">
        <f t="shared" si="14"/>
        <v>0</v>
      </c>
    </row>
    <row r="263" spans="1:16" x14ac:dyDescent="0.25">
      <c r="A263" t="str">
        <f t="shared" si="12"/>
        <v>Andrey Nascimento dos Santos</v>
      </c>
      <c r="B263" t="s">
        <v>797</v>
      </c>
      <c r="C263" t="s">
        <v>798</v>
      </c>
      <c r="D263">
        <v>7</v>
      </c>
      <c r="E263">
        <v>3</v>
      </c>
      <c r="F263">
        <v>42</v>
      </c>
      <c r="G263">
        <v>7</v>
      </c>
      <c r="H263">
        <v>0</v>
      </c>
      <c r="I263">
        <v>0</v>
      </c>
      <c r="J263">
        <v>0</v>
      </c>
      <c r="K263">
        <v>0.06</v>
      </c>
      <c r="L263">
        <v>0</v>
      </c>
      <c r="M263">
        <v>1</v>
      </c>
      <c r="N263">
        <v>1</v>
      </c>
      <c r="O263">
        <f t="shared" si="13"/>
        <v>0.77142857142857146</v>
      </c>
      <c r="P263">
        <f t="shared" si="14"/>
        <v>0</v>
      </c>
    </row>
    <row r="264" spans="1:16" x14ac:dyDescent="0.25">
      <c r="A264" t="str">
        <f t="shared" si="12"/>
        <v>Kepa Arrizabalaga</v>
      </c>
      <c r="B264" t="s">
        <v>22</v>
      </c>
      <c r="C264" t="s">
        <v>1520</v>
      </c>
      <c r="D264">
        <v>7</v>
      </c>
      <c r="E264">
        <v>1</v>
      </c>
      <c r="F264">
        <v>50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f t="shared" si="13"/>
        <v>0</v>
      </c>
      <c r="P264">
        <f t="shared" si="14"/>
        <v>0</v>
      </c>
    </row>
    <row r="265" spans="1:16" x14ac:dyDescent="0.25">
      <c r="A265" t="str">
        <f t="shared" si="12"/>
        <v>Pierre-Emerick Aubameyang</v>
      </c>
      <c r="B265" t="s">
        <v>1521</v>
      </c>
      <c r="C265" t="s">
        <v>1522</v>
      </c>
      <c r="D265">
        <v>7</v>
      </c>
      <c r="E265">
        <v>4</v>
      </c>
      <c r="F265">
        <v>65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f t="shared" si="13"/>
        <v>0</v>
      </c>
      <c r="P265">
        <f t="shared" si="14"/>
        <v>0</v>
      </c>
    </row>
    <row r="266" spans="1:16" x14ac:dyDescent="0.25">
      <c r="A266" t="str">
        <f t="shared" si="12"/>
        <v>César Azpilicueta</v>
      </c>
      <c r="B266" t="s">
        <v>536</v>
      </c>
      <c r="C266" t="s">
        <v>1523</v>
      </c>
      <c r="D266">
        <v>7</v>
      </c>
      <c r="E266">
        <v>2</v>
      </c>
      <c r="F266">
        <v>45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 t="shared" si="13"/>
        <v>0</v>
      </c>
      <c r="P266">
        <f t="shared" si="14"/>
        <v>0</v>
      </c>
    </row>
    <row r="267" spans="1:16" x14ac:dyDescent="0.25">
      <c r="A267" t="str">
        <f t="shared" si="12"/>
        <v>Abdul Rahman Baba</v>
      </c>
      <c r="B267" t="s">
        <v>1524</v>
      </c>
      <c r="C267" t="s">
        <v>1525</v>
      </c>
      <c r="D267">
        <v>7</v>
      </c>
      <c r="E267">
        <v>2</v>
      </c>
      <c r="F267">
        <v>40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f t="shared" si="13"/>
        <v>0</v>
      </c>
      <c r="P267">
        <f t="shared" si="14"/>
        <v>0</v>
      </c>
    </row>
    <row r="268" spans="1:16" x14ac:dyDescent="0.25">
      <c r="A268" t="str">
        <f t="shared" si="12"/>
        <v>Benoît Badiashile</v>
      </c>
      <c r="B268" t="s">
        <v>304</v>
      </c>
      <c r="C268" t="s">
        <v>1526</v>
      </c>
      <c r="D268">
        <v>7</v>
      </c>
      <c r="E268">
        <v>2</v>
      </c>
      <c r="F268">
        <v>44</v>
      </c>
      <c r="G268">
        <v>1337</v>
      </c>
      <c r="H268">
        <v>15</v>
      </c>
      <c r="I268">
        <v>0</v>
      </c>
      <c r="J268">
        <v>1</v>
      </c>
      <c r="K268">
        <v>0.27</v>
      </c>
      <c r="L268">
        <v>0.92</v>
      </c>
      <c r="M268">
        <v>35</v>
      </c>
      <c r="N268">
        <v>267</v>
      </c>
      <c r="O268">
        <f t="shared" si="13"/>
        <v>1.8175018698578908E-2</v>
      </c>
      <c r="P268">
        <f t="shared" si="14"/>
        <v>6.1929693343305912E-2</v>
      </c>
    </row>
    <row r="269" spans="1:16" x14ac:dyDescent="0.25">
      <c r="A269" t="str">
        <f t="shared" si="12"/>
        <v>Marcus Bettinelli</v>
      </c>
      <c r="B269" t="s">
        <v>151</v>
      </c>
      <c r="C269" t="s">
        <v>751</v>
      </c>
      <c r="D269">
        <v>7</v>
      </c>
      <c r="E269">
        <v>1</v>
      </c>
      <c r="F269">
        <v>40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-1</v>
      </c>
      <c r="N269">
        <v>-3</v>
      </c>
      <c r="O269">
        <f t="shared" si="13"/>
        <v>0</v>
      </c>
      <c r="P269">
        <f t="shared" si="14"/>
        <v>0</v>
      </c>
    </row>
    <row r="270" spans="1:16" x14ac:dyDescent="0.25">
      <c r="A270" t="str">
        <f t="shared" si="12"/>
        <v>Trevoh Chalobah</v>
      </c>
      <c r="B270" t="s">
        <v>298</v>
      </c>
      <c r="C270" t="s">
        <v>299</v>
      </c>
      <c r="D270">
        <v>7</v>
      </c>
      <c r="E270">
        <v>2</v>
      </c>
      <c r="F270">
        <v>43</v>
      </c>
      <c r="G270">
        <v>949</v>
      </c>
      <c r="H270">
        <v>10</v>
      </c>
      <c r="I270">
        <v>1</v>
      </c>
      <c r="J270">
        <v>0</v>
      </c>
      <c r="K270">
        <v>0.2</v>
      </c>
      <c r="L270">
        <v>0.16</v>
      </c>
      <c r="M270">
        <v>39</v>
      </c>
      <c r="N270">
        <v>221</v>
      </c>
      <c r="O270">
        <f t="shared" si="13"/>
        <v>1.8967334035827187E-2</v>
      </c>
      <c r="P270">
        <f t="shared" si="14"/>
        <v>1.517386722866175E-2</v>
      </c>
    </row>
    <row r="271" spans="1:16" x14ac:dyDescent="0.25">
      <c r="A271" t="str">
        <f t="shared" si="12"/>
        <v>Ben Chilwell</v>
      </c>
      <c r="B271" t="s">
        <v>159</v>
      </c>
      <c r="C271" t="s">
        <v>1527</v>
      </c>
      <c r="D271">
        <v>7</v>
      </c>
      <c r="E271">
        <v>2</v>
      </c>
      <c r="F271">
        <v>54</v>
      </c>
      <c r="G271">
        <v>752</v>
      </c>
      <c r="H271">
        <v>9</v>
      </c>
      <c r="I271">
        <v>0</v>
      </c>
      <c r="J271">
        <v>2</v>
      </c>
      <c r="K271">
        <v>1.1100000000000001</v>
      </c>
      <c r="L271">
        <v>1.62</v>
      </c>
      <c r="M271">
        <v>24</v>
      </c>
      <c r="N271">
        <v>123</v>
      </c>
      <c r="O271">
        <f t="shared" si="13"/>
        <v>0.13284574468085109</v>
      </c>
      <c r="P271">
        <f t="shared" si="14"/>
        <v>0.19388297872340426</v>
      </c>
    </row>
    <row r="272" spans="1:16" x14ac:dyDescent="0.25">
      <c r="A272" t="str">
        <f t="shared" si="12"/>
        <v>Carney Chukwuemeka</v>
      </c>
      <c r="B272" t="s">
        <v>1528</v>
      </c>
      <c r="C272" t="s">
        <v>1529</v>
      </c>
      <c r="D272">
        <v>7</v>
      </c>
      <c r="E272">
        <v>3</v>
      </c>
      <c r="F272">
        <v>42</v>
      </c>
      <c r="G272">
        <v>222</v>
      </c>
      <c r="H272">
        <v>2</v>
      </c>
      <c r="I272">
        <v>1</v>
      </c>
      <c r="J272">
        <v>1</v>
      </c>
      <c r="K272">
        <v>0.12</v>
      </c>
      <c r="L272">
        <v>0.28999999999999998</v>
      </c>
      <c r="M272">
        <v>16</v>
      </c>
      <c r="N272">
        <v>53</v>
      </c>
      <c r="O272">
        <f t="shared" si="13"/>
        <v>4.8648648648648651E-2</v>
      </c>
      <c r="P272">
        <f t="shared" si="14"/>
        <v>0.11756756756756756</v>
      </c>
    </row>
    <row r="273" spans="1:16" x14ac:dyDescent="0.25">
      <c r="A273" t="str">
        <f t="shared" si="12"/>
        <v>Levi Colwill</v>
      </c>
      <c r="B273" t="s">
        <v>310</v>
      </c>
      <c r="C273" t="s">
        <v>1530</v>
      </c>
      <c r="D273">
        <v>7</v>
      </c>
      <c r="E273">
        <v>2</v>
      </c>
      <c r="F273">
        <v>46</v>
      </c>
      <c r="G273">
        <v>1794</v>
      </c>
      <c r="H273">
        <v>20</v>
      </c>
      <c r="I273">
        <v>1</v>
      </c>
      <c r="J273">
        <v>1</v>
      </c>
      <c r="K273">
        <v>1.29</v>
      </c>
      <c r="L273">
        <v>0.53</v>
      </c>
      <c r="M273">
        <v>65</v>
      </c>
      <c r="N273">
        <v>355</v>
      </c>
      <c r="O273">
        <f t="shared" si="13"/>
        <v>6.471571906354516E-2</v>
      </c>
      <c r="P273">
        <f t="shared" si="14"/>
        <v>2.6588628762541807E-2</v>
      </c>
    </row>
    <row r="274" spans="1:16" x14ac:dyDescent="0.25">
      <c r="A274" t="str">
        <f t="shared" si="12"/>
        <v>Marc Cucurella Saseta</v>
      </c>
      <c r="B274" t="s">
        <v>340</v>
      </c>
      <c r="C274" t="s">
        <v>1531</v>
      </c>
      <c r="D274">
        <v>7</v>
      </c>
      <c r="E274">
        <v>2</v>
      </c>
      <c r="F274">
        <v>49</v>
      </c>
      <c r="G274">
        <v>1783</v>
      </c>
      <c r="H274">
        <v>20</v>
      </c>
      <c r="I274">
        <v>0</v>
      </c>
      <c r="J274">
        <v>3</v>
      </c>
      <c r="K274">
        <v>1.1599999999999999</v>
      </c>
      <c r="L274">
        <v>1.01</v>
      </c>
      <c r="M274">
        <v>44</v>
      </c>
      <c r="N274">
        <v>318</v>
      </c>
      <c r="O274">
        <f t="shared" si="13"/>
        <v>5.855300056085249E-2</v>
      </c>
      <c r="P274">
        <f t="shared" si="14"/>
        <v>5.0981491867638819E-2</v>
      </c>
    </row>
    <row r="275" spans="1:16" x14ac:dyDescent="0.25">
      <c r="A275" t="str">
        <f t="shared" si="12"/>
        <v>Enzo Fernández</v>
      </c>
      <c r="B275" t="s">
        <v>319</v>
      </c>
      <c r="C275" t="s">
        <v>320</v>
      </c>
      <c r="D275">
        <v>7</v>
      </c>
      <c r="E275">
        <v>3</v>
      </c>
      <c r="F275">
        <v>48</v>
      </c>
      <c r="G275">
        <v>2208</v>
      </c>
      <c r="H275">
        <v>26</v>
      </c>
      <c r="I275">
        <v>3</v>
      </c>
      <c r="J275">
        <v>3</v>
      </c>
      <c r="K275">
        <v>5.72</v>
      </c>
      <c r="L275">
        <v>3.78</v>
      </c>
      <c r="M275">
        <v>77</v>
      </c>
      <c r="N275">
        <v>369</v>
      </c>
      <c r="O275">
        <f t="shared" si="13"/>
        <v>0.23315217391304344</v>
      </c>
      <c r="P275">
        <f t="shared" si="14"/>
        <v>0.15407608695652172</v>
      </c>
    </row>
    <row r="276" spans="1:16" x14ac:dyDescent="0.25">
      <c r="A276" t="str">
        <f t="shared" si="12"/>
        <v>Wesley Fofana</v>
      </c>
      <c r="B276" t="s">
        <v>302</v>
      </c>
      <c r="C276" t="s">
        <v>303</v>
      </c>
      <c r="D276">
        <v>7</v>
      </c>
      <c r="E276">
        <v>2</v>
      </c>
      <c r="F276">
        <v>44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f t="shared" si="13"/>
        <v>0</v>
      </c>
      <c r="P276">
        <f t="shared" si="14"/>
        <v>0</v>
      </c>
    </row>
    <row r="277" spans="1:16" x14ac:dyDescent="0.25">
      <c r="A277" t="str">
        <f t="shared" si="12"/>
        <v>Conor Gallagher</v>
      </c>
      <c r="B277" t="s">
        <v>708</v>
      </c>
      <c r="C277" t="s">
        <v>969</v>
      </c>
      <c r="D277">
        <v>7</v>
      </c>
      <c r="E277">
        <v>3</v>
      </c>
      <c r="F277">
        <v>54</v>
      </c>
      <c r="G277">
        <v>3129</v>
      </c>
      <c r="H277">
        <v>37</v>
      </c>
      <c r="I277">
        <v>5</v>
      </c>
      <c r="J277">
        <v>8</v>
      </c>
      <c r="K277">
        <v>4.01</v>
      </c>
      <c r="L277">
        <v>3.53</v>
      </c>
      <c r="M277">
        <v>129</v>
      </c>
      <c r="N277">
        <v>618</v>
      </c>
      <c r="O277">
        <f t="shared" si="13"/>
        <v>0.11534036433365291</v>
      </c>
      <c r="P277">
        <f t="shared" si="14"/>
        <v>0.1015340364333653</v>
      </c>
    </row>
    <row r="278" spans="1:16" x14ac:dyDescent="0.25">
      <c r="A278" t="str">
        <f t="shared" si="12"/>
        <v>Malo Gusto</v>
      </c>
      <c r="B278" t="s">
        <v>300</v>
      </c>
      <c r="C278" t="s">
        <v>301</v>
      </c>
      <c r="D278">
        <v>7</v>
      </c>
      <c r="E278">
        <v>2</v>
      </c>
      <c r="F278">
        <v>43</v>
      </c>
      <c r="G278">
        <v>1746</v>
      </c>
      <c r="H278">
        <v>19</v>
      </c>
      <c r="I278">
        <v>0</v>
      </c>
      <c r="J278">
        <v>6</v>
      </c>
      <c r="K278">
        <v>1.01</v>
      </c>
      <c r="L278">
        <v>3.39</v>
      </c>
      <c r="M278">
        <v>74</v>
      </c>
      <c r="N278">
        <v>409</v>
      </c>
      <c r="O278">
        <f t="shared" si="13"/>
        <v>5.2061855670103088E-2</v>
      </c>
      <c r="P278">
        <f t="shared" si="14"/>
        <v>0.17474226804123713</v>
      </c>
    </row>
    <row r="279" spans="1:16" x14ac:dyDescent="0.25">
      <c r="A279" t="str">
        <f t="shared" si="12"/>
        <v>Reece James</v>
      </c>
      <c r="B279" t="s">
        <v>297</v>
      </c>
      <c r="C279" t="s">
        <v>135</v>
      </c>
      <c r="D279">
        <v>7</v>
      </c>
      <c r="E279">
        <v>2</v>
      </c>
      <c r="F279">
        <v>53</v>
      </c>
      <c r="G279">
        <v>416</v>
      </c>
      <c r="H279">
        <v>5</v>
      </c>
      <c r="I279">
        <v>0</v>
      </c>
      <c r="J279">
        <v>2</v>
      </c>
      <c r="K279">
        <v>0.3</v>
      </c>
      <c r="L279">
        <v>1.36</v>
      </c>
      <c r="M279">
        <v>11</v>
      </c>
      <c r="N279">
        <v>106</v>
      </c>
      <c r="O279">
        <f t="shared" si="13"/>
        <v>6.4903846153846145E-2</v>
      </c>
      <c r="P279">
        <f t="shared" si="14"/>
        <v>0.29423076923076924</v>
      </c>
    </row>
    <row r="280" spans="1:16" x14ac:dyDescent="0.25">
      <c r="A280" t="str">
        <f t="shared" si="12"/>
        <v>Romelu Lukaku Bolingoli</v>
      </c>
      <c r="B280" t="s">
        <v>1532</v>
      </c>
      <c r="C280" t="s">
        <v>1533</v>
      </c>
      <c r="D280">
        <v>7</v>
      </c>
      <c r="E280">
        <v>4</v>
      </c>
      <c r="F280">
        <v>68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f t="shared" si="13"/>
        <v>0</v>
      </c>
      <c r="P280">
        <f t="shared" si="14"/>
        <v>0</v>
      </c>
    </row>
    <row r="281" spans="1:16" x14ac:dyDescent="0.25">
      <c r="A281" t="str">
        <f t="shared" si="12"/>
        <v>Noni Madueke</v>
      </c>
      <c r="B281" t="s">
        <v>50</v>
      </c>
      <c r="C281" t="s">
        <v>51</v>
      </c>
      <c r="D281">
        <v>7</v>
      </c>
      <c r="E281">
        <v>3</v>
      </c>
      <c r="F281">
        <v>53</v>
      </c>
      <c r="G281">
        <v>1044</v>
      </c>
      <c r="H281">
        <v>13</v>
      </c>
      <c r="I281">
        <v>5</v>
      </c>
      <c r="J281">
        <v>3</v>
      </c>
      <c r="K281">
        <v>2.5099999999999998</v>
      </c>
      <c r="L281">
        <v>2.13</v>
      </c>
      <c r="M281">
        <v>76</v>
      </c>
      <c r="N281">
        <v>253</v>
      </c>
      <c r="O281">
        <f t="shared" si="13"/>
        <v>0.21637931034482757</v>
      </c>
      <c r="P281">
        <f t="shared" si="14"/>
        <v>0.18362068965517239</v>
      </c>
    </row>
    <row r="282" spans="1:16" x14ac:dyDescent="0.25">
      <c r="A282" t="str">
        <f t="shared" si="12"/>
        <v>Mykhailo Mudryk</v>
      </c>
      <c r="B282" t="s">
        <v>353</v>
      </c>
      <c r="C282" t="s">
        <v>354</v>
      </c>
      <c r="D282">
        <v>7</v>
      </c>
      <c r="E282">
        <v>3</v>
      </c>
      <c r="F282">
        <v>63</v>
      </c>
      <c r="G282">
        <v>1564</v>
      </c>
      <c r="H282">
        <v>18</v>
      </c>
      <c r="I282">
        <v>5</v>
      </c>
      <c r="J282">
        <v>5</v>
      </c>
      <c r="K282">
        <v>4.7699999999999996</v>
      </c>
      <c r="L282">
        <v>3.15</v>
      </c>
      <c r="M282">
        <v>94</v>
      </c>
      <c r="N282">
        <v>291</v>
      </c>
      <c r="O282">
        <f t="shared" si="13"/>
        <v>0.2744884910485933</v>
      </c>
      <c r="P282">
        <f t="shared" si="14"/>
        <v>0.18126598465473145</v>
      </c>
    </row>
    <row r="283" spans="1:16" x14ac:dyDescent="0.25">
      <c r="A283" t="str">
        <f t="shared" si="12"/>
        <v>Nicolas Jackson</v>
      </c>
      <c r="B283" t="s">
        <v>336</v>
      </c>
      <c r="C283" t="s">
        <v>337</v>
      </c>
      <c r="D283">
        <v>7</v>
      </c>
      <c r="E283">
        <v>4</v>
      </c>
      <c r="F283">
        <v>70</v>
      </c>
      <c r="G283">
        <v>2801</v>
      </c>
      <c r="H283">
        <v>31</v>
      </c>
      <c r="I283">
        <v>14</v>
      </c>
      <c r="J283">
        <v>6</v>
      </c>
      <c r="K283">
        <v>18.14</v>
      </c>
      <c r="L283">
        <v>3</v>
      </c>
      <c r="M283">
        <v>142</v>
      </c>
      <c r="N283">
        <v>479</v>
      </c>
      <c r="O283">
        <f t="shared" si="13"/>
        <v>0.58286326312031422</v>
      </c>
      <c r="P283">
        <f t="shared" si="14"/>
        <v>9.6394144948232785E-2</v>
      </c>
    </row>
    <row r="284" spans="1:16" x14ac:dyDescent="0.25">
      <c r="A284" t="str">
        <f t="shared" si="12"/>
        <v>Christopher Nkunku</v>
      </c>
      <c r="B284" t="s">
        <v>1534</v>
      </c>
      <c r="C284" t="s">
        <v>1535</v>
      </c>
      <c r="D284">
        <v>7</v>
      </c>
      <c r="E284">
        <v>4</v>
      </c>
      <c r="F284">
        <v>72</v>
      </c>
      <c r="G284">
        <v>437</v>
      </c>
      <c r="H284">
        <v>2</v>
      </c>
      <c r="I284">
        <v>3</v>
      </c>
      <c r="J284">
        <v>0</v>
      </c>
      <c r="K284">
        <v>2.4700000000000002</v>
      </c>
      <c r="L284">
        <v>0.37</v>
      </c>
      <c r="M284">
        <v>29</v>
      </c>
      <c r="N284">
        <v>96</v>
      </c>
      <c r="O284">
        <f t="shared" si="13"/>
        <v>0.5086956521739131</v>
      </c>
      <c r="P284">
        <f t="shared" si="14"/>
        <v>7.6201372997711667E-2</v>
      </c>
    </row>
    <row r="285" spans="1:16" x14ac:dyDescent="0.25">
      <c r="A285" t="str">
        <f t="shared" si="12"/>
        <v>Christian Pulisic</v>
      </c>
      <c r="B285" t="s">
        <v>468</v>
      </c>
      <c r="C285" t="s">
        <v>1536</v>
      </c>
      <c r="D285">
        <v>7</v>
      </c>
      <c r="E285">
        <v>3</v>
      </c>
      <c r="F285">
        <v>55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f t="shared" si="13"/>
        <v>0</v>
      </c>
      <c r="P285">
        <f t="shared" si="14"/>
        <v>0</v>
      </c>
    </row>
    <row r="286" spans="1:16" x14ac:dyDescent="0.25">
      <c r="A286" t="str">
        <f t="shared" si="12"/>
        <v>Malang Sarr</v>
      </c>
      <c r="B286" t="s">
        <v>1537</v>
      </c>
      <c r="C286" t="s">
        <v>312</v>
      </c>
      <c r="D286">
        <v>7</v>
      </c>
      <c r="E286">
        <v>2</v>
      </c>
      <c r="F286">
        <v>43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f t="shared" si="13"/>
        <v>0</v>
      </c>
      <c r="P286">
        <f t="shared" si="14"/>
        <v>0</v>
      </c>
    </row>
    <row r="287" spans="1:16" x14ac:dyDescent="0.25">
      <c r="A287" t="str">
        <f t="shared" si="12"/>
        <v>Gabriel Słonina</v>
      </c>
      <c r="B287" t="s">
        <v>26</v>
      </c>
      <c r="C287" t="s">
        <v>1538</v>
      </c>
      <c r="D287">
        <v>7</v>
      </c>
      <c r="E287">
        <v>1</v>
      </c>
      <c r="F287">
        <v>40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 t="shared" si="13"/>
        <v>0</v>
      </c>
      <c r="P287">
        <f t="shared" si="14"/>
        <v>0</v>
      </c>
    </row>
    <row r="288" spans="1:16" x14ac:dyDescent="0.25">
      <c r="A288" t="str">
        <f t="shared" si="12"/>
        <v>Raheem Sterling</v>
      </c>
      <c r="B288" t="s">
        <v>1539</v>
      </c>
      <c r="C288" t="s">
        <v>1540</v>
      </c>
      <c r="D288">
        <v>7</v>
      </c>
      <c r="E288">
        <v>3</v>
      </c>
      <c r="F288">
        <v>68</v>
      </c>
      <c r="G288">
        <v>1972</v>
      </c>
      <c r="H288">
        <v>22</v>
      </c>
      <c r="I288">
        <v>8</v>
      </c>
      <c r="J288">
        <v>8</v>
      </c>
      <c r="K288">
        <v>6.39</v>
      </c>
      <c r="L288">
        <v>4.33</v>
      </c>
      <c r="M288">
        <v>123</v>
      </c>
      <c r="N288">
        <v>323</v>
      </c>
      <c r="O288">
        <f t="shared" si="13"/>
        <v>0.29163286004056793</v>
      </c>
      <c r="P288">
        <f t="shared" si="14"/>
        <v>0.19761663286004058</v>
      </c>
    </row>
    <row r="289" spans="1:16" x14ac:dyDescent="0.25">
      <c r="A289" t="str">
        <f t="shared" si="12"/>
        <v>Thiago Emiliano da Silva</v>
      </c>
      <c r="B289" t="s">
        <v>1541</v>
      </c>
      <c r="C289" t="s">
        <v>1542</v>
      </c>
      <c r="D289">
        <v>7</v>
      </c>
      <c r="E289">
        <v>2</v>
      </c>
      <c r="F289">
        <v>50</v>
      </c>
      <c r="G289">
        <v>2525</v>
      </c>
      <c r="H289">
        <v>28</v>
      </c>
      <c r="I289">
        <v>3</v>
      </c>
      <c r="J289">
        <v>1</v>
      </c>
      <c r="K289">
        <v>0.73</v>
      </c>
      <c r="L289">
        <v>0.57999999999999996</v>
      </c>
      <c r="M289">
        <v>98</v>
      </c>
      <c r="N289">
        <v>604</v>
      </c>
      <c r="O289">
        <f t="shared" si="13"/>
        <v>2.6019801980198022E-2</v>
      </c>
      <c r="P289">
        <f t="shared" si="14"/>
        <v>2.0673267326732671E-2</v>
      </c>
    </row>
    <row r="290" spans="1:16" x14ac:dyDescent="0.25">
      <c r="A290" t="str">
        <f t="shared" si="12"/>
        <v>Hakim Ziyech</v>
      </c>
      <c r="B290" t="s">
        <v>1543</v>
      </c>
      <c r="C290" t="s">
        <v>1544</v>
      </c>
      <c r="D290">
        <v>7</v>
      </c>
      <c r="E290">
        <v>3</v>
      </c>
      <c r="F290">
        <v>54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f t="shared" si="13"/>
        <v>0</v>
      </c>
      <c r="P290">
        <f t="shared" si="14"/>
        <v>0</v>
      </c>
    </row>
    <row r="291" spans="1:16" x14ac:dyDescent="0.25">
      <c r="A291" t="str">
        <f t="shared" si="12"/>
        <v>Cole Palmer</v>
      </c>
      <c r="B291" t="s">
        <v>317</v>
      </c>
      <c r="C291" t="s">
        <v>318</v>
      </c>
      <c r="D291">
        <v>7</v>
      </c>
      <c r="E291">
        <v>3</v>
      </c>
      <c r="F291">
        <v>63</v>
      </c>
      <c r="G291">
        <v>2617</v>
      </c>
      <c r="H291">
        <v>29</v>
      </c>
      <c r="I291">
        <v>22</v>
      </c>
      <c r="J291">
        <v>13</v>
      </c>
      <c r="K291">
        <v>17.350000000000001</v>
      </c>
      <c r="L291">
        <v>8.17</v>
      </c>
      <c r="M291">
        <v>244</v>
      </c>
      <c r="N291">
        <v>844</v>
      </c>
      <c r="O291">
        <f t="shared" si="13"/>
        <v>0.59667558272831489</v>
      </c>
      <c r="P291">
        <f t="shared" si="14"/>
        <v>0.28097057699656097</v>
      </c>
    </row>
    <row r="292" spans="1:16" x14ac:dyDescent="0.25">
      <c r="A292" t="str">
        <f t="shared" si="12"/>
        <v>Ângelo Gabriel Borges Damaceno</v>
      </c>
      <c r="B292" t="s">
        <v>1545</v>
      </c>
      <c r="C292" t="s">
        <v>1546</v>
      </c>
      <c r="D292">
        <v>7</v>
      </c>
      <c r="E292">
        <v>3</v>
      </c>
      <c r="F292">
        <v>50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 t="shared" si="13"/>
        <v>0</v>
      </c>
      <c r="P292">
        <f t="shared" si="14"/>
        <v>0</v>
      </c>
    </row>
    <row r="293" spans="1:16" x14ac:dyDescent="0.25">
      <c r="A293" t="str">
        <f t="shared" si="12"/>
        <v>Ian Maatsen</v>
      </c>
      <c r="B293" t="s">
        <v>90</v>
      </c>
      <c r="C293" t="s">
        <v>91</v>
      </c>
      <c r="D293">
        <v>7</v>
      </c>
      <c r="E293">
        <v>3</v>
      </c>
      <c r="F293">
        <v>51</v>
      </c>
      <c r="G293">
        <v>200</v>
      </c>
      <c r="H293">
        <v>1</v>
      </c>
      <c r="I293">
        <v>0</v>
      </c>
      <c r="J293">
        <v>0</v>
      </c>
      <c r="K293">
        <v>0.74</v>
      </c>
      <c r="L293">
        <v>0.2</v>
      </c>
      <c r="M293">
        <v>11</v>
      </c>
      <c r="N293">
        <v>24</v>
      </c>
      <c r="O293">
        <f t="shared" si="13"/>
        <v>0.33300000000000002</v>
      </c>
      <c r="P293">
        <f t="shared" si="14"/>
        <v>0.09</v>
      </c>
    </row>
    <row r="294" spans="1:16" x14ac:dyDescent="0.25">
      <c r="A294" t="str">
        <f t="shared" si="12"/>
        <v>Axel Disasi</v>
      </c>
      <c r="B294" t="s">
        <v>315</v>
      </c>
      <c r="C294" t="s">
        <v>316</v>
      </c>
      <c r="D294">
        <v>7</v>
      </c>
      <c r="E294">
        <v>2</v>
      </c>
      <c r="F294">
        <v>49</v>
      </c>
      <c r="G294">
        <v>2579</v>
      </c>
      <c r="H294">
        <v>29</v>
      </c>
      <c r="I294">
        <v>2</v>
      </c>
      <c r="J294">
        <v>0</v>
      </c>
      <c r="K294">
        <v>2.35</v>
      </c>
      <c r="L294">
        <v>1.46</v>
      </c>
      <c r="M294">
        <v>71</v>
      </c>
      <c r="N294">
        <v>468</v>
      </c>
      <c r="O294">
        <f t="shared" si="13"/>
        <v>8.2008530438154328E-2</v>
      </c>
      <c r="P294">
        <f t="shared" si="14"/>
        <v>5.0949980612640555E-2</v>
      </c>
    </row>
    <row r="295" spans="1:16" x14ac:dyDescent="0.25">
      <c r="A295" t="str">
        <f t="shared" si="12"/>
        <v>Lesley Ugochukwu</v>
      </c>
      <c r="B295" t="s">
        <v>1547</v>
      </c>
      <c r="C295" t="s">
        <v>1548</v>
      </c>
      <c r="D295">
        <v>7</v>
      </c>
      <c r="E295">
        <v>3</v>
      </c>
      <c r="F295">
        <v>44</v>
      </c>
      <c r="G295">
        <v>296</v>
      </c>
      <c r="H295">
        <v>3</v>
      </c>
      <c r="I295">
        <v>0</v>
      </c>
      <c r="J295">
        <v>0</v>
      </c>
      <c r="K295">
        <v>0</v>
      </c>
      <c r="L295">
        <v>0.14000000000000001</v>
      </c>
      <c r="M295">
        <v>13</v>
      </c>
      <c r="N295">
        <v>62</v>
      </c>
      <c r="O295">
        <f t="shared" si="13"/>
        <v>0</v>
      </c>
      <c r="P295">
        <f t="shared" si="14"/>
        <v>4.256756756756757E-2</v>
      </c>
    </row>
    <row r="296" spans="1:16" x14ac:dyDescent="0.25">
      <c r="A296" t="str">
        <f t="shared" si="12"/>
        <v>Mason Burstow</v>
      </c>
      <c r="B296" t="s">
        <v>583</v>
      </c>
      <c r="C296" t="s">
        <v>584</v>
      </c>
      <c r="D296">
        <v>7</v>
      </c>
      <c r="E296">
        <v>4</v>
      </c>
      <c r="F296">
        <v>45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6</v>
      </c>
      <c r="O296">
        <f t="shared" si="13"/>
        <v>0</v>
      </c>
      <c r="P296">
        <f t="shared" si="14"/>
        <v>0</v>
      </c>
    </row>
    <row r="297" spans="1:16" x14ac:dyDescent="0.25">
      <c r="A297" t="str">
        <f t="shared" si="12"/>
        <v>Lucas Bergström</v>
      </c>
      <c r="B297" t="s">
        <v>78</v>
      </c>
      <c r="C297" t="s">
        <v>1549</v>
      </c>
      <c r="D297">
        <v>7</v>
      </c>
      <c r="E297">
        <v>1</v>
      </c>
      <c r="F297">
        <v>39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f t="shared" si="13"/>
        <v>0</v>
      </c>
      <c r="P297">
        <f t="shared" si="14"/>
        <v>0</v>
      </c>
    </row>
    <row r="298" spans="1:16" x14ac:dyDescent="0.25">
      <c r="A298" t="str">
        <f t="shared" si="12"/>
        <v>Roméo Lavia</v>
      </c>
      <c r="B298" t="s">
        <v>329</v>
      </c>
      <c r="C298" t="s">
        <v>330</v>
      </c>
      <c r="D298">
        <v>7</v>
      </c>
      <c r="E298">
        <v>3</v>
      </c>
      <c r="F298">
        <v>49</v>
      </c>
      <c r="G298">
        <v>32</v>
      </c>
      <c r="H298">
        <v>0</v>
      </c>
      <c r="I298">
        <v>0</v>
      </c>
      <c r="J298">
        <v>0</v>
      </c>
      <c r="K298">
        <v>0</v>
      </c>
      <c r="L298">
        <v>0.01</v>
      </c>
      <c r="M298">
        <v>1</v>
      </c>
      <c r="N298">
        <v>2</v>
      </c>
      <c r="O298">
        <f t="shared" si="13"/>
        <v>0</v>
      </c>
      <c r="P298">
        <f t="shared" si="14"/>
        <v>2.8125000000000001E-2</v>
      </c>
    </row>
    <row r="299" spans="1:16" x14ac:dyDescent="0.25">
      <c r="A299" t="str">
        <f t="shared" si="12"/>
        <v>Bashir Humphreys</v>
      </c>
      <c r="B299" t="s">
        <v>1550</v>
      </c>
      <c r="C299" t="s">
        <v>1226</v>
      </c>
      <c r="D299">
        <v>7</v>
      </c>
      <c r="E299">
        <v>2</v>
      </c>
      <c r="F299">
        <v>40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f t="shared" si="13"/>
        <v>0</v>
      </c>
      <c r="P299">
        <f t="shared" si="14"/>
        <v>0</v>
      </c>
    </row>
    <row r="300" spans="1:16" x14ac:dyDescent="0.25">
      <c r="A300" t="str">
        <f t="shared" si="12"/>
        <v>Deivid Washington de Souza Eugênio</v>
      </c>
      <c r="B300" t="s">
        <v>1551</v>
      </c>
      <c r="C300" t="s">
        <v>1552</v>
      </c>
      <c r="D300">
        <v>7</v>
      </c>
      <c r="E300">
        <v>4</v>
      </c>
      <c r="F300">
        <v>45</v>
      </c>
      <c r="G300">
        <v>11</v>
      </c>
      <c r="H300">
        <v>0</v>
      </c>
      <c r="I300">
        <v>0</v>
      </c>
      <c r="J300">
        <v>0</v>
      </c>
      <c r="K300">
        <v>0.47</v>
      </c>
      <c r="L300">
        <v>0</v>
      </c>
      <c r="M300">
        <v>2</v>
      </c>
      <c r="N300">
        <v>5</v>
      </c>
      <c r="O300">
        <f t="shared" si="13"/>
        <v>3.8454545454545452</v>
      </c>
      <c r="P300">
        <f t="shared" si="14"/>
        <v>0</v>
      </c>
    </row>
    <row r="301" spans="1:16" x14ac:dyDescent="0.25">
      <c r="A301" t="str">
        <f t="shared" si="12"/>
        <v>Eddie Beach</v>
      </c>
      <c r="B301" t="s">
        <v>456</v>
      </c>
      <c r="C301" t="s">
        <v>1553</v>
      </c>
      <c r="D301">
        <v>7</v>
      </c>
      <c r="E301">
        <v>1</v>
      </c>
      <c r="F301">
        <v>40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f t="shared" si="13"/>
        <v>0</v>
      </c>
      <c r="P301">
        <f t="shared" si="14"/>
        <v>0</v>
      </c>
    </row>
    <row r="302" spans="1:16" x14ac:dyDescent="0.25">
      <c r="A302" t="str">
        <f t="shared" si="12"/>
        <v>Diego Manuel Jadon da Silva Moreira</v>
      </c>
      <c r="B302" t="s">
        <v>1554</v>
      </c>
      <c r="C302" t="s">
        <v>1555</v>
      </c>
      <c r="D302">
        <v>7</v>
      </c>
      <c r="E302">
        <v>3</v>
      </c>
      <c r="F302">
        <v>45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f t="shared" si="13"/>
        <v>0</v>
      </c>
      <c r="P302">
        <f t="shared" si="14"/>
        <v>0</v>
      </c>
    </row>
    <row r="303" spans="1:16" x14ac:dyDescent="0.25">
      <c r="A303" t="str">
        <f t="shared" si="12"/>
        <v>Đorđe Petrović</v>
      </c>
      <c r="B303" t="s">
        <v>129</v>
      </c>
      <c r="C303" t="s">
        <v>130</v>
      </c>
      <c r="D303">
        <v>7</v>
      </c>
      <c r="E303">
        <v>1</v>
      </c>
      <c r="F303">
        <v>47</v>
      </c>
      <c r="G303">
        <v>1986</v>
      </c>
      <c r="H303">
        <v>22</v>
      </c>
      <c r="I303">
        <v>0</v>
      </c>
      <c r="J303">
        <v>0</v>
      </c>
      <c r="K303">
        <v>0</v>
      </c>
      <c r="L303">
        <v>0</v>
      </c>
      <c r="M303">
        <v>71</v>
      </c>
      <c r="N303">
        <v>414</v>
      </c>
      <c r="O303">
        <f t="shared" si="13"/>
        <v>0</v>
      </c>
      <c r="P303">
        <f t="shared" si="14"/>
        <v>0</v>
      </c>
    </row>
    <row r="304" spans="1:16" x14ac:dyDescent="0.25">
      <c r="A304" t="str">
        <f t="shared" si="12"/>
        <v>Alfie Gilchrist</v>
      </c>
      <c r="B304" t="s">
        <v>507</v>
      </c>
      <c r="C304" t="s">
        <v>1556</v>
      </c>
      <c r="D304">
        <v>7</v>
      </c>
      <c r="E304">
        <v>2</v>
      </c>
      <c r="F304">
        <v>40</v>
      </c>
      <c r="G304">
        <v>200</v>
      </c>
      <c r="H304">
        <v>2</v>
      </c>
      <c r="I304">
        <v>1</v>
      </c>
      <c r="J304">
        <v>0</v>
      </c>
      <c r="K304">
        <v>0.32</v>
      </c>
      <c r="L304">
        <v>0.05</v>
      </c>
      <c r="M304">
        <v>20</v>
      </c>
      <c r="N304">
        <v>67</v>
      </c>
      <c r="O304">
        <f t="shared" si="13"/>
        <v>0.14400000000000002</v>
      </c>
      <c r="P304">
        <f t="shared" si="14"/>
        <v>2.2499999999999999E-2</v>
      </c>
    </row>
    <row r="305" spans="1:16" x14ac:dyDescent="0.25">
      <c r="A305" t="str">
        <f t="shared" si="12"/>
        <v>Ronnie Stutter</v>
      </c>
      <c r="B305" t="s">
        <v>1557</v>
      </c>
      <c r="C305" t="s">
        <v>1558</v>
      </c>
      <c r="D305">
        <v>7</v>
      </c>
      <c r="E305">
        <v>4</v>
      </c>
      <c r="F305">
        <v>45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f t="shared" si="13"/>
        <v>0</v>
      </c>
      <c r="P305">
        <f t="shared" si="14"/>
        <v>0</v>
      </c>
    </row>
    <row r="306" spans="1:16" x14ac:dyDescent="0.25">
      <c r="A306" t="str">
        <f t="shared" si="12"/>
        <v>Alex Matos</v>
      </c>
      <c r="B306" t="s">
        <v>153</v>
      </c>
      <c r="C306" t="s">
        <v>1559</v>
      </c>
      <c r="D306">
        <v>7</v>
      </c>
      <c r="E306">
        <v>3</v>
      </c>
      <c r="F306">
        <v>45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2</v>
      </c>
      <c r="O306">
        <f t="shared" si="13"/>
        <v>0</v>
      </c>
      <c r="P306">
        <f t="shared" si="14"/>
        <v>0</v>
      </c>
    </row>
    <row r="307" spans="1:16" x14ac:dyDescent="0.25">
      <c r="A307" t="str">
        <f t="shared" si="12"/>
        <v>Josh Brooking</v>
      </c>
      <c r="B307" t="s">
        <v>219</v>
      </c>
      <c r="C307" t="s">
        <v>1560</v>
      </c>
      <c r="D307">
        <v>7</v>
      </c>
      <c r="E307">
        <v>2</v>
      </c>
      <c r="F307">
        <v>40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f t="shared" si="13"/>
        <v>0</v>
      </c>
      <c r="P307">
        <f t="shared" si="14"/>
        <v>0</v>
      </c>
    </row>
    <row r="308" spans="1:16" x14ac:dyDescent="0.25">
      <c r="A308" t="str">
        <f t="shared" si="12"/>
        <v>Leo Castledine</v>
      </c>
      <c r="B308" t="s">
        <v>1229</v>
      </c>
      <c r="C308" t="s">
        <v>1561</v>
      </c>
      <c r="D308">
        <v>7</v>
      </c>
      <c r="E308">
        <v>3</v>
      </c>
      <c r="F308">
        <v>45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f t="shared" si="13"/>
        <v>0</v>
      </c>
      <c r="P308">
        <f t="shared" si="14"/>
        <v>0</v>
      </c>
    </row>
    <row r="309" spans="1:16" x14ac:dyDescent="0.25">
      <c r="A309" t="str">
        <f t="shared" si="12"/>
        <v>Cesare Casadei</v>
      </c>
      <c r="B309" t="s">
        <v>1562</v>
      </c>
      <c r="C309" t="s">
        <v>1563</v>
      </c>
      <c r="D309">
        <v>7</v>
      </c>
      <c r="E309">
        <v>3</v>
      </c>
      <c r="F309">
        <v>45</v>
      </c>
      <c r="G309">
        <v>71</v>
      </c>
      <c r="H309">
        <v>0</v>
      </c>
      <c r="I309">
        <v>0</v>
      </c>
      <c r="J309">
        <v>0</v>
      </c>
      <c r="K309">
        <v>0</v>
      </c>
      <c r="L309">
        <v>0.08</v>
      </c>
      <c r="M309">
        <v>11</v>
      </c>
      <c r="N309">
        <v>38</v>
      </c>
      <c r="O309">
        <f t="shared" si="13"/>
        <v>0</v>
      </c>
      <c r="P309">
        <f t="shared" si="14"/>
        <v>0.10140845070422536</v>
      </c>
    </row>
    <row r="310" spans="1:16" x14ac:dyDescent="0.25">
      <c r="A310" t="str">
        <f t="shared" si="12"/>
        <v>Ishé Samuels-Smith</v>
      </c>
      <c r="B310" t="s">
        <v>1564</v>
      </c>
      <c r="C310" t="s">
        <v>1565</v>
      </c>
      <c r="D310">
        <v>7</v>
      </c>
      <c r="E310">
        <v>2</v>
      </c>
      <c r="F310">
        <v>40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f t="shared" si="13"/>
        <v>0</v>
      </c>
      <c r="P310">
        <f t="shared" si="14"/>
        <v>0</v>
      </c>
    </row>
    <row r="311" spans="1:16" x14ac:dyDescent="0.25">
      <c r="A311" t="str">
        <f t="shared" si="12"/>
        <v>Ollie Harrison</v>
      </c>
      <c r="B311" t="s">
        <v>121</v>
      </c>
      <c r="C311" t="s">
        <v>493</v>
      </c>
      <c r="D311">
        <v>7</v>
      </c>
      <c r="E311">
        <v>3</v>
      </c>
      <c r="F311">
        <v>45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f t="shared" si="13"/>
        <v>0</v>
      </c>
      <c r="P311">
        <f t="shared" si="14"/>
        <v>0</v>
      </c>
    </row>
    <row r="312" spans="1:16" x14ac:dyDescent="0.25">
      <c r="A312" t="str">
        <f t="shared" si="12"/>
        <v>Jimi Tauriainen</v>
      </c>
      <c r="B312" t="s">
        <v>1566</v>
      </c>
      <c r="C312" t="s">
        <v>1567</v>
      </c>
      <c r="D312">
        <v>7</v>
      </c>
      <c r="E312">
        <v>3</v>
      </c>
      <c r="F312">
        <v>45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3</v>
      </c>
      <c r="O312">
        <f t="shared" si="13"/>
        <v>0</v>
      </c>
      <c r="P312">
        <f t="shared" si="14"/>
        <v>0</v>
      </c>
    </row>
    <row r="313" spans="1:16" x14ac:dyDescent="0.25">
      <c r="A313" t="str">
        <f t="shared" si="12"/>
        <v>Josh Acheampong</v>
      </c>
      <c r="B313" t="s">
        <v>219</v>
      </c>
      <c r="C313" t="s">
        <v>313</v>
      </c>
      <c r="D313">
        <v>7</v>
      </c>
      <c r="E313">
        <v>2</v>
      </c>
      <c r="F313">
        <v>40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4</v>
      </c>
      <c r="O313">
        <f t="shared" si="13"/>
        <v>0</v>
      </c>
      <c r="P313">
        <f t="shared" si="14"/>
        <v>0</v>
      </c>
    </row>
    <row r="314" spans="1:16" x14ac:dyDescent="0.25">
      <c r="A314" t="str">
        <f t="shared" si="12"/>
        <v>Teddy Sharman-Lowe</v>
      </c>
      <c r="B314" t="s">
        <v>1568</v>
      </c>
      <c r="C314" t="s">
        <v>1569</v>
      </c>
      <c r="D314">
        <v>7</v>
      </c>
      <c r="E314">
        <v>1</v>
      </c>
      <c r="F314">
        <v>40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f t="shared" si="13"/>
        <v>0</v>
      </c>
      <c r="P314">
        <f t="shared" si="14"/>
        <v>0</v>
      </c>
    </row>
    <row r="315" spans="1:16" x14ac:dyDescent="0.25">
      <c r="A315" t="str">
        <f t="shared" si="12"/>
        <v>Tyrique George</v>
      </c>
      <c r="B315" t="s">
        <v>491</v>
      </c>
      <c r="C315" t="s">
        <v>113</v>
      </c>
      <c r="D315">
        <v>7</v>
      </c>
      <c r="E315">
        <v>4</v>
      </c>
      <c r="F315">
        <v>45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f t="shared" si="13"/>
        <v>0</v>
      </c>
      <c r="P315">
        <f t="shared" si="14"/>
        <v>0</v>
      </c>
    </row>
    <row r="316" spans="1:16" x14ac:dyDescent="0.25">
      <c r="A316" t="str">
        <f t="shared" si="12"/>
        <v>Kiano Dyer</v>
      </c>
      <c r="B316" t="s">
        <v>1570</v>
      </c>
      <c r="C316" t="s">
        <v>1571</v>
      </c>
      <c r="D316">
        <v>7</v>
      </c>
      <c r="E316">
        <v>3</v>
      </c>
      <c r="F316">
        <v>45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f t="shared" si="13"/>
        <v>0</v>
      </c>
      <c r="P316">
        <f t="shared" si="14"/>
        <v>0</v>
      </c>
    </row>
    <row r="317" spans="1:16" x14ac:dyDescent="0.25">
      <c r="A317" t="str">
        <f t="shared" si="12"/>
        <v>Ted Curd</v>
      </c>
      <c r="B317" t="s">
        <v>1572</v>
      </c>
      <c r="C317" t="s">
        <v>1573</v>
      </c>
      <c r="D317">
        <v>7</v>
      </c>
      <c r="E317">
        <v>1</v>
      </c>
      <c r="F317">
        <v>40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f t="shared" si="13"/>
        <v>0</v>
      </c>
      <c r="P317">
        <f t="shared" si="14"/>
        <v>0</v>
      </c>
    </row>
    <row r="318" spans="1:16" x14ac:dyDescent="0.25">
      <c r="A318" t="str">
        <f t="shared" si="12"/>
        <v>Zak Sturge</v>
      </c>
      <c r="B318" t="s">
        <v>1574</v>
      </c>
      <c r="C318" t="s">
        <v>1575</v>
      </c>
      <c r="D318">
        <v>7</v>
      </c>
      <c r="E318">
        <v>2</v>
      </c>
      <c r="F318">
        <v>40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f t="shared" si="13"/>
        <v>0</v>
      </c>
      <c r="P318">
        <f t="shared" si="14"/>
        <v>0</v>
      </c>
    </row>
    <row r="319" spans="1:16" x14ac:dyDescent="0.25">
      <c r="A319" t="str">
        <f t="shared" si="12"/>
        <v>Rob Holding</v>
      </c>
      <c r="B319" t="s">
        <v>1576</v>
      </c>
      <c r="C319" t="s">
        <v>1577</v>
      </c>
      <c r="D319">
        <v>8</v>
      </c>
      <c r="E319">
        <v>2</v>
      </c>
      <c r="F319">
        <v>43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f t="shared" si="13"/>
        <v>0</v>
      </c>
      <c r="P319">
        <f t="shared" si="14"/>
        <v>0</v>
      </c>
    </row>
    <row r="320" spans="1:16" x14ac:dyDescent="0.25">
      <c r="A320" t="str">
        <f t="shared" si="12"/>
        <v>Naouirou Ahamada</v>
      </c>
      <c r="B320" t="s">
        <v>1578</v>
      </c>
      <c r="C320" t="s">
        <v>1579</v>
      </c>
      <c r="D320">
        <v>8</v>
      </c>
      <c r="E320">
        <v>3</v>
      </c>
      <c r="F320">
        <v>43</v>
      </c>
      <c r="G320">
        <v>332</v>
      </c>
      <c r="H320">
        <v>0</v>
      </c>
      <c r="I320">
        <v>0</v>
      </c>
      <c r="J320">
        <v>0</v>
      </c>
      <c r="K320">
        <v>0.4</v>
      </c>
      <c r="L320">
        <v>0.12</v>
      </c>
      <c r="M320">
        <v>16</v>
      </c>
      <c r="N320">
        <v>52</v>
      </c>
      <c r="O320">
        <f t="shared" si="13"/>
        <v>0.10843373493975905</v>
      </c>
      <c r="P320">
        <f t="shared" si="14"/>
        <v>3.2530120481927709E-2</v>
      </c>
    </row>
    <row r="321" spans="1:16" x14ac:dyDescent="0.25">
      <c r="A321" t="str">
        <f t="shared" si="12"/>
        <v>Joachim Andersen</v>
      </c>
      <c r="B321" t="s">
        <v>509</v>
      </c>
      <c r="C321" t="s">
        <v>510</v>
      </c>
      <c r="D321">
        <v>8</v>
      </c>
      <c r="E321">
        <v>2</v>
      </c>
      <c r="F321">
        <v>47</v>
      </c>
      <c r="G321">
        <v>3416</v>
      </c>
      <c r="H321">
        <v>38</v>
      </c>
      <c r="I321">
        <v>2</v>
      </c>
      <c r="J321">
        <v>3</v>
      </c>
      <c r="K321">
        <v>1.75</v>
      </c>
      <c r="L321">
        <v>2.08</v>
      </c>
      <c r="M321">
        <v>121</v>
      </c>
      <c r="N321">
        <v>679</v>
      </c>
      <c r="O321">
        <f t="shared" si="13"/>
        <v>4.6106557377049183E-2</v>
      </c>
      <c r="P321">
        <f t="shared" si="14"/>
        <v>5.4800936768149885E-2</v>
      </c>
    </row>
    <row r="322" spans="1:16" x14ac:dyDescent="0.25">
      <c r="A322" t="str">
        <f t="shared" ref="A322:A385" si="15">_xlfn.CONCAT(B322, " ", C322)</f>
        <v>Jordan Ayew</v>
      </c>
      <c r="B322" t="s">
        <v>289</v>
      </c>
      <c r="C322" t="s">
        <v>1580</v>
      </c>
      <c r="D322">
        <v>8</v>
      </c>
      <c r="E322">
        <v>3</v>
      </c>
      <c r="F322">
        <v>53</v>
      </c>
      <c r="G322">
        <v>2540</v>
      </c>
      <c r="H322">
        <v>30</v>
      </c>
      <c r="I322">
        <v>4</v>
      </c>
      <c r="J322">
        <v>7</v>
      </c>
      <c r="K322">
        <v>3.97</v>
      </c>
      <c r="L322">
        <v>2.5499999999999998</v>
      </c>
      <c r="M322">
        <v>109</v>
      </c>
      <c r="N322">
        <v>325</v>
      </c>
      <c r="O322">
        <f t="shared" ref="O322:O385" si="16">IFERROR(K322/G322*90,0)</f>
        <v>0.14066929133858269</v>
      </c>
      <c r="P322">
        <f t="shared" ref="P322:P385" si="17">IFERROR(L322/G322*90,0)</f>
        <v>9.0354330708661418E-2</v>
      </c>
    </row>
    <row r="323" spans="1:16" x14ac:dyDescent="0.25">
      <c r="A323" t="str">
        <f t="shared" si="15"/>
        <v>Nathaniel Clyne</v>
      </c>
      <c r="B323" t="s">
        <v>1581</v>
      </c>
      <c r="C323" t="s">
        <v>1582</v>
      </c>
      <c r="D323">
        <v>8</v>
      </c>
      <c r="E323">
        <v>2</v>
      </c>
      <c r="F323">
        <v>43</v>
      </c>
      <c r="G323">
        <v>1335</v>
      </c>
      <c r="H323">
        <v>14</v>
      </c>
      <c r="I323">
        <v>0</v>
      </c>
      <c r="J323">
        <v>1</v>
      </c>
      <c r="K323">
        <v>0.21</v>
      </c>
      <c r="L323">
        <v>0.21</v>
      </c>
      <c r="M323">
        <v>52</v>
      </c>
      <c r="N323">
        <v>259</v>
      </c>
      <c r="O323">
        <f t="shared" si="16"/>
        <v>1.4157303370786517E-2</v>
      </c>
      <c r="P323">
        <f t="shared" si="17"/>
        <v>1.4157303370786517E-2</v>
      </c>
    </row>
    <row r="324" spans="1:16" x14ac:dyDescent="0.25">
      <c r="A324" t="str">
        <f t="shared" si="15"/>
        <v>Cheick Doucouré</v>
      </c>
      <c r="B324" t="s">
        <v>444</v>
      </c>
      <c r="C324" t="s">
        <v>445</v>
      </c>
      <c r="D324">
        <v>8</v>
      </c>
      <c r="E324">
        <v>3</v>
      </c>
      <c r="F324">
        <v>48</v>
      </c>
      <c r="G324">
        <v>920</v>
      </c>
      <c r="H324">
        <v>11</v>
      </c>
      <c r="I324">
        <v>0</v>
      </c>
      <c r="J324">
        <v>0</v>
      </c>
      <c r="K324">
        <v>0.28000000000000003</v>
      </c>
      <c r="L324">
        <v>0.76</v>
      </c>
      <c r="M324">
        <v>21</v>
      </c>
      <c r="N324">
        <v>141</v>
      </c>
      <c r="O324">
        <f t="shared" si="16"/>
        <v>2.7391304347826089E-2</v>
      </c>
      <c r="P324">
        <f t="shared" si="17"/>
        <v>7.4347826086956531E-2</v>
      </c>
    </row>
    <row r="325" spans="1:16" x14ac:dyDescent="0.25">
      <c r="A325" t="str">
        <f t="shared" si="15"/>
        <v>Malcolm Ebiowei</v>
      </c>
      <c r="B325" t="s">
        <v>1583</v>
      </c>
      <c r="C325" t="s">
        <v>1584</v>
      </c>
      <c r="D325">
        <v>8</v>
      </c>
      <c r="E325">
        <v>3</v>
      </c>
      <c r="F325">
        <v>44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f t="shared" si="16"/>
        <v>0</v>
      </c>
      <c r="P325">
        <f t="shared" si="17"/>
        <v>0</v>
      </c>
    </row>
    <row r="326" spans="1:16" x14ac:dyDescent="0.25">
      <c r="A326" t="str">
        <f t="shared" si="15"/>
        <v>Odsonne Edouard</v>
      </c>
      <c r="B326" t="s">
        <v>1585</v>
      </c>
      <c r="C326" t="s">
        <v>1586</v>
      </c>
      <c r="D326">
        <v>8</v>
      </c>
      <c r="E326">
        <v>4</v>
      </c>
      <c r="F326">
        <v>53</v>
      </c>
      <c r="G326">
        <v>1545</v>
      </c>
      <c r="H326">
        <v>17</v>
      </c>
      <c r="I326">
        <v>7</v>
      </c>
      <c r="J326">
        <v>0</v>
      </c>
      <c r="K326">
        <v>6.33</v>
      </c>
      <c r="L326">
        <v>0.86</v>
      </c>
      <c r="M326">
        <v>79</v>
      </c>
      <c r="N326">
        <v>246</v>
      </c>
      <c r="O326">
        <f t="shared" si="16"/>
        <v>0.3687378640776699</v>
      </c>
      <c r="P326">
        <f t="shared" si="17"/>
        <v>5.0097087378640777E-2</v>
      </c>
    </row>
    <row r="327" spans="1:16" x14ac:dyDescent="0.25">
      <c r="A327" t="str">
        <f t="shared" si="15"/>
        <v>Eberechi Eze</v>
      </c>
      <c r="B327" t="s">
        <v>46</v>
      </c>
      <c r="C327" t="s">
        <v>47</v>
      </c>
      <c r="D327">
        <v>8</v>
      </c>
      <c r="E327">
        <v>3</v>
      </c>
      <c r="F327">
        <v>60</v>
      </c>
      <c r="G327">
        <v>2054</v>
      </c>
      <c r="H327">
        <v>24</v>
      </c>
      <c r="I327">
        <v>11</v>
      </c>
      <c r="J327">
        <v>5</v>
      </c>
      <c r="K327">
        <v>9.1199999999999992</v>
      </c>
      <c r="L327">
        <v>5.66</v>
      </c>
      <c r="M327">
        <v>136</v>
      </c>
      <c r="N327">
        <v>490</v>
      </c>
      <c r="O327">
        <f t="shared" si="16"/>
        <v>0.39961051606621223</v>
      </c>
      <c r="P327">
        <f t="shared" si="17"/>
        <v>0.24800389483933788</v>
      </c>
    </row>
    <row r="328" spans="1:16" x14ac:dyDescent="0.25">
      <c r="A328" t="str">
        <f t="shared" si="15"/>
        <v>Vicente Guaita</v>
      </c>
      <c r="B328" t="s">
        <v>1587</v>
      </c>
      <c r="C328" t="s">
        <v>1588</v>
      </c>
      <c r="D328">
        <v>8</v>
      </c>
      <c r="E328">
        <v>1</v>
      </c>
      <c r="F328">
        <v>44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f t="shared" si="16"/>
        <v>0</v>
      </c>
      <c r="P328">
        <f t="shared" si="17"/>
        <v>0</v>
      </c>
    </row>
    <row r="329" spans="1:16" x14ac:dyDescent="0.25">
      <c r="A329" t="str">
        <f t="shared" si="15"/>
        <v>Marc Guéhi</v>
      </c>
      <c r="B329" t="s">
        <v>340</v>
      </c>
      <c r="C329" t="s">
        <v>754</v>
      </c>
      <c r="D329">
        <v>8</v>
      </c>
      <c r="E329">
        <v>2</v>
      </c>
      <c r="F329">
        <v>42</v>
      </c>
      <c r="G329">
        <v>2020</v>
      </c>
      <c r="H329">
        <v>23</v>
      </c>
      <c r="I329">
        <v>0</v>
      </c>
      <c r="J329">
        <v>1</v>
      </c>
      <c r="K329">
        <v>0.57999999999999996</v>
      </c>
      <c r="L329">
        <v>1</v>
      </c>
      <c r="M329">
        <v>66</v>
      </c>
      <c r="N329">
        <v>397</v>
      </c>
      <c r="O329">
        <f t="shared" si="16"/>
        <v>2.584158415841584E-2</v>
      </c>
      <c r="P329">
        <f t="shared" si="17"/>
        <v>4.4554455445544552E-2</v>
      </c>
    </row>
    <row r="330" spans="1:16" x14ac:dyDescent="0.25">
      <c r="A330" t="str">
        <f t="shared" si="15"/>
        <v>Will Hughes</v>
      </c>
      <c r="B330" t="s">
        <v>133</v>
      </c>
      <c r="C330" t="s">
        <v>434</v>
      </c>
      <c r="D330">
        <v>8</v>
      </c>
      <c r="E330">
        <v>3</v>
      </c>
      <c r="F330">
        <v>49</v>
      </c>
      <c r="G330">
        <v>1886</v>
      </c>
      <c r="H330">
        <v>23</v>
      </c>
      <c r="I330">
        <v>0</v>
      </c>
      <c r="J330">
        <v>2</v>
      </c>
      <c r="K330">
        <v>0.31</v>
      </c>
      <c r="L330">
        <v>1.7</v>
      </c>
      <c r="M330">
        <v>61</v>
      </c>
      <c r="N330">
        <v>252</v>
      </c>
      <c r="O330">
        <f t="shared" si="16"/>
        <v>1.47932131495228E-2</v>
      </c>
      <c r="P330">
        <f t="shared" si="17"/>
        <v>8.1124072110286313E-2</v>
      </c>
    </row>
    <row r="331" spans="1:16" x14ac:dyDescent="0.25">
      <c r="A331" t="str">
        <f t="shared" si="15"/>
        <v>Sam Johnstone</v>
      </c>
      <c r="B331" t="s">
        <v>632</v>
      </c>
      <c r="C331" t="s">
        <v>1589</v>
      </c>
      <c r="D331">
        <v>8</v>
      </c>
      <c r="E331">
        <v>1</v>
      </c>
      <c r="F331">
        <v>43</v>
      </c>
      <c r="G331">
        <v>1796</v>
      </c>
      <c r="H331">
        <v>20</v>
      </c>
      <c r="I331">
        <v>0</v>
      </c>
      <c r="J331">
        <v>0</v>
      </c>
      <c r="K331">
        <v>0</v>
      </c>
      <c r="L331">
        <v>0</v>
      </c>
      <c r="M331">
        <v>68</v>
      </c>
      <c r="N331">
        <v>310</v>
      </c>
      <c r="O331">
        <f t="shared" si="16"/>
        <v>0</v>
      </c>
      <c r="P331">
        <f t="shared" si="17"/>
        <v>0</v>
      </c>
    </row>
    <row r="332" spans="1:16" x14ac:dyDescent="0.25">
      <c r="A332" t="str">
        <f t="shared" si="15"/>
        <v>Jefferson Lerma Solís</v>
      </c>
      <c r="B332" t="s">
        <v>435</v>
      </c>
      <c r="C332" t="s">
        <v>436</v>
      </c>
      <c r="D332">
        <v>8</v>
      </c>
      <c r="E332">
        <v>3</v>
      </c>
      <c r="F332">
        <v>47</v>
      </c>
      <c r="G332">
        <v>2399</v>
      </c>
      <c r="H332">
        <v>27</v>
      </c>
      <c r="I332">
        <v>1</v>
      </c>
      <c r="J332">
        <v>1</v>
      </c>
      <c r="K332">
        <v>2.61</v>
      </c>
      <c r="L332">
        <v>1.78</v>
      </c>
      <c r="M332">
        <v>64</v>
      </c>
      <c r="N332">
        <v>338</v>
      </c>
      <c r="O332">
        <f t="shared" si="16"/>
        <v>9.7915798249270519E-2</v>
      </c>
      <c r="P332">
        <f t="shared" si="17"/>
        <v>6.677782409337224E-2</v>
      </c>
    </row>
    <row r="333" spans="1:16" x14ac:dyDescent="0.25">
      <c r="A333" t="str">
        <f t="shared" si="15"/>
        <v>Jean-Philippe Mateta</v>
      </c>
      <c r="B333" t="s">
        <v>454</v>
      </c>
      <c r="C333" t="s">
        <v>455</v>
      </c>
      <c r="D333">
        <v>8</v>
      </c>
      <c r="E333">
        <v>4</v>
      </c>
      <c r="F333">
        <v>51</v>
      </c>
      <c r="G333">
        <v>2274</v>
      </c>
      <c r="H333">
        <v>25</v>
      </c>
      <c r="I333">
        <v>16</v>
      </c>
      <c r="J333">
        <v>7</v>
      </c>
      <c r="K333">
        <v>10.84</v>
      </c>
      <c r="L333">
        <v>1.3</v>
      </c>
      <c r="M333">
        <v>165</v>
      </c>
      <c r="N333">
        <v>563</v>
      </c>
      <c r="O333">
        <f t="shared" si="16"/>
        <v>0.42902374670184701</v>
      </c>
      <c r="P333">
        <f t="shared" si="17"/>
        <v>5.1451187335092352E-2</v>
      </c>
    </row>
    <row r="334" spans="1:16" x14ac:dyDescent="0.25">
      <c r="A334" t="str">
        <f t="shared" si="15"/>
        <v>Remi Matthews</v>
      </c>
      <c r="B334" t="s">
        <v>462</v>
      </c>
      <c r="C334" t="s">
        <v>463</v>
      </c>
      <c r="D334">
        <v>8</v>
      </c>
      <c r="E334">
        <v>1</v>
      </c>
      <c r="F334">
        <v>39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3</v>
      </c>
      <c r="O334">
        <f t="shared" si="16"/>
        <v>0</v>
      </c>
      <c r="P334">
        <f t="shared" si="17"/>
        <v>0</v>
      </c>
    </row>
    <row r="335" spans="1:16" x14ac:dyDescent="0.25">
      <c r="A335" t="str">
        <f t="shared" si="15"/>
        <v>Tyrick Mitchell</v>
      </c>
      <c r="B335" t="s">
        <v>422</v>
      </c>
      <c r="C335" t="s">
        <v>423</v>
      </c>
      <c r="D335">
        <v>8</v>
      </c>
      <c r="E335">
        <v>2</v>
      </c>
      <c r="F335">
        <v>45</v>
      </c>
      <c r="G335">
        <v>3204</v>
      </c>
      <c r="H335">
        <v>37</v>
      </c>
      <c r="I335">
        <v>2</v>
      </c>
      <c r="J335">
        <v>3</v>
      </c>
      <c r="K335">
        <v>1.27</v>
      </c>
      <c r="L335">
        <v>2.39</v>
      </c>
      <c r="M335">
        <v>119</v>
      </c>
      <c r="N335">
        <v>590</v>
      </c>
      <c r="O335">
        <f t="shared" si="16"/>
        <v>3.5674157303370792E-2</v>
      </c>
      <c r="P335">
        <f t="shared" si="17"/>
        <v>6.7134831460674158E-2</v>
      </c>
    </row>
    <row r="336" spans="1:16" x14ac:dyDescent="0.25">
      <c r="A336" t="str">
        <f t="shared" si="15"/>
        <v>Jake O'Brien</v>
      </c>
      <c r="B336" t="s">
        <v>371</v>
      </c>
      <c r="C336" t="s">
        <v>479</v>
      </c>
      <c r="D336">
        <v>8</v>
      </c>
      <c r="E336">
        <v>2</v>
      </c>
      <c r="F336">
        <v>40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f t="shared" si="16"/>
        <v>0</v>
      </c>
      <c r="P336">
        <f t="shared" si="17"/>
        <v>0</v>
      </c>
    </row>
    <row r="337" spans="1:16" x14ac:dyDescent="0.25">
      <c r="A337" t="str">
        <f t="shared" si="15"/>
        <v>Michael Olise</v>
      </c>
      <c r="B337" t="s">
        <v>193</v>
      </c>
      <c r="C337" t="s">
        <v>1590</v>
      </c>
      <c r="D337">
        <v>8</v>
      </c>
      <c r="E337">
        <v>3</v>
      </c>
      <c r="F337">
        <v>57</v>
      </c>
      <c r="G337">
        <v>1272</v>
      </c>
      <c r="H337">
        <v>14</v>
      </c>
      <c r="I337">
        <v>10</v>
      </c>
      <c r="J337">
        <v>6</v>
      </c>
      <c r="K337">
        <v>5.32</v>
      </c>
      <c r="L337">
        <v>4.96</v>
      </c>
      <c r="M337">
        <v>125</v>
      </c>
      <c r="N337">
        <v>438</v>
      </c>
      <c r="O337">
        <f t="shared" si="16"/>
        <v>0.37641509433962272</v>
      </c>
      <c r="P337">
        <f t="shared" si="17"/>
        <v>0.35094339622641507</v>
      </c>
    </row>
    <row r="338" spans="1:16" x14ac:dyDescent="0.25">
      <c r="A338" t="str">
        <f t="shared" si="15"/>
        <v>Luke Plange</v>
      </c>
      <c r="B338" t="s">
        <v>375</v>
      </c>
      <c r="C338" t="s">
        <v>1591</v>
      </c>
      <c r="D338">
        <v>8</v>
      </c>
      <c r="E338">
        <v>4</v>
      </c>
      <c r="F338">
        <v>45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f t="shared" si="16"/>
        <v>0</v>
      </c>
      <c r="P338">
        <f t="shared" si="17"/>
        <v>0</v>
      </c>
    </row>
    <row r="339" spans="1:16" x14ac:dyDescent="0.25">
      <c r="A339" t="str">
        <f t="shared" si="15"/>
        <v>Chris Richards</v>
      </c>
      <c r="B339" t="s">
        <v>418</v>
      </c>
      <c r="C339" t="s">
        <v>419</v>
      </c>
      <c r="D339">
        <v>8</v>
      </c>
      <c r="E339">
        <v>2</v>
      </c>
      <c r="F339">
        <v>39</v>
      </c>
      <c r="G339">
        <v>2091</v>
      </c>
      <c r="H339">
        <v>23</v>
      </c>
      <c r="I339">
        <v>1</v>
      </c>
      <c r="J339">
        <v>1</v>
      </c>
      <c r="K339">
        <v>0.6</v>
      </c>
      <c r="L339">
        <v>0.17</v>
      </c>
      <c r="M339">
        <v>62</v>
      </c>
      <c r="N339">
        <v>370</v>
      </c>
      <c r="O339">
        <f t="shared" si="16"/>
        <v>2.5824964131994262E-2</v>
      </c>
      <c r="P339">
        <f t="shared" si="17"/>
        <v>7.3170731707317069E-3</v>
      </c>
    </row>
    <row r="340" spans="1:16" x14ac:dyDescent="0.25">
      <c r="A340" t="str">
        <f t="shared" si="15"/>
        <v>Jairo Riedewald</v>
      </c>
      <c r="B340" t="s">
        <v>1592</v>
      </c>
      <c r="C340" t="s">
        <v>1593</v>
      </c>
      <c r="D340">
        <v>8</v>
      </c>
      <c r="E340">
        <v>3</v>
      </c>
      <c r="F340">
        <v>43</v>
      </c>
      <c r="G340">
        <v>228</v>
      </c>
      <c r="H340">
        <v>2</v>
      </c>
      <c r="I340">
        <v>0</v>
      </c>
      <c r="J340">
        <v>0</v>
      </c>
      <c r="K340">
        <v>0.04</v>
      </c>
      <c r="L340">
        <v>7.0000000000000007E-2</v>
      </c>
      <c r="M340">
        <v>12</v>
      </c>
      <c r="N340">
        <v>35</v>
      </c>
      <c r="O340">
        <f t="shared" si="16"/>
        <v>1.5789473684210527E-2</v>
      </c>
      <c r="P340">
        <f t="shared" si="17"/>
        <v>2.7631578947368424E-2</v>
      </c>
    </row>
    <row r="341" spans="1:16" x14ac:dyDescent="0.25">
      <c r="A341" t="str">
        <f t="shared" si="15"/>
        <v>Jeffrey Schlupp</v>
      </c>
      <c r="B341" t="s">
        <v>1594</v>
      </c>
      <c r="C341" t="s">
        <v>1595</v>
      </c>
      <c r="D341">
        <v>8</v>
      </c>
      <c r="E341">
        <v>3</v>
      </c>
      <c r="F341">
        <v>48</v>
      </c>
      <c r="G341">
        <v>1340</v>
      </c>
      <c r="H341">
        <v>17</v>
      </c>
      <c r="I341">
        <v>2</v>
      </c>
      <c r="J341">
        <v>2</v>
      </c>
      <c r="K341">
        <v>1.7</v>
      </c>
      <c r="L341">
        <v>1.41</v>
      </c>
      <c r="M341">
        <v>66</v>
      </c>
      <c r="N341">
        <v>201</v>
      </c>
      <c r="O341">
        <f t="shared" si="16"/>
        <v>0.11417910447761194</v>
      </c>
      <c r="P341">
        <f t="shared" si="17"/>
        <v>9.4701492537313428E-2</v>
      </c>
    </row>
    <row r="342" spans="1:16" x14ac:dyDescent="0.25">
      <c r="A342" t="str">
        <f t="shared" si="15"/>
        <v>James Tomkins</v>
      </c>
      <c r="B342" t="s">
        <v>135</v>
      </c>
      <c r="C342" t="s">
        <v>1596</v>
      </c>
      <c r="D342">
        <v>8</v>
      </c>
      <c r="E342">
        <v>2</v>
      </c>
      <c r="F342">
        <v>39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</v>
      </c>
      <c r="N342">
        <v>12</v>
      </c>
      <c r="O342">
        <f t="shared" si="16"/>
        <v>0</v>
      </c>
      <c r="P342">
        <f t="shared" si="17"/>
        <v>0</v>
      </c>
    </row>
    <row r="343" spans="1:16" x14ac:dyDescent="0.25">
      <c r="A343" t="str">
        <f t="shared" si="15"/>
        <v>Joel Ward</v>
      </c>
      <c r="B343" t="s">
        <v>373</v>
      </c>
      <c r="C343" t="s">
        <v>1597</v>
      </c>
      <c r="D343">
        <v>8</v>
      </c>
      <c r="E343">
        <v>2</v>
      </c>
      <c r="F343">
        <v>45</v>
      </c>
      <c r="G343">
        <v>1978</v>
      </c>
      <c r="H343">
        <v>23</v>
      </c>
      <c r="I343">
        <v>0</v>
      </c>
      <c r="J343">
        <v>1</v>
      </c>
      <c r="K343">
        <v>0.88</v>
      </c>
      <c r="L343">
        <v>0.25</v>
      </c>
      <c r="M343">
        <v>54</v>
      </c>
      <c r="N343">
        <v>304</v>
      </c>
      <c r="O343">
        <f t="shared" si="16"/>
        <v>4.0040444893832156E-2</v>
      </c>
      <c r="P343">
        <f t="shared" si="17"/>
        <v>1.1375126390293226E-2</v>
      </c>
    </row>
    <row r="344" spans="1:16" x14ac:dyDescent="0.25">
      <c r="A344" t="str">
        <f t="shared" si="15"/>
        <v>Joe Whitworth</v>
      </c>
      <c r="B344" t="s">
        <v>585</v>
      </c>
      <c r="C344" t="s">
        <v>1598</v>
      </c>
      <c r="D344">
        <v>8</v>
      </c>
      <c r="E344">
        <v>1</v>
      </c>
      <c r="F344">
        <v>39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f t="shared" si="16"/>
        <v>0</v>
      </c>
      <c r="P344">
        <f t="shared" si="17"/>
        <v>0</v>
      </c>
    </row>
    <row r="345" spans="1:16" x14ac:dyDescent="0.25">
      <c r="A345" t="str">
        <f t="shared" si="15"/>
        <v>Dean Henderson</v>
      </c>
      <c r="B345" t="s">
        <v>413</v>
      </c>
      <c r="C345" t="s">
        <v>290</v>
      </c>
      <c r="D345">
        <v>8</v>
      </c>
      <c r="E345">
        <v>1</v>
      </c>
      <c r="F345">
        <v>44</v>
      </c>
      <c r="G345">
        <v>1620</v>
      </c>
      <c r="H345">
        <v>18</v>
      </c>
      <c r="I345">
        <v>0</v>
      </c>
      <c r="J345">
        <v>0</v>
      </c>
      <c r="K345">
        <v>0</v>
      </c>
      <c r="L345">
        <v>0.01</v>
      </c>
      <c r="M345">
        <v>48</v>
      </c>
      <c r="N345">
        <v>293</v>
      </c>
      <c r="O345">
        <f t="shared" si="16"/>
        <v>0</v>
      </c>
      <c r="P345">
        <f t="shared" si="17"/>
        <v>5.5555555555555556E-4</v>
      </c>
    </row>
    <row r="346" spans="1:16" x14ac:dyDescent="0.25">
      <c r="A346" t="str">
        <f t="shared" si="15"/>
        <v>Matheus França de Oliveira</v>
      </c>
      <c r="B346" t="s">
        <v>442</v>
      </c>
      <c r="C346" t="s">
        <v>443</v>
      </c>
      <c r="D346">
        <v>8</v>
      </c>
      <c r="E346">
        <v>3</v>
      </c>
      <c r="F346">
        <v>48</v>
      </c>
      <c r="G346">
        <v>224</v>
      </c>
      <c r="H346">
        <v>1</v>
      </c>
      <c r="I346">
        <v>0</v>
      </c>
      <c r="J346">
        <v>2</v>
      </c>
      <c r="K346">
        <v>0.33</v>
      </c>
      <c r="L346">
        <v>0.46</v>
      </c>
      <c r="M346">
        <v>16</v>
      </c>
      <c r="N346">
        <v>47</v>
      </c>
      <c r="O346">
        <f t="shared" si="16"/>
        <v>0.13258928571428572</v>
      </c>
      <c r="P346">
        <f t="shared" si="17"/>
        <v>0.18482142857142855</v>
      </c>
    </row>
    <row r="347" spans="1:16" x14ac:dyDescent="0.25">
      <c r="A347" t="str">
        <f t="shared" si="15"/>
        <v>Jesurun Rak-Sakyi</v>
      </c>
      <c r="B347" t="s">
        <v>446</v>
      </c>
      <c r="C347" t="s">
        <v>447</v>
      </c>
      <c r="D347">
        <v>8</v>
      </c>
      <c r="E347">
        <v>3</v>
      </c>
      <c r="F347">
        <v>45</v>
      </c>
      <c r="G347">
        <v>132</v>
      </c>
      <c r="H347">
        <v>0</v>
      </c>
      <c r="I347">
        <v>0</v>
      </c>
      <c r="J347">
        <v>0</v>
      </c>
      <c r="K347">
        <v>0.41</v>
      </c>
      <c r="L347">
        <v>0.14000000000000001</v>
      </c>
      <c r="M347">
        <v>8</v>
      </c>
      <c r="N347">
        <v>21</v>
      </c>
      <c r="O347">
        <f t="shared" si="16"/>
        <v>0.27954545454545449</v>
      </c>
      <c r="P347">
        <f t="shared" si="17"/>
        <v>9.5454545454545459E-2</v>
      </c>
    </row>
    <row r="348" spans="1:16" x14ac:dyDescent="0.25">
      <c r="A348" t="str">
        <f t="shared" si="15"/>
        <v>John-Kymani Gordon</v>
      </c>
      <c r="B348" t="s">
        <v>1599</v>
      </c>
      <c r="C348" t="s">
        <v>1600</v>
      </c>
      <c r="D348">
        <v>8</v>
      </c>
      <c r="E348">
        <v>4</v>
      </c>
      <c r="F348">
        <v>45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f t="shared" si="16"/>
        <v>0</v>
      </c>
      <c r="P348">
        <f t="shared" si="17"/>
        <v>0</v>
      </c>
    </row>
    <row r="349" spans="1:16" x14ac:dyDescent="0.25">
      <c r="A349" t="str">
        <f t="shared" si="15"/>
        <v>Ademola Ola-Adebomi</v>
      </c>
      <c r="B349" t="s">
        <v>1601</v>
      </c>
      <c r="C349" t="s">
        <v>1602</v>
      </c>
      <c r="D349">
        <v>8</v>
      </c>
      <c r="E349">
        <v>4</v>
      </c>
      <c r="F349">
        <v>45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f t="shared" si="16"/>
        <v>0</v>
      </c>
      <c r="P349">
        <f t="shared" si="17"/>
        <v>0</v>
      </c>
    </row>
    <row r="350" spans="1:16" x14ac:dyDescent="0.25">
      <c r="A350" t="str">
        <f t="shared" si="15"/>
        <v>David Ozoh</v>
      </c>
      <c r="B350" t="s">
        <v>20</v>
      </c>
      <c r="C350" t="s">
        <v>1603</v>
      </c>
      <c r="D350">
        <v>8</v>
      </c>
      <c r="E350">
        <v>3</v>
      </c>
      <c r="F350">
        <v>45</v>
      </c>
      <c r="G350">
        <v>148</v>
      </c>
      <c r="H350">
        <v>0</v>
      </c>
      <c r="I350">
        <v>0</v>
      </c>
      <c r="J350">
        <v>0</v>
      </c>
      <c r="K350">
        <v>0</v>
      </c>
      <c r="L350">
        <v>0.01</v>
      </c>
      <c r="M350">
        <v>8</v>
      </c>
      <c r="N350">
        <v>27</v>
      </c>
      <c r="O350">
        <f t="shared" si="16"/>
        <v>0</v>
      </c>
      <c r="P350">
        <f t="shared" si="17"/>
        <v>6.0810810810810814E-3</v>
      </c>
    </row>
    <row r="351" spans="1:16" x14ac:dyDescent="0.25">
      <c r="A351" t="str">
        <f t="shared" si="15"/>
        <v>Jadan Raymond</v>
      </c>
      <c r="B351" t="s">
        <v>1604</v>
      </c>
      <c r="C351" t="s">
        <v>1605</v>
      </c>
      <c r="D351">
        <v>8</v>
      </c>
      <c r="E351">
        <v>3</v>
      </c>
      <c r="F351">
        <v>45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f t="shared" si="16"/>
        <v>0</v>
      </c>
      <c r="P351">
        <f t="shared" si="17"/>
        <v>0</v>
      </c>
    </row>
    <row r="352" spans="1:16" x14ac:dyDescent="0.25">
      <c r="A352" t="str">
        <f t="shared" si="15"/>
        <v>Tayo Adaramola</v>
      </c>
      <c r="B352" t="s">
        <v>1606</v>
      </c>
      <c r="C352" t="s">
        <v>1607</v>
      </c>
      <c r="D352">
        <v>8</v>
      </c>
      <c r="E352">
        <v>2</v>
      </c>
      <c r="F352">
        <v>40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f t="shared" si="16"/>
        <v>0</v>
      </c>
      <c r="P352">
        <f t="shared" si="17"/>
        <v>0</v>
      </c>
    </row>
    <row r="353" spans="1:16" x14ac:dyDescent="0.25">
      <c r="A353" t="str">
        <f t="shared" si="15"/>
        <v>Daniel Muñoz</v>
      </c>
      <c r="B353" t="s">
        <v>416</v>
      </c>
      <c r="C353" t="s">
        <v>1608</v>
      </c>
      <c r="D353">
        <v>8</v>
      </c>
      <c r="E353">
        <v>2</v>
      </c>
      <c r="F353">
        <v>45</v>
      </c>
      <c r="G353">
        <v>1440</v>
      </c>
      <c r="H353">
        <v>16</v>
      </c>
      <c r="I353">
        <v>0</v>
      </c>
      <c r="J353">
        <v>4</v>
      </c>
      <c r="K353">
        <v>1.26</v>
      </c>
      <c r="L353">
        <v>1.26</v>
      </c>
      <c r="M353">
        <v>56</v>
      </c>
      <c r="N353">
        <v>270</v>
      </c>
      <c r="O353">
        <f t="shared" si="16"/>
        <v>7.8750000000000001E-2</v>
      </c>
      <c r="P353">
        <f t="shared" si="17"/>
        <v>7.8750000000000001E-2</v>
      </c>
    </row>
    <row r="354" spans="1:16" x14ac:dyDescent="0.25">
      <c r="A354" t="str">
        <f t="shared" si="15"/>
        <v>Adam Wharton</v>
      </c>
      <c r="B354" t="s">
        <v>143</v>
      </c>
      <c r="C354" t="s">
        <v>431</v>
      </c>
      <c r="D354">
        <v>8</v>
      </c>
      <c r="E354">
        <v>3</v>
      </c>
      <c r="F354">
        <v>50</v>
      </c>
      <c r="G354">
        <v>1296</v>
      </c>
      <c r="H354">
        <v>15</v>
      </c>
      <c r="I354">
        <v>0</v>
      </c>
      <c r="J354">
        <v>3</v>
      </c>
      <c r="K354">
        <v>0.38</v>
      </c>
      <c r="L354">
        <v>1.5</v>
      </c>
      <c r="M354">
        <v>50</v>
      </c>
      <c r="N354">
        <v>222</v>
      </c>
      <c r="O354">
        <f t="shared" si="16"/>
        <v>2.6388888888888889E-2</v>
      </c>
      <c r="P354">
        <f t="shared" si="17"/>
        <v>0.10416666666666666</v>
      </c>
    </row>
    <row r="355" spans="1:16" x14ac:dyDescent="0.25">
      <c r="A355" t="str">
        <f t="shared" si="15"/>
        <v>Franco Umeh-Chibueze</v>
      </c>
      <c r="B355" t="s">
        <v>1609</v>
      </c>
      <c r="C355" t="s">
        <v>1610</v>
      </c>
      <c r="D355">
        <v>8</v>
      </c>
      <c r="E355">
        <v>4</v>
      </c>
      <c r="F355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f t="shared" si="16"/>
        <v>0</v>
      </c>
      <c r="P355">
        <f t="shared" si="17"/>
        <v>0</v>
      </c>
    </row>
    <row r="356" spans="1:16" x14ac:dyDescent="0.25">
      <c r="A356" t="str">
        <f t="shared" si="15"/>
        <v>Kaden Rodney</v>
      </c>
      <c r="B356" t="s">
        <v>1256</v>
      </c>
      <c r="C356" t="s">
        <v>1611</v>
      </c>
      <c r="D356">
        <v>8</v>
      </c>
      <c r="E356">
        <v>3</v>
      </c>
      <c r="F356">
        <v>45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f t="shared" si="16"/>
        <v>0</v>
      </c>
      <c r="P356">
        <f t="shared" si="17"/>
        <v>0</v>
      </c>
    </row>
    <row r="357" spans="1:16" x14ac:dyDescent="0.25">
      <c r="A357" t="str">
        <f t="shared" si="15"/>
        <v>Roshaun Mathurin</v>
      </c>
      <c r="B357" t="s">
        <v>1612</v>
      </c>
      <c r="C357" t="s">
        <v>1613</v>
      </c>
      <c r="D357">
        <v>8</v>
      </c>
      <c r="E357">
        <v>3</v>
      </c>
      <c r="F357">
        <v>44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f t="shared" si="16"/>
        <v>0</v>
      </c>
      <c r="P357">
        <f t="shared" si="17"/>
        <v>0</v>
      </c>
    </row>
    <row r="358" spans="1:16" x14ac:dyDescent="0.25">
      <c r="A358" t="str">
        <f t="shared" si="15"/>
        <v>André Tavares Gomes</v>
      </c>
      <c r="B358" t="s">
        <v>1614</v>
      </c>
      <c r="C358" t="s">
        <v>1615</v>
      </c>
      <c r="D358">
        <v>9</v>
      </c>
      <c r="E358">
        <v>3</v>
      </c>
      <c r="F358">
        <v>44</v>
      </c>
      <c r="G358">
        <v>505</v>
      </c>
      <c r="H358">
        <v>3</v>
      </c>
      <c r="I358">
        <v>1</v>
      </c>
      <c r="J358">
        <v>0</v>
      </c>
      <c r="K358">
        <v>0.32</v>
      </c>
      <c r="L358">
        <v>0.43</v>
      </c>
      <c r="M358">
        <v>20</v>
      </c>
      <c r="N358">
        <v>64</v>
      </c>
      <c r="O358">
        <f t="shared" si="16"/>
        <v>5.7029702970297032E-2</v>
      </c>
      <c r="P358">
        <f t="shared" si="17"/>
        <v>7.6633663366336632E-2</v>
      </c>
    </row>
    <row r="359" spans="1:16" x14ac:dyDescent="0.25">
      <c r="A359" t="str">
        <f t="shared" si="15"/>
        <v>Jarrad Branthwaite</v>
      </c>
      <c r="B359" t="s">
        <v>477</v>
      </c>
      <c r="C359" t="s">
        <v>478</v>
      </c>
      <c r="D359">
        <v>9</v>
      </c>
      <c r="E359">
        <v>2</v>
      </c>
      <c r="F359">
        <v>45</v>
      </c>
      <c r="G359">
        <v>3116</v>
      </c>
      <c r="H359">
        <v>35</v>
      </c>
      <c r="I359">
        <v>3</v>
      </c>
      <c r="J359">
        <v>1</v>
      </c>
      <c r="K359">
        <v>1.62</v>
      </c>
      <c r="L359">
        <v>1.29</v>
      </c>
      <c r="M359">
        <v>124</v>
      </c>
      <c r="N359">
        <v>621</v>
      </c>
      <c r="O359">
        <f t="shared" si="16"/>
        <v>4.6790757381258027E-2</v>
      </c>
      <c r="P359">
        <f t="shared" si="17"/>
        <v>3.725930680359435E-2</v>
      </c>
    </row>
    <row r="360" spans="1:16" x14ac:dyDescent="0.25">
      <c r="A360" t="str">
        <f t="shared" si="15"/>
        <v>Dominic Calvert-Lewin</v>
      </c>
      <c r="B360" t="s">
        <v>681</v>
      </c>
      <c r="C360" t="s">
        <v>682</v>
      </c>
      <c r="D360">
        <v>9</v>
      </c>
      <c r="E360">
        <v>4</v>
      </c>
      <c r="F360">
        <v>58</v>
      </c>
      <c r="G360">
        <v>2166</v>
      </c>
      <c r="H360">
        <v>26</v>
      </c>
      <c r="I360">
        <v>7</v>
      </c>
      <c r="J360">
        <v>3</v>
      </c>
      <c r="K360">
        <v>12.86</v>
      </c>
      <c r="L360">
        <v>1.58</v>
      </c>
      <c r="M360">
        <v>101</v>
      </c>
      <c r="N360">
        <v>259</v>
      </c>
      <c r="O360">
        <f t="shared" si="16"/>
        <v>0.53434903047091409</v>
      </c>
      <c r="P360">
        <f t="shared" si="17"/>
        <v>6.5650969529085876E-2</v>
      </c>
    </row>
    <row r="361" spans="1:16" x14ac:dyDescent="0.25">
      <c r="A361" t="str">
        <f t="shared" si="15"/>
        <v>Seamus Coleman</v>
      </c>
      <c r="B361" t="s">
        <v>1616</v>
      </c>
      <c r="C361" t="s">
        <v>1617</v>
      </c>
      <c r="D361">
        <v>9</v>
      </c>
      <c r="E361">
        <v>2</v>
      </c>
      <c r="F361">
        <v>44</v>
      </c>
      <c r="G361">
        <v>661</v>
      </c>
      <c r="H361">
        <v>7</v>
      </c>
      <c r="I361">
        <v>0</v>
      </c>
      <c r="J361">
        <v>0</v>
      </c>
      <c r="K361">
        <v>0</v>
      </c>
      <c r="L361">
        <v>0.7</v>
      </c>
      <c r="M361">
        <v>30</v>
      </c>
      <c r="N361">
        <v>141</v>
      </c>
      <c r="O361">
        <f t="shared" si="16"/>
        <v>0</v>
      </c>
      <c r="P361">
        <f t="shared" si="17"/>
        <v>9.5310136157337355E-2</v>
      </c>
    </row>
    <row r="362" spans="1:16" x14ac:dyDescent="0.25">
      <c r="A362" t="str">
        <f t="shared" si="15"/>
        <v>Dele Alli</v>
      </c>
      <c r="B362" t="s">
        <v>1618</v>
      </c>
      <c r="C362" t="s">
        <v>1619</v>
      </c>
      <c r="D362">
        <v>9</v>
      </c>
      <c r="E362">
        <v>3</v>
      </c>
      <c r="F362">
        <v>48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t="shared" si="16"/>
        <v>0</v>
      </c>
      <c r="P362">
        <f t="shared" si="17"/>
        <v>0</v>
      </c>
    </row>
    <row r="363" spans="1:16" x14ac:dyDescent="0.25">
      <c r="A363" t="str">
        <f t="shared" si="15"/>
        <v>Abdoulaye Doucouré</v>
      </c>
      <c r="B363" t="s">
        <v>1620</v>
      </c>
      <c r="C363" t="s">
        <v>445</v>
      </c>
      <c r="D363">
        <v>9</v>
      </c>
      <c r="E363">
        <v>3</v>
      </c>
      <c r="F363">
        <v>55</v>
      </c>
      <c r="G363">
        <v>2632</v>
      </c>
      <c r="H363">
        <v>32</v>
      </c>
      <c r="I363">
        <v>7</v>
      </c>
      <c r="J363">
        <v>3</v>
      </c>
      <c r="K363">
        <v>8.6999999999999993</v>
      </c>
      <c r="L363">
        <v>1.51</v>
      </c>
      <c r="M363">
        <v>116</v>
      </c>
      <c r="N363">
        <v>335</v>
      </c>
      <c r="O363">
        <f t="shared" si="16"/>
        <v>0.29749240121580545</v>
      </c>
      <c r="P363">
        <f t="shared" si="17"/>
        <v>5.1633738601823707E-2</v>
      </c>
    </row>
    <row r="364" spans="1:16" x14ac:dyDescent="0.25">
      <c r="A364" t="str">
        <f t="shared" si="15"/>
        <v>James Garner</v>
      </c>
      <c r="B364" t="s">
        <v>135</v>
      </c>
      <c r="C364" t="s">
        <v>488</v>
      </c>
      <c r="D364">
        <v>9</v>
      </c>
      <c r="E364">
        <v>3</v>
      </c>
      <c r="F364">
        <v>49</v>
      </c>
      <c r="G364">
        <v>3001</v>
      </c>
      <c r="H364">
        <v>34</v>
      </c>
      <c r="I364">
        <v>1</v>
      </c>
      <c r="J364">
        <v>2</v>
      </c>
      <c r="K364">
        <v>2.62</v>
      </c>
      <c r="L364">
        <v>3.75</v>
      </c>
      <c r="M364">
        <v>87</v>
      </c>
      <c r="N364">
        <v>421</v>
      </c>
      <c r="O364">
        <f t="shared" si="16"/>
        <v>7.8573808730423189E-2</v>
      </c>
      <c r="P364">
        <f t="shared" si="17"/>
        <v>0.11246251249583473</v>
      </c>
    </row>
    <row r="365" spans="1:16" x14ac:dyDescent="0.25">
      <c r="A365" t="str">
        <f t="shared" si="15"/>
        <v>Jean-Philippe Gbamin</v>
      </c>
      <c r="B365" t="s">
        <v>454</v>
      </c>
      <c r="C365" t="s">
        <v>1621</v>
      </c>
      <c r="D365">
        <v>9</v>
      </c>
      <c r="E365">
        <v>3</v>
      </c>
      <c r="F365">
        <v>44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t="shared" si="16"/>
        <v>0</v>
      </c>
      <c r="P365">
        <f t="shared" si="17"/>
        <v>0</v>
      </c>
    </row>
    <row r="366" spans="1:16" x14ac:dyDescent="0.25">
      <c r="A366" t="str">
        <f t="shared" si="15"/>
        <v>Ben Godfrey</v>
      </c>
      <c r="B366" t="s">
        <v>159</v>
      </c>
      <c r="C366" t="s">
        <v>1622</v>
      </c>
      <c r="D366">
        <v>9</v>
      </c>
      <c r="E366">
        <v>2</v>
      </c>
      <c r="F366">
        <v>43</v>
      </c>
      <c r="G366">
        <v>1120</v>
      </c>
      <c r="H366">
        <v>13</v>
      </c>
      <c r="I366">
        <v>0</v>
      </c>
      <c r="J366">
        <v>0</v>
      </c>
      <c r="K366">
        <v>1.76</v>
      </c>
      <c r="L366">
        <v>0.55000000000000004</v>
      </c>
      <c r="M366">
        <v>37</v>
      </c>
      <c r="N366">
        <v>166</v>
      </c>
      <c r="O366">
        <f t="shared" si="16"/>
        <v>0.14142857142857143</v>
      </c>
      <c r="P366">
        <f t="shared" si="17"/>
        <v>4.4196428571428574E-2</v>
      </c>
    </row>
    <row r="367" spans="1:16" x14ac:dyDescent="0.25">
      <c r="A367" t="str">
        <f t="shared" si="15"/>
        <v>Demarai Gray</v>
      </c>
      <c r="B367" t="s">
        <v>1623</v>
      </c>
      <c r="C367" t="s">
        <v>974</v>
      </c>
      <c r="D367">
        <v>9</v>
      </c>
      <c r="E367">
        <v>3</v>
      </c>
      <c r="F367">
        <v>53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f t="shared" si="16"/>
        <v>0</v>
      </c>
      <c r="P367">
        <f t="shared" si="17"/>
        <v>0</v>
      </c>
    </row>
    <row r="368" spans="1:16" x14ac:dyDescent="0.25">
      <c r="A368" t="str">
        <f t="shared" si="15"/>
        <v>Idrissa Gueye</v>
      </c>
      <c r="B368" t="s">
        <v>1624</v>
      </c>
      <c r="C368" t="s">
        <v>1625</v>
      </c>
      <c r="D368">
        <v>9</v>
      </c>
      <c r="E368">
        <v>3</v>
      </c>
      <c r="F368">
        <v>48</v>
      </c>
      <c r="G368">
        <v>1885</v>
      </c>
      <c r="H368">
        <v>24</v>
      </c>
      <c r="I368">
        <v>4</v>
      </c>
      <c r="J368">
        <v>0</v>
      </c>
      <c r="K368">
        <v>1.25</v>
      </c>
      <c r="L368">
        <v>0.82</v>
      </c>
      <c r="M368">
        <v>73</v>
      </c>
      <c r="N368">
        <v>337</v>
      </c>
      <c r="O368">
        <f t="shared" si="16"/>
        <v>5.9681697612732093E-2</v>
      </c>
      <c r="P368">
        <f t="shared" si="17"/>
        <v>3.9151193633952253E-2</v>
      </c>
    </row>
    <row r="369" spans="1:16" x14ac:dyDescent="0.25">
      <c r="A369" t="str">
        <f t="shared" si="15"/>
        <v>Michael Keane</v>
      </c>
      <c r="B369" t="s">
        <v>193</v>
      </c>
      <c r="C369" t="s">
        <v>189</v>
      </c>
      <c r="D369">
        <v>9</v>
      </c>
      <c r="E369">
        <v>2</v>
      </c>
      <c r="F369">
        <v>42</v>
      </c>
      <c r="G369">
        <v>437</v>
      </c>
      <c r="H369">
        <v>4</v>
      </c>
      <c r="I369">
        <v>1</v>
      </c>
      <c r="J369">
        <v>0</v>
      </c>
      <c r="K369">
        <v>0.56000000000000005</v>
      </c>
      <c r="L369">
        <v>0.06</v>
      </c>
      <c r="M369">
        <v>18</v>
      </c>
      <c r="N369">
        <v>72</v>
      </c>
      <c r="O369">
        <f t="shared" si="16"/>
        <v>0.11533180778032039</v>
      </c>
      <c r="P369">
        <f t="shared" si="17"/>
        <v>1.2356979405034324E-2</v>
      </c>
    </row>
    <row r="370" spans="1:16" x14ac:dyDescent="0.25">
      <c r="A370" t="str">
        <f t="shared" si="15"/>
        <v>Dwight McNeil</v>
      </c>
      <c r="B370" t="s">
        <v>460</v>
      </c>
      <c r="C370" t="s">
        <v>461</v>
      </c>
      <c r="D370">
        <v>9</v>
      </c>
      <c r="E370">
        <v>3</v>
      </c>
      <c r="F370">
        <v>54</v>
      </c>
      <c r="G370">
        <v>2891</v>
      </c>
      <c r="H370">
        <v>33</v>
      </c>
      <c r="I370">
        <v>3</v>
      </c>
      <c r="J370">
        <v>8</v>
      </c>
      <c r="K370">
        <v>3.26</v>
      </c>
      <c r="L370">
        <v>7.9</v>
      </c>
      <c r="M370">
        <v>124</v>
      </c>
      <c r="N370">
        <v>515</v>
      </c>
      <c r="O370">
        <f t="shared" si="16"/>
        <v>0.10148737461086128</v>
      </c>
      <c r="P370">
        <f t="shared" si="17"/>
        <v>0.24593566240055345</v>
      </c>
    </row>
    <row r="371" spans="1:16" x14ac:dyDescent="0.25">
      <c r="A371" t="str">
        <f t="shared" si="15"/>
        <v>Vitalii Mykolenko</v>
      </c>
      <c r="B371" t="s">
        <v>480</v>
      </c>
      <c r="C371" t="s">
        <v>481</v>
      </c>
      <c r="D371">
        <v>9</v>
      </c>
      <c r="E371">
        <v>2</v>
      </c>
      <c r="F371">
        <v>45</v>
      </c>
      <c r="G371">
        <v>2469</v>
      </c>
      <c r="H371">
        <v>28</v>
      </c>
      <c r="I371">
        <v>2</v>
      </c>
      <c r="J371">
        <v>1</v>
      </c>
      <c r="K371">
        <v>1.49</v>
      </c>
      <c r="L371">
        <v>1.07</v>
      </c>
      <c r="M371">
        <v>101</v>
      </c>
      <c r="N371">
        <v>452</v>
      </c>
      <c r="O371">
        <f t="shared" si="16"/>
        <v>5.4313487241798297E-2</v>
      </c>
      <c r="P371">
        <f t="shared" si="17"/>
        <v>3.9003645200486034E-2</v>
      </c>
    </row>
    <row r="372" spans="1:16" x14ac:dyDescent="0.25">
      <c r="A372" t="str">
        <f t="shared" si="15"/>
        <v>Amadou Onana</v>
      </c>
      <c r="B372" t="s">
        <v>107</v>
      </c>
      <c r="C372" t="s">
        <v>108</v>
      </c>
      <c r="D372">
        <v>9</v>
      </c>
      <c r="E372">
        <v>3</v>
      </c>
      <c r="F372">
        <v>47</v>
      </c>
      <c r="G372">
        <v>2085</v>
      </c>
      <c r="H372">
        <v>23</v>
      </c>
      <c r="I372">
        <v>2</v>
      </c>
      <c r="J372">
        <v>0</v>
      </c>
      <c r="K372">
        <v>2.2200000000000002</v>
      </c>
      <c r="L372">
        <v>1.39</v>
      </c>
      <c r="M372">
        <v>66</v>
      </c>
      <c r="N372">
        <v>304</v>
      </c>
      <c r="O372">
        <f t="shared" si="16"/>
        <v>9.5827338129496412E-2</v>
      </c>
      <c r="P372">
        <f t="shared" si="17"/>
        <v>0.06</v>
      </c>
    </row>
    <row r="373" spans="1:16" x14ac:dyDescent="0.25">
      <c r="A373" t="str">
        <f t="shared" si="15"/>
        <v>Nathan Patterson</v>
      </c>
      <c r="B373" t="s">
        <v>185</v>
      </c>
      <c r="C373" t="s">
        <v>482</v>
      </c>
      <c r="D373">
        <v>9</v>
      </c>
      <c r="E373">
        <v>2</v>
      </c>
      <c r="F373">
        <v>43</v>
      </c>
      <c r="G373">
        <v>1000</v>
      </c>
      <c r="H373">
        <v>9</v>
      </c>
      <c r="I373">
        <v>0</v>
      </c>
      <c r="J373">
        <v>2</v>
      </c>
      <c r="K373">
        <v>0.34</v>
      </c>
      <c r="L373">
        <v>1.03</v>
      </c>
      <c r="M373">
        <v>34</v>
      </c>
      <c r="N373">
        <v>187</v>
      </c>
      <c r="O373">
        <f t="shared" si="16"/>
        <v>3.0600000000000002E-2</v>
      </c>
      <c r="P373">
        <f t="shared" si="17"/>
        <v>9.2700000000000005E-2</v>
      </c>
    </row>
    <row r="374" spans="1:16" x14ac:dyDescent="0.25">
      <c r="A374" t="str">
        <f t="shared" si="15"/>
        <v>Jordan Pickford</v>
      </c>
      <c r="B374" t="s">
        <v>289</v>
      </c>
      <c r="C374" t="s">
        <v>472</v>
      </c>
      <c r="D374">
        <v>9</v>
      </c>
      <c r="E374">
        <v>1</v>
      </c>
      <c r="F374">
        <v>48</v>
      </c>
      <c r="G374">
        <v>3420</v>
      </c>
      <c r="H374">
        <v>38</v>
      </c>
      <c r="I374">
        <v>0</v>
      </c>
      <c r="J374">
        <v>0</v>
      </c>
      <c r="K374">
        <v>0</v>
      </c>
      <c r="L374">
        <v>0.46</v>
      </c>
      <c r="M374">
        <v>153</v>
      </c>
      <c r="N374">
        <v>734</v>
      </c>
      <c r="O374">
        <f t="shared" si="16"/>
        <v>0</v>
      </c>
      <c r="P374">
        <f t="shared" si="17"/>
        <v>1.2105263157894737E-2</v>
      </c>
    </row>
    <row r="375" spans="1:16" x14ac:dyDescent="0.25">
      <c r="A375" t="str">
        <f t="shared" si="15"/>
        <v>Ellis Simms</v>
      </c>
      <c r="B375" t="s">
        <v>399</v>
      </c>
      <c r="C375" t="s">
        <v>400</v>
      </c>
      <c r="D375">
        <v>9</v>
      </c>
      <c r="E375">
        <v>4</v>
      </c>
      <c r="F375">
        <v>45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f t="shared" si="16"/>
        <v>0</v>
      </c>
      <c r="P375">
        <f t="shared" si="17"/>
        <v>0</v>
      </c>
    </row>
    <row r="376" spans="1:16" x14ac:dyDescent="0.25">
      <c r="A376" t="str">
        <f t="shared" si="15"/>
        <v>James Tarkowski</v>
      </c>
      <c r="B376" t="s">
        <v>135</v>
      </c>
      <c r="C376" t="s">
        <v>476</v>
      </c>
      <c r="D376">
        <v>9</v>
      </c>
      <c r="E376">
        <v>2</v>
      </c>
      <c r="F376">
        <v>46</v>
      </c>
      <c r="G376">
        <v>3420</v>
      </c>
      <c r="H376">
        <v>38</v>
      </c>
      <c r="I376">
        <v>1</v>
      </c>
      <c r="J376">
        <v>1</v>
      </c>
      <c r="K376">
        <v>2.5499999999999998</v>
      </c>
      <c r="L376">
        <v>2.66</v>
      </c>
      <c r="M376">
        <v>117</v>
      </c>
      <c r="N376">
        <v>649</v>
      </c>
      <c r="O376">
        <f t="shared" si="16"/>
        <v>6.7105263157894723E-2</v>
      </c>
      <c r="P376">
        <f t="shared" si="17"/>
        <v>7.0000000000000007E-2</v>
      </c>
    </row>
    <row r="377" spans="1:16" x14ac:dyDescent="0.25">
      <c r="A377" t="str">
        <f t="shared" si="15"/>
        <v>João Neves Virgínia</v>
      </c>
      <c r="B377" t="s">
        <v>1626</v>
      </c>
      <c r="C377" t="s">
        <v>1627</v>
      </c>
      <c r="D377">
        <v>9</v>
      </c>
      <c r="E377">
        <v>1</v>
      </c>
      <c r="F377">
        <v>39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f t="shared" si="16"/>
        <v>0</v>
      </c>
      <c r="P377">
        <f t="shared" si="17"/>
        <v>0</v>
      </c>
    </row>
    <row r="378" spans="1:16" x14ac:dyDescent="0.25">
      <c r="A378" t="str">
        <f t="shared" si="15"/>
        <v>Andy Lonergan</v>
      </c>
      <c r="B378" t="s">
        <v>1628</v>
      </c>
      <c r="C378" t="s">
        <v>1629</v>
      </c>
      <c r="D378">
        <v>9</v>
      </c>
      <c r="E378">
        <v>1</v>
      </c>
      <c r="F378">
        <v>39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t="shared" si="16"/>
        <v>0</v>
      </c>
      <c r="P378">
        <f t="shared" si="17"/>
        <v>0</v>
      </c>
    </row>
    <row r="379" spans="1:16" x14ac:dyDescent="0.25">
      <c r="A379" t="str">
        <f t="shared" si="15"/>
        <v>Ashley Young</v>
      </c>
      <c r="B379" t="s">
        <v>953</v>
      </c>
      <c r="C379" t="s">
        <v>1340</v>
      </c>
      <c r="D379">
        <v>9</v>
      </c>
      <c r="E379">
        <v>2</v>
      </c>
      <c r="F379">
        <v>44</v>
      </c>
      <c r="G379">
        <v>2277</v>
      </c>
      <c r="H379">
        <v>27</v>
      </c>
      <c r="I379">
        <v>0</v>
      </c>
      <c r="J379">
        <v>1</v>
      </c>
      <c r="K379">
        <v>0.67</v>
      </c>
      <c r="L379">
        <v>1.51</v>
      </c>
      <c r="M379">
        <v>76</v>
      </c>
      <c r="N379">
        <v>375</v>
      </c>
      <c r="O379">
        <f t="shared" si="16"/>
        <v>2.6482213438735178E-2</v>
      </c>
      <c r="P379">
        <f t="shared" si="17"/>
        <v>5.9683794466403157E-2</v>
      </c>
    </row>
    <row r="380" spans="1:16" x14ac:dyDescent="0.25">
      <c r="A380" t="str">
        <f t="shared" si="15"/>
        <v>Arnaut Danjuma Groeneveld</v>
      </c>
      <c r="B380" t="s">
        <v>1630</v>
      </c>
      <c r="C380" t="s">
        <v>1631</v>
      </c>
      <c r="D380">
        <v>9</v>
      </c>
      <c r="E380">
        <v>3</v>
      </c>
      <c r="F380">
        <v>52</v>
      </c>
      <c r="G380">
        <v>587</v>
      </c>
      <c r="H380">
        <v>5</v>
      </c>
      <c r="I380">
        <v>1</v>
      </c>
      <c r="J380">
        <v>0</v>
      </c>
      <c r="K380">
        <v>2.63</v>
      </c>
      <c r="L380">
        <v>0.42</v>
      </c>
      <c r="M380">
        <v>26</v>
      </c>
      <c r="N380">
        <v>53</v>
      </c>
      <c r="O380">
        <f t="shared" si="16"/>
        <v>0.40323679727427597</v>
      </c>
      <c r="P380">
        <f t="shared" si="17"/>
        <v>6.4395229982964222E-2</v>
      </c>
    </row>
    <row r="381" spans="1:16" x14ac:dyDescent="0.25">
      <c r="A381" t="str">
        <f t="shared" si="15"/>
        <v>Lewis Dobbin</v>
      </c>
      <c r="B381" t="s">
        <v>157</v>
      </c>
      <c r="C381" t="s">
        <v>1632</v>
      </c>
      <c r="D381">
        <v>9</v>
      </c>
      <c r="E381">
        <v>3</v>
      </c>
      <c r="F381">
        <v>45</v>
      </c>
      <c r="G381">
        <v>226</v>
      </c>
      <c r="H381">
        <v>1</v>
      </c>
      <c r="I381">
        <v>1</v>
      </c>
      <c r="J381">
        <v>0</v>
      </c>
      <c r="K381">
        <v>0.34</v>
      </c>
      <c r="L381">
        <v>0.12</v>
      </c>
      <c r="M381">
        <v>18</v>
      </c>
      <c r="N381">
        <v>54</v>
      </c>
      <c r="O381">
        <f t="shared" si="16"/>
        <v>0.13539823008849558</v>
      </c>
      <c r="P381">
        <f t="shared" si="17"/>
        <v>4.7787610619469019E-2</v>
      </c>
    </row>
    <row r="382" spans="1:16" x14ac:dyDescent="0.25">
      <c r="A382" t="str">
        <f t="shared" si="15"/>
        <v>Youssef Ramalho Chermiti</v>
      </c>
      <c r="B382" t="s">
        <v>1633</v>
      </c>
      <c r="C382" t="s">
        <v>1634</v>
      </c>
      <c r="D382">
        <v>9</v>
      </c>
      <c r="E382">
        <v>4</v>
      </c>
      <c r="F382">
        <v>48</v>
      </c>
      <c r="G382">
        <v>196</v>
      </c>
      <c r="H382">
        <v>1</v>
      </c>
      <c r="I382">
        <v>0</v>
      </c>
      <c r="J382">
        <v>0</v>
      </c>
      <c r="K382">
        <v>0.74</v>
      </c>
      <c r="L382">
        <v>0.3</v>
      </c>
      <c r="M382">
        <v>16</v>
      </c>
      <c r="N382">
        <v>28</v>
      </c>
      <c r="O382">
        <f t="shared" si="16"/>
        <v>0.33979591836734696</v>
      </c>
      <c r="P382">
        <f t="shared" si="17"/>
        <v>0.13775510204081631</v>
      </c>
    </row>
    <row r="383" spans="1:16" x14ac:dyDescent="0.25">
      <c r="A383" t="str">
        <f t="shared" si="15"/>
        <v>Thomas Cannon</v>
      </c>
      <c r="B383" t="s">
        <v>364</v>
      </c>
      <c r="C383" t="s">
        <v>1635</v>
      </c>
      <c r="D383">
        <v>9</v>
      </c>
      <c r="E383">
        <v>4</v>
      </c>
      <c r="F383">
        <v>45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3</v>
      </c>
      <c r="O383">
        <f t="shared" si="16"/>
        <v>0</v>
      </c>
      <c r="P383">
        <f t="shared" si="17"/>
        <v>0</v>
      </c>
    </row>
    <row r="384" spans="1:16" x14ac:dyDescent="0.25">
      <c r="A384" t="str">
        <f t="shared" si="15"/>
        <v>Tyler Onyango</v>
      </c>
      <c r="B384" t="s">
        <v>161</v>
      </c>
      <c r="C384" t="s">
        <v>1636</v>
      </c>
      <c r="D384">
        <v>9</v>
      </c>
      <c r="E384">
        <v>3</v>
      </c>
      <c r="F384">
        <v>44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3</v>
      </c>
      <c r="O384">
        <f t="shared" si="16"/>
        <v>0</v>
      </c>
      <c r="P384">
        <f t="shared" si="17"/>
        <v>0</v>
      </c>
    </row>
    <row r="385" spans="1:16" x14ac:dyDescent="0.25">
      <c r="A385" t="str">
        <f t="shared" si="15"/>
        <v>Jack Harrison</v>
      </c>
      <c r="B385" t="s">
        <v>253</v>
      </c>
      <c r="C385" t="s">
        <v>493</v>
      </c>
      <c r="D385">
        <v>9</v>
      </c>
      <c r="E385">
        <v>3</v>
      </c>
      <c r="F385">
        <v>55</v>
      </c>
      <c r="G385">
        <v>2212</v>
      </c>
      <c r="H385">
        <v>25</v>
      </c>
      <c r="I385">
        <v>3</v>
      </c>
      <c r="J385">
        <v>3</v>
      </c>
      <c r="K385">
        <v>3.68</v>
      </c>
      <c r="L385">
        <v>3.02</v>
      </c>
      <c r="M385">
        <v>92</v>
      </c>
      <c r="N385">
        <v>292</v>
      </c>
      <c r="O385">
        <f t="shared" si="16"/>
        <v>0.14972875226039783</v>
      </c>
      <c r="P385">
        <f t="shared" si="17"/>
        <v>0.122875226039783</v>
      </c>
    </row>
    <row r="386" spans="1:16" x14ac:dyDescent="0.25">
      <c r="A386" t="str">
        <f t="shared" ref="A386:A449" si="18">_xlfn.CONCAT(B386, " ", C386)</f>
        <v>Norberto Bercique Gomes Betuncal</v>
      </c>
      <c r="B386" t="s">
        <v>500</v>
      </c>
      <c r="C386" t="s">
        <v>501</v>
      </c>
      <c r="D386">
        <v>9</v>
      </c>
      <c r="E386">
        <v>4</v>
      </c>
      <c r="F386">
        <v>57</v>
      </c>
      <c r="G386">
        <v>943</v>
      </c>
      <c r="H386">
        <v>9</v>
      </c>
      <c r="I386">
        <v>3</v>
      </c>
      <c r="J386">
        <v>0</v>
      </c>
      <c r="K386">
        <v>6.46</v>
      </c>
      <c r="L386">
        <v>0.3</v>
      </c>
      <c r="M386">
        <v>50</v>
      </c>
      <c r="N386">
        <v>105</v>
      </c>
      <c r="O386">
        <f t="shared" ref="O386:O449" si="19">IFERROR(K386/G386*90,0)</f>
        <v>0.616542948038176</v>
      </c>
      <c r="P386">
        <f t="shared" ref="P386:P449" si="20">IFERROR(L386/G386*90,0)</f>
        <v>2.863202545068929E-2</v>
      </c>
    </row>
    <row r="387" spans="1:16" x14ac:dyDescent="0.25">
      <c r="A387" t="str">
        <f t="shared" si="18"/>
        <v>Mackenzie Hunt</v>
      </c>
      <c r="B387" t="s">
        <v>1637</v>
      </c>
      <c r="C387" t="s">
        <v>1638</v>
      </c>
      <c r="D387">
        <v>9</v>
      </c>
      <c r="E387">
        <v>3</v>
      </c>
      <c r="F387">
        <v>45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f t="shared" si="19"/>
        <v>0</v>
      </c>
      <c r="P387">
        <f t="shared" si="20"/>
        <v>0</v>
      </c>
    </row>
    <row r="388" spans="1:16" x14ac:dyDescent="0.25">
      <c r="A388" t="str">
        <f t="shared" si="18"/>
        <v>Jenson Metcalfe</v>
      </c>
      <c r="B388" t="s">
        <v>997</v>
      </c>
      <c r="C388" t="s">
        <v>1639</v>
      </c>
      <c r="D388">
        <v>9</v>
      </c>
      <c r="E388">
        <v>3</v>
      </c>
      <c r="F388">
        <v>45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f t="shared" si="19"/>
        <v>0</v>
      </c>
      <c r="P388">
        <f t="shared" si="20"/>
        <v>0</v>
      </c>
    </row>
    <row r="389" spans="1:16" x14ac:dyDescent="0.25">
      <c r="A389" t="str">
        <f t="shared" si="18"/>
        <v>Elijah Campbell</v>
      </c>
      <c r="B389" t="s">
        <v>1640</v>
      </c>
      <c r="C389" t="s">
        <v>1641</v>
      </c>
      <c r="D389">
        <v>9</v>
      </c>
      <c r="E389">
        <v>2</v>
      </c>
      <c r="F389">
        <v>40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f t="shared" si="19"/>
        <v>0</v>
      </c>
      <c r="P389">
        <f t="shared" si="20"/>
        <v>0</v>
      </c>
    </row>
    <row r="390" spans="1:16" x14ac:dyDescent="0.25">
      <c r="A390" t="str">
        <f t="shared" si="18"/>
        <v>Lewis Warrington</v>
      </c>
      <c r="B390" t="s">
        <v>157</v>
      </c>
      <c r="C390" t="s">
        <v>1642</v>
      </c>
      <c r="D390">
        <v>9</v>
      </c>
      <c r="E390">
        <v>3</v>
      </c>
      <c r="F390">
        <v>45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3</v>
      </c>
      <c r="O390">
        <f t="shared" si="19"/>
        <v>0</v>
      </c>
      <c r="P390">
        <f t="shared" si="20"/>
        <v>0</v>
      </c>
    </row>
    <row r="391" spans="1:16" x14ac:dyDescent="0.25">
      <c r="A391" t="str">
        <f t="shared" si="18"/>
        <v>Billy Crellin</v>
      </c>
      <c r="B391" t="s">
        <v>1428</v>
      </c>
      <c r="C391" t="s">
        <v>1643</v>
      </c>
      <c r="D391">
        <v>9</v>
      </c>
      <c r="E391">
        <v>1</v>
      </c>
      <c r="F391">
        <v>40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f t="shared" si="19"/>
        <v>0</v>
      </c>
      <c r="P391">
        <f t="shared" si="20"/>
        <v>0</v>
      </c>
    </row>
    <row r="392" spans="1:16" x14ac:dyDescent="0.25">
      <c r="A392" t="str">
        <f t="shared" si="18"/>
        <v>Armando Broja</v>
      </c>
      <c r="B392" t="s">
        <v>1644</v>
      </c>
      <c r="C392" t="s">
        <v>1645</v>
      </c>
      <c r="D392">
        <v>10</v>
      </c>
      <c r="E392">
        <v>4</v>
      </c>
      <c r="F392">
        <v>49</v>
      </c>
      <c r="G392">
        <v>529</v>
      </c>
      <c r="H392">
        <v>6</v>
      </c>
      <c r="I392">
        <v>1</v>
      </c>
      <c r="J392">
        <v>2</v>
      </c>
      <c r="K392">
        <v>2.2400000000000002</v>
      </c>
      <c r="L392">
        <v>0.23</v>
      </c>
      <c r="M392">
        <v>35</v>
      </c>
      <c r="N392">
        <v>72</v>
      </c>
      <c r="O392">
        <f t="shared" si="19"/>
        <v>0.3810964083175804</v>
      </c>
      <c r="P392">
        <f t="shared" si="20"/>
        <v>3.9130434782608699E-2</v>
      </c>
    </row>
    <row r="393" spans="1:16" x14ac:dyDescent="0.25">
      <c r="A393" t="str">
        <f t="shared" si="18"/>
        <v>Alex Iwobi</v>
      </c>
      <c r="B393" t="s">
        <v>153</v>
      </c>
      <c r="C393" t="s">
        <v>521</v>
      </c>
      <c r="D393">
        <v>10</v>
      </c>
      <c r="E393">
        <v>3</v>
      </c>
      <c r="F393">
        <v>53</v>
      </c>
      <c r="G393">
        <v>2331</v>
      </c>
      <c r="H393">
        <v>27</v>
      </c>
      <c r="I393">
        <v>5</v>
      </c>
      <c r="J393">
        <v>2</v>
      </c>
      <c r="K393">
        <v>5.23</v>
      </c>
      <c r="L393">
        <v>4.2</v>
      </c>
      <c r="M393">
        <v>102</v>
      </c>
      <c r="N393">
        <v>425</v>
      </c>
      <c r="O393">
        <f t="shared" si="19"/>
        <v>0.20193050193050194</v>
      </c>
      <c r="P393">
        <f t="shared" si="20"/>
        <v>0.16216216216216217</v>
      </c>
    </row>
    <row r="394" spans="1:16" x14ac:dyDescent="0.25">
      <c r="A394" t="str">
        <f t="shared" si="18"/>
        <v>Andreas Hoelgebaum Pereira</v>
      </c>
      <c r="B394" t="s">
        <v>1646</v>
      </c>
      <c r="C394" t="s">
        <v>1647</v>
      </c>
      <c r="D394">
        <v>10</v>
      </c>
      <c r="E394">
        <v>3</v>
      </c>
      <c r="F394">
        <v>53</v>
      </c>
      <c r="G394">
        <v>2611</v>
      </c>
      <c r="H394">
        <v>34</v>
      </c>
      <c r="I394">
        <v>3</v>
      </c>
      <c r="J394">
        <v>9</v>
      </c>
      <c r="K394">
        <v>4.5199999999999996</v>
      </c>
      <c r="L394">
        <v>5.72</v>
      </c>
      <c r="M394">
        <v>127</v>
      </c>
      <c r="N394">
        <v>459</v>
      </c>
      <c r="O394">
        <f t="shared" si="19"/>
        <v>0.1558023745691306</v>
      </c>
      <c r="P394">
        <f t="shared" si="20"/>
        <v>0.19716583684412101</v>
      </c>
    </row>
    <row r="395" spans="1:16" x14ac:dyDescent="0.25">
      <c r="A395" t="str">
        <f t="shared" si="18"/>
        <v>Tom Cairney</v>
      </c>
      <c r="B395" t="s">
        <v>272</v>
      </c>
      <c r="C395" t="s">
        <v>528</v>
      </c>
      <c r="D395">
        <v>10</v>
      </c>
      <c r="E395">
        <v>3</v>
      </c>
      <c r="F395">
        <v>49</v>
      </c>
      <c r="G395">
        <v>1472</v>
      </c>
      <c r="H395">
        <v>14</v>
      </c>
      <c r="I395">
        <v>1</v>
      </c>
      <c r="J395">
        <v>6</v>
      </c>
      <c r="K395">
        <v>1.03</v>
      </c>
      <c r="L395">
        <v>2.58</v>
      </c>
      <c r="M395">
        <v>70</v>
      </c>
      <c r="N395">
        <v>346</v>
      </c>
      <c r="O395">
        <f t="shared" si="19"/>
        <v>6.297554347826087E-2</v>
      </c>
      <c r="P395">
        <f t="shared" si="20"/>
        <v>0.1577445652173913</v>
      </c>
    </row>
    <row r="396" spans="1:16" x14ac:dyDescent="0.25">
      <c r="A396" t="str">
        <f t="shared" si="18"/>
        <v>Ivan Neves Abreu Cavaleiro</v>
      </c>
      <c r="B396" t="s">
        <v>1399</v>
      </c>
      <c r="C396" t="s">
        <v>1648</v>
      </c>
      <c r="D396">
        <v>10</v>
      </c>
      <c r="E396">
        <v>3</v>
      </c>
      <c r="F396">
        <v>50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f t="shared" si="19"/>
        <v>0</v>
      </c>
      <c r="P396">
        <f t="shared" si="20"/>
        <v>0</v>
      </c>
    </row>
    <row r="397" spans="1:16" x14ac:dyDescent="0.25">
      <c r="A397" t="str">
        <f t="shared" si="18"/>
        <v>Bobby De Cordova-Reid</v>
      </c>
      <c r="B397" t="s">
        <v>363</v>
      </c>
      <c r="C397" t="s">
        <v>1649</v>
      </c>
      <c r="D397">
        <v>10</v>
      </c>
      <c r="E397">
        <v>3</v>
      </c>
      <c r="F397">
        <v>52</v>
      </c>
      <c r="G397">
        <v>1410</v>
      </c>
      <c r="H397">
        <v>17</v>
      </c>
      <c r="I397">
        <v>6</v>
      </c>
      <c r="J397">
        <v>3</v>
      </c>
      <c r="K397">
        <v>4.55</v>
      </c>
      <c r="L397">
        <v>1.1200000000000001</v>
      </c>
      <c r="M397">
        <v>92</v>
      </c>
      <c r="N397">
        <v>290</v>
      </c>
      <c r="O397">
        <f t="shared" si="19"/>
        <v>0.29042553191489356</v>
      </c>
      <c r="P397">
        <f t="shared" si="20"/>
        <v>7.1489361702127663E-2</v>
      </c>
    </row>
    <row r="398" spans="1:16" x14ac:dyDescent="0.25">
      <c r="A398" t="str">
        <f t="shared" si="18"/>
        <v>Issa Diop</v>
      </c>
      <c r="B398" t="s">
        <v>600</v>
      </c>
      <c r="C398" t="s">
        <v>601</v>
      </c>
      <c r="D398">
        <v>10</v>
      </c>
      <c r="E398">
        <v>2</v>
      </c>
      <c r="F398">
        <v>44</v>
      </c>
      <c r="G398">
        <v>1423</v>
      </c>
      <c r="H398">
        <v>16</v>
      </c>
      <c r="I398">
        <v>0</v>
      </c>
      <c r="J398">
        <v>0</v>
      </c>
      <c r="K398">
        <v>0.26</v>
      </c>
      <c r="L398">
        <v>0.42</v>
      </c>
      <c r="M398">
        <v>43</v>
      </c>
      <c r="N398">
        <v>259</v>
      </c>
      <c r="O398">
        <f t="shared" si="19"/>
        <v>1.6444132115249473E-2</v>
      </c>
      <c r="P398">
        <f t="shared" si="20"/>
        <v>2.656359803232607E-2</v>
      </c>
    </row>
    <row r="399" spans="1:16" x14ac:dyDescent="0.25">
      <c r="A399" t="str">
        <f t="shared" si="18"/>
        <v>Tyrese Francois</v>
      </c>
      <c r="B399" t="s">
        <v>1650</v>
      </c>
      <c r="C399" t="s">
        <v>1651</v>
      </c>
      <c r="D399">
        <v>10</v>
      </c>
      <c r="E399">
        <v>3</v>
      </c>
      <c r="F399">
        <v>44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f t="shared" si="19"/>
        <v>0</v>
      </c>
      <c r="P399">
        <f t="shared" si="20"/>
        <v>0</v>
      </c>
    </row>
    <row r="400" spans="1:16" x14ac:dyDescent="0.25">
      <c r="A400" t="str">
        <f t="shared" si="18"/>
        <v>Anthony Knockaert</v>
      </c>
      <c r="B400" t="s">
        <v>222</v>
      </c>
      <c r="C400" t="s">
        <v>1652</v>
      </c>
      <c r="D400">
        <v>10</v>
      </c>
      <c r="E400">
        <v>3</v>
      </c>
      <c r="F400">
        <v>44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t="shared" si="19"/>
        <v>0</v>
      </c>
      <c r="P400">
        <f t="shared" si="20"/>
        <v>0</v>
      </c>
    </row>
    <row r="401" spans="1:16" x14ac:dyDescent="0.25">
      <c r="A401" t="str">
        <f t="shared" si="18"/>
        <v>Terence Kongolo</v>
      </c>
      <c r="B401" t="s">
        <v>1653</v>
      </c>
      <c r="C401" t="s">
        <v>1654</v>
      </c>
      <c r="D401">
        <v>10</v>
      </c>
      <c r="E401">
        <v>2</v>
      </c>
      <c r="F401">
        <v>40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f t="shared" si="19"/>
        <v>0</v>
      </c>
      <c r="P401">
        <f t="shared" si="20"/>
        <v>0</v>
      </c>
    </row>
    <row r="402" spans="1:16" x14ac:dyDescent="0.25">
      <c r="A402" t="str">
        <f t="shared" si="18"/>
        <v>Bernd Leno</v>
      </c>
      <c r="B402" t="s">
        <v>504</v>
      </c>
      <c r="C402" t="s">
        <v>505</v>
      </c>
      <c r="D402">
        <v>10</v>
      </c>
      <c r="E402">
        <v>1</v>
      </c>
      <c r="F402">
        <v>48</v>
      </c>
      <c r="G402">
        <v>3420</v>
      </c>
      <c r="H402">
        <v>38</v>
      </c>
      <c r="I402">
        <v>0</v>
      </c>
      <c r="J402">
        <v>0</v>
      </c>
      <c r="K402">
        <v>0</v>
      </c>
      <c r="L402">
        <v>0</v>
      </c>
      <c r="M402">
        <v>133</v>
      </c>
      <c r="N402">
        <v>782</v>
      </c>
      <c r="O402">
        <f t="shared" si="19"/>
        <v>0</v>
      </c>
      <c r="P402">
        <f t="shared" si="20"/>
        <v>0</v>
      </c>
    </row>
    <row r="403" spans="1:16" x14ac:dyDescent="0.25">
      <c r="A403" t="str">
        <f t="shared" si="18"/>
        <v>Saša Lukić</v>
      </c>
      <c r="B403" t="s">
        <v>602</v>
      </c>
      <c r="C403" t="s">
        <v>603</v>
      </c>
      <c r="D403">
        <v>10</v>
      </c>
      <c r="E403">
        <v>3</v>
      </c>
      <c r="F403">
        <v>43</v>
      </c>
      <c r="G403">
        <v>1113</v>
      </c>
      <c r="H403">
        <v>13</v>
      </c>
      <c r="I403">
        <v>1</v>
      </c>
      <c r="J403">
        <v>0</v>
      </c>
      <c r="K403">
        <v>1.49</v>
      </c>
      <c r="L403">
        <v>0.46</v>
      </c>
      <c r="M403">
        <v>43</v>
      </c>
      <c r="N403">
        <v>157</v>
      </c>
      <c r="O403">
        <f t="shared" si="19"/>
        <v>0.12048517520215635</v>
      </c>
      <c r="P403">
        <f t="shared" si="20"/>
        <v>3.7196765498652293E-2</v>
      </c>
    </row>
    <row r="404" spans="1:16" x14ac:dyDescent="0.25">
      <c r="A404" t="str">
        <f t="shared" si="18"/>
        <v>Kevin Mbabu</v>
      </c>
      <c r="B404" t="s">
        <v>204</v>
      </c>
      <c r="C404" t="s">
        <v>1655</v>
      </c>
      <c r="D404">
        <v>10</v>
      </c>
      <c r="E404">
        <v>2</v>
      </c>
      <c r="F404">
        <v>40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f t="shared" si="19"/>
        <v>0</v>
      </c>
      <c r="P404">
        <f t="shared" si="20"/>
        <v>0</v>
      </c>
    </row>
    <row r="405" spans="1:16" x14ac:dyDescent="0.25">
      <c r="A405" t="str">
        <f t="shared" si="18"/>
        <v>Aleksandar Mitrović</v>
      </c>
      <c r="B405" t="s">
        <v>1656</v>
      </c>
      <c r="C405" t="s">
        <v>1657</v>
      </c>
      <c r="D405">
        <v>10</v>
      </c>
      <c r="E405">
        <v>4</v>
      </c>
      <c r="F405">
        <v>74</v>
      </c>
      <c r="G405">
        <v>32</v>
      </c>
      <c r="H405">
        <v>0</v>
      </c>
      <c r="I405">
        <v>0</v>
      </c>
      <c r="J405">
        <v>0</v>
      </c>
      <c r="K405">
        <v>0.16</v>
      </c>
      <c r="L405">
        <v>0.02</v>
      </c>
      <c r="M405">
        <v>1</v>
      </c>
      <c r="N405">
        <v>6</v>
      </c>
      <c r="O405">
        <f t="shared" si="19"/>
        <v>0.45</v>
      </c>
      <c r="P405">
        <f t="shared" si="20"/>
        <v>5.6250000000000001E-2</v>
      </c>
    </row>
    <row r="406" spans="1:16" x14ac:dyDescent="0.25">
      <c r="A406" t="str">
        <f t="shared" si="18"/>
        <v>Rodrigo Muniz Carvalho</v>
      </c>
      <c r="B406" t="s">
        <v>531</v>
      </c>
      <c r="C406" t="s">
        <v>532</v>
      </c>
      <c r="D406">
        <v>10</v>
      </c>
      <c r="E406">
        <v>4</v>
      </c>
      <c r="F406">
        <v>43</v>
      </c>
      <c r="G406">
        <v>1589</v>
      </c>
      <c r="H406">
        <v>18</v>
      </c>
      <c r="I406">
        <v>9</v>
      </c>
      <c r="J406">
        <v>2</v>
      </c>
      <c r="K406">
        <v>8.76</v>
      </c>
      <c r="L406">
        <v>0.94</v>
      </c>
      <c r="M406">
        <v>97</v>
      </c>
      <c r="N406">
        <v>299</v>
      </c>
      <c r="O406">
        <f t="shared" si="19"/>
        <v>0.4961611076148521</v>
      </c>
      <c r="P406">
        <f t="shared" si="20"/>
        <v>5.3241032095657642E-2</v>
      </c>
    </row>
    <row r="407" spans="1:16" x14ac:dyDescent="0.25">
      <c r="A407" t="str">
        <f t="shared" si="18"/>
        <v>João Palhinha Gonçalves</v>
      </c>
      <c r="B407" t="s">
        <v>1626</v>
      </c>
      <c r="C407" t="s">
        <v>1658</v>
      </c>
      <c r="D407">
        <v>10</v>
      </c>
      <c r="E407">
        <v>3</v>
      </c>
      <c r="F407">
        <v>50</v>
      </c>
      <c r="G407">
        <v>2698</v>
      </c>
      <c r="H407">
        <v>31</v>
      </c>
      <c r="I407">
        <v>4</v>
      </c>
      <c r="J407">
        <v>1</v>
      </c>
      <c r="K407">
        <v>3.39</v>
      </c>
      <c r="L407">
        <v>0.99</v>
      </c>
      <c r="M407">
        <v>91</v>
      </c>
      <c r="N407">
        <v>387</v>
      </c>
      <c r="O407">
        <f t="shared" si="19"/>
        <v>0.11308376575240919</v>
      </c>
      <c r="P407">
        <f t="shared" si="20"/>
        <v>3.3024462564862862E-2</v>
      </c>
    </row>
    <row r="408" spans="1:16" x14ac:dyDescent="0.25">
      <c r="A408" t="str">
        <f t="shared" si="18"/>
        <v>Tim Ream</v>
      </c>
      <c r="B408" t="s">
        <v>489</v>
      </c>
      <c r="C408" t="s">
        <v>1659</v>
      </c>
      <c r="D408">
        <v>10</v>
      </c>
      <c r="E408">
        <v>2</v>
      </c>
      <c r="F408">
        <v>44</v>
      </c>
      <c r="G408">
        <v>1503</v>
      </c>
      <c r="H408">
        <v>17</v>
      </c>
      <c r="I408">
        <v>1</v>
      </c>
      <c r="J408">
        <v>0</v>
      </c>
      <c r="K408">
        <v>0.96</v>
      </c>
      <c r="L408">
        <v>0.16</v>
      </c>
      <c r="M408">
        <v>40</v>
      </c>
      <c r="N408">
        <v>267</v>
      </c>
      <c r="O408">
        <f t="shared" si="19"/>
        <v>5.748502994011976E-2</v>
      </c>
      <c r="P408">
        <f t="shared" si="20"/>
        <v>9.5808383233532933E-3</v>
      </c>
    </row>
    <row r="409" spans="1:16" x14ac:dyDescent="0.25">
      <c r="A409" t="str">
        <f t="shared" si="18"/>
        <v>Harrison Reed</v>
      </c>
      <c r="B409" t="s">
        <v>493</v>
      </c>
      <c r="C409" t="s">
        <v>530</v>
      </c>
      <c r="D409">
        <v>10</v>
      </c>
      <c r="E409">
        <v>3</v>
      </c>
      <c r="F409">
        <v>43</v>
      </c>
      <c r="G409">
        <v>1317</v>
      </c>
      <c r="H409">
        <v>15</v>
      </c>
      <c r="I409">
        <v>0</v>
      </c>
      <c r="J409">
        <v>2</v>
      </c>
      <c r="K409">
        <v>0.28999999999999998</v>
      </c>
      <c r="L409">
        <v>1.49</v>
      </c>
      <c r="M409">
        <v>47</v>
      </c>
      <c r="N409">
        <v>205</v>
      </c>
      <c r="O409">
        <f t="shared" si="19"/>
        <v>1.981776765375854E-2</v>
      </c>
      <c r="P409">
        <f t="shared" si="20"/>
        <v>0.10182232346241459</v>
      </c>
    </row>
    <row r="410" spans="1:16" x14ac:dyDescent="0.25">
      <c r="A410" t="str">
        <f t="shared" si="18"/>
        <v>Antonee Robinson</v>
      </c>
      <c r="B410" t="s">
        <v>511</v>
      </c>
      <c r="C410" t="s">
        <v>512</v>
      </c>
      <c r="D410">
        <v>10</v>
      </c>
      <c r="E410">
        <v>2</v>
      </c>
      <c r="F410">
        <v>45</v>
      </c>
      <c r="G410">
        <v>3266</v>
      </c>
      <c r="H410">
        <v>37</v>
      </c>
      <c r="I410">
        <v>0</v>
      </c>
      <c r="J410">
        <v>6</v>
      </c>
      <c r="K410">
        <v>0.68</v>
      </c>
      <c r="L410">
        <v>3.75</v>
      </c>
      <c r="M410">
        <v>104</v>
      </c>
      <c r="N410">
        <v>662</v>
      </c>
      <c r="O410">
        <f t="shared" si="19"/>
        <v>1.8738518064911208E-2</v>
      </c>
      <c r="P410">
        <f t="shared" si="20"/>
        <v>0.10333741579914268</v>
      </c>
    </row>
    <row r="411" spans="1:16" x14ac:dyDescent="0.25">
      <c r="A411" t="str">
        <f t="shared" si="18"/>
        <v>Marek Rodák</v>
      </c>
      <c r="B411" t="s">
        <v>1660</v>
      </c>
      <c r="C411" t="s">
        <v>1661</v>
      </c>
      <c r="D411">
        <v>10</v>
      </c>
      <c r="E411">
        <v>1</v>
      </c>
      <c r="F411">
        <v>39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</v>
      </c>
      <c r="N411">
        <v>-3</v>
      </c>
      <c r="O411">
        <f t="shared" si="19"/>
        <v>0</v>
      </c>
      <c r="P411">
        <f t="shared" si="20"/>
        <v>0</v>
      </c>
    </row>
    <row r="412" spans="1:16" x14ac:dyDescent="0.25">
      <c r="A412" t="str">
        <f t="shared" si="18"/>
        <v>Kenny Tete</v>
      </c>
      <c r="B412" t="s">
        <v>515</v>
      </c>
      <c r="C412" t="s">
        <v>516</v>
      </c>
      <c r="D412">
        <v>10</v>
      </c>
      <c r="E412">
        <v>2</v>
      </c>
      <c r="F412">
        <v>44</v>
      </c>
      <c r="G412">
        <v>863</v>
      </c>
      <c r="H412">
        <v>10</v>
      </c>
      <c r="I412">
        <v>1</v>
      </c>
      <c r="J412">
        <v>0</v>
      </c>
      <c r="K412">
        <v>0.86</v>
      </c>
      <c r="L412">
        <v>0.46</v>
      </c>
      <c r="M412">
        <v>27</v>
      </c>
      <c r="N412">
        <v>161</v>
      </c>
      <c r="O412">
        <f t="shared" si="19"/>
        <v>8.9687137891077628E-2</v>
      </c>
      <c r="P412">
        <f t="shared" si="20"/>
        <v>4.7972190034762462E-2</v>
      </c>
    </row>
    <row r="413" spans="1:16" x14ac:dyDescent="0.25">
      <c r="A413" t="str">
        <f t="shared" si="18"/>
        <v>Tosin Adarabioyo</v>
      </c>
      <c r="B413" t="s">
        <v>306</v>
      </c>
      <c r="C413" t="s">
        <v>307</v>
      </c>
      <c r="D413">
        <v>10</v>
      </c>
      <c r="E413">
        <v>2</v>
      </c>
      <c r="F413">
        <v>43</v>
      </c>
      <c r="G413">
        <v>1616</v>
      </c>
      <c r="H413">
        <v>18</v>
      </c>
      <c r="I413">
        <v>2</v>
      </c>
      <c r="J413">
        <v>0</v>
      </c>
      <c r="K413">
        <v>0.78</v>
      </c>
      <c r="L413">
        <v>0.32</v>
      </c>
      <c r="M413">
        <v>66</v>
      </c>
      <c r="N413">
        <v>327</v>
      </c>
      <c r="O413">
        <f t="shared" si="19"/>
        <v>4.3440594059405938E-2</v>
      </c>
      <c r="P413">
        <f t="shared" si="20"/>
        <v>1.7821782178217824E-2</v>
      </c>
    </row>
    <row r="414" spans="1:16" x14ac:dyDescent="0.25">
      <c r="A414" t="str">
        <f t="shared" si="18"/>
        <v>Carlos Vinícius Alves Morais</v>
      </c>
      <c r="B414" t="s">
        <v>1662</v>
      </c>
      <c r="C414" t="s">
        <v>1663</v>
      </c>
      <c r="D414">
        <v>10</v>
      </c>
      <c r="E414">
        <v>4</v>
      </c>
      <c r="F414">
        <v>45</v>
      </c>
      <c r="G414">
        <v>306</v>
      </c>
      <c r="H414">
        <v>2</v>
      </c>
      <c r="I414">
        <v>2</v>
      </c>
      <c r="J414">
        <v>0</v>
      </c>
      <c r="K414">
        <v>1.59</v>
      </c>
      <c r="L414">
        <v>0.11</v>
      </c>
      <c r="M414">
        <v>22</v>
      </c>
      <c r="N414">
        <v>77</v>
      </c>
      <c r="O414">
        <f t="shared" si="19"/>
        <v>0.46764705882352947</v>
      </c>
      <c r="P414">
        <f t="shared" si="20"/>
        <v>3.2352941176470584E-2</v>
      </c>
    </row>
    <row r="415" spans="1:16" x14ac:dyDescent="0.25">
      <c r="A415" t="str">
        <f t="shared" si="18"/>
        <v>Harry Wilson</v>
      </c>
      <c r="B415" t="s">
        <v>270</v>
      </c>
      <c r="C415" t="s">
        <v>228</v>
      </c>
      <c r="D415">
        <v>10</v>
      </c>
      <c r="E415">
        <v>3</v>
      </c>
      <c r="F415">
        <v>53</v>
      </c>
      <c r="G415">
        <v>1603</v>
      </c>
      <c r="H415">
        <v>16</v>
      </c>
      <c r="I415">
        <v>4</v>
      </c>
      <c r="J415">
        <v>7</v>
      </c>
      <c r="K415">
        <v>3.45</v>
      </c>
      <c r="L415">
        <v>2.63</v>
      </c>
      <c r="M415">
        <v>94</v>
      </c>
      <c r="N415">
        <v>307</v>
      </c>
      <c r="O415">
        <f t="shared" si="19"/>
        <v>0.19369931378665006</v>
      </c>
      <c r="P415">
        <f t="shared" si="20"/>
        <v>0.1476606363069245</v>
      </c>
    </row>
    <row r="416" spans="1:16" x14ac:dyDescent="0.25">
      <c r="A416" t="str">
        <f t="shared" si="18"/>
        <v>Raúl Jiménez</v>
      </c>
      <c r="B416" t="s">
        <v>1664</v>
      </c>
      <c r="C416" t="s">
        <v>1665</v>
      </c>
      <c r="D416">
        <v>10</v>
      </c>
      <c r="E416">
        <v>4</v>
      </c>
      <c r="F416">
        <v>50</v>
      </c>
      <c r="G416">
        <v>1390</v>
      </c>
      <c r="H416">
        <v>18</v>
      </c>
      <c r="I416">
        <v>7</v>
      </c>
      <c r="J416">
        <v>0</v>
      </c>
      <c r="K416">
        <v>5.37</v>
      </c>
      <c r="L416">
        <v>0.96</v>
      </c>
      <c r="M416">
        <v>72</v>
      </c>
      <c r="N416">
        <v>237</v>
      </c>
      <c r="O416">
        <f t="shared" si="19"/>
        <v>0.34769784172661872</v>
      </c>
      <c r="P416">
        <f t="shared" si="20"/>
        <v>6.2158273381294961E-2</v>
      </c>
    </row>
    <row r="417" spans="1:16" x14ac:dyDescent="0.25">
      <c r="A417" t="str">
        <f t="shared" si="18"/>
        <v>Willian Borges da Silva</v>
      </c>
      <c r="B417" t="s">
        <v>1666</v>
      </c>
      <c r="C417" t="s">
        <v>1667</v>
      </c>
      <c r="D417">
        <v>10</v>
      </c>
      <c r="E417">
        <v>3</v>
      </c>
      <c r="F417">
        <v>53</v>
      </c>
      <c r="G417">
        <v>2048</v>
      </c>
      <c r="H417">
        <v>24</v>
      </c>
      <c r="I417">
        <v>4</v>
      </c>
      <c r="J417">
        <v>3</v>
      </c>
      <c r="K417">
        <v>5.09</v>
      </c>
      <c r="L417">
        <v>4.68</v>
      </c>
      <c r="M417">
        <v>94</v>
      </c>
      <c r="N417">
        <v>390</v>
      </c>
      <c r="O417">
        <f t="shared" si="19"/>
        <v>0.22368164062499998</v>
      </c>
      <c r="P417">
        <f t="shared" si="20"/>
        <v>0.20566406249999999</v>
      </c>
    </row>
    <row r="418" spans="1:16" x14ac:dyDescent="0.25">
      <c r="A418" t="str">
        <f t="shared" si="18"/>
        <v>Calvin Bassey</v>
      </c>
      <c r="B418" t="s">
        <v>517</v>
      </c>
      <c r="C418" t="s">
        <v>518</v>
      </c>
      <c r="D418">
        <v>10</v>
      </c>
      <c r="E418">
        <v>2</v>
      </c>
      <c r="F418">
        <v>44</v>
      </c>
      <c r="G418">
        <v>2299</v>
      </c>
      <c r="H418">
        <v>25</v>
      </c>
      <c r="I418">
        <v>1</v>
      </c>
      <c r="J418">
        <v>0</v>
      </c>
      <c r="K418">
        <v>0.37</v>
      </c>
      <c r="L418">
        <v>0.16</v>
      </c>
      <c r="M418">
        <v>66</v>
      </c>
      <c r="N418">
        <v>442</v>
      </c>
      <c r="O418">
        <f t="shared" si="19"/>
        <v>1.4484558503697259E-2</v>
      </c>
      <c r="P418">
        <f t="shared" si="20"/>
        <v>6.2635928664636796E-3</v>
      </c>
    </row>
    <row r="419" spans="1:16" x14ac:dyDescent="0.25">
      <c r="A419" t="str">
        <f t="shared" si="18"/>
        <v>Luc De Fougerolles</v>
      </c>
      <c r="B419" t="s">
        <v>1223</v>
      </c>
      <c r="C419" t="s">
        <v>1224</v>
      </c>
      <c r="D419">
        <v>10</v>
      </c>
      <c r="E419">
        <v>2</v>
      </c>
      <c r="F419">
        <v>39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f t="shared" si="19"/>
        <v>0</v>
      </c>
      <c r="P419">
        <f t="shared" si="20"/>
        <v>0</v>
      </c>
    </row>
    <row r="420" spans="1:16" x14ac:dyDescent="0.25">
      <c r="A420" t="str">
        <f t="shared" si="18"/>
        <v>Jay Stansfield</v>
      </c>
      <c r="B420" t="s">
        <v>368</v>
      </c>
      <c r="C420" t="s">
        <v>1668</v>
      </c>
      <c r="D420">
        <v>10</v>
      </c>
      <c r="E420">
        <v>4</v>
      </c>
      <c r="F420">
        <v>45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t="shared" si="19"/>
        <v>0</v>
      </c>
      <c r="P420">
        <f t="shared" si="20"/>
        <v>0</v>
      </c>
    </row>
    <row r="421" spans="1:16" x14ac:dyDescent="0.25">
      <c r="A421" t="str">
        <f t="shared" si="18"/>
        <v>Matthew Dibley-Dias</v>
      </c>
      <c r="B421" t="s">
        <v>1390</v>
      </c>
      <c r="C421" t="s">
        <v>1669</v>
      </c>
      <c r="D421">
        <v>10</v>
      </c>
      <c r="E421">
        <v>3</v>
      </c>
      <c r="F421">
        <v>45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f t="shared" si="19"/>
        <v>0</v>
      </c>
      <c r="P421">
        <f t="shared" si="20"/>
        <v>0</v>
      </c>
    </row>
    <row r="422" spans="1:16" x14ac:dyDescent="0.25">
      <c r="A422" t="str">
        <f t="shared" si="18"/>
        <v>Adama Traoré</v>
      </c>
      <c r="B422" t="s">
        <v>1670</v>
      </c>
      <c r="C422" t="s">
        <v>1323</v>
      </c>
      <c r="D422">
        <v>10</v>
      </c>
      <c r="E422">
        <v>3</v>
      </c>
      <c r="F422">
        <v>49</v>
      </c>
      <c r="G422">
        <v>363</v>
      </c>
      <c r="H422">
        <v>1</v>
      </c>
      <c r="I422">
        <v>2</v>
      </c>
      <c r="J422">
        <v>3</v>
      </c>
      <c r="K422">
        <v>1.49</v>
      </c>
      <c r="L422">
        <v>0.88</v>
      </c>
      <c r="M422">
        <v>36</v>
      </c>
      <c r="N422">
        <v>113</v>
      </c>
      <c r="O422">
        <f t="shared" si="19"/>
        <v>0.36942148760330579</v>
      </c>
      <c r="P422">
        <f t="shared" si="20"/>
        <v>0.21818181818181817</v>
      </c>
    </row>
    <row r="423" spans="1:16" x14ac:dyDescent="0.25">
      <c r="A423" t="str">
        <f t="shared" si="18"/>
        <v>Luke Harris</v>
      </c>
      <c r="B423" t="s">
        <v>375</v>
      </c>
      <c r="C423" t="s">
        <v>1671</v>
      </c>
      <c r="D423">
        <v>10</v>
      </c>
      <c r="E423">
        <v>3</v>
      </c>
      <c r="F423">
        <v>45</v>
      </c>
      <c r="G423">
        <v>74</v>
      </c>
      <c r="H423">
        <v>0</v>
      </c>
      <c r="I423">
        <v>0</v>
      </c>
      <c r="J423">
        <v>0</v>
      </c>
      <c r="K423">
        <v>0.28000000000000003</v>
      </c>
      <c r="L423">
        <v>0.01</v>
      </c>
      <c r="M423">
        <v>2</v>
      </c>
      <c r="N423">
        <v>2</v>
      </c>
      <c r="O423">
        <f t="shared" si="19"/>
        <v>0.34054054054054056</v>
      </c>
      <c r="P423">
        <f t="shared" si="20"/>
        <v>1.2162162162162163E-2</v>
      </c>
    </row>
    <row r="424" spans="1:16" x14ac:dyDescent="0.25">
      <c r="A424" t="str">
        <f t="shared" si="18"/>
        <v>Timothy Castagne</v>
      </c>
      <c r="B424" t="s">
        <v>519</v>
      </c>
      <c r="C424" t="s">
        <v>520</v>
      </c>
      <c r="D424">
        <v>10</v>
      </c>
      <c r="E424">
        <v>2</v>
      </c>
      <c r="F424">
        <v>45</v>
      </c>
      <c r="G424">
        <v>2630</v>
      </c>
      <c r="H424">
        <v>29</v>
      </c>
      <c r="I424">
        <v>1</v>
      </c>
      <c r="J424">
        <v>3</v>
      </c>
      <c r="K424">
        <v>1.29</v>
      </c>
      <c r="L424">
        <v>2.06</v>
      </c>
      <c r="M424">
        <v>105</v>
      </c>
      <c r="N424">
        <v>510</v>
      </c>
      <c r="O424">
        <f t="shared" si="19"/>
        <v>4.4144486692015206E-2</v>
      </c>
      <c r="P424">
        <f t="shared" si="20"/>
        <v>7.0494296577946772E-2</v>
      </c>
    </row>
    <row r="425" spans="1:16" x14ac:dyDescent="0.25">
      <c r="A425" t="str">
        <f t="shared" si="18"/>
        <v>Steven Benda</v>
      </c>
      <c r="B425" t="s">
        <v>927</v>
      </c>
      <c r="C425" t="s">
        <v>928</v>
      </c>
      <c r="D425">
        <v>10</v>
      </c>
      <c r="E425">
        <v>1</v>
      </c>
      <c r="F425">
        <v>40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 t="shared" si="19"/>
        <v>0</v>
      </c>
      <c r="P425">
        <f t="shared" si="20"/>
        <v>0</v>
      </c>
    </row>
    <row r="426" spans="1:16" x14ac:dyDescent="0.25">
      <c r="A426" t="str">
        <f t="shared" si="18"/>
        <v>Fodé Ballo-Touré</v>
      </c>
      <c r="B426" t="s">
        <v>1672</v>
      </c>
      <c r="C426" t="s">
        <v>1673</v>
      </c>
      <c r="D426">
        <v>10</v>
      </c>
      <c r="E426">
        <v>2</v>
      </c>
      <c r="F426">
        <v>45</v>
      </c>
      <c r="G426">
        <v>65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</v>
      </c>
      <c r="N426">
        <v>18</v>
      </c>
      <c r="O426">
        <f t="shared" si="19"/>
        <v>0</v>
      </c>
      <c r="P426">
        <f t="shared" si="20"/>
        <v>0</v>
      </c>
    </row>
    <row r="427" spans="1:16" x14ac:dyDescent="0.25">
      <c r="A427" t="str">
        <f t="shared" si="18"/>
        <v>Devan Tanton</v>
      </c>
      <c r="B427" t="s">
        <v>1674</v>
      </c>
      <c r="C427" t="s">
        <v>1675</v>
      </c>
      <c r="D427">
        <v>10</v>
      </c>
      <c r="E427">
        <v>2</v>
      </c>
      <c r="F427">
        <v>40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f t="shared" si="19"/>
        <v>0</v>
      </c>
      <c r="P427">
        <f t="shared" si="20"/>
        <v>0</v>
      </c>
    </row>
    <row r="428" spans="1:16" x14ac:dyDescent="0.25">
      <c r="A428" t="str">
        <f t="shared" si="18"/>
        <v>Kristian Sekularac</v>
      </c>
      <c r="B428" t="s">
        <v>1676</v>
      </c>
      <c r="C428" t="s">
        <v>1677</v>
      </c>
      <c r="D428">
        <v>10</v>
      </c>
      <c r="E428">
        <v>3</v>
      </c>
      <c r="F428">
        <v>44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f t="shared" si="19"/>
        <v>0</v>
      </c>
      <c r="P428">
        <f t="shared" si="20"/>
        <v>0</v>
      </c>
    </row>
    <row r="429" spans="1:16" x14ac:dyDescent="0.25">
      <c r="A429" t="str">
        <f t="shared" si="18"/>
        <v>Joshua King</v>
      </c>
      <c r="B429" t="s">
        <v>843</v>
      </c>
      <c r="C429" t="s">
        <v>475</v>
      </c>
      <c r="D429">
        <v>10</v>
      </c>
      <c r="E429">
        <v>3</v>
      </c>
      <c r="F429">
        <v>45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f t="shared" si="19"/>
        <v>0</v>
      </c>
      <c r="P429">
        <f t="shared" si="20"/>
        <v>0</v>
      </c>
    </row>
    <row r="430" spans="1:16" x14ac:dyDescent="0.25">
      <c r="A430" t="str">
        <f t="shared" si="18"/>
        <v>Adrián San Miguel del Castillo</v>
      </c>
      <c r="B430" t="s">
        <v>1678</v>
      </c>
      <c r="C430" t="s">
        <v>1679</v>
      </c>
      <c r="D430">
        <v>11</v>
      </c>
      <c r="E430">
        <v>1</v>
      </c>
      <c r="F430">
        <v>38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f t="shared" si="19"/>
        <v>0</v>
      </c>
      <c r="P430">
        <f t="shared" si="20"/>
        <v>0</v>
      </c>
    </row>
    <row r="431" spans="1:16" x14ac:dyDescent="0.25">
      <c r="A431" t="str">
        <f t="shared" si="18"/>
        <v>Trent Alexander-Arnold</v>
      </c>
      <c r="B431" t="s">
        <v>1680</v>
      </c>
      <c r="C431" t="s">
        <v>1681</v>
      </c>
      <c r="D431">
        <v>11</v>
      </c>
      <c r="E431">
        <v>2</v>
      </c>
      <c r="F431">
        <v>84</v>
      </c>
      <c r="G431">
        <v>2153</v>
      </c>
      <c r="H431">
        <v>25</v>
      </c>
      <c r="I431">
        <v>3</v>
      </c>
      <c r="J431">
        <v>5</v>
      </c>
      <c r="K431">
        <v>2.78</v>
      </c>
      <c r="L431">
        <v>5.84</v>
      </c>
      <c r="M431">
        <v>122</v>
      </c>
      <c r="N431">
        <v>590</v>
      </c>
      <c r="O431">
        <f t="shared" si="19"/>
        <v>0.11620993961913607</v>
      </c>
      <c r="P431">
        <f t="shared" si="20"/>
        <v>0.24412447747329308</v>
      </c>
    </row>
    <row r="432" spans="1:16" x14ac:dyDescent="0.25">
      <c r="A432" t="str">
        <f t="shared" si="18"/>
        <v>Alisson Ramses Becker</v>
      </c>
      <c r="B432" t="s">
        <v>690</v>
      </c>
      <c r="C432" t="s">
        <v>1682</v>
      </c>
      <c r="D432">
        <v>11</v>
      </c>
      <c r="E432">
        <v>1</v>
      </c>
      <c r="F432">
        <v>57</v>
      </c>
      <c r="G432">
        <v>2520</v>
      </c>
      <c r="H432">
        <v>28</v>
      </c>
      <c r="I432">
        <v>0</v>
      </c>
      <c r="J432">
        <v>0</v>
      </c>
      <c r="K432">
        <v>0</v>
      </c>
      <c r="L432">
        <v>0</v>
      </c>
      <c r="M432">
        <v>107</v>
      </c>
      <c r="N432">
        <v>575</v>
      </c>
      <c r="O432">
        <f t="shared" si="19"/>
        <v>0</v>
      </c>
      <c r="P432">
        <f t="shared" si="20"/>
        <v>0</v>
      </c>
    </row>
    <row r="433" spans="1:16" x14ac:dyDescent="0.25">
      <c r="A433" t="str">
        <f t="shared" si="18"/>
        <v>Stefan Bajcetic</v>
      </c>
      <c r="B433" t="s">
        <v>735</v>
      </c>
      <c r="C433" t="s">
        <v>1683</v>
      </c>
      <c r="D433">
        <v>11</v>
      </c>
      <c r="E433">
        <v>3</v>
      </c>
      <c r="F433">
        <v>47</v>
      </c>
      <c r="G433">
        <v>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3</v>
      </c>
      <c r="O433">
        <f t="shared" si="19"/>
        <v>0</v>
      </c>
      <c r="P433">
        <f t="shared" si="20"/>
        <v>0</v>
      </c>
    </row>
    <row r="434" spans="1:16" x14ac:dyDescent="0.25">
      <c r="A434" t="str">
        <f t="shared" si="18"/>
        <v>Darwin Núñez Ribeiro</v>
      </c>
      <c r="B434" t="s">
        <v>1684</v>
      </c>
      <c r="C434" t="s">
        <v>1685</v>
      </c>
      <c r="D434">
        <v>11</v>
      </c>
      <c r="E434">
        <v>4</v>
      </c>
      <c r="F434">
        <v>75</v>
      </c>
      <c r="G434">
        <v>2033</v>
      </c>
      <c r="H434">
        <v>22</v>
      </c>
      <c r="I434">
        <v>11</v>
      </c>
      <c r="J434">
        <v>11</v>
      </c>
      <c r="K434">
        <v>16.23</v>
      </c>
      <c r="L434">
        <v>4.37</v>
      </c>
      <c r="M434">
        <v>132</v>
      </c>
      <c r="N434">
        <v>397</v>
      </c>
      <c r="O434">
        <f t="shared" si="19"/>
        <v>0.71849483521888835</v>
      </c>
      <c r="P434">
        <f t="shared" si="20"/>
        <v>0.19345794392523366</v>
      </c>
    </row>
    <row r="435" spans="1:16" x14ac:dyDescent="0.25">
      <c r="A435" t="str">
        <f t="shared" si="18"/>
        <v>Diogo Teixeira da Silva</v>
      </c>
      <c r="B435" t="s">
        <v>810</v>
      </c>
      <c r="C435" t="s">
        <v>1686</v>
      </c>
      <c r="D435">
        <v>11</v>
      </c>
      <c r="E435">
        <v>3</v>
      </c>
      <c r="F435">
        <v>79</v>
      </c>
      <c r="G435">
        <v>1141</v>
      </c>
      <c r="H435">
        <v>14</v>
      </c>
      <c r="I435">
        <v>10</v>
      </c>
      <c r="J435">
        <v>7</v>
      </c>
      <c r="K435">
        <v>5.24</v>
      </c>
      <c r="L435">
        <v>1.75</v>
      </c>
      <c r="M435">
        <v>110</v>
      </c>
      <c r="N435">
        <v>328</v>
      </c>
      <c r="O435">
        <f t="shared" si="19"/>
        <v>0.41332164767747592</v>
      </c>
      <c r="P435">
        <f t="shared" si="20"/>
        <v>0.13803680981595093</v>
      </c>
    </row>
    <row r="436" spans="1:16" x14ac:dyDescent="0.25">
      <c r="A436" t="str">
        <f t="shared" si="18"/>
        <v>Harvey Elliott</v>
      </c>
      <c r="B436" t="s">
        <v>543</v>
      </c>
      <c r="C436" t="s">
        <v>745</v>
      </c>
      <c r="D436">
        <v>11</v>
      </c>
      <c r="E436">
        <v>3</v>
      </c>
      <c r="F436">
        <v>48</v>
      </c>
      <c r="G436">
        <v>1330</v>
      </c>
      <c r="H436">
        <v>11</v>
      </c>
      <c r="I436">
        <v>3</v>
      </c>
      <c r="J436">
        <v>9</v>
      </c>
      <c r="K436">
        <v>2.72</v>
      </c>
      <c r="L436">
        <v>4.68</v>
      </c>
      <c r="M436">
        <v>96</v>
      </c>
      <c r="N436">
        <v>402</v>
      </c>
      <c r="O436">
        <f t="shared" si="19"/>
        <v>0.18406015037593987</v>
      </c>
      <c r="P436">
        <f t="shared" si="20"/>
        <v>0.31669172932330825</v>
      </c>
    </row>
    <row r="437" spans="1:16" x14ac:dyDescent="0.25">
      <c r="A437" t="str">
        <f t="shared" si="18"/>
        <v>Fabio Henrique Tavares</v>
      </c>
      <c r="B437" t="s">
        <v>1687</v>
      </c>
      <c r="C437" t="s">
        <v>1688</v>
      </c>
      <c r="D437">
        <v>11</v>
      </c>
      <c r="E437">
        <v>3</v>
      </c>
      <c r="F437">
        <v>50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t="shared" si="19"/>
        <v>0</v>
      </c>
      <c r="P437">
        <f t="shared" si="20"/>
        <v>0</v>
      </c>
    </row>
    <row r="438" spans="1:16" x14ac:dyDescent="0.25">
      <c r="A438" t="str">
        <f t="shared" si="18"/>
        <v>Cody Gakpo</v>
      </c>
      <c r="B438" t="s">
        <v>553</v>
      </c>
      <c r="C438" t="s">
        <v>720</v>
      </c>
      <c r="D438">
        <v>11</v>
      </c>
      <c r="E438">
        <v>4</v>
      </c>
      <c r="F438">
        <v>71</v>
      </c>
      <c r="G438">
        <v>1633</v>
      </c>
      <c r="H438">
        <v>17</v>
      </c>
      <c r="I438">
        <v>8</v>
      </c>
      <c r="J438">
        <v>5</v>
      </c>
      <c r="K438">
        <v>9.07</v>
      </c>
      <c r="L438">
        <v>2.71</v>
      </c>
      <c r="M438">
        <v>106</v>
      </c>
      <c r="N438">
        <v>409</v>
      </c>
      <c r="O438">
        <f t="shared" si="19"/>
        <v>0.4998775260257195</v>
      </c>
      <c r="P438">
        <f t="shared" si="20"/>
        <v>0.14935701163502754</v>
      </c>
    </row>
    <row r="439" spans="1:16" x14ac:dyDescent="0.25">
      <c r="A439" t="str">
        <f t="shared" si="18"/>
        <v>Joe Gomez</v>
      </c>
      <c r="B439" t="s">
        <v>585</v>
      </c>
      <c r="C439" t="s">
        <v>707</v>
      </c>
      <c r="D439">
        <v>11</v>
      </c>
      <c r="E439">
        <v>2</v>
      </c>
      <c r="F439">
        <v>45</v>
      </c>
      <c r="G439">
        <v>1772</v>
      </c>
      <c r="H439">
        <v>17</v>
      </c>
      <c r="I439">
        <v>0</v>
      </c>
      <c r="J439">
        <v>2</v>
      </c>
      <c r="K439">
        <v>1.02</v>
      </c>
      <c r="L439">
        <v>1.07</v>
      </c>
      <c r="M439">
        <v>76</v>
      </c>
      <c r="N439">
        <v>390</v>
      </c>
      <c r="O439">
        <f t="shared" si="19"/>
        <v>5.1805869074492104E-2</v>
      </c>
      <c r="P439">
        <f t="shared" si="20"/>
        <v>5.4345372460496623E-2</v>
      </c>
    </row>
    <row r="440" spans="1:16" x14ac:dyDescent="0.25">
      <c r="A440" t="str">
        <f t="shared" si="18"/>
        <v>Jordan Henderson</v>
      </c>
      <c r="B440" t="s">
        <v>289</v>
      </c>
      <c r="C440" t="s">
        <v>290</v>
      </c>
      <c r="D440">
        <v>11</v>
      </c>
      <c r="E440">
        <v>3</v>
      </c>
      <c r="F440">
        <v>50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f t="shared" si="19"/>
        <v>0</v>
      </c>
      <c r="P440">
        <f t="shared" si="20"/>
        <v>0</v>
      </c>
    </row>
    <row r="441" spans="1:16" x14ac:dyDescent="0.25">
      <c r="A441" t="str">
        <f t="shared" si="18"/>
        <v>Curtis Jones</v>
      </c>
      <c r="B441" t="s">
        <v>729</v>
      </c>
      <c r="C441" t="s">
        <v>730</v>
      </c>
      <c r="D441">
        <v>11</v>
      </c>
      <c r="E441">
        <v>3</v>
      </c>
      <c r="F441">
        <v>49</v>
      </c>
      <c r="G441">
        <v>1156</v>
      </c>
      <c r="H441">
        <v>14</v>
      </c>
      <c r="I441">
        <v>1</v>
      </c>
      <c r="J441">
        <v>1</v>
      </c>
      <c r="K441">
        <v>2.74</v>
      </c>
      <c r="L441">
        <v>1.04</v>
      </c>
      <c r="M441">
        <v>40</v>
      </c>
      <c r="N441">
        <v>171</v>
      </c>
      <c r="O441">
        <f t="shared" si="19"/>
        <v>0.2133217993079585</v>
      </c>
      <c r="P441">
        <f t="shared" si="20"/>
        <v>8.0968858131487895E-2</v>
      </c>
    </row>
    <row r="442" spans="1:16" x14ac:dyDescent="0.25">
      <c r="A442" t="str">
        <f t="shared" si="18"/>
        <v>Caoimhin Kelleher</v>
      </c>
      <c r="B442" t="s">
        <v>1689</v>
      </c>
      <c r="C442" t="s">
        <v>182</v>
      </c>
      <c r="D442">
        <v>11</v>
      </c>
      <c r="E442">
        <v>1</v>
      </c>
      <c r="F442">
        <v>36</v>
      </c>
      <c r="G442">
        <v>900</v>
      </c>
      <c r="H442">
        <v>10</v>
      </c>
      <c r="I442">
        <v>0</v>
      </c>
      <c r="J442">
        <v>0</v>
      </c>
      <c r="K442">
        <v>0</v>
      </c>
      <c r="L442">
        <v>0.01</v>
      </c>
      <c r="M442">
        <v>34</v>
      </c>
      <c r="N442">
        <v>198</v>
      </c>
      <c r="O442">
        <f t="shared" si="19"/>
        <v>0</v>
      </c>
      <c r="P442">
        <f t="shared" si="20"/>
        <v>1E-3</v>
      </c>
    </row>
    <row r="443" spans="1:16" x14ac:dyDescent="0.25">
      <c r="A443" t="str">
        <f t="shared" si="18"/>
        <v>Ibrahima Konaté</v>
      </c>
      <c r="B443" t="s">
        <v>1690</v>
      </c>
      <c r="C443" t="s">
        <v>1691</v>
      </c>
      <c r="D443">
        <v>11</v>
      </c>
      <c r="E443">
        <v>2</v>
      </c>
      <c r="F443">
        <v>49</v>
      </c>
      <c r="G443">
        <v>1570</v>
      </c>
      <c r="H443">
        <v>17</v>
      </c>
      <c r="I443">
        <v>0</v>
      </c>
      <c r="J443">
        <v>0</v>
      </c>
      <c r="K443">
        <v>0.7</v>
      </c>
      <c r="L443">
        <v>0.47</v>
      </c>
      <c r="M443">
        <v>56</v>
      </c>
      <c r="N443">
        <v>315</v>
      </c>
      <c r="O443">
        <f t="shared" si="19"/>
        <v>4.0127388535031845E-2</v>
      </c>
      <c r="P443">
        <f t="shared" si="20"/>
        <v>2.6942675159235669E-2</v>
      </c>
    </row>
    <row r="444" spans="1:16" x14ac:dyDescent="0.25">
      <c r="A444" t="str">
        <f t="shared" si="18"/>
        <v>Luis Díaz</v>
      </c>
      <c r="B444" t="s">
        <v>1373</v>
      </c>
      <c r="C444" t="s">
        <v>1692</v>
      </c>
      <c r="D444">
        <v>11</v>
      </c>
      <c r="E444">
        <v>3</v>
      </c>
      <c r="F444">
        <v>76</v>
      </c>
      <c r="G444">
        <v>2625</v>
      </c>
      <c r="H444">
        <v>32</v>
      </c>
      <c r="I444">
        <v>8</v>
      </c>
      <c r="J444">
        <v>7</v>
      </c>
      <c r="K444">
        <v>12.08</v>
      </c>
      <c r="L444">
        <v>4.7300000000000004</v>
      </c>
      <c r="M444">
        <v>142</v>
      </c>
      <c r="N444">
        <v>413</v>
      </c>
      <c r="O444">
        <f t="shared" si="19"/>
        <v>0.41417142857142858</v>
      </c>
      <c r="P444">
        <f t="shared" si="20"/>
        <v>0.16217142857142861</v>
      </c>
    </row>
    <row r="445" spans="1:16" x14ac:dyDescent="0.25">
      <c r="A445" t="str">
        <f t="shared" si="18"/>
        <v>Alexis Mac Allister</v>
      </c>
      <c r="B445" t="s">
        <v>727</v>
      </c>
      <c r="C445" t="s">
        <v>728</v>
      </c>
      <c r="D445">
        <v>11</v>
      </c>
      <c r="E445">
        <v>3</v>
      </c>
      <c r="F445">
        <v>59</v>
      </c>
      <c r="G445">
        <v>2600</v>
      </c>
      <c r="H445">
        <v>31</v>
      </c>
      <c r="I445">
        <v>5</v>
      </c>
      <c r="J445">
        <v>5</v>
      </c>
      <c r="K445">
        <v>3.59</v>
      </c>
      <c r="L445">
        <v>4.8899999999999997</v>
      </c>
      <c r="M445">
        <v>109</v>
      </c>
      <c r="N445">
        <v>512</v>
      </c>
      <c r="O445">
        <f t="shared" si="19"/>
        <v>0.12426923076923077</v>
      </c>
      <c r="P445">
        <f t="shared" si="20"/>
        <v>0.16926923076923076</v>
      </c>
    </row>
    <row r="446" spans="1:16" x14ac:dyDescent="0.25">
      <c r="A446" t="str">
        <f t="shared" si="18"/>
        <v>Joel Matip</v>
      </c>
      <c r="B446" t="s">
        <v>373</v>
      </c>
      <c r="C446" t="s">
        <v>1693</v>
      </c>
      <c r="D446">
        <v>11</v>
      </c>
      <c r="E446">
        <v>2</v>
      </c>
      <c r="F446">
        <v>48</v>
      </c>
      <c r="G446">
        <v>779</v>
      </c>
      <c r="H446">
        <v>9</v>
      </c>
      <c r="I446">
        <v>0</v>
      </c>
      <c r="J446">
        <v>0</v>
      </c>
      <c r="K446">
        <v>0.48</v>
      </c>
      <c r="L446">
        <v>0.11</v>
      </c>
      <c r="M446">
        <v>21</v>
      </c>
      <c r="N446">
        <v>145</v>
      </c>
      <c r="O446">
        <f t="shared" si="19"/>
        <v>5.5455712451861351E-2</v>
      </c>
      <c r="P446">
        <f t="shared" si="20"/>
        <v>1.2708600770218228E-2</v>
      </c>
    </row>
    <row r="447" spans="1:16" x14ac:dyDescent="0.25">
      <c r="A447" t="str">
        <f t="shared" si="18"/>
        <v>Nathaniel Phillips</v>
      </c>
      <c r="B447" t="s">
        <v>1581</v>
      </c>
      <c r="C447" t="s">
        <v>541</v>
      </c>
      <c r="D447">
        <v>11</v>
      </c>
      <c r="E447">
        <v>2</v>
      </c>
      <c r="F447">
        <v>40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f t="shared" si="19"/>
        <v>0</v>
      </c>
      <c r="P447">
        <f t="shared" si="20"/>
        <v>0</v>
      </c>
    </row>
    <row r="448" spans="1:16" x14ac:dyDescent="0.25">
      <c r="A448" t="str">
        <f t="shared" si="18"/>
        <v>Andrew Robertson</v>
      </c>
      <c r="B448" t="s">
        <v>945</v>
      </c>
      <c r="C448" t="s">
        <v>946</v>
      </c>
      <c r="D448">
        <v>11</v>
      </c>
      <c r="E448">
        <v>2</v>
      </c>
      <c r="F448">
        <v>65</v>
      </c>
      <c r="G448">
        <v>1689</v>
      </c>
      <c r="H448">
        <v>18</v>
      </c>
      <c r="I448">
        <v>3</v>
      </c>
      <c r="J448">
        <v>2</v>
      </c>
      <c r="K448">
        <v>1.9</v>
      </c>
      <c r="L448">
        <v>4.4000000000000004</v>
      </c>
      <c r="M448">
        <v>76</v>
      </c>
      <c r="N448">
        <v>463</v>
      </c>
      <c r="O448">
        <f t="shared" si="19"/>
        <v>0.10124333925399644</v>
      </c>
      <c r="P448">
        <f t="shared" si="20"/>
        <v>0.23445825932504441</v>
      </c>
    </row>
    <row r="449" spans="1:16" x14ac:dyDescent="0.25">
      <c r="A449" t="str">
        <f t="shared" si="18"/>
        <v>Mohamed Salah</v>
      </c>
      <c r="B449" t="s">
        <v>561</v>
      </c>
      <c r="C449" t="s">
        <v>1694</v>
      </c>
      <c r="D449">
        <v>11</v>
      </c>
      <c r="E449">
        <v>3</v>
      </c>
      <c r="F449">
        <v>134</v>
      </c>
      <c r="G449">
        <v>2531</v>
      </c>
      <c r="H449">
        <v>28</v>
      </c>
      <c r="I449">
        <v>18</v>
      </c>
      <c r="J449">
        <v>12</v>
      </c>
      <c r="K449">
        <v>20.89</v>
      </c>
      <c r="L449">
        <v>7.47</v>
      </c>
      <c r="M449">
        <v>211</v>
      </c>
      <c r="N449">
        <v>621</v>
      </c>
      <c r="O449">
        <f t="shared" si="19"/>
        <v>0.74282892137495071</v>
      </c>
      <c r="P449">
        <f t="shared" si="20"/>
        <v>0.26562623468984592</v>
      </c>
    </row>
    <row r="450" spans="1:16" x14ac:dyDescent="0.25">
      <c r="A450" t="str">
        <f t="shared" ref="A450:A513" si="21">_xlfn.CONCAT(B450, " ", C450)</f>
        <v>Dominik Szoboszlai</v>
      </c>
      <c r="B450" t="s">
        <v>721</v>
      </c>
      <c r="C450" t="s">
        <v>722</v>
      </c>
      <c r="D450">
        <v>11</v>
      </c>
      <c r="E450">
        <v>3</v>
      </c>
      <c r="F450">
        <v>71</v>
      </c>
      <c r="G450">
        <v>2102</v>
      </c>
      <c r="H450">
        <v>25</v>
      </c>
      <c r="I450">
        <v>3</v>
      </c>
      <c r="J450">
        <v>4</v>
      </c>
      <c r="K450">
        <v>3.64</v>
      </c>
      <c r="L450">
        <v>5.13</v>
      </c>
      <c r="M450">
        <v>99</v>
      </c>
      <c r="N450">
        <v>437</v>
      </c>
      <c r="O450">
        <f t="shared" ref="O450:O513" si="22">IFERROR(K450/G450*90,0)</f>
        <v>0.15585156993339677</v>
      </c>
      <c r="P450">
        <f t="shared" ref="P450:P513" si="23">IFERROR(L450/G450*90,0)</f>
        <v>0.21964795432921028</v>
      </c>
    </row>
    <row r="451" spans="1:16" x14ac:dyDescent="0.25">
      <c r="A451" t="str">
        <f t="shared" si="21"/>
        <v>Thiago Alcántara do Nascimento</v>
      </c>
      <c r="B451" t="s">
        <v>1541</v>
      </c>
      <c r="C451" t="s">
        <v>1695</v>
      </c>
      <c r="D451">
        <v>11</v>
      </c>
      <c r="E451">
        <v>3</v>
      </c>
      <c r="F451">
        <v>47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3</v>
      </c>
      <c r="O451">
        <f t="shared" si="22"/>
        <v>0</v>
      </c>
      <c r="P451">
        <f t="shared" si="23"/>
        <v>0</v>
      </c>
    </row>
    <row r="452" spans="1:16" x14ac:dyDescent="0.25">
      <c r="A452" t="str">
        <f t="shared" si="21"/>
        <v>Konstantinos Tsimikas</v>
      </c>
      <c r="B452" t="s">
        <v>590</v>
      </c>
      <c r="C452" t="s">
        <v>716</v>
      </c>
      <c r="D452">
        <v>11</v>
      </c>
      <c r="E452">
        <v>2</v>
      </c>
      <c r="F452">
        <v>43</v>
      </c>
      <c r="G452">
        <v>675</v>
      </c>
      <c r="H452">
        <v>8</v>
      </c>
      <c r="I452">
        <v>0</v>
      </c>
      <c r="J452">
        <v>3</v>
      </c>
      <c r="K452">
        <v>0.09</v>
      </c>
      <c r="L452">
        <v>1.26</v>
      </c>
      <c r="M452">
        <v>48</v>
      </c>
      <c r="N452">
        <v>201</v>
      </c>
      <c r="O452">
        <f t="shared" si="22"/>
        <v>1.2E-2</v>
      </c>
      <c r="P452">
        <f t="shared" si="23"/>
        <v>0.16800000000000001</v>
      </c>
    </row>
    <row r="453" spans="1:16" x14ac:dyDescent="0.25">
      <c r="A453" t="str">
        <f t="shared" si="21"/>
        <v>Sepp van den Berg</v>
      </c>
      <c r="B453" t="s">
        <v>187</v>
      </c>
      <c r="C453" t="s">
        <v>188</v>
      </c>
      <c r="D453">
        <v>11</v>
      </c>
      <c r="E453">
        <v>2</v>
      </c>
      <c r="F453">
        <v>40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f t="shared" si="22"/>
        <v>0</v>
      </c>
      <c r="P453">
        <f t="shared" si="23"/>
        <v>0</v>
      </c>
    </row>
    <row r="454" spans="1:16" x14ac:dyDescent="0.25">
      <c r="A454" t="str">
        <f t="shared" si="21"/>
        <v>Virgil van Dijk</v>
      </c>
      <c r="B454" t="s">
        <v>701</v>
      </c>
      <c r="C454" t="s">
        <v>702</v>
      </c>
      <c r="D454">
        <v>11</v>
      </c>
      <c r="E454">
        <v>2</v>
      </c>
      <c r="F454">
        <v>66</v>
      </c>
      <c r="G454">
        <v>3177</v>
      </c>
      <c r="H454">
        <v>36</v>
      </c>
      <c r="I454">
        <v>2</v>
      </c>
      <c r="J454">
        <v>2</v>
      </c>
      <c r="K454">
        <v>2.88</v>
      </c>
      <c r="L454">
        <v>1.04</v>
      </c>
      <c r="M454">
        <v>117</v>
      </c>
      <c r="N454">
        <v>662</v>
      </c>
      <c r="O454">
        <f t="shared" si="22"/>
        <v>8.1586402266288952E-2</v>
      </c>
      <c r="P454">
        <f t="shared" si="23"/>
        <v>2.9461756373937678E-2</v>
      </c>
    </row>
    <row r="455" spans="1:16" x14ac:dyDescent="0.25">
      <c r="A455" t="str">
        <f t="shared" si="21"/>
        <v>Jarell Quansah</v>
      </c>
      <c r="B455" t="s">
        <v>1696</v>
      </c>
      <c r="C455" t="s">
        <v>1697</v>
      </c>
      <c r="D455">
        <v>11</v>
      </c>
      <c r="E455">
        <v>2</v>
      </c>
      <c r="F455">
        <v>40</v>
      </c>
      <c r="G455">
        <v>1188</v>
      </c>
      <c r="H455">
        <v>13</v>
      </c>
      <c r="I455">
        <v>2</v>
      </c>
      <c r="J455">
        <v>0</v>
      </c>
      <c r="K455">
        <v>1.04</v>
      </c>
      <c r="L455">
        <v>0.19</v>
      </c>
      <c r="M455">
        <v>49</v>
      </c>
      <c r="N455">
        <v>263</v>
      </c>
      <c r="O455">
        <f t="shared" si="22"/>
        <v>7.8787878787878796E-2</v>
      </c>
      <c r="P455">
        <f t="shared" si="23"/>
        <v>1.4393939393939393E-2</v>
      </c>
    </row>
    <row r="456" spans="1:16" x14ac:dyDescent="0.25">
      <c r="A456" t="str">
        <f t="shared" si="21"/>
        <v>Bobby Clark</v>
      </c>
      <c r="B456" t="s">
        <v>363</v>
      </c>
      <c r="C456" t="s">
        <v>1698</v>
      </c>
      <c r="D456">
        <v>11</v>
      </c>
      <c r="E456">
        <v>3</v>
      </c>
      <c r="F456">
        <v>44</v>
      </c>
      <c r="G456">
        <v>86</v>
      </c>
      <c r="H456">
        <v>1</v>
      </c>
      <c r="I456">
        <v>0</v>
      </c>
      <c r="J456">
        <v>0</v>
      </c>
      <c r="K456">
        <v>0.14000000000000001</v>
      </c>
      <c r="L456">
        <v>0.01</v>
      </c>
      <c r="M456">
        <v>5</v>
      </c>
      <c r="N456">
        <v>7</v>
      </c>
      <c r="O456">
        <f t="shared" si="22"/>
        <v>0.14651162790697675</v>
      </c>
      <c r="P456">
        <f t="shared" si="23"/>
        <v>1.0465116279069767E-2</v>
      </c>
    </row>
    <row r="457" spans="1:16" x14ac:dyDescent="0.25">
      <c r="A457" t="str">
        <f t="shared" si="21"/>
        <v>Ben Doak</v>
      </c>
      <c r="B457" t="s">
        <v>159</v>
      </c>
      <c r="C457" t="s">
        <v>1699</v>
      </c>
      <c r="D457">
        <v>11</v>
      </c>
      <c r="E457">
        <v>3</v>
      </c>
      <c r="F457">
        <v>43</v>
      </c>
      <c r="G457">
        <v>13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3</v>
      </c>
      <c r="O457">
        <f t="shared" si="22"/>
        <v>0</v>
      </c>
      <c r="P457">
        <f t="shared" si="23"/>
        <v>0</v>
      </c>
    </row>
    <row r="458" spans="1:16" x14ac:dyDescent="0.25">
      <c r="A458" t="str">
        <f t="shared" si="21"/>
        <v>James McConnell</v>
      </c>
      <c r="B458" t="s">
        <v>135</v>
      </c>
      <c r="C458" t="s">
        <v>738</v>
      </c>
      <c r="D458">
        <v>11</v>
      </c>
      <c r="E458">
        <v>3</v>
      </c>
      <c r="F458">
        <v>44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8</v>
      </c>
      <c r="O458">
        <f t="shared" si="22"/>
        <v>0</v>
      </c>
      <c r="P458">
        <f t="shared" si="23"/>
        <v>0</v>
      </c>
    </row>
    <row r="459" spans="1:16" x14ac:dyDescent="0.25">
      <c r="A459" t="str">
        <f t="shared" si="21"/>
        <v>Wataru Endo</v>
      </c>
      <c r="B459" t="s">
        <v>732</v>
      </c>
      <c r="C459" t="s">
        <v>731</v>
      </c>
      <c r="D459">
        <v>11</v>
      </c>
      <c r="E459">
        <v>3</v>
      </c>
      <c r="F459">
        <v>54</v>
      </c>
      <c r="G459">
        <v>1714</v>
      </c>
      <c r="H459">
        <v>20</v>
      </c>
      <c r="I459">
        <v>1</v>
      </c>
      <c r="J459">
        <v>0</v>
      </c>
      <c r="K459">
        <v>0.51</v>
      </c>
      <c r="L459">
        <v>1.53</v>
      </c>
      <c r="M459">
        <v>47</v>
      </c>
      <c r="N459">
        <v>250</v>
      </c>
      <c r="O459">
        <f t="shared" si="22"/>
        <v>2.677946324387398E-2</v>
      </c>
      <c r="P459">
        <f t="shared" si="23"/>
        <v>8.033838973162194E-2</v>
      </c>
    </row>
    <row r="460" spans="1:16" x14ac:dyDescent="0.25">
      <c r="A460" t="str">
        <f t="shared" si="21"/>
        <v>Ryan Gravenberch</v>
      </c>
      <c r="B460" t="s">
        <v>164</v>
      </c>
      <c r="C460" t="s">
        <v>726</v>
      </c>
      <c r="D460">
        <v>11</v>
      </c>
      <c r="E460">
        <v>3</v>
      </c>
      <c r="F460">
        <v>50</v>
      </c>
      <c r="G460">
        <v>1110</v>
      </c>
      <c r="H460">
        <v>12</v>
      </c>
      <c r="I460">
        <v>1</v>
      </c>
      <c r="J460">
        <v>0</v>
      </c>
      <c r="K460">
        <v>2.08</v>
      </c>
      <c r="L460">
        <v>1.35</v>
      </c>
      <c r="M460">
        <v>45</v>
      </c>
      <c r="N460">
        <v>176</v>
      </c>
      <c r="O460">
        <f t="shared" si="22"/>
        <v>0.16864864864864865</v>
      </c>
      <c r="P460">
        <f t="shared" si="23"/>
        <v>0.10945945945945948</v>
      </c>
    </row>
    <row r="461" spans="1:16" x14ac:dyDescent="0.25">
      <c r="A461" t="str">
        <f t="shared" si="21"/>
        <v>Luke Chambers</v>
      </c>
      <c r="B461" t="s">
        <v>375</v>
      </c>
      <c r="C461" t="s">
        <v>1303</v>
      </c>
      <c r="D461">
        <v>11</v>
      </c>
      <c r="E461">
        <v>2</v>
      </c>
      <c r="F461">
        <v>40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t="shared" si="22"/>
        <v>0</v>
      </c>
      <c r="P461">
        <f t="shared" si="23"/>
        <v>0</v>
      </c>
    </row>
    <row r="462" spans="1:16" x14ac:dyDescent="0.25">
      <c r="A462" t="str">
        <f t="shared" si="21"/>
        <v>Callum Scanlon</v>
      </c>
      <c r="B462" t="s">
        <v>227</v>
      </c>
      <c r="C462" t="s">
        <v>1700</v>
      </c>
      <c r="D462">
        <v>11</v>
      </c>
      <c r="E462">
        <v>2</v>
      </c>
      <c r="F462">
        <v>39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f t="shared" si="22"/>
        <v>0</v>
      </c>
      <c r="P462">
        <f t="shared" si="23"/>
        <v>0</v>
      </c>
    </row>
    <row r="463" spans="1:16" x14ac:dyDescent="0.25">
      <c r="A463" t="str">
        <f t="shared" si="21"/>
        <v>Treymaurice Nyoni</v>
      </c>
      <c r="B463" t="s">
        <v>1701</v>
      </c>
      <c r="C463" t="s">
        <v>734</v>
      </c>
      <c r="D463">
        <v>11</v>
      </c>
      <c r="E463">
        <v>3</v>
      </c>
      <c r="F463">
        <v>45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 t="shared" si="22"/>
        <v>0</v>
      </c>
      <c r="P463">
        <f t="shared" si="23"/>
        <v>0</v>
      </c>
    </row>
    <row r="464" spans="1:16" x14ac:dyDescent="0.25">
      <c r="A464" t="str">
        <f t="shared" si="21"/>
        <v>Marcelo de Araújo Pitaluga Filho</v>
      </c>
      <c r="B464" t="s">
        <v>1702</v>
      </c>
      <c r="C464" t="s">
        <v>1703</v>
      </c>
      <c r="D464">
        <v>11</v>
      </c>
      <c r="E464">
        <v>1</v>
      </c>
      <c r="F464">
        <v>40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f t="shared" si="22"/>
        <v>0</v>
      </c>
      <c r="P464">
        <f t="shared" si="23"/>
        <v>0</v>
      </c>
    </row>
    <row r="465" spans="1:16" x14ac:dyDescent="0.25">
      <c r="A465" t="str">
        <f t="shared" si="21"/>
        <v>Conor Bradley</v>
      </c>
      <c r="B465" t="s">
        <v>708</v>
      </c>
      <c r="C465" t="s">
        <v>111</v>
      </c>
      <c r="D465">
        <v>11</v>
      </c>
      <c r="E465">
        <v>2</v>
      </c>
      <c r="F465">
        <v>41</v>
      </c>
      <c r="G465">
        <v>752</v>
      </c>
      <c r="H465">
        <v>10</v>
      </c>
      <c r="I465">
        <v>1</v>
      </c>
      <c r="J465">
        <v>3</v>
      </c>
      <c r="K465">
        <v>0.91</v>
      </c>
      <c r="L465">
        <v>1.24</v>
      </c>
      <c r="M465">
        <v>50</v>
      </c>
      <c r="N465">
        <v>211</v>
      </c>
      <c r="O465">
        <f t="shared" si="22"/>
        <v>0.10890957446808511</v>
      </c>
      <c r="P465">
        <f t="shared" si="23"/>
        <v>0.14840425531914894</v>
      </c>
    </row>
    <row r="466" spans="1:16" x14ac:dyDescent="0.25">
      <c r="A466" t="str">
        <f t="shared" si="21"/>
        <v>Owen Beck</v>
      </c>
      <c r="B466" t="s">
        <v>1508</v>
      </c>
      <c r="C466" t="s">
        <v>1704</v>
      </c>
      <c r="D466">
        <v>11</v>
      </c>
      <c r="E466">
        <v>2</v>
      </c>
      <c r="F466">
        <v>45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2</v>
      </c>
      <c r="O466">
        <f t="shared" si="22"/>
        <v>0</v>
      </c>
      <c r="P466">
        <f t="shared" si="23"/>
        <v>0</v>
      </c>
    </row>
    <row r="467" spans="1:16" x14ac:dyDescent="0.25">
      <c r="A467" t="str">
        <f t="shared" si="21"/>
        <v>Kaide Gordon</v>
      </c>
      <c r="B467" t="s">
        <v>1705</v>
      </c>
      <c r="C467" t="s">
        <v>1600</v>
      </c>
      <c r="D467">
        <v>11</v>
      </c>
      <c r="E467">
        <v>3</v>
      </c>
      <c r="F467">
        <v>45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3</v>
      </c>
      <c r="O467">
        <f t="shared" si="22"/>
        <v>0</v>
      </c>
      <c r="P467">
        <f t="shared" si="23"/>
        <v>0</v>
      </c>
    </row>
    <row r="468" spans="1:16" x14ac:dyDescent="0.25">
      <c r="A468" t="str">
        <f t="shared" si="21"/>
        <v>Lewis Koumas</v>
      </c>
      <c r="B468" t="s">
        <v>157</v>
      </c>
      <c r="C468" t="s">
        <v>743</v>
      </c>
      <c r="D468">
        <v>11</v>
      </c>
      <c r="E468">
        <v>4</v>
      </c>
      <c r="F468">
        <v>45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f t="shared" si="22"/>
        <v>0</v>
      </c>
      <c r="P468">
        <f t="shared" si="23"/>
        <v>0</v>
      </c>
    </row>
    <row r="469" spans="1:16" x14ac:dyDescent="0.25">
      <c r="A469" t="str">
        <f t="shared" si="21"/>
        <v>Fabian Mrozek</v>
      </c>
      <c r="B469" t="s">
        <v>854</v>
      </c>
      <c r="C469" t="s">
        <v>1706</v>
      </c>
      <c r="D469">
        <v>11</v>
      </c>
      <c r="E469">
        <v>1</v>
      </c>
      <c r="F469">
        <v>40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f t="shared" si="22"/>
        <v>0</v>
      </c>
      <c r="P469">
        <f t="shared" si="23"/>
        <v>0</v>
      </c>
    </row>
    <row r="470" spans="1:16" x14ac:dyDescent="0.25">
      <c r="A470" t="str">
        <f t="shared" si="21"/>
        <v>Jayden Danns</v>
      </c>
      <c r="B470" t="s">
        <v>659</v>
      </c>
      <c r="C470" t="s">
        <v>744</v>
      </c>
      <c r="D470">
        <v>11</v>
      </c>
      <c r="E470">
        <v>4</v>
      </c>
      <c r="F470">
        <v>43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0.01</v>
      </c>
      <c r="M470">
        <v>1</v>
      </c>
      <c r="N470">
        <v>1</v>
      </c>
      <c r="O470">
        <f t="shared" si="22"/>
        <v>0</v>
      </c>
      <c r="P470">
        <f t="shared" si="23"/>
        <v>0.12857142857142856</v>
      </c>
    </row>
    <row r="471" spans="1:16" x14ac:dyDescent="0.25">
      <c r="A471" t="str">
        <f t="shared" si="21"/>
        <v>Amara Nallo</v>
      </c>
      <c r="B471" t="s">
        <v>1707</v>
      </c>
      <c r="C471" t="s">
        <v>1708</v>
      </c>
      <c r="D471">
        <v>11</v>
      </c>
      <c r="E471">
        <v>2</v>
      </c>
      <c r="F471">
        <v>40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f t="shared" si="22"/>
        <v>0</v>
      </c>
      <c r="P471">
        <f t="shared" si="23"/>
        <v>0</v>
      </c>
    </row>
    <row r="472" spans="1:16" x14ac:dyDescent="0.25">
      <c r="A472" t="str">
        <f t="shared" si="21"/>
        <v>Albert Sambi Lokonga</v>
      </c>
      <c r="B472" t="s">
        <v>1709</v>
      </c>
      <c r="C472" t="s">
        <v>1710</v>
      </c>
      <c r="D472">
        <v>12</v>
      </c>
      <c r="E472">
        <v>3</v>
      </c>
      <c r="F472">
        <v>49</v>
      </c>
      <c r="G472">
        <v>1304</v>
      </c>
      <c r="H472">
        <v>16</v>
      </c>
      <c r="I472">
        <v>1</v>
      </c>
      <c r="J472">
        <v>3</v>
      </c>
      <c r="K472">
        <v>0.55000000000000004</v>
      </c>
      <c r="L472">
        <v>0.79</v>
      </c>
      <c r="M472">
        <v>47</v>
      </c>
      <c r="N472">
        <v>231</v>
      </c>
      <c r="O472">
        <f t="shared" si="22"/>
        <v>3.7960122699386506E-2</v>
      </c>
      <c r="P472">
        <f t="shared" si="23"/>
        <v>5.4524539877300618E-2</v>
      </c>
    </row>
    <row r="473" spans="1:16" x14ac:dyDescent="0.25">
      <c r="A473" t="str">
        <f t="shared" si="21"/>
        <v>Marvelous Nakamba</v>
      </c>
      <c r="B473" t="s">
        <v>1711</v>
      </c>
      <c r="C473" t="s">
        <v>1712</v>
      </c>
      <c r="D473">
        <v>12</v>
      </c>
      <c r="E473">
        <v>3</v>
      </c>
      <c r="F473">
        <v>43</v>
      </c>
      <c r="G473">
        <v>1131</v>
      </c>
      <c r="H473">
        <v>13</v>
      </c>
      <c r="I473">
        <v>0</v>
      </c>
      <c r="J473">
        <v>0</v>
      </c>
      <c r="K473">
        <v>0.18</v>
      </c>
      <c r="L473">
        <v>0.49</v>
      </c>
      <c r="M473">
        <v>21</v>
      </c>
      <c r="N473">
        <v>131</v>
      </c>
      <c r="O473">
        <f t="shared" si="22"/>
        <v>1.4323607427055702E-2</v>
      </c>
      <c r="P473">
        <f t="shared" si="23"/>
        <v>3.89920424403183E-2</v>
      </c>
    </row>
    <row r="474" spans="1:16" x14ac:dyDescent="0.25">
      <c r="A474" t="str">
        <f t="shared" si="21"/>
        <v>Elijah Adebayo</v>
      </c>
      <c r="B474" t="s">
        <v>1640</v>
      </c>
      <c r="C474" t="s">
        <v>1713</v>
      </c>
      <c r="D474">
        <v>12</v>
      </c>
      <c r="E474">
        <v>4</v>
      </c>
      <c r="F474">
        <v>48</v>
      </c>
      <c r="G474">
        <v>1405</v>
      </c>
      <c r="H474">
        <v>16</v>
      </c>
      <c r="I474">
        <v>10</v>
      </c>
      <c r="J474">
        <v>1</v>
      </c>
      <c r="K474">
        <v>5.47</v>
      </c>
      <c r="L474">
        <v>0.44</v>
      </c>
      <c r="M474">
        <v>94</v>
      </c>
      <c r="N474">
        <v>288</v>
      </c>
      <c r="O474">
        <f t="shared" si="22"/>
        <v>0.35039145907473307</v>
      </c>
      <c r="P474">
        <f t="shared" si="23"/>
        <v>2.8185053380782921E-2</v>
      </c>
    </row>
    <row r="475" spans="1:16" x14ac:dyDescent="0.25">
      <c r="A475" t="str">
        <f t="shared" si="21"/>
        <v>Mads Juel Andersen</v>
      </c>
      <c r="B475" t="s">
        <v>1714</v>
      </c>
      <c r="C475" t="s">
        <v>510</v>
      </c>
      <c r="D475">
        <v>12</v>
      </c>
      <c r="E475">
        <v>2</v>
      </c>
      <c r="F475">
        <v>38</v>
      </c>
      <c r="G475">
        <v>397</v>
      </c>
      <c r="H475">
        <v>4</v>
      </c>
      <c r="I475">
        <v>1</v>
      </c>
      <c r="J475">
        <v>0</v>
      </c>
      <c r="K475">
        <v>0.26</v>
      </c>
      <c r="L475">
        <v>0</v>
      </c>
      <c r="M475">
        <v>15</v>
      </c>
      <c r="N475">
        <v>75</v>
      </c>
      <c r="O475">
        <f t="shared" si="22"/>
        <v>5.894206549118388E-2</v>
      </c>
      <c r="P475">
        <f t="shared" si="23"/>
        <v>0</v>
      </c>
    </row>
    <row r="476" spans="1:16" x14ac:dyDescent="0.25">
      <c r="A476" t="str">
        <f t="shared" si="21"/>
        <v>Amari'i Bell</v>
      </c>
      <c r="B476" t="s">
        <v>1715</v>
      </c>
      <c r="C476" t="s">
        <v>1716</v>
      </c>
      <c r="D476">
        <v>12</v>
      </c>
      <c r="E476">
        <v>2</v>
      </c>
      <c r="F476">
        <v>38</v>
      </c>
      <c r="G476">
        <v>1720</v>
      </c>
      <c r="H476">
        <v>21</v>
      </c>
      <c r="I476">
        <v>0</v>
      </c>
      <c r="J476">
        <v>0</v>
      </c>
      <c r="K476">
        <v>0.38</v>
      </c>
      <c r="L476">
        <v>0.43</v>
      </c>
      <c r="M476">
        <v>35</v>
      </c>
      <c r="N476">
        <v>263</v>
      </c>
      <c r="O476">
        <f t="shared" si="22"/>
        <v>1.9883720930232558E-2</v>
      </c>
      <c r="P476">
        <f t="shared" si="23"/>
        <v>2.2499999999999999E-2</v>
      </c>
    </row>
    <row r="477" spans="1:16" x14ac:dyDescent="0.25">
      <c r="A477" t="str">
        <f t="shared" si="21"/>
        <v>Luke Berry</v>
      </c>
      <c r="B477" t="s">
        <v>375</v>
      </c>
      <c r="C477" t="s">
        <v>1717</v>
      </c>
      <c r="D477">
        <v>12</v>
      </c>
      <c r="E477">
        <v>3</v>
      </c>
      <c r="F477">
        <v>46</v>
      </c>
      <c r="G477">
        <v>309</v>
      </c>
      <c r="H477">
        <v>2</v>
      </c>
      <c r="I477">
        <v>2</v>
      </c>
      <c r="J477">
        <v>1</v>
      </c>
      <c r="K477">
        <v>0.99</v>
      </c>
      <c r="L477">
        <v>0.15</v>
      </c>
      <c r="M477">
        <v>31</v>
      </c>
      <c r="N477">
        <v>94</v>
      </c>
      <c r="O477">
        <f t="shared" si="22"/>
        <v>0.28834951456310676</v>
      </c>
      <c r="P477">
        <f t="shared" si="23"/>
        <v>4.3689320388349516E-2</v>
      </c>
    </row>
    <row r="478" spans="1:16" x14ac:dyDescent="0.25">
      <c r="A478" t="str">
        <f t="shared" si="21"/>
        <v>Reece Burke</v>
      </c>
      <c r="B478" t="s">
        <v>297</v>
      </c>
      <c r="C478" t="s">
        <v>1718</v>
      </c>
      <c r="D478">
        <v>12</v>
      </c>
      <c r="E478">
        <v>2</v>
      </c>
      <c r="F478">
        <v>40</v>
      </c>
      <c r="G478">
        <v>1659</v>
      </c>
      <c r="H478">
        <v>20</v>
      </c>
      <c r="I478">
        <v>0</v>
      </c>
      <c r="J478">
        <v>4</v>
      </c>
      <c r="K478">
        <v>1.86</v>
      </c>
      <c r="L478">
        <v>0.92</v>
      </c>
      <c r="M478">
        <v>40</v>
      </c>
      <c r="N478">
        <v>260</v>
      </c>
      <c r="O478">
        <f t="shared" si="22"/>
        <v>0.10090415913200723</v>
      </c>
      <c r="P478">
        <f t="shared" si="23"/>
        <v>4.9909584086799283E-2</v>
      </c>
    </row>
    <row r="479" spans="1:16" x14ac:dyDescent="0.25">
      <c r="A479" t="str">
        <f t="shared" si="21"/>
        <v>Allan Campbell</v>
      </c>
      <c r="B479" t="s">
        <v>1258</v>
      </c>
      <c r="C479" t="s">
        <v>1641</v>
      </c>
      <c r="D479">
        <v>12</v>
      </c>
      <c r="E479">
        <v>3</v>
      </c>
      <c r="F479">
        <v>49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f t="shared" si="22"/>
        <v>0</v>
      </c>
      <c r="P479">
        <f t="shared" si="23"/>
        <v>0</v>
      </c>
    </row>
    <row r="480" spans="1:16" x14ac:dyDescent="0.25">
      <c r="A480" t="str">
        <f t="shared" si="21"/>
        <v>Jordan Clark</v>
      </c>
      <c r="B480" t="s">
        <v>289</v>
      </c>
      <c r="C480" t="s">
        <v>1698</v>
      </c>
      <c r="D480">
        <v>12</v>
      </c>
      <c r="E480">
        <v>3</v>
      </c>
      <c r="F480">
        <v>48</v>
      </c>
      <c r="G480">
        <v>1297</v>
      </c>
      <c r="H480">
        <v>14</v>
      </c>
      <c r="I480">
        <v>1</v>
      </c>
      <c r="J480">
        <v>1</v>
      </c>
      <c r="K480">
        <v>1.1000000000000001</v>
      </c>
      <c r="L480">
        <v>1.19</v>
      </c>
      <c r="M480">
        <v>44</v>
      </c>
      <c r="N480">
        <v>156</v>
      </c>
      <c r="O480">
        <f t="shared" si="22"/>
        <v>7.632999228989977E-2</v>
      </c>
      <c r="P480">
        <f t="shared" si="23"/>
        <v>8.2575173477255195E-2</v>
      </c>
    </row>
    <row r="481" spans="1:16" x14ac:dyDescent="0.25">
      <c r="A481" t="str">
        <f t="shared" si="21"/>
        <v>Alfie Doughty</v>
      </c>
      <c r="B481" t="s">
        <v>507</v>
      </c>
      <c r="C481" t="s">
        <v>1719</v>
      </c>
      <c r="D481">
        <v>12</v>
      </c>
      <c r="E481">
        <v>2</v>
      </c>
      <c r="F481">
        <v>43</v>
      </c>
      <c r="G481">
        <v>2923</v>
      </c>
      <c r="H481">
        <v>34</v>
      </c>
      <c r="I481">
        <v>2</v>
      </c>
      <c r="J481">
        <v>10</v>
      </c>
      <c r="K481">
        <v>1.39</v>
      </c>
      <c r="L481">
        <v>5.55</v>
      </c>
      <c r="M481">
        <v>101</v>
      </c>
      <c r="N481">
        <v>577</v>
      </c>
      <c r="O481">
        <f t="shared" si="22"/>
        <v>4.2798494697228871E-2</v>
      </c>
      <c r="P481">
        <f t="shared" si="23"/>
        <v>0.17088607594936708</v>
      </c>
    </row>
    <row r="482" spans="1:16" x14ac:dyDescent="0.25">
      <c r="A482" t="str">
        <f t="shared" si="21"/>
        <v>Luke Freeman</v>
      </c>
      <c r="B482" t="s">
        <v>375</v>
      </c>
      <c r="C482" t="s">
        <v>1720</v>
      </c>
      <c r="D482">
        <v>12</v>
      </c>
      <c r="E482">
        <v>3</v>
      </c>
      <c r="F482">
        <v>49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f t="shared" si="22"/>
        <v>0</v>
      </c>
      <c r="P482">
        <f t="shared" si="23"/>
        <v>0</v>
      </c>
    </row>
    <row r="483" spans="1:16" x14ac:dyDescent="0.25">
      <c r="A483" t="str">
        <f t="shared" si="21"/>
        <v>Matt Macey</v>
      </c>
      <c r="B483" t="s">
        <v>259</v>
      </c>
      <c r="C483" t="s">
        <v>1721</v>
      </c>
      <c r="D483">
        <v>12</v>
      </c>
      <c r="E483">
        <v>1</v>
      </c>
      <c r="F483">
        <v>40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f t="shared" si="22"/>
        <v>0</v>
      </c>
      <c r="P483">
        <f t="shared" si="23"/>
        <v>0</v>
      </c>
    </row>
    <row r="484" spans="1:16" x14ac:dyDescent="0.25">
      <c r="A484" t="str">
        <f t="shared" si="21"/>
        <v>John McAtee</v>
      </c>
      <c r="B484" t="s">
        <v>101</v>
      </c>
      <c r="C484" t="s">
        <v>913</v>
      </c>
      <c r="D484">
        <v>12</v>
      </c>
      <c r="E484">
        <v>4</v>
      </c>
      <c r="F484">
        <v>45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f t="shared" si="22"/>
        <v>0</v>
      </c>
      <c r="P484">
        <f t="shared" si="23"/>
        <v>0</v>
      </c>
    </row>
    <row r="485" spans="1:16" x14ac:dyDescent="0.25">
      <c r="A485" t="str">
        <f t="shared" si="21"/>
        <v>Carlos Mendes Gomes</v>
      </c>
      <c r="B485" t="s">
        <v>268</v>
      </c>
      <c r="C485" t="s">
        <v>1722</v>
      </c>
      <c r="D485">
        <v>12</v>
      </c>
      <c r="E485">
        <v>3</v>
      </c>
      <c r="F485">
        <v>45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t="shared" si="22"/>
        <v>0</v>
      </c>
      <c r="P485">
        <f t="shared" si="23"/>
        <v>0</v>
      </c>
    </row>
    <row r="486" spans="1:16" x14ac:dyDescent="0.25">
      <c r="A486" t="str">
        <f t="shared" si="21"/>
        <v>Carlton Morris</v>
      </c>
      <c r="B486" t="s">
        <v>1723</v>
      </c>
      <c r="C486" t="s">
        <v>1724</v>
      </c>
      <c r="D486">
        <v>12</v>
      </c>
      <c r="E486">
        <v>4</v>
      </c>
      <c r="F486">
        <v>47</v>
      </c>
      <c r="G486">
        <v>2859</v>
      </c>
      <c r="H486">
        <v>32</v>
      </c>
      <c r="I486">
        <v>11</v>
      </c>
      <c r="J486">
        <v>6</v>
      </c>
      <c r="K486">
        <v>11.53</v>
      </c>
      <c r="L486">
        <v>1.52</v>
      </c>
      <c r="M486">
        <v>146</v>
      </c>
      <c r="N486">
        <v>451</v>
      </c>
      <c r="O486">
        <f t="shared" si="22"/>
        <v>0.36295907660020987</v>
      </c>
      <c r="P486">
        <f t="shared" si="23"/>
        <v>4.7848898216159494E-2</v>
      </c>
    </row>
    <row r="487" spans="1:16" x14ac:dyDescent="0.25">
      <c r="A487" t="str">
        <f t="shared" si="21"/>
        <v>Admiral Muskwe</v>
      </c>
      <c r="B487" t="s">
        <v>1725</v>
      </c>
      <c r="C487" t="s">
        <v>1726</v>
      </c>
      <c r="D487">
        <v>12</v>
      </c>
      <c r="E487">
        <v>4</v>
      </c>
      <c r="F487">
        <v>45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f t="shared" si="22"/>
        <v>0</v>
      </c>
      <c r="P487">
        <f t="shared" si="23"/>
        <v>0</v>
      </c>
    </row>
    <row r="488" spans="1:16" x14ac:dyDescent="0.25">
      <c r="A488" t="str">
        <f t="shared" si="21"/>
        <v>Chiedozie Ogbene</v>
      </c>
      <c r="B488" t="s">
        <v>623</v>
      </c>
      <c r="C488" t="s">
        <v>624</v>
      </c>
      <c r="D488">
        <v>12</v>
      </c>
      <c r="E488">
        <v>4</v>
      </c>
      <c r="F488">
        <v>48</v>
      </c>
      <c r="G488">
        <v>1987</v>
      </c>
      <c r="H488">
        <v>20</v>
      </c>
      <c r="I488">
        <v>4</v>
      </c>
      <c r="J488">
        <v>4</v>
      </c>
      <c r="K488">
        <v>4.47</v>
      </c>
      <c r="L488">
        <v>3.5</v>
      </c>
      <c r="M488">
        <v>84</v>
      </c>
      <c r="N488">
        <v>387</v>
      </c>
      <c r="O488">
        <f t="shared" si="22"/>
        <v>0.20246602918973325</v>
      </c>
      <c r="P488">
        <f t="shared" si="23"/>
        <v>0.15853044791142426</v>
      </c>
    </row>
    <row r="489" spans="1:16" x14ac:dyDescent="0.25">
      <c r="A489" t="str">
        <f t="shared" si="21"/>
        <v>Fred Onyedinma</v>
      </c>
      <c r="B489" t="s">
        <v>1727</v>
      </c>
      <c r="C489" t="s">
        <v>1728</v>
      </c>
      <c r="D489">
        <v>12</v>
      </c>
      <c r="E489">
        <v>3</v>
      </c>
      <c r="F489">
        <v>50</v>
      </c>
      <c r="G489">
        <v>403</v>
      </c>
      <c r="H489">
        <v>4</v>
      </c>
      <c r="I489">
        <v>0</v>
      </c>
      <c r="J489">
        <v>0</v>
      </c>
      <c r="K489">
        <v>0.15</v>
      </c>
      <c r="L489">
        <v>0.42</v>
      </c>
      <c r="M489">
        <v>11</v>
      </c>
      <c r="N489">
        <v>19</v>
      </c>
      <c r="O489">
        <f t="shared" si="22"/>
        <v>3.3498759305210915E-2</v>
      </c>
      <c r="P489">
        <f t="shared" si="23"/>
        <v>9.3796526054590573E-2</v>
      </c>
    </row>
    <row r="490" spans="1:16" x14ac:dyDescent="0.25">
      <c r="A490" t="str">
        <f t="shared" si="21"/>
        <v>Gabriel Osho</v>
      </c>
      <c r="B490" t="s">
        <v>26</v>
      </c>
      <c r="C490" t="s">
        <v>1729</v>
      </c>
      <c r="D490">
        <v>12</v>
      </c>
      <c r="E490">
        <v>2</v>
      </c>
      <c r="F490">
        <v>44</v>
      </c>
      <c r="G490">
        <v>1846</v>
      </c>
      <c r="H490">
        <v>21</v>
      </c>
      <c r="I490">
        <v>2</v>
      </c>
      <c r="J490">
        <v>0</v>
      </c>
      <c r="K490">
        <v>1.0900000000000001</v>
      </c>
      <c r="L490">
        <v>0.16</v>
      </c>
      <c r="M490">
        <v>41</v>
      </c>
      <c r="N490">
        <v>286</v>
      </c>
      <c r="O490">
        <f t="shared" si="22"/>
        <v>5.3141928494041174E-2</v>
      </c>
      <c r="P490">
        <f t="shared" si="23"/>
        <v>7.8006500541711815E-3</v>
      </c>
    </row>
    <row r="491" spans="1:16" x14ac:dyDescent="0.25">
      <c r="A491" t="str">
        <f t="shared" si="21"/>
        <v>Aribim Pepple</v>
      </c>
      <c r="B491" t="s">
        <v>1730</v>
      </c>
      <c r="C491" t="s">
        <v>1731</v>
      </c>
      <c r="D491">
        <v>12</v>
      </c>
      <c r="E491">
        <v>4</v>
      </c>
      <c r="F491">
        <v>45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f t="shared" si="22"/>
        <v>0</v>
      </c>
      <c r="P491">
        <f t="shared" si="23"/>
        <v>0</v>
      </c>
    </row>
    <row r="492" spans="1:16" x14ac:dyDescent="0.25">
      <c r="A492" t="str">
        <f t="shared" si="21"/>
        <v>Dion Pereira</v>
      </c>
      <c r="B492" t="s">
        <v>1732</v>
      </c>
      <c r="C492" t="s">
        <v>1733</v>
      </c>
      <c r="D492">
        <v>12</v>
      </c>
      <c r="E492">
        <v>3</v>
      </c>
      <c r="F492">
        <v>44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f t="shared" si="22"/>
        <v>0</v>
      </c>
      <c r="P492">
        <f t="shared" si="23"/>
        <v>0</v>
      </c>
    </row>
    <row r="493" spans="1:16" x14ac:dyDescent="0.25">
      <c r="A493" t="str">
        <f t="shared" si="21"/>
        <v>Dan Potts</v>
      </c>
      <c r="B493" t="s">
        <v>858</v>
      </c>
      <c r="C493" t="s">
        <v>1734</v>
      </c>
      <c r="D493">
        <v>12</v>
      </c>
      <c r="E493">
        <v>2</v>
      </c>
      <c r="F493">
        <v>39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f t="shared" si="22"/>
        <v>0</v>
      </c>
      <c r="P493">
        <f t="shared" si="23"/>
        <v>0</v>
      </c>
    </row>
    <row r="494" spans="1:16" x14ac:dyDescent="0.25">
      <c r="A494" t="str">
        <f t="shared" si="21"/>
        <v>Glen Rea</v>
      </c>
      <c r="B494" t="s">
        <v>1735</v>
      </c>
      <c r="C494" t="s">
        <v>1736</v>
      </c>
      <c r="D494">
        <v>12</v>
      </c>
      <c r="E494">
        <v>3</v>
      </c>
      <c r="F494">
        <v>44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f t="shared" si="22"/>
        <v>0</v>
      </c>
      <c r="P494">
        <f t="shared" si="23"/>
        <v>0</v>
      </c>
    </row>
    <row r="495" spans="1:16" x14ac:dyDescent="0.25">
      <c r="A495" t="str">
        <f t="shared" si="21"/>
        <v>James Shea</v>
      </c>
      <c r="B495" t="s">
        <v>135</v>
      </c>
      <c r="C495" t="s">
        <v>538</v>
      </c>
      <c r="D495">
        <v>12</v>
      </c>
      <c r="E495">
        <v>1</v>
      </c>
      <c r="F495">
        <v>42</v>
      </c>
      <c r="G495">
        <v>14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8</v>
      </c>
      <c r="O495">
        <f t="shared" si="22"/>
        <v>0</v>
      </c>
      <c r="P495">
        <f t="shared" si="23"/>
        <v>0</v>
      </c>
    </row>
    <row r="496" spans="1:16" x14ac:dyDescent="0.25">
      <c r="A496" t="str">
        <f t="shared" si="21"/>
        <v>Joe Taylor</v>
      </c>
      <c r="B496" t="s">
        <v>585</v>
      </c>
      <c r="C496" t="s">
        <v>621</v>
      </c>
      <c r="D496">
        <v>12</v>
      </c>
      <c r="E496">
        <v>4</v>
      </c>
      <c r="F496">
        <v>45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f t="shared" si="22"/>
        <v>0</v>
      </c>
      <c r="P496">
        <f t="shared" si="23"/>
        <v>0</v>
      </c>
    </row>
    <row r="497" spans="1:16" x14ac:dyDescent="0.25">
      <c r="A497" t="str">
        <f t="shared" si="21"/>
        <v>Elliot Thorpe</v>
      </c>
      <c r="B497" t="s">
        <v>594</v>
      </c>
      <c r="C497" t="s">
        <v>1737</v>
      </c>
      <c r="D497">
        <v>12</v>
      </c>
      <c r="E497">
        <v>3</v>
      </c>
      <c r="F497">
        <v>45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f t="shared" si="22"/>
        <v>0</v>
      </c>
      <c r="P497">
        <f t="shared" si="23"/>
        <v>0</v>
      </c>
    </row>
    <row r="498" spans="1:16" x14ac:dyDescent="0.25">
      <c r="A498" t="str">
        <f t="shared" si="21"/>
        <v>Jack Walton</v>
      </c>
      <c r="B498" t="s">
        <v>253</v>
      </c>
      <c r="C498" t="s">
        <v>604</v>
      </c>
      <c r="D498">
        <v>12</v>
      </c>
      <c r="E498">
        <v>1</v>
      </c>
      <c r="F498">
        <v>40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f t="shared" si="22"/>
        <v>0</v>
      </c>
      <c r="P498">
        <f t="shared" si="23"/>
        <v>0</v>
      </c>
    </row>
    <row r="499" spans="1:16" x14ac:dyDescent="0.25">
      <c r="A499" t="str">
        <f t="shared" si="21"/>
        <v>Louie Watson</v>
      </c>
      <c r="B499" t="s">
        <v>1738</v>
      </c>
      <c r="C499" t="s">
        <v>273</v>
      </c>
      <c r="D499">
        <v>12</v>
      </c>
      <c r="E499">
        <v>3</v>
      </c>
      <c r="F499">
        <v>44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f t="shared" si="22"/>
        <v>0</v>
      </c>
      <c r="P499">
        <f t="shared" si="23"/>
        <v>0</v>
      </c>
    </row>
    <row r="500" spans="1:16" x14ac:dyDescent="0.25">
      <c r="A500" t="str">
        <f t="shared" si="21"/>
        <v>Cauley Woodrow</v>
      </c>
      <c r="B500" t="s">
        <v>1739</v>
      </c>
      <c r="C500" t="s">
        <v>1740</v>
      </c>
      <c r="D500">
        <v>12</v>
      </c>
      <c r="E500">
        <v>4</v>
      </c>
      <c r="F500">
        <v>43</v>
      </c>
      <c r="G500">
        <v>406</v>
      </c>
      <c r="H500">
        <v>2</v>
      </c>
      <c r="I500">
        <v>1</v>
      </c>
      <c r="J500">
        <v>1</v>
      </c>
      <c r="K500">
        <v>1.32</v>
      </c>
      <c r="L500">
        <v>0.85</v>
      </c>
      <c r="M500">
        <v>33</v>
      </c>
      <c r="N500">
        <v>118</v>
      </c>
      <c r="O500">
        <f t="shared" si="22"/>
        <v>0.29261083743842364</v>
      </c>
      <c r="P500">
        <f t="shared" si="23"/>
        <v>0.18842364532019704</v>
      </c>
    </row>
    <row r="501" spans="1:16" x14ac:dyDescent="0.25">
      <c r="A501" t="str">
        <f t="shared" si="21"/>
        <v>Teden Mengi</v>
      </c>
      <c r="B501" t="s">
        <v>1741</v>
      </c>
      <c r="C501" t="s">
        <v>1742</v>
      </c>
      <c r="D501">
        <v>12</v>
      </c>
      <c r="E501">
        <v>2</v>
      </c>
      <c r="F501">
        <v>39</v>
      </c>
      <c r="G501">
        <v>2467</v>
      </c>
      <c r="H501">
        <v>28</v>
      </c>
      <c r="I501">
        <v>1</v>
      </c>
      <c r="J501">
        <v>0</v>
      </c>
      <c r="K501">
        <v>0.54</v>
      </c>
      <c r="L501">
        <v>0.56000000000000005</v>
      </c>
      <c r="M501">
        <v>42</v>
      </c>
      <c r="N501">
        <v>345</v>
      </c>
      <c r="O501">
        <f t="shared" si="22"/>
        <v>1.9700040535062829E-2</v>
      </c>
      <c r="P501">
        <f t="shared" si="23"/>
        <v>2.0429671665991085E-2</v>
      </c>
    </row>
    <row r="502" spans="1:16" x14ac:dyDescent="0.25">
      <c r="A502" t="str">
        <f t="shared" si="21"/>
        <v>Ryan Giles</v>
      </c>
      <c r="B502" t="s">
        <v>164</v>
      </c>
      <c r="C502" t="s">
        <v>555</v>
      </c>
      <c r="D502">
        <v>12</v>
      </c>
      <c r="E502">
        <v>2</v>
      </c>
      <c r="F502">
        <v>42</v>
      </c>
      <c r="G502">
        <v>498</v>
      </c>
      <c r="H502">
        <v>5</v>
      </c>
      <c r="I502">
        <v>0</v>
      </c>
      <c r="J502">
        <v>0</v>
      </c>
      <c r="K502">
        <v>0.12</v>
      </c>
      <c r="L502">
        <v>0.56000000000000005</v>
      </c>
      <c r="M502">
        <v>11</v>
      </c>
      <c r="N502">
        <v>81</v>
      </c>
      <c r="O502">
        <f t="shared" si="22"/>
        <v>2.1686746987951807E-2</v>
      </c>
      <c r="P502">
        <f t="shared" si="23"/>
        <v>0.10120481927710845</v>
      </c>
    </row>
    <row r="503" spans="1:16" x14ac:dyDescent="0.25">
      <c r="A503" t="str">
        <f t="shared" si="21"/>
        <v>Tom Lockyer</v>
      </c>
      <c r="B503" t="s">
        <v>272</v>
      </c>
      <c r="C503" t="s">
        <v>1743</v>
      </c>
      <c r="D503">
        <v>12</v>
      </c>
      <c r="E503">
        <v>2</v>
      </c>
      <c r="F503">
        <v>42</v>
      </c>
      <c r="G503">
        <v>1169</v>
      </c>
      <c r="H503">
        <v>14</v>
      </c>
      <c r="I503">
        <v>1</v>
      </c>
      <c r="J503">
        <v>1</v>
      </c>
      <c r="K503">
        <v>0.99</v>
      </c>
      <c r="L503">
        <v>0.28999999999999998</v>
      </c>
      <c r="M503">
        <v>23</v>
      </c>
      <c r="N503">
        <v>162</v>
      </c>
      <c r="O503">
        <f t="shared" si="22"/>
        <v>7.6218990590248073E-2</v>
      </c>
      <c r="P503">
        <f t="shared" si="23"/>
        <v>2.2326775021385799E-2</v>
      </c>
    </row>
    <row r="504" spans="1:16" x14ac:dyDescent="0.25">
      <c r="A504" t="str">
        <f t="shared" si="21"/>
        <v>Pelly Ruddock Mpanzu</v>
      </c>
      <c r="B504" t="s">
        <v>1744</v>
      </c>
      <c r="C504" t="s">
        <v>1745</v>
      </c>
      <c r="D504">
        <v>12</v>
      </c>
      <c r="E504">
        <v>3</v>
      </c>
      <c r="F504">
        <v>46</v>
      </c>
      <c r="G504">
        <v>1085</v>
      </c>
      <c r="H504">
        <v>11</v>
      </c>
      <c r="I504">
        <v>0</v>
      </c>
      <c r="J504">
        <v>0</v>
      </c>
      <c r="K504">
        <v>0.6</v>
      </c>
      <c r="L504">
        <v>1.41</v>
      </c>
      <c r="M504">
        <v>35</v>
      </c>
      <c r="N504">
        <v>107</v>
      </c>
      <c r="O504">
        <f t="shared" si="22"/>
        <v>4.9769585253456219E-2</v>
      </c>
      <c r="P504">
        <f t="shared" si="23"/>
        <v>0.11695852534562211</v>
      </c>
    </row>
    <row r="505" spans="1:16" x14ac:dyDescent="0.25">
      <c r="A505" t="str">
        <f t="shared" si="21"/>
        <v>Tahith Chong</v>
      </c>
      <c r="B505" t="s">
        <v>1746</v>
      </c>
      <c r="C505" t="s">
        <v>1747</v>
      </c>
      <c r="D505">
        <v>12</v>
      </c>
      <c r="E505">
        <v>3</v>
      </c>
      <c r="F505">
        <v>44</v>
      </c>
      <c r="G505">
        <v>1972</v>
      </c>
      <c r="H505">
        <v>20</v>
      </c>
      <c r="I505">
        <v>4</v>
      </c>
      <c r="J505">
        <v>2</v>
      </c>
      <c r="K505">
        <v>2.7</v>
      </c>
      <c r="L505">
        <v>1.33</v>
      </c>
      <c r="M505">
        <v>78</v>
      </c>
      <c r="N505">
        <v>222</v>
      </c>
      <c r="O505">
        <f t="shared" si="22"/>
        <v>0.12322515212981747</v>
      </c>
      <c r="P505">
        <f t="shared" si="23"/>
        <v>6.0699797160243416E-2</v>
      </c>
    </row>
    <row r="506" spans="1:16" x14ac:dyDescent="0.25">
      <c r="A506" t="str">
        <f t="shared" si="21"/>
        <v>Issa Kaboré</v>
      </c>
      <c r="B506" t="s">
        <v>600</v>
      </c>
      <c r="C506" t="s">
        <v>1748</v>
      </c>
      <c r="D506">
        <v>12</v>
      </c>
      <c r="E506">
        <v>2</v>
      </c>
      <c r="F506">
        <v>40</v>
      </c>
      <c r="G506">
        <v>1727</v>
      </c>
      <c r="H506">
        <v>21</v>
      </c>
      <c r="I506">
        <v>0</v>
      </c>
      <c r="J506">
        <v>3</v>
      </c>
      <c r="K506">
        <v>0.22</v>
      </c>
      <c r="L506">
        <v>1.87</v>
      </c>
      <c r="M506">
        <v>34</v>
      </c>
      <c r="N506">
        <v>236</v>
      </c>
      <c r="O506">
        <f t="shared" si="22"/>
        <v>1.1464968152866241E-2</v>
      </c>
      <c r="P506">
        <f t="shared" si="23"/>
        <v>9.7452229299363063E-2</v>
      </c>
    </row>
    <row r="507" spans="1:16" x14ac:dyDescent="0.25">
      <c r="A507" t="str">
        <f t="shared" si="21"/>
        <v>Thomas Kaminski</v>
      </c>
      <c r="B507" t="s">
        <v>364</v>
      </c>
      <c r="C507" t="s">
        <v>1749</v>
      </c>
      <c r="D507">
        <v>12</v>
      </c>
      <c r="E507">
        <v>1</v>
      </c>
      <c r="F507">
        <v>45</v>
      </c>
      <c r="G507">
        <v>3405</v>
      </c>
      <c r="H507">
        <v>38</v>
      </c>
      <c r="I507">
        <v>0</v>
      </c>
      <c r="J507">
        <v>0</v>
      </c>
      <c r="K507">
        <v>0</v>
      </c>
      <c r="L507">
        <v>0.04</v>
      </c>
      <c r="M507">
        <v>86</v>
      </c>
      <c r="N507">
        <v>642</v>
      </c>
      <c r="O507">
        <f t="shared" si="22"/>
        <v>0</v>
      </c>
      <c r="P507">
        <f t="shared" si="23"/>
        <v>1.0572687224669603E-3</v>
      </c>
    </row>
    <row r="508" spans="1:16" x14ac:dyDescent="0.25">
      <c r="A508" t="str">
        <f t="shared" si="21"/>
        <v>Ross Barkley</v>
      </c>
      <c r="B508" t="s">
        <v>103</v>
      </c>
      <c r="C508" t="s">
        <v>104</v>
      </c>
      <c r="D508">
        <v>12</v>
      </c>
      <c r="E508">
        <v>3</v>
      </c>
      <c r="F508">
        <v>45</v>
      </c>
      <c r="G508">
        <v>2616</v>
      </c>
      <c r="H508">
        <v>30</v>
      </c>
      <c r="I508">
        <v>5</v>
      </c>
      <c r="J508">
        <v>5</v>
      </c>
      <c r="K508">
        <v>3.91</v>
      </c>
      <c r="L508">
        <v>2.73</v>
      </c>
      <c r="M508">
        <v>101</v>
      </c>
      <c r="N508">
        <v>498</v>
      </c>
      <c r="O508">
        <f t="shared" si="22"/>
        <v>0.13451834862385323</v>
      </c>
      <c r="P508">
        <f t="shared" si="23"/>
        <v>9.3922018348623862E-2</v>
      </c>
    </row>
    <row r="509" spans="1:16" x14ac:dyDescent="0.25">
      <c r="A509" t="str">
        <f t="shared" si="21"/>
        <v>Jacob Brown</v>
      </c>
      <c r="B509" t="s">
        <v>556</v>
      </c>
      <c r="C509" t="s">
        <v>1750</v>
      </c>
      <c r="D509">
        <v>12</v>
      </c>
      <c r="E509">
        <v>4</v>
      </c>
      <c r="F509">
        <v>49</v>
      </c>
      <c r="G509">
        <v>1013</v>
      </c>
      <c r="H509">
        <v>12</v>
      </c>
      <c r="I509">
        <v>2</v>
      </c>
      <c r="J509">
        <v>1</v>
      </c>
      <c r="K509">
        <v>2.81</v>
      </c>
      <c r="L509">
        <v>0.44</v>
      </c>
      <c r="M509">
        <v>39</v>
      </c>
      <c r="N509">
        <v>115</v>
      </c>
      <c r="O509">
        <f t="shared" si="22"/>
        <v>0.24965449160908196</v>
      </c>
      <c r="P509">
        <f t="shared" si="23"/>
        <v>3.9091806515301086E-2</v>
      </c>
    </row>
    <row r="510" spans="1:16" x14ac:dyDescent="0.25">
      <c r="A510" t="str">
        <f t="shared" si="21"/>
        <v>Aidan Francis-Clarke</v>
      </c>
      <c r="B510" t="s">
        <v>1751</v>
      </c>
      <c r="C510" t="s">
        <v>1752</v>
      </c>
      <c r="D510">
        <v>12</v>
      </c>
      <c r="E510">
        <v>2</v>
      </c>
      <c r="F510">
        <v>40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t="shared" si="22"/>
        <v>0</v>
      </c>
      <c r="P510">
        <f t="shared" si="23"/>
        <v>0</v>
      </c>
    </row>
    <row r="511" spans="1:16" x14ac:dyDescent="0.25">
      <c r="A511" t="str">
        <f t="shared" si="21"/>
        <v>Tim Krul</v>
      </c>
      <c r="B511" t="s">
        <v>489</v>
      </c>
      <c r="C511" t="s">
        <v>1753</v>
      </c>
      <c r="D511">
        <v>12</v>
      </c>
      <c r="E511">
        <v>1</v>
      </c>
      <c r="F511">
        <v>44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f t="shared" si="22"/>
        <v>0</v>
      </c>
      <c r="P511">
        <f t="shared" si="23"/>
        <v>0</v>
      </c>
    </row>
    <row r="512" spans="1:16" x14ac:dyDescent="0.25">
      <c r="A512" t="str">
        <f t="shared" si="21"/>
        <v>Joseph Johnson</v>
      </c>
      <c r="B512" t="s">
        <v>1754</v>
      </c>
      <c r="C512" t="s">
        <v>471</v>
      </c>
      <c r="D512">
        <v>12</v>
      </c>
      <c r="E512">
        <v>2</v>
      </c>
      <c r="F512">
        <v>40</v>
      </c>
      <c r="G512">
        <v>75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5</v>
      </c>
      <c r="O512">
        <f t="shared" si="22"/>
        <v>0</v>
      </c>
      <c r="P512">
        <f t="shared" si="23"/>
        <v>0</v>
      </c>
    </row>
    <row r="513" spans="1:16" x14ac:dyDescent="0.25">
      <c r="A513" t="str">
        <f t="shared" si="21"/>
        <v>Andros Townsend</v>
      </c>
      <c r="B513" t="s">
        <v>1755</v>
      </c>
      <c r="C513" t="s">
        <v>1756</v>
      </c>
      <c r="D513">
        <v>12</v>
      </c>
      <c r="E513">
        <v>3</v>
      </c>
      <c r="F513">
        <v>50</v>
      </c>
      <c r="G513">
        <v>1197</v>
      </c>
      <c r="H513">
        <v>14</v>
      </c>
      <c r="I513">
        <v>1</v>
      </c>
      <c r="J513">
        <v>4</v>
      </c>
      <c r="K513">
        <v>1.48</v>
      </c>
      <c r="L513">
        <v>1.8</v>
      </c>
      <c r="M513">
        <v>61</v>
      </c>
      <c r="N513">
        <v>208</v>
      </c>
      <c r="O513">
        <f t="shared" si="22"/>
        <v>0.11127819548872181</v>
      </c>
      <c r="P513">
        <f t="shared" si="23"/>
        <v>0.13533834586466167</v>
      </c>
    </row>
    <row r="514" spans="1:16" x14ac:dyDescent="0.25">
      <c r="A514" t="str">
        <f t="shared" ref="A514:A577" si="24">_xlfn.CONCAT(B514, " ", C514)</f>
        <v>Jayden Luker</v>
      </c>
      <c r="B514" t="s">
        <v>659</v>
      </c>
      <c r="C514" t="s">
        <v>1757</v>
      </c>
      <c r="D514">
        <v>12</v>
      </c>
      <c r="E514">
        <v>3</v>
      </c>
      <c r="F514">
        <v>45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f t="shared" ref="O514:O577" si="25">IFERROR(K514/G514*90,0)</f>
        <v>0</v>
      </c>
      <c r="P514">
        <f t="shared" ref="P514:P577" si="26">IFERROR(L514/G514*90,0)</f>
        <v>0</v>
      </c>
    </row>
    <row r="515" spans="1:16" x14ac:dyDescent="0.25">
      <c r="A515" t="str">
        <f t="shared" si="24"/>
        <v>Zack Nelson</v>
      </c>
      <c r="B515" t="s">
        <v>1758</v>
      </c>
      <c r="C515" t="s">
        <v>64</v>
      </c>
      <c r="D515">
        <v>12</v>
      </c>
      <c r="E515">
        <v>3</v>
      </c>
      <c r="F515">
        <v>45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6</v>
      </c>
      <c r="O515">
        <f t="shared" si="25"/>
        <v>0</v>
      </c>
      <c r="P515">
        <f t="shared" si="26"/>
        <v>0</v>
      </c>
    </row>
    <row r="516" spans="1:16" x14ac:dyDescent="0.25">
      <c r="A516" t="str">
        <f t="shared" si="24"/>
        <v>Daiki Hashioka</v>
      </c>
      <c r="B516" t="s">
        <v>1759</v>
      </c>
      <c r="C516" t="s">
        <v>1760</v>
      </c>
      <c r="D516">
        <v>12</v>
      </c>
      <c r="E516">
        <v>2</v>
      </c>
      <c r="F516">
        <v>40</v>
      </c>
      <c r="G516">
        <v>592</v>
      </c>
      <c r="H516">
        <v>6</v>
      </c>
      <c r="I516">
        <v>0</v>
      </c>
      <c r="J516">
        <v>0</v>
      </c>
      <c r="K516">
        <v>0.1</v>
      </c>
      <c r="L516">
        <v>0.26</v>
      </c>
      <c r="M516">
        <v>4</v>
      </c>
      <c r="N516">
        <v>72</v>
      </c>
      <c r="O516">
        <f t="shared" si="25"/>
        <v>1.5202702702702704E-2</v>
      </c>
      <c r="P516">
        <f t="shared" si="26"/>
        <v>3.9527027027027026E-2</v>
      </c>
    </row>
    <row r="517" spans="1:16" x14ac:dyDescent="0.25">
      <c r="A517" t="str">
        <f t="shared" si="24"/>
        <v>Axel Piesold</v>
      </c>
      <c r="B517" t="s">
        <v>315</v>
      </c>
      <c r="C517" t="s">
        <v>1761</v>
      </c>
      <c r="D517">
        <v>12</v>
      </c>
      <c r="E517">
        <v>3</v>
      </c>
      <c r="F517">
        <v>45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f t="shared" si="25"/>
        <v>0</v>
      </c>
      <c r="P517">
        <f t="shared" si="26"/>
        <v>0</v>
      </c>
    </row>
    <row r="518" spans="1:16" x14ac:dyDescent="0.25">
      <c r="A518" t="str">
        <f t="shared" si="24"/>
        <v>Dominic Dos Santos Martins</v>
      </c>
      <c r="B518" t="s">
        <v>681</v>
      </c>
      <c r="C518" t="s">
        <v>1762</v>
      </c>
      <c r="D518">
        <v>12</v>
      </c>
      <c r="E518">
        <v>3</v>
      </c>
      <c r="F518">
        <v>45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f t="shared" si="25"/>
        <v>0</v>
      </c>
      <c r="P518">
        <f t="shared" si="26"/>
        <v>0</v>
      </c>
    </row>
    <row r="519" spans="1:16" x14ac:dyDescent="0.25">
      <c r="A519" t="str">
        <f t="shared" si="24"/>
        <v>Christian Chigozie</v>
      </c>
      <c r="B519" t="s">
        <v>468</v>
      </c>
      <c r="C519" t="s">
        <v>1763</v>
      </c>
      <c r="D519">
        <v>12</v>
      </c>
      <c r="E519">
        <v>2</v>
      </c>
      <c r="F519">
        <v>40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t="shared" si="25"/>
        <v>0</v>
      </c>
      <c r="P519">
        <f t="shared" si="26"/>
        <v>0</v>
      </c>
    </row>
    <row r="520" spans="1:16" x14ac:dyDescent="0.25">
      <c r="A520" t="str">
        <f t="shared" si="24"/>
        <v>Taylan Harris</v>
      </c>
      <c r="B520" t="s">
        <v>1764</v>
      </c>
      <c r="C520" t="s">
        <v>1671</v>
      </c>
      <c r="D520">
        <v>12</v>
      </c>
      <c r="E520">
        <v>4</v>
      </c>
      <c r="F520">
        <v>45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f t="shared" si="25"/>
        <v>0</v>
      </c>
      <c r="P520">
        <f t="shared" si="26"/>
        <v>0</v>
      </c>
    </row>
    <row r="521" spans="1:16" x14ac:dyDescent="0.25">
      <c r="A521" t="str">
        <f t="shared" si="24"/>
        <v>Manuel Akanji</v>
      </c>
      <c r="B521" t="s">
        <v>834</v>
      </c>
      <c r="C521" t="s">
        <v>1765</v>
      </c>
      <c r="D521">
        <v>13</v>
      </c>
      <c r="E521">
        <v>2</v>
      </c>
      <c r="F521">
        <v>50</v>
      </c>
      <c r="G521">
        <v>2512</v>
      </c>
      <c r="H521">
        <v>28</v>
      </c>
      <c r="I521">
        <v>2</v>
      </c>
      <c r="J521">
        <v>0</v>
      </c>
      <c r="K521">
        <v>1.77</v>
      </c>
      <c r="L521">
        <v>1.79</v>
      </c>
      <c r="M521">
        <v>112</v>
      </c>
      <c r="N521">
        <v>560</v>
      </c>
      <c r="O521">
        <f t="shared" si="25"/>
        <v>6.3415605095541394E-2</v>
      </c>
      <c r="P521">
        <f t="shared" si="26"/>
        <v>6.4132165605095548E-2</v>
      </c>
    </row>
    <row r="522" spans="1:16" x14ac:dyDescent="0.25">
      <c r="A522" t="str">
        <f t="shared" si="24"/>
        <v>Nathan Aké</v>
      </c>
      <c r="B522" t="s">
        <v>185</v>
      </c>
      <c r="C522" t="s">
        <v>1766</v>
      </c>
      <c r="D522">
        <v>13</v>
      </c>
      <c r="E522">
        <v>2</v>
      </c>
      <c r="F522">
        <v>50</v>
      </c>
      <c r="G522">
        <v>2039</v>
      </c>
      <c r="H522">
        <v>24</v>
      </c>
      <c r="I522">
        <v>2</v>
      </c>
      <c r="J522">
        <v>3</v>
      </c>
      <c r="K522">
        <v>2.4700000000000002</v>
      </c>
      <c r="L522">
        <v>1.1399999999999999</v>
      </c>
      <c r="M522">
        <v>99</v>
      </c>
      <c r="N522">
        <v>483</v>
      </c>
      <c r="O522">
        <f t="shared" si="25"/>
        <v>0.10902403138793527</v>
      </c>
      <c r="P522">
        <f t="shared" si="26"/>
        <v>5.0318783717508579E-2</v>
      </c>
    </row>
    <row r="523" spans="1:16" x14ac:dyDescent="0.25">
      <c r="A523" t="str">
        <f t="shared" si="24"/>
        <v>Julián Álvarez</v>
      </c>
      <c r="B523" t="s">
        <v>145</v>
      </c>
      <c r="C523" t="s">
        <v>1767</v>
      </c>
      <c r="D523">
        <v>13</v>
      </c>
      <c r="E523">
        <v>4</v>
      </c>
      <c r="F523">
        <v>64</v>
      </c>
      <c r="G523">
        <v>2644</v>
      </c>
      <c r="H523">
        <v>31</v>
      </c>
      <c r="I523">
        <v>11</v>
      </c>
      <c r="J523">
        <v>11</v>
      </c>
      <c r="K523">
        <v>13.07</v>
      </c>
      <c r="L523">
        <v>6.28</v>
      </c>
      <c r="M523">
        <v>158</v>
      </c>
      <c r="N523">
        <v>662</v>
      </c>
      <c r="O523">
        <f t="shared" si="25"/>
        <v>0.44489409984871409</v>
      </c>
      <c r="P523">
        <f t="shared" si="26"/>
        <v>0.21376701966717096</v>
      </c>
    </row>
    <row r="524" spans="1:16" x14ac:dyDescent="0.25">
      <c r="A524" t="str">
        <f t="shared" si="24"/>
        <v>Bernardo Veiga de Carvalho e Silva</v>
      </c>
      <c r="B524" t="s">
        <v>1768</v>
      </c>
      <c r="C524" t="s">
        <v>1769</v>
      </c>
      <c r="D524">
        <v>13</v>
      </c>
      <c r="E524">
        <v>3</v>
      </c>
      <c r="F524">
        <v>62</v>
      </c>
      <c r="G524">
        <v>2576</v>
      </c>
      <c r="H524">
        <v>29</v>
      </c>
      <c r="I524">
        <v>6</v>
      </c>
      <c r="J524">
        <v>9</v>
      </c>
      <c r="K524">
        <v>3.54</v>
      </c>
      <c r="L524">
        <v>8.0500000000000007</v>
      </c>
      <c r="M524">
        <v>141</v>
      </c>
      <c r="N524">
        <v>604</v>
      </c>
      <c r="O524">
        <f t="shared" si="25"/>
        <v>0.12368012422360247</v>
      </c>
      <c r="P524">
        <f t="shared" si="26"/>
        <v>0.28125</v>
      </c>
    </row>
    <row r="525" spans="1:16" x14ac:dyDescent="0.25">
      <c r="A525" t="str">
        <f t="shared" si="24"/>
        <v>Oscar Bobb</v>
      </c>
      <c r="B525" t="s">
        <v>428</v>
      </c>
      <c r="C525" t="s">
        <v>525</v>
      </c>
      <c r="D525">
        <v>13</v>
      </c>
      <c r="E525">
        <v>3</v>
      </c>
      <c r="F525">
        <v>44</v>
      </c>
      <c r="G525">
        <v>294</v>
      </c>
      <c r="H525">
        <v>2</v>
      </c>
      <c r="I525">
        <v>1</v>
      </c>
      <c r="J525">
        <v>2</v>
      </c>
      <c r="K525">
        <v>1.5</v>
      </c>
      <c r="L525">
        <v>1.1000000000000001</v>
      </c>
      <c r="M525">
        <v>30</v>
      </c>
      <c r="N525">
        <v>112</v>
      </c>
      <c r="O525">
        <f t="shared" si="25"/>
        <v>0.45918367346938771</v>
      </c>
      <c r="P525">
        <f t="shared" si="26"/>
        <v>0.33673469387755106</v>
      </c>
    </row>
    <row r="526" spans="1:16" x14ac:dyDescent="0.25">
      <c r="A526" t="str">
        <f t="shared" si="24"/>
        <v>João Cancelo</v>
      </c>
      <c r="B526" t="s">
        <v>1626</v>
      </c>
      <c r="C526" t="s">
        <v>1770</v>
      </c>
      <c r="D526">
        <v>13</v>
      </c>
      <c r="E526">
        <v>2</v>
      </c>
      <c r="F526">
        <v>58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f t="shared" si="25"/>
        <v>0</v>
      </c>
      <c r="P526">
        <f t="shared" si="26"/>
        <v>0</v>
      </c>
    </row>
    <row r="527" spans="1:16" x14ac:dyDescent="0.25">
      <c r="A527" t="str">
        <f t="shared" si="24"/>
        <v>Scott Carson</v>
      </c>
      <c r="B527" t="s">
        <v>154</v>
      </c>
      <c r="C527" t="s">
        <v>1771</v>
      </c>
      <c r="D527">
        <v>13</v>
      </c>
      <c r="E527">
        <v>1</v>
      </c>
      <c r="F527">
        <v>38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t="shared" si="25"/>
        <v>0</v>
      </c>
      <c r="P527">
        <f t="shared" si="26"/>
        <v>0</v>
      </c>
    </row>
    <row r="528" spans="1:16" x14ac:dyDescent="0.25">
      <c r="A528" t="str">
        <f t="shared" si="24"/>
        <v>Shea Charles</v>
      </c>
      <c r="B528" t="s">
        <v>538</v>
      </c>
      <c r="C528" t="s">
        <v>539</v>
      </c>
      <c r="D528">
        <v>13</v>
      </c>
      <c r="E528">
        <v>3</v>
      </c>
      <c r="F528">
        <v>45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f t="shared" si="25"/>
        <v>0</v>
      </c>
      <c r="P528">
        <f t="shared" si="26"/>
        <v>0</v>
      </c>
    </row>
    <row r="529" spans="1:16" x14ac:dyDescent="0.25">
      <c r="A529" t="str">
        <f t="shared" si="24"/>
        <v>Kevin De Bruyne</v>
      </c>
      <c r="B529" t="s">
        <v>204</v>
      </c>
      <c r="C529" t="s">
        <v>1772</v>
      </c>
      <c r="D529">
        <v>13</v>
      </c>
      <c r="E529">
        <v>3</v>
      </c>
      <c r="F529">
        <v>106</v>
      </c>
      <c r="G529">
        <v>1219</v>
      </c>
      <c r="H529">
        <v>15</v>
      </c>
      <c r="I529">
        <v>4</v>
      </c>
      <c r="J529">
        <v>10</v>
      </c>
      <c r="K529">
        <v>2.4</v>
      </c>
      <c r="L529">
        <v>6.9</v>
      </c>
      <c r="M529">
        <v>98</v>
      </c>
      <c r="N529">
        <v>415</v>
      </c>
      <c r="O529">
        <f t="shared" si="25"/>
        <v>0.17719442165709595</v>
      </c>
      <c r="P529">
        <f t="shared" si="26"/>
        <v>0.50943396226415094</v>
      </c>
    </row>
    <row r="530" spans="1:16" x14ac:dyDescent="0.25">
      <c r="A530" t="str">
        <f t="shared" si="24"/>
        <v>Rúben Gato Alves Dias</v>
      </c>
      <c r="B530" t="s">
        <v>756</v>
      </c>
      <c r="C530" t="s">
        <v>1773</v>
      </c>
      <c r="D530">
        <v>13</v>
      </c>
      <c r="E530">
        <v>2</v>
      </c>
      <c r="F530">
        <v>55</v>
      </c>
      <c r="G530">
        <v>2557</v>
      </c>
      <c r="H530">
        <v>28</v>
      </c>
      <c r="I530">
        <v>0</v>
      </c>
      <c r="J530">
        <v>0</v>
      </c>
      <c r="K530">
        <v>1.38</v>
      </c>
      <c r="L530">
        <v>1.93</v>
      </c>
      <c r="M530">
        <v>88</v>
      </c>
      <c r="N530">
        <v>513</v>
      </c>
      <c r="O530">
        <f t="shared" si="25"/>
        <v>4.8572545952287834E-2</v>
      </c>
      <c r="P530">
        <f t="shared" si="26"/>
        <v>6.7931169339069217E-2</v>
      </c>
    </row>
    <row r="531" spans="1:16" x14ac:dyDescent="0.25">
      <c r="A531" t="str">
        <f t="shared" si="24"/>
        <v>Ederson Santana de Moraes</v>
      </c>
      <c r="B531" t="s">
        <v>1774</v>
      </c>
      <c r="C531" t="s">
        <v>1775</v>
      </c>
      <c r="D531">
        <v>13</v>
      </c>
      <c r="E531">
        <v>1</v>
      </c>
      <c r="F531">
        <v>55</v>
      </c>
      <c r="G531">
        <v>2785</v>
      </c>
      <c r="H531">
        <v>33</v>
      </c>
      <c r="I531">
        <v>0</v>
      </c>
      <c r="J531">
        <v>0</v>
      </c>
      <c r="K531">
        <v>0</v>
      </c>
      <c r="L531">
        <v>0.03</v>
      </c>
      <c r="M531">
        <v>112</v>
      </c>
      <c r="N531">
        <v>569</v>
      </c>
      <c r="O531">
        <f t="shared" si="25"/>
        <v>0</v>
      </c>
      <c r="P531">
        <f t="shared" si="26"/>
        <v>9.6947935368043095E-4</v>
      </c>
    </row>
    <row r="532" spans="1:16" x14ac:dyDescent="0.25">
      <c r="A532" t="str">
        <f t="shared" si="24"/>
        <v>Phil Foden</v>
      </c>
      <c r="B532" t="s">
        <v>769</v>
      </c>
      <c r="C532" t="s">
        <v>770</v>
      </c>
      <c r="D532">
        <v>13</v>
      </c>
      <c r="E532">
        <v>3</v>
      </c>
      <c r="F532">
        <v>85</v>
      </c>
      <c r="G532">
        <v>2860</v>
      </c>
      <c r="H532">
        <v>33</v>
      </c>
      <c r="I532">
        <v>19</v>
      </c>
      <c r="J532">
        <v>8</v>
      </c>
      <c r="K532">
        <v>10.17</v>
      </c>
      <c r="L532">
        <v>6.95</v>
      </c>
      <c r="M532">
        <v>230</v>
      </c>
      <c r="N532">
        <v>866</v>
      </c>
      <c r="O532">
        <f t="shared" si="25"/>
        <v>0.32003496503496504</v>
      </c>
      <c r="P532">
        <f t="shared" si="26"/>
        <v>0.21870629370629374</v>
      </c>
    </row>
    <row r="533" spans="1:16" x14ac:dyDescent="0.25">
      <c r="A533" t="str">
        <f t="shared" si="24"/>
        <v>Jack Grealish</v>
      </c>
      <c r="B533" t="s">
        <v>253</v>
      </c>
      <c r="C533" t="s">
        <v>748</v>
      </c>
      <c r="D533">
        <v>13</v>
      </c>
      <c r="E533">
        <v>3</v>
      </c>
      <c r="F533">
        <v>72</v>
      </c>
      <c r="G533">
        <v>998</v>
      </c>
      <c r="H533">
        <v>10</v>
      </c>
      <c r="I533">
        <v>3</v>
      </c>
      <c r="J533">
        <v>1</v>
      </c>
      <c r="K533">
        <v>2.17</v>
      </c>
      <c r="L533">
        <v>2.69</v>
      </c>
      <c r="M533">
        <v>50</v>
      </c>
      <c r="N533">
        <v>199</v>
      </c>
      <c r="O533">
        <f t="shared" si="25"/>
        <v>0.19569138276553105</v>
      </c>
      <c r="P533">
        <f t="shared" si="26"/>
        <v>0.24258517034068133</v>
      </c>
    </row>
    <row r="534" spans="1:16" x14ac:dyDescent="0.25">
      <c r="A534" t="str">
        <f t="shared" si="24"/>
        <v>Erling Haaland</v>
      </c>
      <c r="B534" t="s">
        <v>790</v>
      </c>
      <c r="C534" t="s">
        <v>791</v>
      </c>
      <c r="D534">
        <v>13</v>
      </c>
      <c r="E534">
        <v>4</v>
      </c>
      <c r="F534">
        <v>143</v>
      </c>
      <c r="G534">
        <v>2553</v>
      </c>
      <c r="H534">
        <v>29</v>
      </c>
      <c r="I534">
        <v>27</v>
      </c>
      <c r="J534">
        <v>8</v>
      </c>
      <c r="K534">
        <v>29.57</v>
      </c>
      <c r="L534">
        <v>2.1800000000000002</v>
      </c>
      <c r="M534">
        <v>217</v>
      </c>
      <c r="N534">
        <v>792</v>
      </c>
      <c r="O534">
        <f t="shared" si="25"/>
        <v>1.0424206815511163</v>
      </c>
      <c r="P534">
        <f t="shared" si="26"/>
        <v>7.6850763807285546E-2</v>
      </c>
    </row>
    <row r="535" spans="1:16" x14ac:dyDescent="0.25">
      <c r="A535" t="str">
        <f t="shared" si="24"/>
        <v>Mateo Kovačić</v>
      </c>
      <c r="B535" t="s">
        <v>687</v>
      </c>
      <c r="C535" t="s">
        <v>783</v>
      </c>
      <c r="D535">
        <v>13</v>
      </c>
      <c r="E535">
        <v>3</v>
      </c>
      <c r="F535">
        <v>46</v>
      </c>
      <c r="G535">
        <v>1539</v>
      </c>
      <c r="H535">
        <v>16</v>
      </c>
      <c r="I535">
        <v>1</v>
      </c>
      <c r="J535">
        <v>0</v>
      </c>
      <c r="K535">
        <v>1.24</v>
      </c>
      <c r="L535">
        <v>1.66</v>
      </c>
      <c r="M535">
        <v>59</v>
      </c>
      <c r="N535">
        <v>316</v>
      </c>
      <c r="O535">
        <f t="shared" si="25"/>
        <v>7.2514619883040934E-2</v>
      </c>
      <c r="P535">
        <f t="shared" si="26"/>
        <v>9.7076023391812857E-2</v>
      </c>
    </row>
    <row r="536" spans="1:16" x14ac:dyDescent="0.25">
      <c r="A536" t="str">
        <f t="shared" si="24"/>
        <v>Aymeric Laporte</v>
      </c>
      <c r="B536" t="s">
        <v>1776</v>
      </c>
      <c r="C536" t="s">
        <v>1777</v>
      </c>
      <c r="D536">
        <v>13</v>
      </c>
      <c r="E536">
        <v>2</v>
      </c>
      <c r="F536">
        <v>49</v>
      </c>
      <c r="G536">
        <v>11</v>
      </c>
      <c r="H536">
        <v>0</v>
      </c>
      <c r="I536">
        <v>0</v>
      </c>
      <c r="J536">
        <v>0</v>
      </c>
      <c r="K536">
        <v>0.12</v>
      </c>
      <c r="L536">
        <v>0</v>
      </c>
      <c r="M536">
        <v>1</v>
      </c>
      <c r="N536">
        <v>4</v>
      </c>
      <c r="O536">
        <f t="shared" si="25"/>
        <v>0.9818181818181817</v>
      </c>
      <c r="P536">
        <f t="shared" si="26"/>
        <v>0</v>
      </c>
    </row>
    <row r="537" spans="1:16" x14ac:dyDescent="0.25">
      <c r="A537" t="str">
        <f t="shared" si="24"/>
        <v>Rico Lewis</v>
      </c>
      <c r="B537" t="s">
        <v>195</v>
      </c>
      <c r="C537" t="s">
        <v>157</v>
      </c>
      <c r="D537">
        <v>13</v>
      </c>
      <c r="E537">
        <v>2</v>
      </c>
      <c r="F537">
        <v>42</v>
      </c>
      <c r="G537">
        <v>804</v>
      </c>
      <c r="H537">
        <v>8</v>
      </c>
      <c r="I537">
        <v>2</v>
      </c>
      <c r="J537">
        <v>0</v>
      </c>
      <c r="K537">
        <v>0.63</v>
      </c>
      <c r="L537">
        <v>1.25</v>
      </c>
      <c r="M537">
        <v>52</v>
      </c>
      <c r="N537">
        <v>215</v>
      </c>
      <c r="O537">
        <f t="shared" si="25"/>
        <v>7.0522388059701485E-2</v>
      </c>
      <c r="P537">
        <f t="shared" si="26"/>
        <v>0.13992537313432837</v>
      </c>
    </row>
    <row r="538" spans="1:16" x14ac:dyDescent="0.25">
      <c r="A538" t="str">
        <f t="shared" si="24"/>
        <v>Riyad Mahrez</v>
      </c>
      <c r="B538" t="s">
        <v>1778</v>
      </c>
      <c r="C538" t="s">
        <v>1779</v>
      </c>
      <c r="D538">
        <v>13</v>
      </c>
      <c r="E538">
        <v>3</v>
      </c>
      <c r="F538">
        <v>75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f t="shared" si="25"/>
        <v>0</v>
      </c>
      <c r="P538">
        <f t="shared" si="26"/>
        <v>0</v>
      </c>
    </row>
    <row r="539" spans="1:16" x14ac:dyDescent="0.25">
      <c r="A539" t="str">
        <f t="shared" si="24"/>
        <v>Stefan Ortega Moreno</v>
      </c>
      <c r="B539" t="s">
        <v>735</v>
      </c>
      <c r="C539" t="s">
        <v>1780</v>
      </c>
      <c r="D539">
        <v>13</v>
      </c>
      <c r="E539">
        <v>1</v>
      </c>
      <c r="F539">
        <v>36</v>
      </c>
      <c r="G539">
        <v>632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22</v>
      </c>
      <c r="N539">
        <v>114</v>
      </c>
      <c r="O539">
        <f t="shared" si="25"/>
        <v>0</v>
      </c>
      <c r="P539">
        <f t="shared" si="26"/>
        <v>0</v>
      </c>
    </row>
    <row r="540" spans="1:16" x14ac:dyDescent="0.25">
      <c r="A540" t="str">
        <f t="shared" si="24"/>
        <v>Máximo Perrone</v>
      </c>
      <c r="B540" t="s">
        <v>1781</v>
      </c>
      <c r="C540" t="s">
        <v>1782</v>
      </c>
      <c r="D540">
        <v>13</v>
      </c>
      <c r="E540">
        <v>3</v>
      </c>
      <c r="F540">
        <v>44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f t="shared" si="25"/>
        <v>0</v>
      </c>
      <c r="P540">
        <f t="shared" si="26"/>
        <v>0</v>
      </c>
    </row>
    <row r="541" spans="1:16" x14ac:dyDescent="0.25">
      <c r="A541" t="str">
        <f t="shared" si="24"/>
        <v>Rodrigo Hernandez</v>
      </c>
      <c r="B541" t="s">
        <v>531</v>
      </c>
      <c r="C541" t="s">
        <v>1783</v>
      </c>
      <c r="D541">
        <v>13</v>
      </c>
      <c r="E541">
        <v>3</v>
      </c>
      <c r="F541">
        <v>56</v>
      </c>
      <c r="G541">
        <v>2931</v>
      </c>
      <c r="H541">
        <v>34</v>
      </c>
      <c r="I541">
        <v>8</v>
      </c>
      <c r="J541">
        <v>10</v>
      </c>
      <c r="K541">
        <v>3.99</v>
      </c>
      <c r="L541">
        <v>6.15</v>
      </c>
      <c r="M541">
        <v>159</v>
      </c>
      <c r="N541">
        <v>737</v>
      </c>
      <c r="O541">
        <f t="shared" si="25"/>
        <v>0.122517911975435</v>
      </c>
      <c r="P541">
        <f t="shared" si="26"/>
        <v>0.18884339815762541</v>
      </c>
    </row>
    <row r="542" spans="1:16" x14ac:dyDescent="0.25">
      <c r="A542" t="str">
        <f t="shared" si="24"/>
        <v>Sergio Gómez</v>
      </c>
      <c r="B542" t="s">
        <v>1406</v>
      </c>
      <c r="C542" t="s">
        <v>1784</v>
      </c>
      <c r="D542">
        <v>13</v>
      </c>
      <c r="E542">
        <v>2</v>
      </c>
      <c r="F542">
        <v>38</v>
      </c>
      <c r="G542">
        <v>48</v>
      </c>
      <c r="H542">
        <v>0</v>
      </c>
      <c r="I542">
        <v>0</v>
      </c>
      <c r="J542">
        <v>1</v>
      </c>
      <c r="K542">
        <v>0.32</v>
      </c>
      <c r="L542">
        <v>0.19</v>
      </c>
      <c r="M542">
        <v>9</v>
      </c>
      <c r="N542">
        <v>24</v>
      </c>
      <c r="O542">
        <f t="shared" si="25"/>
        <v>0.60000000000000009</v>
      </c>
      <c r="P542">
        <f t="shared" si="26"/>
        <v>0.35625000000000001</v>
      </c>
    </row>
    <row r="543" spans="1:16" x14ac:dyDescent="0.25">
      <c r="A543" t="str">
        <f t="shared" si="24"/>
        <v>Zack Steffen</v>
      </c>
      <c r="B543" t="s">
        <v>1758</v>
      </c>
      <c r="C543" t="s">
        <v>1785</v>
      </c>
      <c r="D543">
        <v>13</v>
      </c>
      <c r="E543">
        <v>1</v>
      </c>
      <c r="F543">
        <v>39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t="shared" si="25"/>
        <v>0</v>
      </c>
      <c r="P543">
        <f t="shared" si="26"/>
        <v>0</v>
      </c>
    </row>
    <row r="544" spans="1:16" x14ac:dyDescent="0.25">
      <c r="A544" t="str">
        <f t="shared" si="24"/>
        <v>John Stones</v>
      </c>
      <c r="B544" t="s">
        <v>101</v>
      </c>
      <c r="C544" t="s">
        <v>1786</v>
      </c>
      <c r="D544">
        <v>13</v>
      </c>
      <c r="E544">
        <v>2</v>
      </c>
      <c r="F544">
        <v>53</v>
      </c>
      <c r="G544">
        <v>1061</v>
      </c>
      <c r="H544">
        <v>12</v>
      </c>
      <c r="I544">
        <v>1</v>
      </c>
      <c r="J544">
        <v>0</v>
      </c>
      <c r="K544">
        <v>1.06</v>
      </c>
      <c r="L544">
        <v>0.4</v>
      </c>
      <c r="M544">
        <v>53</v>
      </c>
      <c r="N544">
        <v>239</v>
      </c>
      <c r="O544">
        <f t="shared" si="25"/>
        <v>8.9915174363807721E-2</v>
      </c>
      <c r="P544">
        <f t="shared" si="26"/>
        <v>3.3930254476908582E-2</v>
      </c>
    </row>
    <row r="545" spans="1:16" x14ac:dyDescent="0.25">
      <c r="A545" t="str">
        <f t="shared" si="24"/>
        <v>Kyle Walker</v>
      </c>
      <c r="B545" t="s">
        <v>1787</v>
      </c>
      <c r="C545" t="s">
        <v>1788</v>
      </c>
      <c r="D545">
        <v>13</v>
      </c>
      <c r="E545">
        <v>2</v>
      </c>
      <c r="F545">
        <v>55</v>
      </c>
      <c r="G545">
        <v>2766</v>
      </c>
      <c r="H545">
        <v>30</v>
      </c>
      <c r="I545">
        <v>0</v>
      </c>
      <c r="J545">
        <v>5</v>
      </c>
      <c r="K545">
        <v>0.4</v>
      </c>
      <c r="L545">
        <v>3.2</v>
      </c>
      <c r="M545">
        <v>123</v>
      </c>
      <c r="N545">
        <v>633</v>
      </c>
      <c r="O545">
        <f t="shared" si="25"/>
        <v>1.3015184381778741E-2</v>
      </c>
      <c r="P545">
        <f t="shared" si="26"/>
        <v>0.10412147505422993</v>
      </c>
    </row>
    <row r="546" spans="1:16" x14ac:dyDescent="0.25">
      <c r="A546" t="str">
        <f t="shared" si="24"/>
        <v>Matheus Luiz Nunes</v>
      </c>
      <c r="B546" t="s">
        <v>1789</v>
      </c>
      <c r="C546" t="s">
        <v>755</v>
      </c>
      <c r="D546">
        <v>13</v>
      </c>
      <c r="E546">
        <v>3</v>
      </c>
      <c r="F546">
        <v>47</v>
      </c>
      <c r="G546">
        <v>831</v>
      </c>
      <c r="H546">
        <v>9</v>
      </c>
      <c r="I546">
        <v>0</v>
      </c>
      <c r="J546">
        <v>2</v>
      </c>
      <c r="K546">
        <v>0.89</v>
      </c>
      <c r="L546">
        <v>1.71</v>
      </c>
      <c r="M546">
        <v>32</v>
      </c>
      <c r="N546">
        <v>118</v>
      </c>
      <c r="O546">
        <f t="shared" si="25"/>
        <v>9.6389891696750912E-2</v>
      </c>
      <c r="P546">
        <f t="shared" si="26"/>
        <v>0.18519855595667872</v>
      </c>
    </row>
    <row r="547" spans="1:16" x14ac:dyDescent="0.25">
      <c r="A547" t="str">
        <f t="shared" si="24"/>
        <v>Joško Gvardiol</v>
      </c>
      <c r="B547" t="s">
        <v>758</v>
      </c>
      <c r="C547" t="s">
        <v>759</v>
      </c>
      <c r="D547">
        <v>13</v>
      </c>
      <c r="E547">
        <v>2</v>
      </c>
      <c r="F547">
        <v>52</v>
      </c>
      <c r="G547">
        <v>2327</v>
      </c>
      <c r="H547">
        <v>26</v>
      </c>
      <c r="I547">
        <v>4</v>
      </c>
      <c r="J547">
        <v>2</v>
      </c>
      <c r="K547">
        <v>3.14</v>
      </c>
      <c r="L547">
        <v>2.09</v>
      </c>
      <c r="M547">
        <v>123</v>
      </c>
      <c r="N547">
        <v>549</v>
      </c>
      <c r="O547">
        <f t="shared" si="25"/>
        <v>0.12144391920928234</v>
      </c>
      <c r="P547">
        <f t="shared" si="26"/>
        <v>8.0833691448216574E-2</v>
      </c>
    </row>
    <row r="548" spans="1:16" x14ac:dyDescent="0.25">
      <c r="A548" t="str">
        <f t="shared" si="24"/>
        <v>Jérémy Doku</v>
      </c>
      <c r="B548" t="s">
        <v>772</v>
      </c>
      <c r="C548" t="s">
        <v>773</v>
      </c>
      <c r="D548">
        <v>13</v>
      </c>
      <c r="E548">
        <v>3</v>
      </c>
      <c r="F548">
        <v>64</v>
      </c>
      <c r="G548">
        <v>1585</v>
      </c>
      <c r="H548">
        <v>18</v>
      </c>
      <c r="I548">
        <v>3</v>
      </c>
      <c r="J548">
        <v>10</v>
      </c>
      <c r="K548">
        <v>2.57</v>
      </c>
      <c r="L548">
        <v>5.85</v>
      </c>
      <c r="M548">
        <v>98</v>
      </c>
      <c r="N548">
        <v>391</v>
      </c>
      <c r="O548">
        <f t="shared" si="25"/>
        <v>0.14593059936908517</v>
      </c>
      <c r="P548">
        <f t="shared" si="26"/>
        <v>0.33217665615141956</v>
      </c>
    </row>
    <row r="549" spans="1:16" x14ac:dyDescent="0.25">
      <c r="A549" t="str">
        <f t="shared" si="24"/>
        <v>Mahamadou Susoho</v>
      </c>
      <c r="B549" t="s">
        <v>1790</v>
      </c>
      <c r="C549" t="s">
        <v>1791</v>
      </c>
      <c r="D549">
        <v>13</v>
      </c>
      <c r="E549">
        <v>3</v>
      </c>
      <c r="F549">
        <v>45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f t="shared" si="25"/>
        <v>0</v>
      </c>
      <c r="P549">
        <f t="shared" si="26"/>
        <v>0</v>
      </c>
    </row>
    <row r="550" spans="1:16" x14ac:dyDescent="0.25">
      <c r="A550" t="str">
        <f t="shared" si="24"/>
        <v>Micah Hamilton</v>
      </c>
      <c r="B550" t="s">
        <v>1792</v>
      </c>
      <c r="C550" t="s">
        <v>1793</v>
      </c>
      <c r="D550">
        <v>13</v>
      </c>
      <c r="E550">
        <v>3</v>
      </c>
      <c r="F550">
        <v>45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f t="shared" si="25"/>
        <v>0</v>
      </c>
      <c r="P550">
        <f t="shared" si="26"/>
        <v>0</v>
      </c>
    </row>
    <row r="551" spans="1:16" x14ac:dyDescent="0.25">
      <c r="A551" t="str">
        <f t="shared" si="24"/>
        <v>Jacob Wright</v>
      </c>
      <c r="B551" t="s">
        <v>556</v>
      </c>
      <c r="C551" t="s">
        <v>396</v>
      </c>
      <c r="D551">
        <v>13</v>
      </c>
      <c r="E551">
        <v>3</v>
      </c>
      <c r="F551">
        <v>45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f t="shared" si="25"/>
        <v>0</v>
      </c>
      <c r="P551">
        <f t="shared" si="26"/>
        <v>0</v>
      </c>
    </row>
    <row r="552" spans="1:16" x14ac:dyDescent="0.25">
      <c r="A552" t="str">
        <f t="shared" si="24"/>
        <v>Mason Mount</v>
      </c>
      <c r="B552" t="s">
        <v>583</v>
      </c>
      <c r="C552" t="s">
        <v>829</v>
      </c>
      <c r="D552">
        <v>14</v>
      </c>
      <c r="E552">
        <v>3</v>
      </c>
      <c r="F552">
        <v>68</v>
      </c>
      <c r="G552">
        <v>509</v>
      </c>
      <c r="H552">
        <v>5</v>
      </c>
      <c r="I552">
        <v>1</v>
      </c>
      <c r="J552">
        <v>0</v>
      </c>
      <c r="K552">
        <v>0.37</v>
      </c>
      <c r="L552">
        <v>0.37</v>
      </c>
      <c r="M552">
        <v>23</v>
      </c>
      <c r="N552">
        <v>93</v>
      </c>
      <c r="O552">
        <f t="shared" si="25"/>
        <v>6.5422396856581536E-2</v>
      </c>
      <c r="P552">
        <f t="shared" si="26"/>
        <v>6.5422396856581536E-2</v>
      </c>
    </row>
    <row r="553" spans="1:16" x14ac:dyDescent="0.25">
      <c r="A553" t="str">
        <f t="shared" si="24"/>
        <v>Alex Telles</v>
      </c>
      <c r="B553" t="s">
        <v>153</v>
      </c>
      <c r="C553" t="s">
        <v>1794</v>
      </c>
      <c r="D553">
        <v>14</v>
      </c>
      <c r="E553">
        <v>2</v>
      </c>
      <c r="F553">
        <v>45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f t="shared" si="25"/>
        <v>0</v>
      </c>
      <c r="P553">
        <f t="shared" si="26"/>
        <v>0</v>
      </c>
    </row>
    <row r="554" spans="1:16" x14ac:dyDescent="0.25">
      <c r="A554" t="str">
        <f t="shared" si="24"/>
        <v>Amad Diallo</v>
      </c>
      <c r="B554" t="s">
        <v>830</v>
      </c>
      <c r="C554" t="s">
        <v>831</v>
      </c>
      <c r="D554">
        <v>14</v>
      </c>
      <c r="E554">
        <v>3</v>
      </c>
      <c r="F554">
        <v>44</v>
      </c>
      <c r="G554">
        <v>385</v>
      </c>
      <c r="H554">
        <v>3</v>
      </c>
      <c r="I554">
        <v>1</v>
      </c>
      <c r="J554">
        <v>1</v>
      </c>
      <c r="K554">
        <v>0.53</v>
      </c>
      <c r="L554">
        <v>0.47</v>
      </c>
      <c r="M554">
        <v>23</v>
      </c>
      <c r="N554">
        <v>68</v>
      </c>
      <c r="O554">
        <f t="shared" si="25"/>
        <v>0.12389610389610391</v>
      </c>
      <c r="P554">
        <f t="shared" si="26"/>
        <v>0.10987012987012985</v>
      </c>
    </row>
    <row r="555" spans="1:16" x14ac:dyDescent="0.25">
      <c r="A555" t="str">
        <f t="shared" si="24"/>
        <v>Antony Matheus dos Santos</v>
      </c>
      <c r="B555" t="s">
        <v>1795</v>
      </c>
      <c r="C555" t="s">
        <v>1796</v>
      </c>
      <c r="D555">
        <v>14</v>
      </c>
      <c r="E555">
        <v>3</v>
      </c>
      <c r="F555">
        <v>68</v>
      </c>
      <c r="G555">
        <v>1311</v>
      </c>
      <c r="H555">
        <v>15</v>
      </c>
      <c r="I555">
        <v>1</v>
      </c>
      <c r="J555">
        <v>1</v>
      </c>
      <c r="K555">
        <v>3.38</v>
      </c>
      <c r="L555">
        <v>1.83</v>
      </c>
      <c r="M555">
        <v>47</v>
      </c>
      <c r="N555">
        <v>184</v>
      </c>
      <c r="O555">
        <f t="shared" si="25"/>
        <v>0.2320366132723112</v>
      </c>
      <c r="P555">
        <f t="shared" si="26"/>
        <v>0.12562929061784897</v>
      </c>
    </row>
    <row r="556" spans="1:16" x14ac:dyDescent="0.25">
      <c r="A556" t="str">
        <f t="shared" si="24"/>
        <v>Bruno Borges Fernandes</v>
      </c>
      <c r="B556" t="s">
        <v>70</v>
      </c>
      <c r="C556" t="s">
        <v>824</v>
      </c>
      <c r="D556">
        <v>14</v>
      </c>
      <c r="E556">
        <v>3</v>
      </c>
      <c r="F556">
        <v>85</v>
      </c>
      <c r="G556">
        <v>3118</v>
      </c>
      <c r="H556">
        <v>35</v>
      </c>
      <c r="I556">
        <v>10</v>
      </c>
      <c r="J556">
        <v>9</v>
      </c>
      <c r="K556">
        <v>9.73</v>
      </c>
      <c r="L556">
        <v>10.23</v>
      </c>
      <c r="M556">
        <v>166</v>
      </c>
      <c r="N556">
        <v>729</v>
      </c>
      <c r="O556">
        <f t="shared" si="25"/>
        <v>0.28085311096856957</v>
      </c>
      <c r="P556">
        <f t="shared" si="26"/>
        <v>0.29528543938422069</v>
      </c>
    </row>
    <row r="557" spans="1:16" x14ac:dyDescent="0.25">
      <c r="A557" t="str">
        <f t="shared" si="24"/>
        <v>Brandon Williams</v>
      </c>
      <c r="B557" t="s">
        <v>397</v>
      </c>
      <c r="C557" t="s">
        <v>888</v>
      </c>
      <c r="D557">
        <v>14</v>
      </c>
      <c r="E557">
        <v>2</v>
      </c>
      <c r="F557">
        <v>40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f t="shared" si="25"/>
        <v>0</v>
      </c>
      <c r="P557">
        <f t="shared" si="26"/>
        <v>0</v>
      </c>
    </row>
    <row r="558" spans="1:16" x14ac:dyDescent="0.25">
      <c r="A558" t="str">
        <f t="shared" si="24"/>
        <v>Eric Bailly</v>
      </c>
      <c r="B558" t="s">
        <v>1798</v>
      </c>
      <c r="C558" t="s">
        <v>1799</v>
      </c>
      <c r="D558">
        <v>14</v>
      </c>
      <c r="E558">
        <v>2</v>
      </c>
      <c r="F558">
        <v>40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f t="shared" si="25"/>
        <v>0</v>
      </c>
      <c r="P558">
        <f t="shared" si="26"/>
        <v>0</v>
      </c>
    </row>
    <row r="559" spans="1:16" x14ac:dyDescent="0.25">
      <c r="A559" t="str">
        <f t="shared" si="24"/>
        <v>Carlos Henrique Casimiro</v>
      </c>
      <c r="B559" t="s">
        <v>1800</v>
      </c>
      <c r="C559" t="s">
        <v>1801</v>
      </c>
      <c r="D559">
        <v>14</v>
      </c>
      <c r="E559">
        <v>3</v>
      </c>
      <c r="F559">
        <v>53</v>
      </c>
      <c r="G559">
        <v>1981</v>
      </c>
      <c r="H559">
        <v>24</v>
      </c>
      <c r="I559">
        <v>1</v>
      </c>
      <c r="J559">
        <v>3</v>
      </c>
      <c r="K559">
        <v>3.64</v>
      </c>
      <c r="L559">
        <v>1.2</v>
      </c>
      <c r="M559">
        <v>58</v>
      </c>
      <c r="N559">
        <v>323</v>
      </c>
      <c r="O559">
        <f t="shared" si="25"/>
        <v>0.16537102473498233</v>
      </c>
      <c r="P559">
        <f t="shared" si="26"/>
        <v>5.4517920242301864E-2</v>
      </c>
    </row>
    <row r="560" spans="1:16" x14ac:dyDescent="0.25">
      <c r="A560" t="str">
        <f t="shared" si="24"/>
        <v>Diogo Dalot Teixeira</v>
      </c>
      <c r="B560" t="s">
        <v>810</v>
      </c>
      <c r="C560" t="s">
        <v>811</v>
      </c>
      <c r="D560">
        <v>14</v>
      </c>
      <c r="E560">
        <v>2</v>
      </c>
      <c r="F560">
        <v>52</v>
      </c>
      <c r="G560">
        <v>3174</v>
      </c>
      <c r="H560">
        <v>35</v>
      </c>
      <c r="I560">
        <v>2</v>
      </c>
      <c r="J560">
        <v>3</v>
      </c>
      <c r="K560">
        <v>1.67</v>
      </c>
      <c r="L560">
        <v>2.38</v>
      </c>
      <c r="M560">
        <v>111</v>
      </c>
      <c r="N560">
        <v>662</v>
      </c>
      <c r="O560">
        <f t="shared" si="25"/>
        <v>4.7353497164461252E-2</v>
      </c>
      <c r="P560">
        <f t="shared" si="26"/>
        <v>6.7485822306238188E-2</v>
      </c>
    </row>
    <row r="561" spans="1:16" x14ac:dyDescent="0.25">
      <c r="A561" t="str">
        <f t="shared" si="24"/>
        <v>Christian Eriksen</v>
      </c>
      <c r="B561" t="s">
        <v>468</v>
      </c>
      <c r="C561" t="s">
        <v>1802</v>
      </c>
      <c r="D561">
        <v>14</v>
      </c>
      <c r="E561">
        <v>3</v>
      </c>
      <c r="F561">
        <v>58</v>
      </c>
      <c r="G561">
        <v>1134</v>
      </c>
      <c r="H561">
        <v>12</v>
      </c>
      <c r="I561">
        <v>1</v>
      </c>
      <c r="J561">
        <v>2</v>
      </c>
      <c r="K561">
        <v>0.97</v>
      </c>
      <c r="L561">
        <v>2.46</v>
      </c>
      <c r="M561">
        <v>48</v>
      </c>
      <c r="N561">
        <v>248</v>
      </c>
      <c r="O561">
        <f t="shared" si="25"/>
        <v>7.6984126984126988E-2</v>
      </c>
      <c r="P561">
        <f t="shared" si="26"/>
        <v>0.19523809523809524</v>
      </c>
    </row>
    <row r="562" spans="1:16" x14ac:dyDescent="0.25">
      <c r="A562" t="str">
        <f t="shared" si="24"/>
        <v>Álvaro Fernández Carreras</v>
      </c>
      <c r="B562" t="s">
        <v>175</v>
      </c>
      <c r="C562" t="s">
        <v>1803</v>
      </c>
      <c r="D562">
        <v>14</v>
      </c>
      <c r="E562">
        <v>2</v>
      </c>
      <c r="F562">
        <v>40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f t="shared" si="25"/>
        <v>0</v>
      </c>
      <c r="P562">
        <f t="shared" si="26"/>
        <v>0</v>
      </c>
    </row>
    <row r="563" spans="1:16" x14ac:dyDescent="0.25">
      <c r="A563" t="str">
        <f t="shared" si="24"/>
        <v>Frederico Rodrigues de Paula Santos</v>
      </c>
      <c r="B563" t="s">
        <v>1804</v>
      </c>
      <c r="C563" t="s">
        <v>1805</v>
      </c>
      <c r="D563">
        <v>14</v>
      </c>
      <c r="E563">
        <v>3</v>
      </c>
      <c r="F563">
        <v>50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f t="shared" si="25"/>
        <v>0</v>
      </c>
      <c r="P563">
        <f t="shared" si="26"/>
        <v>0</v>
      </c>
    </row>
    <row r="564" spans="1:16" x14ac:dyDescent="0.25">
      <c r="A564" t="str">
        <f t="shared" si="24"/>
        <v>Alejandro Garnacho</v>
      </c>
      <c r="B564" t="s">
        <v>125</v>
      </c>
      <c r="C564" t="s">
        <v>1806</v>
      </c>
      <c r="D564">
        <v>14</v>
      </c>
      <c r="E564">
        <v>3</v>
      </c>
      <c r="F564">
        <v>50</v>
      </c>
      <c r="G564">
        <v>2564</v>
      </c>
      <c r="H564">
        <v>30</v>
      </c>
      <c r="I564">
        <v>7</v>
      </c>
      <c r="J564">
        <v>7</v>
      </c>
      <c r="K564">
        <v>8.23</v>
      </c>
      <c r="L564">
        <v>2.81</v>
      </c>
      <c r="M564">
        <v>131</v>
      </c>
      <c r="N564">
        <v>372</v>
      </c>
      <c r="O564">
        <f t="shared" si="25"/>
        <v>0.2888845553822153</v>
      </c>
      <c r="P564">
        <f t="shared" si="26"/>
        <v>9.8634945397815907E-2</v>
      </c>
    </row>
    <row r="565" spans="1:16" x14ac:dyDescent="0.25">
      <c r="A565" t="str">
        <f t="shared" si="24"/>
        <v>Hannibal Mejbri</v>
      </c>
      <c r="B565" t="s">
        <v>1807</v>
      </c>
      <c r="C565" t="s">
        <v>1808</v>
      </c>
      <c r="D565">
        <v>14</v>
      </c>
      <c r="E565">
        <v>3</v>
      </c>
      <c r="F565">
        <v>43</v>
      </c>
      <c r="G565">
        <v>131</v>
      </c>
      <c r="H565">
        <v>1</v>
      </c>
      <c r="I565">
        <v>1</v>
      </c>
      <c r="J565">
        <v>0</v>
      </c>
      <c r="K565">
        <v>0.03</v>
      </c>
      <c r="L565">
        <v>0.48</v>
      </c>
      <c r="M565">
        <v>11</v>
      </c>
      <c r="N565">
        <v>34</v>
      </c>
      <c r="O565">
        <f t="shared" si="25"/>
        <v>2.0610687022900764E-2</v>
      </c>
      <c r="P565">
        <f t="shared" si="26"/>
        <v>0.32977099236641222</v>
      </c>
    </row>
    <row r="566" spans="1:16" x14ac:dyDescent="0.25">
      <c r="A566" t="str">
        <f t="shared" si="24"/>
        <v>Tom Heaton</v>
      </c>
      <c r="B566" t="s">
        <v>272</v>
      </c>
      <c r="C566" t="s">
        <v>805</v>
      </c>
      <c r="D566">
        <v>14</v>
      </c>
      <c r="E566">
        <v>1</v>
      </c>
      <c r="F566">
        <v>39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t="shared" si="25"/>
        <v>0</v>
      </c>
      <c r="P566">
        <f t="shared" si="26"/>
        <v>0</v>
      </c>
    </row>
    <row r="567" spans="1:16" x14ac:dyDescent="0.25">
      <c r="A567" t="str">
        <f t="shared" si="24"/>
        <v>Victor Lindelöf</v>
      </c>
      <c r="B567" t="s">
        <v>92</v>
      </c>
      <c r="C567" t="s">
        <v>93</v>
      </c>
      <c r="D567">
        <v>14</v>
      </c>
      <c r="E567">
        <v>2</v>
      </c>
      <c r="F567">
        <v>45</v>
      </c>
      <c r="G567">
        <v>1328</v>
      </c>
      <c r="H567">
        <v>14</v>
      </c>
      <c r="I567">
        <v>1</v>
      </c>
      <c r="J567">
        <v>1</v>
      </c>
      <c r="K567">
        <v>0.69</v>
      </c>
      <c r="L567">
        <v>0.43</v>
      </c>
      <c r="M567">
        <v>62</v>
      </c>
      <c r="N567">
        <v>291</v>
      </c>
      <c r="O567">
        <f t="shared" si="25"/>
        <v>4.6762048192771077E-2</v>
      </c>
      <c r="P567">
        <f t="shared" si="26"/>
        <v>2.9141566265060238E-2</v>
      </c>
    </row>
    <row r="568" spans="1:16" x14ac:dyDescent="0.25">
      <c r="A568" t="str">
        <f t="shared" si="24"/>
        <v>Harry Maguire</v>
      </c>
      <c r="B568" t="s">
        <v>270</v>
      </c>
      <c r="C568" t="s">
        <v>812</v>
      </c>
      <c r="D568">
        <v>14</v>
      </c>
      <c r="E568">
        <v>2</v>
      </c>
      <c r="F568">
        <v>43</v>
      </c>
      <c r="G568">
        <v>1650</v>
      </c>
      <c r="H568">
        <v>18</v>
      </c>
      <c r="I568">
        <v>2</v>
      </c>
      <c r="J568">
        <v>4</v>
      </c>
      <c r="K568">
        <v>1.94</v>
      </c>
      <c r="L568">
        <v>0.97</v>
      </c>
      <c r="M568">
        <v>73</v>
      </c>
      <c r="N568">
        <v>351</v>
      </c>
      <c r="O568">
        <f t="shared" si="25"/>
        <v>0.10581818181818181</v>
      </c>
      <c r="P568">
        <f t="shared" si="26"/>
        <v>5.2909090909090906E-2</v>
      </c>
    </row>
    <row r="569" spans="1:16" x14ac:dyDescent="0.25">
      <c r="A569" t="str">
        <f t="shared" si="24"/>
        <v>Kobbie Mainoo</v>
      </c>
      <c r="B569" t="s">
        <v>832</v>
      </c>
      <c r="C569" t="s">
        <v>833</v>
      </c>
      <c r="D569">
        <v>14</v>
      </c>
      <c r="E569">
        <v>3</v>
      </c>
      <c r="F569">
        <v>44</v>
      </c>
      <c r="G569">
        <v>1927</v>
      </c>
      <c r="H569">
        <v>24</v>
      </c>
      <c r="I569">
        <v>3</v>
      </c>
      <c r="J569">
        <v>1</v>
      </c>
      <c r="K569">
        <v>0.87</v>
      </c>
      <c r="L569">
        <v>1.35</v>
      </c>
      <c r="M569">
        <v>77</v>
      </c>
      <c r="N569">
        <v>327</v>
      </c>
      <c r="O569">
        <f t="shared" si="25"/>
        <v>4.0633108458744162E-2</v>
      </c>
      <c r="P569">
        <f t="shared" si="26"/>
        <v>6.3051375194603007E-2</v>
      </c>
    </row>
    <row r="570" spans="1:16" x14ac:dyDescent="0.25">
      <c r="A570" t="str">
        <f t="shared" si="24"/>
        <v>Tyrell Malacia</v>
      </c>
      <c r="B570" t="s">
        <v>1809</v>
      </c>
      <c r="C570" t="s">
        <v>1810</v>
      </c>
      <c r="D570">
        <v>14</v>
      </c>
      <c r="E570">
        <v>2</v>
      </c>
      <c r="F570">
        <v>43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f t="shared" si="25"/>
        <v>0</v>
      </c>
      <c r="P570">
        <f t="shared" si="26"/>
        <v>0</v>
      </c>
    </row>
    <row r="571" spans="1:16" x14ac:dyDescent="0.25">
      <c r="A571" t="str">
        <f t="shared" si="24"/>
        <v>Anthony Martial</v>
      </c>
      <c r="B571" t="s">
        <v>222</v>
      </c>
      <c r="C571" t="s">
        <v>1811</v>
      </c>
      <c r="D571">
        <v>14</v>
      </c>
      <c r="E571">
        <v>4</v>
      </c>
      <c r="F571">
        <v>64</v>
      </c>
      <c r="G571">
        <v>439</v>
      </c>
      <c r="H571">
        <v>5</v>
      </c>
      <c r="I571">
        <v>1</v>
      </c>
      <c r="J571">
        <v>1</v>
      </c>
      <c r="K571">
        <v>1.24</v>
      </c>
      <c r="L571">
        <v>0.14000000000000001</v>
      </c>
      <c r="M571">
        <v>25</v>
      </c>
      <c r="N571">
        <v>73</v>
      </c>
      <c r="O571">
        <f t="shared" si="25"/>
        <v>0.25421412300683371</v>
      </c>
      <c r="P571">
        <f t="shared" si="26"/>
        <v>2.8701594533029614E-2</v>
      </c>
    </row>
    <row r="572" spans="1:16" x14ac:dyDescent="0.25">
      <c r="A572" t="str">
        <f t="shared" si="24"/>
        <v>Lisandro Martínez</v>
      </c>
      <c r="B572" t="s">
        <v>813</v>
      </c>
      <c r="C572" t="s">
        <v>814</v>
      </c>
      <c r="D572">
        <v>14</v>
      </c>
      <c r="E572">
        <v>2</v>
      </c>
      <c r="F572">
        <v>47</v>
      </c>
      <c r="G572">
        <v>643</v>
      </c>
      <c r="H572">
        <v>8</v>
      </c>
      <c r="I572">
        <v>0</v>
      </c>
      <c r="J572">
        <v>1</v>
      </c>
      <c r="K572">
        <v>0</v>
      </c>
      <c r="L572">
        <v>0.08</v>
      </c>
      <c r="M572">
        <v>15</v>
      </c>
      <c r="N572">
        <v>134</v>
      </c>
      <c r="O572">
        <f t="shared" si="25"/>
        <v>0</v>
      </c>
      <c r="P572">
        <f t="shared" si="26"/>
        <v>1.119751166407465E-2</v>
      </c>
    </row>
    <row r="573" spans="1:16" x14ac:dyDescent="0.25">
      <c r="A573" t="str">
        <f t="shared" si="24"/>
        <v>Scott McTominay</v>
      </c>
      <c r="B573" t="s">
        <v>154</v>
      </c>
      <c r="C573" t="s">
        <v>1812</v>
      </c>
      <c r="D573">
        <v>14</v>
      </c>
      <c r="E573">
        <v>3</v>
      </c>
      <c r="F573">
        <v>45</v>
      </c>
      <c r="G573">
        <v>1891</v>
      </c>
      <c r="H573">
        <v>18</v>
      </c>
      <c r="I573">
        <v>7</v>
      </c>
      <c r="J573">
        <v>1</v>
      </c>
      <c r="K573">
        <v>6</v>
      </c>
      <c r="L573">
        <v>0.41</v>
      </c>
      <c r="M573">
        <v>98</v>
      </c>
      <c r="N573">
        <v>307</v>
      </c>
      <c r="O573">
        <f t="shared" si="25"/>
        <v>0.28556319407720782</v>
      </c>
      <c r="P573">
        <f t="shared" si="26"/>
        <v>1.9513484928609201E-2</v>
      </c>
    </row>
    <row r="574" spans="1:16" x14ac:dyDescent="0.25">
      <c r="A574" t="str">
        <f t="shared" si="24"/>
        <v>Facundo Pellistri Rebollo</v>
      </c>
      <c r="B574" t="s">
        <v>262</v>
      </c>
      <c r="C574" t="s">
        <v>1813</v>
      </c>
      <c r="D574">
        <v>14</v>
      </c>
      <c r="E574">
        <v>3</v>
      </c>
      <c r="F574">
        <v>42</v>
      </c>
      <c r="G574">
        <v>164</v>
      </c>
      <c r="H574">
        <v>1</v>
      </c>
      <c r="I574">
        <v>0</v>
      </c>
      <c r="J574">
        <v>1</v>
      </c>
      <c r="K574">
        <v>0.51</v>
      </c>
      <c r="L574">
        <v>0.39</v>
      </c>
      <c r="M574">
        <v>13</v>
      </c>
      <c r="N574">
        <v>36</v>
      </c>
      <c r="O574">
        <f t="shared" si="25"/>
        <v>0.27987804878048783</v>
      </c>
      <c r="P574">
        <f t="shared" si="26"/>
        <v>0.21402439024390243</v>
      </c>
    </row>
    <row r="575" spans="1:16" x14ac:dyDescent="0.25">
      <c r="A575" t="str">
        <f t="shared" si="24"/>
        <v>Raphaël Varane</v>
      </c>
      <c r="B575" t="s">
        <v>1814</v>
      </c>
      <c r="C575" t="s">
        <v>1815</v>
      </c>
      <c r="D575">
        <v>14</v>
      </c>
      <c r="E575">
        <v>2</v>
      </c>
      <c r="F575">
        <v>49</v>
      </c>
      <c r="G575">
        <v>1370</v>
      </c>
      <c r="H575">
        <v>16</v>
      </c>
      <c r="I575">
        <v>1</v>
      </c>
      <c r="J575">
        <v>0</v>
      </c>
      <c r="K575">
        <v>0.81</v>
      </c>
      <c r="L575">
        <v>0.36</v>
      </c>
      <c r="M575">
        <v>44</v>
      </c>
      <c r="N575">
        <v>273</v>
      </c>
      <c r="O575">
        <f t="shared" si="25"/>
        <v>5.3211678832116797E-2</v>
      </c>
      <c r="P575">
        <f t="shared" si="26"/>
        <v>2.364963503649635E-2</v>
      </c>
    </row>
    <row r="576" spans="1:16" x14ac:dyDescent="0.25">
      <c r="A576" t="str">
        <f t="shared" si="24"/>
        <v>Marcus Rashford</v>
      </c>
      <c r="B576" t="s">
        <v>151</v>
      </c>
      <c r="C576" t="s">
        <v>828</v>
      </c>
      <c r="D576">
        <v>14</v>
      </c>
      <c r="E576">
        <v>3</v>
      </c>
      <c r="F576">
        <v>84</v>
      </c>
      <c r="G576">
        <v>2264</v>
      </c>
      <c r="H576">
        <v>26</v>
      </c>
      <c r="I576">
        <v>7</v>
      </c>
      <c r="J576">
        <v>3</v>
      </c>
      <c r="K576">
        <v>7.13</v>
      </c>
      <c r="L576">
        <v>2.8</v>
      </c>
      <c r="M576">
        <v>108</v>
      </c>
      <c r="N576">
        <v>330</v>
      </c>
      <c r="O576">
        <f t="shared" si="25"/>
        <v>0.2834363957597173</v>
      </c>
      <c r="P576">
        <f t="shared" si="26"/>
        <v>0.11130742049469965</v>
      </c>
    </row>
    <row r="577" spans="1:16" x14ac:dyDescent="0.25">
      <c r="A577" t="str">
        <f t="shared" si="24"/>
        <v>Jadon Sancho</v>
      </c>
      <c r="B577" t="s">
        <v>1816</v>
      </c>
      <c r="C577" t="s">
        <v>1817</v>
      </c>
      <c r="D577">
        <v>14</v>
      </c>
      <c r="E577">
        <v>3</v>
      </c>
      <c r="F577">
        <v>67</v>
      </c>
      <c r="G577">
        <v>76</v>
      </c>
      <c r="H577">
        <v>0</v>
      </c>
      <c r="I577">
        <v>0</v>
      </c>
      <c r="J577">
        <v>0</v>
      </c>
      <c r="K577">
        <v>0</v>
      </c>
      <c r="L577">
        <v>7.0000000000000007E-2</v>
      </c>
      <c r="M577">
        <v>3</v>
      </c>
      <c r="N577">
        <v>11</v>
      </c>
      <c r="O577">
        <f t="shared" si="25"/>
        <v>0</v>
      </c>
      <c r="P577">
        <f t="shared" si="26"/>
        <v>8.2894736842105271E-2</v>
      </c>
    </row>
    <row r="578" spans="1:16" x14ac:dyDescent="0.25">
      <c r="A578" t="str">
        <f t="shared" ref="A578:A641" si="27">_xlfn.CONCAT(B578, " ", C578)</f>
        <v>Luke Shaw</v>
      </c>
      <c r="B578" t="s">
        <v>375</v>
      </c>
      <c r="C578" t="s">
        <v>821</v>
      </c>
      <c r="D578">
        <v>14</v>
      </c>
      <c r="E578">
        <v>2</v>
      </c>
      <c r="F578">
        <v>52</v>
      </c>
      <c r="G578">
        <v>960</v>
      </c>
      <c r="H578">
        <v>12</v>
      </c>
      <c r="I578">
        <v>0</v>
      </c>
      <c r="J578">
        <v>1</v>
      </c>
      <c r="K578">
        <v>0.05</v>
      </c>
      <c r="L578">
        <v>0.89</v>
      </c>
      <c r="M578">
        <v>31</v>
      </c>
      <c r="N578">
        <v>195</v>
      </c>
      <c r="O578">
        <f t="shared" ref="O578:O641" si="28">IFERROR(K578/G578*90,0)</f>
        <v>4.6875000000000007E-3</v>
      </c>
      <c r="P578">
        <f t="shared" ref="P578:P641" si="29">IFERROR(L578/G578*90,0)</f>
        <v>8.3437499999999998E-2</v>
      </c>
    </row>
    <row r="579" spans="1:16" x14ac:dyDescent="0.25">
      <c r="A579" t="str">
        <f t="shared" si="27"/>
        <v>Shola Shoretire</v>
      </c>
      <c r="B579" t="s">
        <v>1818</v>
      </c>
      <c r="C579" t="s">
        <v>1819</v>
      </c>
      <c r="D579">
        <v>14</v>
      </c>
      <c r="E579">
        <v>4</v>
      </c>
      <c r="F579">
        <v>44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f t="shared" si="28"/>
        <v>0</v>
      </c>
      <c r="P579">
        <f t="shared" si="29"/>
        <v>0</v>
      </c>
    </row>
    <row r="580" spans="1:16" x14ac:dyDescent="0.25">
      <c r="A580" t="str">
        <f t="shared" si="27"/>
        <v>Donny van de Beek</v>
      </c>
      <c r="B580" t="s">
        <v>1820</v>
      </c>
      <c r="C580" t="s">
        <v>1821</v>
      </c>
      <c r="D580">
        <v>14</v>
      </c>
      <c r="E580">
        <v>3</v>
      </c>
      <c r="F580">
        <v>47</v>
      </c>
      <c r="G580">
        <v>2</v>
      </c>
      <c r="H580">
        <v>0</v>
      </c>
      <c r="I580">
        <v>0</v>
      </c>
      <c r="J580">
        <v>0</v>
      </c>
      <c r="K580">
        <v>0.04</v>
      </c>
      <c r="L580">
        <v>0.03</v>
      </c>
      <c r="M580">
        <v>1</v>
      </c>
      <c r="N580">
        <v>3</v>
      </c>
      <c r="O580">
        <f t="shared" si="28"/>
        <v>1.8</v>
      </c>
      <c r="P580">
        <f t="shared" si="29"/>
        <v>1.3499999999999999</v>
      </c>
    </row>
    <row r="581" spans="1:16" x14ac:dyDescent="0.25">
      <c r="A581" t="str">
        <f t="shared" si="27"/>
        <v>Aaron Wan-Bissaka</v>
      </c>
      <c r="B581" t="s">
        <v>197</v>
      </c>
      <c r="C581" t="s">
        <v>1219</v>
      </c>
      <c r="D581">
        <v>14</v>
      </c>
      <c r="E581">
        <v>2</v>
      </c>
      <c r="F581">
        <v>44</v>
      </c>
      <c r="G581">
        <v>1778</v>
      </c>
      <c r="H581">
        <v>20</v>
      </c>
      <c r="I581">
        <v>0</v>
      </c>
      <c r="J581">
        <v>2</v>
      </c>
      <c r="K581">
        <v>0.11</v>
      </c>
      <c r="L581">
        <v>1.47</v>
      </c>
      <c r="M581">
        <v>47</v>
      </c>
      <c r="N581">
        <v>323</v>
      </c>
      <c r="O581">
        <f t="shared" si="28"/>
        <v>5.5680539932508443E-3</v>
      </c>
      <c r="P581">
        <f t="shared" si="29"/>
        <v>7.4409448818897633E-2</v>
      </c>
    </row>
    <row r="582" spans="1:16" x14ac:dyDescent="0.25">
      <c r="A582" t="str">
        <f t="shared" si="27"/>
        <v>André Onana</v>
      </c>
      <c r="B582" t="s">
        <v>1614</v>
      </c>
      <c r="C582" t="s">
        <v>108</v>
      </c>
      <c r="D582">
        <v>14</v>
      </c>
      <c r="E582">
        <v>1</v>
      </c>
      <c r="F582">
        <v>50</v>
      </c>
      <c r="G582">
        <v>3420</v>
      </c>
      <c r="H582">
        <v>38</v>
      </c>
      <c r="I582">
        <v>0</v>
      </c>
      <c r="J582">
        <v>0</v>
      </c>
      <c r="K582">
        <v>0</v>
      </c>
      <c r="L582">
        <v>0.08</v>
      </c>
      <c r="M582">
        <v>133</v>
      </c>
      <c r="N582">
        <v>741</v>
      </c>
      <c r="O582">
        <f t="shared" si="28"/>
        <v>0</v>
      </c>
      <c r="P582">
        <f t="shared" si="29"/>
        <v>2.1052631578947368E-3</v>
      </c>
    </row>
    <row r="583" spans="1:16" x14ac:dyDescent="0.25">
      <c r="A583" t="str">
        <f t="shared" si="27"/>
        <v>Rasmus Højlund</v>
      </c>
      <c r="B583" t="s">
        <v>1822</v>
      </c>
      <c r="C583" t="s">
        <v>1823</v>
      </c>
      <c r="D583">
        <v>14</v>
      </c>
      <c r="E583">
        <v>4</v>
      </c>
      <c r="F583">
        <v>71</v>
      </c>
      <c r="G583">
        <v>2156</v>
      </c>
      <c r="H583">
        <v>25</v>
      </c>
      <c r="I583">
        <v>10</v>
      </c>
      <c r="J583">
        <v>2</v>
      </c>
      <c r="K583">
        <v>6.97</v>
      </c>
      <c r="L583">
        <v>0.96</v>
      </c>
      <c r="M583">
        <v>112</v>
      </c>
      <c r="N583">
        <v>362</v>
      </c>
      <c r="O583">
        <f t="shared" si="28"/>
        <v>0.29095547309833025</v>
      </c>
      <c r="P583">
        <f t="shared" si="29"/>
        <v>4.0074211502782932E-2</v>
      </c>
    </row>
    <row r="584" spans="1:16" x14ac:dyDescent="0.25">
      <c r="A584" t="str">
        <f t="shared" si="27"/>
        <v>Omari Forson</v>
      </c>
      <c r="B584" t="s">
        <v>909</v>
      </c>
      <c r="C584" t="s">
        <v>1824</v>
      </c>
      <c r="D584">
        <v>14</v>
      </c>
      <c r="E584">
        <v>3</v>
      </c>
      <c r="F584">
        <v>44</v>
      </c>
      <c r="G584">
        <v>67</v>
      </c>
      <c r="H584">
        <v>1</v>
      </c>
      <c r="I584">
        <v>0</v>
      </c>
      <c r="J584">
        <v>1</v>
      </c>
      <c r="K584">
        <v>0.03</v>
      </c>
      <c r="L584">
        <v>0.02</v>
      </c>
      <c r="M584">
        <v>7</v>
      </c>
      <c r="N584">
        <v>23</v>
      </c>
      <c r="O584">
        <f t="shared" si="28"/>
        <v>4.0298507462686567E-2</v>
      </c>
      <c r="P584">
        <f t="shared" si="29"/>
        <v>2.6865671641791045E-2</v>
      </c>
    </row>
    <row r="585" spans="1:16" x14ac:dyDescent="0.25">
      <c r="A585" t="str">
        <f t="shared" si="27"/>
        <v>Radek Vítek</v>
      </c>
      <c r="B585" t="s">
        <v>1825</v>
      </c>
      <c r="C585" t="s">
        <v>1826</v>
      </c>
      <c r="D585">
        <v>14</v>
      </c>
      <c r="E585">
        <v>1</v>
      </c>
      <c r="F585">
        <v>40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f t="shared" si="28"/>
        <v>0</v>
      </c>
      <c r="P585">
        <f t="shared" si="29"/>
        <v>0</v>
      </c>
    </row>
    <row r="586" spans="1:16" x14ac:dyDescent="0.25">
      <c r="A586" t="str">
        <f t="shared" si="27"/>
        <v>Daniel Gore</v>
      </c>
      <c r="B586" t="s">
        <v>416</v>
      </c>
      <c r="C586" t="s">
        <v>1827</v>
      </c>
      <c r="D586">
        <v>14</v>
      </c>
      <c r="E586">
        <v>3</v>
      </c>
      <c r="F586">
        <v>45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5</v>
      </c>
      <c r="O586">
        <f t="shared" si="28"/>
        <v>0</v>
      </c>
      <c r="P586">
        <f t="shared" si="29"/>
        <v>0</v>
      </c>
    </row>
    <row r="587" spans="1:16" x14ac:dyDescent="0.25">
      <c r="A587" t="str">
        <f t="shared" si="27"/>
        <v>Altay Bayindir</v>
      </c>
      <c r="B587" t="s">
        <v>803</v>
      </c>
      <c r="C587" t="s">
        <v>1828</v>
      </c>
      <c r="D587">
        <v>14</v>
      </c>
      <c r="E587">
        <v>1</v>
      </c>
      <c r="F587">
        <v>39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f t="shared" si="28"/>
        <v>0</v>
      </c>
      <c r="P587">
        <f t="shared" si="29"/>
        <v>0</v>
      </c>
    </row>
    <row r="588" spans="1:16" x14ac:dyDescent="0.25">
      <c r="A588" t="str">
        <f t="shared" si="27"/>
        <v>Jonny Evans</v>
      </c>
      <c r="B588" t="s">
        <v>1829</v>
      </c>
      <c r="C588" t="s">
        <v>1830</v>
      </c>
      <c r="D588">
        <v>14</v>
      </c>
      <c r="E588">
        <v>2</v>
      </c>
      <c r="F588">
        <v>40</v>
      </c>
      <c r="G588">
        <v>1389</v>
      </c>
      <c r="H588">
        <v>15</v>
      </c>
      <c r="I588">
        <v>0</v>
      </c>
      <c r="J588">
        <v>1</v>
      </c>
      <c r="K588">
        <v>0.06</v>
      </c>
      <c r="L588">
        <v>0.27</v>
      </c>
      <c r="M588">
        <v>49</v>
      </c>
      <c r="N588">
        <v>293</v>
      </c>
      <c r="O588">
        <f t="shared" si="28"/>
        <v>3.887688984881209E-3</v>
      </c>
      <c r="P588">
        <f t="shared" si="29"/>
        <v>1.7494600431965445E-2</v>
      </c>
    </row>
    <row r="589" spans="1:16" x14ac:dyDescent="0.25">
      <c r="A589" t="str">
        <f t="shared" si="27"/>
        <v>Sofyan Amrabat</v>
      </c>
      <c r="B589" t="s">
        <v>1831</v>
      </c>
      <c r="C589" t="s">
        <v>1832</v>
      </c>
      <c r="D589">
        <v>14</v>
      </c>
      <c r="E589">
        <v>3</v>
      </c>
      <c r="F589">
        <v>50</v>
      </c>
      <c r="G589">
        <v>929</v>
      </c>
      <c r="H589">
        <v>10</v>
      </c>
      <c r="I589">
        <v>0</v>
      </c>
      <c r="J589">
        <v>0</v>
      </c>
      <c r="K589">
        <v>7.0000000000000007E-2</v>
      </c>
      <c r="L589">
        <v>0.36</v>
      </c>
      <c r="M589">
        <v>26</v>
      </c>
      <c r="N589">
        <v>125</v>
      </c>
      <c r="O589">
        <f t="shared" si="28"/>
        <v>6.7814854682454262E-3</v>
      </c>
      <c r="P589">
        <f t="shared" si="29"/>
        <v>3.4876210979547899E-2</v>
      </c>
    </row>
    <row r="590" spans="1:16" x14ac:dyDescent="0.25">
      <c r="A590" t="str">
        <f t="shared" si="27"/>
        <v>Joe Hugill</v>
      </c>
      <c r="B590" t="s">
        <v>585</v>
      </c>
      <c r="C590" t="s">
        <v>1833</v>
      </c>
      <c r="D590">
        <v>14</v>
      </c>
      <c r="E590">
        <v>4</v>
      </c>
      <c r="F590">
        <v>45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f t="shared" si="28"/>
        <v>0</v>
      </c>
      <c r="P590">
        <f t="shared" si="29"/>
        <v>0</v>
      </c>
    </row>
    <row r="591" spans="1:16" x14ac:dyDescent="0.25">
      <c r="A591" t="str">
        <f t="shared" si="27"/>
        <v>Willy Kambwala</v>
      </c>
      <c r="B591" t="s">
        <v>1834</v>
      </c>
      <c r="C591" t="s">
        <v>1835</v>
      </c>
      <c r="D591">
        <v>14</v>
      </c>
      <c r="E591">
        <v>2</v>
      </c>
      <c r="F591">
        <v>39</v>
      </c>
      <c r="G591">
        <v>325</v>
      </c>
      <c r="H591">
        <v>3</v>
      </c>
      <c r="I591">
        <v>0</v>
      </c>
      <c r="J591">
        <v>0</v>
      </c>
      <c r="K591">
        <v>0</v>
      </c>
      <c r="L591">
        <v>0.01</v>
      </c>
      <c r="M591">
        <v>5</v>
      </c>
      <c r="N591">
        <v>48</v>
      </c>
      <c r="O591">
        <f t="shared" si="28"/>
        <v>0</v>
      </c>
      <c r="P591">
        <f t="shared" si="29"/>
        <v>2.7692307692307691E-3</v>
      </c>
    </row>
    <row r="592" spans="1:16" x14ac:dyDescent="0.25">
      <c r="A592" t="str">
        <f t="shared" si="27"/>
        <v>Rhys Bennett</v>
      </c>
      <c r="B592" t="s">
        <v>1836</v>
      </c>
      <c r="C592" t="s">
        <v>1837</v>
      </c>
      <c r="D592">
        <v>14</v>
      </c>
      <c r="E592">
        <v>2</v>
      </c>
      <c r="F592">
        <v>40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f t="shared" si="28"/>
        <v>0</v>
      </c>
      <c r="P592">
        <f t="shared" si="29"/>
        <v>0</v>
      </c>
    </row>
    <row r="593" spans="1:16" x14ac:dyDescent="0.25">
      <c r="A593" t="str">
        <f t="shared" si="27"/>
        <v>Toby Collyer</v>
      </c>
      <c r="B593" t="s">
        <v>838</v>
      </c>
      <c r="C593" t="s">
        <v>839</v>
      </c>
      <c r="D593">
        <v>14</v>
      </c>
      <c r="E593">
        <v>3</v>
      </c>
      <c r="F593">
        <v>45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f t="shared" si="28"/>
        <v>0</v>
      </c>
      <c r="P593">
        <f t="shared" si="29"/>
        <v>0</v>
      </c>
    </row>
    <row r="594" spans="1:16" x14ac:dyDescent="0.25">
      <c r="A594" t="str">
        <f t="shared" si="27"/>
        <v>Habeeb Ogunneye</v>
      </c>
      <c r="B594" t="s">
        <v>1838</v>
      </c>
      <c r="C594" t="s">
        <v>1839</v>
      </c>
      <c r="D594">
        <v>14</v>
      </c>
      <c r="E594">
        <v>2</v>
      </c>
      <c r="F594">
        <v>40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f t="shared" si="28"/>
        <v>0</v>
      </c>
      <c r="P594">
        <f t="shared" si="29"/>
        <v>0</v>
      </c>
    </row>
    <row r="595" spans="1:16" x14ac:dyDescent="0.25">
      <c r="A595" t="str">
        <f t="shared" si="27"/>
        <v>Dermot Mee</v>
      </c>
      <c r="B595" t="s">
        <v>1840</v>
      </c>
      <c r="C595" t="s">
        <v>1396</v>
      </c>
      <c r="D595">
        <v>14</v>
      </c>
      <c r="E595">
        <v>1</v>
      </c>
      <c r="F595">
        <v>40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 t="shared" si="28"/>
        <v>0</v>
      </c>
      <c r="P595">
        <f t="shared" si="29"/>
        <v>0</v>
      </c>
    </row>
    <row r="596" spans="1:16" x14ac:dyDescent="0.25">
      <c r="A596" t="str">
        <f t="shared" si="27"/>
        <v>Harry Amass</v>
      </c>
      <c r="B596" t="s">
        <v>270</v>
      </c>
      <c r="C596" t="s">
        <v>822</v>
      </c>
      <c r="D596">
        <v>14</v>
      </c>
      <c r="E596">
        <v>2</v>
      </c>
      <c r="F596">
        <v>40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t="shared" si="28"/>
        <v>0</v>
      </c>
      <c r="P596">
        <f t="shared" si="29"/>
        <v>0</v>
      </c>
    </row>
    <row r="597" spans="1:16" x14ac:dyDescent="0.25">
      <c r="A597" t="str">
        <f t="shared" si="27"/>
        <v>Ethan Wheatley</v>
      </c>
      <c r="B597" t="s">
        <v>59</v>
      </c>
      <c r="C597" t="s">
        <v>1841</v>
      </c>
      <c r="D597">
        <v>14</v>
      </c>
      <c r="E597">
        <v>4</v>
      </c>
      <c r="F597">
        <v>45</v>
      </c>
      <c r="G597">
        <v>13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</v>
      </c>
      <c r="N597">
        <v>6</v>
      </c>
      <c r="O597">
        <f t="shared" si="28"/>
        <v>0</v>
      </c>
      <c r="P597">
        <f t="shared" si="29"/>
        <v>0</v>
      </c>
    </row>
    <row r="598" spans="1:16" x14ac:dyDescent="0.25">
      <c r="A598" t="str">
        <f t="shared" si="27"/>
        <v>Louis Jackson</v>
      </c>
      <c r="B598" t="s">
        <v>1842</v>
      </c>
      <c r="C598" t="s">
        <v>337</v>
      </c>
      <c r="D598">
        <v>14</v>
      </c>
      <c r="E598">
        <v>2</v>
      </c>
      <c r="F598">
        <v>40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f t="shared" si="28"/>
        <v>0</v>
      </c>
      <c r="P598">
        <f t="shared" si="29"/>
        <v>0</v>
      </c>
    </row>
    <row r="599" spans="1:16" x14ac:dyDescent="0.25">
      <c r="A599" t="str">
        <f t="shared" si="27"/>
        <v>Lewis Hall</v>
      </c>
      <c r="B599" t="s">
        <v>157</v>
      </c>
      <c r="C599" t="s">
        <v>860</v>
      </c>
      <c r="D599">
        <v>15</v>
      </c>
      <c r="E599">
        <v>2</v>
      </c>
      <c r="F599">
        <v>42</v>
      </c>
      <c r="G599">
        <v>773</v>
      </c>
      <c r="H599">
        <v>8</v>
      </c>
      <c r="I599">
        <v>1</v>
      </c>
      <c r="J599">
        <v>0</v>
      </c>
      <c r="K599">
        <v>0.35</v>
      </c>
      <c r="L599">
        <v>0.72</v>
      </c>
      <c r="M599">
        <v>38</v>
      </c>
      <c r="N599">
        <v>171</v>
      </c>
      <c r="O599">
        <f t="shared" si="28"/>
        <v>4.0750323415265195E-2</v>
      </c>
      <c r="P599">
        <f t="shared" si="29"/>
        <v>8.3829236739974125E-2</v>
      </c>
    </row>
    <row r="600" spans="1:16" x14ac:dyDescent="0.25">
      <c r="A600" t="str">
        <f t="shared" si="27"/>
        <v>Miguel Almirón Rejala</v>
      </c>
      <c r="B600" t="s">
        <v>377</v>
      </c>
      <c r="C600" t="s">
        <v>1843</v>
      </c>
      <c r="D600">
        <v>15</v>
      </c>
      <c r="E600">
        <v>3</v>
      </c>
      <c r="F600">
        <v>60</v>
      </c>
      <c r="G600">
        <v>1930</v>
      </c>
      <c r="H600">
        <v>23</v>
      </c>
      <c r="I600">
        <v>3</v>
      </c>
      <c r="J600">
        <v>1</v>
      </c>
      <c r="K600">
        <v>4.57</v>
      </c>
      <c r="L600">
        <v>2.39</v>
      </c>
      <c r="M600">
        <v>77</v>
      </c>
      <c r="N600">
        <v>277</v>
      </c>
      <c r="O600">
        <f t="shared" si="28"/>
        <v>0.21310880829015547</v>
      </c>
      <c r="P600">
        <f t="shared" si="29"/>
        <v>0.11145077720207254</v>
      </c>
    </row>
    <row r="601" spans="1:16" x14ac:dyDescent="0.25">
      <c r="A601" t="str">
        <f t="shared" si="27"/>
        <v>Elliot Anderson</v>
      </c>
      <c r="B601" t="s">
        <v>594</v>
      </c>
      <c r="C601" t="s">
        <v>792</v>
      </c>
      <c r="D601">
        <v>15</v>
      </c>
      <c r="E601">
        <v>3</v>
      </c>
      <c r="F601">
        <v>42</v>
      </c>
      <c r="G601">
        <v>1018</v>
      </c>
      <c r="H601">
        <v>10</v>
      </c>
      <c r="I601">
        <v>0</v>
      </c>
      <c r="J601">
        <v>2</v>
      </c>
      <c r="K601">
        <v>1.63</v>
      </c>
      <c r="L601">
        <v>1.25</v>
      </c>
      <c r="M601">
        <v>42</v>
      </c>
      <c r="N601">
        <v>144</v>
      </c>
      <c r="O601">
        <f t="shared" si="28"/>
        <v>0.14410609037328093</v>
      </c>
      <c r="P601">
        <f t="shared" si="29"/>
        <v>0.11051080550098231</v>
      </c>
    </row>
    <row r="602" spans="1:16" x14ac:dyDescent="0.25">
      <c r="A602" t="str">
        <f t="shared" si="27"/>
        <v>Harrison Ashby</v>
      </c>
      <c r="B602" t="s">
        <v>493</v>
      </c>
      <c r="C602" t="s">
        <v>1844</v>
      </c>
      <c r="D602">
        <v>15</v>
      </c>
      <c r="E602">
        <v>2</v>
      </c>
      <c r="F602">
        <v>40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f t="shared" si="28"/>
        <v>0</v>
      </c>
      <c r="P602">
        <f t="shared" si="29"/>
        <v>0</v>
      </c>
    </row>
    <row r="603" spans="1:16" x14ac:dyDescent="0.25">
      <c r="A603" t="str">
        <f t="shared" si="27"/>
        <v>Sven Botman</v>
      </c>
      <c r="B603" t="s">
        <v>856</v>
      </c>
      <c r="C603" t="s">
        <v>857</v>
      </c>
      <c r="D603">
        <v>15</v>
      </c>
      <c r="E603">
        <v>2</v>
      </c>
      <c r="F603">
        <v>45</v>
      </c>
      <c r="G603">
        <v>1375</v>
      </c>
      <c r="H603">
        <v>15</v>
      </c>
      <c r="I603">
        <v>2</v>
      </c>
      <c r="J603">
        <v>2</v>
      </c>
      <c r="K603">
        <v>0.62</v>
      </c>
      <c r="L603">
        <v>0.54</v>
      </c>
      <c r="M603">
        <v>51</v>
      </c>
      <c r="N603">
        <v>298</v>
      </c>
      <c r="O603">
        <f t="shared" si="28"/>
        <v>4.0581818181818184E-2</v>
      </c>
      <c r="P603">
        <f t="shared" si="29"/>
        <v>3.5345454545454548E-2</v>
      </c>
    </row>
    <row r="604" spans="1:16" x14ac:dyDescent="0.25">
      <c r="A604" t="str">
        <f t="shared" si="27"/>
        <v>Bruno Guimarães Rodriguez Moura</v>
      </c>
      <c r="B604" t="s">
        <v>70</v>
      </c>
      <c r="C604" t="s">
        <v>71</v>
      </c>
      <c r="D604">
        <v>15</v>
      </c>
      <c r="E604">
        <v>3</v>
      </c>
      <c r="F604">
        <v>58</v>
      </c>
      <c r="G604">
        <v>3264</v>
      </c>
      <c r="H604">
        <v>37</v>
      </c>
      <c r="I604">
        <v>7</v>
      </c>
      <c r="J604">
        <v>9</v>
      </c>
      <c r="K604">
        <v>4.91</v>
      </c>
      <c r="L604">
        <v>6.2</v>
      </c>
      <c r="M604">
        <v>153</v>
      </c>
      <c r="N604">
        <v>691</v>
      </c>
      <c r="O604">
        <f t="shared" si="28"/>
        <v>0.13538602941176472</v>
      </c>
      <c r="P604">
        <f t="shared" si="29"/>
        <v>0.17095588235294118</v>
      </c>
    </row>
    <row r="605" spans="1:16" x14ac:dyDescent="0.25">
      <c r="A605" t="str">
        <f t="shared" si="27"/>
        <v>Dan Burn</v>
      </c>
      <c r="B605" t="s">
        <v>858</v>
      </c>
      <c r="C605" t="s">
        <v>859</v>
      </c>
      <c r="D605">
        <v>15</v>
      </c>
      <c r="E605">
        <v>2</v>
      </c>
      <c r="F605">
        <v>47</v>
      </c>
      <c r="G605">
        <v>2725</v>
      </c>
      <c r="H605">
        <v>32</v>
      </c>
      <c r="I605">
        <v>2</v>
      </c>
      <c r="J605">
        <v>2</v>
      </c>
      <c r="K605">
        <v>3.35</v>
      </c>
      <c r="L605">
        <v>1.1200000000000001</v>
      </c>
      <c r="M605">
        <v>97</v>
      </c>
      <c r="N605">
        <v>493</v>
      </c>
      <c r="O605">
        <f t="shared" si="28"/>
        <v>0.11064220183486238</v>
      </c>
      <c r="P605">
        <f t="shared" si="29"/>
        <v>3.6990825688073402E-2</v>
      </c>
    </row>
    <row r="606" spans="1:16" x14ac:dyDescent="0.25">
      <c r="A606" t="str">
        <f t="shared" si="27"/>
        <v>Karl Darlow</v>
      </c>
      <c r="B606" t="s">
        <v>799</v>
      </c>
      <c r="C606" t="s">
        <v>800</v>
      </c>
      <c r="D606">
        <v>15</v>
      </c>
      <c r="E606">
        <v>1</v>
      </c>
      <c r="F606">
        <v>40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f t="shared" si="28"/>
        <v>0</v>
      </c>
      <c r="P606">
        <f t="shared" si="29"/>
        <v>0</v>
      </c>
    </row>
    <row r="607" spans="1:16" x14ac:dyDescent="0.25">
      <c r="A607" t="str">
        <f t="shared" si="27"/>
        <v>Martin Dubravka</v>
      </c>
      <c r="B607" t="s">
        <v>48</v>
      </c>
      <c r="C607" t="s">
        <v>938</v>
      </c>
      <c r="D607">
        <v>15</v>
      </c>
      <c r="E607">
        <v>1</v>
      </c>
      <c r="F607">
        <v>43</v>
      </c>
      <c r="G607">
        <v>1984</v>
      </c>
      <c r="H607">
        <v>22</v>
      </c>
      <c r="I607">
        <v>0</v>
      </c>
      <c r="J607">
        <v>0</v>
      </c>
      <c r="K607">
        <v>0</v>
      </c>
      <c r="L607">
        <v>0</v>
      </c>
      <c r="M607">
        <v>75</v>
      </c>
      <c r="N607">
        <v>426</v>
      </c>
      <c r="O607">
        <f t="shared" si="28"/>
        <v>0</v>
      </c>
      <c r="P607">
        <f t="shared" si="29"/>
        <v>0</v>
      </c>
    </row>
    <row r="608" spans="1:16" x14ac:dyDescent="0.25">
      <c r="A608" t="str">
        <f t="shared" si="27"/>
        <v>Ryan Fraser</v>
      </c>
      <c r="B608" t="s">
        <v>164</v>
      </c>
      <c r="C608" t="s">
        <v>131</v>
      </c>
      <c r="D608">
        <v>15</v>
      </c>
      <c r="E608">
        <v>3</v>
      </c>
      <c r="F608">
        <v>49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f t="shared" si="28"/>
        <v>0</v>
      </c>
      <c r="P608">
        <f t="shared" si="29"/>
        <v>0</v>
      </c>
    </row>
    <row r="609" spans="1:16" x14ac:dyDescent="0.25">
      <c r="A609" t="str">
        <f t="shared" si="27"/>
        <v>Mark Gillespie</v>
      </c>
      <c r="B609" t="s">
        <v>473</v>
      </c>
      <c r="C609" t="s">
        <v>849</v>
      </c>
      <c r="D609">
        <v>15</v>
      </c>
      <c r="E609">
        <v>1</v>
      </c>
      <c r="F609">
        <v>39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f t="shared" si="28"/>
        <v>0</v>
      </c>
      <c r="P609">
        <f t="shared" si="29"/>
        <v>0</v>
      </c>
    </row>
    <row r="610" spans="1:16" x14ac:dyDescent="0.25">
      <c r="A610" t="str">
        <f t="shared" si="27"/>
        <v>Anthony Gordon</v>
      </c>
      <c r="B610" t="s">
        <v>222</v>
      </c>
      <c r="C610" t="s">
        <v>1600</v>
      </c>
      <c r="D610">
        <v>15</v>
      </c>
      <c r="E610">
        <v>3</v>
      </c>
      <c r="F610">
        <v>64</v>
      </c>
      <c r="G610">
        <v>2896</v>
      </c>
      <c r="H610">
        <v>34</v>
      </c>
      <c r="I610">
        <v>11</v>
      </c>
      <c r="J610">
        <v>16</v>
      </c>
      <c r="K610">
        <v>10.029999999999999</v>
      </c>
      <c r="L610">
        <v>5.4</v>
      </c>
      <c r="M610">
        <v>183</v>
      </c>
      <c r="N610">
        <v>594</v>
      </c>
      <c r="O610">
        <f t="shared" si="28"/>
        <v>0.31170580110497231</v>
      </c>
      <c r="P610">
        <f t="shared" si="29"/>
        <v>0.16781767955801108</v>
      </c>
    </row>
    <row r="611" spans="1:16" x14ac:dyDescent="0.25">
      <c r="A611" t="str">
        <f t="shared" si="27"/>
        <v>Isaac Hayden</v>
      </c>
      <c r="B611" t="s">
        <v>1845</v>
      </c>
      <c r="C611" t="s">
        <v>498</v>
      </c>
      <c r="D611">
        <v>15</v>
      </c>
      <c r="E611">
        <v>3</v>
      </c>
      <c r="F611">
        <v>44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t="shared" si="28"/>
        <v>0</v>
      </c>
      <c r="P611">
        <f t="shared" si="29"/>
        <v>0</v>
      </c>
    </row>
    <row r="612" spans="1:16" x14ac:dyDescent="0.25">
      <c r="A612" t="str">
        <f t="shared" si="27"/>
        <v>Jeff Hendrick</v>
      </c>
      <c r="B612" t="s">
        <v>1846</v>
      </c>
      <c r="C612" t="s">
        <v>1847</v>
      </c>
      <c r="D612">
        <v>15</v>
      </c>
      <c r="E612">
        <v>3</v>
      </c>
      <c r="F612">
        <v>44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t="shared" si="28"/>
        <v>0</v>
      </c>
      <c r="P612">
        <f t="shared" si="29"/>
        <v>0</v>
      </c>
    </row>
    <row r="613" spans="1:16" x14ac:dyDescent="0.25">
      <c r="A613" t="str">
        <f t="shared" si="27"/>
        <v>Alexander Isak</v>
      </c>
      <c r="B613" t="s">
        <v>739</v>
      </c>
      <c r="C613" t="s">
        <v>740</v>
      </c>
      <c r="D613">
        <v>15</v>
      </c>
      <c r="E613">
        <v>4</v>
      </c>
      <c r="F613">
        <v>84</v>
      </c>
      <c r="G613">
        <v>2253</v>
      </c>
      <c r="H613">
        <v>27</v>
      </c>
      <c r="I613">
        <v>21</v>
      </c>
      <c r="J613">
        <v>4</v>
      </c>
      <c r="K613">
        <v>20.22</v>
      </c>
      <c r="L613">
        <v>2.68</v>
      </c>
      <c r="M613">
        <v>172</v>
      </c>
      <c r="N613">
        <v>645</v>
      </c>
      <c r="O613">
        <f t="shared" si="28"/>
        <v>0.80772303595206385</v>
      </c>
      <c r="P613">
        <f t="shared" si="29"/>
        <v>0.1070572569906791</v>
      </c>
    </row>
    <row r="614" spans="1:16" x14ac:dyDescent="0.25">
      <c r="A614" t="str">
        <f t="shared" si="27"/>
        <v>Joelinton Cássio Apolinário de Lira</v>
      </c>
      <c r="B614" t="s">
        <v>867</v>
      </c>
      <c r="C614" t="s">
        <v>868</v>
      </c>
      <c r="D614">
        <v>15</v>
      </c>
      <c r="E614">
        <v>3</v>
      </c>
      <c r="F614">
        <v>58</v>
      </c>
      <c r="G614">
        <v>1276</v>
      </c>
      <c r="H614">
        <v>15</v>
      </c>
      <c r="I614">
        <v>2</v>
      </c>
      <c r="J614">
        <v>1</v>
      </c>
      <c r="K614">
        <v>2.82</v>
      </c>
      <c r="L614">
        <v>1.0900000000000001</v>
      </c>
      <c r="M614">
        <v>45</v>
      </c>
      <c r="N614">
        <v>209</v>
      </c>
      <c r="O614">
        <f t="shared" si="28"/>
        <v>0.19890282131661441</v>
      </c>
      <c r="P614">
        <f t="shared" si="29"/>
        <v>7.6880877742946718E-2</v>
      </c>
    </row>
    <row r="615" spans="1:16" x14ac:dyDescent="0.25">
      <c r="A615" t="str">
        <f t="shared" si="27"/>
        <v>Emil Krafth</v>
      </c>
      <c r="B615" t="s">
        <v>1848</v>
      </c>
      <c r="C615" t="s">
        <v>1849</v>
      </c>
      <c r="D615">
        <v>15</v>
      </c>
      <c r="E615">
        <v>2</v>
      </c>
      <c r="F615">
        <v>44</v>
      </c>
      <c r="G615">
        <v>909</v>
      </c>
      <c r="H615">
        <v>8</v>
      </c>
      <c r="I615">
        <v>0</v>
      </c>
      <c r="J615">
        <v>0</v>
      </c>
      <c r="K615">
        <v>0.2</v>
      </c>
      <c r="L615">
        <v>0.76</v>
      </c>
      <c r="M615">
        <v>33</v>
      </c>
      <c r="N615">
        <v>187</v>
      </c>
      <c r="O615">
        <f t="shared" si="28"/>
        <v>1.9801980198019802E-2</v>
      </c>
      <c r="P615">
        <f t="shared" si="29"/>
        <v>7.5247524752475245E-2</v>
      </c>
    </row>
    <row r="616" spans="1:16" x14ac:dyDescent="0.25">
      <c r="A616" t="str">
        <f t="shared" si="27"/>
        <v>Garang Kuol</v>
      </c>
      <c r="B616" t="s">
        <v>1850</v>
      </c>
      <c r="C616" t="s">
        <v>1851</v>
      </c>
      <c r="D616">
        <v>15</v>
      </c>
      <c r="E616">
        <v>3</v>
      </c>
      <c r="F616">
        <v>45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f t="shared" si="28"/>
        <v>0</v>
      </c>
      <c r="P616">
        <f t="shared" si="29"/>
        <v>0</v>
      </c>
    </row>
    <row r="617" spans="1:16" x14ac:dyDescent="0.25">
      <c r="A617" t="str">
        <f t="shared" si="27"/>
        <v>Jamaal Lascelles</v>
      </c>
      <c r="B617" t="s">
        <v>1852</v>
      </c>
      <c r="C617" t="s">
        <v>1853</v>
      </c>
      <c r="D617">
        <v>15</v>
      </c>
      <c r="E617">
        <v>2</v>
      </c>
      <c r="F617">
        <v>37</v>
      </c>
      <c r="G617">
        <v>1077</v>
      </c>
      <c r="H617">
        <v>13</v>
      </c>
      <c r="I617">
        <v>1</v>
      </c>
      <c r="J617">
        <v>0</v>
      </c>
      <c r="K617">
        <v>0.74</v>
      </c>
      <c r="L617">
        <v>0.12</v>
      </c>
      <c r="M617">
        <v>46</v>
      </c>
      <c r="N617">
        <v>212</v>
      </c>
      <c r="O617">
        <f t="shared" si="28"/>
        <v>6.183844011142061E-2</v>
      </c>
      <c r="P617">
        <f t="shared" si="29"/>
        <v>1.0027855153203343E-2</v>
      </c>
    </row>
    <row r="618" spans="1:16" x14ac:dyDescent="0.25">
      <c r="A618" t="str">
        <f t="shared" si="27"/>
        <v>Jamal Lewis</v>
      </c>
      <c r="B618" t="s">
        <v>1352</v>
      </c>
      <c r="C618" t="s">
        <v>157</v>
      </c>
      <c r="D618">
        <v>15</v>
      </c>
      <c r="E618">
        <v>2</v>
      </c>
      <c r="F618">
        <v>40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f t="shared" si="28"/>
        <v>0</v>
      </c>
      <c r="P618">
        <f t="shared" si="29"/>
        <v>0</v>
      </c>
    </row>
    <row r="619" spans="1:16" x14ac:dyDescent="0.25">
      <c r="A619" t="str">
        <f t="shared" si="27"/>
        <v>Sean Longstaff</v>
      </c>
      <c r="B619" t="s">
        <v>673</v>
      </c>
      <c r="C619" t="s">
        <v>674</v>
      </c>
      <c r="D619">
        <v>15</v>
      </c>
      <c r="E619">
        <v>3</v>
      </c>
      <c r="F619">
        <v>48</v>
      </c>
      <c r="G619">
        <v>2742</v>
      </c>
      <c r="H619">
        <v>30</v>
      </c>
      <c r="I619">
        <v>6</v>
      </c>
      <c r="J619">
        <v>3</v>
      </c>
      <c r="K619">
        <v>6.76</v>
      </c>
      <c r="L619">
        <v>2.8</v>
      </c>
      <c r="M619">
        <v>110</v>
      </c>
      <c r="N619">
        <v>418</v>
      </c>
      <c r="O619">
        <f t="shared" si="28"/>
        <v>0.22188183807439824</v>
      </c>
      <c r="P619">
        <f t="shared" si="29"/>
        <v>9.1903719912472648E-2</v>
      </c>
    </row>
    <row r="620" spans="1:16" x14ac:dyDescent="0.25">
      <c r="A620" t="str">
        <f t="shared" si="27"/>
        <v>Javier Manquillo Gaitán</v>
      </c>
      <c r="B620" t="s">
        <v>1854</v>
      </c>
      <c r="C620" t="s">
        <v>1855</v>
      </c>
      <c r="D620">
        <v>15</v>
      </c>
      <c r="E620">
        <v>2</v>
      </c>
      <c r="F620">
        <v>40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f t="shared" si="28"/>
        <v>0</v>
      </c>
      <c r="P620">
        <f t="shared" si="29"/>
        <v>0</v>
      </c>
    </row>
    <row r="621" spans="1:16" x14ac:dyDescent="0.25">
      <c r="A621" t="str">
        <f t="shared" si="27"/>
        <v>Jacob Murphy</v>
      </c>
      <c r="B621" t="s">
        <v>556</v>
      </c>
      <c r="C621" t="s">
        <v>863</v>
      </c>
      <c r="D621">
        <v>15</v>
      </c>
      <c r="E621">
        <v>3</v>
      </c>
      <c r="F621">
        <v>48</v>
      </c>
      <c r="G621">
        <v>1184</v>
      </c>
      <c r="H621">
        <v>14</v>
      </c>
      <c r="I621">
        <v>3</v>
      </c>
      <c r="J621">
        <v>8</v>
      </c>
      <c r="K621">
        <v>2.23</v>
      </c>
      <c r="L621">
        <v>3.35</v>
      </c>
      <c r="M621">
        <v>82</v>
      </c>
      <c r="N621">
        <v>312</v>
      </c>
      <c r="O621">
        <f t="shared" si="28"/>
        <v>0.16951013513513513</v>
      </c>
      <c r="P621">
        <f t="shared" si="29"/>
        <v>0.25464527027027029</v>
      </c>
    </row>
    <row r="622" spans="1:16" x14ac:dyDescent="0.25">
      <c r="A622" t="str">
        <f t="shared" si="27"/>
        <v>Nick Pope</v>
      </c>
      <c r="B622" t="s">
        <v>847</v>
      </c>
      <c r="C622" t="s">
        <v>848</v>
      </c>
      <c r="D622">
        <v>15</v>
      </c>
      <c r="E622">
        <v>1</v>
      </c>
      <c r="F622">
        <v>53</v>
      </c>
      <c r="G622">
        <v>1345</v>
      </c>
      <c r="H622">
        <v>15</v>
      </c>
      <c r="I622">
        <v>0</v>
      </c>
      <c r="J622">
        <v>0</v>
      </c>
      <c r="K622">
        <v>0.02</v>
      </c>
      <c r="L622">
        <v>0</v>
      </c>
      <c r="M622">
        <v>57</v>
      </c>
      <c r="N622">
        <v>279</v>
      </c>
      <c r="O622">
        <f t="shared" si="28"/>
        <v>1.3382899628252788E-3</v>
      </c>
      <c r="P622">
        <f t="shared" si="29"/>
        <v>0</v>
      </c>
    </row>
    <row r="623" spans="1:16" x14ac:dyDescent="0.25">
      <c r="A623" t="str">
        <f t="shared" si="27"/>
        <v>Matt Ritchie</v>
      </c>
      <c r="B623" t="s">
        <v>259</v>
      </c>
      <c r="C623" t="s">
        <v>1856</v>
      </c>
      <c r="D623">
        <v>15</v>
      </c>
      <c r="E623">
        <v>3</v>
      </c>
      <c r="F623">
        <v>43</v>
      </c>
      <c r="G623">
        <v>120</v>
      </c>
      <c r="H623">
        <v>0</v>
      </c>
      <c r="I623">
        <v>1</v>
      </c>
      <c r="J623">
        <v>0</v>
      </c>
      <c r="K623">
        <v>0.98</v>
      </c>
      <c r="L623">
        <v>7.0000000000000007E-2</v>
      </c>
      <c r="M623">
        <v>17</v>
      </c>
      <c r="N623">
        <v>49</v>
      </c>
      <c r="O623">
        <f t="shared" si="28"/>
        <v>0.73499999999999988</v>
      </c>
      <c r="P623">
        <f t="shared" si="29"/>
        <v>5.2500000000000005E-2</v>
      </c>
    </row>
    <row r="624" spans="1:16" x14ac:dyDescent="0.25">
      <c r="A624" t="str">
        <f t="shared" si="27"/>
        <v>Allan Saint-Maximin</v>
      </c>
      <c r="B624" t="s">
        <v>1258</v>
      </c>
      <c r="C624" t="s">
        <v>1857</v>
      </c>
      <c r="D624">
        <v>15</v>
      </c>
      <c r="E624">
        <v>3</v>
      </c>
      <c r="F624">
        <v>60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f t="shared" si="28"/>
        <v>0</v>
      </c>
      <c r="P624">
        <f t="shared" si="29"/>
        <v>0</v>
      </c>
    </row>
    <row r="625" spans="1:16" x14ac:dyDescent="0.25">
      <c r="A625" t="str">
        <f t="shared" si="27"/>
        <v>Fabian Schär</v>
      </c>
      <c r="B625" t="s">
        <v>854</v>
      </c>
      <c r="C625" t="s">
        <v>855</v>
      </c>
      <c r="D625">
        <v>15</v>
      </c>
      <c r="E625">
        <v>2</v>
      </c>
      <c r="F625">
        <v>56</v>
      </c>
      <c r="G625">
        <v>3055</v>
      </c>
      <c r="H625">
        <v>35</v>
      </c>
      <c r="I625">
        <v>4</v>
      </c>
      <c r="J625">
        <v>3</v>
      </c>
      <c r="K625">
        <v>2.4700000000000002</v>
      </c>
      <c r="L625">
        <v>1.41</v>
      </c>
      <c r="M625">
        <v>123</v>
      </c>
      <c r="N625">
        <v>629</v>
      </c>
      <c r="O625">
        <f t="shared" si="28"/>
        <v>7.2765957446808513E-2</v>
      </c>
      <c r="P625">
        <f t="shared" si="29"/>
        <v>4.1538461538461538E-2</v>
      </c>
    </row>
    <row r="626" spans="1:16" x14ac:dyDescent="0.25">
      <c r="A626" t="str">
        <f t="shared" si="27"/>
        <v>Matt Targett</v>
      </c>
      <c r="B626" t="s">
        <v>259</v>
      </c>
      <c r="C626" t="s">
        <v>587</v>
      </c>
      <c r="D626">
        <v>15</v>
      </c>
      <c r="E626">
        <v>2</v>
      </c>
      <c r="F626">
        <v>42</v>
      </c>
      <c r="G626">
        <v>77</v>
      </c>
      <c r="H626">
        <v>1</v>
      </c>
      <c r="I626">
        <v>0</v>
      </c>
      <c r="J626">
        <v>0</v>
      </c>
      <c r="K626">
        <v>0</v>
      </c>
      <c r="L626">
        <v>0.01</v>
      </c>
      <c r="M626">
        <v>2</v>
      </c>
      <c r="N626">
        <v>15</v>
      </c>
      <c r="O626">
        <f t="shared" si="28"/>
        <v>0</v>
      </c>
      <c r="P626">
        <f t="shared" si="29"/>
        <v>1.1688311688311689E-2</v>
      </c>
    </row>
    <row r="627" spans="1:16" x14ac:dyDescent="0.25">
      <c r="A627" t="str">
        <f t="shared" si="27"/>
        <v>Sandro Tonali</v>
      </c>
      <c r="B627" t="s">
        <v>931</v>
      </c>
      <c r="C627" t="s">
        <v>932</v>
      </c>
      <c r="D627">
        <v>15</v>
      </c>
      <c r="E627">
        <v>3</v>
      </c>
      <c r="F627">
        <v>52</v>
      </c>
      <c r="G627">
        <v>437</v>
      </c>
      <c r="H627">
        <v>5</v>
      </c>
      <c r="I627">
        <v>1</v>
      </c>
      <c r="J627">
        <v>0</v>
      </c>
      <c r="K627">
        <v>0.62</v>
      </c>
      <c r="L627">
        <v>0.47</v>
      </c>
      <c r="M627">
        <v>16</v>
      </c>
      <c r="N627">
        <v>86</v>
      </c>
      <c r="O627">
        <f t="shared" si="28"/>
        <v>0.1276887871853547</v>
      </c>
      <c r="P627">
        <f t="shared" si="29"/>
        <v>9.6796338672768878E-2</v>
      </c>
    </row>
    <row r="628" spans="1:16" x14ac:dyDescent="0.25">
      <c r="A628" t="str">
        <f t="shared" si="27"/>
        <v>Kieran Trippier</v>
      </c>
      <c r="B628" t="s">
        <v>564</v>
      </c>
      <c r="C628" t="s">
        <v>1858</v>
      </c>
      <c r="D628">
        <v>15</v>
      </c>
      <c r="E628">
        <v>2</v>
      </c>
      <c r="F628">
        <v>66</v>
      </c>
      <c r="G628">
        <v>2235</v>
      </c>
      <c r="H628">
        <v>26</v>
      </c>
      <c r="I628">
        <v>1</v>
      </c>
      <c r="J628">
        <v>10</v>
      </c>
      <c r="K628">
        <v>0.65</v>
      </c>
      <c r="L628">
        <v>6.97</v>
      </c>
      <c r="M628">
        <v>111</v>
      </c>
      <c r="N628">
        <v>589</v>
      </c>
      <c r="O628">
        <f t="shared" si="28"/>
        <v>2.6174496644295303E-2</v>
      </c>
      <c r="P628">
        <f t="shared" si="29"/>
        <v>0.28067114093959733</v>
      </c>
    </row>
    <row r="629" spans="1:16" x14ac:dyDescent="0.25">
      <c r="A629" t="str">
        <f t="shared" si="27"/>
        <v>Kell Watts</v>
      </c>
      <c r="B629" t="s">
        <v>1859</v>
      </c>
      <c r="C629" t="s">
        <v>1860</v>
      </c>
      <c r="D629">
        <v>15</v>
      </c>
      <c r="E629">
        <v>2</v>
      </c>
      <c r="F629">
        <v>40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f t="shared" si="28"/>
        <v>0</v>
      </c>
      <c r="P629">
        <f t="shared" si="29"/>
        <v>0</v>
      </c>
    </row>
    <row r="630" spans="1:16" x14ac:dyDescent="0.25">
      <c r="A630" t="str">
        <f t="shared" si="27"/>
        <v>Joe Willock</v>
      </c>
      <c r="B630" t="s">
        <v>585</v>
      </c>
      <c r="C630" t="s">
        <v>870</v>
      </c>
      <c r="D630">
        <v>15</v>
      </c>
      <c r="E630">
        <v>3</v>
      </c>
      <c r="F630">
        <v>53</v>
      </c>
      <c r="G630">
        <v>415</v>
      </c>
      <c r="H630">
        <v>5</v>
      </c>
      <c r="I630">
        <v>1</v>
      </c>
      <c r="J630">
        <v>0</v>
      </c>
      <c r="K630">
        <v>0.88</v>
      </c>
      <c r="L630">
        <v>0.56999999999999995</v>
      </c>
      <c r="M630">
        <v>18</v>
      </c>
      <c r="N630">
        <v>60</v>
      </c>
      <c r="O630">
        <f t="shared" si="28"/>
        <v>0.19084337349397593</v>
      </c>
      <c r="P630">
        <f t="shared" si="29"/>
        <v>0.1236144578313253</v>
      </c>
    </row>
    <row r="631" spans="1:16" x14ac:dyDescent="0.25">
      <c r="A631" t="str">
        <f t="shared" si="27"/>
        <v>Callum Wilson</v>
      </c>
      <c r="B631" t="s">
        <v>227</v>
      </c>
      <c r="C631" t="s">
        <v>228</v>
      </c>
      <c r="D631">
        <v>15</v>
      </c>
      <c r="E631">
        <v>4</v>
      </c>
      <c r="F631">
        <v>78</v>
      </c>
      <c r="G631">
        <v>981</v>
      </c>
      <c r="H631">
        <v>9</v>
      </c>
      <c r="I631">
        <v>9</v>
      </c>
      <c r="J631">
        <v>1</v>
      </c>
      <c r="K631">
        <v>8.9600000000000009</v>
      </c>
      <c r="L631">
        <v>0.54</v>
      </c>
      <c r="M631">
        <v>69</v>
      </c>
      <c r="N631">
        <v>246</v>
      </c>
      <c r="O631">
        <f t="shared" si="28"/>
        <v>0.82201834862385326</v>
      </c>
      <c r="P631">
        <f t="shared" si="29"/>
        <v>4.9541284403669728E-2</v>
      </c>
    </row>
    <row r="632" spans="1:16" x14ac:dyDescent="0.25">
      <c r="A632" t="str">
        <f t="shared" si="27"/>
        <v>Loris Karius</v>
      </c>
      <c r="B632" t="s">
        <v>1861</v>
      </c>
      <c r="C632" t="s">
        <v>1862</v>
      </c>
      <c r="D632">
        <v>15</v>
      </c>
      <c r="E632">
        <v>1</v>
      </c>
      <c r="F632">
        <v>39</v>
      </c>
      <c r="G632">
        <v>90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17</v>
      </c>
      <c r="O632">
        <f t="shared" si="28"/>
        <v>0</v>
      </c>
      <c r="P632">
        <f t="shared" si="29"/>
        <v>0</v>
      </c>
    </row>
    <row r="633" spans="1:16" x14ac:dyDescent="0.25">
      <c r="A633" t="str">
        <f t="shared" si="27"/>
        <v>Paul Dummett</v>
      </c>
      <c r="B633" t="s">
        <v>1863</v>
      </c>
      <c r="C633" t="s">
        <v>1864</v>
      </c>
      <c r="D633">
        <v>15</v>
      </c>
      <c r="E633">
        <v>2</v>
      </c>
      <c r="F633">
        <v>39</v>
      </c>
      <c r="G633">
        <v>18</v>
      </c>
      <c r="H633">
        <v>0</v>
      </c>
      <c r="I633">
        <v>0</v>
      </c>
      <c r="J633">
        <v>0</v>
      </c>
      <c r="K633">
        <v>0.02</v>
      </c>
      <c r="L633">
        <v>0</v>
      </c>
      <c r="M633">
        <v>5</v>
      </c>
      <c r="N633">
        <v>10</v>
      </c>
      <c r="O633">
        <f t="shared" si="28"/>
        <v>0.1</v>
      </c>
      <c r="P633">
        <f t="shared" si="29"/>
        <v>0</v>
      </c>
    </row>
    <row r="634" spans="1:16" x14ac:dyDescent="0.25">
      <c r="A634" t="str">
        <f t="shared" si="27"/>
        <v>Harvey Barnes</v>
      </c>
      <c r="B634" t="s">
        <v>543</v>
      </c>
      <c r="C634" t="s">
        <v>864</v>
      </c>
      <c r="D634">
        <v>15</v>
      </c>
      <c r="E634">
        <v>3</v>
      </c>
      <c r="F634">
        <v>62</v>
      </c>
      <c r="G634">
        <v>788</v>
      </c>
      <c r="H634">
        <v>7</v>
      </c>
      <c r="I634">
        <v>5</v>
      </c>
      <c r="J634">
        <v>3</v>
      </c>
      <c r="K634">
        <v>3.78</v>
      </c>
      <c r="L634">
        <v>1.9</v>
      </c>
      <c r="M634">
        <v>64</v>
      </c>
      <c r="N634">
        <v>205</v>
      </c>
      <c r="O634">
        <f t="shared" si="28"/>
        <v>0.43172588832487307</v>
      </c>
      <c r="P634">
        <f t="shared" si="29"/>
        <v>0.21700507614213196</v>
      </c>
    </row>
    <row r="635" spans="1:16" x14ac:dyDescent="0.25">
      <c r="A635" t="str">
        <f t="shared" si="27"/>
        <v>Tino Livramento</v>
      </c>
      <c r="B635" t="s">
        <v>861</v>
      </c>
      <c r="C635" t="s">
        <v>862</v>
      </c>
      <c r="D635">
        <v>15</v>
      </c>
      <c r="E635">
        <v>2</v>
      </c>
      <c r="F635">
        <v>40</v>
      </c>
      <c r="G635">
        <v>1302</v>
      </c>
      <c r="H635">
        <v>12</v>
      </c>
      <c r="I635">
        <v>1</v>
      </c>
      <c r="J635">
        <v>0</v>
      </c>
      <c r="K635">
        <v>0.38</v>
      </c>
      <c r="L635">
        <v>0.83</v>
      </c>
      <c r="M635">
        <v>45</v>
      </c>
      <c r="N635">
        <v>253</v>
      </c>
      <c r="O635">
        <f t="shared" si="28"/>
        <v>2.6267281105990782E-2</v>
      </c>
      <c r="P635">
        <f t="shared" si="29"/>
        <v>5.7373271889400924E-2</v>
      </c>
    </row>
    <row r="636" spans="1:16" x14ac:dyDescent="0.25">
      <c r="A636" t="str">
        <f t="shared" si="27"/>
        <v>Alex Murphy</v>
      </c>
      <c r="B636" t="s">
        <v>153</v>
      </c>
      <c r="C636" t="s">
        <v>863</v>
      </c>
      <c r="D636">
        <v>15</v>
      </c>
      <c r="E636">
        <v>2</v>
      </c>
      <c r="F636">
        <v>39</v>
      </c>
      <c r="G636">
        <v>11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6</v>
      </c>
      <c r="O636">
        <f t="shared" si="28"/>
        <v>0</v>
      </c>
      <c r="P636">
        <f t="shared" si="29"/>
        <v>0</v>
      </c>
    </row>
    <row r="637" spans="1:16" x14ac:dyDescent="0.25">
      <c r="A637" t="str">
        <f t="shared" si="27"/>
        <v>Lewis Miley</v>
      </c>
      <c r="B637" t="s">
        <v>157</v>
      </c>
      <c r="C637" t="s">
        <v>869</v>
      </c>
      <c r="D637">
        <v>15</v>
      </c>
      <c r="E637">
        <v>3</v>
      </c>
      <c r="F637">
        <v>45</v>
      </c>
      <c r="G637">
        <v>1203</v>
      </c>
      <c r="H637">
        <v>14</v>
      </c>
      <c r="I637">
        <v>1</v>
      </c>
      <c r="J637">
        <v>3</v>
      </c>
      <c r="K637">
        <v>1.22</v>
      </c>
      <c r="L637">
        <v>1.08</v>
      </c>
      <c r="M637">
        <v>44</v>
      </c>
      <c r="N637">
        <v>232</v>
      </c>
      <c r="O637">
        <f t="shared" si="28"/>
        <v>9.1271820448877813E-2</v>
      </c>
      <c r="P637">
        <f t="shared" si="29"/>
        <v>8.0798004987531175E-2</v>
      </c>
    </row>
    <row r="638" spans="1:16" x14ac:dyDescent="0.25">
      <c r="A638" t="str">
        <f t="shared" si="27"/>
        <v>Amadou Diallo</v>
      </c>
      <c r="B638" t="s">
        <v>107</v>
      </c>
      <c r="C638" t="s">
        <v>831</v>
      </c>
      <c r="D638">
        <v>15</v>
      </c>
      <c r="E638">
        <v>3</v>
      </c>
      <c r="F638">
        <v>45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3</v>
      </c>
      <c r="O638">
        <f t="shared" si="28"/>
        <v>0</v>
      </c>
      <c r="P638">
        <f t="shared" si="29"/>
        <v>0</v>
      </c>
    </row>
    <row r="639" spans="1:16" x14ac:dyDescent="0.25">
      <c r="A639" t="str">
        <f t="shared" si="27"/>
        <v>Ben Parkinson</v>
      </c>
      <c r="B639" t="s">
        <v>159</v>
      </c>
      <c r="C639" t="s">
        <v>1865</v>
      </c>
      <c r="D639">
        <v>15</v>
      </c>
      <c r="E639">
        <v>4</v>
      </c>
      <c r="F639">
        <v>45</v>
      </c>
      <c r="G639">
        <v>24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2</v>
      </c>
      <c r="O639">
        <f t="shared" si="28"/>
        <v>0</v>
      </c>
      <c r="P639">
        <f t="shared" si="29"/>
        <v>0</v>
      </c>
    </row>
    <row r="640" spans="1:16" x14ac:dyDescent="0.25">
      <c r="A640" t="str">
        <f t="shared" si="27"/>
        <v>Michael Ndiweni</v>
      </c>
      <c r="B640" t="s">
        <v>193</v>
      </c>
      <c r="C640" t="s">
        <v>1866</v>
      </c>
      <c r="D640">
        <v>15</v>
      </c>
      <c r="E640">
        <v>4</v>
      </c>
      <c r="F640">
        <v>44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3</v>
      </c>
      <c r="O640">
        <f t="shared" si="28"/>
        <v>0</v>
      </c>
      <c r="P640">
        <f t="shared" si="29"/>
        <v>0</v>
      </c>
    </row>
    <row r="641" spans="1:16" x14ac:dyDescent="0.25">
      <c r="A641" t="str">
        <f t="shared" si="27"/>
        <v>Joe White</v>
      </c>
      <c r="B641" t="s">
        <v>585</v>
      </c>
      <c r="C641" t="s">
        <v>39</v>
      </c>
      <c r="D641">
        <v>15</v>
      </c>
      <c r="E641">
        <v>3</v>
      </c>
      <c r="F641">
        <v>45</v>
      </c>
      <c r="G641">
        <v>12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</v>
      </c>
      <c r="N641">
        <v>9</v>
      </c>
      <c r="O641">
        <f t="shared" si="28"/>
        <v>0</v>
      </c>
      <c r="P641">
        <f t="shared" si="29"/>
        <v>0</v>
      </c>
    </row>
    <row r="642" spans="1:16" x14ac:dyDescent="0.25">
      <c r="A642" t="str">
        <f t="shared" ref="A642:A705" si="30">_xlfn.CONCAT(B642, " ", C642)</f>
        <v>Travis Hernes</v>
      </c>
      <c r="B642" t="s">
        <v>1867</v>
      </c>
      <c r="C642" t="s">
        <v>1868</v>
      </c>
      <c r="D642">
        <v>15</v>
      </c>
      <c r="E642">
        <v>3</v>
      </c>
      <c r="F642">
        <v>45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f t="shared" ref="O642:O705" si="31">IFERROR(K642/G642*90,0)</f>
        <v>0</v>
      </c>
      <c r="P642">
        <f t="shared" ref="P642:P705" si="32">IFERROR(L642/G642*90,0)</f>
        <v>0</v>
      </c>
    </row>
    <row r="643" spans="1:16" x14ac:dyDescent="0.25">
      <c r="A643" t="str">
        <f t="shared" si="30"/>
        <v>Nuno Varela Tavares</v>
      </c>
      <c r="B643" t="s">
        <v>1869</v>
      </c>
      <c r="C643" t="s">
        <v>1870</v>
      </c>
      <c r="D643">
        <v>16</v>
      </c>
      <c r="E643">
        <v>2</v>
      </c>
      <c r="F643">
        <v>40</v>
      </c>
      <c r="G643">
        <v>454</v>
      </c>
      <c r="H643">
        <v>5</v>
      </c>
      <c r="I643">
        <v>0</v>
      </c>
      <c r="J643">
        <v>0</v>
      </c>
      <c r="K643">
        <v>0.16</v>
      </c>
      <c r="L643">
        <v>0.38</v>
      </c>
      <c r="M643">
        <v>11</v>
      </c>
      <c r="N643">
        <v>69</v>
      </c>
      <c r="O643">
        <f t="shared" si="31"/>
        <v>3.1718061674008813E-2</v>
      </c>
      <c r="P643">
        <f t="shared" si="32"/>
        <v>7.5330396475770917E-2</v>
      </c>
    </row>
    <row r="644" spans="1:16" x14ac:dyDescent="0.25">
      <c r="A644" t="str">
        <f t="shared" si="30"/>
        <v>Matt Turner</v>
      </c>
      <c r="B644" t="s">
        <v>259</v>
      </c>
      <c r="C644" t="s">
        <v>1871</v>
      </c>
      <c r="D644">
        <v>16</v>
      </c>
      <c r="E644">
        <v>1</v>
      </c>
      <c r="F644">
        <v>37</v>
      </c>
      <c r="G644">
        <v>1530</v>
      </c>
      <c r="H644">
        <v>17</v>
      </c>
      <c r="I644">
        <v>0</v>
      </c>
      <c r="J644">
        <v>0</v>
      </c>
      <c r="K644">
        <v>0</v>
      </c>
      <c r="L644">
        <v>0</v>
      </c>
      <c r="M644">
        <v>41</v>
      </c>
      <c r="N644">
        <v>278</v>
      </c>
      <c r="O644">
        <f t="shared" si="31"/>
        <v>0</v>
      </c>
      <c r="P644">
        <f t="shared" si="32"/>
        <v>0</v>
      </c>
    </row>
    <row r="645" spans="1:16" x14ac:dyDescent="0.25">
      <c r="A645" t="str">
        <f t="shared" si="30"/>
        <v>Callum Hudson-Odoi</v>
      </c>
      <c r="B645" t="s">
        <v>227</v>
      </c>
      <c r="C645" t="s">
        <v>907</v>
      </c>
      <c r="D645">
        <v>16</v>
      </c>
      <c r="E645">
        <v>3</v>
      </c>
      <c r="F645">
        <v>47</v>
      </c>
      <c r="G645">
        <v>1846</v>
      </c>
      <c r="H645">
        <v>20</v>
      </c>
      <c r="I645">
        <v>8</v>
      </c>
      <c r="J645">
        <v>2</v>
      </c>
      <c r="K645">
        <v>2.65</v>
      </c>
      <c r="L645">
        <v>2.02</v>
      </c>
      <c r="M645">
        <v>109</v>
      </c>
      <c r="N645">
        <v>371</v>
      </c>
      <c r="O645">
        <f t="shared" si="31"/>
        <v>0.12919826652221017</v>
      </c>
      <c r="P645">
        <f t="shared" si="32"/>
        <v>9.8483206933911147E-2</v>
      </c>
    </row>
    <row r="646" spans="1:16" x14ac:dyDescent="0.25">
      <c r="A646" t="str">
        <f t="shared" si="30"/>
        <v>Anthony Elanga</v>
      </c>
      <c r="B646" t="s">
        <v>222</v>
      </c>
      <c r="C646" t="s">
        <v>865</v>
      </c>
      <c r="D646">
        <v>16</v>
      </c>
      <c r="E646">
        <v>3</v>
      </c>
      <c r="F646">
        <v>49</v>
      </c>
      <c r="G646">
        <v>2424</v>
      </c>
      <c r="H646">
        <v>25</v>
      </c>
      <c r="I646">
        <v>5</v>
      </c>
      <c r="J646">
        <v>9</v>
      </c>
      <c r="K646">
        <v>6.2</v>
      </c>
      <c r="L646">
        <v>4.04</v>
      </c>
      <c r="M646">
        <v>119</v>
      </c>
      <c r="N646">
        <v>386</v>
      </c>
      <c r="O646">
        <f t="shared" si="31"/>
        <v>0.23019801980198021</v>
      </c>
      <c r="P646">
        <f t="shared" si="32"/>
        <v>0.15000000000000002</v>
      </c>
    </row>
    <row r="647" spans="1:16" x14ac:dyDescent="0.25">
      <c r="A647" t="str">
        <f t="shared" si="30"/>
        <v>Brandon Aguilera Zamora</v>
      </c>
      <c r="B647" t="s">
        <v>397</v>
      </c>
      <c r="C647" t="s">
        <v>1872</v>
      </c>
      <c r="D647">
        <v>16</v>
      </c>
      <c r="E647">
        <v>3</v>
      </c>
      <c r="F647">
        <v>45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f t="shared" si="31"/>
        <v>0</v>
      </c>
      <c r="P647">
        <f t="shared" si="32"/>
        <v>0</v>
      </c>
    </row>
    <row r="648" spans="1:16" x14ac:dyDescent="0.25">
      <c r="A648" t="str">
        <f t="shared" si="30"/>
        <v>Harry Arter</v>
      </c>
      <c r="B648" t="s">
        <v>270</v>
      </c>
      <c r="C648" t="s">
        <v>1873</v>
      </c>
      <c r="D648">
        <v>16</v>
      </c>
      <c r="E648">
        <v>3</v>
      </c>
      <c r="F648">
        <v>43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t="shared" si="31"/>
        <v>0</v>
      </c>
      <c r="P648">
        <f t="shared" si="32"/>
        <v>0</v>
      </c>
    </row>
    <row r="649" spans="1:16" x14ac:dyDescent="0.25">
      <c r="A649" t="str">
        <f t="shared" si="30"/>
        <v>Serge Aurier</v>
      </c>
      <c r="B649" t="s">
        <v>1874</v>
      </c>
      <c r="C649" t="s">
        <v>1875</v>
      </c>
      <c r="D649">
        <v>16</v>
      </c>
      <c r="E649">
        <v>2</v>
      </c>
      <c r="F649">
        <v>45</v>
      </c>
      <c r="G649">
        <v>831</v>
      </c>
      <c r="H649">
        <v>10</v>
      </c>
      <c r="I649">
        <v>0</v>
      </c>
      <c r="J649">
        <v>2</v>
      </c>
      <c r="K649">
        <v>0.16</v>
      </c>
      <c r="L649">
        <v>0.45</v>
      </c>
      <c r="M649">
        <v>27</v>
      </c>
      <c r="N649">
        <v>137</v>
      </c>
      <c r="O649">
        <f t="shared" si="31"/>
        <v>1.7328519855595668E-2</v>
      </c>
      <c r="P649">
        <f t="shared" si="32"/>
        <v>4.8736462093862815E-2</v>
      </c>
    </row>
    <row r="650" spans="1:16" x14ac:dyDescent="0.25">
      <c r="A650" t="str">
        <f t="shared" si="30"/>
        <v>Taiwo Awoniyi</v>
      </c>
      <c r="B650" t="s">
        <v>405</v>
      </c>
      <c r="C650" t="s">
        <v>406</v>
      </c>
      <c r="D650">
        <v>16</v>
      </c>
      <c r="E650">
        <v>4</v>
      </c>
      <c r="F650">
        <v>63</v>
      </c>
      <c r="G650">
        <v>1036</v>
      </c>
      <c r="H650">
        <v>12</v>
      </c>
      <c r="I650">
        <v>6</v>
      </c>
      <c r="J650">
        <v>3</v>
      </c>
      <c r="K650">
        <v>4.8499999999999996</v>
      </c>
      <c r="L650">
        <v>0.9</v>
      </c>
      <c r="M650">
        <v>67</v>
      </c>
      <c r="N650">
        <v>247</v>
      </c>
      <c r="O650">
        <f t="shared" si="31"/>
        <v>0.42133204633204635</v>
      </c>
      <c r="P650">
        <f t="shared" si="32"/>
        <v>7.8185328185328196E-2</v>
      </c>
    </row>
    <row r="651" spans="1:16" x14ac:dyDescent="0.25">
      <c r="A651" t="str">
        <f t="shared" si="30"/>
        <v>Giulian Biancone</v>
      </c>
      <c r="B651" t="s">
        <v>1876</v>
      </c>
      <c r="C651" t="s">
        <v>1877</v>
      </c>
      <c r="D651">
        <v>16</v>
      </c>
      <c r="E651">
        <v>2</v>
      </c>
      <c r="F651">
        <v>39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f t="shared" si="31"/>
        <v>0</v>
      </c>
      <c r="P651">
        <f t="shared" si="32"/>
        <v>0</v>
      </c>
    </row>
    <row r="652" spans="1:16" x14ac:dyDescent="0.25">
      <c r="A652" t="str">
        <f t="shared" si="30"/>
        <v>Willy Boly</v>
      </c>
      <c r="B652" t="s">
        <v>1834</v>
      </c>
      <c r="C652" t="s">
        <v>1878</v>
      </c>
      <c r="D652">
        <v>16</v>
      </c>
      <c r="E652">
        <v>2</v>
      </c>
      <c r="F652">
        <v>45</v>
      </c>
      <c r="G652">
        <v>1437</v>
      </c>
      <c r="H652">
        <v>18</v>
      </c>
      <c r="I652">
        <v>2</v>
      </c>
      <c r="J652">
        <v>1</v>
      </c>
      <c r="K652">
        <v>1.56</v>
      </c>
      <c r="L652">
        <v>0.77</v>
      </c>
      <c r="M652">
        <v>58</v>
      </c>
      <c r="N652">
        <v>275</v>
      </c>
      <c r="O652">
        <f t="shared" si="31"/>
        <v>9.7703549060542794E-2</v>
      </c>
      <c r="P652">
        <f t="shared" si="32"/>
        <v>4.8225469728601256E-2</v>
      </c>
    </row>
    <row r="653" spans="1:16" x14ac:dyDescent="0.25">
      <c r="A653" t="str">
        <f t="shared" si="30"/>
        <v>Josh Bowler</v>
      </c>
      <c r="B653" t="s">
        <v>219</v>
      </c>
      <c r="C653" t="s">
        <v>1879</v>
      </c>
      <c r="D653">
        <v>16</v>
      </c>
      <c r="E653">
        <v>3</v>
      </c>
      <c r="F653">
        <v>45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t="shared" si="31"/>
        <v>0</v>
      </c>
      <c r="P653">
        <f t="shared" si="32"/>
        <v>0</v>
      </c>
    </row>
    <row r="654" spans="1:16" x14ac:dyDescent="0.25">
      <c r="A654" t="str">
        <f t="shared" si="30"/>
        <v>Steve Cook</v>
      </c>
      <c r="B654" t="s">
        <v>1880</v>
      </c>
      <c r="C654" t="s">
        <v>158</v>
      </c>
      <c r="D654">
        <v>16</v>
      </c>
      <c r="E654">
        <v>2</v>
      </c>
      <c r="F654">
        <v>45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f t="shared" si="31"/>
        <v>0</v>
      </c>
      <c r="P654">
        <f t="shared" si="32"/>
        <v>0</v>
      </c>
    </row>
    <row r="655" spans="1:16" x14ac:dyDescent="0.25">
      <c r="A655" t="str">
        <f t="shared" si="30"/>
        <v>Danilo dos Santos de Oliveira</v>
      </c>
      <c r="B655" t="s">
        <v>1881</v>
      </c>
      <c r="C655" t="s">
        <v>1882</v>
      </c>
      <c r="D655">
        <v>16</v>
      </c>
      <c r="E655">
        <v>3</v>
      </c>
      <c r="F655">
        <v>53</v>
      </c>
      <c r="G655">
        <v>1787</v>
      </c>
      <c r="H655">
        <v>20</v>
      </c>
      <c r="I655">
        <v>2</v>
      </c>
      <c r="J655">
        <v>2</v>
      </c>
      <c r="K655">
        <v>1.82</v>
      </c>
      <c r="L655">
        <v>0.94</v>
      </c>
      <c r="M655">
        <v>65</v>
      </c>
      <c r="N655">
        <v>302</v>
      </c>
      <c r="O655">
        <f t="shared" si="31"/>
        <v>9.1662003357582539E-2</v>
      </c>
      <c r="P655">
        <f t="shared" si="32"/>
        <v>4.7341913822048123E-2</v>
      </c>
    </row>
    <row r="656" spans="1:16" x14ac:dyDescent="0.25">
      <c r="A656" t="str">
        <f t="shared" si="30"/>
        <v>Emmanuel Dennis</v>
      </c>
      <c r="B656" t="s">
        <v>344</v>
      </c>
      <c r="C656" t="s">
        <v>134</v>
      </c>
      <c r="D656">
        <v>16</v>
      </c>
      <c r="E656">
        <v>4</v>
      </c>
      <c r="F656">
        <v>48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f t="shared" si="31"/>
        <v>0</v>
      </c>
      <c r="P656">
        <f t="shared" si="32"/>
        <v>0</v>
      </c>
    </row>
    <row r="657" spans="1:16" x14ac:dyDescent="0.25">
      <c r="A657" t="str">
        <f t="shared" si="30"/>
        <v>Mohamed Dräger</v>
      </c>
      <c r="B657" t="s">
        <v>561</v>
      </c>
      <c r="C657" t="s">
        <v>1883</v>
      </c>
      <c r="D657">
        <v>16</v>
      </c>
      <c r="E657">
        <v>2</v>
      </c>
      <c r="F657">
        <v>40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t="shared" si="31"/>
        <v>0</v>
      </c>
      <c r="P657">
        <f t="shared" si="32"/>
        <v>0</v>
      </c>
    </row>
    <row r="658" spans="1:16" x14ac:dyDescent="0.25">
      <c r="A658" t="str">
        <f t="shared" si="30"/>
        <v>Felipe Augusto de Almeida Monteiro</v>
      </c>
      <c r="B658" t="s">
        <v>1884</v>
      </c>
      <c r="C658" t="s">
        <v>1885</v>
      </c>
      <c r="D658">
        <v>16</v>
      </c>
      <c r="E658">
        <v>2</v>
      </c>
      <c r="F658">
        <v>44</v>
      </c>
      <c r="G658">
        <v>372</v>
      </c>
      <c r="H658">
        <v>4</v>
      </c>
      <c r="I658">
        <v>0</v>
      </c>
      <c r="J658">
        <v>0</v>
      </c>
      <c r="K658">
        <v>0.12</v>
      </c>
      <c r="L658">
        <v>0.03</v>
      </c>
      <c r="M658">
        <v>7</v>
      </c>
      <c r="N658">
        <v>59</v>
      </c>
      <c r="O658">
        <f t="shared" si="31"/>
        <v>2.903225806451613E-2</v>
      </c>
      <c r="P658">
        <f t="shared" si="32"/>
        <v>7.2580645161290326E-3</v>
      </c>
    </row>
    <row r="659" spans="1:16" x14ac:dyDescent="0.25">
      <c r="A659" t="str">
        <f t="shared" si="30"/>
        <v>Remo Freuler</v>
      </c>
      <c r="B659" t="s">
        <v>1886</v>
      </c>
      <c r="C659" t="s">
        <v>1887</v>
      </c>
      <c r="D659">
        <v>16</v>
      </c>
      <c r="E659">
        <v>3</v>
      </c>
      <c r="F659">
        <v>49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t="shared" si="31"/>
        <v>0</v>
      </c>
      <c r="P659">
        <f t="shared" si="32"/>
        <v>0</v>
      </c>
    </row>
    <row r="660" spans="1:16" x14ac:dyDescent="0.25">
      <c r="A660" t="str">
        <f t="shared" si="30"/>
        <v>Morgan Gibbs-White</v>
      </c>
      <c r="B660" t="s">
        <v>287</v>
      </c>
      <c r="C660" t="s">
        <v>906</v>
      </c>
      <c r="D660">
        <v>16</v>
      </c>
      <c r="E660">
        <v>3</v>
      </c>
      <c r="F660">
        <v>57</v>
      </c>
      <c r="G660">
        <v>3156</v>
      </c>
      <c r="H660">
        <v>35</v>
      </c>
      <c r="I660">
        <v>5</v>
      </c>
      <c r="J660">
        <v>12</v>
      </c>
      <c r="K660">
        <v>6.65</v>
      </c>
      <c r="L660">
        <v>6.79</v>
      </c>
      <c r="M660">
        <v>142</v>
      </c>
      <c r="N660">
        <v>563</v>
      </c>
      <c r="O660">
        <f t="shared" si="31"/>
        <v>0.189638783269962</v>
      </c>
      <c r="P660">
        <f t="shared" si="32"/>
        <v>0.19363117870722432</v>
      </c>
    </row>
    <row r="661" spans="1:16" x14ac:dyDescent="0.25">
      <c r="A661" t="str">
        <f t="shared" si="30"/>
        <v>Wayne Hennessey</v>
      </c>
      <c r="B661" t="s">
        <v>1888</v>
      </c>
      <c r="C661" t="s">
        <v>1889</v>
      </c>
      <c r="D661">
        <v>16</v>
      </c>
      <c r="E661">
        <v>1</v>
      </c>
      <c r="F661">
        <v>39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f t="shared" si="31"/>
        <v>0</v>
      </c>
      <c r="P661">
        <f t="shared" si="32"/>
        <v>0</v>
      </c>
    </row>
    <row r="662" spans="1:16" x14ac:dyDescent="0.25">
      <c r="A662" t="str">
        <f t="shared" si="30"/>
        <v>Ethan Horvath</v>
      </c>
      <c r="B662" t="s">
        <v>59</v>
      </c>
      <c r="C662" t="s">
        <v>1890</v>
      </c>
      <c r="D662">
        <v>16</v>
      </c>
      <c r="E662">
        <v>1</v>
      </c>
      <c r="F662">
        <v>43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f t="shared" si="31"/>
        <v>0</v>
      </c>
      <c r="P662">
        <f t="shared" si="32"/>
        <v>0</v>
      </c>
    </row>
    <row r="663" spans="1:16" x14ac:dyDescent="0.25">
      <c r="A663" t="str">
        <f t="shared" si="30"/>
        <v>Cheikhou Kouyaté</v>
      </c>
      <c r="B663" t="s">
        <v>1891</v>
      </c>
      <c r="C663" t="s">
        <v>1892</v>
      </c>
      <c r="D663">
        <v>16</v>
      </c>
      <c r="E663">
        <v>3</v>
      </c>
      <c r="F663">
        <v>48</v>
      </c>
      <c r="G663">
        <v>206</v>
      </c>
      <c r="H663">
        <v>2</v>
      </c>
      <c r="I663">
        <v>0</v>
      </c>
      <c r="J663">
        <v>0</v>
      </c>
      <c r="K663">
        <v>0.25</v>
      </c>
      <c r="L663">
        <v>0.04</v>
      </c>
      <c r="M663">
        <v>12</v>
      </c>
      <c r="N663">
        <v>32</v>
      </c>
      <c r="O663">
        <f t="shared" si="31"/>
        <v>0.10922330097087378</v>
      </c>
      <c r="P663">
        <f t="shared" si="32"/>
        <v>1.7475728155339806E-2</v>
      </c>
    </row>
    <row r="664" spans="1:16" x14ac:dyDescent="0.25">
      <c r="A664" t="str">
        <f t="shared" si="30"/>
        <v>Richie Laryea</v>
      </c>
      <c r="B664" t="s">
        <v>1893</v>
      </c>
      <c r="C664" t="s">
        <v>1894</v>
      </c>
      <c r="D664">
        <v>16</v>
      </c>
      <c r="E664">
        <v>2</v>
      </c>
      <c r="F664">
        <v>45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f t="shared" si="31"/>
        <v>0</v>
      </c>
      <c r="P664">
        <f t="shared" si="32"/>
        <v>0</v>
      </c>
    </row>
    <row r="665" spans="1:16" x14ac:dyDescent="0.25">
      <c r="A665" t="str">
        <f t="shared" si="30"/>
        <v>Orel Mangala</v>
      </c>
      <c r="B665" t="s">
        <v>1895</v>
      </c>
      <c r="C665" t="s">
        <v>1896</v>
      </c>
      <c r="D665">
        <v>16</v>
      </c>
      <c r="E665">
        <v>3</v>
      </c>
      <c r="F665">
        <v>50</v>
      </c>
      <c r="G665">
        <v>1562</v>
      </c>
      <c r="H665">
        <v>19</v>
      </c>
      <c r="I665">
        <v>1</v>
      </c>
      <c r="J665">
        <v>0</v>
      </c>
      <c r="K665">
        <v>0.77</v>
      </c>
      <c r="L665">
        <v>0.28000000000000003</v>
      </c>
      <c r="M665">
        <v>40</v>
      </c>
      <c r="N665">
        <v>186</v>
      </c>
      <c r="O665">
        <f t="shared" si="31"/>
        <v>4.4366197183098588E-2</v>
      </c>
      <c r="P665">
        <f t="shared" si="32"/>
        <v>1.6133162612035852E-2</v>
      </c>
    </row>
    <row r="666" spans="1:16" x14ac:dyDescent="0.25">
      <c r="A666" t="str">
        <f t="shared" si="30"/>
        <v>Loïc Mbe Soh</v>
      </c>
      <c r="B666" t="s">
        <v>1897</v>
      </c>
      <c r="C666" t="s">
        <v>1898</v>
      </c>
      <c r="D666">
        <v>16</v>
      </c>
      <c r="E666">
        <v>2</v>
      </c>
      <c r="F666">
        <v>40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f t="shared" si="31"/>
        <v>0</v>
      </c>
      <c r="P666">
        <f t="shared" si="32"/>
        <v>0</v>
      </c>
    </row>
    <row r="667" spans="1:16" x14ac:dyDescent="0.25">
      <c r="A667" t="str">
        <f t="shared" si="30"/>
        <v>Scott McKenna</v>
      </c>
      <c r="B667" t="s">
        <v>154</v>
      </c>
      <c r="C667" t="s">
        <v>1380</v>
      </c>
      <c r="D667">
        <v>16</v>
      </c>
      <c r="E667">
        <v>2</v>
      </c>
      <c r="F667">
        <v>44</v>
      </c>
      <c r="G667">
        <v>416</v>
      </c>
      <c r="H667">
        <v>5</v>
      </c>
      <c r="I667">
        <v>0</v>
      </c>
      <c r="J667">
        <v>0</v>
      </c>
      <c r="K667">
        <v>0.21</v>
      </c>
      <c r="L667">
        <v>0.17</v>
      </c>
      <c r="M667">
        <v>12</v>
      </c>
      <c r="N667">
        <v>64</v>
      </c>
      <c r="O667">
        <f t="shared" si="31"/>
        <v>4.5432692307692306E-2</v>
      </c>
      <c r="P667">
        <f t="shared" si="32"/>
        <v>3.6778846153846155E-2</v>
      </c>
    </row>
    <row r="668" spans="1:16" x14ac:dyDescent="0.25">
      <c r="A668" t="str">
        <f t="shared" si="30"/>
        <v>Alex Mighten</v>
      </c>
      <c r="B668" t="s">
        <v>153</v>
      </c>
      <c r="C668" t="s">
        <v>1899</v>
      </c>
      <c r="D668">
        <v>16</v>
      </c>
      <c r="E668">
        <v>3</v>
      </c>
      <c r="F668">
        <v>44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f t="shared" si="31"/>
        <v>0</v>
      </c>
      <c r="P668">
        <f t="shared" si="32"/>
        <v>0</v>
      </c>
    </row>
    <row r="669" spans="1:16" x14ac:dyDescent="0.25">
      <c r="A669" t="str">
        <f t="shared" si="30"/>
        <v>Moussa Niakhaté</v>
      </c>
      <c r="B669" t="s">
        <v>1325</v>
      </c>
      <c r="C669" t="s">
        <v>1900</v>
      </c>
      <c r="D669">
        <v>16</v>
      </c>
      <c r="E669">
        <v>2</v>
      </c>
      <c r="F669">
        <v>45</v>
      </c>
      <c r="G669">
        <v>1456</v>
      </c>
      <c r="H669">
        <v>15</v>
      </c>
      <c r="I669">
        <v>1</v>
      </c>
      <c r="J669">
        <v>0</v>
      </c>
      <c r="K669">
        <v>1.3</v>
      </c>
      <c r="L669">
        <v>0.25</v>
      </c>
      <c r="M669">
        <v>29</v>
      </c>
      <c r="N669">
        <v>238</v>
      </c>
      <c r="O669">
        <f t="shared" si="31"/>
        <v>8.0357142857142863E-2</v>
      </c>
      <c r="P669">
        <f t="shared" si="32"/>
        <v>1.5453296703296704E-2</v>
      </c>
    </row>
    <row r="670" spans="1:16" x14ac:dyDescent="0.25">
      <c r="A670" t="str">
        <f t="shared" si="30"/>
        <v>Lewis O'Brien</v>
      </c>
      <c r="B670" t="s">
        <v>157</v>
      </c>
      <c r="C670" t="s">
        <v>479</v>
      </c>
      <c r="D670">
        <v>16</v>
      </c>
      <c r="E670">
        <v>3</v>
      </c>
      <c r="F670">
        <v>49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t="shared" si="31"/>
        <v>0</v>
      </c>
      <c r="P670">
        <f t="shared" si="32"/>
        <v>0</v>
      </c>
    </row>
    <row r="671" spans="1:16" x14ac:dyDescent="0.25">
      <c r="A671" t="str">
        <f t="shared" si="30"/>
        <v>Braian Ojeda Rodríguez</v>
      </c>
      <c r="B671" t="s">
        <v>1901</v>
      </c>
      <c r="C671" t="s">
        <v>1902</v>
      </c>
      <c r="D671">
        <v>16</v>
      </c>
      <c r="E671">
        <v>3</v>
      </c>
      <c r="F671">
        <v>45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t="shared" si="31"/>
        <v>0</v>
      </c>
      <c r="P671">
        <f t="shared" si="32"/>
        <v>0</v>
      </c>
    </row>
    <row r="672" spans="1:16" x14ac:dyDescent="0.25">
      <c r="A672" t="str">
        <f t="shared" si="30"/>
        <v>Jonathan Panzo</v>
      </c>
      <c r="B672" t="s">
        <v>1903</v>
      </c>
      <c r="C672" t="s">
        <v>1904</v>
      </c>
      <c r="D672">
        <v>16</v>
      </c>
      <c r="E672">
        <v>2</v>
      </c>
      <c r="F672">
        <v>40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f t="shared" si="31"/>
        <v>0</v>
      </c>
      <c r="P672">
        <f t="shared" si="32"/>
        <v>0</v>
      </c>
    </row>
    <row r="673" spans="1:16" x14ac:dyDescent="0.25">
      <c r="A673" t="str">
        <f t="shared" si="30"/>
        <v>Omar Richards</v>
      </c>
      <c r="B673" t="s">
        <v>774</v>
      </c>
      <c r="C673" t="s">
        <v>419</v>
      </c>
      <c r="D673">
        <v>16</v>
      </c>
      <c r="E673">
        <v>2</v>
      </c>
      <c r="F673">
        <v>44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f t="shared" si="31"/>
        <v>0</v>
      </c>
      <c r="P673">
        <f t="shared" si="32"/>
        <v>0</v>
      </c>
    </row>
    <row r="674" spans="1:16" x14ac:dyDescent="0.25">
      <c r="A674" t="str">
        <f t="shared" si="30"/>
        <v>Gustavo Henrique Furtado Scarpa</v>
      </c>
      <c r="B674" t="s">
        <v>1905</v>
      </c>
      <c r="C674" t="s">
        <v>1906</v>
      </c>
      <c r="D674">
        <v>16</v>
      </c>
      <c r="E674">
        <v>3</v>
      </c>
      <c r="F674">
        <v>45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f t="shared" si="31"/>
        <v>0</v>
      </c>
      <c r="P674">
        <f t="shared" si="32"/>
        <v>0</v>
      </c>
    </row>
    <row r="675" spans="1:16" x14ac:dyDescent="0.25">
      <c r="A675" t="str">
        <f t="shared" si="30"/>
        <v>Jonjo Shelvey</v>
      </c>
      <c r="B675" t="s">
        <v>1907</v>
      </c>
      <c r="C675" t="s">
        <v>1908</v>
      </c>
      <c r="D675">
        <v>16</v>
      </c>
      <c r="E675">
        <v>3</v>
      </c>
      <c r="F675">
        <v>48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t="shared" si="31"/>
        <v>0</v>
      </c>
      <c r="P675">
        <f t="shared" si="32"/>
        <v>0</v>
      </c>
    </row>
    <row r="676" spans="1:16" x14ac:dyDescent="0.25">
      <c r="A676" t="str">
        <f t="shared" si="30"/>
        <v>Sam Surridge</v>
      </c>
      <c r="B676" t="s">
        <v>632</v>
      </c>
      <c r="C676" t="s">
        <v>1909</v>
      </c>
      <c r="D676">
        <v>16</v>
      </c>
      <c r="E676">
        <v>4</v>
      </c>
      <c r="F676">
        <v>45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t="shared" si="31"/>
        <v>0</v>
      </c>
      <c r="P676">
        <f t="shared" si="32"/>
        <v>0</v>
      </c>
    </row>
    <row r="677" spans="1:16" x14ac:dyDescent="0.25">
      <c r="A677" t="str">
        <f t="shared" si="30"/>
        <v>Harry Toffolo</v>
      </c>
      <c r="B677" t="s">
        <v>270</v>
      </c>
      <c r="C677" t="s">
        <v>1910</v>
      </c>
      <c r="D677">
        <v>16</v>
      </c>
      <c r="E677">
        <v>2</v>
      </c>
      <c r="F677">
        <v>44</v>
      </c>
      <c r="G677">
        <v>1452</v>
      </c>
      <c r="H677">
        <v>15</v>
      </c>
      <c r="I677">
        <v>1</v>
      </c>
      <c r="J677">
        <v>3</v>
      </c>
      <c r="K677">
        <v>1.1000000000000001</v>
      </c>
      <c r="L677">
        <v>1.1399999999999999</v>
      </c>
      <c r="M677">
        <v>52</v>
      </c>
      <c r="N677">
        <v>263</v>
      </c>
      <c r="O677">
        <f t="shared" si="31"/>
        <v>6.8181818181818191E-2</v>
      </c>
      <c r="P677">
        <f t="shared" si="32"/>
        <v>7.0661157024793392E-2</v>
      </c>
    </row>
    <row r="678" spans="1:16" x14ac:dyDescent="0.25">
      <c r="A678" t="str">
        <f t="shared" si="30"/>
        <v>Hwang Ui-jo</v>
      </c>
      <c r="B678" t="s">
        <v>1911</v>
      </c>
      <c r="C678" t="s">
        <v>1912</v>
      </c>
      <c r="D678">
        <v>16</v>
      </c>
      <c r="E678">
        <v>4</v>
      </c>
      <c r="F678">
        <v>44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f t="shared" si="31"/>
        <v>0</v>
      </c>
      <c r="P678">
        <f t="shared" si="32"/>
        <v>0</v>
      </c>
    </row>
    <row r="679" spans="1:16" x14ac:dyDescent="0.25">
      <c r="A679" t="str">
        <f t="shared" si="30"/>
        <v>Neco Williams</v>
      </c>
      <c r="B679" t="s">
        <v>887</v>
      </c>
      <c r="C679" t="s">
        <v>888</v>
      </c>
      <c r="D679">
        <v>16</v>
      </c>
      <c r="E679">
        <v>2</v>
      </c>
      <c r="F679">
        <v>43</v>
      </c>
      <c r="G679">
        <v>1630</v>
      </c>
      <c r="H679">
        <v>18</v>
      </c>
      <c r="I679">
        <v>0</v>
      </c>
      <c r="J679">
        <v>1</v>
      </c>
      <c r="K679">
        <v>0.74</v>
      </c>
      <c r="L679">
        <v>1.54</v>
      </c>
      <c r="M679">
        <v>39</v>
      </c>
      <c r="N679">
        <v>224</v>
      </c>
      <c r="O679">
        <f t="shared" si="31"/>
        <v>4.0858895705521474E-2</v>
      </c>
      <c r="P679">
        <f t="shared" si="32"/>
        <v>8.503067484662577E-2</v>
      </c>
    </row>
    <row r="680" spans="1:16" x14ac:dyDescent="0.25">
      <c r="A680" t="str">
        <f t="shared" si="30"/>
        <v>Chris Wood</v>
      </c>
      <c r="B680" t="s">
        <v>418</v>
      </c>
      <c r="C680" t="s">
        <v>918</v>
      </c>
      <c r="D680">
        <v>16</v>
      </c>
      <c r="E680">
        <v>4</v>
      </c>
      <c r="F680">
        <v>47</v>
      </c>
      <c r="G680">
        <v>1801</v>
      </c>
      <c r="H680">
        <v>20</v>
      </c>
      <c r="I680">
        <v>14</v>
      </c>
      <c r="J680">
        <v>1</v>
      </c>
      <c r="K680">
        <v>11.71</v>
      </c>
      <c r="L680">
        <v>0.92</v>
      </c>
      <c r="M680">
        <v>131</v>
      </c>
      <c r="N680">
        <v>456</v>
      </c>
      <c r="O680">
        <f t="shared" si="31"/>
        <v>0.58517490283176021</v>
      </c>
      <c r="P680">
        <f t="shared" si="32"/>
        <v>4.597445863409217E-2</v>
      </c>
    </row>
    <row r="681" spans="1:16" x14ac:dyDescent="0.25">
      <c r="A681" t="str">
        <f t="shared" si="30"/>
        <v>Joe Worrall</v>
      </c>
      <c r="B681" t="s">
        <v>585</v>
      </c>
      <c r="C681" t="s">
        <v>1913</v>
      </c>
      <c r="D681">
        <v>16</v>
      </c>
      <c r="E681">
        <v>2</v>
      </c>
      <c r="F681">
        <v>43</v>
      </c>
      <c r="G681">
        <v>438</v>
      </c>
      <c r="H681">
        <v>5</v>
      </c>
      <c r="I681">
        <v>0</v>
      </c>
      <c r="J681">
        <v>0</v>
      </c>
      <c r="K681">
        <v>0.1</v>
      </c>
      <c r="L681">
        <v>0.31</v>
      </c>
      <c r="M681">
        <v>13</v>
      </c>
      <c r="N681">
        <v>74</v>
      </c>
      <c r="O681">
        <f t="shared" si="31"/>
        <v>2.0547945205479454E-2</v>
      </c>
      <c r="P681">
        <f t="shared" si="32"/>
        <v>6.3698630136986303E-2</v>
      </c>
    </row>
    <row r="682" spans="1:16" x14ac:dyDescent="0.25">
      <c r="A682" t="str">
        <f t="shared" si="30"/>
        <v>Ryan Yates</v>
      </c>
      <c r="B682" t="s">
        <v>164</v>
      </c>
      <c r="C682" t="s">
        <v>917</v>
      </c>
      <c r="D682">
        <v>16</v>
      </c>
      <c r="E682">
        <v>3</v>
      </c>
      <c r="F682">
        <v>48</v>
      </c>
      <c r="G682">
        <v>1979</v>
      </c>
      <c r="H682">
        <v>21</v>
      </c>
      <c r="I682">
        <v>1</v>
      </c>
      <c r="J682">
        <v>1</v>
      </c>
      <c r="K682">
        <v>2.78</v>
      </c>
      <c r="L682">
        <v>0.59</v>
      </c>
      <c r="M682">
        <v>59</v>
      </c>
      <c r="N682">
        <v>235</v>
      </c>
      <c r="O682">
        <f t="shared" si="31"/>
        <v>0.1264274886306215</v>
      </c>
      <c r="P682">
        <f t="shared" si="32"/>
        <v>2.6831733198585141E-2</v>
      </c>
    </row>
    <row r="683" spans="1:16" x14ac:dyDescent="0.25">
      <c r="A683" t="str">
        <f t="shared" si="30"/>
        <v>Olu Aina</v>
      </c>
      <c r="B683" t="s">
        <v>1914</v>
      </c>
      <c r="C683" t="s">
        <v>896</v>
      </c>
      <c r="D683">
        <v>16</v>
      </c>
      <c r="E683">
        <v>2</v>
      </c>
      <c r="F683">
        <v>45</v>
      </c>
      <c r="G683">
        <v>1690</v>
      </c>
      <c r="H683">
        <v>20</v>
      </c>
      <c r="I683">
        <v>1</v>
      </c>
      <c r="J683">
        <v>1</v>
      </c>
      <c r="K683">
        <v>0.34</v>
      </c>
      <c r="L683">
        <v>1.01</v>
      </c>
      <c r="M683">
        <v>45</v>
      </c>
      <c r="N683">
        <v>289</v>
      </c>
      <c r="O683">
        <f t="shared" si="31"/>
        <v>1.8106508875739644E-2</v>
      </c>
      <c r="P683">
        <f t="shared" si="32"/>
        <v>5.3786982248520708E-2</v>
      </c>
    </row>
    <row r="684" spans="1:16" x14ac:dyDescent="0.25">
      <c r="A684" t="str">
        <f t="shared" si="30"/>
        <v>George Shelvey</v>
      </c>
      <c r="B684" t="s">
        <v>113</v>
      </c>
      <c r="C684" t="s">
        <v>1908</v>
      </c>
      <c r="D684">
        <v>16</v>
      </c>
      <c r="E684">
        <v>1</v>
      </c>
      <c r="F684">
        <v>39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f t="shared" si="31"/>
        <v>0</v>
      </c>
      <c r="P684">
        <f t="shared" si="32"/>
        <v>0</v>
      </c>
    </row>
    <row r="685" spans="1:16" x14ac:dyDescent="0.25">
      <c r="A685" t="str">
        <f t="shared" si="30"/>
        <v>Josh Powell</v>
      </c>
      <c r="B685" t="s">
        <v>219</v>
      </c>
      <c r="C685" t="s">
        <v>1915</v>
      </c>
      <c r="D685">
        <v>16</v>
      </c>
      <c r="E685">
        <v>2</v>
      </c>
      <c r="F685">
        <v>39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t="shared" si="31"/>
        <v>0</v>
      </c>
      <c r="P685">
        <f t="shared" si="32"/>
        <v>0</v>
      </c>
    </row>
    <row r="686" spans="1:16" x14ac:dyDescent="0.25">
      <c r="A686" t="str">
        <f t="shared" si="30"/>
        <v>Gonzalo Montiel</v>
      </c>
      <c r="B686" t="s">
        <v>535</v>
      </c>
      <c r="C686" t="s">
        <v>1916</v>
      </c>
      <c r="D686">
        <v>16</v>
      </c>
      <c r="E686">
        <v>2</v>
      </c>
      <c r="F686">
        <v>44</v>
      </c>
      <c r="G686">
        <v>796</v>
      </c>
      <c r="H686">
        <v>8</v>
      </c>
      <c r="I686">
        <v>0</v>
      </c>
      <c r="J686">
        <v>2</v>
      </c>
      <c r="K686">
        <v>0.11</v>
      </c>
      <c r="L686">
        <v>0.79</v>
      </c>
      <c r="M686">
        <v>28</v>
      </c>
      <c r="N686">
        <v>152</v>
      </c>
      <c r="O686">
        <f t="shared" si="31"/>
        <v>1.243718592964824E-2</v>
      </c>
      <c r="P686">
        <f t="shared" si="32"/>
        <v>8.932160804020102E-2</v>
      </c>
    </row>
    <row r="687" spans="1:16" x14ac:dyDescent="0.25">
      <c r="A687" t="str">
        <f t="shared" si="30"/>
        <v>Murillo Santiago Costa dos Santos</v>
      </c>
      <c r="B687" t="s">
        <v>893</v>
      </c>
      <c r="C687" t="s">
        <v>1917</v>
      </c>
      <c r="D687">
        <v>16</v>
      </c>
      <c r="E687">
        <v>2</v>
      </c>
      <c r="F687">
        <v>45</v>
      </c>
      <c r="G687">
        <v>2790</v>
      </c>
      <c r="H687">
        <v>32</v>
      </c>
      <c r="I687">
        <v>0</v>
      </c>
      <c r="J687">
        <v>2</v>
      </c>
      <c r="K687">
        <v>1.78</v>
      </c>
      <c r="L687">
        <v>0.64</v>
      </c>
      <c r="M687">
        <v>58</v>
      </c>
      <c r="N687">
        <v>451</v>
      </c>
      <c r="O687">
        <f t="shared" si="31"/>
        <v>5.7419354838709684E-2</v>
      </c>
      <c r="P687">
        <f t="shared" si="32"/>
        <v>2.0645161290322581E-2</v>
      </c>
    </row>
    <row r="688" spans="1:16" x14ac:dyDescent="0.25">
      <c r="A688" t="str">
        <f t="shared" si="30"/>
        <v>Odysseas Vlachodimos</v>
      </c>
      <c r="B688" t="s">
        <v>1918</v>
      </c>
      <c r="C688" t="s">
        <v>1919</v>
      </c>
      <c r="D688">
        <v>16</v>
      </c>
      <c r="E688">
        <v>1</v>
      </c>
      <c r="F688">
        <v>45</v>
      </c>
      <c r="G688">
        <v>450</v>
      </c>
      <c r="H688">
        <v>5</v>
      </c>
      <c r="I688">
        <v>0</v>
      </c>
      <c r="J688">
        <v>0</v>
      </c>
      <c r="K688">
        <v>0</v>
      </c>
      <c r="L688">
        <v>0.01</v>
      </c>
      <c r="M688">
        <v>12</v>
      </c>
      <c r="N688">
        <v>79</v>
      </c>
      <c r="O688">
        <f t="shared" si="31"/>
        <v>0</v>
      </c>
      <c r="P688">
        <f t="shared" si="32"/>
        <v>2E-3</v>
      </c>
    </row>
    <row r="689" spans="1:16" x14ac:dyDescent="0.25">
      <c r="A689" t="str">
        <f t="shared" si="30"/>
        <v>Andrew Omobamidele</v>
      </c>
      <c r="B689" t="s">
        <v>945</v>
      </c>
      <c r="C689" t="s">
        <v>1920</v>
      </c>
      <c r="D689">
        <v>16</v>
      </c>
      <c r="E689">
        <v>2</v>
      </c>
      <c r="F689">
        <v>45</v>
      </c>
      <c r="G689">
        <v>782</v>
      </c>
      <c r="H689">
        <v>8</v>
      </c>
      <c r="I689">
        <v>0</v>
      </c>
      <c r="J689">
        <v>0</v>
      </c>
      <c r="K689">
        <v>0.14000000000000001</v>
      </c>
      <c r="L689">
        <v>0.02</v>
      </c>
      <c r="M689">
        <v>11</v>
      </c>
      <c r="N689">
        <v>94</v>
      </c>
      <c r="O689">
        <f t="shared" si="31"/>
        <v>1.6112531969309465E-2</v>
      </c>
      <c r="P689">
        <f t="shared" si="32"/>
        <v>2.3017902813299235E-3</v>
      </c>
    </row>
    <row r="690" spans="1:16" x14ac:dyDescent="0.25">
      <c r="A690" t="str">
        <f t="shared" si="30"/>
        <v>Nicolás Domínguez</v>
      </c>
      <c r="B690" t="s">
        <v>914</v>
      </c>
      <c r="C690" t="s">
        <v>915</v>
      </c>
      <c r="D690">
        <v>16</v>
      </c>
      <c r="E690">
        <v>3</v>
      </c>
      <c r="F690">
        <v>50</v>
      </c>
      <c r="G690">
        <v>1489</v>
      </c>
      <c r="H690">
        <v>19</v>
      </c>
      <c r="I690">
        <v>2</v>
      </c>
      <c r="J690">
        <v>2</v>
      </c>
      <c r="K690">
        <v>1.3</v>
      </c>
      <c r="L690">
        <v>1.1399999999999999</v>
      </c>
      <c r="M690">
        <v>67</v>
      </c>
      <c r="N690">
        <v>276</v>
      </c>
      <c r="O690">
        <f t="shared" si="31"/>
        <v>7.8576225654801879E-2</v>
      </c>
      <c r="P690">
        <f t="shared" si="32"/>
        <v>6.8905305574210873E-2</v>
      </c>
    </row>
    <row r="691" spans="1:16" x14ac:dyDescent="0.25">
      <c r="A691" t="str">
        <f t="shared" si="30"/>
        <v>Ibrahim Sangaré</v>
      </c>
      <c r="B691" t="s">
        <v>916</v>
      </c>
      <c r="C691" t="s">
        <v>230</v>
      </c>
      <c r="D691">
        <v>16</v>
      </c>
      <c r="E691">
        <v>3</v>
      </c>
      <c r="F691">
        <v>49</v>
      </c>
      <c r="G691">
        <v>1031</v>
      </c>
      <c r="H691">
        <v>13</v>
      </c>
      <c r="I691">
        <v>0</v>
      </c>
      <c r="J691">
        <v>0</v>
      </c>
      <c r="K691">
        <v>0.67</v>
      </c>
      <c r="L691">
        <v>0.4</v>
      </c>
      <c r="M691">
        <v>25</v>
      </c>
      <c r="N691">
        <v>89</v>
      </c>
      <c r="O691">
        <f t="shared" si="31"/>
        <v>5.8486905916585841E-2</v>
      </c>
      <c r="P691">
        <f t="shared" si="32"/>
        <v>3.491755577109603E-2</v>
      </c>
    </row>
    <row r="692" spans="1:16" x14ac:dyDescent="0.25">
      <c r="A692" t="str">
        <f t="shared" si="30"/>
        <v>Divock Origi</v>
      </c>
      <c r="B692" t="s">
        <v>1921</v>
      </c>
      <c r="C692" t="s">
        <v>1922</v>
      </c>
      <c r="D692">
        <v>16</v>
      </c>
      <c r="E692">
        <v>4</v>
      </c>
      <c r="F692">
        <v>50</v>
      </c>
      <c r="G692">
        <v>594</v>
      </c>
      <c r="H692">
        <v>6</v>
      </c>
      <c r="I692">
        <v>0</v>
      </c>
      <c r="J692">
        <v>1</v>
      </c>
      <c r="K692">
        <v>1.22</v>
      </c>
      <c r="L692">
        <v>0.82</v>
      </c>
      <c r="M692">
        <v>25</v>
      </c>
      <c r="N692">
        <v>59</v>
      </c>
      <c r="O692">
        <f t="shared" si="31"/>
        <v>0.18484848484848485</v>
      </c>
      <c r="P692">
        <f t="shared" si="32"/>
        <v>0.12424242424242424</v>
      </c>
    </row>
    <row r="693" spans="1:16" x14ac:dyDescent="0.25">
      <c r="A693" t="str">
        <f t="shared" si="30"/>
        <v>Jamie McDonnell</v>
      </c>
      <c r="B693" t="s">
        <v>325</v>
      </c>
      <c r="C693" t="s">
        <v>1923</v>
      </c>
      <c r="D693">
        <v>16</v>
      </c>
      <c r="E693">
        <v>3</v>
      </c>
      <c r="F693">
        <v>45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f t="shared" si="31"/>
        <v>0</v>
      </c>
      <c r="P693">
        <f t="shared" si="32"/>
        <v>0</v>
      </c>
    </row>
    <row r="694" spans="1:16" x14ac:dyDescent="0.25">
      <c r="A694" t="str">
        <f t="shared" si="30"/>
        <v>Detlef Esapa Osong</v>
      </c>
      <c r="B694" t="s">
        <v>1924</v>
      </c>
      <c r="C694" t="s">
        <v>1925</v>
      </c>
      <c r="D694">
        <v>16</v>
      </c>
      <c r="E694">
        <v>4</v>
      </c>
      <c r="F694">
        <v>45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t="shared" si="31"/>
        <v>0</v>
      </c>
      <c r="P694">
        <f t="shared" si="32"/>
        <v>0</v>
      </c>
    </row>
    <row r="695" spans="1:16" x14ac:dyDescent="0.25">
      <c r="A695" t="str">
        <f t="shared" si="30"/>
        <v>Joe Gardner</v>
      </c>
      <c r="B695" t="s">
        <v>585</v>
      </c>
      <c r="C695" t="s">
        <v>1926</v>
      </c>
      <c r="D695">
        <v>16</v>
      </c>
      <c r="E695">
        <v>4</v>
      </c>
      <c r="F695">
        <v>45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f t="shared" si="31"/>
        <v>0</v>
      </c>
      <c r="P695">
        <f t="shared" si="32"/>
        <v>0</v>
      </c>
    </row>
    <row r="696" spans="1:16" x14ac:dyDescent="0.25">
      <c r="A696" t="str">
        <f t="shared" si="30"/>
        <v>Giovanni Reyna</v>
      </c>
      <c r="B696" t="s">
        <v>713</v>
      </c>
      <c r="C696" t="s">
        <v>1927</v>
      </c>
      <c r="D696">
        <v>16</v>
      </c>
      <c r="E696">
        <v>3</v>
      </c>
      <c r="F696">
        <v>46</v>
      </c>
      <c r="G696">
        <v>228</v>
      </c>
      <c r="H696">
        <v>2</v>
      </c>
      <c r="I696">
        <v>0</v>
      </c>
      <c r="J696">
        <v>1</v>
      </c>
      <c r="K696">
        <v>0.36</v>
      </c>
      <c r="L696">
        <v>0.36</v>
      </c>
      <c r="M696">
        <v>13</v>
      </c>
      <c r="N696">
        <v>44</v>
      </c>
      <c r="O696">
        <f t="shared" si="31"/>
        <v>0.14210526315789473</v>
      </c>
      <c r="P696">
        <f t="shared" si="32"/>
        <v>0.14210526315789473</v>
      </c>
    </row>
    <row r="697" spans="1:16" x14ac:dyDescent="0.25">
      <c r="A697" t="str">
        <f t="shared" si="30"/>
        <v>Matz Sels</v>
      </c>
      <c r="B697" t="s">
        <v>883</v>
      </c>
      <c r="C697" t="s">
        <v>884</v>
      </c>
      <c r="D697">
        <v>16</v>
      </c>
      <c r="E697">
        <v>1</v>
      </c>
      <c r="F697">
        <v>45</v>
      </c>
      <c r="G697">
        <v>1440</v>
      </c>
      <c r="H697">
        <v>16</v>
      </c>
      <c r="I697">
        <v>0</v>
      </c>
      <c r="J697">
        <v>0</v>
      </c>
      <c r="K697">
        <v>0</v>
      </c>
      <c r="L697">
        <v>0.09</v>
      </c>
      <c r="M697">
        <v>34</v>
      </c>
      <c r="N697">
        <v>206</v>
      </c>
      <c r="O697">
        <f t="shared" si="31"/>
        <v>0</v>
      </c>
      <c r="P697">
        <f t="shared" si="32"/>
        <v>5.6249999999999998E-3</v>
      </c>
    </row>
    <row r="698" spans="1:16" x14ac:dyDescent="0.25">
      <c r="A698" t="str">
        <f t="shared" si="30"/>
        <v>Rodrigo Duarte Ribeiro</v>
      </c>
      <c r="B698" t="s">
        <v>531</v>
      </c>
      <c r="C698" t="s">
        <v>1928</v>
      </c>
      <c r="D698">
        <v>16</v>
      </c>
      <c r="E698">
        <v>4</v>
      </c>
      <c r="F698">
        <v>45</v>
      </c>
      <c r="G698">
        <v>14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4</v>
      </c>
      <c r="N698">
        <v>9</v>
      </c>
      <c r="O698">
        <f t="shared" si="31"/>
        <v>0</v>
      </c>
      <c r="P698">
        <f t="shared" si="32"/>
        <v>0</v>
      </c>
    </row>
    <row r="699" spans="1:16" x14ac:dyDescent="0.25">
      <c r="A699" t="str">
        <f t="shared" si="30"/>
        <v>Auston Trusty</v>
      </c>
      <c r="B699" t="s">
        <v>1929</v>
      </c>
      <c r="C699" t="s">
        <v>1930</v>
      </c>
      <c r="D699">
        <v>17</v>
      </c>
      <c r="E699">
        <v>2</v>
      </c>
      <c r="F699">
        <v>39</v>
      </c>
      <c r="G699">
        <v>2568</v>
      </c>
      <c r="H699">
        <v>28</v>
      </c>
      <c r="I699">
        <v>0</v>
      </c>
      <c r="J699">
        <v>0</v>
      </c>
      <c r="K699">
        <v>0.38</v>
      </c>
      <c r="L699">
        <v>0.76</v>
      </c>
      <c r="M699">
        <v>28</v>
      </c>
      <c r="N699">
        <v>349</v>
      </c>
      <c r="O699">
        <f t="shared" si="31"/>
        <v>1.3317757009345794E-2</v>
      </c>
      <c r="P699">
        <f t="shared" si="32"/>
        <v>2.6635514018691589E-2</v>
      </c>
    </row>
    <row r="700" spans="1:16" x14ac:dyDescent="0.25">
      <c r="A700" t="str">
        <f t="shared" si="30"/>
        <v>Cameron Archer</v>
      </c>
      <c r="B700" t="s">
        <v>1225</v>
      </c>
      <c r="C700" t="s">
        <v>1931</v>
      </c>
      <c r="D700">
        <v>17</v>
      </c>
      <c r="E700">
        <v>4</v>
      </c>
      <c r="F700">
        <v>42</v>
      </c>
      <c r="G700">
        <v>1829</v>
      </c>
      <c r="H700">
        <v>21</v>
      </c>
      <c r="I700">
        <v>4</v>
      </c>
      <c r="J700">
        <v>3</v>
      </c>
      <c r="K700">
        <v>5.28</v>
      </c>
      <c r="L700">
        <v>1.39</v>
      </c>
      <c r="M700">
        <v>82</v>
      </c>
      <c r="N700">
        <v>241</v>
      </c>
      <c r="O700">
        <f t="shared" si="31"/>
        <v>0.2598141060688901</v>
      </c>
      <c r="P700">
        <f t="shared" si="32"/>
        <v>6.8398031711317656E-2</v>
      </c>
    </row>
    <row r="701" spans="1:16" x14ac:dyDescent="0.25">
      <c r="A701" t="str">
        <f t="shared" si="30"/>
        <v>Mason Holgate</v>
      </c>
      <c r="B701" t="s">
        <v>583</v>
      </c>
      <c r="C701" t="s">
        <v>1932</v>
      </c>
      <c r="D701">
        <v>17</v>
      </c>
      <c r="E701">
        <v>2</v>
      </c>
      <c r="F701">
        <v>40</v>
      </c>
      <c r="G701">
        <v>711</v>
      </c>
      <c r="H701">
        <v>9</v>
      </c>
      <c r="I701">
        <v>0</v>
      </c>
      <c r="J701">
        <v>0</v>
      </c>
      <c r="K701">
        <v>0.55000000000000004</v>
      </c>
      <c r="L701">
        <v>0.2</v>
      </c>
      <c r="M701">
        <v>1</v>
      </c>
      <c r="N701">
        <v>69</v>
      </c>
      <c r="O701">
        <f t="shared" si="31"/>
        <v>6.9620253164556958E-2</v>
      </c>
      <c r="P701">
        <f t="shared" si="32"/>
        <v>2.5316455696202531E-2</v>
      </c>
    </row>
    <row r="702" spans="1:16" x14ac:dyDescent="0.25">
      <c r="A702" t="str">
        <f t="shared" si="30"/>
        <v>James McAtee</v>
      </c>
      <c r="B702" t="s">
        <v>135</v>
      </c>
      <c r="C702" t="s">
        <v>913</v>
      </c>
      <c r="D702">
        <v>17</v>
      </c>
      <c r="E702">
        <v>3</v>
      </c>
      <c r="F702">
        <v>44</v>
      </c>
      <c r="G702">
        <v>1815</v>
      </c>
      <c r="H702">
        <v>20</v>
      </c>
      <c r="I702">
        <v>3</v>
      </c>
      <c r="J702">
        <v>4</v>
      </c>
      <c r="K702">
        <v>2.98</v>
      </c>
      <c r="L702">
        <v>2.16</v>
      </c>
      <c r="M702">
        <v>77</v>
      </c>
      <c r="N702">
        <v>259</v>
      </c>
      <c r="O702">
        <f t="shared" si="31"/>
        <v>0.14776859504132231</v>
      </c>
      <c r="P702">
        <f t="shared" si="32"/>
        <v>0.10710743801652893</v>
      </c>
    </row>
    <row r="703" spans="1:16" x14ac:dyDescent="0.25">
      <c r="A703" t="str">
        <f t="shared" si="30"/>
        <v>Anel Ahmedhodžić</v>
      </c>
      <c r="B703" t="s">
        <v>1933</v>
      </c>
      <c r="C703" t="s">
        <v>1934</v>
      </c>
      <c r="D703">
        <v>17</v>
      </c>
      <c r="E703">
        <v>2</v>
      </c>
      <c r="F703">
        <v>43</v>
      </c>
      <c r="G703">
        <v>2649</v>
      </c>
      <c r="H703">
        <v>29</v>
      </c>
      <c r="I703">
        <v>2</v>
      </c>
      <c r="J703">
        <v>0</v>
      </c>
      <c r="K703">
        <v>3.03</v>
      </c>
      <c r="L703">
        <v>0.57999999999999996</v>
      </c>
      <c r="M703">
        <v>31</v>
      </c>
      <c r="N703">
        <v>325</v>
      </c>
      <c r="O703">
        <f t="shared" si="31"/>
        <v>0.10294450736126839</v>
      </c>
      <c r="P703">
        <f t="shared" si="32"/>
        <v>1.9705549263873159E-2</v>
      </c>
    </row>
    <row r="704" spans="1:16" x14ac:dyDescent="0.25">
      <c r="A704" t="str">
        <f t="shared" si="30"/>
        <v>Jordan Amissah</v>
      </c>
      <c r="B704" t="s">
        <v>289</v>
      </c>
      <c r="C704" t="s">
        <v>1935</v>
      </c>
      <c r="D704">
        <v>17</v>
      </c>
      <c r="E704">
        <v>1</v>
      </c>
      <c r="F704">
        <v>39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f t="shared" si="31"/>
        <v>0</v>
      </c>
      <c r="P704">
        <f t="shared" si="32"/>
        <v>0</v>
      </c>
    </row>
    <row r="705" spans="1:16" x14ac:dyDescent="0.25">
      <c r="A705" t="str">
        <f t="shared" si="30"/>
        <v>George Baldock</v>
      </c>
      <c r="B705" t="s">
        <v>113</v>
      </c>
      <c r="C705" t="s">
        <v>1936</v>
      </c>
      <c r="D705">
        <v>17</v>
      </c>
      <c r="E705">
        <v>2</v>
      </c>
      <c r="F705">
        <v>38</v>
      </c>
      <c r="G705">
        <v>968</v>
      </c>
      <c r="H705">
        <v>11</v>
      </c>
      <c r="I705">
        <v>0</v>
      </c>
      <c r="J705">
        <v>2</v>
      </c>
      <c r="K705">
        <v>0.03</v>
      </c>
      <c r="L705">
        <v>0.63</v>
      </c>
      <c r="M705">
        <v>21</v>
      </c>
      <c r="N705">
        <v>117</v>
      </c>
      <c r="O705">
        <f t="shared" si="31"/>
        <v>2.7892561983471073E-3</v>
      </c>
      <c r="P705">
        <f t="shared" si="32"/>
        <v>5.8574380165289257E-2</v>
      </c>
    </row>
    <row r="706" spans="1:16" x14ac:dyDescent="0.25">
      <c r="A706" t="str">
        <f t="shared" ref="A706:A769" si="33">_xlfn.CONCAT(B706, " ", C706)</f>
        <v>Chris Basham</v>
      </c>
      <c r="B706" t="s">
        <v>418</v>
      </c>
      <c r="C706" t="s">
        <v>1937</v>
      </c>
      <c r="D706">
        <v>17</v>
      </c>
      <c r="E706">
        <v>2</v>
      </c>
      <c r="F706">
        <v>39</v>
      </c>
      <c r="G706">
        <v>316</v>
      </c>
      <c r="H706">
        <v>3</v>
      </c>
      <c r="I706">
        <v>0</v>
      </c>
      <c r="J706">
        <v>0</v>
      </c>
      <c r="K706">
        <v>0.12</v>
      </c>
      <c r="L706">
        <v>7.0000000000000007E-2</v>
      </c>
      <c r="M706">
        <v>8</v>
      </c>
      <c r="N706">
        <v>35</v>
      </c>
      <c r="O706">
        <f t="shared" ref="O706:O769" si="34">IFERROR(K706/G706*90,0)</f>
        <v>3.4177215189873419E-2</v>
      </c>
      <c r="P706">
        <f t="shared" ref="P706:P769" si="35">IFERROR(L706/G706*90,0)</f>
        <v>1.9936708860759496E-2</v>
      </c>
    </row>
    <row r="707" spans="1:16" x14ac:dyDescent="0.25">
      <c r="A707" t="str">
        <f t="shared" si="33"/>
        <v>Jayden Bogle</v>
      </c>
      <c r="B707" t="s">
        <v>659</v>
      </c>
      <c r="C707" t="s">
        <v>660</v>
      </c>
      <c r="D707">
        <v>17</v>
      </c>
      <c r="E707">
        <v>2</v>
      </c>
      <c r="F707">
        <v>45</v>
      </c>
      <c r="G707">
        <v>2787</v>
      </c>
      <c r="H707">
        <v>32</v>
      </c>
      <c r="I707">
        <v>3</v>
      </c>
      <c r="J707">
        <v>3</v>
      </c>
      <c r="K707">
        <v>2.36</v>
      </c>
      <c r="L707">
        <v>1.1399999999999999</v>
      </c>
      <c r="M707">
        <v>63</v>
      </c>
      <c r="N707">
        <v>354</v>
      </c>
      <c r="O707">
        <f t="shared" si="34"/>
        <v>7.6210979547900973E-2</v>
      </c>
      <c r="P707">
        <f t="shared" si="35"/>
        <v>3.681377825618945E-2</v>
      </c>
    </row>
    <row r="708" spans="1:16" x14ac:dyDescent="0.25">
      <c r="A708" t="str">
        <f t="shared" si="33"/>
        <v>Rhian Brewster</v>
      </c>
      <c r="B708" t="s">
        <v>1938</v>
      </c>
      <c r="C708" t="s">
        <v>1939</v>
      </c>
      <c r="D708">
        <v>17</v>
      </c>
      <c r="E708">
        <v>4</v>
      </c>
      <c r="F708">
        <v>49</v>
      </c>
      <c r="G708">
        <v>338</v>
      </c>
      <c r="H708">
        <v>3</v>
      </c>
      <c r="I708">
        <v>0</v>
      </c>
      <c r="J708">
        <v>0</v>
      </c>
      <c r="K708">
        <v>0.33</v>
      </c>
      <c r="L708">
        <v>0.08</v>
      </c>
      <c r="M708">
        <v>11</v>
      </c>
      <c r="N708">
        <v>14</v>
      </c>
      <c r="O708">
        <f t="shared" si="34"/>
        <v>8.7869822485207097E-2</v>
      </c>
      <c r="P708">
        <f t="shared" si="35"/>
        <v>2.1301775147928994E-2</v>
      </c>
    </row>
    <row r="709" spans="1:16" x14ac:dyDescent="0.25">
      <c r="A709" t="str">
        <f t="shared" si="33"/>
        <v>Ismaila Coulibaly</v>
      </c>
      <c r="B709" t="s">
        <v>1940</v>
      </c>
      <c r="C709" t="s">
        <v>1941</v>
      </c>
      <c r="D709">
        <v>17</v>
      </c>
      <c r="E709">
        <v>3</v>
      </c>
      <c r="F709">
        <v>44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f t="shared" si="34"/>
        <v>0</v>
      </c>
      <c r="P709">
        <f t="shared" si="35"/>
        <v>0</v>
      </c>
    </row>
    <row r="710" spans="1:16" x14ac:dyDescent="0.25">
      <c r="A710" t="str">
        <f t="shared" si="33"/>
        <v>Adam Davies</v>
      </c>
      <c r="B710" t="s">
        <v>143</v>
      </c>
      <c r="C710" t="s">
        <v>700</v>
      </c>
      <c r="D710">
        <v>17</v>
      </c>
      <c r="E710">
        <v>1</v>
      </c>
      <c r="F710">
        <v>40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t="shared" si="34"/>
        <v>0</v>
      </c>
      <c r="P710">
        <f t="shared" si="35"/>
        <v>0</v>
      </c>
    </row>
    <row r="711" spans="1:16" x14ac:dyDescent="0.25">
      <c r="A711" t="str">
        <f t="shared" si="33"/>
        <v>John Egan</v>
      </c>
      <c r="B711" t="s">
        <v>101</v>
      </c>
      <c r="C711" t="s">
        <v>547</v>
      </c>
      <c r="D711">
        <v>17</v>
      </c>
      <c r="E711">
        <v>2</v>
      </c>
      <c r="F711">
        <v>42</v>
      </c>
      <c r="G711">
        <v>482</v>
      </c>
      <c r="H711">
        <v>6</v>
      </c>
      <c r="I711">
        <v>0</v>
      </c>
      <c r="J711">
        <v>0</v>
      </c>
      <c r="K711">
        <v>0.17</v>
      </c>
      <c r="L711">
        <v>0</v>
      </c>
      <c r="M711">
        <v>1</v>
      </c>
      <c r="N711">
        <v>54</v>
      </c>
      <c r="O711">
        <f t="shared" si="34"/>
        <v>3.1742738589211617E-2</v>
      </c>
      <c r="P711">
        <f t="shared" si="35"/>
        <v>0</v>
      </c>
    </row>
    <row r="712" spans="1:16" x14ac:dyDescent="0.25">
      <c r="A712" t="str">
        <f t="shared" si="33"/>
        <v>John Fleck</v>
      </c>
      <c r="B712" t="s">
        <v>101</v>
      </c>
      <c r="C712" t="s">
        <v>1942</v>
      </c>
      <c r="D712">
        <v>17</v>
      </c>
      <c r="E712">
        <v>3</v>
      </c>
      <c r="F712">
        <v>49</v>
      </c>
      <c r="G712">
        <v>89</v>
      </c>
      <c r="H712">
        <v>1</v>
      </c>
      <c r="I712">
        <v>0</v>
      </c>
      <c r="J712">
        <v>0</v>
      </c>
      <c r="K712">
        <v>0</v>
      </c>
      <c r="L712">
        <v>0.35</v>
      </c>
      <c r="M712">
        <v>3</v>
      </c>
      <c r="N712">
        <v>13</v>
      </c>
      <c r="O712">
        <f t="shared" si="34"/>
        <v>0</v>
      </c>
      <c r="P712">
        <f t="shared" si="35"/>
        <v>0.35393258426966284</v>
      </c>
    </row>
    <row r="713" spans="1:16" x14ac:dyDescent="0.25">
      <c r="A713" t="str">
        <f t="shared" si="33"/>
        <v>Wes Foderingham</v>
      </c>
      <c r="B713" t="s">
        <v>619</v>
      </c>
      <c r="C713" t="s">
        <v>1943</v>
      </c>
      <c r="D713">
        <v>17</v>
      </c>
      <c r="E713">
        <v>1</v>
      </c>
      <c r="F713">
        <v>44</v>
      </c>
      <c r="G713">
        <v>2648</v>
      </c>
      <c r="H713">
        <v>29</v>
      </c>
      <c r="I713">
        <v>0</v>
      </c>
      <c r="J713">
        <v>0</v>
      </c>
      <c r="K713">
        <v>0</v>
      </c>
      <c r="L713">
        <v>0.05</v>
      </c>
      <c r="M713">
        <v>70</v>
      </c>
      <c r="N713">
        <v>531</v>
      </c>
      <c r="O713">
        <f t="shared" si="34"/>
        <v>0</v>
      </c>
      <c r="P713">
        <f t="shared" si="35"/>
        <v>1.6993957703927492E-3</v>
      </c>
    </row>
    <row r="714" spans="1:16" x14ac:dyDescent="0.25">
      <c r="A714" t="str">
        <f t="shared" si="33"/>
        <v>Daniel Jebbison</v>
      </c>
      <c r="B714" t="s">
        <v>416</v>
      </c>
      <c r="C714" t="s">
        <v>1220</v>
      </c>
      <c r="D714">
        <v>17</v>
      </c>
      <c r="E714">
        <v>4</v>
      </c>
      <c r="F714">
        <v>48</v>
      </c>
      <c r="G714">
        <v>20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3</v>
      </c>
      <c r="O714">
        <f t="shared" si="34"/>
        <v>0</v>
      </c>
      <c r="P714">
        <f t="shared" si="35"/>
        <v>0</v>
      </c>
    </row>
    <row r="715" spans="1:16" x14ac:dyDescent="0.25">
      <c r="A715" t="str">
        <f t="shared" si="33"/>
        <v>Max Lowe</v>
      </c>
      <c r="B715" t="s">
        <v>57</v>
      </c>
      <c r="C715" t="s">
        <v>1353</v>
      </c>
      <c r="D715">
        <v>17</v>
      </c>
      <c r="E715">
        <v>2</v>
      </c>
      <c r="F715">
        <v>43</v>
      </c>
      <c r="G715">
        <v>498</v>
      </c>
      <c r="H715">
        <v>4</v>
      </c>
      <c r="I715">
        <v>0</v>
      </c>
      <c r="J715">
        <v>1</v>
      </c>
      <c r="K715">
        <v>0.57999999999999996</v>
      </c>
      <c r="L715">
        <v>0.09</v>
      </c>
      <c r="M715">
        <v>13</v>
      </c>
      <c r="N715">
        <v>47</v>
      </c>
      <c r="O715">
        <f t="shared" si="34"/>
        <v>0.10481927710843372</v>
      </c>
      <c r="P715">
        <f t="shared" si="35"/>
        <v>1.6265060240963854E-2</v>
      </c>
    </row>
    <row r="716" spans="1:16" x14ac:dyDescent="0.25">
      <c r="A716" t="str">
        <f t="shared" si="33"/>
        <v>Oliver McBurnie</v>
      </c>
      <c r="B716" t="s">
        <v>361</v>
      </c>
      <c r="C716" t="s">
        <v>577</v>
      </c>
      <c r="D716">
        <v>17</v>
      </c>
      <c r="E716">
        <v>4</v>
      </c>
      <c r="F716">
        <v>54</v>
      </c>
      <c r="G716">
        <v>1279</v>
      </c>
      <c r="H716">
        <v>15</v>
      </c>
      <c r="I716">
        <v>6</v>
      </c>
      <c r="J716">
        <v>3</v>
      </c>
      <c r="K716">
        <v>6.91</v>
      </c>
      <c r="L716">
        <v>1.98</v>
      </c>
      <c r="M716">
        <v>66</v>
      </c>
      <c r="N716">
        <v>225</v>
      </c>
      <c r="O716">
        <f t="shared" si="34"/>
        <v>0.48623924941360441</v>
      </c>
      <c r="P716">
        <f t="shared" si="35"/>
        <v>0.13932759968725567</v>
      </c>
    </row>
    <row r="717" spans="1:16" x14ac:dyDescent="0.25">
      <c r="A717" t="str">
        <f t="shared" si="33"/>
        <v>Iliman Ndiaye</v>
      </c>
      <c r="B717" t="s">
        <v>486</v>
      </c>
      <c r="C717" t="s">
        <v>487</v>
      </c>
      <c r="D717">
        <v>17</v>
      </c>
      <c r="E717">
        <v>4</v>
      </c>
      <c r="F717">
        <v>55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f t="shared" si="34"/>
        <v>0</v>
      </c>
      <c r="P717">
        <f t="shared" si="35"/>
        <v>0</v>
      </c>
    </row>
    <row r="718" spans="1:16" x14ac:dyDescent="0.25">
      <c r="A718" t="str">
        <f t="shared" si="33"/>
        <v>Rhys Norrington-Davies</v>
      </c>
      <c r="B718" t="s">
        <v>1836</v>
      </c>
      <c r="C718" t="s">
        <v>1944</v>
      </c>
      <c r="D718">
        <v>17</v>
      </c>
      <c r="E718">
        <v>2</v>
      </c>
      <c r="F718">
        <v>39</v>
      </c>
      <c r="G718">
        <v>109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12</v>
      </c>
      <c r="O718">
        <f t="shared" si="34"/>
        <v>0</v>
      </c>
      <c r="P718">
        <f t="shared" si="35"/>
        <v>0</v>
      </c>
    </row>
    <row r="719" spans="1:16" x14ac:dyDescent="0.25">
      <c r="A719" t="str">
        <f t="shared" si="33"/>
        <v>Oliver Norwood</v>
      </c>
      <c r="B719" t="s">
        <v>361</v>
      </c>
      <c r="C719" t="s">
        <v>1945</v>
      </c>
      <c r="D719">
        <v>17</v>
      </c>
      <c r="E719">
        <v>3</v>
      </c>
      <c r="F719">
        <v>48</v>
      </c>
      <c r="G719">
        <v>1429</v>
      </c>
      <c r="H719">
        <v>16</v>
      </c>
      <c r="I719">
        <v>1</v>
      </c>
      <c r="J719">
        <v>0</v>
      </c>
      <c r="K719">
        <v>1.1000000000000001</v>
      </c>
      <c r="L719">
        <v>1.23</v>
      </c>
      <c r="M719">
        <v>42</v>
      </c>
      <c r="N719">
        <v>232</v>
      </c>
      <c r="O719">
        <f t="shared" si="34"/>
        <v>6.9279216235129462E-2</v>
      </c>
      <c r="P719">
        <f t="shared" si="35"/>
        <v>7.74667599720084E-2</v>
      </c>
    </row>
    <row r="720" spans="1:16" x14ac:dyDescent="0.25">
      <c r="A720" t="str">
        <f t="shared" si="33"/>
        <v>Ben Osborn</v>
      </c>
      <c r="B720" t="s">
        <v>159</v>
      </c>
      <c r="C720" t="s">
        <v>1946</v>
      </c>
      <c r="D720">
        <v>17</v>
      </c>
      <c r="E720">
        <v>3</v>
      </c>
      <c r="F720">
        <v>48</v>
      </c>
      <c r="G720">
        <v>1359</v>
      </c>
      <c r="H720">
        <v>14</v>
      </c>
      <c r="I720">
        <v>0</v>
      </c>
      <c r="J720">
        <v>2</v>
      </c>
      <c r="K720">
        <v>0.22</v>
      </c>
      <c r="L720">
        <v>0.93</v>
      </c>
      <c r="M720">
        <v>38</v>
      </c>
      <c r="N720">
        <v>182</v>
      </c>
      <c r="O720">
        <f t="shared" si="34"/>
        <v>1.456953642384106E-2</v>
      </c>
      <c r="P720">
        <f t="shared" si="35"/>
        <v>6.1589403973509933E-2</v>
      </c>
    </row>
    <row r="721" spans="1:16" x14ac:dyDescent="0.25">
      <c r="A721" t="str">
        <f t="shared" si="33"/>
        <v>William Osula</v>
      </c>
      <c r="B721" t="s">
        <v>30</v>
      </c>
      <c r="C721" t="s">
        <v>877</v>
      </c>
      <c r="D721">
        <v>17</v>
      </c>
      <c r="E721">
        <v>4</v>
      </c>
      <c r="F721">
        <v>42</v>
      </c>
      <c r="G721">
        <v>778</v>
      </c>
      <c r="H721">
        <v>9</v>
      </c>
      <c r="I721">
        <v>0</v>
      </c>
      <c r="J721">
        <v>1</v>
      </c>
      <c r="K721">
        <v>1.64</v>
      </c>
      <c r="L721">
        <v>0.15</v>
      </c>
      <c r="M721">
        <v>25</v>
      </c>
      <c r="N721">
        <v>27</v>
      </c>
      <c r="O721">
        <f t="shared" si="34"/>
        <v>0.18971722365038557</v>
      </c>
      <c r="P721">
        <f t="shared" si="35"/>
        <v>1.7352185089974291E-2</v>
      </c>
    </row>
    <row r="722" spans="1:16" x14ac:dyDescent="0.25">
      <c r="A722" t="str">
        <f t="shared" si="33"/>
        <v>Jack Robinson</v>
      </c>
      <c r="B722" t="s">
        <v>253</v>
      </c>
      <c r="C722" t="s">
        <v>512</v>
      </c>
      <c r="D722">
        <v>17</v>
      </c>
      <c r="E722">
        <v>2</v>
      </c>
      <c r="F722">
        <v>43</v>
      </c>
      <c r="G722">
        <v>2883</v>
      </c>
      <c r="H722">
        <v>31</v>
      </c>
      <c r="I722">
        <v>1</v>
      </c>
      <c r="J722">
        <v>1</v>
      </c>
      <c r="K722">
        <v>1.1299999999999999</v>
      </c>
      <c r="L722">
        <v>0.93</v>
      </c>
      <c r="M722">
        <v>33</v>
      </c>
      <c r="N722">
        <v>375</v>
      </c>
      <c r="O722">
        <f t="shared" si="34"/>
        <v>3.5275754422476581E-2</v>
      </c>
      <c r="P722">
        <f t="shared" si="35"/>
        <v>2.903225806451613E-2</v>
      </c>
    </row>
    <row r="723" spans="1:16" x14ac:dyDescent="0.25">
      <c r="A723" t="str">
        <f t="shared" si="33"/>
        <v>Anis Slimane</v>
      </c>
      <c r="B723" t="s">
        <v>642</v>
      </c>
      <c r="C723" t="s">
        <v>1947</v>
      </c>
      <c r="D723">
        <v>17</v>
      </c>
      <c r="E723">
        <v>3</v>
      </c>
      <c r="F723">
        <v>47</v>
      </c>
      <c r="G723">
        <v>409</v>
      </c>
      <c r="H723">
        <v>4</v>
      </c>
      <c r="I723">
        <v>0</v>
      </c>
      <c r="J723">
        <v>0</v>
      </c>
      <c r="K723">
        <v>0.97</v>
      </c>
      <c r="L723">
        <v>0.13</v>
      </c>
      <c r="M723">
        <v>14</v>
      </c>
      <c r="N723">
        <v>23</v>
      </c>
      <c r="O723">
        <f t="shared" si="34"/>
        <v>0.2134474327628362</v>
      </c>
      <c r="P723">
        <f t="shared" si="35"/>
        <v>2.860635696821516E-2</v>
      </c>
    </row>
    <row r="724" spans="1:16" x14ac:dyDescent="0.25">
      <c r="A724" t="str">
        <f t="shared" si="33"/>
        <v>Yasser Larouci</v>
      </c>
      <c r="B724" t="s">
        <v>1948</v>
      </c>
      <c r="C724" t="s">
        <v>1949</v>
      </c>
      <c r="D724">
        <v>17</v>
      </c>
      <c r="E724">
        <v>2</v>
      </c>
      <c r="F724">
        <v>43</v>
      </c>
      <c r="G724">
        <v>527</v>
      </c>
      <c r="H724">
        <v>6</v>
      </c>
      <c r="I724">
        <v>0</v>
      </c>
      <c r="J724">
        <v>0</v>
      </c>
      <c r="K724">
        <v>0.24</v>
      </c>
      <c r="L724">
        <v>0.05</v>
      </c>
      <c r="M724">
        <v>10</v>
      </c>
      <c r="N724">
        <v>63</v>
      </c>
      <c r="O724">
        <f t="shared" si="34"/>
        <v>4.0986717267552181E-2</v>
      </c>
      <c r="P724">
        <f t="shared" si="35"/>
        <v>8.5388994307400382E-3</v>
      </c>
    </row>
    <row r="725" spans="1:16" x14ac:dyDescent="0.25">
      <c r="A725" t="str">
        <f t="shared" si="33"/>
        <v>Bénie Traoré</v>
      </c>
      <c r="B725" t="s">
        <v>1950</v>
      </c>
      <c r="C725" t="s">
        <v>1323</v>
      </c>
      <c r="D725">
        <v>17</v>
      </c>
      <c r="E725">
        <v>4</v>
      </c>
      <c r="F725">
        <v>51</v>
      </c>
      <c r="G725">
        <v>383</v>
      </c>
      <c r="H725">
        <v>3</v>
      </c>
      <c r="I725">
        <v>0</v>
      </c>
      <c r="J725">
        <v>0</v>
      </c>
      <c r="K725">
        <v>0.27</v>
      </c>
      <c r="L725">
        <v>0.46</v>
      </c>
      <c r="M725">
        <v>11</v>
      </c>
      <c r="N725">
        <v>14</v>
      </c>
      <c r="O725">
        <f t="shared" si="34"/>
        <v>6.3446475195822458E-2</v>
      </c>
      <c r="P725">
        <f t="shared" si="35"/>
        <v>0.10809399477806789</v>
      </c>
    </row>
    <row r="726" spans="1:16" x14ac:dyDescent="0.25">
      <c r="A726" t="str">
        <f t="shared" si="33"/>
        <v>Vini de Souza Costa</v>
      </c>
      <c r="B726" t="s">
        <v>1951</v>
      </c>
      <c r="C726" t="s">
        <v>1952</v>
      </c>
      <c r="D726">
        <v>17</v>
      </c>
      <c r="E726">
        <v>3</v>
      </c>
      <c r="F726">
        <v>50</v>
      </c>
      <c r="G726">
        <v>2664</v>
      </c>
      <c r="H726">
        <v>29</v>
      </c>
      <c r="I726">
        <v>1</v>
      </c>
      <c r="J726">
        <v>1</v>
      </c>
      <c r="K726">
        <v>0.61</v>
      </c>
      <c r="L726">
        <v>0.46</v>
      </c>
      <c r="M726">
        <v>73</v>
      </c>
      <c r="N726">
        <v>357</v>
      </c>
      <c r="O726">
        <f t="shared" si="34"/>
        <v>2.0608108108108109E-2</v>
      </c>
      <c r="P726">
        <f t="shared" si="35"/>
        <v>1.5540540540540541E-2</v>
      </c>
    </row>
    <row r="727" spans="1:16" x14ac:dyDescent="0.25">
      <c r="A727" t="str">
        <f t="shared" si="33"/>
        <v>Femi Seriki</v>
      </c>
      <c r="B727" t="s">
        <v>1953</v>
      </c>
      <c r="C727" t="s">
        <v>1954</v>
      </c>
      <c r="D727">
        <v>17</v>
      </c>
      <c r="E727">
        <v>2</v>
      </c>
      <c r="F727">
        <v>39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t="shared" si="34"/>
        <v>0</v>
      </c>
      <c r="P727">
        <f t="shared" si="35"/>
        <v>0</v>
      </c>
    </row>
    <row r="728" spans="1:16" x14ac:dyDescent="0.25">
      <c r="A728" t="str">
        <f t="shared" si="33"/>
        <v>Louie Marsh</v>
      </c>
      <c r="B728" t="s">
        <v>1738</v>
      </c>
      <c r="C728" t="s">
        <v>1955</v>
      </c>
      <c r="D728">
        <v>17</v>
      </c>
      <c r="E728">
        <v>4</v>
      </c>
      <c r="F728">
        <v>45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f t="shared" si="34"/>
        <v>0</v>
      </c>
      <c r="P728">
        <f t="shared" si="35"/>
        <v>0</v>
      </c>
    </row>
    <row r="729" spans="1:16" x14ac:dyDescent="0.25">
      <c r="A729" t="str">
        <f t="shared" si="33"/>
        <v>Andre Brooks</v>
      </c>
      <c r="B729" t="s">
        <v>1956</v>
      </c>
      <c r="C729" t="s">
        <v>163</v>
      </c>
      <c r="D729">
        <v>17</v>
      </c>
      <c r="E729">
        <v>3</v>
      </c>
      <c r="F729">
        <v>44</v>
      </c>
      <c r="G729">
        <v>932</v>
      </c>
      <c r="H729">
        <v>12</v>
      </c>
      <c r="I729">
        <v>0</v>
      </c>
      <c r="J729">
        <v>0</v>
      </c>
      <c r="K729">
        <v>0.49</v>
      </c>
      <c r="L729">
        <v>0.24</v>
      </c>
      <c r="M729">
        <v>26</v>
      </c>
      <c r="N729">
        <v>82</v>
      </c>
      <c r="O729">
        <f t="shared" si="34"/>
        <v>4.7317596566523602E-2</v>
      </c>
      <c r="P729">
        <f t="shared" si="35"/>
        <v>2.3175965665236047E-2</v>
      </c>
    </row>
    <row r="730" spans="1:16" x14ac:dyDescent="0.25">
      <c r="A730" t="str">
        <f t="shared" si="33"/>
        <v>Antwoine Hackford</v>
      </c>
      <c r="B730" t="s">
        <v>1957</v>
      </c>
      <c r="C730" t="s">
        <v>1958</v>
      </c>
      <c r="D730">
        <v>17</v>
      </c>
      <c r="E730">
        <v>4</v>
      </c>
      <c r="F730">
        <v>44</v>
      </c>
      <c r="G730">
        <v>11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5</v>
      </c>
      <c r="O730">
        <f t="shared" si="34"/>
        <v>0</v>
      </c>
      <c r="P730">
        <f t="shared" si="35"/>
        <v>0</v>
      </c>
    </row>
    <row r="731" spans="1:16" x14ac:dyDescent="0.25">
      <c r="A731" t="str">
        <f t="shared" si="33"/>
        <v>Gustavo Hamer</v>
      </c>
      <c r="B731" t="s">
        <v>409</v>
      </c>
      <c r="C731" t="s">
        <v>410</v>
      </c>
      <c r="D731">
        <v>17</v>
      </c>
      <c r="E731">
        <v>3</v>
      </c>
      <c r="F731">
        <v>49</v>
      </c>
      <c r="G731">
        <v>2908</v>
      </c>
      <c r="H731">
        <v>34</v>
      </c>
      <c r="I731">
        <v>4</v>
      </c>
      <c r="J731">
        <v>7</v>
      </c>
      <c r="K731">
        <v>3</v>
      </c>
      <c r="L731">
        <v>4.59</v>
      </c>
      <c r="M731">
        <v>108</v>
      </c>
      <c r="N731">
        <v>462</v>
      </c>
      <c r="O731">
        <f t="shared" si="34"/>
        <v>9.2847317744154043E-2</v>
      </c>
      <c r="P731">
        <f t="shared" si="35"/>
        <v>0.1420563961485557</v>
      </c>
    </row>
    <row r="732" spans="1:16" x14ac:dyDescent="0.25">
      <c r="A732" t="str">
        <f t="shared" si="33"/>
        <v>Tom Davies</v>
      </c>
      <c r="B732" t="s">
        <v>272</v>
      </c>
      <c r="C732" t="s">
        <v>700</v>
      </c>
      <c r="D732">
        <v>17</v>
      </c>
      <c r="E732">
        <v>3</v>
      </c>
      <c r="F732">
        <v>50</v>
      </c>
      <c r="G732">
        <v>214</v>
      </c>
      <c r="H732">
        <v>2</v>
      </c>
      <c r="I732">
        <v>0</v>
      </c>
      <c r="J732">
        <v>0</v>
      </c>
      <c r="K732">
        <v>0.34</v>
      </c>
      <c r="L732">
        <v>0.06</v>
      </c>
      <c r="M732">
        <v>7</v>
      </c>
      <c r="N732">
        <v>11</v>
      </c>
      <c r="O732">
        <f t="shared" si="34"/>
        <v>0.1429906542056075</v>
      </c>
      <c r="P732">
        <f t="shared" si="35"/>
        <v>2.5233644859813085E-2</v>
      </c>
    </row>
    <row r="733" spans="1:16" x14ac:dyDescent="0.25">
      <c r="A733" t="str">
        <f t="shared" si="33"/>
        <v>Luke Thomas</v>
      </c>
      <c r="B733" t="s">
        <v>375</v>
      </c>
      <c r="C733" t="s">
        <v>364</v>
      </c>
      <c r="D733">
        <v>17</v>
      </c>
      <c r="E733">
        <v>2</v>
      </c>
      <c r="F733">
        <v>40</v>
      </c>
      <c r="G733">
        <v>916</v>
      </c>
      <c r="H733">
        <v>11</v>
      </c>
      <c r="I733">
        <v>0</v>
      </c>
      <c r="J733">
        <v>0</v>
      </c>
      <c r="K733">
        <v>0.53</v>
      </c>
      <c r="L733">
        <v>0.18</v>
      </c>
      <c r="M733">
        <v>7</v>
      </c>
      <c r="N733">
        <v>80</v>
      </c>
      <c r="O733">
        <f t="shared" si="34"/>
        <v>5.2074235807860268E-2</v>
      </c>
      <c r="P733">
        <f t="shared" si="35"/>
        <v>1.7685589519650654E-2</v>
      </c>
    </row>
    <row r="734" spans="1:16" x14ac:dyDescent="0.25">
      <c r="A734" t="str">
        <f t="shared" si="33"/>
        <v>Ryan Oné</v>
      </c>
      <c r="B734" t="s">
        <v>164</v>
      </c>
      <c r="C734" t="s">
        <v>1959</v>
      </c>
      <c r="D734">
        <v>17</v>
      </c>
      <c r="E734">
        <v>3</v>
      </c>
      <c r="F734">
        <v>44</v>
      </c>
      <c r="G734">
        <v>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3</v>
      </c>
      <c r="O734">
        <f t="shared" si="34"/>
        <v>0</v>
      </c>
      <c r="P734">
        <f t="shared" si="35"/>
        <v>0</v>
      </c>
    </row>
    <row r="735" spans="1:16" x14ac:dyDescent="0.25">
      <c r="A735" t="str">
        <f t="shared" si="33"/>
        <v>Jili Buyabu</v>
      </c>
      <c r="B735" t="s">
        <v>1960</v>
      </c>
      <c r="C735" t="s">
        <v>1961</v>
      </c>
      <c r="D735">
        <v>17</v>
      </c>
      <c r="E735">
        <v>2</v>
      </c>
      <c r="F735">
        <v>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f t="shared" si="34"/>
        <v>0</v>
      </c>
      <c r="P735">
        <f t="shared" si="35"/>
        <v>0</v>
      </c>
    </row>
    <row r="736" spans="1:16" x14ac:dyDescent="0.25">
      <c r="A736" t="str">
        <f t="shared" si="33"/>
        <v>Sydie Peck</v>
      </c>
      <c r="B736" t="s">
        <v>1962</v>
      </c>
      <c r="C736" t="s">
        <v>1963</v>
      </c>
      <c r="D736">
        <v>17</v>
      </c>
      <c r="E736">
        <v>3</v>
      </c>
      <c r="F736">
        <v>44</v>
      </c>
      <c r="G736">
        <v>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3</v>
      </c>
      <c r="O736">
        <f t="shared" si="34"/>
        <v>0</v>
      </c>
      <c r="P736">
        <f t="shared" si="35"/>
        <v>0</v>
      </c>
    </row>
    <row r="737" spans="1:16" x14ac:dyDescent="0.25">
      <c r="A737" t="str">
        <f t="shared" si="33"/>
        <v>Ben Brereton</v>
      </c>
      <c r="B737" t="s">
        <v>159</v>
      </c>
      <c r="C737" t="s">
        <v>1964</v>
      </c>
      <c r="D737">
        <v>17</v>
      </c>
      <c r="E737">
        <v>3</v>
      </c>
      <c r="F737">
        <v>50</v>
      </c>
      <c r="G737">
        <v>1105</v>
      </c>
      <c r="H737">
        <v>14</v>
      </c>
      <c r="I737">
        <v>6</v>
      </c>
      <c r="J737">
        <v>1</v>
      </c>
      <c r="K737">
        <v>5.52</v>
      </c>
      <c r="L737">
        <v>1.07</v>
      </c>
      <c r="M737">
        <v>62</v>
      </c>
      <c r="N737">
        <v>173</v>
      </c>
      <c r="O737">
        <f t="shared" si="34"/>
        <v>0.44959276018099542</v>
      </c>
      <c r="P737">
        <f t="shared" si="35"/>
        <v>8.7149321266968338E-2</v>
      </c>
    </row>
    <row r="738" spans="1:16" x14ac:dyDescent="0.25">
      <c r="A738" t="str">
        <f t="shared" si="33"/>
        <v>Ivo Grbic</v>
      </c>
      <c r="B738" t="s">
        <v>1966</v>
      </c>
      <c r="C738" t="s">
        <v>1967</v>
      </c>
      <c r="D738">
        <v>17</v>
      </c>
      <c r="E738">
        <v>1</v>
      </c>
      <c r="F738">
        <v>45</v>
      </c>
      <c r="G738">
        <v>771</v>
      </c>
      <c r="H738">
        <v>9</v>
      </c>
      <c r="I738">
        <v>0</v>
      </c>
      <c r="J738">
        <v>0</v>
      </c>
      <c r="K738">
        <v>0</v>
      </c>
      <c r="L738">
        <v>0.01</v>
      </c>
      <c r="M738">
        <v>15</v>
      </c>
      <c r="N738">
        <v>149</v>
      </c>
      <c r="O738">
        <f t="shared" si="34"/>
        <v>0</v>
      </c>
      <c r="P738">
        <f t="shared" si="35"/>
        <v>1.1673151750972762E-3</v>
      </c>
    </row>
    <row r="739" spans="1:16" x14ac:dyDescent="0.25">
      <c r="A739" t="str">
        <f t="shared" si="33"/>
        <v>Billy Blacker</v>
      </c>
      <c r="B739" t="s">
        <v>1428</v>
      </c>
      <c r="C739" t="s">
        <v>1968</v>
      </c>
      <c r="D739">
        <v>17</v>
      </c>
      <c r="E739">
        <v>4</v>
      </c>
      <c r="F739">
        <v>45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f t="shared" si="34"/>
        <v>0</v>
      </c>
      <c r="P739">
        <f t="shared" si="35"/>
        <v>0</v>
      </c>
    </row>
    <row r="740" spans="1:16" x14ac:dyDescent="0.25">
      <c r="A740" t="str">
        <f t="shared" si="33"/>
        <v>Oliver Arblaster</v>
      </c>
      <c r="B740" t="s">
        <v>361</v>
      </c>
      <c r="C740" t="s">
        <v>1969</v>
      </c>
      <c r="D740">
        <v>17</v>
      </c>
      <c r="E740">
        <v>3</v>
      </c>
      <c r="F740">
        <v>45</v>
      </c>
      <c r="G740">
        <v>942</v>
      </c>
      <c r="H740">
        <v>11</v>
      </c>
      <c r="I740">
        <v>0</v>
      </c>
      <c r="J740">
        <v>0</v>
      </c>
      <c r="K740">
        <v>0.02</v>
      </c>
      <c r="L740">
        <v>0.82</v>
      </c>
      <c r="M740">
        <v>19</v>
      </c>
      <c r="N740">
        <v>131</v>
      </c>
      <c r="O740">
        <f t="shared" si="34"/>
        <v>1.9108280254777072E-3</v>
      </c>
      <c r="P740">
        <f t="shared" si="35"/>
        <v>7.8343949044585984E-2</v>
      </c>
    </row>
    <row r="741" spans="1:16" x14ac:dyDescent="0.25">
      <c r="A741" t="str">
        <f t="shared" si="33"/>
        <v>Dovydas Sasnauskas</v>
      </c>
      <c r="B741" t="s">
        <v>1970</v>
      </c>
      <c r="C741" t="s">
        <v>1971</v>
      </c>
      <c r="D741">
        <v>17</v>
      </c>
      <c r="E741">
        <v>2</v>
      </c>
      <c r="F741">
        <v>40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t="shared" si="34"/>
        <v>0</v>
      </c>
      <c r="P741">
        <f t="shared" si="35"/>
        <v>0</v>
      </c>
    </row>
    <row r="742" spans="1:16" x14ac:dyDescent="0.25">
      <c r="A742" t="str">
        <f t="shared" si="33"/>
        <v>Sam Curtis</v>
      </c>
      <c r="B742" t="s">
        <v>632</v>
      </c>
      <c r="C742" t="s">
        <v>729</v>
      </c>
      <c r="D742">
        <v>17</v>
      </c>
      <c r="E742">
        <v>2</v>
      </c>
      <c r="F742">
        <v>40</v>
      </c>
      <c r="G742">
        <v>27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2</v>
      </c>
      <c r="O742">
        <f t="shared" si="34"/>
        <v>0</v>
      </c>
      <c r="P742">
        <f t="shared" si="35"/>
        <v>0</v>
      </c>
    </row>
    <row r="743" spans="1:16" x14ac:dyDescent="0.25">
      <c r="A743" t="str">
        <f t="shared" si="33"/>
        <v>Owen Hampson</v>
      </c>
      <c r="B743" t="s">
        <v>1508</v>
      </c>
      <c r="C743" t="s">
        <v>1972</v>
      </c>
      <c r="D743">
        <v>17</v>
      </c>
      <c r="E743">
        <v>3</v>
      </c>
      <c r="F743">
        <v>45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f t="shared" si="34"/>
        <v>0</v>
      </c>
      <c r="P743">
        <f t="shared" si="35"/>
        <v>0</v>
      </c>
    </row>
    <row r="744" spans="1:16" x14ac:dyDescent="0.25">
      <c r="A744" t="str">
        <f t="shared" si="33"/>
        <v>Brennan Johnson</v>
      </c>
      <c r="B744" t="s">
        <v>470</v>
      </c>
      <c r="C744" t="s">
        <v>471</v>
      </c>
      <c r="D744">
        <v>18</v>
      </c>
      <c r="E744">
        <v>3</v>
      </c>
      <c r="F744">
        <v>58</v>
      </c>
      <c r="G744">
        <v>2317</v>
      </c>
      <c r="H744">
        <v>26</v>
      </c>
      <c r="I744">
        <v>5</v>
      </c>
      <c r="J744">
        <v>12</v>
      </c>
      <c r="K744">
        <v>10.36</v>
      </c>
      <c r="L744">
        <v>4.3</v>
      </c>
      <c r="M744">
        <v>131</v>
      </c>
      <c r="N744">
        <v>397</v>
      </c>
      <c r="O744">
        <f t="shared" si="34"/>
        <v>0.40241691842900301</v>
      </c>
      <c r="P744">
        <f t="shared" si="35"/>
        <v>0.16702632714717308</v>
      </c>
    </row>
    <row r="745" spans="1:16" x14ac:dyDescent="0.25">
      <c r="A745" t="str">
        <f t="shared" si="33"/>
        <v>Brandon Austin</v>
      </c>
      <c r="B745" t="s">
        <v>397</v>
      </c>
      <c r="C745" t="s">
        <v>935</v>
      </c>
      <c r="D745">
        <v>18</v>
      </c>
      <c r="E745">
        <v>1</v>
      </c>
      <c r="F745">
        <v>39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f t="shared" si="34"/>
        <v>0</v>
      </c>
      <c r="P745">
        <f t="shared" si="35"/>
        <v>0</v>
      </c>
    </row>
    <row r="746" spans="1:16" x14ac:dyDescent="0.25">
      <c r="A746" t="str">
        <f t="shared" si="33"/>
        <v>Rodrigo Bentancur</v>
      </c>
      <c r="B746" t="s">
        <v>531</v>
      </c>
      <c r="C746" t="s">
        <v>966</v>
      </c>
      <c r="D746">
        <v>18</v>
      </c>
      <c r="E746">
        <v>3</v>
      </c>
      <c r="F746">
        <v>54</v>
      </c>
      <c r="G746">
        <v>997</v>
      </c>
      <c r="H746">
        <v>13</v>
      </c>
      <c r="I746">
        <v>1</v>
      </c>
      <c r="J746">
        <v>1</v>
      </c>
      <c r="K746">
        <v>2.0099999999999998</v>
      </c>
      <c r="L746">
        <v>1.05</v>
      </c>
      <c r="M746">
        <v>32</v>
      </c>
      <c r="N746">
        <v>153</v>
      </c>
      <c r="O746">
        <f t="shared" si="34"/>
        <v>0.18144433299899698</v>
      </c>
      <c r="P746">
        <f t="shared" si="35"/>
        <v>9.478435305917754E-2</v>
      </c>
    </row>
    <row r="747" spans="1:16" x14ac:dyDescent="0.25">
      <c r="A747" t="str">
        <f t="shared" si="33"/>
        <v>Yves Bissouma</v>
      </c>
      <c r="B747" t="s">
        <v>1973</v>
      </c>
      <c r="C747" t="s">
        <v>1974</v>
      </c>
      <c r="D747">
        <v>18</v>
      </c>
      <c r="E747">
        <v>3</v>
      </c>
      <c r="F747">
        <v>50</v>
      </c>
      <c r="G747">
        <v>2070</v>
      </c>
      <c r="H747">
        <v>26</v>
      </c>
      <c r="I747">
        <v>0</v>
      </c>
      <c r="J747">
        <v>0</v>
      </c>
      <c r="K747">
        <v>1.18</v>
      </c>
      <c r="L747">
        <v>1.67</v>
      </c>
      <c r="M747">
        <v>44</v>
      </c>
      <c r="N747">
        <v>315</v>
      </c>
      <c r="O747">
        <f t="shared" si="34"/>
        <v>5.1304347826086949E-2</v>
      </c>
      <c r="P747">
        <f t="shared" si="35"/>
        <v>7.2608695652173899E-2</v>
      </c>
    </row>
    <row r="748" spans="1:16" x14ac:dyDescent="0.25">
      <c r="A748" t="str">
        <f t="shared" si="33"/>
        <v>Bryan Gil Salvatierra</v>
      </c>
      <c r="B748" t="s">
        <v>825</v>
      </c>
      <c r="C748" t="s">
        <v>1975</v>
      </c>
      <c r="D748">
        <v>18</v>
      </c>
      <c r="E748">
        <v>3</v>
      </c>
      <c r="F748">
        <v>49</v>
      </c>
      <c r="G748">
        <v>200</v>
      </c>
      <c r="H748">
        <v>2</v>
      </c>
      <c r="I748">
        <v>0</v>
      </c>
      <c r="J748">
        <v>0</v>
      </c>
      <c r="K748">
        <v>0.67</v>
      </c>
      <c r="L748">
        <v>0.24</v>
      </c>
      <c r="M748">
        <v>12</v>
      </c>
      <c r="N748">
        <v>41</v>
      </c>
      <c r="O748">
        <f t="shared" si="34"/>
        <v>0.30149999999999999</v>
      </c>
      <c r="P748">
        <f t="shared" si="35"/>
        <v>0.10799999999999998</v>
      </c>
    </row>
    <row r="749" spans="1:16" x14ac:dyDescent="0.25">
      <c r="A749" t="str">
        <f t="shared" si="33"/>
        <v>Ben Davies</v>
      </c>
      <c r="B749" t="s">
        <v>159</v>
      </c>
      <c r="C749" t="s">
        <v>700</v>
      </c>
      <c r="D749">
        <v>18</v>
      </c>
      <c r="E749">
        <v>2</v>
      </c>
      <c r="F749">
        <v>43</v>
      </c>
      <c r="G749">
        <v>1085</v>
      </c>
      <c r="H749">
        <v>12</v>
      </c>
      <c r="I749">
        <v>1</v>
      </c>
      <c r="J749">
        <v>2</v>
      </c>
      <c r="K749">
        <v>2.34</v>
      </c>
      <c r="L749">
        <v>0.56999999999999995</v>
      </c>
      <c r="M749">
        <v>34</v>
      </c>
      <c r="N749">
        <v>216</v>
      </c>
      <c r="O749">
        <f t="shared" si="34"/>
        <v>0.19410138248847927</v>
      </c>
      <c r="P749">
        <f t="shared" si="35"/>
        <v>4.7281105990783404E-2</v>
      </c>
    </row>
    <row r="750" spans="1:16" x14ac:dyDescent="0.25">
      <c r="A750" t="str">
        <f t="shared" si="33"/>
        <v>Eric Dier</v>
      </c>
      <c r="B750" t="s">
        <v>1798</v>
      </c>
      <c r="C750" t="s">
        <v>1976</v>
      </c>
      <c r="D750">
        <v>18</v>
      </c>
      <c r="E750">
        <v>2</v>
      </c>
      <c r="F750">
        <v>42</v>
      </c>
      <c r="G750">
        <v>199</v>
      </c>
      <c r="H750">
        <v>1</v>
      </c>
      <c r="I750">
        <v>0</v>
      </c>
      <c r="J750">
        <v>0</v>
      </c>
      <c r="K750">
        <v>0</v>
      </c>
      <c r="L750">
        <v>0.03</v>
      </c>
      <c r="M750">
        <v>2</v>
      </c>
      <c r="N750">
        <v>31</v>
      </c>
      <c r="O750">
        <f t="shared" si="34"/>
        <v>0</v>
      </c>
      <c r="P750">
        <f t="shared" si="35"/>
        <v>1.3567839195979897E-2</v>
      </c>
    </row>
    <row r="751" spans="1:16" x14ac:dyDescent="0.25">
      <c r="A751" t="str">
        <f t="shared" si="33"/>
        <v>Emerson Leite de Souza Junior</v>
      </c>
      <c r="B751" t="s">
        <v>1977</v>
      </c>
      <c r="C751" t="s">
        <v>1978</v>
      </c>
      <c r="D751">
        <v>18</v>
      </c>
      <c r="E751">
        <v>2</v>
      </c>
      <c r="F751">
        <v>43</v>
      </c>
      <c r="G751">
        <v>1152</v>
      </c>
      <c r="H751">
        <v>11</v>
      </c>
      <c r="I751">
        <v>1</v>
      </c>
      <c r="J751">
        <v>0</v>
      </c>
      <c r="K751">
        <v>0.22</v>
      </c>
      <c r="L751">
        <v>0.86</v>
      </c>
      <c r="M751">
        <v>27</v>
      </c>
      <c r="N751">
        <v>233</v>
      </c>
      <c r="O751">
        <f t="shared" si="34"/>
        <v>1.7187500000000001E-2</v>
      </c>
      <c r="P751">
        <f t="shared" si="35"/>
        <v>6.7187499999999997E-2</v>
      </c>
    </row>
    <row r="752" spans="1:16" x14ac:dyDescent="0.25">
      <c r="A752" t="str">
        <f t="shared" si="33"/>
        <v>Fraser Forster</v>
      </c>
      <c r="B752" t="s">
        <v>131</v>
      </c>
      <c r="C752" t="s">
        <v>132</v>
      </c>
      <c r="D752">
        <v>18</v>
      </c>
      <c r="E752">
        <v>1</v>
      </c>
      <c r="F752">
        <v>38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f t="shared" si="34"/>
        <v>0</v>
      </c>
      <c r="P752">
        <f t="shared" si="35"/>
        <v>0</v>
      </c>
    </row>
    <row r="753" spans="1:16" x14ac:dyDescent="0.25">
      <c r="A753" t="str">
        <f t="shared" si="33"/>
        <v>Pierre-Emile Højbjerg</v>
      </c>
      <c r="B753" t="s">
        <v>1979</v>
      </c>
      <c r="C753" t="s">
        <v>1980</v>
      </c>
      <c r="D753">
        <v>18</v>
      </c>
      <c r="E753">
        <v>3</v>
      </c>
      <c r="F753">
        <v>51</v>
      </c>
      <c r="G753">
        <v>1289</v>
      </c>
      <c r="H753">
        <v>8</v>
      </c>
      <c r="I753">
        <v>0</v>
      </c>
      <c r="J753">
        <v>0</v>
      </c>
      <c r="K753">
        <v>0.68</v>
      </c>
      <c r="L753">
        <v>1.57</v>
      </c>
      <c r="M753">
        <v>39</v>
      </c>
      <c r="N753">
        <v>239</v>
      </c>
      <c r="O753">
        <f t="shared" si="34"/>
        <v>4.7478665632273077E-2</v>
      </c>
      <c r="P753">
        <f t="shared" si="35"/>
        <v>0.10961986035686579</v>
      </c>
    </row>
    <row r="754" spans="1:16" x14ac:dyDescent="0.25">
      <c r="A754" t="str">
        <f t="shared" si="33"/>
        <v>Harry Kane</v>
      </c>
      <c r="B754" t="s">
        <v>270</v>
      </c>
      <c r="C754" t="s">
        <v>1981</v>
      </c>
      <c r="D754">
        <v>18</v>
      </c>
      <c r="E754">
        <v>4</v>
      </c>
      <c r="F754">
        <v>125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t="shared" si="34"/>
        <v>0</v>
      </c>
      <c r="P754">
        <f t="shared" si="35"/>
        <v>0</v>
      </c>
    </row>
    <row r="755" spans="1:16" x14ac:dyDescent="0.25">
      <c r="A755" t="str">
        <f t="shared" si="33"/>
        <v>Dejan Kulusevski</v>
      </c>
      <c r="B755" t="s">
        <v>971</v>
      </c>
      <c r="C755" t="s">
        <v>972</v>
      </c>
      <c r="D755">
        <v>18</v>
      </c>
      <c r="E755">
        <v>3</v>
      </c>
      <c r="F755">
        <v>67</v>
      </c>
      <c r="G755">
        <v>2759</v>
      </c>
      <c r="H755">
        <v>31</v>
      </c>
      <c r="I755">
        <v>8</v>
      </c>
      <c r="J755">
        <v>3</v>
      </c>
      <c r="K755">
        <v>4.95</v>
      </c>
      <c r="L755">
        <v>6.37</v>
      </c>
      <c r="M755">
        <v>130</v>
      </c>
      <c r="N755">
        <v>463</v>
      </c>
      <c r="O755">
        <f t="shared" si="34"/>
        <v>0.16147154766219646</v>
      </c>
      <c r="P755">
        <f t="shared" si="35"/>
        <v>0.20779267850670533</v>
      </c>
    </row>
    <row r="756" spans="1:16" x14ac:dyDescent="0.25">
      <c r="A756" t="str">
        <f t="shared" si="33"/>
        <v>Hugo Lloris</v>
      </c>
      <c r="B756" t="s">
        <v>741</v>
      </c>
      <c r="C756" t="s">
        <v>1982</v>
      </c>
      <c r="D756">
        <v>18</v>
      </c>
      <c r="E756">
        <v>1</v>
      </c>
      <c r="F756">
        <v>47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f t="shared" si="34"/>
        <v>0</v>
      </c>
      <c r="P756">
        <f t="shared" si="35"/>
        <v>0</v>
      </c>
    </row>
    <row r="757" spans="1:16" x14ac:dyDescent="0.25">
      <c r="A757" t="str">
        <f t="shared" si="33"/>
        <v>Giovani Lo Celso</v>
      </c>
      <c r="B757" t="s">
        <v>1983</v>
      </c>
      <c r="C757" t="s">
        <v>1984</v>
      </c>
      <c r="D757">
        <v>18</v>
      </c>
      <c r="E757">
        <v>3</v>
      </c>
      <c r="F757">
        <v>48</v>
      </c>
      <c r="G757">
        <v>491</v>
      </c>
      <c r="H757">
        <v>4</v>
      </c>
      <c r="I757">
        <v>2</v>
      </c>
      <c r="J757">
        <v>2</v>
      </c>
      <c r="K757">
        <v>0.54</v>
      </c>
      <c r="L757">
        <v>1.79</v>
      </c>
      <c r="M757">
        <v>47</v>
      </c>
      <c r="N757">
        <v>189</v>
      </c>
      <c r="O757">
        <f t="shared" si="34"/>
        <v>9.8981670061099813E-2</v>
      </c>
      <c r="P757">
        <f t="shared" si="35"/>
        <v>0.32810590631364561</v>
      </c>
    </row>
    <row r="758" spans="1:16" x14ac:dyDescent="0.25">
      <c r="A758" t="str">
        <f t="shared" si="33"/>
        <v>James Maddison</v>
      </c>
      <c r="B758" t="s">
        <v>135</v>
      </c>
      <c r="C758" t="s">
        <v>965</v>
      </c>
      <c r="D758">
        <v>18</v>
      </c>
      <c r="E758">
        <v>3</v>
      </c>
      <c r="F758">
        <v>78</v>
      </c>
      <c r="G758">
        <v>2137</v>
      </c>
      <c r="H758">
        <v>26</v>
      </c>
      <c r="I758">
        <v>4</v>
      </c>
      <c r="J758">
        <v>11</v>
      </c>
      <c r="K758">
        <v>6.53</v>
      </c>
      <c r="L758">
        <v>6.21</v>
      </c>
      <c r="M758">
        <v>117</v>
      </c>
      <c r="N758">
        <v>495</v>
      </c>
      <c r="O758">
        <f t="shared" si="34"/>
        <v>0.27501169864295744</v>
      </c>
      <c r="P758">
        <f t="shared" si="35"/>
        <v>0.26153486195601311</v>
      </c>
    </row>
    <row r="759" spans="1:16" x14ac:dyDescent="0.25">
      <c r="A759" t="str">
        <f t="shared" si="33"/>
        <v>Tanguy Ndombélé Alvaro</v>
      </c>
      <c r="B759" t="s">
        <v>1985</v>
      </c>
      <c r="C759" t="s">
        <v>1986</v>
      </c>
      <c r="D759">
        <v>18</v>
      </c>
      <c r="E759">
        <v>3</v>
      </c>
      <c r="F759">
        <v>44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f t="shared" si="34"/>
        <v>0</v>
      </c>
      <c r="P759">
        <f t="shared" si="35"/>
        <v>0</v>
      </c>
    </row>
    <row r="760" spans="1:16" x14ac:dyDescent="0.25">
      <c r="A760" t="str">
        <f t="shared" si="33"/>
        <v>Pedro Porro</v>
      </c>
      <c r="B760" t="s">
        <v>321</v>
      </c>
      <c r="C760" t="s">
        <v>1987</v>
      </c>
      <c r="D760">
        <v>18</v>
      </c>
      <c r="E760">
        <v>2</v>
      </c>
      <c r="F760">
        <v>59</v>
      </c>
      <c r="G760">
        <v>3090</v>
      </c>
      <c r="H760">
        <v>35</v>
      </c>
      <c r="I760">
        <v>3</v>
      </c>
      <c r="J760">
        <v>8</v>
      </c>
      <c r="K760">
        <v>2.92</v>
      </c>
      <c r="L760">
        <v>6.18</v>
      </c>
      <c r="M760">
        <v>136</v>
      </c>
      <c r="N760">
        <v>720</v>
      </c>
      <c r="O760">
        <f t="shared" si="34"/>
        <v>8.5048543689320383E-2</v>
      </c>
      <c r="P760">
        <f t="shared" si="35"/>
        <v>0.18</v>
      </c>
    </row>
    <row r="761" spans="1:16" x14ac:dyDescent="0.25">
      <c r="A761" t="str">
        <f t="shared" si="33"/>
        <v>Ivan Perišić</v>
      </c>
      <c r="B761" t="s">
        <v>1399</v>
      </c>
      <c r="C761" t="s">
        <v>1988</v>
      </c>
      <c r="D761">
        <v>18</v>
      </c>
      <c r="E761">
        <v>2</v>
      </c>
      <c r="F761">
        <v>47</v>
      </c>
      <c r="G761">
        <v>98</v>
      </c>
      <c r="H761">
        <v>0</v>
      </c>
      <c r="I761">
        <v>0</v>
      </c>
      <c r="J761">
        <v>1</v>
      </c>
      <c r="K761">
        <v>0.12</v>
      </c>
      <c r="L761">
        <v>0.8</v>
      </c>
      <c r="M761">
        <v>6</v>
      </c>
      <c r="N761">
        <v>34</v>
      </c>
      <c r="O761">
        <f t="shared" si="34"/>
        <v>0.11020408163265305</v>
      </c>
      <c r="P761">
        <f t="shared" si="35"/>
        <v>0.73469387755102045</v>
      </c>
    </row>
    <row r="762" spans="1:16" x14ac:dyDescent="0.25">
      <c r="A762" t="str">
        <f t="shared" si="33"/>
        <v>Richarlison de Andrade</v>
      </c>
      <c r="B762" t="s">
        <v>981</v>
      </c>
      <c r="C762" t="s">
        <v>982</v>
      </c>
      <c r="D762">
        <v>18</v>
      </c>
      <c r="E762">
        <v>3</v>
      </c>
      <c r="F762">
        <v>68</v>
      </c>
      <c r="G762">
        <v>1481</v>
      </c>
      <c r="H762">
        <v>18</v>
      </c>
      <c r="I762">
        <v>11</v>
      </c>
      <c r="J762">
        <v>4</v>
      </c>
      <c r="K762">
        <v>9.49</v>
      </c>
      <c r="L762">
        <v>1.42</v>
      </c>
      <c r="M762">
        <v>122</v>
      </c>
      <c r="N762">
        <v>305</v>
      </c>
      <c r="O762">
        <f t="shared" si="34"/>
        <v>0.57670492910195814</v>
      </c>
      <c r="P762">
        <f t="shared" si="35"/>
        <v>8.6293045239702895E-2</v>
      </c>
    </row>
    <row r="763" spans="1:16" x14ac:dyDescent="0.25">
      <c r="A763" t="str">
        <f t="shared" si="33"/>
        <v>Joe Rodon</v>
      </c>
      <c r="B763" t="s">
        <v>585</v>
      </c>
      <c r="C763" t="s">
        <v>658</v>
      </c>
      <c r="D763">
        <v>18</v>
      </c>
      <c r="E763">
        <v>2</v>
      </c>
      <c r="F763">
        <v>40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f t="shared" si="34"/>
        <v>0</v>
      </c>
      <c r="P763">
        <f t="shared" si="35"/>
        <v>0</v>
      </c>
    </row>
    <row r="764" spans="1:16" x14ac:dyDescent="0.25">
      <c r="A764" t="str">
        <f t="shared" si="33"/>
        <v>Cristian Romero</v>
      </c>
      <c r="B764" t="s">
        <v>942</v>
      </c>
      <c r="C764" t="s">
        <v>943</v>
      </c>
      <c r="D764">
        <v>18</v>
      </c>
      <c r="E764">
        <v>2</v>
      </c>
      <c r="F764">
        <v>51</v>
      </c>
      <c r="G764">
        <v>2790</v>
      </c>
      <c r="H764">
        <v>33</v>
      </c>
      <c r="I764">
        <v>5</v>
      </c>
      <c r="J764">
        <v>0</v>
      </c>
      <c r="K764">
        <v>3.25</v>
      </c>
      <c r="L764">
        <v>1.41</v>
      </c>
      <c r="M764">
        <v>107</v>
      </c>
      <c r="N764">
        <v>591</v>
      </c>
      <c r="O764">
        <f t="shared" si="34"/>
        <v>0.10483870967741936</v>
      </c>
      <c r="P764">
        <f t="shared" si="35"/>
        <v>4.5483870967741931E-2</v>
      </c>
    </row>
    <row r="765" spans="1:16" x14ac:dyDescent="0.25">
      <c r="A765" t="str">
        <f t="shared" si="33"/>
        <v>Davinson Sánchez</v>
      </c>
      <c r="B765" t="s">
        <v>1989</v>
      </c>
      <c r="C765" t="s">
        <v>180</v>
      </c>
      <c r="D765">
        <v>18</v>
      </c>
      <c r="E765">
        <v>2</v>
      </c>
      <c r="F765">
        <v>44</v>
      </c>
      <c r="G765">
        <v>76</v>
      </c>
      <c r="H765">
        <v>0</v>
      </c>
      <c r="I765">
        <v>0</v>
      </c>
      <c r="J765">
        <v>0</v>
      </c>
      <c r="K765">
        <v>0.12</v>
      </c>
      <c r="L765">
        <v>0.03</v>
      </c>
      <c r="M765">
        <v>0</v>
      </c>
      <c r="N765">
        <v>9</v>
      </c>
      <c r="O765">
        <f t="shared" si="34"/>
        <v>0.14210526315789473</v>
      </c>
      <c r="P765">
        <f t="shared" si="35"/>
        <v>3.5526315789473684E-2</v>
      </c>
    </row>
    <row r="766" spans="1:16" x14ac:dyDescent="0.25">
      <c r="A766" t="str">
        <f t="shared" si="33"/>
        <v>Pape Matar Sarr</v>
      </c>
      <c r="B766" t="s">
        <v>968</v>
      </c>
      <c r="C766" t="s">
        <v>312</v>
      </c>
      <c r="D766">
        <v>18</v>
      </c>
      <c r="E766">
        <v>3</v>
      </c>
      <c r="F766">
        <v>44</v>
      </c>
      <c r="G766">
        <v>2063</v>
      </c>
      <c r="H766">
        <v>27</v>
      </c>
      <c r="I766">
        <v>3</v>
      </c>
      <c r="J766">
        <v>3</v>
      </c>
      <c r="K766">
        <v>3.17</v>
      </c>
      <c r="L766">
        <v>2.09</v>
      </c>
      <c r="M766">
        <v>86</v>
      </c>
      <c r="N766">
        <v>397</v>
      </c>
      <c r="O766">
        <f t="shared" si="34"/>
        <v>0.1382937469704314</v>
      </c>
      <c r="P766">
        <f t="shared" si="35"/>
        <v>9.1177896267571487E-2</v>
      </c>
    </row>
    <row r="767" spans="1:16" x14ac:dyDescent="0.25">
      <c r="A767" t="str">
        <f t="shared" si="33"/>
        <v>Ryan Sessegnon</v>
      </c>
      <c r="B767" t="s">
        <v>164</v>
      </c>
      <c r="C767" t="s">
        <v>529</v>
      </c>
      <c r="D767">
        <v>18</v>
      </c>
      <c r="E767">
        <v>2</v>
      </c>
      <c r="F767">
        <v>44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f t="shared" si="34"/>
        <v>0</v>
      </c>
      <c r="P767">
        <f t="shared" si="35"/>
        <v>0</v>
      </c>
    </row>
    <row r="768" spans="1:16" x14ac:dyDescent="0.25">
      <c r="A768" t="str">
        <f t="shared" si="33"/>
        <v>Oliver Skipp</v>
      </c>
      <c r="B768" t="s">
        <v>361</v>
      </c>
      <c r="C768" t="s">
        <v>1990</v>
      </c>
      <c r="D768">
        <v>18</v>
      </c>
      <c r="E768">
        <v>3</v>
      </c>
      <c r="F768">
        <v>45</v>
      </c>
      <c r="G768">
        <v>691</v>
      </c>
      <c r="H768">
        <v>5</v>
      </c>
      <c r="I768">
        <v>0</v>
      </c>
      <c r="J768">
        <v>0</v>
      </c>
      <c r="K768">
        <v>0.77</v>
      </c>
      <c r="L768">
        <v>0.5</v>
      </c>
      <c r="M768">
        <v>22</v>
      </c>
      <c r="N768">
        <v>105</v>
      </c>
      <c r="O768">
        <f t="shared" si="34"/>
        <v>0.10028943560057887</v>
      </c>
      <c r="P768">
        <f t="shared" si="35"/>
        <v>6.5123010130246017E-2</v>
      </c>
    </row>
    <row r="769" spans="1:16" x14ac:dyDescent="0.25">
      <c r="A769" t="str">
        <f t="shared" si="33"/>
        <v>Son Heung-min</v>
      </c>
      <c r="B769" t="s">
        <v>1991</v>
      </c>
      <c r="C769" t="s">
        <v>1992</v>
      </c>
      <c r="D769">
        <v>18</v>
      </c>
      <c r="E769">
        <v>3</v>
      </c>
      <c r="F769">
        <v>100</v>
      </c>
      <c r="G769">
        <v>2934</v>
      </c>
      <c r="H769">
        <v>34</v>
      </c>
      <c r="I769">
        <v>17</v>
      </c>
      <c r="J769">
        <v>10</v>
      </c>
      <c r="K769">
        <v>11.49</v>
      </c>
      <c r="L769">
        <v>7.87</v>
      </c>
      <c r="M769">
        <v>213</v>
      </c>
      <c r="N769">
        <v>707</v>
      </c>
      <c r="O769">
        <f t="shared" si="34"/>
        <v>0.35245398773006137</v>
      </c>
      <c r="P769">
        <f t="shared" si="35"/>
        <v>0.24141104294478527</v>
      </c>
    </row>
    <row r="770" spans="1:16" x14ac:dyDescent="0.25">
      <c r="A770" t="str">
        <f t="shared" ref="A770:A833" si="36">_xlfn.CONCAT(B770, " ", C770)</f>
        <v>Djed Spence</v>
      </c>
      <c r="B770" t="s">
        <v>949</v>
      </c>
      <c r="C770" t="s">
        <v>950</v>
      </c>
      <c r="D770">
        <v>18</v>
      </c>
      <c r="E770">
        <v>2</v>
      </c>
      <c r="F770">
        <v>40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f t="shared" ref="O770:O833" si="37">IFERROR(K770/G770*90,0)</f>
        <v>0</v>
      </c>
      <c r="P770">
        <f t="shared" ref="P770:P833" si="38">IFERROR(L770/G770*90,0)</f>
        <v>0</v>
      </c>
    </row>
    <row r="771" spans="1:16" x14ac:dyDescent="0.25">
      <c r="A771" t="str">
        <f t="shared" si="36"/>
        <v>Japhet Tanganga</v>
      </c>
      <c r="B771" t="s">
        <v>1993</v>
      </c>
      <c r="C771" t="s">
        <v>1994</v>
      </c>
      <c r="D771">
        <v>18</v>
      </c>
      <c r="E771">
        <v>2</v>
      </c>
      <c r="F771">
        <v>40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f t="shared" si="37"/>
        <v>0</v>
      </c>
      <c r="P771">
        <f t="shared" si="38"/>
        <v>0</v>
      </c>
    </row>
    <row r="772" spans="1:16" x14ac:dyDescent="0.25">
      <c r="A772" t="str">
        <f t="shared" si="36"/>
        <v>Destiny Udogie</v>
      </c>
      <c r="B772" t="s">
        <v>951</v>
      </c>
      <c r="C772" t="s">
        <v>952</v>
      </c>
      <c r="D772">
        <v>18</v>
      </c>
      <c r="E772">
        <v>2</v>
      </c>
      <c r="F772">
        <v>49</v>
      </c>
      <c r="G772">
        <v>2391</v>
      </c>
      <c r="H772">
        <v>28</v>
      </c>
      <c r="I772">
        <v>2</v>
      </c>
      <c r="J772">
        <v>3</v>
      </c>
      <c r="K772">
        <v>2.42</v>
      </c>
      <c r="L772">
        <v>2.36</v>
      </c>
      <c r="M772">
        <v>79</v>
      </c>
      <c r="N772">
        <v>402</v>
      </c>
      <c r="O772">
        <f t="shared" si="37"/>
        <v>9.109159347553325E-2</v>
      </c>
      <c r="P772">
        <f t="shared" si="38"/>
        <v>8.8833124215809287E-2</v>
      </c>
    </row>
    <row r="773" spans="1:16" x14ac:dyDescent="0.25">
      <c r="A773" t="str">
        <f t="shared" si="36"/>
        <v>Guglielmo Vicario</v>
      </c>
      <c r="B773" t="s">
        <v>933</v>
      </c>
      <c r="C773" t="s">
        <v>934</v>
      </c>
      <c r="D773">
        <v>18</v>
      </c>
      <c r="E773">
        <v>1</v>
      </c>
      <c r="F773">
        <v>53</v>
      </c>
      <c r="G773">
        <v>3420</v>
      </c>
      <c r="H773">
        <v>38</v>
      </c>
      <c r="I773">
        <v>0</v>
      </c>
      <c r="J773">
        <v>0</v>
      </c>
      <c r="K773">
        <v>0</v>
      </c>
      <c r="L773">
        <v>0</v>
      </c>
      <c r="M773">
        <v>112</v>
      </c>
      <c r="N773">
        <v>730</v>
      </c>
      <c r="O773">
        <f t="shared" si="37"/>
        <v>0</v>
      </c>
      <c r="P773">
        <f t="shared" si="38"/>
        <v>0</v>
      </c>
    </row>
    <row r="774" spans="1:16" x14ac:dyDescent="0.25">
      <c r="A774" t="str">
        <f t="shared" si="36"/>
        <v>Alfie Whiteman</v>
      </c>
      <c r="B774" t="s">
        <v>507</v>
      </c>
      <c r="C774" t="s">
        <v>1995</v>
      </c>
      <c r="D774">
        <v>18</v>
      </c>
      <c r="E774">
        <v>1</v>
      </c>
      <c r="F774">
        <v>39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f t="shared" si="37"/>
        <v>0</v>
      </c>
      <c r="P774">
        <f t="shared" si="38"/>
        <v>0</v>
      </c>
    </row>
    <row r="775" spans="1:16" x14ac:dyDescent="0.25">
      <c r="A775" t="str">
        <f t="shared" si="36"/>
        <v>Manor Solomon</v>
      </c>
      <c r="B775" t="s">
        <v>1996</v>
      </c>
      <c r="C775" t="s">
        <v>1997</v>
      </c>
      <c r="D775">
        <v>18</v>
      </c>
      <c r="E775">
        <v>3</v>
      </c>
      <c r="F775">
        <v>51</v>
      </c>
      <c r="G775">
        <v>196</v>
      </c>
      <c r="H775">
        <v>2</v>
      </c>
      <c r="I775">
        <v>0</v>
      </c>
      <c r="J775">
        <v>2</v>
      </c>
      <c r="K775">
        <v>0.41</v>
      </c>
      <c r="L775">
        <v>0.75</v>
      </c>
      <c r="M775">
        <v>14</v>
      </c>
      <c r="N775">
        <v>53</v>
      </c>
      <c r="O775">
        <f t="shared" si="37"/>
        <v>0.18826530612244896</v>
      </c>
      <c r="P775">
        <f t="shared" si="38"/>
        <v>0.34438775510204078</v>
      </c>
    </row>
    <row r="776" spans="1:16" x14ac:dyDescent="0.25">
      <c r="A776" t="str">
        <f t="shared" si="36"/>
        <v>Micky van de Ven</v>
      </c>
      <c r="B776" t="s">
        <v>947</v>
      </c>
      <c r="C776" t="s">
        <v>948</v>
      </c>
      <c r="D776">
        <v>18</v>
      </c>
      <c r="E776">
        <v>2</v>
      </c>
      <c r="F776">
        <v>44</v>
      </c>
      <c r="G776">
        <v>2341</v>
      </c>
      <c r="H776">
        <v>27</v>
      </c>
      <c r="I776">
        <v>3</v>
      </c>
      <c r="J776">
        <v>0</v>
      </c>
      <c r="K776">
        <v>0.61</v>
      </c>
      <c r="L776">
        <v>0.33</v>
      </c>
      <c r="M776">
        <v>81</v>
      </c>
      <c r="N776">
        <v>501</v>
      </c>
      <c r="O776">
        <f t="shared" si="37"/>
        <v>2.3451516445963261E-2</v>
      </c>
      <c r="P776">
        <f t="shared" si="38"/>
        <v>1.2686885946176849E-2</v>
      </c>
    </row>
    <row r="777" spans="1:16" x14ac:dyDescent="0.25">
      <c r="A777" t="str">
        <f t="shared" si="36"/>
        <v>Dane Scarlett</v>
      </c>
      <c r="B777" t="s">
        <v>983</v>
      </c>
      <c r="C777" t="s">
        <v>984</v>
      </c>
      <c r="D777">
        <v>18</v>
      </c>
      <c r="E777">
        <v>4</v>
      </c>
      <c r="F777">
        <v>45</v>
      </c>
      <c r="G777">
        <v>19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4</v>
      </c>
      <c r="N777">
        <v>10</v>
      </c>
      <c r="O777">
        <f t="shared" si="37"/>
        <v>0</v>
      </c>
      <c r="P777">
        <f t="shared" si="38"/>
        <v>0</v>
      </c>
    </row>
    <row r="778" spans="1:16" x14ac:dyDescent="0.25">
      <c r="A778" t="str">
        <f t="shared" si="36"/>
        <v>Alejo Véliz</v>
      </c>
      <c r="B778" t="s">
        <v>1998</v>
      </c>
      <c r="C778" t="s">
        <v>1999</v>
      </c>
      <c r="D778">
        <v>18</v>
      </c>
      <c r="E778">
        <v>4</v>
      </c>
      <c r="F778">
        <v>54</v>
      </c>
      <c r="G778">
        <v>45</v>
      </c>
      <c r="H778">
        <v>0</v>
      </c>
      <c r="I778">
        <v>1</v>
      </c>
      <c r="J778">
        <v>0</v>
      </c>
      <c r="K778">
        <v>0.42</v>
      </c>
      <c r="L778">
        <v>0</v>
      </c>
      <c r="M778">
        <v>11</v>
      </c>
      <c r="N778">
        <v>40</v>
      </c>
      <c r="O778">
        <f t="shared" si="37"/>
        <v>0.83999999999999986</v>
      </c>
      <c r="P778">
        <f t="shared" si="38"/>
        <v>0</v>
      </c>
    </row>
    <row r="779" spans="1:16" x14ac:dyDescent="0.25">
      <c r="A779" t="str">
        <f t="shared" si="36"/>
        <v>Ashley Phillips</v>
      </c>
      <c r="B779" t="s">
        <v>953</v>
      </c>
      <c r="C779" t="s">
        <v>541</v>
      </c>
      <c r="D779">
        <v>18</v>
      </c>
      <c r="E779">
        <v>2</v>
      </c>
      <c r="F779">
        <v>40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f t="shared" si="37"/>
        <v>0</v>
      </c>
      <c r="P779">
        <f t="shared" si="38"/>
        <v>0</v>
      </c>
    </row>
    <row r="780" spans="1:16" x14ac:dyDescent="0.25">
      <c r="A780" t="str">
        <f t="shared" si="36"/>
        <v>Jamie Donley</v>
      </c>
      <c r="B780" t="s">
        <v>325</v>
      </c>
      <c r="C780" t="s">
        <v>2000</v>
      </c>
      <c r="D780">
        <v>18</v>
      </c>
      <c r="E780">
        <v>4</v>
      </c>
      <c r="F780">
        <v>45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2</v>
      </c>
      <c r="N780">
        <v>3</v>
      </c>
      <c r="O780">
        <f t="shared" si="37"/>
        <v>0</v>
      </c>
      <c r="P780">
        <f t="shared" si="38"/>
        <v>0</v>
      </c>
    </row>
    <row r="781" spans="1:16" x14ac:dyDescent="0.25">
      <c r="A781" t="str">
        <f t="shared" si="36"/>
        <v>Alfie Dorrington</v>
      </c>
      <c r="B781" t="s">
        <v>507</v>
      </c>
      <c r="C781" t="s">
        <v>2001</v>
      </c>
      <c r="D781">
        <v>18</v>
      </c>
      <c r="E781">
        <v>2</v>
      </c>
      <c r="F781">
        <v>40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f t="shared" si="37"/>
        <v>0</v>
      </c>
      <c r="P781">
        <f t="shared" si="38"/>
        <v>0</v>
      </c>
    </row>
    <row r="782" spans="1:16" x14ac:dyDescent="0.25">
      <c r="A782" t="str">
        <f t="shared" si="36"/>
        <v>Yago de Santiago Alonso</v>
      </c>
      <c r="B782" t="s">
        <v>2002</v>
      </c>
      <c r="C782" t="s">
        <v>2003</v>
      </c>
      <c r="D782">
        <v>18</v>
      </c>
      <c r="E782">
        <v>3</v>
      </c>
      <c r="F782">
        <v>45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f t="shared" si="37"/>
        <v>0</v>
      </c>
      <c r="P782">
        <f t="shared" si="38"/>
        <v>0</v>
      </c>
    </row>
    <row r="783" spans="1:16" x14ac:dyDescent="0.25">
      <c r="A783" t="str">
        <f t="shared" si="36"/>
        <v>Timo Werner</v>
      </c>
      <c r="B783" t="s">
        <v>2004</v>
      </c>
      <c r="C783" t="s">
        <v>2005</v>
      </c>
      <c r="D783">
        <v>18</v>
      </c>
      <c r="E783">
        <v>4</v>
      </c>
      <c r="F783">
        <v>63</v>
      </c>
      <c r="G783">
        <v>808</v>
      </c>
      <c r="H783">
        <v>10</v>
      </c>
      <c r="I783">
        <v>2</v>
      </c>
      <c r="J783">
        <v>4</v>
      </c>
      <c r="K783">
        <v>3.81</v>
      </c>
      <c r="L783">
        <v>2.93</v>
      </c>
      <c r="M783">
        <v>46</v>
      </c>
      <c r="N783">
        <v>173</v>
      </c>
      <c r="O783">
        <f t="shared" si="37"/>
        <v>0.42438118811881187</v>
      </c>
      <c r="P783">
        <f t="shared" si="38"/>
        <v>0.32636138613861387</v>
      </c>
    </row>
    <row r="784" spans="1:16" x14ac:dyDescent="0.25">
      <c r="A784" t="str">
        <f t="shared" si="36"/>
        <v>Radu Dragusin</v>
      </c>
      <c r="B784" t="s">
        <v>1370</v>
      </c>
      <c r="C784" t="s">
        <v>2006</v>
      </c>
      <c r="D784">
        <v>18</v>
      </c>
      <c r="E784">
        <v>2</v>
      </c>
      <c r="F784">
        <v>42</v>
      </c>
      <c r="G784">
        <v>424</v>
      </c>
      <c r="H784">
        <v>4</v>
      </c>
      <c r="I784">
        <v>0</v>
      </c>
      <c r="J784">
        <v>0</v>
      </c>
      <c r="K784">
        <v>0.14000000000000001</v>
      </c>
      <c r="L784">
        <v>0.01</v>
      </c>
      <c r="M784">
        <v>14</v>
      </c>
      <c r="N784">
        <v>82</v>
      </c>
      <c r="O784">
        <f t="shared" si="37"/>
        <v>2.9716981132075476E-2</v>
      </c>
      <c r="P784">
        <f t="shared" si="38"/>
        <v>2.1226415094339622E-3</v>
      </c>
    </row>
    <row r="785" spans="1:16" x14ac:dyDescent="0.25">
      <c r="A785" t="str">
        <f t="shared" si="36"/>
        <v>Mikey Moore</v>
      </c>
      <c r="B785" t="s">
        <v>975</v>
      </c>
      <c r="C785" t="s">
        <v>976</v>
      </c>
      <c r="D785">
        <v>18</v>
      </c>
      <c r="E785">
        <v>3</v>
      </c>
      <c r="F785">
        <v>45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4</v>
      </c>
      <c r="O785">
        <f t="shared" si="37"/>
        <v>0</v>
      </c>
      <c r="P785">
        <f t="shared" si="38"/>
        <v>0</v>
      </c>
    </row>
    <row r="786" spans="1:16" x14ac:dyDescent="0.25">
      <c r="A786" t="str">
        <f t="shared" si="36"/>
        <v>Tyrese Hall</v>
      </c>
      <c r="B786" t="s">
        <v>1650</v>
      </c>
      <c r="C786" t="s">
        <v>860</v>
      </c>
      <c r="D786">
        <v>18</v>
      </c>
      <c r="E786">
        <v>3</v>
      </c>
      <c r="F786">
        <v>45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t="shared" si="37"/>
        <v>0</v>
      </c>
      <c r="P786">
        <f t="shared" si="38"/>
        <v>0</v>
      </c>
    </row>
    <row r="787" spans="1:16" x14ac:dyDescent="0.25">
      <c r="A787" t="str">
        <f t="shared" si="36"/>
        <v>Kalvin Phillips</v>
      </c>
      <c r="B787" t="s">
        <v>786</v>
      </c>
      <c r="C787" t="s">
        <v>541</v>
      </c>
      <c r="D787">
        <v>19</v>
      </c>
      <c r="E787">
        <v>3</v>
      </c>
      <c r="F787">
        <v>47</v>
      </c>
      <c r="G787">
        <v>394</v>
      </c>
      <c r="H787">
        <v>3</v>
      </c>
      <c r="I787">
        <v>0</v>
      </c>
      <c r="J787">
        <v>0</v>
      </c>
      <c r="K787">
        <v>0.22</v>
      </c>
      <c r="L787">
        <v>0.11</v>
      </c>
      <c r="M787">
        <v>10</v>
      </c>
      <c r="N787">
        <v>27</v>
      </c>
      <c r="O787">
        <f t="shared" si="37"/>
        <v>5.0253807106598984E-2</v>
      </c>
      <c r="P787">
        <f t="shared" si="38"/>
        <v>2.5126903553299492E-2</v>
      </c>
    </row>
    <row r="788" spans="1:16" x14ac:dyDescent="0.25">
      <c r="A788" t="str">
        <f t="shared" si="36"/>
        <v>Nayef Aguerd</v>
      </c>
      <c r="B788" t="s">
        <v>2008</v>
      </c>
      <c r="C788" t="s">
        <v>2009</v>
      </c>
      <c r="D788">
        <v>19</v>
      </c>
      <c r="E788">
        <v>2</v>
      </c>
      <c r="F788">
        <v>44</v>
      </c>
      <c r="G788">
        <v>1857</v>
      </c>
      <c r="H788">
        <v>21</v>
      </c>
      <c r="I788">
        <v>1</v>
      </c>
      <c r="J788">
        <v>0</v>
      </c>
      <c r="K788">
        <v>1.37</v>
      </c>
      <c r="L788">
        <v>0.41</v>
      </c>
      <c r="M788">
        <v>36</v>
      </c>
      <c r="N788">
        <v>282</v>
      </c>
      <c r="O788">
        <f t="shared" si="37"/>
        <v>6.6397415185783529E-2</v>
      </c>
      <c r="P788">
        <f t="shared" si="38"/>
        <v>1.9870759289176088E-2</v>
      </c>
    </row>
    <row r="789" spans="1:16" x14ac:dyDescent="0.25">
      <c r="A789" t="str">
        <f t="shared" si="36"/>
        <v>Michail Antonio</v>
      </c>
      <c r="B789" t="s">
        <v>2010</v>
      </c>
      <c r="C789" t="s">
        <v>2011</v>
      </c>
      <c r="D789">
        <v>19</v>
      </c>
      <c r="E789">
        <v>4</v>
      </c>
      <c r="F789">
        <v>57</v>
      </c>
      <c r="G789">
        <v>1692</v>
      </c>
      <c r="H789">
        <v>21</v>
      </c>
      <c r="I789">
        <v>6</v>
      </c>
      <c r="J789">
        <v>2</v>
      </c>
      <c r="K789">
        <v>5.45</v>
      </c>
      <c r="L789">
        <v>1.28</v>
      </c>
      <c r="M789">
        <v>78</v>
      </c>
      <c r="N789">
        <v>228</v>
      </c>
      <c r="O789">
        <f t="shared" si="37"/>
        <v>0.28989361702127664</v>
      </c>
      <c r="P789">
        <f t="shared" si="38"/>
        <v>6.8085106382978725E-2</v>
      </c>
    </row>
    <row r="790" spans="1:16" x14ac:dyDescent="0.25">
      <c r="A790" t="str">
        <f t="shared" si="36"/>
        <v>Alphonse Areola</v>
      </c>
      <c r="B790" t="s">
        <v>2012</v>
      </c>
      <c r="C790" t="s">
        <v>2013</v>
      </c>
      <c r="D790">
        <v>19</v>
      </c>
      <c r="E790">
        <v>1</v>
      </c>
      <c r="F790">
        <v>42</v>
      </c>
      <c r="G790">
        <v>2700</v>
      </c>
      <c r="H790">
        <v>31</v>
      </c>
      <c r="I790">
        <v>0</v>
      </c>
      <c r="J790">
        <v>0</v>
      </c>
      <c r="K790">
        <v>0</v>
      </c>
      <c r="L790">
        <v>0</v>
      </c>
      <c r="M790">
        <v>116</v>
      </c>
      <c r="N790">
        <v>598</v>
      </c>
      <c r="O790">
        <f t="shared" si="37"/>
        <v>0</v>
      </c>
      <c r="P790">
        <f t="shared" si="38"/>
        <v>0</v>
      </c>
    </row>
    <row r="791" spans="1:16" x14ac:dyDescent="0.25">
      <c r="A791" t="str">
        <f t="shared" si="36"/>
        <v>Saïd Benrahma</v>
      </c>
      <c r="B791" t="s">
        <v>2014</v>
      </c>
      <c r="C791" t="s">
        <v>2015</v>
      </c>
      <c r="D791">
        <v>19</v>
      </c>
      <c r="E791">
        <v>3</v>
      </c>
      <c r="F791">
        <v>56</v>
      </c>
      <c r="G791">
        <v>611</v>
      </c>
      <c r="H791">
        <v>5</v>
      </c>
      <c r="I791">
        <v>0</v>
      </c>
      <c r="J791">
        <v>1</v>
      </c>
      <c r="K791">
        <v>1.91</v>
      </c>
      <c r="L791">
        <v>0.77</v>
      </c>
      <c r="M791">
        <v>20</v>
      </c>
      <c r="N791">
        <v>64</v>
      </c>
      <c r="O791">
        <f t="shared" si="37"/>
        <v>0.28134206219312602</v>
      </c>
      <c r="P791">
        <f t="shared" si="38"/>
        <v>0.11342062193126022</v>
      </c>
    </row>
    <row r="792" spans="1:16" x14ac:dyDescent="0.25">
      <c r="A792" t="str">
        <f t="shared" si="36"/>
        <v>Jarrod Bowen</v>
      </c>
      <c r="B792" t="s">
        <v>2016</v>
      </c>
      <c r="C792" t="s">
        <v>2017</v>
      </c>
      <c r="D792">
        <v>19</v>
      </c>
      <c r="E792">
        <v>3</v>
      </c>
      <c r="F792">
        <v>76</v>
      </c>
      <c r="G792">
        <v>3020</v>
      </c>
      <c r="H792">
        <v>34</v>
      </c>
      <c r="I792">
        <v>16</v>
      </c>
      <c r="J792">
        <v>6</v>
      </c>
      <c r="K792">
        <v>11.96</v>
      </c>
      <c r="L792">
        <v>4.9000000000000004</v>
      </c>
      <c r="M792">
        <v>182</v>
      </c>
      <c r="N792">
        <v>519</v>
      </c>
      <c r="O792">
        <f t="shared" si="37"/>
        <v>0.35642384105960268</v>
      </c>
      <c r="P792">
        <f t="shared" si="38"/>
        <v>0.14602649006622517</v>
      </c>
    </row>
    <row r="793" spans="1:16" x14ac:dyDescent="0.25">
      <c r="A793" t="str">
        <f t="shared" si="36"/>
        <v>Maxwel Cornet</v>
      </c>
      <c r="B793" t="s">
        <v>2018</v>
      </c>
      <c r="C793" t="s">
        <v>2019</v>
      </c>
      <c r="D793">
        <v>19</v>
      </c>
      <c r="E793">
        <v>3</v>
      </c>
      <c r="F793">
        <v>52</v>
      </c>
      <c r="G793">
        <v>109</v>
      </c>
      <c r="H793">
        <v>1</v>
      </c>
      <c r="I793">
        <v>1</v>
      </c>
      <c r="J793">
        <v>0</v>
      </c>
      <c r="K793">
        <v>0.4</v>
      </c>
      <c r="L793">
        <v>0.02</v>
      </c>
      <c r="M793">
        <v>13</v>
      </c>
      <c r="N793">
        <v>40</v>
      </c>
      <c r="O793">
        <f t="shared" si="37"/>
        <v>0.33027522935779818</v>
      </c>
      <c r="P793">
        <f t="shared" si="38"/>
        <v>1.6513761467889909E-2</v>
      </c>
    </row>
    <row r="794" spans="1:16" x14ac:dyDescent="0.25">
      <c r="A794" t="str">
        <f t="shared" si="36"/>
        <v>Vladimír Coufal</v>
      </c>
      <c r="B794" t="s">
        <v>2020</v>
      </c>
      <c r="C794" t="s">
        <v>2021</v>
      </c>
      <c r="D794">
        <v>19</v>
      </c>
      <c r="E794">
        <v>2</v>
      </c>
      <c r="F794">
        <v>45</v>
      </c>
      <c r="G794">
        <v>3135</v>
      </c>
      <c r="H794">
        <v>36</v>
      </c>
      <c r="I794">
        <v>0</v>
      </c>
      <c r="J794">
        <v>7</v>
      </c>
      <c r="K794">
        <v>0.35</v>
      </c>
      <c r="L794">
        <v>3.01</v>
      </c>
      <c r="M794">
        <v>85</v>
      </c>
      <c r="N794">
        <v>514</v>
      </c>
      <c r="O794">
        <f t="shared" si="37"/>
        <v>1.0047846889952153E-2</v>
      </c>
      <c r="P794">
        <f t="shared" si="38"/>
        <v>8.6411483253588509E-2</v>
      </c>
    </row>
    <row r="795" spans="1:16" x14ac:dyDescent="0.25">
      <c r="A795" t="str">
        <f t="shared" si="36"/>
        <v>Conor Coventry</v>
      </c>
      <c r="B795" t="s">
        <v>708</v>
      </c>
      <c r="C795" t="s">
        <v>2022</v>
      </c>
      <c r="D795">
        <v>19</v>
      </c>
      <c r="E795">
        <v>3</v>
      </c>
      <c r="F795">
        <v>43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f t="shared" si="37"/>
        <v>0</v>
      </c>
      <c r="P795">
        <f t="shared" si="38"/>
        <v>0</v>
      </c>
    </row>
    <row r="796" spans="1:16" x14ac:dyDescent="0.25">
      <c r="A796" t="str">
        <f t="shared" si="36"/>
        <v>Aaron Cresswell</v>
      </c>
      <c r="B796" t="s">
        <v>197</v>
      </c>
      <c r="C796" t="s">
        <v>1228</v>
      </c>
      <c r="D796">
        <v>19</v>
      </c>
      <c r="E796">
        <v>2</v>
      </c>
      <c r="F796">
        <v>42</v>
      </c>
      <c r="G796">
        <v>431</v>
      </c>
      <c r="H796">
        <v>4</v>
      </c>
      <c r="I796">
        <v>0</v>
      </c>
      <c r="J796">
        <v>0</v>
      </c>
      <c r="K796">
        <v>0</v>
      </c>
      <c r="L796">
        <v>0.44</v>
      </c>
      <c r="M796">
        <v>10</v>
      </c>
      <c r="N796">
        <v>71</v>
      </c>
      <c r="O796">
        <f t="shared" si="37"/>
        <v>0</v>
      </c>
      <c r="P796">
        <f t="shared" si="38"/>
        <v>9.1879350348027841E-2</v>
      </c>
    </row>
    <row r="797" spans="1:16" x14ac:dyDescent="0.25">
      <c r="A797" t="str">
        <f t="shared" si="36"/>
        <v>Flynn Downes</v>
      </c>
      <c r="B797" t="s">
        <v>2023</v>
      </c>
      <c r="C797" t="s">
        <v>2024</v>
      </c>
      <c r="D797">
        <v>19</v>
      </c>
      <c r="E797">
        <v>3</v>
      </c>
      <c r="F797">
        <v>50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f t="shared" si="37"/>
        <v>0</v>
      </c>
      <c r="P797">
        <f t="shared" si="38"/>
        <v>0</v>
      </c>
    </row>
    <row r="798" spans="1:16" x14ac:dyDescent="0.25">
      <c r="A798" t="str">
        <f t="shared" si="36"/>
        <v>Emerson Palmieri dos Santos</v>
      </c>
      <c r="B798" t="s">
        <v>1977</v>
      </c>
      <c r="C798" t="s">
        <v>2025</v>
      </c>
      <c r="D798">
        <v>19</v>
      </c>
      <c r="E798">
        <v>2</v>
      </c>
      <c r="F798">
        <v>43</v>
      </c>
      <c r="G798">
        <v>3138</v>
      </c>
      <c r="H798">
        <v>35</v>
      </c>
      <c r="I798">
        <v>1</v>
      </c>
      <c r="J798">
        <v>4</v>
      </c>
      <c r="K798">
        <v>1.64</v>
      </c>
      <c r="L798">
        <v>2.0699999999999998</v>
      </c>
      <c r="M798">
        <v>82</v>
      </c>
      <c r="N798">
        <v>519</v>
      </c>
      <c r="O798">
        <f t="shared" si="37"/>
        <v>4.7036328871892921E-2</v>
      </c>
      <c r="P798">
        <f t="shared" si="38"/>
        <v>5.9369024856596557E-2</v>
      </c>
    </row>
    <row r="799" spans="1:16" x14ac:dyDescent="0.25">
      <c r="A799" t="str">
        <f t="shared" si="36"/>
        <v>Lukasz Fabianski</v>
      </c>
      <c r="B799" t="s">
        <v>2026</v>
      </c>
      <c r="C799" t="s">
        <v>2027</v>
      </c>
      <c r="D799">
        <v>19</v>
      </c>
      <c r="E799">
        <v>1</v>
      </c>
      <c r="F799">
        <v>42</v>
      </c>
      <c r="G799">
        <v>721</v>
      </c>
      <c r="H799">
        <v>7</v>
      </c>
      <c r="I799">
        <v>0</v>
      </c>
      <c r="J799">
        <v>0</v>
      </c>
      <c r="K799">
        <v>0</v>
      </c>
      <c r="L799">
        <v>0</v>
      </c>
      <c r="M799">
        <v>24</v>
      </c>
      <c r="N799">
        <v>152</v>
      </c>
      <c r="O799">
        <f t="shared" si="37"/>
        <v>0</v>
      </c>
      <c r="P799">
        <f t="shared" si="38"/>
        <v>0</v>
      </c>
    </row>
    <row r="800" spans="1:16" x14ac:dyDescent="0.25">
      <c r="A800" t="str">
        <f t="shared" si="36"/>
        <v>Pablo Fornals Malla</v>
      </c>
      <c r="B800" t="s">
        <v>2028</v>
      </c>
      <c r="C800" t="s">
        <v>2029</v>
      </c>
      <c r="D800">
        <v>19</v>
      </c>
      <c r="E800">
        <v>3</v>
      </c>
      <c r="F800">
        <v>46</v>
      </c>
      <c r="G800">
        <v>418</v>
      </c>
      <c r="H800">
        <v>4</v>
      </c>
      <c r="I800">
        <v>0</v>
      </c>
      <c r="J800">
        <v>0</v>
      </c>
      <c r="K800">
        <v>0.31</v>
      </c>
      <c r="L800">
        <v>0.34</v>
      </c>
      <c r="M800">
        <v>19</v>
      </c>
      <c r="N800">
        <v>68</v>
      </c>
      <c r="O800">
        <f t="shared" si="37"/>
        <v>6.6746411483253582E-2</v>
      </c>
      <c r="P800">
        <f t="shared" si="38"/>
        <v>7.320574162679426E-2</v>
      </c>
    </row>
    <row r="801" spans="1:16" x14ac:dyDescent="0.25">
      <c r="A801" t="str">
        <f t="shared" si="36"/>
        <v>Danny Ings</v>
      </c>
      <c r="B801" t="s">
        <v>291</v>
      </c>
      <c r="C801" t="s">
        <v>2030</v>
      </c>
      <c r="D801">
        <v>19</v>
      </c>
      <c r="E801">
        <v>4</v>
      </c>
      <c r="F801">
        <v>55</v>
      </c>
      <c r="G801">
        <v>389</v>
      </c>
      <c r="H801">
        <v>3</v>
      </c>
      <c r="I801">
        <v>1</v>
      </c>
      <c r="J801">
        <v>2</v>
      </c>
      <c r="K801">
        <v>1.18</v>
      </c>
      <c r="L801">
        <v>0.26</v>
      </c>
      <c r="M801">
        <v>36</v>
      </c>
      <c r="N801">
        <v>105</v>
      </c>
      <c r="O801">
        <f t="shared" si="37"/>
        <v>0.27300771208226221</v>
      </c>
      <c r="P801">
        <f t="shared" si="38"/>
        <v>6.0154241645244216E-2</v>
      </c>
    </row>
    <row r="802" spans="1:16" x14ac:dyDescent="0.25">
      <c r="A802" t="str">
        <f t="shared" si="36"/>
        <v>Ben Johnson</v>
      </c>
      <c r="B802" t="s">
        <v>159</v>
      </c>
      <c r="C802" t="s">
        <v>471</v>
      </c>
      <c r="D802">
        <v>19</v>
      </c>
      <c r="E802">
        <v>2</v>
      </c>
      <c r="F802">
        <v>44</v>
      </c>
      <c r="G802">
        <v>538</v>
      </c>
      <c r="H802">
        <v>4</v>
      </c>
      <c r="I802">
        <v>0</v>
      </c>
      <c r="J802">
        <v>0</v>
      </c>
      <c r="K802">
        <v>0.25</v>
      </c>
      <c r="L802">
        <v>0.11</v>
      </c>
      <c r="M802">
        <v>17</v>
      </c>
      <c r="N802">
        <v>90</v>
      </c>
      <c r="O802">
        <f t="shared" si="37"/>
        <v>4.1821561338289959E-2</v>
      </c>
      <c r="P802">
        <f t="shared" si="38"/>
        <v>1.8401486988847582E-2</v>
      </c>
    </row>
    <row r="803" spans="1:16" x14ac:dyDescent="0.25">
      <c r="A803" t="str">
        <f t="shared" si="36"/>
        <v>Thilo Kehrer</v>
      </c>
      <c r="B803" t="s">
        <v>2031</v>
      </c>
      <c r="C803" t="s">
        <v>2032</v>
      </c>
      <c r="D803">
        <v>19</v>
      </c>
      <c r="E803">
        <v>2</v>
      </c>
      <c r="F803">
        <v>42</v>
      </c>
      <c r="G803">
        <v>19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</v>
      </c>
      <c r="N803">
        <v>7</v>
      </c>
      <c r="O803">
        <f t="shared" si="37"/>
        <v>0</v>
      </c>
      <c r="P803">
        <f t="shared" si="38"/>
        <v>0</v>
      </c>
    </row>
    <row r="804" spans="1:16" x14ac:dyDescent="0.25">
      <c r="A804" t="str">
        <f t="shared" si="36"/>
        <v>Divin Mubama</v>
      </c>
      <c r="B804" t="s">
        <v>2033</v>
      </c>
      <c r="C804" t="s">
        <v>2034</v>
      </c>
      <c r="D804">
        <v>19</v>
      </c>
      <c r="E804">
        <v>4</v>
      </c>
      <c r="F804">
        <v>41</v>
      </c>
      <c r="G804">
        <v>75</v>
      </c>
      <c r="H804">
        <v>0</v>
      </c>
      <c r="I804">
        <v>0</v>
      </c>
      <c r="J804">
        <v>0</v>
      </c>
      <c r="K804">
        <v>0.16</v>
      </c>
      <c r="L804">
        <v>0.01</v>
      </c>
      <c r="M804">
        <v>5</v>
      </c>
      <c r="N804">
        <v>14</v>
      </c>
      <c r="O804">
        <f t="shared" si="37"/>
        <v>0.192</v>
      </c>
      <c r="P804">
        <f t="shared" si="38"/>
        <v>1.2E-2</v>
      </c>
    </row>
    <row r="805" spans="1:16" x14ac:dyDescent="0.25">
      <c r="A805" t="str">
        <f t="shared" si="36"/>
        <v>Lucas Tolentino Coelho de Lima</v>
      </c>
      <c r="B805" t="s">
        <v>78</v>
      </c>
      <c r="C805" t="s">
        <v>2035</v>
      </c>
      <c r="D805">
        <v>19</v>
      </c>
      <c r="E805">
        <v>3</v>
      </c>
      <c r="F805">
        <v>60</v>
      </c>
      <c r="G805">
        <v>2627</v>
      </c>
      <c r="H805">
        <v>31</v>
      </c>
      <c r="I805">
        <v>4</v>
      </c>
      <c r="J805">
        <v>6</v>
      </c>
      <c r="K805">
        <v>5.19</v>
      </c>
      <c r="L805">
        <v>4.93</v>
      </c>
      <c r="M805">
        <v>100</v>
      </c>
      <c r="N805">
        <v>398</v>
      </c>
      <c r="O805">
        <f t="shared" si="37"/>
        <v>0.1778073848496384</v>
      </c>
      <c r="P805">
        <f t="shared" si="38"/>
        <v>0.16889988580129423</v>
      </c>
    </row>
    <row r="806" spans="1:16" x14ac:dyDescent="0.25">
      <c r="A806" t="str">
        <f t="shared" si="36"/>
        <v>Gianluca Scamacca</v>
      </c>
      <c r="B806" t="s">
        <v>2036</v>
      </c>
      <c r="C806" t="s">
        <v>2037</v>
      </c>
      <c r="D806">
        <v>19</v>
      </c>
      <c r="E806">
        <v>4</v>
      </c>
      <c r="F806">
        <v>60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f t="shared" si="37"/>
        <v>0</v>
      </c>
      <c r="P806">
        <f t="shared" si="38"/>
        <v>0</v>
      </c>
    </row>
    <row r="807" spans="1:16" x14ac:dyDescent="0.25">
      <c r="A807" t="str">
        <f t="shared" si="36"/>
        <v>Tomáš Souček</v>
      </c>
      <c r="B807" t="s">
        <v>2038</v>
      </c>
      <c r="C807" t="s">
        <v>2039</v>
      </c>
      <c r="D807">
        <v>19</v>
      </c>
      <c r="E807">
        <v>3</v>
      </c>
      <c r="F807">
        <v>49</v>
      </c>
      <c r="G807">
        <v>2867</v>
      </c>
      <c r="H807">
        <v>34</v>
      </c>
      <c r="I807">
        <v>7</v>
      </c>
      <c r="J807">
        <v>2</v>
      </c>
      <c r="K807">
        <v>6.69</v>
      </c>
      <c r="L807">
        <v>1.1399999999999999</v>
      </c>
      <c r="M807">
        <v>116</v>
      </c>
      <c r="N807">
        <v>456</v>
      </c>
      <c r="O807">
        <f t="shared" si="37"/>
        <v>0.21001046389954658</v>
      </c>
      <c r="P807">
        <f t="shared" si="38"/>
        <v>3.5786536449250082E-2</v>
      </c>
    </row>
    <row r="808" spans="1:16" x14ac:dyDescent="0.25">
      <c r="A808" t="str">
        <f t="shared" si="36"/>
        <v>Nikola Vlašić</v>
      </c>
      <c r="B808" t="s">
        <v>891</v>
      </c>
      <c r="C808" t="s">
        <v>2040</v>
      </c>
      <c r="D808">
        <v>19</v>
      </c>
      <c r="E808">
        <v>3</v>
      </c>
      <c r="F808">
        <v>45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f t="shared" si="37"/>
        <v>0</v>
      </c>
      <c r="P808">
        <f t="shared" si="38"/>
        <v>0</v>
      </c>
    </row>
    <row r="809" spans="1:16" x14ac:dyDescent="0.25">
      <c r="A809" t="str">
        <f t="shared" si="36"/>
        <v>Kurt Zouma</v>
      </c>
      <c r="B809" t="s">
        <v>2041</v>
      </c>
      <c r="C809" t="s">
        <v>2042</v>
      </c>
      <c r="D809">
        <v>19</v>
      </c>
      <c r="E809">
        <v>2</v>
      </c>
      <c r="F809">
        <v>45</v>
      </c>
      <c r="G809">
        <v>2838</v>
      </c>
      <c r="H809">
        <v>32</v>
      </c>
      <c r="I809">
        <v>3</v>
      </c>
      <c r="J809">
        <v>0</v>
      </c>
      <c r="K809">
        <v>1.9</v>
      </c>
      <c r="L809">
        <v>7.0000000000000007E-2</v>
      </c>
      <c r="M809">
        <v>76</v>
      </c>
      <c r="N809">
        <v>444</v>
      </c>
      <c r="O809">
        <f t="shared" si="37"/>
        <v>6.0253699788583505E-2</v>
      </c>
      <c r="P809">
        <f t="shared" si="38"/>
        <v>2.2198731501057085E-3</v>
      </c>
    </row>
    <row r="810" spans="1:16" x14ac:dyDescent="0.25">
      <c r="A810" t="str">
        <f t="shared" si="36"/>
        <v>Angelo Ogbonna</v>
      </c>
      <c r="B810" t="s">
        <v>2043</v>
      </c>
      <c r="C810" t="s">
        <v>2044</v>
      </c>
      <c r="D810">
        <v>19</v>
      </c>
      <c r="E810">
        <v>2</v>
      </c>
      <c r="F810">
        <v>42</v>
      </c>
      <c r="G810">
        <v>634</v>
      </c>
      <c r="H810">
        <v>7</v>
      </c>
      <c r="I810">
        <v>0</v>
      </c>
      <c r="J810">
        <v>0</v>
      </c>
      <c r="K810">
        <v>0.04</v>
      </c>
      <c r="L810">
        <v>0.06</v>
      </c>
      <c r="M810">
        <v>19</v>
      </c>
      <c r="N810">
        <v>103</v>
      </c>
      <c r="O810">
        <f t="shared" si="37"/>
        <v>5.6782334384858045E-3</v>
      </c>
      <c r="P810">
        <f t="shared" si="38"/>
        <v>8.5173501577287068E-3</v>
      </c>
    </row>
    <row r="811" spans="1:16" x14ac:dyDescent="0.25">
      <c r="A811" t="str">
        <f t="shared" si="36"/>
        <v>Edson Álvarez Velázquez</v>
      </c>
      <c r="B811" t="s">
        <v>2045</v>
      </c>
      <c r="C811" t="s">
        <v>2046</v>
      </c>
      <c r="D811">
        <v>19</v>
      </c>
      <c r="E811">
        <v>3</v>
      </c>
      <c r="F811">
        <v>50</v>
      </c>
      <c r="G811">
        <v>2375</v>
      </c>
      <c r="H811">
        <v>28</v>
      </c>
      <c r="I811">
        <v>1</v>
      </c>
      <c r="J811">
        <v>1</v>
      </c>
      <c r="K811">
        <v>1.37</v>
      </c>
      <c r="L811">
        <v>0.81</v>
      </c>
      <c r="M811">
        <v>62</v>
      </c>
      <c r="N811">
        <v>345</v>
      </c>
      <c r="O811">
        <f t="shared" si="37"/>
        <v>5.1915789473684214E-2</v>
      </c>
      <c r="P811">
        <f t="shared" si="38"/>
        <v>3.0694736842105264E-2</v>
      </c>
    </row>
    <row r="812" spans="1:16" x14ac:dyDescent="0.25">
      <c r="A812" t="str">
        <f t="shared" si="36"/>
        <v>Joseph Anang</v>
      </c>
      <c r="B812" t="s">
        <v>1754</v>
      </c>
      <c r="C812" t="s">
        <v>2047</v>
      </c>
      <c r="D812">
        <v>19</v>
      </c>
      <c r="E812">
        <v>1</v>
      </c>
      <c r="F812">
        <v>40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t="shared" si="37"/>
        <v>0</v>
      </c>
      <c r="P812">
        <f t="shared" si="38"/>
        <v>0</v>
      </c>
    </row>
    <row r="813" spans="1:16" x14ac:dyDescent="0.25">
      <c r="A813" t="str">
        <f t="shared" si="36"/>
        <v>James Ward-Prowse</v>
      </c>
      <c r="B813" t="s">
        <v>135</v>
      </c>
      <c r="C813" t="s">
        <v>2048</v>
      </c>
      <c r="D813">
        <v>19</v>
      </c>
      <c r="E813">
        <v>3</v>
      </c>
      <c r="F813">
        <v>57</v>
      </c>
      <c r="G813">
        <v>3000</v>
      </c>
      <c r="H813">
        <v>34</v>
      </c>
      <c r="I813">
        <v>7</v>
      </c>
      <c r="J813">
        <v>7</v>
      </c>
      <c r="K813">
        <v>6.23</v>
      </c>
      <c r="L813">
        <v>6.3</v>
      </c>
      <c r="M813">
        <v>146</v>
      </c>
      <c r="N813">
        <v>708</v>
      </c>
      <c r="O813">
        <f t="shared" si="37"/>
        <v>0.18690000000000001</v>
      </c>
      <c r="P813">
        <f t="shared" si="38"/>
        <v>0.189</v>
      </c>
    </row>
    <row r="814" spans="1:16" x14ac:dyDescent="0.25">
      <c r="A814" t="str">
        <f t="shared" si="36"/>
        <v>Konstantinos Mavropanos</v>
      </c>
      <c r="B814" t="s">
        <v>590</v>
      </c>
      <c r="C814" t="s">
        <v>2049</v>
      </c>
      <c r="D814">
        <v>19</v>
      </c>
      <c r="E814">
        <v>2</v>
      </c>
      <c r="F814">
        <v>45</v>
      </c>
      <c r="G814">
        <v>1500</v>
      </c>
      <c r="H814">
        <v>16</v>
      </c>
      <c r="I814">
        <v>1</v>
      </c>
      <c r="J814">
        <v>0</v>
      </c>
      <c r="K814">
        <v>1.19</v>
      </c>
      <c r="L814">
        <v>0.09</v>
      </c>
      <c r="M814">
        <v>40</v>
      </c>
      <c r="N814">
        <v>229</v>
      </c>
      <c r="O814">
        <f t="shared" si="37"/>
        <v>7.1399999999999991E-2</v>
      </c>
      <c r="P814">
        <f t="shared" si="38"/>
        <v>5.3999999999999994E-3</v>
      </c>
    </row>
    <row r="815" spans="1:16" x14ac:dyDescent="0.25">
      <c r="A815" t="str">
        <f t="shared" si="36"/>
        <v>Mohammed Kudus</v>
      </c>
      <c r="B815" t="s">
        <v>959</v>
      </c>
      <c r="C815" t="s">
        <v>960</v>
      </c>
      <c r="D815">
        <v>19</v>
      </c>
      <c r="E815">
        <v>3</v>
      </c>
      <c r="F815">
        <v>67</v>
      </c>
      <c r="G815">
        <v>2485</v>
      </c>
      <c r="H815">
        <v>27</v>
      </c>
      <c r="I815">
        <v>8</v>
      </c>
      <c r="J815">
        <v>9</v>
      </c>
      <c r="K815">
        <v>5.0599999999999996</v>
      </c>
      <c r="L815">
        <v>3.48</v>
      </c>
      <c r="M815">
        <v>137</v>
      </c>
      <c r="N815">
        <v>476</v>
      </c>
      <c r="O815">
        <f t="shared" si="37"/>
        <v>0.18325955734406438</v>
      </c>
      <c r="P815">
        <f t="shared" si="38"/>
        <v>0.12603621730382294</v>
      </c>
    </row>
    <row r="816" spans="1:16" x14ac:dyDescent="0.25">
      <c r="A816" t="str">
        <f t="shared" si="36"/>
        <v>Lewis Orford</v>
      </c>
      <c r="B816" t="s">
        <v>157</v>
      </c>
      <c r="C816" t="s">
        <v>2050</v>
      </c>
      <c r="D816">
        <v>19</v>
      </c>
      <c r="E816">
        <v>3</v>
      </c>
      <c r="F816">
        <v>45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f t="shared" si="37"/>
        <v>0</v>
      </c>
      <c r="P816">
        <f t="shared" si="38"/>
        <v>0</v>
      </c>
    </row>
    <row r="817" spans="1:16" x14ac:dyDescent="0.25">
      <c r="A817" t="str">
        <f t="shared" si="36"/>
        <v>Kaelan Casey</v>
      </c>
      <c r="B817" t="s">
        <v>2051</v>
      </c>
      <c r="C817" t="s">
        <v>2052</v>
      </c>
      <c r="D817">
        <v>19</v>
      </c>
      <c r="E817">
        <v>2</v>
      </c>
      <c r="F817">
        <v>40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3</v>
      </c>
      <c r="O817">
        <f t="shared" si="37"/>
        <v>0</v>
      </c>
      <c r="P817">
        <f t="shared" si="38"/>
        <v>0</v>
      </c>
    </row>
    <row r="818" spans="1:16" x14ac:dyDescent="0.25">
      <c r="A818" t="str">
        <f t="shared" si="36"/>
        <v>Oliver Scarles</v>
      </c>
      <c r="B818" t="s">
        <v>361</v>
      </c>
      <c r="C818" t="s">
        <v>2053</v>
      </c>
      <c r="D818">
        <v>19</v>
      </c>
      <c r="E818">
        <v>2</v>
      </c>
      <c r="F818">
        <v>40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 t="shared" si="37"/>
        <v>0</v>
      </c>
      <c r="P818">
        <f t="shared" si="38"/>
        <v>0</v>
      </c>
    </row>
    <row r="819" spans="1:16" x14ac:dyDescent="0.25">
      <c r="A819" t="str">
        <f t="shared" si="36"/>
        <v>Callum Marshall</v>
      </c>
      <c r="B819" t="s">
        <v>227</v>
      </c>
      <c r="C819" t="s">
        <v>2054</v>
      </c>
      <c r="D819">
        <v>19</v>
      </c>
      <c r="E819">
        <v>4</v>
      </c>
      <c r="F819">
        <v>45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f t="shared" si="37"/>
        <v>0</v>
      </c>
      <c r="P819">
        <f t="shared" si="38"/>
        <v>0</v>
      </c>
    </row>
    <row r="820" spans="1:16" x14ac:dyDescent="0.25">
      <c r="A820" t="str">
        <f t="shared" si="36"/>
        <v>George Earthy</v>
      </c>
      <c r="B820" t="s">
        <v>113</v>
      </c>
      <c r="C820" t="s">
        <v>2055</v>
      </c>
      <c r="D820">
        <v>19</v>
      </c>
      <c r="E820">
        <v>3</v>
      </c>
      <c r="F820">
        <v>45</v>
      </c>
      <c r="G820">
        <v>33</v>
      </c>
      <c r="H820">
        <v>0</v>
      </c>
      <c r="I820">
        <v>1</v>
      </c>
      <c r="J820">
        <v>0</v>
      </c>
      <c r="K820">
        <v>0.35</v>
      </c>
      <c r="L820">
        <v>0</v>
      </c>
      <c r="M820">
        <v>8</v>
      </c>
      <c r="N820">
        <v>27</v>
      </c>
      <c r="O820">
        <f t="shared" si="37"/>
        <v>0.95454545454545447</v>
      </c>
      <c r="P820">
        <f t="shared" si="38"/>
        <v>0</v>
      </c>
    </row>
    <row r="821" spans="1:16" x14ac:dyDescent="0.25">
      <c r="A821" t="str">
        <f t="shared" si="36"/>
        <v>Tommy Doyle</v>
      </c>
      <c r="B821" t="s">
        <v>2056</v>
      </c>
      <c r="C821" t="s">
        <v>2057</v>
      </c>
      <c r="D821">
        <v>20</v>
      </c>
      <c r="E821">
        <v>3</v>
      </c>
      <c r="F821">
        <v>44</v>
      </c>
      <c r="G821">
        <v>1209</v>
      </c>
      <c r="H821">
        <v>11</v>
      </c>
      <c r="I821">
        <v>0</v>
      </c>
      <c r="J821">
        <v>0</v>
      </c>
      <c r="K821">
        <v>0.42</v>
      </c>
      <c r="L821">
        <v>0.87</v>
      </c>
      <c r="M821">
        <v>38</v>
      </c>
      <c r="N821">
        <v>197</v>
      </c>
      <c r="O821">
        <f t="shared" si="37"/>
        <v>3.1265508684863524E-2</v>
      </c>
      <c r="P821">
        <f t="shared" si="38"/>
        <v>6.4764267990074439E-2</v>
      </c>
    </row>
    <row r="822" spans="1:16" x14ac:dyDescent="0.25">
      <c r="A822" t="str">
        <f t="shared" si="36"/>
        <v>Rayan Aït-Nouri</v>
      </c>
      <c r="B822" t="s">
        <v>760</v>
      </c>
      <c r="C822" t="s">
        <v>761</v>
      </c>
      <c r="D822">
        <v>20</v>
      </c>
      <c r="E822">
        <v>2</v>
      </c>
      <c r="F822">
        <v>46</v>
      </c>
      <c r="G822">
        <v>2327</v>
      </c>
      <c r="H822">
        <v>29</v>
      </c>
      <c r="I822">
        <v>2</v>
      </c>
      <c r="J822">
        <v>3</v>
      </c>
      <c r="K822">
        <v>3.12</v>
      </c>
      <c r="L822">
        <v>1.81</v>
      </c>
      <c r="M822">
        <v>77</v>
      </c>
      <c r="N822">
        <v>365</v>
      </c>
      <c r="O822">
        <f t="shared" si="37"/>
        <v>0.12067039106145251</v>
      </c>
      <c r="P822">
        <f t="shared" si="38"/>
        <v>7.0004297378599048E-2</v>
      </c>
    </row>
    <row r="823" spans="1:16" x14ac:dyDescent="0.25">
      <c r="A823" t="str">
        <f t="shared" si="36"/>
        <v>Daniel Bentley</v>
      </c>
      <c r="B823" t="s">
        <v>416</v>
      </c>
      <c r="C823" t="s">
        <v>1244</v>
      </c>
      <c r="D823">
        <v>20</v>
      </c>
      <c r="E823">
        <v>1</v>
      </c>
      <c r="F823">
        <v>39</v>
      </c>
      <c r="G823">
        <v>382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18</v>
      </c>
      <c r="N823">
        <v>73</v>
      </c>
      <c r="O823">
        <f t="shared" si="37"/>
        <v>0</v>
      </c>
      <c r="P823">
        <f t="shared" si="38"/>
        <v>0</v>
      </c>
    </row>
    <row r="824" spans="1:16" x14ac:dyDescent="0.25">
      <c r="A824" t="str">
        <f t="shared" si="36"/>
        <v>Bendegúz Bolla</v>
      </c>
      <c r="B824" t="s">
        <v>2058</v>
      </c>
      <c r="C824" t="s">
        <v>2059</v>
      </c>
      <c r="D824">
        <v>20</v>
      </c>
      <c r="E824">
        <v>2</v>
      </c>
      <c r="F824">
        <v>40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t="shared" si="37"/>
        <v>0</v>
      </c>
      <c r="P824">
        <f t="shared" si="38"/>
        <v>0</v>
      </c>
    </row>
    <row r="825" spans="1:16" x14ac:dyDescent="0.25">
      <c r="A825" t="str">
        <f t="shared" si="36"/>
        <v>Hugo Bueno López</v>
      </c>
      <c r="B825" t="s">
        <v>741</v>
      </c>
      <c r="C825" t="s">
        <v>2060</v>
      </c>
      <c r="D825">
        <v>20</v>
      </c>
      <c r="E825">
        <v>2</v>
      </c>
      <c r="F825">
        <v>44</v>
      </c>
      <c r="G825">
        <v>727</v>
      </c>
      <c r="H825">
        <v>7</v>
      </c>
      <c r="I825">
        <v>0</v>
      </c>
      <c r="J825">
        <v>0</v>
      </c>
      <c r="K825">
        <v>0.31</v>
      </c>
      <c r="L825">
        <v>0.68</v>
      </c>
      <c r="M825">
        <v>29</v>
      </c>
      <c r="N825">
        <v>136</v>
      </c>
      <c r="O825">
        <f t="shared" si="37"/>
        <v>3.8376891334250346E-2</v>
      </c>
      <c r="P825">
        <f t="shared" si="38"/>
        <v>8.4181568088033024E-2</v>
      </c>
    </row>
    <row r="826" spans="1:16" x14ac:dyDescent="0.25">
      <c r="A826" t="str">
        <f t="shared" si="36"/>
        <v>Francisco Jorge Tomás Oliveira</v>
      </c>
      <c r="B826" t="s">
        <v>2061</v>
      </c>
      <c r="C826" t="s">
        <v>2062</v>
      </c>
      <c r="D826">
        <v>20</v>
      </c>
      <c r="E826">
        <v>3</v>
      </c>
      <c r="F826">
        <v>45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f t="shared" si="37"/>
        <v>0</v>
      </c>
      <c r="P826">
        <f t="shared" si="38"/>
        <v>0</v>
      </c>
    </row>
    <row r="827" spans="1:16" x14ac:dyDescent="0.25">
      <c r="A827" t="str">
        <f t="shared" si="36"/>
        <v>Luke Cundle</v>
      </c>
      <c r="B827" t="s">
        <v>375</v>
      </c>
      <c r="C827" t="s">
        <v>2063</v>
      </c>
      <c r="D827">
        <v>20</v>
      </c>
      <c r="E827">
        <v>3</v>
      </c>
      <c r="F827">
        <v>45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t="shared" si="37"/>
        <v>0</v>
      </c>
      <c r="P827">
        <f t="shared" si="38"/>
        <v>0</v>
      </c>
    </row>
    <row r="828" spans="1:16" x14ac:dyDescent="0.25">
      <c r="A828" t="str">
        <f t="shared" si="36"/>
        <v>Craig Dawson</v>
      </c>
      <c r="B828" t="s">
        <v>2064</v>
      </c>
      <c r="C828" t="s">
        <v>2065</v>
      </c>
      <c r="D828">
        <v>20</v>
      </c>
      <c r="E828">
        <v>2</v>
      </c>
      <c r="F828">
        <v>45</v>
      </c>
      <c r="G828">
        <v>2209</v>
      </c>
      <c r="H828">
        <v>25</v>
      </c>
      <c r="I828">
        <v>1</v>
      </c>
      <c r="J828">
        <v>1</v>
      </c>
      <c r="K828">
        <v>1.58</v>
      </c>
      <c r="L828">
        <v>0.42</v>
      </c>
      <c r="M828">
        <v>69</v>
      </c>
      <c r="N828">
        <v>421</v>
      </c>
      <c r="O828">
        <f t="shared" si="37"/>
        <v>6.4373019465821649E-2</v>
      </c>
      <c r="P828">
        <f t="shared" si="38"/>
        <v>1.7111815301041194E-2</v>
      </c>
    </row>
    <row r="829" spans="1:16" x14ac:dyDescent="0.25">
      <c r="A829" t="str">
        <f t="shared" si="36"/>
        <v>Fábio Silva</v>
      </c>
      <c r="B829" t="s">
        <v>61</v>
      </c>
      <c r="C829" t="s">
        <v>2066</v>
      </c>
      <c r="D829">
        <v>20</v>
      </c>
      <c r="E829">
        <v>4</v>
      </c>
      <c r="F829">
        <v>52</v>
      </c>
      <c r="G829">
        <v>259</v>
      </c>
      <c r="H829">
        <v>3</v>
      </c>
      <c r="I829">
        <v>0</v>
      </c>
      <c r="J829">
        <v>0</v>
      </c>
      <c r="K829">
        <v>1.1200000000000001</v>
      </c>
      <c r="L829">
        <v>0.09</v>
      </c>
      <c r="M829">
        <v>8</v>
      </c>
      <c r="N829">
        <v>7</v>
      </c>
      <c r="O829">
        <f t="shared" si="37"/>
        <v>0.38918918918918921</v>
      </c>
      <c r="P829">
        <f t="shared" si="38"/>
        <v>3.127413127413127E-2</v>
      </c>
    </row>
    <row r="830" spans="1:16" x14ac:dyDescent="0.25">
      <c r="A830" t="str">
        <f t="shared" si="36"/>
        <v>Gonçalo Manuel Ganchinho Guedes</v>
      </c>
      <c r="B830" t="s">
        <v>2067</v>
      </c>
      <c r="C830" t="s">
        <v>2068</v>
      </c>
      <c r="D830">
        <v>20</v>
      </c>
      <c r="E830">
        <v>3</v>
      </c>
      <c r="F830">
        <v>54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f t="shared" si="37"/>
        <v>0</v>
      </c>
      <c r="P830">
        <f t="shared" si="38"/>
        <v>0</v>
      </c>
    </row>
    <row r="831" spans="1:16" x14ac:dyDescent="0.25">
      <c r="A831" t="str">
        <f t="shared" si="36"/>
        <v>Joe Hodge</v>
      </c>
      <c r="B831" t="s">
        <v>585</v>
      </c>
      <c r="C831" t="s">
        <v>2069</v>
      </c>
      <c r="D831">
        <v>20</v>
      </c>
      <c r="E831">
        <v>3</v>
      </c>
      <c r="F831">
        <v>44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 t="shared" si="37"/>
        <v>0</v>
      </c>
      <c r="P831">
        <f t="shared" si="38"/>
        <v>0</v>
      </c>
    </row>
    <row r="832" spans="1:16" x14ac:dyDescent="0.25">
      <c r="A832" t="str">
        <f t="shared" si="36"/>
        <v>Ki-Jana Hoever</v>
      </c>
      <c r="B832" t="s">
        <v>2070</v>
      </c>
      <c r="C832" t="s">
        <v>2071</v>
      </c>
      <c r="D832">
        <v>20</v>
      </c>
      <c r="E832">
        <v>2</v>
      </c>
      <c r="F832">
        <v>40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t="shared" si="37"/>
        <v>0</v>
      </c>
      <c r="P832">
        <f t="shared" si="38"/>
        <v>0</v>
      </c>
    </row>
    <row r="833" spans="1:16" x14ac:dyDescent="0.25">
      <c r="A833" t="str">
        <f t="shared" si="36"/>
        <v>Hwang Hee-chan</v>
      </c>
      <c r="B833" t="s">
        <v>1911</v>
      </c>
      <c r="C833" t="s">
        <v>2072</v>
      </c>
      <c r="D833">
        <v>20</v>
      </c>
      <c r="E833">
        <v>3</v>
      </c>
      <c r="F833">
        <v>54</v>
      </c>
      <c r="G833">
        <v>2116</v>
      </c>
      <c r="H833">
        <v>25</v>
      </c>
      <c r="I833">
        <v>12</v>
      </c>
      <c r="J833">
        <v>3</v>
      </c>
      <c r="K833">
        <v>7.53</v>
      </c>
      <c r="L833">
        <v>2.84</v>
      </c>
      <c r="M833">
        <v>125</v>
      </c>
      <c r="N833">
        <v>334</v>
      </c>
      <c r="O833">
        <f t="shared" si="37"/>
        <v>0.32027410207939511</v>
      </c>
      <c r="P833">
        <f t="shared" si="38"/>
        <v>0.12079395085066162</v>
      </c>
    </row>
    <row r="834" spans="1:16" x14ac:dyDescent="0.25">
      <c r="A834" t="str">
        <f t="shared" ref="A834:A897" si="39">_xlfn.CONCAT(B834, " ", C834)</f>
        <v>João Victor Gomes da Silva</v>
      </c>
      <c r="B834" t="s">
        <v>957</v>
      </c>
      <c r="C834" t="s">
        <v>2073</v>
      </c>
      <c r="D834">
        <v>20</v>
      </c>
      <c r="E834">
        <v>3</v>
      </c>
      <c r="F834">
        <v>49</v>
      </c>
      <c r="G834">
        <v>2646</v>
      </c>
      <c r="H834">
        <v>32</v>
      </c>
      <c r="I834">
        <v>2</v>
      </c>
      <c r="J834">
        <v>2</v>
      </c>
      <c r="K834">
        <v>1.82</v>
      </c>
      <c r="L834">
        <v>1.76</v>
      </c>
      <c r="M834">
        <v>75</v>
      </c>
      <c r="N834">
        <v>359</v>
      </c>
      <c r="O834">
        <f t="shared" ref="O834:O866" si="40">IFERROR(K834/G834*90,0)</f>
        <v>6.1904761904761907E-2</v>
      </c>
      <c r="P834">
        <f t="shared" ref="P834:P866" si="41">IFERROR(L834/G834*90,0)</f>
        <v>5.9863945578231291E-2</v>
      </c>
    </row>
    <row r="835" spans="1:16" x14ac:dyDescent="0.25">
      <c r="A835" t="str">
        <f t="shared" si="39"/>
        <v>Jonathan Castro Otto</v>
      </c>
      <c r="B835" t="s">
        <v>1903</v>
      </c>
      <c r="C835" t="s">
        <v>2074</v>
      </c>
      <c r="D835">
        <v>20</v>
      </c>
      <c r="E835">
        <v>2</v>
      </c>
      <c r="F835">
        <v>43</v>
      </c>
      <c r="G835">
        <v>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3</v>
      </c>
      <c r="O835">
        <f t="shared" si="40"/>
        <v>0</v>
      </c>
      <c r="P835">
        <f t="shared" si="41"/>
        <v>0</v>
      </c>
    </row>
    <row r="836" spans="1:16" x14ac:dyDescent="0.25">
      <c r="A836" t="str">
        <f t="shared" si="39"/>
        <v>Bruno Cavaco Jordão</v>
      </c>
      <c r="B836" t="s">
        <v>70</v>
      </c>
      <c r="C836" t="s">
        <v>2075</v>
      </c>
      <c r="D836">
        <v>20</v>
      </c>
      <c r="E836">
        <v>3</v>
      </c>
      <c r="F836">
        <v>43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f t="shared" si="40"/>
        <v>0</v>
      </c>
      <c r="P836">
        <f t="shared" si="41"/>
        <v>0</v>
      </c>
    </row>
    <row r="837" spans="1:16" x14ac:dyDescent="0.25">
      <c r="A837" t="str">
        <f t="shared" si="39"/>
        <v>Sasa Kalajdzic</v>
      </c>
      <c r="B837" t="s">
        <v>2076</v>
      </c>
      <c r="C837" t="s">
        <v>2077</v>
      </c>
      <c r="D837">
        <v>20</v>
      </c>
      <c r="E837">
        <v>4</v>
      </c>
      <c r="F837">
        <v>49</v>
      </c>
      <c r="G837">
        <v>158</v>
      </c>
      <c r="H837">
        <v>1</v>
      </c>
      <c r="I837">
        <v>2</v>
      </c>
      <c r="J837">
        <v>0</v>
      </c>
      <c r="K837">
        <v>1.01</v>
      </c>
      <c r="L837">
        <v>0.26</v>
      </c>
      <c r="M837">
        <v>24</v>
      </c>
      <c r="N837">
        <v>88</v>
      </c>
      <c r="O837">
        <f t="shared" si="40"/>
        <v>0.57531645569620249</v>
      </c>
      <c r="P837">
        <f t="shared" si="41"/>
        <v>0.14810126582278479</v>
      </c>
    </row>
    <row r="838" spans="1:16" x14ac:dyDescent="0.25">
      <c r="A838" t="str">
        <f t="shared" si="39"/>
        <v>Max Kilman</v>
      </c>
      <c r="B838" t="s">
        <v>57</v>
      </c>
      <c r="C838" t="s">
        <v>2079</v>
      </c>
      <c r="D838">
        <v>20</v>
      </c>
      <c r="E838">
        <v>2</v>
      </c>
      <c r="F838">
        <v>44</v>
      </c>
      <c r="G838">
        <v>3420</v>
      </c>
      <c r="H838">
        <v>38</v>
      </c>
      <c r="I838">
        <v>2</v>
      </c>
      <c r="J838">
        <v>0</v>
      </c>
      <c r="K838">
        <v>1.78</v>
      </c>
      <c r="L838">
        <v>1.1200000000000001</v>
      </c>
      <c r="M838">
        <v>82</v>
      </c>
      <c r="N838">
        <v>592</v>
      </c>
      <c r="O838">
        <f t="shared" si="40"/>
        <v>4.68421052631579E-2</v>
      </c>
      <c r="P838">
        <f t="shared" si="41"/>
        <v>2.9473684210526319E-2</v>
      </c>
    </row>
    <row r="839" spans="1:16" x14ac:dyDescent="0.25">
      <c r="A839" t="str">
        <f t="shared" si="39"/>
        <v>Tom King</v>
      </c>
      <c r="B839" t="s">
        <v>272</v>
      </c>
      <c r="C839" t="s">
        <v>475</v>
      </c>
      <c r="D839">
        <v>20</v>
      </c>
      <c r="E839">
        <v>1</v>
      </c>
      <c r="F839">
        <v>39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f t="shared" si="40"/>
        <v>0</v>
      </c>
      <c r="P839">
        <f t="shared" si="41"/>
        <v>0</v>
      </c>
    </row>
    <row r="840" spans="1:16" x14ac:dyDescent="0.25">
      <c r="A840" t="str">
        <f t="shared" si="39"/>
        <v>Mario Lemina</v>
      </c>
      <c r="B840" t="s">
        <v>2080</v>
      </c>
      <c r="C840" t="s">
        <v>2081</v>
      </c>
      <c r="D840">
        <v>20</v>
      </c>
      <c r="E840">
        <v>3</v>
      </c>
      <c r="F840">
        <v>49</v>
      </c>
      <c r="G840">
        <v>2969</v>
      </c>
      <c r="H840">
        <v>34</v>
      </c>
      <c r="I840">
        <v>4</v>
      </c>
      <c r="J840">
        <v>1</v>
      </c>
      <c r="K840">
        <v>4.5999999999999996</v>
      </c>
      <c r="L840">
        <v>1.26</v>
      </c>
      <c r="M840">
        <v>95</v>
      </c>
      <c r="N840">
        <v>490</v>
      </c>
      <c r="O840">
        <f t="shared" si="40"/>
        <v>0.13944088918827888</v>
      </c>
      <c r="P840">
        <f t="shared" si="41"/>
        <v>3.819467834287639E-2</v>
      </c>
    </row>
    <row r="841" spans="1:16" x14ac:dyDescent="0.25">
      <c r="A841" t="str">
        <f t="shared" si="39"/>
        <v>Pedro Lomba Neto</v>
      </c>
      <c r="B841" t="s">
        <v>321</v>
      </c>
      <c r="C841" t="s">
        <v>322</v>
      </c>
      <c r="D841">
        <v>20</v>
      </c>
      <c r="E841">
        <v>3</v>
      </c>
      <c r="F841">
        <v>55</v>
      </c>
      <c r="G841">
        <v>1516</v>
      </c>
      <c r="H841">
        <v>18</v>
      </c>
      <c r="I841">
        <v>2</v>
      </c>
      <c r="J841">
        <v>11</v>
      </c>
      <c r="K841">
        <v>3.17</v>
      </c>
      <c r="L841">
        <v>3.69</v>
      </c>
      <c r="M841">
        <v>86</v>
      </c>
      <c r="N841">
        <v>310</v>
      </c>
      <c r="O841">
        <f t="shared" si="40"/>
        <v>0.18819261213720317</v>
      </c>
      <c r="P841">
        <f t="shared" si="41"/>
        <v>0.21906332453825858</v>
      </c>
    </row>
    <row r="842" spans="1:16" x14ac:dyDescent="0.25">
      <c r="A842" t="str">
        <f t="shared" si="39"/>
        <v>Daniel Castelo Podence</v>
      </c>
      <c r="B842" t="s">
        <v>416</v>
      </c>
      <c r="C842" t="s">
        <v>2082</v>
      </c>
      <c r="D842">
        <v>20</v>
      </c>
      <c r="E842">
        <v>3</v>
      </c>
      <c r="F842">
        <v>53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f t="shared" si="40"/>
        <v>0</v>
      </c>
      <c r="P842">
        <f t="shared" si="41"/>
        <v>0</v>
      </c>
    </row>
    <row r="843" spans="1:16" x14ac:dyDescent="0.25">
      <c r="A843" t="str">
        <f t="shared" si="39"/>
        <v>José Malheiro de Sá</v>
      </c>
      <c r="B843" t="s">
        <v>2083</v>
      </c>
      <c r="C843" t="s">
        <v>2084</v>
      </c>
      <c r="D843">
        <v>20</v>
      </c>
      <c r="E843">
        <v>1</v>
      </c>
      <c r="F843">
        <v>50</v>
      </c>
      <c r="G843">
        <v>3037</v>
      </c>
      <c r="H843">
        <v>35</v>
      </c>
      <c r="I843">
        <v>0</v>
      </c>
      <c r="J843">
        <v>1</v>
      </c>
      <c r="K843">
        <v>0</v>
      </c>
      <c r="L843">
        <v>0</v>
      </c>
      <c r="M843">
        <v>107</v>
      </c>
      <c r="N843">
        <v>622</v>
      </c>
      <c r="O843">
        <f t="shared" si="40"/>
        <v>0</v>
      </c>
      <c r="P843">
        <f t="shared" si="41"/>
        <v>0</v>
      </c>
    </row>
    <row r="844" spans="1:16" x14ac:dyDescent="0.25">
      <c r="A844" t="str">
        <f t="shared" si="39"/>
        <v>Pablo Sarabia</v>
      </c>
      <c r="B844" t="s">
        <v>2028</v>
      </c>
      <c r="C844" t="s">
        <v>2085</v>
      </c>
      <c r="D844">
        <v>20</v>
      </c>
      <c r="E844">
        <v>3</v>
      </c>
      <c r="F844">
        <v>45</v>
      </c>
      <c r="G844">
        <v>1737</v>
      </c>
      <c r="H844">
        <v>20</v>
      </c>
      <c r="I844">
        <v>4</v>
      </c>
      <c r="J844">
        <v>7</v>
      </c>
      <c r="K844">
        <v>5.52</v>
      </c>
      <c r="L844">
        <v>5</v>
      </c>
      <c r="M844">
        <v>99</v>
      </c>
      <c r="N844">
        <v>358</v>
      </c>
      <c r="O844">
        <f t="shared" si="40"/>
        <v>0.28601036269430052</v>
      </c>
      <c r="P844">
        <f t="shared" si="41"/>
        <v>0.25906735751295334</v>
      </c>
    </row>
    <row r="845" spans="1:16" x14ac:dyDescent="0.25">
      <c r="A845" t="str">
        <f t="shared" si="39"/>
        <v>Matija Šarkić</v>
      </c>
      <c r="B845" t="s">
        <v>2086</v>
      </c>
      <c r="C845" t="s">
        <v>2087</v>
      </c>
      <c r="D845">
        <v>20</v>
      </c>
      <c r="E845">
        <v>1</v>
      </c>
      <c r="F845">
        <v>40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f t="shared" si="40"/>
        <v>0</v>
      </c>
      <c r="P845">
        <f t="shared" si="41"/>
        <v>0</v>
      </c>
    </row>
    <row r="846" spans="1:16" x14ac:dyDescent="0.25">
      <c r="A846" t="str">
        <f t="shared" si="39"/>
        <v>Nélson Cabral Semedo</v>
      </c>
      <c r="B846" t="s">
        <v>2088</v>
      </c>
      <c r="C846" t="s">
        <v>2089</v>
      </c>
      <c r="D846">
        <v>20</v>
      </c>
      <c r="E846">
        <v>2</v>
      </c>
      <c r="F846">
        <v>45</v>
      </c>
      <c r="G846">
        <v>3084</v>
      </c>
      <c r="H846">
        <v>36</v>
      </c>
      <c r="I846">
        <v>0</v>
      </c>
      <c r="J846">
        <v>2</v>
      </c>
      <c r="K846">
        <v>0.97</v>
      </c>
      <c r="L846">
        <v>1.69</v>
      </c>
      <c r="M846">
        <v>63</v>
      </c>
      <c r="N846">
        <v>455</v>
      </c>
      <c r="O846">
        <f t="shared" si="40"/>
        <v>2.8307392996108949E-2</v>
      </c>
      <c r="P846">
        <f t="shared" si="41"/>
        <v>4.931906614785992E-2</v>
      </c>
    </row>
    <row r="847" spans="1:16" x14ac:dyDescent="0.25">
      <c r="A847" t="str">
        <f t="shared" si="39"/>
        <v>Toti António Gomes</v>
      </c>
      <c r="B847" t="s">
        <v>2090</v>
      </c>
      <c r="C847" t="s">
        <v>120</v>
      </c>
      <c r="D847">
        <v>20</v>
      </c>
      <c r="E847">
        <v>2</v>
      </c>
      <c r="F847">
        <v>44</v>
      </c>
      <c r="G847">
        <v>2771</v>
      </c>
      <c r="H847">
        <v>31</v>
      </c>
      <c r="I847">
        <v>1</v>
      </c>
      <c r="J847">
        <v>4</v>
      </c>
      <c r="K847">
        <v>1.62</v>
      </c>
      <c r="L847">
        <v>0.63</v>
      </c>
      <c r="M847">
        <v>82</v>
      </c>
      <c r="N847">
        <v>468</v>
      </c>
      <c r="O847">
        <f t="shared" si="40"/>
        <v>5.2616383976903651E-2</v>
      </c>
      <c r="P847">
        <f t="shared" si="41"/>
        <v>2.0461927102129195E-2</v>
      </c>
    </row>
    <row r="848" spans="1:16" x14ac:dyDescent="0.25">
      <c r="A848" t="str">
        <f t="shared" si="39"/>
        <v>Boubacar Traoré</v>
      </c>
      <c r="B848" t="s">
        <v>105</v>
      </c>
      <c r="C848" t="s">
        <v>1323</v>
      </c>
      <c r="D848">
        <v>20</v>
      </c>
      <c r="E848">
        <v>3</v>
      </c>
      <c r="F848">
        <v>43</v>
      </c>
      <c r="G848">
        <v>802</v>
      </c>
      <c r="H848">
        <v>7</v>
      </c>
      <c r="I848">
        <v>0</v>
      </c>
      <c r="J848">
        <v>0</v>
      </c>
      <c r="K848">
        <v>0.28000000000000003</v>
      </c>
      <c r="L848">
        <v>0.33</v>
      </c>
      <c r="M848">
        <v>25</v>
      </c>
      <c r="N848">
        <v>122</v>
      </c>
      <c r="O848">
        <f t="shared" si="40"/>
        <v>3.1421446384039903E-2</v>
      </c>
      <c r="P848">
        <f t="shared" si="41"/>
        <v>3.7032418952618461E-2</v>
      </c>
    </row>
    <row r="849" spans="1:16" x14ac:dyDescent="0.25">
      <c r="A849" t="str">
        <f t="shared" si="39"/>
        <v>Matheus Santos Carneiro Da Cunha</v>
      </c>
      <c r="B849" t="s">
        <v>442</v>
      </c>
      <c r="C849" t="s">
        <v>2092</v>
      </c>
      <c r="D849">
        <v>20</v>
      </c>
      <c r="E849">
        <v>4</v>
      </c>
      <c r="F849">
        <v>55</v>
      </c>
      <c r="G849">
        <v>2438</v>
      </c>
      <c r="H849">
        <v>29</v>
      </c>
      <c r="I849">
        <v>12</v>
      </c>
      <c r="J849">
        <v>7</v>
      </c>
      <c r="K849">
        <v>9.49</v>
      </c>
      <c r="L849">
        <v>2.97</v>
      </c>
      <c r="M849">
        <v>135</v>
      </c>
      <c r="N849">
        <v>520</v>
      </c>
      <c r="O849">
        <f t="shared" si="40"/>
        <v>0.35032813781788352</v>
      </c>
      <c r="P849">
        <f t="shared" si="41"/>
        <v>0.10963904840032815</v>
      </c>
    </row>
    <row r="850" spans="1:16" x14ac:dyDescent="0.25">
      <c r="A850" t="str">
        <f t="shared" si="39"/>
        <v>Matt Doherty</v>
      </c>
      <c r="B850" t="s">
        <v>259</v>
      </c>
      <c r="C850" t="s">
        <v>2093</v>
      </c>
      <c r="D850">
        <v>20</v>
      </c>
      <c r="E850">
        <v>2</v>
      </c>
      <c r="F850">
        <v>43</v>
      </c>
      <c r="G850">
        <v>1136</v>
      </c>
      <c r="H850">
        <v>9</v>
      </c>
      <c r="I850">
        <v>1</v>
      </c>
      <c r="J850">
        <v>0</v>
      </c>
      <c r="K850">
        <v>0.89</v>
      </c>
      <c r="L850">
        <v>0.86</v>
      </c>
      <c r="M850">
        <v>41</v>
      </c>
      <c r="N850">
        <v>186</v>
      </c>
      <c r="O850">
        <f t="shared" si="40"/>
        <v>7.0510563380281693E-2</v>
      </c>
      <c r="P850">
        <f t="shared" si="41"/>
        <v>6.8133802816901401E-2</v>
      </c>
    </row>
    <row r="851" spans="1:16" x14ac:dyDescent="0.25">
      <c r="A851" t="str">
        <f t="shared" si="39"/>
        <v>Santiago Bueno</v>
      </c>
      <c r="B851" t="s">
        <v>2094</v>
      </c>
      <c r="C851" t="s">
        <v>2095</v>
      </c>
      <c r="D851">
        <v>20</v>
      </c>
      <c r="E851">
        <v>2</v>
      </c>
      <c r="F851">
        <v>45</v>
      </c>
      <c r="G851">
        <v>819</v>
      </c>
      <c r="H851">
        <v>9</v>
      </c>
      <c r="I851">
        <v>0</v>
      </c>
      <c r="J851">
        <v>0</v>
      </c>
      <c r="K851">
        <v>0</v>
      </c>
      <c r="L851">
        <v>0.01</v>
      </c>
      <c r="M851">
        <v>13</v>
      </c>
      <c r="N851">
        <v>124</v>
      </c>
      <c r="O851">
        <f t="shared" si="40"/>
        <v>0</v>
      </c>
      <c r="P851">
        <f t="shared" si="41"/>
        <v>1.0989010989010989E-3</v>
      </c>
    </row>
    <row r="852" spans="1:16" x14ac:dyDescent="0.25">
      <c r="A852" t="str">
        <f t="shared" si="39"/>
        <v>Enso González</v>
      </c>
      <c r="B852" t="s">
        <v>2096</v>
      </c>
      <c r="C852" t="s">
        <v>2097</v>
      </c>
      <c r="D852">
        <v>20</v>
      </c>
      <c r="E852">
        <v>3</v>
      </c>
      <c r="F852">
        <v>50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3</v>
      </c>
      <c r="O852">
        <f t="shared" si="40"/>
        <v>0</v>
      </c>
      <c r="P852">
        <f t="shared" si="41"/>
        <v>0</v>
      </c>
    </row>
    <row r="853" spans="1:16" x14ac:dyDescent="0.25">
      <c r="A853" t="str">
        <f t="shared" si="39"/>
        <v>Nathan Fraser</v>
      </c>
      <c r="B853" t="s">
        <v>185</v>
      </c>
      <c r="C853" t="s">
        <v>131</v>
      </c>
      <c r="D853">
        <v>20</v>
      </c>
      <c r="E853">
        <v>4</v>
      </c>
      <c r="F853">
        <v>45</v>
      </c>
      <c r="G853">
        <v>183</v>
      </c>
      <c r="H853">
        <v>1</v>
      </c>
      <c r="I853">
        <v>0</v>
      </c>
      <c r="J853">
        <v>0</v>
      </c>
      <c r="K853">
        <v>0.32</v>
      </c>
      <c r="L853">
        <v>0.06</v>
      </c>
      <c r="M853">
        <v>7</v>
      </c>
      <c r="N853">
        <v>17</v>
      </c>
      <c r="O853">
        <f t="shared" si="40"/>
        <v>0.15737704918032785</v>
      </c>
      <c r="P853">
        <f t="shared" si="41"/>
        <v>2.9508196721311476E-2</v>
      </c>
    </row>
    <row r="854" spans="1:16" x14ac:dyDescent="0.25">
      <c r="A854" t="str">
        <f t="shared" si="39"/>
        <v>Jean-Ricner Bellegarde</v>
      </c>
      <c r="B854" t="s">
        <v>2098</v>
      </c>
      <c r="C854" t="s">
        <v>2099</v>
      </c>
      <c r="D854">
        <v>20</v>
      </c>
      <c r="E854">
        <v>3</v>
      </c>
      <c r="F854">
        <v>49</v>
      </c>
      <c r="G854">
        <v>948</v>
      </c>
      <c r="H854">
        <v>10</v>
      </c>
      <c r="I854">
        <v>2</v>
      </c>
      <c r="J854">
        <v>2</v>
      </c>
      <c r="K854">
        <v>1.35</v>
      </c>
      <c r="L854">
        <v>0.76</v>
      </c>
      <c r="M854">
        <v>45</v>
      </c>
      <c r="N854">
        <v>150</v>
      </c>
      <c r="O854">
        <f t="shared" si="40"/>
        <v>0.12816455696202531</v>
      </c>
      <c r="P854">
        <f t="shared" si="41"/>
        <v>7.2151898734177225E-2</v>
      </c>
    </row>
    <row r="855" spans="1:16" x14ac:dyDescent="0.25">
      <c r="A855" t="str">
        <f t="shared" si="39"/>
        <v>Matthew Whittingham</v>
      </c>
      <c r="B855" t="s">
        <v>1390</v>
      </c>
      <c r="C855" t="s">
        <v>2100</v>
      </c>
      <c r="D855">
        <v>20</v>
      </c>
      <c r="E855">
        <v>3</v>
      </c>
      <c r="F855">
        <v>45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t="shared" si="40"/>
        <v>0</v>
      </c>
      <c r="P855">
        <f t="shared" si="41"/>
        <v>0</v>
      </c>
    </row>
    <row r="856" spans="1:16" x14ac:dyDescent="0.25">
      <c r="A856" t="str">
        <f t="shared" si="39"/>
        <v>Tawanda Chirewa</v>
      </c>
      <c r="B856" t="s">
        <v>2101</v>
      </c>
      <c r="C856" t="s">
        <v>2102</v>
      </c>
      <c r="D856">
        <v>20</v>
      </c>
      <c r="E856">
        <v>3</v>
      </c>
      <c r="F856">
        <v>44</v>
      </c>
      <c r="G856">
        <v>138</v>
      </c>
      <c r="H856">
        <v>1</v>
      </c>
      <c r="I856">
        <v>0</v>
      </c>
      <c r="J856">
        <v>0</v>
      </c>
      <c r="K856">
        <v>0.16</v>
      </c>
      <c r="L856">
        <v>7.0000000000000007E-2</v>
      </c>
      <c r="M856">
        <v>8</v>
      </c>
      <c r="N856">
        <v>21</v>
      </c>
      <c r="O856">
        <f t="shared" si="40"/>
        <v>0.10434782608695652</v>
      </c>
      <c r="P856">
        <f t="shared" si="41"/>
        <v>4.5652173913043478E-2</v>
      </c>
    </row>
    <row r="857" spans="1:16" x14ac:dyDescent="0.25">
      <c r="A857" t="str">
        <f t="shared" si="39"/>
        <v>Justin Hubner</v>
      </c>
      <c r="B857" t="s">
        <v>155</v>
      </c>
      <c r="C857" t="s">
        <v>2103</v>
      </c>
      <c r="D857">
        <v>20</v>
      </c>
      <c r="E857">
        <v>2</v>
      </c>
      <c r="F857">
        <v>40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f t="shared" si="40"/>
        <v>0</v>
      </c>
      <c r="P857">
        <f t="shared" si="41"/>
        <v>0</v>
      </c>
    </row>
    <row r="858" spans="1:16" x14ac:dyDescent="0.25">
      <c r="A858" t="str">
        <f t="shared" si="39"/>
        <v>Owen Hesketh</v>
      </c>
      <c r="B858" t="s">
        <v>1508</v>
      </c>
      <c r="C858" t="s">
        <v>2104</v>
      </c>
      <c r="D858">
        <v>20</v>
      </c>
      <c r="E858">
        <v>3</v>
      </c>
      <c r="F858">
        <v>45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t="shared" si="40"/>
        <v>0</v>
      </c>
      <c r="P858">
        <f t="shared" si="41"/>
        <v>0</v>
      </c>
    </row>
    <row r="859" spans="1:16" x14ac:dyDescent="0.25">
      <c r="A859" t="str">
        <f t="shared" si="39"/>
        <v>Ty Barnett</v>
      </c>
      <c r="B859" t="s">
        <v>2105</v>
      </c>
      <c r="C859" t="s">
        <v>2106</v>
      </c>
      <c r="D859">
        <v>20</v>
      </c>
      <c r="E859">
        <v>3</v>
      </c>
      <c r="F859">
        <v>45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f t="shared" si="40"/>
        <v>0</v>
      </c>
      <c r="P859">
        <f t="shared" si="41"/>
        <v>0</v>
      </c>
    </row>
    <row r="860" spans="1:16" x14ac:dyDescent="0.25">
      <c r="A860" t="str">
        <f t="shared" si="39"/>
        <v>Harvey Griffiths</v>
      </c>
      <c r="B860" t="s">
        <v>543</v>
      </c>
      <c r="C860" t="s">
        <v>2107</v>
      </c>
      <c r="D860">
        <v>20</v>
      </c>
      <c r="E860">
        <v>3</v>
      </c>
      <c r="F860">
        <v>45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f t="shared" si="40"/>
        <v>0</v>
      </c>
      <c r="P860">
        <f t="shared" si="41"/>
        <v>0</v>
      </c>
    </row>
    <row r="861" spans="1:16" x14ac:dyDescent="0.25">
      <c r="A861" t="str">
        <f t="shared" si="39"/>
        <v>Yerson Mosquera</v>
      </c>
      <c r="B861" t="s">
        <v>2108</v>
      </c>
      <c r="C861" t="s">
        <v>41</v>
      </c>
      <c r="D861">
        <v>20</v>
      </c>
      <c r="E861">
        <v>2</v>
      </c>
      <c r="F861">
        <v>40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f t="shared" si="40"/>
        <v>0</v>
      </c>
      <c r="P861">
        <f t="shared" si="41"/>
        <v>0</v>
      </c>
    </row>
    <row r="862" spans="1:16" x14ac:dyDescent="0.25">
      <c r="A862" t="str">
        <f t="shared" si="39"/>
        <v>Noha Lemina</v>
      </c>
      <c r="B862" t="s">
        <v>2109</v>
      </c>
      <c r="C862" t="s">
        <v>2081</v>
      </c>
      <c r="D862">
        <v>20</v>
      </c>
      <c r="E862">
        <v>3</v>
      </c>
      <c r="F862">
        <v>50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t="shared" si="40"/>
        <v>0</v>
      </c>
      <c r="P862">
        <f t="shared" si="41"/>
        <v>0</v>
      </c>
    </row>
    <row r="863" spans="1:16" x14ac:dyDescent="0.25">
      <c r="A863" t="str">
        <f t="shared" si="39"/>
        <v>Wesley Okoduwa</v>
      </c>
      <c r="B863" t="s">
        <v>302</v>
      </c>
      <c r="C863" t="s">
        <v>2110</v>
      </c>
      <c r="D863">
        <v>20</v>
      </c>
      <c r="E863">
        <v>2</v>
      </c>
      <c r="F863">
        <v>40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f t="shared" si="40"/>
        <v>0</v>
      </c>
      <c r="P863">
        <f t="shared" si="41"/>
        <v>0</v>
      </c>
    </row>
    <row r="864" spans="1:16" x14ac:dyDescent="0.25">
      <c r="A864" t="str">
        <f t="shared" si="39"/>
        <v>Leon Chiwome</v>
      </c>
      <c r="B864" t="s">
        <v>99</v>
      </c>
      <c r="C864" t="s">
        <v>2111</v>
      </c>
      <c r="D864">
        <v>20</v>
      </c>
      <c r="E864">
        <v>4</v>
      </c>
      <c r="F864">
        <v>45</v>
      </c>
      <c r="G864">
        <v>173</v>
      </c>
      <c r="H864">
        <v>2</v>
      </c>
      <c r="I864">
        <v>0</v>
      </c>
      <c r="J864">
        <v>0</v>
      </c>
      <c r="K864">
        <v>0.1</v>
      </c>
      <c r="L864">
        <v>0.02</v>
      </c>
      <c r="M864">
        <v>5</v>
      </c>
      <c r="N864">
        <v>12</v>
      </c>
      <c r="O864">
        <f t="shared" si="40"/>
        <v>5.2023121387283239E-2</v>
      </c>
      <c r="P864">
        <f t="shared" si="41"/>
        <v>1.0404624277456647E-2</v>
      </c>
    </row>
    <row r="865" spans="1:16" x14ac:dyDescent="0.25">
      <c r="A865" t="str">
        <f t="shared" si="39"/>
        <v>Fletcher Holman</v>
      </c>
      <c r="B865" t="s">
        <v>836</v>
      </c>
      <c r="C865" t="s">
        <v>2112</v>
      </c>
      <c r="D865">
        <v>20</v>
      </c>
      <c r="E865">
        <v>4</v>
      </c>
      <c r="F865">
        <v>45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t="shared" si="40"/>
        <v>0</v>
      </c>
      <c r="P865">
        <f t="shared" si="41"/>
        <v>0</v>
      </c>
    </row>
    <row r="866" spans="1:16" x14ac:dyDescent="0.25">
      <c r="A866" t="str">
        <f t="shared" si="39"/>
        <v>Temple Ojinnaka</v>
      </c>
      <c r="B866" t="s">
        <v>2113</v>
      </c>
      <c r="C866" t="s">
        <v>2114</v>
      </c>
      <c r="D866">
        <v>20</v>
      </c>
      <c r="E866">
        <v>3</v>
      </c>
      <c r="F866">
        <v>45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f t="shared" si="40"/>
        <v>0</v>
      </c>
      <c r="P866">
        <f t="shared" si="41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4E85-CFF9-4A74-B69C-A0CF3B1C8B40}">
  <dimension ref="A1:Q866"/>
  <sheetViews>
    <sheetView topLeftCell="D1" workbookViewId="0">
      <selection activeCell="Q3" sqref="Q3"/>
    </sheetView>
  </sheetViews>
  <sheetFormatPr defaultRowHeight="15" x14ac:dyDescent="0.25"/>
  <cols>
    <col min="1" max="1" width="35.85546875" bestFit="1" customWidth="1"/>
    <col min="2" max="2" width="21" bestFit="1" customWidth="1"/>
    <col min="3" max="3" width="26.42578125" bestFit="1" customWidth="1"/>
    <col min="4" max="4" width="7.85546875" bestFit="1" customWidth="1"/>
    <col min="5" max="5" width="16" bestFit="1" customWidth="1"/>
    <col min="6" max="6" width="11.7109375" bestFit="1" customWidth="1"/>
    <col min="7" max="7" width="10.5703125" bestFit="1" customWidth="1"/>
    <col min="8" max="8" width="8.140625" bestFit="1" customWidth="1"/>
    <col min="9" max="9" width="14.7109375" bestFit="1" customWidth="1"/>
    <col min="10" max="10" width="9" bestFit="1" customWidth="1"/>
    <col min="11" max="11" width="17.28515625" bestFit="1" customWidth="1"/>
    <col min="12" max="12" width="18.42578125" bestFit="1" customWidth="1"/>
    <col min="13" max="13" width="14" bestFit="1" customWidth="1"/>
    <col min="14" max="14" width="6.42578125" bestFit="1" customWidth="1"/>
    <col min="15" max="15" width="18.28515625" bestFit="1" customWidth="1"/>
    <col min="16" max="16" width="12.7109375" bestFit="1" customWidth="1"/>
    <col min="17" max="17" width="12.5703125" bestFit="1" customWidth="1"/>
  </cols>
  <sheetData>
    <row r="1" spans="1:17" x14ac:dyDescent="0.25">
      <c r="A1" t="s">
        <v>1036</v>
      </c>
      <c r="B1" t="s">
        <v>4</v>
      </c>
      <c r="C1" t="s">
        <v>7</v>
      </c>
      <c r="D1" t="s">
        <v>8</v>
      </c>
      <c r="E1" t="s">
        <v>1030</v>
      </c>
      <c r="F1" t="s">
        <v>5</v>
      </c>
      <c r="G1" t="s">
        <v>10</v>
      </c>
      <c r="H1" t="s">
        <v>1028</v>
      </c>
      <c r="I1" t="s">
        <v>11</v>
      </c>
      <c r="J1" t="s">
        <v>12</v>
      </c>
      <c r="K1" t="s">
        <v>17</v>
      </c>
      <c r="L1" t="s">
        <v>18</v>
      </c>
      <c r="M1" t="s">
        <v>9</v>
      </c>
      <c r="N1" t="s">
        <v>16</v>
      </c>
      <c r="O1" t="s">
        <v>2639</v>
      </c>
      <c r="P1" t="s">
        <v>2590</v>
      </c>
      <c r="Q1" t="s">
        <v>2591</v>
      </c>
    </row>
    <row r="2" spans="1:17" x14ac:dyDescent="0.25">
      <c r="A2" t="str">
        <f t="shared" ref="A2:A65" si="0">_xlfn.CONCAT(B2, " ", C2)</f>
        <v>Fábio Ferreira Vieira</v>
      </c>
      <c r="B2" t="s">
        <v>61</v>
      </c>
      <c r="C2" t="s">
        <v>62</v>
      </c>
      <c r="D2">
        <v>1</v>
      </c>
      <c r="E2">
        <v>3</v>
      </c>
      <c r="F2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2640</v>
      </c>
      <c r="P2">
        <f t="shared" ref="P2:P65" si="1">IFERROR(K2/G2*90,0)</f>
        <v>0</v>
      </c>
      <c r="Q2">
        <f t="shared" ref="Q2:Q65" si="2">IFERROR(L2/G2*90,0)</f>
        <v>0</v>
      </c>
    </row>
    <row r="3" spans="1:17" x14ac:dyDescent="0.25">
      <c r="A3" t="str">
        <f t="shared" si="0"/>
        <v>Gabriel Fernando de Jesus</v>
      </c>
      <c r="B3" t="s">
        <v>26</v>
      </c>
      <c r="C3" t="s">
        <v>69</v>
      </c>
      <c r="D3">
        <v>1</v>
      </c>
      <c r="E3">
        <v>4</v>
      </c>
      <c r="F3">
        <v>65</v>
      </c>
      <c r="G3">
        <v>600</v>
      </c>
      <c r="H3">
        <v>6</v>
      </c>
      <c r="I3">
        <v>3</v>
      </c>
      <c r="J3">
        <v>2</v>
      </c>
      <c r="K3">
        <v>3.05</v>
      </c>
      <c r="L3">
        <v>0.52</v>
      </c>
      <c r="M3">
        <v>42</v>
      </c>
      <c r="N3">
        <v>152</v>
      </c>
      <c r="O3" t="s">
        <v>2641</v>
      </c>
      <c r="P3">
        <f t="shared" si="1"/>
        <v>0.45749999999999996</v>
      </c>
      <c r="Q3">
        <f t="shared" si="2"/>
        <v>7.8E-2</v>
      </c>
    </row>
    <row r="4" spans="1:17" x14ac:dyDescent="0.25">
      <c r="A4" t="str">
        <f t="shared" si="0"/>
        <v>Gabriel dos Santos Magalhães</v>
      </c>
      <c r="B4" t="s">
        <v>26</v>
      </c>
      <c r="C4" t="s">
        <v>27</v>
      </c>
      <c r="D4">
        <v>1</v>
      </c>
      <c r="E4">
        <v>2</v>
      </c>
      <c r="F4">
        <v>61</v>
      </c>
      <c r="G4">
        <v>2363</v>
      </c>
      <c r="H4">
        <v>28</v>
      </c>
      <c r="I4">
        <v>3</v>
      </c>
      <c r="J4">
        <v>2</v>
      </c>
      <c r="K4">
        <v>2.7</v>
      </c>
      <c r="L4">
        <v>1.21</v>
      </c>
      <c r="M4">
        <v>117</v>
      </c>
      <c r="N4">
        <v>459</v>
      </c>
      <c r="O4" t="s">
        <v>26</v>
      </c>
      <c r="P4">
        <f t="shared" si="1"/>
        <v>0.10283537875581888</v>
      </c>
      <c r="Q4">
        <f t="shared" si="2"/>
        <v>4.6085484553533645E-2</v>
      </c>
    </row>
    <row r="5" spans="1:17" x14ac:dyDescent="0.25">
      <c r="A5" t="str">
        <f t="shared" si="0"/>
        <v>Kai Havertz</v>
      </c>
      <c r="B5" t="s">
        <v>67</v>
      </c>
      <c r="C5" t="s">
        <v>68</v>
      </c>
      <c r="D5">
        <v>1</v>
      </c>
      <c r="E5">
        <v>4</v>
      </c>
      <c r="F5">
        <v>77</v>
      </c>
      <c r="G5">
        <v>1872</v>
      </c>
      <c r="H5">
        <v>21</v>
      </c>
      <c r="I5">
        <v>9</v>
      </c>
      <c r="J5">
        <v>3</v>
      </c>
      <c r="K5">
        <v>9.5299999999999994</v>
      </c>
      <c r="L5">
        <v>1.65</v>
      </c>
      <c r="M5">
        <v>97</v>
      </c>
      <c r="N5">
        <v>343</v>
      </c>
      <c r="O5" t="s">
        <v>68</v>
      </c>
      <c r="P5">
        <f t="shared" si="1"/>
        <v>0.45817307692307691</v>
      </c>
      <c r="Q5">
        <f t="shared" si="2"/>
        <v>7.9326923076923073E-2</v>
      </c>
    </row>
    <row r="6" spans="1:17" x14ac:dyDescent="0.25">
      <c r="A6" t="str">
        <f t="shared" si="0"/>
        <v>Karl Hein</v>
      </c>
      <c r="B6" t="s">
        <v>799</v>
      </c>
      <c r="C6" t="s">
        <v>1293</v>
      </c>
      <c r="D6">
        <v>1</v>
      </c>
      <c r="E6">
        <v>1</v>
      </c>
      <c r="F6">
        <v>40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1293</v>
      </c>
      <c r="P6">
        <f t="shared" si="1"/>
        <v>0</v>
      </c>
      <c r="Q6">
        <f t="shared" si="2"/>
        <v>0</v>
      </c>
    </row>
    <row r="7" spans="1:17" x14ac:dyDescent="0.25">
      <c r="A7" t="str">
        <f t="shared" si="0"/>
        <v>Jurriën Timber</v>
      </c>
      <c r="B7" t="s">
        <v>28</v>
      </c>
      <c r="C7" t="s">
        <v>29</v>
      </c>
      <c r="D7">
        <v>1</v>
      </c>
      <c r="E7">
        <v>2</v>
      </c>
      <c r="F7">
        <v>55</v>
      </c>
      <c r="G7">
        <v>2415</v>
      </c>
      <c r="H7">
        <v>27</v>
      </c>
      <c r="I7">
        <v>1</v>
      </c>
      <c r="J7">
        <v>3</v>
      </c>
      <c r="K7">
        <v>1.23</v>
      </c>
      <c r="L7">
        <v>1.3</v>
      </c>
      <c r="M7">
        <v>114</v>
      </c>
      <c r="N7">
        <v>426</v>
      </c>
      <c r="O7" t="s">
        <v>2642</v>
      </c>
      <c r="P7">
        <f t="shared" si="1"/>
        <v>4.5838509316770186E-2</v>
      </c>
      <c r="Q7">
        <f t="shared" si="2"/>
        <v>4.8447204968944106E-2</v>
      </c>
    </row>
    <row r="8" spans="1:17" x14ac:dyDescent="0.25">
      <c r="A8" t="str">
        <f t="shared" si="0"/>
        <v>Jorge Luiz Frello Filho</v>
      </c>
      <c r="B8" t="s">
        <v>1277</v>
      </c>
      <c r="C8" t="s">
        <v>1278</v>
      </c>
      <c r="D8">
        <v>1</v>
      </c>
      <c r="E8">
        <v>3</v>
      </c>
      <c r="F8">
        <v>46</v>
      </c>
      <c r="G8">
        <v>701</v>
      </c>
      <c r="H8">
        <v>9</v>
      </c>
      <c r="I8">
        <v>0</v>
      </c>
      <c r="J8">
        <v>0</v>
      </c>
      <c r="K8">
        <v>0.06</v>
      </c>
      <c r="L8">
        <v>0.59</v>
      </c>
      <c r="M8">
        <v>20</v>
      </c>
      <c r="N8">
        <v>112</v>
      </c>
      <c r="O8" t="s">
        <v>2643</v>
      </c>
      <c r="P8">
        <f t="shared" si="1"/>
        <v>7.7032810271041368E-3</v>
      </c>
      <c r="Q8">
        <f t="shared" si="2"/>
        <v>7.5748930099857337E-2</v>
      </c>
    </row>
    <row r="9" spans="1:17" x14ac:dyDescent="0.25">
      <c r="A9" t="str">
        <f t="shared" si="0"/>
        <v>Jakub Kiwior</v>
      </c>
      <c r="B9" t="s">
        <v>1279</v>
      </c>
      <c r="C9" t="s">
        <v>1280</v>
      </c>
      <c r="D9">
        <v>1</v>
      </c>
      <c r="E9">
        <v>2</v>
      </c>
      <c r="F9">
        <v>49</v>
      </c>
      <c r="G9">
        <v>1117</v>
      </c>
      <c r="H9">
        <v>10</v>
      </c>
      <c r="I9">
        <v>1</v>
      </c>
      <c r="J9">
        <v>0</v>
      </c>
      <c r="K9">
        <v>0.17</v>
      </c>
      <c r="L9">
        <v>0.28999999999999998</v>
      </c>
      <c r="M9">
        <v>43</v>
      </c>
      <c r="N9">
        <v>178</v>
      </c>
      <c r="O9" t="s">
        <v>1280</v>
      </c>
      <c r="P9">
        <f t="shared" si="1"/>
        <v>1.3697403760071622E-2</v>
      </c>
      <c r="Q9">
        <f t="shared" si="2"/>
        <v>2.3366159355416295E-2</v>
      </c>
    </row>
    <row r="10" spans="1:17" x14ac:dyDescent="0.25">
      <c r="A10" t="str">
        <f t="shared" si="0"/>
        <v>Gabriel Martinelli Silva</v>
      </c>
      <c r="B10" t="s">
        <v>26</v>
      </c>
      <c r="C10" t="s">
        <v>54</v>
      </c>
      <c r="D10">
        <v>1</v>
      </c>
      <c r="E10">
        <v>3</v>
      </c>
      <c r="F10">
        <v>65</v>
      </c>
      <c r="G10">
        <v>2284</v>
      </c>
      <c r="H10">
        <v>25</v>
      </c>
      <c r="I10">
        <v>8</v>
      </c>
      <c r="J10">
        <v>4</v>
      </c>
      <c r="K10">
        <v>7.13</v>
      </c>
      <c r="L10">
        <v>4.46</v>
      </c>
      <c r="M10">
        <v>125</v>
      </c>
      <c r="N10">
        <v>422</v>
      </c>
      <c r="O10" t="s">
        <v>2644</v>
      </c>
      <c r="P10">
        <f t="shared" si="1"/>
        <v>0.28095446584938705</v>
      </c>
      <c r="Q10">
        <f t="shared" si="2"/>
        <v>0.17574430823117337</v>
      </c>
    </row>
    <row r="11" spans="1:17" x14ac:dyDescent="0.25">
      <c r="A11" t="str">
        <f t="shared" si="0"/>
        <v>Ethan Nwaneri</v>
      </c>
      <c r="B11" t="s">
        <v>59</v>
      </c>
      <c r="C11" t="s">
        <v>60</v>
      </c>
      <c r="D11">
        <v>1</v>
      </c>
      <c r="E11">
        <v>3</v>
      </c>
      <c r="F11">
        <v>43</v>
      </c>
      <c r="G11">
        <v>882</v>
      </c>
      <c r="H11">
        <v>11</v>
      </c>
      <c r="I11">
        <v>4</v>
      </c>
      <c r="J11">
        <v>2</v>
      </c>
      <c r="K11">
        <v>1.19</v>
      </c>
      <c r="L11">
        <v>1.78</v>
      </c>
      <c r="M11">
        <v>66</v>
      </c>
      <c r="N11">
        <v>251</v>
      </c>
      <c r="O11" t="s">
        <v>60</v>
      </c>
      <c r="P11">
        <f t="shared" si="1"/>
        <v>0.12142857142857141</v>
      </c>
      <c r="Q11">
        <f t="shared" si="2"/>
        <v>0.1816326530612245</v>
      </c>
    </row>
    <row r="12" spans="1:17" x14ac:dyDescent="0.25">
      <c r="A12" t="str">
        <f t="shared" si="0"/>
        <v>Martin Ødegaard</v>
      </c>
      <c r="B12" t="s">
        <v>48</v>
      </c>
      <c r="C12" t="s">
        <v>49</v>
      </c>
      <c r="D12">
        <v>1</v>
      </c>
      <c r="E12">
        <v>3</v>
      </c>
      <c r="F12">
        <v>82</v>
      </c>
      <c r="G12">
        <v>2321</v>
      </c>
      <c r="H12">
        <v>26</v>
      </c>
      <c r="I12">
        <v>3</v>
      </c>
      <c r="J12">
        <v>9</v>
      </c>
      <c r="K12">
        <v>4.8499999999999996</v>
      </c>
      <c r="L12">
        <v>6.68</v>
      </c>
      <c r="M12">
        <v>116</v>
      </c>
      <c r="N12">
        <v>529</v>
      </c>
      <c r="O12" t="s">
        <v>49</v>
      </c>
      <c r="P12">
        <f t="shared" si="1"/>
        <v>0.18806548901335629</v>
      </c>
      <c r="Q12">
        <f t="shared" si="2"/>
        <v>0.2590262817750969</v>
      </c>
    </row>
    <row r="13" spans="1:17" x14ac:dyDescent="0.25">
      <c r="A13" t="str">
        <f t="shared" si="0"/>
        <v>David Raya Martin</v>
      </c>
      <c r="B13" t="s">
        <v>20</v>
      </c>
      <c r="C13" t="s">
        <v>1292</v>
      </c>
      <c r="D13">
        <v>1</v>
      </c>
      <c r="E13">
        <v>1</v>
      </c>
      <c r="F13">
        <v>56</v>
      </c>
      <c r="G13">
        <v>3420</v>
      </c>
      <c r="H13">
        <v>38</v>
      </c>
      <c r="I13">
        <v>0</v>
      </c>
      <c r="J13">
        <v>0</v>
      </c>
      <c r="K13">
        <v>0</v>
      </c>
      <c r="L13">
        <v>0.03</v>
      </c>
      <c r="M13">
        <v>142</v>
      </c>
      <c r="N13">
        <v>555</v>
      </c>
      <c r="O13" t="s">
        <v>2645</v>
      </c>
      <c r="P13">
        <f t="shared" si="1"/>
        <v>0</v>
      </c>
      <c r="Q13">
        <f t="shared" si="2"/>
        <v>7.894736842105263E-4</v>
      </c>
    </row>
    <row r="14" spans="1:17" x14ac:dyDescent="0.25">
      <c r="A14" t="str">
        <f t="shared" si="0"/>
        <v>Declan Rice</v>
      </c>
      <c r="B14" t="s">
        <v>44</v>
      </c>
      <c r="C14" t="s">
        <v>45</v>
      </c>
      <c r="D14">
        <v>1</v>
      </c>
      <c r="E14">
        <v>3</v>
      </c>
      <c r="F14">
        <v>63</v>
      </c>
      <c r="G14">
        <v>2823</v>
      </c>
      <c r="H14">
        <v>33</v>
      </c>
      <c r="I14">
        <v>4</v>
      </c>
      <c r="J14">
        <v>7</v>
      </c>
      <c r="K14">
        <v>3.51</v>
      </c>
      <c r="L14">
        <v>5.64</v>
      </c>
      <c r="M14">
        <v>127</v>
      </c>
      <c r="N14">
        <v>627</v>
      </c>
      <c r="O14" t="s">
        <v>45</v>
      </c>
      <c r="P14">
        <f t="shared" si="1"/>
        <v>0.11190223166843784</v>
      </c>
      <c r="Q14">
        <f t="shared" si="2"/>
        <v>0.17980871413390012</v>
      </c>
    </row>
    <row r="15" spans="1:17" x14ac:dyDescent="0.25">
      <c r="A15" t="str">
        <f t="shared" si="0"/>
        <v>Bukayo Saka</v>
      </c>
      <c r="B15" t="s">
        <v>42</v>
      </c>
      <c r="C15" t="s">
        <v>43</v>
      </c>
      <c r="D15">
        <v>1</v>
      </c>
      <c r="E15">
        <v>3</v>
      </c>
      <c r="F15">
        <v>104</v>
      </c>
      <c r="G15">
        <v>1724</v>
      </c>
      <c r="H15">
        <v>20</v>
      </c>
      <c r="I15">
        <v>6</v>
      </c>
      <c r="J15">
        <v>11</v>
      </c>
      <c r="K15">
        <v>6.87</v>
      </c>
      <c r="L15">
        <v>7.78</v>
      </c>
      <c r="M15">
        <v>127</v>
      </c>
      <c r="N15">
        <v>508</v>
      </c>
      <c r="O15" t="s">
        <v>43</v>
      </c>
      <c r="P15">
        <f t="shared" si="1"/>
        <v>0.35864269141531324</v>
      </c>
      <c r="Q15">
        <f t="shared" si="2"/>
        <v>0.40614849187935037</v>
      </c>
    </row>
    <row r="16" spans="1:17" x14ac:dyDescent="0.25">
      <c r="A16" t="str">
        <f t="shared" si="0"/>
        <v>William Saliba</v>
      </c>
      <c r="B16" t="s">
        <v>30</v>
      </c>
      <c r="C16" t="s">
        <v>31</v>
      </c>
      <c r="D16">
        <v>1</v>
      </c>
      <c r="E16">
        <v>2</v>
      </c>
      <c r="F16">
        <v>64</v>
      </c>
      <c r="G16">
        <v>3039</v>
      </c>
      <c r="H16">
        <v>35</v>
      </c>
      <c r="I16">
        <v>2</v>
      </c>
      <c r="J16">
        <v>0</v>
      </c>
      <c r="K16">
        <v>2.42</v>
      </c>
      <c r="L16">
        <v>1.28</v>
      </c>
      <c r="M16">
        <v>130</v>
      </c>
      <c r="N16">
        <v>564</v>
      </c>
      <c r="O16" t="s">
        <v>31</v>
      </c>
      <c r="P16">
        <f t="shared" si="1"/>
        <v>7.1668311944718649E-2</v>
      </c>
      <c r="Q16">
        <f t="shared" si="2"/>
        <v>3.7907206317867724E-2</v>
      </c>
    </row>
    <row r="17" spans="1:17" x14ac:dyDescent="0.25">
      <c r="A17" t="str">
        <f t="shared" si="0"/>
        <v>Thomas Partey</v>
      </c>
      <c r="B17" t="s">
        <v>364</v>
      </c>
      <c r="C17" t="s">
        <v>1282</v>
      </c>
      <c r="D17">
        <v>1</v>
      </c>
      <c r="E17">
        <v>3</v>
      </c>
      <c r="F17">
        <v>49</v>
      </c>
      <c r="G17">
        <v>2793</v>
      </c>
      <c r="H17">
        <v>31</v>
      </c>
      <c r="I17">
        <v>4</v>
      </c>
      <c r="J17">
        <v>3</v>
      </c>
      <c r="K17">
        <v>2.27</v>
      </c>
      <c r="L17">
        <v>2.64</v>
      </c>
      <c r="M17">
        <v>108</v>
      </c>
      <c r="N17">
        <v>567</v>
      </c>
      <c r="O17" t="s">
        <v>364</v>
      </c>
      <c r="P17">
        <f t="shared" si="1"/>
        <v>7.3147153598281417E-2</v>
      </c>
      <c r="Q17">
        <f t="shared" si="2"/>
        <v>8.5069817400644468E-2</v>
      </c>
    </row>
    <row r="18" spans="1:17" x14ac:dyDescent="0.25">
      <c r="A18" t="str">
        <f t="shared" si="0"/>
        <v>Kieran Tierney</v>
      </c>
      <c r="B18" t="s">
        <v>564</v>
      </c>
      <c r="C18" t="s">
        <v>1287</v>
      </c>
      <c r="D18">
        <v>1</v>
      </c>
      <c r="E18">
        <v>2</v>
      </c>
      <c r="F18">
        <v>43</v>
      </c>
      <c r="G18">
        <v>250</v>
      </c>
      <c r="H18">
        <v>2</v>
      </c>
      <c r="I18">
        <v>1</v>
      </c>
      <c r="J18">
        <v>0</v>
      </c>
      <c r="K18">
        <v>0.38</v>
      </c>
      <c r="L18">
        <v>0.54</v>
      </c>
      <c r="M18">
        <v>27</v>
      </c>
      <c r="N18">
        <v>99</v>
      </c>
      <c r="O18" t="s">
        <v>1287</v>
      </c>
      <c r="P18">
        <f t="shared" si="1"/>
        <v>0.1368</v>
      </c>
      <c r="Q18">
        <f t="shared" si="2"/>
        <v>0.19439999999999999</v>
      </c>
    </row>
    <row r="19" spans="1:17" x14ac:dyDescent="0.25">
      <c r="A19" t="str">
        <f t="shared" si="0"/>
        <v>Tomiyasu Takehiro</v>
      </c>
      <c r="B19" t="s">
        <v>465</v>
      </c>
      <c r="C19" t="s">
        <v>464</v>
      </c>
      <c r="D19">
        <v>1</v>
      </c>
      <c r="E19">
        <v>2</v>
      </c>
      <c r="F19">
        <v>48</v>
      </c>
      <c r="G19">
        <v>6</v>
      </c>
      <c r="H19">
        <v>0</v>
      </c>
      <c r="I19">
        <v>0</v>
      </c>
      <c r="J19">
        <v>0</v>
      </c>
      <c r="K19">
        <v>0.18</v>
      </c>
      <c r="L19">
        <v>0</v>
      </c>
      <c r="M19">
        <v>1</v>
      </c>
      <c r="N19">
        <v>2</v>
      </c>
      <c r="O19" t="s">
        <v>465</v>
      </c>
      <c r="P19">
        <f t="shared" si="1"/>
        <v>2.6999999999999997</v>
      </c>
      <c r="Q19">
        <f t="shared" si="2"/>
        <v>0</v>
      </c>
    </row>
    <row r="20" spans="1:17" x14ac:dyDescent="0.25">
      <c r="A20" t="str">
        <f t="shared" si="0"/>
        <v>Leandro Trossard</v>
      </c>
      <c r="B20" t="s">
        <v>1288</v>
      </c>
      <c r="C20" t="s">
        <v>1289</v>
      </c>
      <c r="D20">
        <v>1</v>
      </c>
      <c r="E20">
        <v>3</v>
      </c>
      <c r="F20">
        <v>67</v>
      </c>
      <c r="G20">
        <v>2546</v>
      </c>
      <c r="H20">
        <v>28</v>
      </c>
      <c r="I20">
        <v>8</v>
      </c>
      <c r="J20">
        <v>8</v>
      </c>
      <c r="K20">
        <v>6.74</v>
      </c>
      <c r="L20">
        <v>4.12</v>
      </c>
      <c r="M20">
        <v>152</v>
      </c>
      <c r="N20">
        <v>561</v>
      </c>
      <c r="O20" t="s">
        <v>1289</v>
      </c>
      <c r="P20">
        <f t="shared" si="1"/>
        <v>0.23825608798114689</v>
      </c>
      <c r="Q20">
        <f t="shared" si="2"/>
        <v>0.14564021995286724</v>
      </c>
    </row>
    <row r="21" spans="1:17" x14ac:dyDescent="0.25">
      <c r="A21" t="str">
        <f t="shared" si="0"/>
        <v>Benjamin White</v>
      </c>
      <c r="B21" t="s">
        <v>38</v>
      </c>
      <c r="C21" t="s">
        <v>39</v>
      </c>
      <c r="D21">
        <v>1</v>
      </c>
      <c r="E21">
        <v>2</v>
      </c>
      <c r="F21">
        <v>62</v>
      </c>
      <c r="G21">
        <v>1195</v>
      </c>
      <c r="H21">
        <v>13</v>
      </c>
      <c r="I21">
        <v>0</v>
      </c>
      <c r="J21">
        <v>2</v>
      </c>
      <c r="K21">
        <v>0.46</v>
      </c>
      <c r="L21">
        <v>1.3</v>
      </c>
      <c r="M21">
        <v>50</v>
      </c>
      <c r="N21">
        <v>211</v>
      </c>
      <c r="O21" t="s">
        <v>39</v>
      </c>
      <c r="P21">
        <f t="shared" si="1"/>
        <v>3.4644351464435147E-2</v>
      </c>
      <c r="Q21">
        <f t="shared" si="2"/>
        <v>9.7907949790794979E-2</v>
      </c>
    </row>
    <row r="22" spans="1:17" x14ac:dyDescent="0.25">
      <c r="A22" t="str">
        <f t="shared" si="0"/>
        <v>Oleksandr Zinchenko</v>
      </c>
      <c r="B22" t="s">
        <v>1290</v>
      </c>
      <c r="C22" t="s">
        <v>1291</v>
      </c>
      <c r="D22">
        <v>1</v>
      </c>
      <c r="E22">
        <v>2</v>
      </c>
      <c r="F22">
        <v>48</v>
      </c>
      <c r="G22">
        <v>518</v>
      </c>
      <c r="H22">
        <v>5</v>
      </c>
      <c r="I22">
        <v>0</v>
      </c>
      <c r="J22">
        <v>1</v>
      </c>
      <c r="K22">
        <v>0.65</v>
      </c>
      <c r="L22">
        <v>0.52</v>
      </c>
      <c r="M22">
        <v>40</v>
      </c>
      <c r="N22">
        <v>141</v>
      </c>
      <c r="O22" t="s">
        <v>1291</v>
      </c>
      <c r="P22">
        <f t="shared" si="1"/>
        <v>0.11293436293436293</v>
      </c>
      <c r="Q22">
        <f t="shared" si="2"/>
        <v>9.0347490347490358E-2</v>
      </c>
    </row>
    <row r="23" spans="1:17" x14ac:dyDescent="0.25">
      <c r="A23" t="str">
        <f t="shared" si="0"/>
        <v>Norberto Murara Neto</v>
      </c>
      <c r="B23" t="s">
        <v>1357</v>
      </c>
      <c r="C23" t="s">
        <v>1358</v>
      </c>
      <c r="D23">
        <v>1</v>
      </c>
      <c r="E23">
        <v>1</v>
      </c>
      <c r="F23">
        <v>41</v>
      </c>
      <c r="G23">
        <v>180</v>
      </c>
      <c r="H23">
        <v>2</v>
      </c>
      <c r="I23">
        <v>0</v>
      </c>
      <c r="J23">
        <v>0</v>
      </c>
      <c r="K23">
        <v>0</v>
      </c>
      <c r="L23">
        <v>0</v>
      </c>
      <c r="M23">
        <v>7</v>
      </c>
      <c r="N23">
        <v>30</v>
      </c>
      <c r="O23" t="s">
        <v>2646</v>
      </c>
      <c r="P23">
        <f t="shared" si="1"/>
        <v>0</v>
      </c>
      <c r="Q23">
        <f t="shared" si="2"/>
        <v>0</v>
      </c>
    </row>
    <row r="24" spans="1:17" x14ac:dyDescent="0.25">
      <c r="A24" t="str">
        <f t="shared" si="0"/>
        <v>Raheem Sterling</v>
      </c>
      <c r="B24" t="s">
        <v>1539</v>
      </c>
      <c r="C24" t="s">
        <v>1540</v>
      </c>
      <c r="D24">
        <v>1</v>
      </c>
      <c r="E24">
        <v>3</v>
      </c>
      <c r="F24">
        <v>67</v>
      </c>
      <c r="G24">
        <v>490</v>
      </c>
      <c r="H24">
        <v>7</v>
      </c>
      <c r="I24">
        <v>0</v>
      </c>
      <c r="J24">
        <v>2</v>
      </c>
      <c r="K24">
        <v>1.43</v>
      </c>
      <c r="L24">
        <v>0.48</v>
      </c>
      <c r="M24">
        <v>26</v>
      </c>
      <c r="N24">
        <v>64</v>
      </c>
      <c r="O24" t="s">
        <v>1540</v>
      </c>
      <c r="P24">
        <f t="shared" si="1"/>
        <v>0.26265306122448978</v>
      </c>
      <c r="Q24">
        <f t="shared" si="2"/>
        <v>8.8163265306122451E-2</v>
      </c>
    </row>
    <row r="25" spans="1:17" x14ac:dyDescent="0.25">
      <c r="A25" t="str">
        <f t="shared" si="0"/>
        <v>Riccardo Calafiori</v>
      </c>
      <c r="B25" t="s">
        <v>34</v>
      </c>
      <c r="C25" t="s">
        <v>35</v>
      </c>
      <c r="D25">
        <v>1</v>
      </c>
      <c r="E25">
        <v>2</v>
      </c>
      <c r="F25">
        <v>58</v>
      </c>
      <c r="G25">
        <v>978</v>
      </c>
      <c r="H25">
        <v>11</v>
      </c>
      <c r="I25">
        <v>2</v>
      </c>
      <c r="J25">
        <v>1</v>
      </c>
      <c r="K25">
        <v>0.86</v>
      </c>
      <c r="L25">
        <v>0.69</v>
      </c>
      <c r="M25">
        <v>39</v>
      </c>
      <c r="N25">
        <v>142</v>
      </c>
      <c r="O25" t="s">
        <v>35</v>
      </c>
      <c r="P25">
        <f t="shared" si="1"/>
        <v>7.9141104294478529E-2</v>
      </c>
      <c r="Q25">
        <f t="shared" si="2"/>
        <v>6.3496932515337418E-2</v>
      </c>
    </row>
    <row r="26" spans="1:17" x14ac:dyDescent="0.25">
      <c r="A26" t="str">
        <f t="shared" si="0"/>
        <v>Myles Lewis-Skelly</v>
      </c>
      <c r="B26" t="s">
        <v>32</v>
      </c>
      <c r="C26" t="s">
        <v>33</v>
      </c>
      <c r="D26">
        <v>1</v>
      </c>
      <c r="E26">
        <v>3</v>
      </c>
      <c r="F26">
        <v>45</v>
      </c>
      <c r="G26">
        <v>1362</v>
      </c>
      <c r="H26">
        <v>15</v>
      </c>
      <c r="I26">
        <v>1</v>
      </c>
      <c r="J26">
        <v>0</v>
      </c>
      <c r="K26">
        <v>0.16</v>
      </c>
      <c r="L26">
        <v>0.51</v>
      </c>
      <c r="M26">
        <v>37</v>
      </c>
      <c r="N26">
        <v>237</v>
      </c>
      <c r="O26" t="s">
        <v>33</v>
      </c>
      <c r="P26">
        <f t="shared" si="1"/>
        <v>1.0572687224669605E-2</v>
      </c>
      <c r="Q26">
        <f t="shared" si="2"/>
        <v>3.3700440528634364E-2</v>
      </c>
    </row>
    <row r="27" spans="1:17" x14ac:dyDescent="0.25">
      <c r="A27" t="str">
        <f t="shared" si="0"/>
        <v>Mikel Merino</v>
      </c>
      <c r="B27" t="s">
        <v>52</v>
      </c>
      <c r="C27" t="s">
        <v>2115</v>
      </c>
      <c r="D27">
        <v>1</v>
      </c>
      <c r="E27">
        <v>3</v>
      </c>
      <c r="F27">
        <v>60</v>
      </c>
      <c r="G27">
        <v>1575</v>
      </c>
      <c r="H27">
        <v>17</v>
      </c>
      <c r="I27">
        <v>7</v>
      </c>
      <c r="J27">
        <v>2</v>
      </c>
      <c r="K27">
        <v>5.75</v>
      </c>
      <c r="L27">
        <v>1.18</v>
      </c>
      <c r="M27">
        <v>92</v>
      </c>
      <c r="N27">
        <v>326</v>
      </c>
      <c r="O27" t="s">
        <v>2115</v>
      </c>
      <c r="P27">
        <f t="shared" si="1"/>
        <v>0.32857142857142857</v>
      </c>
      <c r="Q27">
        <f t="shared" si="2"/>
        <v>6.7428571428571421E-2</v>
      </c>
    </row>
    <row r="28" spans="1:17" x14ac:dyDescent="0.25">
      <c r="A28" t="str">
        <f t="shared" si="0"/>
        <v>Salah-Eddine Oulad M'hand</v>
      </c>
      <c r="B28" t="s">
        <v>2116</v>
      </c>
      <c r="C28" t="s">
        <v>2117</v>
      </c>
      <c r="D28">
        <v>1</v>
      </c>
      <c r="E28">
        <v>3</v>
      </c>
      <c r="F28">
        <v>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2117</v>
      </c>
      <c r="P28">
        <f t="shared" si="1"/>
        <v>0</v>
      </c>
      <c r="Q28">
        <f t="shared" si="2"/>
        <v>0</v>
      </c>
    </row>
    <row r="29" spans="1:17" x14ac:dyDescent="0.25">
      <c r="A29" t="str">
        <f t="shared" si="0"/>
        <v>Tommy Setford</v>
      </c>
      <c r="B29" t="s">
        <v>2056</v>
      </c>
      <c r="C29" t="s">
        <v>2118</v>
      </c>
      <c r="D29">
        <v>1</v>
      </c>
      <c r="E29">
        <v>1</v>
      </c>
      <c r="F29">
        <v>45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2118</v>
      </c>
      <c r="P29">
        <f t="shared" si="1"/>
        <v>0</v>
      </c>
      <c r="Q29">
        <f t="shared" si="2"/>
        <v>0</v>
      </c>
    </row>
    <row r="30" spans="1:17" x14ac:dyDescent="0.25">
      <c r="A30" t="str">
        <f t="shared" si="0"/>
        <v>Maldini Kacurri</v>
      </c>
      <c r="B30" t="s">
        <v>2119</v>
      </c>
      <c r="C30" t="s">
        <v>2120</v>
      </c>
      <c r="D30">
        <v>1</v>
      </c>
      <c r="E30">
        <v>2</v>
      </c>
      <c r="F30">
        <v>40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2120</v>
      </c>
      <c r="P30">
        <f t="shared" si="1"/>
        <v>0</v>
      </c>
      <c r="Q30">
        <f t="shared" si="2"/>
        <v>0</v>
      </c>
    </row>
    <row r="31" spans="1:17" x14ac:dyDescent="0.25">
      <c r="A31" t="str">
        <f t="shared" si="0"/>
        <v>Ismeal Kabia</v>
      </c>
      <c r="B31" t="s">
        <v>2121</v>
      </c>
      <c r="C31" t="s">
        <v>2122</v>
      </c>
      <c r="D31">
        <v>1</v>
      </c>
      <c r="E31">
        <v>3</v>
      </c>
      <c r="F31">
        <v>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2122</v>
      </c>
      <c r="P31">
        <f t="shared" si="1"/>
        <v>0</v>
      </c>
      <c r="Q31">
        <f t="shared" si="2"/>
        <v>0</v>
      </c>
    </row>
    <row r="32" spans="1:17" x14ac:dyDescent="0.25">
      <c r="A32" t="str">
        <f t="shared" si="0"/>
        <v>Josh Nichols</v>
      </c>
      <c r="B32" t="s">
        <v>219</v>
      </c>
      <c r="C32" t="s">
        <v>2123</v>
      </c>
      <c r="D32">
        <v>1</v>
      </c>
      <c r="E32">
        <v>2</v>
      </c>
      <c r="F32">
        <v>40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2123</v>
      </c>
      <c r="P32">
        <f t="shared" si="1"/>
        <v>0</v>
      </c>
      <c r="Q32">
        <f t="shared" si="2"/>
        <v>0</v>
      </c>
    </row>
    <row r="33" spans="1:17" x14ac:dyDescent="0.25">
      <c r="A33" t="str">
        <f t="shared" si="0"/>
        <v>Nathan Butler-Oyedeji</v>
      </c>
      <c r="B33" t="s">
        <v>185</v>
      </c>
      <c r="C33" t="s">
        <v>2124</v>
      </c>
      <c r="D33">
        <v>1</v>
      </c>
      <c r="E33">
        <v>4</v>
      </c>
      <c r="F33">
        <v>45</v>
      </c>
      <c r="G33">
        <v>6</v>
      </c>
      <c r="H33">
        <v>0</v>
      </c>
      <c r="I33">
        <v>0</v>
      </c>
      <c r="J33">
        <v>0</v>
      </c>
      <c r="K33">
        <v>7.0000000000000007E-2</v>
      </c>
      <c r="L33">
        <v>0</v>
      </c>
      <c r="M33">
        <v>1</v>
      </c>
      <c r="N33">
        <v>5</v>
      </c>
      <c r="O33" t="s">
        <v>2124</v>
      </c>
      <c r="P33">
        <f t="shared" si="1"/>
        <v>1.05</v>
      </c>
      <c r="Q33">
        <f t="shared" si="2"/>
        <v>0</v>
      </c>
    </row>
    <row r="34" spans="1:17" x14ac:dyDescent="0.25">
      <c r="A34" t="str">
        <f t="shared" si="0"/>
        <v>Mikel Arteta</v>
      </c>
      <c r="B34" t="s">
        <v>52</v>
      </c>
      <c r="C34" t="s">
        <v>2125</v>
      </c>
      <c r="D34">
        <v>1</v>
      </c>
      <c r="E34">
        <v>5</v>
      </c>
      <c r="F34">
        <v>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104</v>
      </c>
      <c r="N34">
        <v>0</v>
      </c>
      <c r="O34" t="s">
        <v>2125</v>
      </c>
      <c r="P34">
        <f t="shared" si="1"/>
        <v>0</v>
      </c>
      <c r="Q34">
        <f t="shared" si="2"/>
        <v>0</v>
      </c>
    </row>
    <row r="35" spans="1:17" x14ac:dyDescent="0.25">
      <c r="A35" t="str">
        <f t="shared" si="0"/>
        <v>Jack Porter</v>
      </c>
      <c r="B35" t="s">
        <v>253</v>
      </c>
      <c r="C35" t="s">
        <v>2126</v>
      </c>
      <c r="D35">
        <v>1</v>
      </c>
      <c r="E35">
        <v>1</v>
      </c>
      <c r="F35">
        <v>40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2126</v>
      </c>
      <c r="P35">
        <f t="shared" si="1"/>
        <v>0</v>
      </c>
      <c r="Q35">
        <f t="shared" si="2"/>
        <v>0</v>
      </c>
    </row>
    <row r="36" spans="1:17" x14ac:dyDescent="0.25">
      <c r="A36" t="str">
        <f t="shared" si="0"/>
        <v>Jimi Gower</v>
      </c>
      <c r="B36" t="s">
        <v>1566</v>
      </c>
      <c r="C36" t="s">
        <v>2127</v>
      </c>
      <c r="D36">
        <v>1</v>
      </c>
      <c r="E36">
        <v>3</v>
      </c>
      <c r="F36">
        <v>45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2127</v>
      </c>
      <c r="P36">
        <f t="shared" si="1"/>
        <v>0</v>
      </c>
      <c r="Q36">
        <f t="shared" si="2"/>
        <v>0</v>
      </c>
    </row>
    <row r="37" spans="1:17" x14ac:dyDescent="0.25">
      <c r="A37" t="str">
        <f t="shared" si="0"/>
        <v>Jack Henry-Francis</v>
      </c>
      <c r="B37" t="s">
        <v>253</v>
      </c>
      <c r="C37" t="s">
        <v>2128</v>
      </c>
      <c r="D37">
        <v>1</v>
      </c>
      <c r="E37">
        <v>3</v>
      </c>
      <c r="F37">
        <v>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2647</v>
      </c>
      <c r="P37">
        <f t="shared" si="1"/>
        <v>0</v>
      </c>
      <c r="Q37">
        <f t="shared" si="2"/>
        <v>0</v>
      </c>
    </row>
    <row r="38" spans="1:17" x14ac:dyDescent="0.25">
      <c r="A38" t="str">
        <f t="shared" si="0"/>
        <v>Brayden Clarke</v>
      </c>
      <c r="B38" t="s">
        <v>2129</v>
      </c>
      <c r="C38" t="s">
        <v>622</v>
      </c>
      <c r="D38">
        <v>1</v>
      </c>
      <c r="E38">
        <v>2</v>
      </c>
      <c r="F38">
        <v>40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622</v>
      </c>
      <c r="P38">
        <f t="shared" si="1"/>
        <v>0</v>
      </c>
      <c r="Q38">
        <f t="shared" si="2"/>
        <v>0</v>
      </c>
    </row>
    <row r="39" spans="1:17" x14ac:dyDescent="0.25">
      <c r="A39" t="str">
        <f t="shared" si="0"/>
        <v>Leon Bailey</v>
      </c>
      <c r="B39" t="s">
        <v>99</v>
      </c>
      <c r="C39" t="s">
        <v>100</v>
      </c>
      <c r="D39">
        <v>2</v>
      </c>
      <c r="E39">
        <v>3</v>
      </c>
      <c r="F39">
        <v>62</v>
      </c>
      <c r="G39">
        <v>1132</v>
      </c>
      <c r="H39">
        <v>14</v>
      </c>
      <c r="I39">
        <v>1</v>
      </c>
      <c r="J39">
        <v>2</v>
      </c>
      <c r="K39">
        <v>1.73</v>
      </c>
      <c r="L39">
        <v>2.92</v>
      </c>
      <c r="M39">
        <v>47</v>
      </c>
      <c r="N39">
        <v>174</v>
      </c>
      <c r="O39" t="s">
        <v>100</v>
      </c>
      <c r="P39">
        <f t="shared" si="1"/>
        <v>0.13754416961130742</v>
      </c>
      <c r="Q39">
        <f t="shared" si="2"/>
        <v>0.23215547703180212</v>
      </c>
    </row>
    <row r="40" spans="1:17" x14ac:dyDescent="0.25">
      <c r="A40" t="str">
        <f t="shared" si="0"/>
        <v>Ross Barkley</v>
      </c>
      <c r="B40" t="s">
        <v>103</v>
      </c>
      <c r="C40" t="s">
        <v>104</v>
      </c>
      <c r="D40">
        <v>2</v>
      </c>
      <c r="E40">
        <v>3</v>
      </c>
      <c r="F40">
        <v>52</v>
      </c>
      <c r="G40">
        <v>567</v>
      </c>
      <c r="H40">
        <v>3</v>
      </c>
      <c r="I40">
        <v>3</v>
      </c>
      <c r="J40">
        <v>1</v>
      </c>
      <c r="K40">
        <v>1.79</v>
      </c>
      <c r="L40">
        <v>0.43</v>
      </c>
      <c r="M40">
        <v>44</v>
      </c>
      <c r="N40">
        <v>166</v>
      </c>
      <c r="O40" t="s">
        <v>104</v>
      </c>
      <c r="P40">
        <f t="shared" si="1"/>
        <v>0.28412698412698412</v>
      </c>
      <c r="Q40">
        <f t="shared" si="2"/>
        <v>6.8253968253968247E-2</v>
      </c>
    </row>
    <row r="41" spans="1:17" x14ac:dyDescent="0.25">
      <c r="A41" t="str">
        <f t="shared" si="0"/>
        <v>Enzo Barrenechea</v>
      </c>
      <c r="B41" t="s">
        <v>319</v>
      </c>
      <c r="C41" t="s">
        <v>2130</v>
      </c>
      <c r="D41">
        <v>2</v>
      </c>
      <c r="E41">
        <v>3</v>
      </c>
      <c r="F41">
        <v>49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2130</v>
      </c>
      <c r="P41">
        <f t="shared" si="1"/>
        <v>0</v>
      </c>
      <c r="Q41">
        <f t="shared" si="2"/>
        <v>0</v>
      </c>
    </row>
    <row r="42" spans="1:17" x14ac:dyDescent="0.25">
      <c r="A42" t="str">
        <f t="shared" si="0"/>
        <v>Emiliano Buendía Stati</v>
      </c>
      <c r="B42" t="s">
        <v>74</v>
      </c>
      <c r="C42" t="s">
        <v>98</v>
      </c>
      <c r="D42">
        <v>2</v>
      </c>
      <c r="E42">
        <v>3</v>
      </c>
      <c r="F42">
        <v>51</v>
      </c>
      <c r="G42">
        <v>89</v>
      </c>
      <c r="H42">
        <v>0</v>
      </c>
      <c r="I42">
        <v>0</v>
      </c>
      <c r="J42">
        <v>0</v>
      </c>
      <c r="K42">
        <v>0.65</v>
      </c>
      <c r="L42">
        <v>0.03</v>
      </c>
      <c r="M42">
        <v>11</v>
      </c>
      <c r="N42">
        <v>37</v>
      </c>
      <c r="O42" t="s">
        <v>2648</v>
      </c>
      <c r="P42">
        <f t="shared" si="1"/>
        <v>0.65730337078651691</v>
      </c>
      <c r="Q42">
        <f t="shared" si="2"/>
        <v>3.0337078651685393E-2</v>
      </c>
    </row>
    <row r="43" spans="1:17" x14ac:dyDescent="0.25">
      <c r="A43" t="str">
        <f t="shared" si="0"/>
        <v>Matty Cash</v>
      </c>
      <c r="B43" t="s">
        <v>82</v>
      </c>
      <c r="C43" t="s">
        <v>83</v>
      </c>
      <c r="D43">
        <v>2</v>
      </c>
      <c r="E43">
        <v>2</v>
      </c>
      <c r="F43">
        <v>44</v>
      </c>
      <c r="G43">
        <v>2069</v>
      </c>
      <c r="H43">
        <v>24</v>
      </c>
      <c r="I43">
        <v>1</v>
      </c>
      <c r="J43">
        <v>1</v>
      </c>
      <c r="K43">
        <v>0.48</v>
      </c>
      <c r="L43">
        <v>1.23</v>
      </c>
      <c r="M43">
        <v>76</v>
      </c>
      <c r="N43">
        <v>286</v>
      </c>
      <c r="O43" t="s">
        <v>83</v>
      </c>
      <c r="P43">
        <f t="shared" si="1"/>
        <v>2.0879652005799904E-2</v>
      </c>
      <c r="Q43">
        <f t="shared" si="2"/>
        <v>5.3504108264862252E-2</v>
      </c>
    </row>
    <row r="44" spans="1:17" x14ac:dyDescent="0.25">
      <c r="A44" t="str">
        <f t="shared" si="0"/>
        <v>Leander Dendoncker</v>
      </c>
      <c r="B44" t="s">
        <v>1307</v>
      </c>
      <c r="C44" t="s">
        <v>1308</v>
      </c>
      <c r="D44">
        <v>2</v>
      </c>
      <c r="E44">
        <v>3</v>
      </c>
      <c r="F44">
        <v>45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1308</v>
      </c>
      <c r="P44">
        <f t="shared" si="1"/>
        <v>0</v>
      </c>
      <c r="Q44">
        <f t="shared" si="2"/>
        <v>0</v>
      </c>
    </row>
    <row r="45" spans="1:17" x14ac:dyDescent="0.25">
      <c r="A45" t="str">
        <f t="shared" si="0"/>
        <v>Moussa Diaby</v>
      </c>
      <c r="B45" t="s">
        <v>1325</v>
      </c>
      <c r="C45" t="s">
        <v>1326</v>
      </c>
      <c r="D45">
        <v>2</v>
      </c>
      <c r="E45">
        <v>3</v>
      </c>
      <c r="F45">
        <v>65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1326</v>
      </c>
      <c r="P45">
        <f t="shared" si="1"/>
        <v>0</v>
      </c>
      <c r="Q45">
        <f t="shared" si="2"/>
        <v>0</v>
      </c>
    </row>
    <row r="46" spans="1:17" x14ac:dyDescent="0.25">
      <c r="A46" t="str">
        <f t="shared" si="0"/>
        <v>Diego Carlos Santos Silva</v>
      </c>
      <c r="B46" t="s">
        <v>1309</v>
      </c>
      <c r="C46" t="s">
        <v>1310</v>
      </c>
      <c r="D46">
        <v>2</v>
      </c>
      <c r="E46">
        <v>2</v>
      </c>
      <c r="F46">
        <v>45</v>
      </c>
      <c r="G46">
        <v>828</v>
      </c>
      <c r="H46">
        <v>8</v>
      </c>
      <c r="I46">
        <v>0</v>
      </c>
      <c r="J46">
        <v>0</v>
      </c>
      <c r="K46">
        <v>0.64</v>
      </c>
      <c r="L46">
        <v>0.08</v>
      </c>
      <c r="M46">
        <v>21</v>
      </c>
      <c r="N46">
        <v>69</v>
      </c>
      <c r="O46" t="s">
        <v>1309</v>
      </c>
      <c r="P46">
        <f t="shared" si="1"/>
        <v>6.9565217391304349E-2</v>
      </c>
      <c r="Q46">
        <f t="shared" si="2"/>
        <v>8.6956521739130436E-3</v>
      </c>
    </row>
    <row r="47" spans="1:17" x14ac:dyDescent="0.25">
      <c r="A47" t="str">
        <f t="shared" si="0"/>
        <v>Lucas Digne</v>
      </c>
      <c r="B47" t="s">
        <v>78</v>
      </c>
      <c r="C47" t="s">
        <v>79</v>
      </c>
      <c r="D47">
        <v>2</v>
      </c>
      <c r="E47">
        <v>2</v>
      </c>
      <c r="F47">
        <v>44</v>
      </c>
      <c r="G47">
        <v>2348</v>
      </c>
      <c r="H47">
        <v>28</v>
      </c>
      <c r="I47">
        <v>0</v>
      </c>
      <c r="J47">
        <v>5</v>
      </c>
      <c r="K47">
        <v>0.8</v>
      </c>
      <c r="L47">
        <v>3.97</v>
      </c>
      <c r="M47">
        <v>89</v>
      </c>
      <c r="N47">
        <v>383</v>
      </c>
      <c r="O47" t="s">
        <v>79</v>
      </c>
      <c r="P47">
        <f t="shared" si="1"/>
        <v>3.0664395229982967E-2</v>
      </c>
      <c r="Q47">
        <f t="shared" si="2"/>
        <v>0.15217206132879046</v>
      </c>
    </row>
    <row r="48" spans="1:17" x14ac:dyDescent="0.25">
      <c r="A48" t="str">
        <f t="shared" si="0"/>
        <v>Lewis Dobbin</v>
      </c>
      <c r="B48" t="s">
        <v>157</v>
      </c>
      <c r="C48" t="s">
        <v>1632</v>
      </c>
      <c r="D48">
        <v>2</v>
      </c>
      <c r="E48">
        <v>3</v>
      </c>
      <c r="F48">
        <v>50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1632</v>
      </c>
      <c r="P48">
        <f t="shared" si="1"/>
        <v>0</v>
      </c>
      <c r="Q48">
        <f t="shared" si="2"/>
        <v>0</v>
      </c>
    </row>
    <row r="49" spans="1:17" x14ac:dyDescent="0.25">
      <c r="A49" t="str">
        <f t="shared" si="0"/>
        <v>Jhon Durán</v>
      </c>
      <c r="B49" t="s">
        <v>1313</v>
      </c>
      <c r="C49" t="s">
        <v>1314</v>
      </c>
      <c r="D49">
        <v>2</v>
      </c>
      <c r="E49">
        <v>4</v>
      </c>
      <c r="F49">
        <v>57</v>
      </c>
      <c r="G49">
        <v>622</v>
      </c>
      <c r="H49">
        <v>4</v>
      </c>
      <c r="I49">
        <v>7</v>
      </c>
      <c r="J49">
        <v>0</v>
      </c>
      <c r="K49">
        <v>5.1100000000000003</v>
      </c>
      <c r="L49">
        <v>0.24</v>
      </c>
      <c r="M49">
        <v>53</v>
      </c>
      <c r="N49">
        <v>222</v>
      </c>
      <c r="O49" t="s">
        <v>2649</v>
      </c>
      <c r="P49">
        <f t="shared" si="1"/>
        <v>0.73938906752411571</v>
      </c>
      <c r="Q49">
        <f t="shared" si="2"/>
        <v>3.4726688102893886E-2</v>
      </c>
    </row>
    <row r="50" spans="1:17" x14ac:dyDescent="0.25">
      <c r="A50" t="str">
        <f t="shared" si="0"/>
        <v>Joe Gauci</v>
      </c>
      <c r="B50" t="s">
        <v>585</v>
      </c>
      <c r="C50" t="s">
        <v>1336</v>
      </c>
      <c r="D50">
        <v>2</v>
      </c>
      <c r="E50">
        <v>1</v>
      </c>
      <c r="F50">
        <v>40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1336</v>
      </c>
      <c r="P50">
        <f t="shared" si="1"/>
        <v>0</v>
      </c>
      <c r="Q50">
        <f t="shared" si="2"/>
        <v>0</v>
      </c>
    </row>
    <row r="51" spans="1:17" x14ac:dyDescent="0.25">
      <c r="A51" t="str">
        <f t="shared" si="0"/>
        <v>Kortney Hause</v>
      </c>
      <c r="B51" t="s">
        <v>1315</v>
      </c>
      <c r="C51" t="s">
        <v>1316</v>
      </c>
      <c r="D51">
        <v>2</v>
      </c>
      <c r="E51">
        <v>2</v>
      </c>
      <c r="F51">
        <v>39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1316</v>
      </c>
      <c r="P51">
        <f t="shared" si="1"/>
        <v>0</v>
      </c>
      <c r="Q51">
        <f t="shared" si="2"/>
        <v>0</v>
      </c>
    </row>
    <row r="52" spans="1:17" x14ac:dyDescent="0.25">
      <c r="A52" t="str">
        <f t="shared" si="0"/>
        <v>Samuel Iling-Junior</v>
      </c>
      <c r="B52" t="s">
        <v>109</v>
      </c>
      <c r="C52" t="s">
        <v>110</v>
      </c>
      <c r="D52">
        <v>2</v>
      </c>
      <c r="E52">
        <v>3</v>
      </c>
      <c r="F52">
        <v>54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2650</v>
      </c>
      <c r="P52">
        <f t="shared" si="1"/>
        <v>0</v>
      </c>
      <c r="Q52">
        <f t="shared" si="2"/>
        <v>0</v>
      </c>
    </row>
    <row r="53" spans="1:17" x14ac:dyDescent="0.25">
      <c r="A53" t="str">
        <f t="shared" si="0"/>
        <v>Boubacar Kamara</v>
      </c>
      <c r="B53" t="s">
        <v>105</v>
      </c>
      <c r="C53" t="s">
        <v>106</v>
      </c>
      <c r="D53">
        <v>2</v>
      </c>
      <c r="E53">
        <v>3</v>
      </c>
      <c r="F53">
        <v>50</v>
      </c>
      <c r="G53">
        <v>1720</v>
      </c>
      <c r="H53">
        <v>20</v>
      </c>
      <c r="I53">
        <v>1</v>
      </c>
      <c r="J53">
        <v>0</v>
      </c>
      <c r="K53">
        <v>0.82</v>
      </c>
      <c r="L53">
        <v>0.83</v>
      </c>
      <c r="M53">
        <v>57</v>
      </c>
      <c r="N53">
        <v>296</v>
      </c>
      <c r="O53" t="s">
        <v>106</v>
      </c>
      <c r="P53">
        <f t="shared" si="1"/>
        <v>4.2906976744186046E-2</v>
      </c>
      <c r="Q53">
        <f t="shared" si="2"/>
        <v>4.3430232558139534E-2</v>
      </c>
    </row>
    <row r="54" spans="1:17" x14ac:dyDescent="0.25">
      <c r="A54" t="str">
        <f t="shared" si="0"/>
        <v>Kaine Kesler-Hayden</v>
      </c>
      <c r="B54" t="s">
        <v>369</v>
      </c>
      <c r="C54" t="s">
        <v>370</v>
      </c>
      <c r="D54">
        <v>2</v>
      </c>
      <c r="E54">
        <v>2</v>
      </c>
      <c r="F54">
        <v>40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370</v>
      </c>
      <c r="P54">
        <f t="shared" si="1"/>
        <v>0</v>
      </c>
      <c r="Q54">
        <f t="shared" si="2"/>
        <v>0</v>
      </c>
    </row>
    <row r="55" spans="1:17" x14ac:dyDescent="0.25">
      <c r="A55" t="str">
        <f t="shared" si="0"/>
        <v>Ezri Konsa Ngoyo</v>
      </c>
      <c r="B55" t="s">
        <v>80</v>
      </c>
      <c r="C55" t="s">
        <v>81</v>
      </c>
      <c r="D55">
        <v>2</v>
      </c>
      <c r="E55">
        <v>2</v>
      </c>
      <c r="F55">
        <v>45</v>
      </c>
      <c r="G55">
        <v>2936</v>
      </c>
      <c r="H55">
        <v>33</v>
      </c>
      <c r="I55">
        <v>2</v>
      </c>
      <c r="J55">
        <v>0</v>
      </c>
      <c r="K55">
        <v>1.29</v>
      </c>
      <c r="L55">
        <v>0.61</v>
      </c>
      <c r="M55">
        <v>103</v>
      </c>
      <c r="N55">
        <v>448</v>
      </c>
      <c r="O55" t="s">
        <v>2651</v>
      </c>
      <c r="P55">
        <f t="shared" si="1"/>
        <v>3.9543596730245233E-2</v>
      </c>
      <c r="Q55">
        <f t="shared" si="2"/>
        <v>1.8698910081743871E-2</v>
      </c>
    </row>
    <row r="56" spans="1:17" x14ac:dyDescent="0.25">
      <c r="A56" t="str">
        <f t="shared" si="0"/>
        <v>Ian Maatsen</v>
      </c>
      <c r="B56" t="s">
        <v>90</v>
      </c>
      <c r="C56" t="s">
        <v>91</v>
      </c>
      <c r="D56">
        <v>2</v>
      </c>
      <c r="E56">
        <v>2</v>
      </c>
      <c r="F56">
        <v>45</v>
      </c>
      <c r="G56">
        <v>1125</v>
      </c>
      <c r="H56">
        <v>10</v>
      </c>
      <c r="I56">
        <v>1</v>
      </c>
      <c r="J56">
        <v>2</v>
      </c>
      <c r="K56">
        <v>0.87</v>
      </c>
      <c r="L56">
        <v>2.4300000000000002</v>
      </c>
      <c r="M56">
        <v>57</v>
      </c>
      <c r="N56">
        <v>204</v>
      </c>
      <c r="O56" t="s">
        <v>91</v>
      </c>
      <c r="P56">
        <f t="shared" si="1"/>
        <v>6.9599999999999995E-2</v>
      </c>
      <c r="Q56">
        <f t="shared" si="2"/>
        <v>0.19439999999999999</v>
      </c>
    </row>
    <row r="57" spans="1:17" x14ac:dyDescent="0.25">
      <c r="A57" t="str">
        <f t="shared" si="0"/>
        <v>Filip Marschall</v>
      </c>
      <c r="B57" t="s">
        <v>295</v>
      </c>
      <c r="C57" t="s">
        <v>1328</v>
      </c>
      <c r="D57">
        <v>2</v>
      </c>
      <c r="E57">
        <v>1</v>
      </c>
      <c r="F57">
        <v>40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1328</v>
      </c>
      <c r="P57">
        <f t="shared" si="1"/>
        <v>0</v>
      </c>
      <c r="Q57">
        <f t="shared" si="2"/>
        <v>0</v>
      </c>
    </row>
    <row r="58" spans="1:17" x14ac:dyDescent="0.25">
      <c r="A58" t="str">
        <f t="shared" si="0"/>
        <v>Emiliano Martínez Romero</v>
      </c>
      <c r="B58" t="s">
        <v>74</v>
      </c>
      <c r="C58" t="s">
        <v>75</v>
      </c>
      <c r="D58">
        <v>2</v>
      </c>
      <c r="E58">
        <v>1</v>
      </c>
      <c r="F58">
        <v>50</v>
      </c>
      <c r="G58">
        <v>3195</v>
      </c>
      <c r="H58">
        <v>37</v>
      </c>
      <c r="I58">
        <v>0</v>
      </c>
      <c r="J58">
        <v>0</v>
      </c>
      <c r="K58">
        <v>0</v>
      </c>
      <c r="L58">
        <v>0.02</v>
      </c>
      <c r="M58">
        <v>111</v>
      </c>
      <c r="N58">
        <v>457</v>
      </c>
      <c r="O58" t="s">
        <v>2652</v>
      </c>
      <c r="P58">
        <f t="shared" si="1"/>
        <v>0</v>
      </c>
      <c r="Q58">
        <f t="shared" si="2"/>
        <v>5.6338028169014088E-4</v>
      </c>
    </row>
    <row r="59" spans="1:17" x14ac:dyDescent="0.25">
      <c r="A59" t="str">
        <f t="shared" si="0"/>
        <v>John McGinn</v>
      </c>
      <c r="B59" t="s">
        <v>101</v>
      </c>
      <c r="C59" t="s">
        <v>102</v>
      </c>
      <c r="D59">
        <v>2</v>
      </c>
      <c r="E59">
        <v>3</v>
      </c>
      <c r="F59">
        <v>52</v>
      </c>
      <c r="G59">
        <v>2217</v>
      </c>
      <c r="H59">
        <v>27</v>
      </c>
      <c r="I59">
        <v>1</v>
      </c>
      <c r="J59">
        <v>4</v>
      </c>
      <c r="K59">
        <v>3.1</v>
      </c>
      <c r="L59">
        <v>2.7</v>
      </c>
      <c r="M59">
        <v>78</v>
      </c>
      <c r="N59">
        <v>360</v>
      </c>
      <c r="O59" t="s">
        <v>102</v>
      </c>
      <c r="P59">
        <f t="shared" si="1"/>
        <v>0.12584573748308525</v>
      </c>
      <c r="Q59">
        <f t="shared" si="2"/>
        <v>0.10960757780784845</v>
      </c>
    </row>
    <row r="60" spans="1:17" x14ac:dyDescent="0.25">
      <c r="A60" t="str">
        <f t="shared" si="0"/>
        <v>Tyrone Mings</v>
      </c>
      <c r="B60" t="s">
        <v>84</v>
      </c>
      <c r="C60" t="s">
        <v>85</v>
      </c>
      <c r="D60">
        <v>2</v>
      </c>
      <c r="E60">
        <v>2</v>
      </c>
      <c r="F60">
        <v>44</v>
      </c>
      <c r="G60">
        <v>1119</v>
      </c>
      <c r="H60">
        <v>12</v>
      </c>
      <c r="I60">
        <v>0</v>
      </c>
      <c r="J60">
        <v>1</v>
      </c>
      <c r="K60">
        <v>0.88</v>
      </c>
      <c r="L60">
        <v>0.23</v>
      </c>
      <c r="M60">
        <v>47</v>
      </c>
      <c r="N60">
        <v>207</v>
      </c>
      <c r="O60" t="s">
        <v>85</v>
      </c>
      <c r="P60">
        <f t="shared" si="1"/>
        <v>7.0777479892761397E-2</v>
      </c>
      <c r="Q60">
        <f t="shared" si="2"/>
        <v>1.8498659517426276E-2</v>
      </c>
    </row>
    <row r="61" spans="1:17" x14ac:dyDescent="0.25">
      <c r="A61" t="str">
        <f t="shared" si="0"/>
        <v>Kosta Nedeljković</v>
      </c>
      <c r="B61" t="s">
        <v>96</v>
      </c>
      <c r="C61" t="s">
        <v>2131</v>
      </c>
      <c r="D61">
        <v>2</v>
      </c>
      <c r="E61">
        <v>2</v>
      </c>
      <c r="F61">
        <v>39</v>
      </c>
      <c r="G61">
        <v>121</v>
      </c>
      <c r="H61">
        <v>0</v>
      </c>
      <c r="I61">
        <v>0</v>
      </c>
      <c r="J61">
        <v>0</v>
      </c>
      <c r="K61">
        <v>0</v>
      </c>
      <c r="L61">
        <v>0.02</v>
      </c>
      <c r="M61">
        <v>5</v>
      </c>
      <c r="N61">
        <v>11</v>
      </c>
      <c r="O61" t="s">
        <v>97</v>
      </c>
      <c r="P61">
        <f t="shared" si="1"/>
        <v>0</v>
      </c>
      <c r="Q61">
        <f t="shared" si="2"/>
        <v>1.4876033057851241E-2</v>
      </c>
    </row>
    <row r="62" spans="1:17" x14ac:dyDescent="0.25">
      <c r="A62" t="str">
        <f t="shared" si="0"/>
        <v>Robin Olsen</v>
      </c>
      <c r="B62" t="s">
        <v>985</v>
      </c>
      <c r="C62" t="s">
        <v>1317</v>
      </c>
      <c r="D62">
        <v>2</v>
      </c>
      <c r="E62">
        <v>1</v>
      </c>
      <c r="F62">
        <v>45</v>
      </c>
      <c r="G62">
        <v>225</v>
      </c>
      <c r="H62">
        <v>1</v>
      </c>
      <c r="I62">
        <v>0</v>
      </c>
      <c r="J62">
        <v>0</v>
      </c>
      <c r="K62">
        <v>0</v>
      </c>
      <c r="L62">
        <v>0</v>
      </c>
      <c r="M62">
        <v>9</v>
      </c>
      <c r="N62">
        <v>23</v>
      </c>
      <c r="O62" t="s">
        <v>1317</v>
      </c>
      <c r="P62">
        <f t="shared" si="1"/>
        <v>0</v>
      </c>
      <c r="Q62">
        <f t="shared" si="2"/>
        <v>0</v>
      </c>
    </row>
    <row r="63" spans="1:17" x14ac:dyDescent="0.25">
      <c r="A63" t="str">
        <f t="shared" si="0"/>
        <v>Pau Torres</v>
      </c>
      <c r="B63" t="s">
        <v>86</v>
      </c>
      <c r="C63" t="s">
        <v>87</v>
      </c>
      <c r="D63">
        <v>2</v>
      </c>
      <c r="E63">
        <v>2</v>
      </c>
      <c r="F63">
        <v>42</v>
      </c>
      <c r="G63">
        <v>2019</v>
      </c>
      <c r="H63">
        <v>23</v>
      </c>
      <c r="I63">
        <v>0</v>
      </c>
      <c r="J63">
        <v>0</v>
      </c>
      <c r="K63">
        <v>0.51</v>
      </c>
      <c r="L63">
        <v>0.43</v>
      </c>
      <c r="M63">
        <v>55</v>
      </c>
      <c r="N63">
        <v>254</v>
      </c>
      <c r="O63" t="s">
        <v>86</v>
      </c>
      <c r="P63">
        <f t="shared" si="1"/>
        <v>2.2734026745913821E-2</v>
      </c>
      <c r="Q63">
        <f t="shared" si="2"/>
        <v>1.9167904903417535E-2</v>
      </c>
    </row>
    <row r="64" spans="1:17" x14ac:dyDescent="0.25">
      <c r="A64" t="str">
        <f t="shared" si="0"/>
        <v>Jacob Ramsey</v>
      </c>
      <c r="B64" t="s">
        <v>556</v>
      </c>
      <c r="C64" t="s">
        <v>866</v>
      </c>
      <c r="D64">
        <v>2</v>
      </c>
      <c r="E64">
        <v>3</v>
      </c>
      <c r="F64">
        <v>54</v>
      </c>
      <c r="G64">
        <v>1616</v>
      </c>
      <c r="H64">
        <v>19</v>
      </c>
      <c r="I64">
        <v>1</v>
      </c>
      <c r="J64">
        <v>4</v>
      </c>
      <c r="K64">
        <v>1.59</v>
      </c>
      <c r="L64">
        <v>2.1800000000000002</v>
      </c>
      <c r="M64">
        <v>66</v>
      </c>
      <c r="N64">
        <v>265</v>
      </c>
      <c r="O64" t="s">
        <v>866</v>
      </c>
      <c r="P64">
        <f t="shared" si="1"/>
        <v>8.8551980198019797E-2</v>
      </c>
      <c r="Q64">
        <f t="shared" si="2"/>
        <v>0.12141089108910892</v>
      </c>
    </row>
    <row r="65" spans="1:17" x14ac:dyDescent="0.25">
      <c r="A65" t="str">
        <f t="shared" si="0"/>
        <v>Morgan Rogers</v>
      </c>
      <c r="B65" t="s">
        <v>287</v>
      </c>
      <c r="C65" t="s">
        <v>288</v>
      </c>
      <c r="D65">
        <v>2</v>
      </c>
      <c r="E65">
        <v>3</v>
      </c>
      <c r="F65">
        <v>58</v>
      </c>
      <c r="G65">
        <v>3115</v>
      </c>
      <c r="H65">
        <v>37</v>
      </c>
      <c r="I65">
        <v>8</v>
      </c>
      <c r="J65">
        <v>11</v>
      </c>
      <c r="K65">
        <v>6.49</v>
      </c>
      <c r="L65">
        <v>5.24</v>
      </c>
      <c r="M65">
        <v>161</v>
      </c>
      <c r="N65">
        <v>534</v>
      </c>
      <c r="O65" t="s">
        <v>288</v>
      </c>
      <c r="P65">
        <f t="shared" si="1"/>
        <v>0.1875120385232745</v>
      </c>
      <c r="Q65">
        <f t="shared" si="2"/>
        <v>0.1513964686998395</v>
      </c>
    </row>
    <row r="66" spans="1:17" x14ac:dyDescent="0.25">
      <c r="A66" t="str">
        <f t="shared" ref="A66:A129" si="3">_xlfn.CONCAT(B66, " ", C66)</f>
        <v>Viljami Sinisalo</v>
      </c>
      <c r="B66" t="s">
        <v>1320</v>
      </c>
      <c r="C66" t="s">
        <v>1321</v>
      </c>
      <c r="D66">
        <v>2</v>
      </c>
      <c r="E66">
        <v>1</v>
      </c>
      <c r="F66">
        <v>40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1321</v>
      </c>
      <c r="P66">
        <f t="shared" ref="P66:P129" si="4">IFERROR(K66/G66*90,0)</f>
        <v>0</v>
      </c>
      <c r="Q66">
        <f t="shared" ref="Q66:Q129" si="5">IFERROR(L66/G66*90,0)</f>
        <v>0</v>
      </c>
    </row>
    <row r="67" spans="1:17" x14ac:dyDescent="0.25">
      <c r="A67" t="str">
        <f t="shared" si="3"/>
        <v>Lino da Cruz Sousa</v>
      </c>
      <c r="B67" t="s">
        <v>2132</v>
      </c>
      <c r="C67" t="s">
        <v>2133</v>
      </c>
      <c r="D67">
        <v>2</v>
      </c>
      <c r="E67">
        <v>2</v>
      </c>
      <c r="F67">
        <v>40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2653</v>
      </c>
      <c r="P67">
        <f t="shared" si="4"/>
        <v>0</v>
      </c>
      <c r="Q67">
        <f t="shared" si="5"/>
        <v>0</v>
      </c>
    </row>
    <row r="68" spans="1:17" x14ac:dyDescent="0.25">
      <c r="A68" t="str">
        <f t="shared" si="3"/>
        <v>Youri Tielemans</v>
      </c>
      <c r="B68" t="s">
        <v>795</v>
      </c>
      <c r="C68" t="s">
        <v>796</v>
      </c>
      <c r="D68">
        <v>2</v>
      </c>
      <c r="E68">
        <v>3</v>
      </c>
      <c r="F68">
        <v>55</v>
      </c>
      <c r="G68">
        <v>3025</v>
      </c>
      <c r="H68">
        <v>35</v>
      </c>
      <c r="I68">
        <v>3</v>
      </c>
      <c r="J68">
        <v>7</v>
      </c>
      <c r="K68">
        <v>3.31</v>
      </c>
      <c r="L68">
        <v>5.83</v>
      </c>
      <c r="M68">
        <v>121</v>
      </c>
      <c r="N68">
        <v>686</v>
      </c>
      <c r="O68" t="s">
        <v>796</v>
      </c>
      <c r="P68">
        <f t="shared" si="4"/>
        <v>9.8479338842975203E-2</v>
      </c>
      <c r="Q68">
        <f t="shared" si="5"/>
        <v>0.17345454545454547</v>
      </c>
    </row>
    <row r="69" spans="1:17" x14ac:dyDescent="0.25">
      <c r="A69" t="str">
        <f t="shared" si="3"/>
        <v>Ollie Watkins</v>
      </c>
      <c r="B69" t="s">
        <v>121</v>
      </c>
      <c r="C69" t="s">
        <v>122</v>
      </c>
      <c r="D69">
        <v>2</v>
      </c>
      <c r="E69">
        <v>4</v>
      </c>
      <c r="F69">
        <v>92</v>
      </c>
      <c r="G69">
        <v>2593</v>
      </c>
      <c r="H69">
        <v>31</v>
      </c>
      <c r="I69">
        <v>16</v>
      </c>
      <c r="J69">
        <v>8</v>
      </c>
      <c r="K69">
        <v>15.12</v>
      </c>
      <c r="L69">
        <v>2.0699999999999998</v>
      </c>
      <c r="M69">
        <v>186</v>
      </c>
      <c r="N69">
        <v>631</v>
      </c>
      <c r="O69" t="s">
        <v>122</v>
      </c>
      <c r="P69">
        <f t="shared" si="4"/>
        <v>0.52479753181642885</v>
      </c>
      <c r="Q69">
        <f t="shared" si="5"/>
        <v>7.1847281141534908E-2</v>
      </c>
    </row>
    <row r="70" spans="1:17" x14ac:dyDescent="0.25">
      <c r="A70" t="str">
        <f t="shared" si="3"/>
        <v>Axel Disasi</v>
      </c>
      <c r="B70" t="s">
        <v>315</v>
      </c>
      <c r="C70" t="s">
        <v>316</v>
      </c>
      <c r="D70">
        <v>2</v>
      </c>
      <c r="E70">
        <v>2</v>
      </c>
      <c r="F70">
        <v>42</v>
      </c>
      <c r="G70">
        <v>851</v>
      </c>
      <c r="H70">
        <v>9</v>
      </c>
      <c r="I70">
        <v>1</v>
      </c>
      <c r="J70">
        <v>0</v>
      </c>
      <c r="K70">
        <v>0.37</v>
      </c>
      <c r="L70">
        <v>0.37</v>
      </c>
      <c r="M70">
        <v>33</v>
      </c>
      <c r="N70">
        <v>133</v>
      </c>
      <c r="O70" t="s">
        <v>316</v>
      </c>
      <c r="P70">
        <f t="shared" si="4"/>
        <v>3.9130434782608699E-2</v>
      </c>
      <c r="Q70">
        <f t="shared" si="5"/>
        <v>3.9130434782608699E-2</v>
      </c>
    </row>
    <row r="71" spans="1:17" x14ac:dyDescent="0.25">
      <c r="A71" t="str">
        <f t="shared" si="3"/>
        <v>Amadou Onana</v>
      </c>
      <c r="B71" t="s">
        <v>107</v>
      </c>
      <c r="C71" t="s">
        <v>108</v>
      </c>
      <c r="D71">
        <v>2</v>
      </c>
      <c r="E71">
        <v>3</v>
      </c>
      <c r="F71">
        <v>48</v>
      </c>
      <c r="G71">
        <v>1613</v>
      </c>
      <c r="H71">
        <v>20</v>
      </c>
      <c r="I71">
        <v>3</v>
      </c>
      <c r="J71">
        <v>0</v>
      </c>
      <c r="K71">
        <v>2.12</v>
      </c>
      <c r="L71">
        <v>0.84</v>
      </c>
      <c r="M71">
        <v>65</v>
      </c>
      <c r="N71">
        <v>324</v>
      </c>
      <c r="O71" t="s">
        <v>108</v>
      </c>
      <c r="P71">
        <f t="shared" si="4"/>
        <v>0.11828890266584006</v>
      </c>
      <c r="Q71">
        <f t="shared" si="5"/>
        <v>4.686918784872908E-2</v>
      </c>
    </row>
    <row r="72" spans="1:17" x14ac:dyDescent="0.25">
      <c r="A72" t="str">
        <f t="shared" si="3"/>
        <v>Marcus Rashford</v>
      </c>
      <c r="B72" t="s">
        <v>151</v>
      </c>
      <c r="C72" t="s">
        <v>828</v>
      </c>
      <c r="D72">
        <v>2</v>
      </c>
      <c r="E72">
        <v>3</v>
      </c>
      <c r="F72">
        <v>66</v>
      </c>
      <c r="G72">
        <v>1414</v>
      </c>
      <c r="H72">
        <v>16</v>
      </c>
      <c r="I72">
        <v>6</v>
      </c>
      <c r="J72">
        <v>4</v>
      </c>
      <c r="K72">
        <v>4.67</v>
      </c>
      <c r="L72">
        <v>3.43</v>
      </c>
      <c r="M72">
        <v>95</v>
      </c>
      <c r="N72">
        <v>333</v>
      </c>
      <c r="O72" t="s">
        <v>828</v>
      </c>
      <c r="P72">
        <f t="shared" si="4"/>
        <v>0.29724186704384725</v>
      </c>
      <c r="Q72">
        <f t="shared" si="5"/>
        <v>0.21831683168316832</v>
      </c>
    </row>
    <row r="73" spans="1:17" x14ac:dyDescent="0.25">
      <c r="A73" t="str">
        <f t="shared" si="3"/>
        <v>Lamare Bogarde</v>
      </c>
      <c r="B73" t="s">
        <v>88</v>
      </c>
      <c r="C73" t="s">
        <v>89</v>
      </c>
      <c r="D73">
        <v>2</v>
      </c>
      <c r="E73">
        <v>2</v>
      </c>
      <c r="F73">
        <v>39</v>
      </c>
      <c r="G73">
        <v>473</v>
      </c>
      <c r="H73">
        <v>5</v>
      </c>
      <c r="I73">
        <v>0</v>
      </c>
      <c r="J73">
        <v>0</v>
      </c>
      <c r="K73">
        <v>0.04</v>
      </c>
      <c r="L73">
        <v>0.13</v>
      </c>
      <c r="M73">
        <v>6</v>
      </c>
      <c r="N73">
        <v>22</v>
      </c>
      <c r="O73" t="s">
        <v>89</v>
      </c>
      <c r="P73">
        <f t="shared" si="4"/>
        <v>7.6109936575052863E-3</v>
      </c>
      <c r="Q73">
        <f t="shared" si="5"/>
        <v>2.4735729386892176E-2</v>
      </c>
    </row>
    <row r="74" spans="1:17" x14ac:dyDescent="0.25">
      <c r="A74" t="str">
        <f t="shared" si="3"/>
        <v>Sil Swinkels</v>
      </c>
      <c r="B74" t="s">
        <v>2134</v>
      </c>
      <c r="C74" t="s">
        <v>2135</v>
      </c>
      <c r="D74">
        <v>2</v>
      </c>
      <c r="E74">
        <v>2</v>
      </c>
      <c r="F74">
        <v>40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2135</v>
      </c>
      <c r="P74">
        <f t="shared" si="4"/>
        <v>0</v>
      </c>
      <c r="Q74">
        <f t="shared" si="5"/>
        <v>0</v>
      </c>
    </row>
    <row r="75" spans="1:17" x14ac:dyDescent="0.25">
      <c r="A75" t="str">
        <f t="shared" si="3"/>
        <v>Oliwier Zych</v>
      </c>
      <c r="B75" t="s">
        <v>1330</v>
      </c>
      <c r="C75" t="s">
        <v>1331</v>
      </c>
      <c r="D75">
        <v>2</v>
      </c>
      <c r="E75">
        <v>1</v>
      </c>
      <c r="F75">
        <v>40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1331</v>
      </c>
      <c r="P75">
        <f t="shared" si="4"/>
        <v>0</v>
      </c>
      <c r="Q75">
        <f t="shared" si="5"/>
        <v>0</v>
      </c>
    </row>
    <row r="76" spans="1:17" x14ac:dyDescent="0.25">
      <c r="A76" t="str">
        <f t="shared" si="3"/>
        <v>Kadan Young</v>
      </c>
      <c r="B76" t="s">
        <v>1339</v>
      </c>
      <c r="C76" t="s">
        <v>1340</v>
      </c>
      <c r="D76">
        <v>2</v>
      </c>
      <c r="E76">
        <v>3</v>
      </c>
      <c r="F76">
        <v>44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1340</v>
      </c>
      <c r="P76">
        <f t="shared" si="4"/>
        <v>0</v>
      </c>
      <c r="Q76">
        <f t="shared" si="5"/>
        <v>0</v>
      </c>
    </row>
    <row r="77" spans="1:17" x14ac:dyDescent="0.25">
      <c r="A77" t="str">
        <f t="shared" si="3"/>
        <v>Ben Broggio</v>
      </c>
      <c r="B77" t="s">
        <v>159</v>
      </c>
      <c r="C77" t="s">
        <v>2136</v>
      </c>
      <c r="D77">
        <v>2</v>
      </c>
      <c r="E77">
        <v>3</v>
      </c>
      <c r="F77">
        <v>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2136</v>
      </c>
      <c r="P77">
        <f t="shared" si="4"/>
        <v>0</v>
      </c>
      <c r="Q77">
        <f t="shared" si="5"/>
        <v>0</v>
      </c>
    </row>
    <row r="78" spans="1:17" x14ac:dyDescent="0.25">
      <c r="A78" t="str">
        <f t="shared" si="3"/>
        <v>Jamaldeen Jimoh</v>
      </c>
      <c r="B78" t="s">
        <v>2137</v>
      </c>
      <c r="C78" t="s">
        <v>2138</v>
      </c>
      <c r="D78">
        <v>2</v>
      </c>
      <c r="E78">
        <v>3</v>
      </c>
      <c r="F78">
        <v>45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2138</v>
      </c>
      <c r="P78">
        <f t="shared" si="4"/>
        <v>0</v>
      </c>
      <c r="Q78">
        <f t="shared" si="5"/>
        <v>0</v>
      </c>
    </row>
    <row r="79" spans="1:17" x14ac:dyDescent="0.25">
      <c r="A79" t="str">
        <f t="shared" si="3"/>
        <v>Donyell Malen</v>
      </c>
      <c r="B79" t="s">
        <v>2139</v>
      </c>
      <c r="C79" t="s">
        <v>2140</v>
      </c>
      <c r="D79">
        <v>2</v>
      </c>
      <c r="E79">
        <v>3</v>
      </c>
      <c r="F79">
        <v>53</v>
      </c>
      <c r="G79">
        <v>296</v>
      </c>
      <c r="H79">
        <v>2</v>
      </c>
      <c r="I79">
        <v>3</v>
      </c>
      <c r="J79">
        <v>0</v>
      </c>
      <c r="K79">
        <v>2.15</v>
      </c>
      <c r="L79">
        <v>0.15</v>
      </c>
      <c r="M79">
        <v>34</v>
      </c>
      <c r="N79">
        <v>112</v>
      </c>
      <c r="O79" t="s">
        <v>2140</v>
      </c>
      <c r="P79">
        <f t="shared" si="4"/>
        <v>0.65371621621621623</v>
      </c>
      <c r="Q79">
        <f t="shared" si="5"/>
        <v>4.5608108108108114E-2</v>
      </c>
    </row>
    <row r="80" spans="1:17" x14ac:dyDescent="0.25">
      <c r="A80" t="str">
        <f t="shared" si="3"/>
        <v>Andrés García</v>
      </c>
      <c r="B80" t="s">
        <v>94</v>
      </c>
      <c r="C80" t="s">
        <v>95</v>
      </c>
      <c r="D80">
        <v>2</v>
      </c>
      <c r="E80">
        <v>2</v>
      </c>
      <c r="F80">
        <v>45</v>
      </c>
      <c r="G80">
        <v>316</v>
      </c>
      <c r="H80">
        <v>5</v>
      </c>
      <c r="I80">
        <v>0</v>
      </c>
      <c r="J80">
        <v>0</v>
      </c>
      <c r="K80">
        <v>0.04</v>
      </c>
      <c r="L80">
        <v>0.49</v>
      </c>
      <c r="M80">
        <v>8</v>
      </c>
      <c r="N80">
        <v>26</v>
      </c>
      <c r="O80" t="s">
        <v>2654</v>
      </c>
      <c r="P80">
        <f t="shared" si="4"/>
        <v>1.1392405063291139E-2</v>
      </c>
      <c r="Q80">
        <f t="shared" si="5"/>
        <v>0.13955696202531645</v>
      </c>
    </row>
    <row r="81" spans="1:17" x14ac:dyDescent="0.25">
      <c r="A81" t="str">
        <f t="shared" si="3"/>
        <v>Unai Emery</v>
      </c>
      <c r="B81" t="s">
        <v>2141</v>
      </c>
      <c r="C81" t="s">
        <v>1342</v>
      </c>
      <c r="D81">
        <v>2</v>
      </c>
      <c r="E81">
        <v>5</v>
      </c>
      <c r="F81">
        <v>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105</v>
      </c>
      <c r="N81">
        <v>0</v>
      </c>
      <c r="O81" t="s">
        <v>1342</v>
      </c>
      <c r="P81">
        <f t="shared" si="4"/>
        <v>0</v>
      </c>
      <c r="Q81">
        <f t="shared" si="5"/>
        <v>0</v>
      </c>
    </row>
    <row r="82" spans="1:17" x14ac:dyDescent="0.25">
      <c r="A82" t="str">
        <f t="shared" si="3"/>
        <v>Marco Asensio</v>
      </c>
      <c r="B82" t="s">
        <v>76</v>
      </c>
      <c r="C82" t="s">
        <v>2142</v>
      </c>
      <c r="D82">
        <v>2</v>
      </c>
      <c r="E82">
        <v>3</v>
      </c>
      <c r="F82">
        <v>60</v>
      </c>
      <c r="G82">
        <v>740</v>
      </c>
      <c r="H82">
        <v>9</v>
      </c>
      <c r="I82">
        <v>3</v>
      </c>
      <c r="J82">
        <v>2</v>
      </c>
      <c r="K82">
        <v>4.43</v>
      </c>
      <c r="L82">
        <v>1.1599999999999999</v>
      </c>
      <c r="M82">
        <v>44</v>
      </c>
      <c r="N82">
        <v>158</v>
      </c>
      <c r="O82" t="s">
        <v>2655</v>
      </c>
      <c r="P82">
        <f t="shared" si="4"/>
        <v>0.53878378378378367</v>
      </c>
      <c r="Q82">
        <f t="shared" si="5"/>
        <v>0.14108108108108108</v>
      </c>
    </row>
    <row r="83" spans="1:17" x14ac:dyDescent="0.25">
      <c r="A83" t="str">
        <f t="shared" si="3"/>
        <v>Max Aarons</v>
      </c>
      <c r="B83" t="s">
        <v>57</v>
      </c>
      <c r="C83" t="s">
        <v>1372</v>
      </c>
      <c r="D83">
        <v>3</v>
      </c>
      <c r="E83">
        <v>2</v>
      </c>
      <c r="F83">
        <v>43</v>
      </c>
      <c r="G83">
        <v>84</v>
      </c>
      <c r="H83">
        <v>1</v>
      </c>
      <c r="I83">
        <v>0</v>
      </c>
      <c r="J83">
        <v>0</v>
      </c>
      <c r="K83">
        <v>0</v>
      </c>
      <c r="L83">
        <v>0.01</v>
      </c>
      <c r="M83">
        <v>8</v>
      </c>
      <c r="N83">
        <v>31</v>
      </c>
      <c r="O83" t="s">
        <v>1372</v>
      </c>
      <c r="P83">
        <f t="shared" si="4"/>
        <v>0</v>
      </c>
      <c r="Q83">
        <f t="shared" si="5"/>
        <v>1.0714285714285714E-2</v>
      </c>
    </row>
    <row r="84" spans="1:17" x14ac:dyDescent="0.25">
      <c r="A84" t="str">
        <f t="shared" si="3"/>
        <v>Tyler Adams</v>
      </c>
      <c r="B84" t="s">
        <v>161</v>
      </c>
      <c r="C84" t="s">
        <v>162</v>
      </c>
      <c r="D84">
        <v>3</v>
      </c>
      <c r="E84">
        <v>3</v>
      </c>
      <c r="F84">
        <v>49</v>
      </c>
      <c r="G84">
        <v>1959</v>
      </c>
      <c r="H84">
        <v>21</v>
      </c>
      <c r="I84">
        <v>0</v>
      </c>
      <c r="J84">
        <v>3</v>
      </c>
      <c r="K84">
        <v>1.33</v>
      </c>
      <c r="L84">
        <v>0.76</v>
      </c>
      <c r="M84">
        <v>58</v>
      </c>
      <c r="N84">
        <v>315</v>
      </c>
      <c r="O84" t="s">
        <v>162</v>
      </c>
      <c r="P84">
        <f t="shared" si="4"/>
        <v>6.1102603369065853E-2</v>
      </c>
      <c r="Q84">
        <f t="shared" si="5"/>
        <v>3.4915773353751914E-2</v>
      </c>
    </row>
    <row r="85" spans="1:17" x14ac:dyDescent="0.25">
      <c r="A85" t="str">
        <f t="shared" si="3"/>
        <v>Jaidon Anthony</v>
      </c>
      <c r="B85" t="s">
        <v>221</v>
      </c>
      <c r="C85" t="s">
        <v>222</v>
      </c>
      <c r="D85">
        <v>3</v>
      </c>
      <c r="E85">
        <v>3</v>
      </c>
      <c r="F85">
        <v>45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222</v>
      </c>
      <c r="P85">
        <f t="shared" si="4"/>
        <v>0</v>
      </c>
      <c r="Q85">
        <f t="shared" si="5"/>
        <v>0</v>
      </c>
    </row>
    <row r="86" spans="1:17" x14ac:dyDescent="0.25">
      <c r="A86" t="str">
        <f t="shared" si="3"/>
        <v>David Brooks</v>
      </c>
      <c r="B86" t="s">
        <v>20</v>
      </c>
      <c r="C86" t="s">
        <v>163</v>
      </c>
      <c r="D86">
        <v>3</v>
      </c>
      <c r="E86">
        <v>3</v>
      </c>
      <c r="F86">
        <v>49</v>
      </c>
      <c r="G86">
        <v>941</v>
      </c>
      <c r="H86">
        <v>9</v>
      </c>
      <c r="I86">
        <v>2</v>
      </c>
      <c r="J86">
        <v>1</v>
      </c>
      <c r="K86">
        <v>2.58</v>
      </c>
      <c r="L86">
        <v>2.02</v>
      </c>
      <c r="M86">
        <v>52</v>
      </c>
      <c r="N86">
        <v>204</v>
      </c>
      <c r="O86" t="s">
        <v>163</v>
      </c>
      <c r="P86">
        <f t="shared" si="4"/>
        <v>0.24675876726886292</v>
      </c>
      <c r="Q86">
        <f t="shared" si="5"/>
        <v>0.19319872476089267</v>
      </c>
    </row>
    <row r="87" spans="1:17" x14ac:dyDescent="0.25">
      <c r="A87" t="str">
        <f t="shared" si="3"/>
        <v>Ryan Christie</v>
      </c>
      <c r="B87" t="s">
        <v>164</v>
      </c>
      <c r="C87" t="s">
        <v>165</v>
      </c>
      <c r="D87">
        <v>3</v>
      </c>
      <c r="E87">
        <v>3</v>
      </c>
      <c r="F87">
        <v>48</v>
      </c>
      <c r="G87">
        <v>2114</v>
      </c>
      <c r="H87">
        <v>27</v>
      </c>
      <c r="I87">
        <v>2</v>
      </c>
      <c r="J87">
        <v>3</v>
      </c>
      <c r="K87">
        <v>2.14</v>
      </c>
      <c r="L87">
        <v>2.9</v>
      </c>
      <c r="M87">
        <v>76</v>
      </c>
      <c r="N87">
        <v>435</v>
      </c>
      <c r="O87" t="s">
        <v>165</v>
      </c>
      <c r="P87">
        <f t="shared" si="4"/>
        <v>9.1106906338694421E-2</v>
      </c>
      <c r="Q87">
        <f t="shared" si="5"/>
        <v>0.12346263008514664</v>
      </c>
    </row>
    <row r="88" spans="1:17" x14ac:dyDescent="0.25">
      <c r="A88" t="str">
        <f t="shared" si="3"/>
        <v>Lewis Cook</v>
      </c>
      <c r="B88" t="s">
        <v>157</v>
      </c>
      <c r="C88" t="s">
        <v>158</v>
      </c>
      <c r="D88">
        <v>3</v>
      </c>
      <c r="E88">
        <v>3</v>
      </c>
      <c r="F88">
        <v>50</v>
      </c>
      <c r="G88">
        <v>2976</v>
      </c>
      <c r="H88">
        <v>32</v>
      </c>
      <c r="I88">
        <v>1</v>
      </c>
      <c r="J88">
        <v>4</v>
      </c>
      <c r="K88">
        <v>0.94</v>
      </c>
      <c r="L88">
        <v>3.76</v>
      </c>
      <c r="M88">
        <v>82</v>
      </c>
      <c r="N88">
        <v>500</v>
      </c>
      <c r="O88" t="s">
        <v>158</v>
      </c>
      <c r="P88">
        <f t="shared" si="4"/>
        <v>2.8427419354838709E-2</v>
      </c>
      <c r="Q88">
        <f t="shared" si="5"/>
        <v>0.11370967741935484</v>
      </c>
    </row>
    <row r="89" spans="1:17" x14ac:dyDescent="0.25">
      <c r="A89" t="str">
        <f t="shared" si="3"/>
        <v>Enes Ünal</v>
      </c>
      <c r="B89" t="s">
        <v>173</v>
      </c>
      <c r="C89" t="s">
        <v>174</v>
      </c>
      <c r="D89">
        <v>3</v>
      </c>
      <c r="E89">
        <v>4</v>
      </c>
      <c r="F89">
        <v>54</v>
      </c>
      <c r="G89">
        <v>330</v>
      </c>
      <c r="H89">
        <v>2</v>
      </c>
      <c r="I89">
        <v>2</v>
      </c>
      <c r="J89">
        <v>1</v>
      </c>
      <c r="K89">
        <v>2.73</v>
      </c>
      <c r="L89">
        <v>0.26</v>
      </c>
      <c r="M89">
        <v>32</v>
      </c>
      <c r="N89">
        <v>97</v>
      </c>
      <c r="O89" t="s">
        <v>2656</v>
      </c>
      <c r="P89">
        <f t="shared" si="4"/>
        <v>0.74454545454545451</v>
      </c>
      <c r="Q89">
        <f t="shared" si="5"/>
        <v>7.0909090909090908E-2</v>
      </c>
    </row>
    <row r="90" spans="1:17" x14ac:dyDescent="0.25">
      <c r="A90" t="str">
        <f t="shared" si="3"/>
        <v>Romain Faivre</v>
      </c>
      <c r="B90" t="s">
        <v>440</v>
      </c>
      <c r="C90" t="s">
        <v>1375</v>
      </c>
      <c r="D90">
        <v>3</v>
      </c>
      <c r="E90">
        <v>3</v>
      </c>
      <c r="F90">
        <v>50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1375</v>
      </c>
      <c r="P90">
        <f t="shared" si="4"/>
        <v>0</v>
      </c>
      <c r="Q90">
        <f t="shared" si="5"/>
        <v>0</v>
      </c>
    </row>
    <row r="91" spans="1:17" x14ac:dyDescent="0.25">
      <c r="A91" t="str">
        <f t="shared" si="3"/>
        <v>Hamed Traorè</v>
      </c>
      <c r="B91" t="s">
        <v>1365</v>
      </c>
      <c r="C91" t="s">
        <v>1366</v>
      </c>
      <c r="D91">
        <v>3</v>
      </c>
      <c r="E91">
        <v>3</v>
      </c>
      <c r="F91">
        <v>45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2657</v>
      </c>
      <c r="P91">
        <f t="shared" si="4"/>
        <v>0</v>
      </c>
      <c r="Q91">
        <f t="shared" si="5"/>
        <v>0</v>
      </c>
    </row>
    <row r="92" spans="1:17" x14ac:dyDescent="0.25">
      <c r="A92" t="str">
        <f t="shared" si="3"/>
        <v>James Hill</v>
      </c>
      <c r="B92" t="s">
        <v>135</v>
      </c>
      <c r="C92" t="s">
        <v>136</v>
      </c>
      <c r="D92">
        <v>3</v>
      </c>
      <c r="E92">
        <v>2</v>
      </c>
      <c r="F92">
        <v>39</v>
      </c>
      <c r="G92">
        <v>443</v>
      </c>
      <c r="H92">
        <v>6</v>
      </c>
      <c r="I92">
        <v>0</v>
      </c>
      <c r="J92">
        <v>1</v>
      </c>
      <c r="K92">
        <v>0.28999999999999998</v>
      </c>
      <c r="L92">
        <v>0.25</v>
      </c>
      <c r="M92">
        <v>17</v>
      </c>
      <c r="N92">
        <v>55</v>
      </c>
      <c r="O92" t="s">
        <v>136</v>
      </c>
      <c r="P92">
        <f t="shared" si="4"/>
        <v>5.8916478555304734E-2</v>
      </c>
      <c r="Q92">
        <f t="shared" si="5"/>
        <v>5.0790067720090287E-2</v>
      </c>
    </row>
    <row r="93" spans="1:17" x14ac:dyDescent="0.25">
      <c r="A93" t="str">
        <f t="shared" si="3"/>
        <v>Daniel Jebbison</v>
      </c>
      <c r="B93" t="s">
        <v>416</v>
      </c>
      <c r="C93" t="s">
        <v>1220</v>
      </c>
      <c r="D93">
        <v>3</v>
      </c>
      <c r="E93">
        <v>4</v>
      </c>
      <c r="F93">
        <v>45</v>
      </c>
      <c r="G93">
        <v>105</v>
      </c>
      <c r="H93">
        <v>0</v>
      </c>
      <c r="I93">
        <v>1</v>
      </c>
      <c r="J93">
        <v>0</v>
      </c>
      <c r="K93">
        <v>1.05</v>
      </c>
      <c r="L93">
        <v>0.12</v>
      </c>
      <c r="M93">
        <v>20</v>
      </c>
      <c r="N93">
        <v>67</v>
      </c>
      <c r="O93" t="s">
        <v>1220</v>
      </c>
      <c r="P93">
        <f t="shared" si="4"/>
        <v>0.9</v>
      </c>
      <c r="Q93">
        <f t="shared" si="5"/>
        <v>0.10285714285714284</v>
      </c>
    </row>
    <row r="94" spans="1:17" x14ac:dyDescent="0.25">
      <c r="A94" t="str">
        <f t="shared" si="3"/>
        <v>Milos Kerkez</v>
      </c>
      <c r="B94" t="s">
        <v>705</v>
      </c>
      <c r="C94" t="s">
        <v>706</v>
      </c>
      <c r="D94">
        <v>3</v>
      </c>
      <c r="E94">
        <v>2</v>
      </c>
      <c r="F94">
        <v>53</v>
      </c>
      <c r="G94">
        <v>3336</v>
      </c>
      <c r="H94">
        <v>38</v>
      </c>
      <c r="I94">
        <v>2</v>
      </c>
      <c r="J94">
        <v>6</v>
      </c>
      <c r="K94">
        <v>0.6</v>
      </c>
      <c r="L94">
        <v>2.57</v>
      </c>
      <c r="M94">
        <v>134</v>
      </c>
      <c r="N94">
        <v>550</v>
      </c>
      <c r="O94" t="s">
        <v>706</v>
      </c>
      <c r="P94">
        <f t="shared" si="4"/>
        <v>1.618705035971223E-2</v>
      </c>
      <c r="Q94">
        <f t="shared" si="5"/>
        <v>6.9334532374100713E-2</v>
      </c>
    </row>
    <row r="95" spans="1:17" x14ac:dyDescent="0.25">
      <c r="A95" t="str">
        <f t="shared" si="3"/>
        <v>Justin Kluivert</v>
      </c>
      <c r="B95" t="s">
        <v>155</v>
      </c>
      <c r="C95" t="s">
        <v>156</v>
      </c>
      <c r="D95">
        <v>3</v>
      </c>
      <c r="E95">
        <v>3</v>
      </c>
      <c r="F95">
        <v>59</v>
      </c>
      <c r="G95">
        <v>2339</v>
      </c>
      <c r="H95">
        <v>29</v>
      </c>
      <c r="I95">
        <v>12</v>
      </c>
      <c r="J95">
        <v>6</v>
      </c>
      <c r="K95">
        <v>10.050000000000001</v>
      </c>
      <c r="L95">
        <v>3.66</v>
      </c>
      <c r="M95">
        <v>158</v>
      </c>
      <c r="N95">
        <v>532</v>
      </c>
      <c r="O95" t="s">
        <v>156</v>
      </c>
      <c r="P95">
        <f t="shared" si="4"/>
        <v>0.38670371953826427</v>
      </c>
      <c r="Q95">
        <f t="shared" si="5"/>
        <v>0.14082941427960669</v>
      </c>
    </row>
    <row r="96" spans="1:17" x14ac:dyDescent="0.25">
      <c r="A96" t="str">
        <f t="shared" si="3"/>
        <v>Chris Mepham</v>
      </c>
      <c r="B96" t="s">
        <v>418</v>
      </c>
      <c r="C96" t="s">
        <v>1355</v>
      </c>
      <c r="D96">
        <v>3</v>
      </c>
      <c r="E96">
        <v>2</v>
      </c>
      <c r="F96">
        <v>44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1355</v>
      </c>
      <c r="P96">
        <f t="shared" si="4"/>
        <v>0</v>
      </c>
      <c r="Q96">
        <f t="shared" si="5"/>
        <v>0</v>
      </c>
    </row>
    <row r="97" spans="1:17" x14ac:dyDescent="0.25">
      <c r="A97" t="str">
        <f t="shared" si="3"/>
        <v>Dango Ouattara</v>
      </c>
      <c r="B97" t="s">
        <v>206</v>
      </c>
      <c r="C97" t="s">
        <v>207</v>
      </c>
      <c r="D97">
        <v>3</v>
      </c>
      <c r="E97">
        <v>3</v>
      </c>
      <c r="F97">
        <v>45</v>
      </c>
      <c r="G97">
        <v>1998</v>
      </c>
      <c r="H97">
        <v>21</v>
      </c>
      <c r="I97">
        <v>7</v>
      </c>
      <c r="J97">
        <v>4</v>
      </c>
      <c r="K97">
        <v>8.42</v>
      </c>
      <c r="L97">
        <v>3.24</v>
      </c>
      <c r="M97">
        <v>111</v>
      </c>
      <c r="N97">
        <v>432</v>
      </c>
      <c r="O97" t="s">
        <v>2658</v>
      </c>
      <c r="P97">
        <f t="shared" si="4"/>
        <v>0.37927927927927929</v>
      </c>
      <c r="Q97">
        <f t="shared" si="5"/>
        <v>0.14594594594594595</v>
      </c>
    </row>
    <row r="98" spans="1:17" x14ac:dyDescent="0.25">
      <c r="A98" t="str">
        <f t="shared" si="3"/>
        <v>Alex Paulsen</v>
      </c>
      <c r="B98" t="s">
        <v>153</v>
      </c>
      <c r="C98" t="s">
        <v>2143</v>
      </c>
      <c r="D98">
        <v>3</v>
      </c>
      <c r="E98">
        <v>1</v>
      </c>
      <c r="F98">
        <v>40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2143</v>
      </c>
      <c r="P98">
        <f t="shared" si="4"/>
        <v>0</v>
      </c>
      <c r="Q98">
        <f t="shared" si="5"/>
        <v>0</v>
      </c>
    </row>
    <row r="99" spans="1:17" x14ac:dyDescent="0.25">
      <c r="A99" t="str">
        <f t="shared" si="3"/>
        <v>Philip Billing</v>
      </c>
      <c r="B99" t="s">
        <v>1343</v>
      </c>
      <c r="C99" t="s">
        <v>1344</v>
      </c>
      <c r="D99">
        <v>3</v>
      </c>
      <c r="E99">
        <v>3</v>
      </c>
      <c r="F99">
        <v>48</v>
      </c>
      <c r="G99">
        <v>176</v>
      </c>
      <c r="H99">
        <v>1</v>
      </c>
      <c r="I99">
        <v>0</v>
      </c>
      <c r="J99">
        <v>0</v>
      </c>
      <c r="K99">
        <v>0.55000000000000004</v>
      </c>
      <c r="L99">
        <v>0.97</v>
      </c>
      <c r="M99">
        <v>10</v>
      </c>
      <c r="N99">
        <v>52</v>
      </c>
      <c r="O99" t="s">
        <v>1343</v>
      </c>
      <c r="P99">
        <f t="shared" si="4"/>
        <v>0.28125</v>
      </c>
      <c r="Q99">
        <f t="shared" si="5"/>
        <v>0.49602272727272728</v>
      </c>
    </row>
    <row r="100" spans="1:17" x14ac:dyDescent="0.25">
      <c r="A100" t="str">
        <f t="shared" si="3"/>
        <v>Alex Scott</v>
      </c>
      <c r="B100" t="s">
        <v>153</v>
      </c>
      <c r="C100" t="s">
        <v>154</v>
      </c>
      <c r="D100">
        <v>3</v>
      </c>
      <c r="E100">
        <v>3</v>
      </c>
      <c r="F100">
        <v>47</v>
      </c>
      <c r="G100">
        <v>745</v>
      </c>
      <c r="H100">
        <v>8</v>
      </c>
      <c r="I100">
        <v>0</v>
      </c>
      <c r="J100">
        <v>0</v>
      </c>
      <c r="K100">
        <v>0.73</v>
      </c>
      <c r="L100">
        <v>1</v>
      </c>
      <c r="M100">
        <v>26</v>
      </c>
      <c r="N100">
        <v>132</v>
      </c>
      <c r="O100" t="s">
        <v>154</v>
      </c>
      <c r="P100">
        <f t="shared" si="4"/>
        <v>8.8187919463087253E-2</v>
      </c>
      <c r="Q100">
        <f t="shared" si="5"/>
        <v>0.12080536912751677</v>
      </c>
    </row>
    <row r="101" spans="1:17" x14ac:dyDescent="0.25">
      <c r="A101" t="str">
        <f t="shared" si="3"/>
        <v>Antoine Semenyo</v>
      </c>
      <c r="B101" t="s">
        <v>767</v>
      </c>
      <c r="C101" t="s">
        <v>768</v>
      </c>
      <c r="D101">
        <v>3</v>
      </c>
      <c r="E101">
        <v>3</v>
      </c>
      <c r="F101">
        <v>57</v>
      </c>
      <c r="G101">
        <v>3202</v>
      </c>
      <c r="H101">
        <v>36</v>
      </c>
      <c r="I101">
        <v>11</v>
      </c>
      <c r="J101">
        <v>7</v>
      </c>
      <c r="K101">
        <v>9.51</v>
      </c>
      <c r="L101">
        <v>4.43</v>
      </c>
      <c r="M101">
        <v>165</v>
      </c>
      <c r="N101">
        <v>571</v>
      </c>
      <c r="O101" t="s">
        <v>768</v>
      </c>
      <c r="P101">
        <f t="shared" si="4"/>
        <v>0.26730168644597124</v>
      </c>
      <c r="Q101">
        <f t="shared" si="5"/>
        <v>0.12451592754528419</v>
      </c>
    </row>
    <row r="102" spans="1:17" x14ac:dyDescent="0.25">
      <c r="A102" t="str">
        <f t="shared" si="3"/>
        <v>Marcos Senesi</v>
      </c>
      <c r="B102" t="s">
        <v>939</v>
      </c>
      <c r="C102" t="s">
        <v>1363</v>
      </c>
      <c r="D102">
        <v>3</v>
      </c>
      <c r="E102">
        <v>2</v>
      </c>
      <c r="F102">
        <v>46</v>
      </c>
      <c r="G102">
        <v>1103</v>
      </c>
      <c r="H102">
        <v>13</v>
      </c>
      <c r="I102">
        <v>0</v>
      </c>
      <c r="J102">
        <v>0</v>
      </c>
      <c r="K102">
        <v>0.84</v>
      </c>
      <c r="L102">
        <v>0.48</v>
      </c>
      <c r="M102">
        <v>31</v>
      </c>
      <c r="N102">
        <v>114</v>
      </c>
      <c r="O102" t="s">
        <v>1363</v>
      </c>
      <c r="P102">
        <f t="shared" si="4"/>
        <v>6.8540344514959203E-2</v>
      </c>
      <c r="Q102">
        <f t="shared" si="5"/>
        <v>3.9165911151405254E-2</v>
      </c>
    </row>
    <row r="103" spans="1:17" x14ac:dyDescent="0.25">
      <c r="A103" t="str">
        <f t="shared" si="3"/>
        <v>Luis Sinisterra</v>
      </c>
      <c r="B103" t="s">
        <v>1373</v>
      </c>
      <c r="C103" t="s">
        <v>1374</v>
      </c>
      <c r="D103">
        <v>3</v>
      </c>
      <c r="E103">
        <v>3</v>
      </c>
      <c r="F103">
        <v>48</v>
      </c>
      <c r="G103">
        <v>229</v>
      </c>
      <c r="H103">
        <v>1</v>
      </c>
      <c r="I103">
        <v>1</v>
      </c>
      <c r="J103">
        <v>1</v>
      </c>
      <c r="K103">
        <v>1.18</v>
      </c>
      <c r="L103">
        <v>1.29</v>
      </c>
      <c r="M103">
        <v>23</v>
      </c>
      <c r="N103">
        <v>90</v>
      </c>
      <c r="O103" t="s">
        <v>1374</v>
      </c>
      <c r="P103">
        <f t="shared" si="4"/>
        <v>0.46375545851528382</v>
      </c>
      <c r="Q103">
        <f t="shared" si="5"/>
        <v>0.50698689956331877</v>
      </c>
    </row>
    <row r="104" spans="1:17" x14ac:dyDescent="0.25">
      <c r="A104" t="str">
        <f t="shared" si="3"/>
        <v>Adam Smith</v>
      </c>
      <c r="B104" t="s">
        <v>143</v>
      </c>
      <c r="C104" t="s">
        <v>144</v>
      </c>
      <c r="D104">
        <v>3</v>
      </c>
      <c r="E104">
        <v>2</v>
      </c>
      <c r="F104">
        <v>44</v>
      </c>
      <c r="G104">
        <v>1586</v>
      </c>
      <c r="H104">
        <v>19</v>
      </c>
      <c r="I104">
        <v>0</v>
      </c>
      <c r="J104">
        <v>0</v>
      </c>
      <c r="K104">
        <v>0.65</v>
      </c>
      <c r="L104">
        <v>0.68</v>
      </c>
      <c r="M104">
        <v>57</v>
      </c>
      <c r="N104">
        <v>161</v>
      </c>
      <c r="O104" t="s">
        <v>144</v>
      </c>
      <c r="P104">
        <f t="shared" si="4"/>
        <v>3.6885245901639344E-2</v>
      </c>
      <c r="Q104">
        <f t="shared" si="5"/>
        <v>3.8587641866330395E-2</v>
      </c>
    </row>
    <row r="105" spans="1:17" x14ac:dyDescent="0.25">
      <c r="A105" t="str">
        <f t="shared" si="3"/>
        <v>Marcus Tavernier</v>
      </c>
      <c r="B105" t="s">
        <v>151</v>
      </c>
      <c r="C105" t="s">
        <v>152</v>
      </c>
      <c r="D105">
        <v>3</v>
      </c>
      <c r="E105">
        <v>3</v>
      </c>
      <c r="F105">
        <v>54</v>
      </c>
      <c r="G105">
        <v>1932</v>
      </c>
      <c r="H105">
        <v>20</v>
      </c>
      <c r="I105">
        <v>3</v>
      </c>
      <c r="J105">
        <v>7</v>
      </c>
      <c r="K105">
        <v>5.51</v>
      </c>
      <c r="L105">
        <v>3.65</v>
      </c>
      <c r="M105">
        <v>87</v>
      </c>
      <c r="N105">
        <v>362</v>
      </c>
      <c r="O105" t="s">
        <v>152</v>
      </c>
      <c r="P105">
        <f t="shared" si="4"/>
        <v>0.25667701863354037</v>
      </c>
      <c r="Q105">
        <f t="shared" si="5"/>
        <v>0.17003105590062112</v>
      </c>
    </row>
    <row r="106" spans="1:17" x14ac:dyDescent="0.25">
      <c r="A106" t="str">
        <f t="shared" si="3"/>
        <v>Mark Travers</v>
      </c>
      <c r="B106" t="s">
        <v>473</v>
      </c>
      <c r="C106" t="s">
        <v>474</v>
      </c>
      <c r="D106">
        <v>3</v>
      </c>
      <c r="E106">
        <v>1</v>
      </c>
      <c r="F106">
        <v>44</v>
      </c>
      <c r="G106">
        <v>450</v>
      </c>
      <c r="H106">
        <v>5</v>
      </c>
      <c r="I106">
        <v>0</v>
      </c>
      <c r="J106">
        <v>0</v>
      </c>
      <c r="K106">
        <v>0</v>
      </c>
      <c r="L106">
        <v>0.01</v>
      </c>
      <c r="M106">
        <v>19</v>
      </c>
      <c r="N106">
        <v>76</v>
      </c>
      <c r="O106" t="s">
        <v>474</v>
      </c>
      <c r="P106">
        <f t="shared" si="4"/>
        <v>0</v>
      </c>
      <c r="Q106">
        <f t="shared" si="5"/>
        <v>2E-3</v>
      </c>
    </row>
    <row r="107" spans="1:17" x14ac:dyDescent="0.25">
      <c r="A107" t="str">
        <f t="shared" si="3"/>
        <v>Illia Zabarnyi</v>
      </c>
      <c r="B107" t="s">
        <v>1367</v>
      </c>
      <c r="C107" t="s">
        <v>1368</v>
      </c>
      <c r="D107">
        <v>3</v>
      </c>
      <c r="E107">
        <v>2</v>
      </c>
      <c r="F107">
        <v>44</v>
      </c>
      <c r="G107">
        <v>3109</v>
      </c>
      <c r="H107">
        <v>35</v>
      </c>
      <c r="I107">
        <v>0</v>
      </c>
      <c r="J107">
        <v>1</v>
      </c>
      <c r="K107">
        <v>1.2</v>
      </c>
      <c r="L107">
        <v>0.76</v>
      </c>
      <c r="M107">
        <v>94</v>
      </c>
      <c r="N107">
        <v>429</v>
      </c>
      <c r="O107" t="s">
        <v>1368</v>
      </c>
      <c r="P107">
        <f t="shared" si="4"/>
        <v>3.4737857832100351E-2</v>
      </c>
      <c r="Q107">
        <f t="shared" si="5"/>
        <v>2.2000643293663556E-2</v>
      </c>
    </row>
    <row r="108" spans="1:17" x14ac:dyDescent="0.25">
      <c r="A108" t="str">
        <f t="shared" si="3"/>
        <v>Kepa Arrizabalaga</v>
      </c>
      <c r="B108" t="s">
        <v>22</v>
      </c>
      <c r="C108" t="s">
        <v>1520</v>
      </c>
      <c r="D108">
        <v>3</v>
      </c>
      <c r="E108">
        <v>1</v>
      </c>
      <c r="F108">
        <v>46</v>
      </c>
      <c r="G108">
        <v>2790</v>
      </c>
      <c r="H108">
        <v>31</v>
      </c>
      <c r="I108">
        <v>0</v>
      </c>
      <c r="J108">
        <v>0</v>
      </c>
      <c r="K108">
        <v>0.06</v>
      </c>
      <c r="L108">
        <v>0.03</v>
      </c>
      <c r="M108">
        <v>106</v>
      </c>
      <c r="N108">
        <v>406</v>
      </c>
      <c r="O108" t="s">
        <v>1520</v>
      </c>
      <c r="P108">
        <f t="shared" si="4"/>
        <v>1.9354838709677417E-3</v>
      </c>
      <c r="Q108">
        <f t="shared" si="5"/>
        <v>9.6774193548387086E-4</v>
      </c>
    </row>
    <row r="109" spans="1:17" x14ac:dyDescent="0.25">
      <c r="A109" t="str">
        <f t="shared" si="3"/>
        <v>Dean Huijsen</v>
      </c>
      <c r="B109" t="s">
        <v>413</v>
      </c>
      <c r="C109" t="s">
        <v>2144</v>
      </c>
      <c r="D109">
        <v>3</v>
      </c>
      <c r="E109">
        <v>2</v>
      </c>
      <c r="F109">
        <v>45</v>
      </c>
      <c r="G109">
        <v>2422</v>
      </c>
      <c r="H109">
        <v>26</v>
      </c>
      <c r="I109">
        <v>3</v>
      </c>
      <c r="J109">
        <v>2</v>
      </c>
      <c r="K109">
        <v>1.82</v>
      </c>
      <c r="L109">
        <v>1.57</v>
      </c>
      <c r="M109">
        <v>104</v>
      </c>
      <c r="N109">
        <v>449</v>
      </c>
      <c r="O109" t="s">
        <v>2144</v>
      </c>
      <c r="P109">
        <f t="shared" si="4"/>
        <v>6.7630057803468216E-2</v>
      </c>
      <c r="Q109">
        <f t="shared" si="5"/>
        <v>5.834021469859621E-2</v>
      </c>
    </row>
    <row r="110" spans="1:17" x14ac:dyDescent="0.25">
      <c r="A110" t="str">
        <f t="shared" si="3"/>
        <v>Julián Araujo Zúñiga</v>
      </c>
      <c r="B110" t="s">
        <v>145</v>
      </c>
      <c r="C110" t="s">
        <v>146</v>
      </c>
      <c r="D110">
        <v>3</v>
      </c>
      <c r="E110">
        <v>2</v>
      </c>
      <c r="F110">
        <v>43</v>
      </c>
      <c r="G110">
        <v>492</v>
      </c>
      <c r="H110">
        <v>7</v>
      </c>
      <c r="I110">
        <v>0</v>
      </c>
      <c r="J110">
        <v>0</v>
      </c>
      <c r="K110">
        <v>0</v>
      </c>
      <c r="L110">
        <v>0.1</v>
      </c>
      <c r="M110">
        <v>12</v>
      </c>
      <c r="N110">
        <v>20</v>
      </c>
      <c r="O110" t="s">
        <v>2659</v>
      </c>
      <c r="P110">
        <f t="shared" si="4"/>
        <v>0</v>
      </c>
      <c r="Q110">
        <f t="shared" si="5"/>
        <v>1.8292682926829267E-2</v>
      </c>
    </row>
    <row r="111" spans="1:17" x14ac:dyDescent="0.25">
      <c r="A111" t="str">
        <f t="shared" si="3"/>
        <v>Will Dennis</v>
      </c>
      <c r="B111" t="s">
        <v>133</v>
      </c>
      <c r="C111" t="s">
        <v>134</v>
      </c>
      <c r="D111">
        <v>3</v>
      </c>
      <c r="E111">
        <v>1</v>
      </c>
      <c r="F111">
        <v>39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134</v>
      </c>
      <c r="P111">
        <f t="shared" si="4"/>
        <v>0</v>
      </c>
      <c r="Q111">
        <f t="shared" si="5"/>
        <v>0</v>
      </c>
    </row>
    <row r="112" spans="1:17" x14ac:dyDescent="0.25">
      <c r="A112" t="str">
        <f t="shared" si="3"/>
        <v>Francisco Evanilson de Lima Barbosa</v>
      </c>
      <c r="B112" t="s">
        <v>171</v>
      </c>
      <c r="C112" t="s">
        <v>172</v>
      </c>
      <c r="D112">
        <v>3</v>
      </c>
      <c r="E112">
        <v>4</v>
      </c>
      <c r="F112">
        <v>59</v>
      </c>
      <c r="G112">
        <v>2317</v>
      </c>
      <c r="H112">
        <v>28</v>
      </c>
      <c r="I112">
        <v>10</v>
      </c>
      <c r="J112">
        <v>5</v>
      </c>
      <c r="K112">
        <v>12.47</v>
      </c>
      <c r="L112">
        <v>1.74</v>
      </c>
      <c r="M112">
        <v>128</v>
      </c>
      <c r="N112">
        <v>487</v>
      </c>
      <c r="O112" t="s">
        <v>2660</v>
      </c>
      <c r="P112">
        <f t="shared" si="4"/>
        <v>0.48437634872680196</v>
      </c>
      <c r="Q112">
        <f t="shared" si="5"/>
        <v>6.7587397496763055E-2</v>
      </c>
    </row>
    <row r="113" spans="1:17" x14ac:dyDescent="0.25">
      <c r="A113" t="str">
        <f t="shared" si="3"/>
        <v>Max Kinsey</v>
      </c>
      <c r="B113" t="s">
        <v>57</v>
      </c>
      <c r="C113" t="s">
        <v>1376</v>
      </c>
      <c r="D113">
        <v>3</v>
      </c>
      <c r="E113">
        <v>2</v>
      </c>
      <c r="F113">
        <v>40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1376</v>
      </c>
      <c r="P113">
        <f t="shared" si="4"/>
        <v>0</v>
      </c>
      <c r="Q113">
        <f t="shared" si="5"/>
        <v>0</v>
      </c>
    </row>
    <row r="114" spans="1:17" x14ac:dyDescent="0.25">
      <c r="A114" t="str">
        <f t="shared" si="3"/>
        <v>Ben Winterburn</v>
      </c>
      <c r="B114" t="s">
        <v>159</v>
      </c>
      <c r="C114" t="s">
        <v>2145</v>
      </c>
      <c r="D114">
        <v>3</v>
      </c>
      <c r="E114">
        <v>3</v>
      </c>
      <c r="F114">
        <v>45</v>
      </c>
      <c r="G114">
        <v>22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>
        <v>14</v>
      </c>
      <c r="O114" t="s">
        <v>2145</v>
      </c>
      <c r="P114">
        <f t="shared" si="4"/>
        <v>0</v>
      </c>
      <c r="Q114">
        <f t="shared" si="5"/>
        <v>0</v>
      </c>
    </row>
    <row r="115" spans="1:17" x14ac:dyDescent="0.25">
      <c r="A115" t="str">
        <f t="shared" si="3"/>
        <v>Archie Harris</v>
      </c>
      <c r="B115" t="s">
        <v>973</v>
      </c>
      <c r="C115" t="s">
        <v>1671</v>
      </c>
      <c r="D115">
        <v>3</v>
      </c>
      <c r="E115">
        <v>2</v>
      </c>
      <c r="F115">
        <v>40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1671</v>
      </c>
      <c r="P115">
        <f t="shared" si="4"/>
        <v>0</v>
      </c>
      <c r="Q115">
        <f t="shared" si="5"/>
        <v>0</v>
      </c>
    </row>
    <row r="116" spans="1:17" x14ac:dyDescent="0.25">
      <c r="A116" t="str">
        <f t="shared" si="3"/>
        <v>Remy Rees-Dottin</v>
      </c>
      <c r="B116" t="s">
        <v>2146</v>
      </c>
      <c r="C116" t="s">
        <v>2147</v>
      </c>
      <c r="D116">
        <v>3</v>
      </c>
      <c r="E116">
        <v>4</v>
      </c>
      <c r="F116">
        <v>45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3</v>
      </c>
      <c r="O116" t="s">
        <v>2147</v>
      </c>
      <c r="P116">
        <f t="shared" si="4"/>
        <v>0</v>
      </c>
      <c r="Q116">
        <f t="shared" si="5"/>
        <v>0</v>
      </c>
    </row>
    <row r="117" spans="1:17" x14ac:dyDescent="0.25">
      <c r="A117" t="str">
        <f t="shared" si="3"/>
        <v>Matai Akinmboni</v>
      </c>
      <c r="B117" t="s">
        <v>2148</v>
      </c>
      <c r="C117" t="s">
        <v>2149</v>
      </c>
      <c r="D117">
        <v>3</v>
      </c>
      <c r="E117">
        <v>2</v>
      </c>
      <c r="F117">
        <v>40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2149</v>
      </c>
      <c r="P117">
        <f t="shared" si="4"/>
        <v>0</v>
      </c>
      <c r="Q117">
        <f t="shared" si="5"/>
        <v>0</v>
      </c>
    </row>
    <row r="118" spans="1:17" x14ac:dyDescent="0.25">
      <c r="A118" t="str">
        <f t="shared" si="3"/>
        <v>Julio Soler</v>
      </c>
      <c r="B118" t="s">
        <v>147</v>
      </c>
      <c r="C118" t="s">
        <v>2150</v>
      </c>
      <c r="D118">
        <v>3</v>
      </c>
      <c r="E118">
        <v>2</v>
      </c>
      <c r="F118">
        <v>39</v>
      </c>
      <c r="G118">
        <v>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8</v>
      </c>
      <c r="O118" t="s">
        <v>2150</v>
      </c>
      <c r="P118">
        <f t="shared" si="4"/>
        <v>0</v>
      </c>
      <c r="Q118">
        <f t="shared" si="5"/>
        <v>0</v>
      </c>
    </row>
    <row r="119" spans="1:17" x14ac:dyDescent="0.25">
      <c r="A119" t="str">
        <f t="shared" si="3"/>
        <v>Daniel Adu-Adjei</v>
      </c>
      <c r="B119" t="s">
        <v>416</v>
      </c>
      <c r="C119" t="s">
        <v>2151</v>
      </c>
      <c r="D119">
        <v>3</v>
      </c>
      <c r="E119">
        <v>4</v>
      </c>
      <c r="F119">
        <v>45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2151</v>
      </c>
      <c r="P119">
        <f t="shared" si="4"/>
        <v>0</v>
      </c>
      <c r="Q119">
        <f t="shared" si="5"/>
        <v>0</v>
      </c>
    </row>
    <row r="120" spans="1:17" x14ac:dyDescent="0.25">
      <c r="A120" t="str">
        <f t="shared" si="3"/>
        <v>Dominic Sadi</v>
      </c>
      <c r="B120" t="s">
        <v>681</v>
      </c>
      <c r="C120" t="s">
        <v>1377</v>
      </c>
      <c r="D120">
        <v>3</v>
      </c>
      <c r="E120">
        <v>3</v>
      </c>
      <c r="F120">
        <v>45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1377</v>
      </c>
      <c r="P120">
        <f t="shared" si="4"/>
        <v>0</v>
      </c>
      <c r="Q120">
        <f t="shared" si="5"/>
        <v>0</v>
      </c>
    </row>
    <row r="121" spans="1:17" x14ac:dyDescent="0.25">
      <c r="A121" t="str">
        <f t="shared" si="3"/>
        <v>Callan McKenna</v>
      </c>
      <c r="B121" t="s">
        <v>1379</v>
      </c>
      <c r="C121" t="s">
        <v>1380</v>
      </c>
      <c r="D121">
        <v>3</v>
      </c>
      <c r="E121">
        <v>1</v>
      </c>
      <c r="F121">
        <v>40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1380</v>
      </c>
      <c r="P121">
        <f t="shared" si="4"/>
        <v>0</v>
      </c>
      <c r="Q121">
        <f t="shared" si="5"/>
        <v>0</v>
      </c>
    </row>
    <row r="122" spans="1:17" x14ac:dyDescent="0.25">
      <c r="A122" t="str">
        <f t="shared" si="3"/>
        <v>Zain Silcott-Duberry</v>
      </c>
      <c r="B122" t="s">
        <v>2152</v>
      </c>
      <c r="C122" t="s">
        <v>2153</v>
      </c>
      <c r="D122">
        <v>3</v>
      </c>
      <c r="E122">
        <v>3</v>
      </c>
      <c r="F122">
        <v>45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5</v>
      </c>
      <c r="O122" t="s">
        <v>2153</v>
      </c>
      <c r="P122">
        <f t="shared" si="4"/>
        <v>0</v>
      </c>
      <c r="Q122">
        <f t="shared" si="5"/>
        <v>0</v>
      </c>
    </row>
    <row r="123" spans="1:17" x14ac:dyDescent="0.25">
      <c r="A123" t="str">
        <f t="shared" si="3"/>
        <v>Andoni Iraola</v>
      </c>
      <c r="B123" t="s">
        <v>2154</v>
      </c>
      <c r="C123" t="s">
        <v>2155</v>
      </c>
      <c r="D123">
        <v>3</v>
      </c>
      <c r="E123">
        <v>5</v>
      </c>
      <c r="F123">
        <v>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82</v>
      </c>
      <c r="N123">
        <v>0</v>
      </c>
      <c r="O123" t="s">
        <v>2155</v>
      </c>
      <c r="P123">
        <f t="shared" si="4"/>
        <v>0</v>
      </c>
      <c r="Q123">
        <f t="shared" si="5"/>
        <v>0</v>
      </c>
    </row>
    <row r="124" spans="1:17" x14ac:dyDescent="0.25">
      <c r="A124" t="str">
        <f t="shared" si="3"/>
        <v>Kristoffer Ajer</v>
      </c>
      <c r="B124" t="s">
        <v>191</v>
      </c>
      <c r="C124" t="s">
        <v>192</v>
      </c>
      <c r="D124">
        <v>4</v>
      </c>
      <c r="E124">
        <v>2</v>
      </c>
      <c r="F124">
        <v>44</v>
      </c>
      <c r="G124">
        <v>1433</v>
      </c>
      <c r="H124">
        <v>17</v>
      </c>
      <c r="I124">
        <v>0</v>
      </c>
      <c r="J124">
        <v>0</v>
      </c>
      <c r="K124">
        <v>0.97</v>
      </c>
      <c r="L124">
        <v>0.48</v>
      </c>
      <c r="M124">
        <v>39</v>
      </c>
      <c r="N124">
        <v>120</v>
      </c>
      <c r="O124" t="s">
        <v>192</v>
      </c>
      <c r="P124">
        <f t="shared" si="4"/>
        <v>6.0921144452198185E-2</v>
      </c>
      <c r="Q124">
        <f t="shared" si="5"/>
        <v>3.0146545708304259E-2</v>
      </c>
    </row>
    <row r="125" spans="1:17" x14ac:dyDescent="0.25">
      <c r="A125" t="str">
        <f t="shared" si="3"/>
        <v>Ethan Brierley</v>
      </c>
      <c r="B125" t="s">
        <v>59</v>
      </c>
      <c r="C125" t="s">
        <v>1409</v>
      </c>
      <c r="D125">
        <v>4</v>
      </c>
      <c r="E125">
        <v>3</v>
      </c>
      <c r="F125">
        <v>44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1409</v>
      </c>
      <c r="P125">
        <f t="shared" si="4"/>
        <v>0</v>
      </c>
      <c r="Q125">
        <f t="shared" si="5"/>
        <v>0</v>
      </c>
    </row>
    <row r="126" spans="1:17" x14ac:dyDescent="0.25">
      <c r="A126" t="str">
        <f t="shared" si="3"/>
        <v>Nathan Collins</v>
      </c>
      <c r="B126" t="s">
        <v>185</v>
      </c>
      <c r="C126" t="s">
        <v>186</v>
      </c>
      <c r="D126">
        <v>4</v>
      </c>
      <c r="E126">
        <v>2</v>
      </c>
      <c r="F126">
        <v>46</v>
      </c>
      <c r="G126">
        <v>3420</v>
      </c>
      <c r="H126">
        <v>38</v>
      </c>
      <c r="I126">
        <v>2</v>
      </c>
      <c r="J126">
        <v>7</v>
      </c>
      <c r="K126">
        <v>2.44</v>
      </c>
      <c r="L126">
        <v>1.57</v>
      </c>
      <c r="M126">
        <v>127</v>
      </c>
      <c r="N126">
        <v>549</v>
      </c>
      <c r="O126" t="s">
        <v>186</v>
      </c>
      <c r="P126">
        <f t="shared" si="4"/>
        <v>6.4210526315789468E-2</v>
      </c>
      <c r="Q126">
        <f t="shared" si="5"/>
        <v>4.1315789473684215E-2</v>
      </c>
    </row>
    <row r="127" spans="1:17" x14ac:dyDescent="0.25">
      <c r="A127" t="str">
        <f t="shared" si="3"/>
        <v>Mikkel Damsgaard</v>
      </c>
      <c r="B127" t="s">
        <v>208</v>
      </c>
      <c r="C127" t="s">
        <v>209</v>
      </c>
      <c r="D127">
        <v>4</v>
      </c>
      <c r="E127">
        <v>3</v>
      </c>
      <c r="F127">
        <v>49</v>
      </c>
      <c r="G127">
        <v>2911</v>
      </c>
      <c r="H127">
        <v>34</v>
      </c>
      <c r="I127">
        <v>2</v>
      </c>
      <c r="J127">
        <v>10</v>
      </c>
      <c r="K127">
        <v>2.91</v>
      </c>
      <c r="L127">
        <v>7.01</v>
      </c>
      <c r="M127">
        <v>131</v>
      </c>
      <c r="N127">
        <v>611</v>
      </c>
      <c r="O127" t="s">
        <v>209</v>
      </c>
      <c r="P127">
        <f t="shared" si="4"/>
        <v>8.9969082789419452E-2</v>
      </c>
      <c r="Q127">
        <f t="shared" si="5"/>
        <v>0.21672964616970114</v>
      </c>
    </row>
    <row r="128" spans="1:17" x14ac:dyDescent="0.25">
      <c r="A128" t="str">
        <f t="shared" si="3"/>
        <v>Josh Dasilva</v>
      </c>
      <c r="B128" t="s">
        <v>219</v>
      </c>
      <c r="C128" t="s">
        <v>220</v>
      </c>
      <c r="D128">
        <v>4</v>
      </c>
      <c r="E128">
        <v>3</v>
      </c>
      <c r="F128">
        <v>48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220</v>
      </c>
      <c r="P128">
        <f t="shared" si="4"/>
        <v>0</v>
      </c>
      <c r="Q128">
        <f t="shared" si="5"/>
        <v>0</v>
      </c>
    </row>
    <row r="129" spans="1:17" x14ac:dyDescent="0.25">
      <c r="A129" t="str">
        <f t="shared" si="3"/>
        <v>Mark Flekken</v>
      </c>
      <c r="B129" t="s">
        <v>473</v>
      </c>
      <c r="C129" t="s">
        <v>1394</v>
      </c>
      <c r="D129">
        <v>4</v>
      </c>
      <c r="E129">
        <v>1</v>
      </c>
      <c r="F129">
        <v>45</v>
      </c>
      <c r="G129">
        <v>3275</v>
      </c>
      <c r="H129">
        <v>37</v>
      </c>
      <c r="I129">
        <v>0</v>
      </c>
      <c r="J129">
        <v>2</v>
      </c>
      <c r="K129">
        <v>0</v>
      </c>
      <c r="L129">
        <v>0.11</v>
      </c>
      <c r="M129">
        <v>138</v>
      </c>
      <c r="N129">
        <v>584</v>
      </c>
      <c r="O129" t="s">
        <v>1394</v>
      </c>
      <c r="P129">
        <f t="shared" si="4"/>
        <v>0</v>
      </c>
      <c r="Q129">
        <f t="shared" si="5"/>
        <v>3.0229007633587788E-3</v>
      </c>
    </row>
    <row r="130" spans="1:17" x14ac:dyDescent="0.25">
      <c r="A130" t="str">
        <f t="shared" ref="A130:A193" si="6">_xlfn.CONCAT(B130, " ", C130)</f>
        <v>Rico Henry</v>
      </c>
      <c r="B130" t="s">
        <v>195</v>
      </c>
      <c r="C130" t="s">
        <v>196</v>
      </c>
      <c r="D130">
        <v>4</v>
      </c>
      <c r="E130">
        <v>2</v>
      </c>
      <c r="F130">
        <v>43</v>
      </c>
      <c r="G130">
        <v>94</v>
      </c>
      <c r="H130">
        <v>0</v>
      </c>
      <c r="I130">
        <v>0</v>
      </c>
      <c r="J130">
        <v>0</v>
      </c>
      <c r="K130">
        <v>0</v>
      </c>
      <c r="L130">
        <v>0.01</v>
      </c>
      <c r="M130">
        <v>4</v>
      </c>
      <c r="N130">
        <v>5</v>
      </c>
      <c r="O130" t="s">
        <v>196</v>
      </c>
      <c r="P130">
        <f t="shared" ref="P130:P193" si="7">IFERROR(K130/G130*90,0)</f>
        <v>0</v>
      </c>
      <c r="Q130">
        <f t="shared" ref="Q130:Q193" si="8">IFERROR(L130/G130*90,0)</f>
        <v>9.5744680851063829E-3</v>
      </c>
    </row>
    <row r="131" spans="1:17" x14ac:dyDescent="0.25">
      <c r="A131" t="str">
        <f t="shared" si="6"/>
        <v>Aaron Hickey</v>
      </c>
      <c r="B131" t="s">
        <v>197</v>
      </c>
      <c r="C131" t="s">
        <v>198</v>
      </c>
      <c r="D131">
        <v>4</v>
      </c>
      <c r="E131">
        <v>2</v>
      </c>
      <c r="F131">
        <v>43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198</v>
      </c>
      <c r="P131">
        <f t="shared" si="7"/>
        <v>0</v>
      </c>
      <c r="Q131">
        <f t="shared" si="8"/>
        <v>0</v>
      </c>
    </row>
    <row r="132" spans="1:17" x14ac:dyDescent="0.25">
      <c r="A132" t="str">
        <f t="shared" si="6"/>
        <v>Vitaly Janelt</v>
      </c>
      <c r="B132" t="s">
        <v>212</v>
      </c>
      <c r="C132" t="s">
        <v>213</v>
      </c>
      <c r="D132">
        <v>4</v>
      </c>
      <c r="E132">
        <v>3</v>
      </c>
      <c r="F132">
        <v>48</v>
      </c>
      <c r="G132">
        <v>2251</v>
      </c>
      <c r="H132">
        <v>27</v>
      </c>
      <c r="I132">
        <v>1</v>
      </c>
      <c r="J132">
        <v>3</v>
      </c>
      <c r="K132">
        <v>0.83</v>
      </c>
      <c r="L132">
        <v>2.38</v>
      </c>
      <c r="M132">
        <v>73</v>
      </c>
      <c r="N132">
        <v>384</v>
      </c>
      <c r="O132" t="s">
        <v>213</v>
      </c>
      <c r="P132">
        <f t="shared" si="7"/>
        <v>3.318525099955575E-2</v>
      </c>
      <c r="Q132">
        <f t="shared" si="8"/>
        <v>9.5157707685473131E-2</v>
      </c>
    </row>
    <row r="133" spans="1:17" x14ac:dyDescent="0.25">
      <c r="A133" t="str">
        <f t="shared" si="6"/>
        <v>Mathias Jensen</v>
      </c>
      <c r="B133" t="s">
        <v>210</v>
      </c>
      <c r="C133" t="s">
        <v>211</v>
      </c>
      <c r="D133">
        <v>4</v>
      </c>
      <c r="E133">
        <v>3</v>
      </c>
      <c r="F133">
        <v>53</v>
      </c>
      <c r="G133">
        <v>846</v>
      </c>
      <c r="H133">
        <v>8</v>
      </c>
      <c r="I133">
        <v>0</v>
      </c>
      <c r="J133">
        <v>2</v>
      </c>
      <c r="K133">
        <v>0.23</v>
      </c>
      <c r="L133">
        <v>1.75</v>
      </c>
      <c r="M133">
        <v>38</v>
      </c>
      <c r="N133">
        <v>179</v>
      </c>
      <c r="O133" t="s">
        <v>211</v>
      </c>
      <c r="P133">
        <f t="shared" si="7"/>
        <v>2.4468085106382979E-2</v>
      </c>
      <c r="Q133">
        <f t="shared" si="8"/>
        <v>0.18617021276595744</v>
      </c>
    </row>
    <row r="134" spans="1:17" x14ac:dyDescent="0.25">
      <c r="A134" t="str">
        <f t="shared" si="6"/>
        <v>Kim Ji-soo</v>
      </c>
      <c r="B134" t="s">
        <v>200</v>
      </c>
      <c r="C134" t="s">
        <v>201</v>
      </c>
      <c r="D134">
        <v>4</v>
      </c>
      <c r="E134">
        <v>2</v>
      </c>
      <c r="F134">
        <v>39</v>
      </c>
      <c r="G134">
        <v>28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8</v>
      </c>
      <c r="O134" t="s">
        <v>201</v>
      </c>
      <c r="P134">
        <f t="shared" si="7"/>
        <v>0</v>
      </c>
      <c r="Q134">
        <f t="shared" si="8"/>
        <v>0</v>
      </c>
    </row>
    <row r="135" spans="1:17" x14ac:dyDescent="0.25">
      <c r="A135" t="str">
        <f t="shared" si="6"/>
        <v>Yunus Emre Konak</v>
      </c>
      <c r="B135" t="s">
        <v>2156</v>
      </c>
      <c r="C135" t="s">
        <v>1421</v>
      </c>
      <c r="D135">
        <v>4</v>
      </c>
      <c r="E135">
        <v>3</v>
      </c>
      <c r="F135">
        <v>44</v>
      </c>
      <c r="G135">
        <v>53</v>
      </c>
      <c r="H135">
        <v>0</v>
      </c>
      <c r="I135">
        <v>0</v>
      </c>
      <c r="J135">
        <v>0</v>
      </c>
      <c r="K135">
        <v>0.15</v>
      </c>
      <c r="L135">
        <v>0</v>
      </c>
      <c r="M135">
        <v>10</v>
      </c>
      <c r="N135">
        <v>30</v>
      </c>
      <c r="O135" t="s">
        <v>1421</v>
      </c>
      <c r="P135">
        <f t="shared" si="7"/>
        <v>0.25471698113207547</v>
      </c>
      <c r="Q135">
        <f t="shared" si="8"/>
        <v>0</v>
      </c>
    </row>
    <row r="136" spans="1:17" x14ac:dyDescent="0.25">
      <c r="A136" t="str">
        <f t="shared" si="6"/>
        <v>Keane Lewis-Potter</v>
      </c>
      <c r="B136" t="s">
        <v>189</v>
      </c>
      <c r="C136" t="s">
        <v>190</v>
      </c>
      <c r="D136">
        <v>4</v>
      </c>
      <c r="E136">
        <v>3</v>
      </c>
      <c r="F136">
        <v>50</v>
      </c>
      <c r="G136">
        <v>3092</v>
      </c>
      <c r="H136">
        <v>36</v>
      </c>
      <c r="I136">
        <v>1</v>
      </c>
      <c r="J136">
        <v>5</v>
      </c>
      <c r="K136">
        <v>2.96</v>
      </c>
      <c r="L136">
        <v>4.9400000000000004</v>
      </c>
      <c r="M136">
        <v>94</v>
      </c>
      <c r="N136">
        <v>460</v>
      </c>
      <c r="O136" t="s">
        <v>190</v>
      </c>
      <c r="P136">
        <f t="shared" si="7"/>
        <v>8.615782664941786E-2</v>
      </c>
      <c r="Q136">
        <f t="shared" si="8"/>
        <v>0.14379042690815008</v>
      </c>
    </row>
    <row r="137" spans="1:17" x14ac:dyDescent="0.25">
      <c r="A137" t="str">
        <f t="shared" si="6"/>
        <v>Bryan Mbeumo</v>
      </c>
      <c r="B137" t="s">
        <v>825</v>
      </c>
      <c r="C137" t="s">
        <v>826</v>
      </c>
      <c r="D137">
        <v>4</v>
      </c>
      <c r="E137">
        <v>3</v>
      </c>
      <c r="F137">
        <v>83</v>
      </c>
      <c r="G137">
        <v>3415</v>
      </c>
      <c r="H137">
        <v>38</v>
      </c>
      <c r="I137">
        <v>20</v>
      </c>
      <c r="J137">
        <v>9</v>
      </c>
      <c r="K137">
        <v>12.52</v>
      </c>
      <c r="L137">
        <v>9.24</v>
      </c>
      <c r="M137">
        <v>236</v>
      </c>
      <c r="N137">
        <v>948</v>
      </c>
      <c r="O137" t="s">
        <v>826</v>
      </c>
      <c r="P137">
        <f t="shared" si="7"/>
        <v>0.32995607613469985</v>
      </c>
      <c r="Q137">
        <f t="shared" si="8"/>
        <v>0.24351390922401173</v>
      </c>
    </row>
    <row r="138" spans="1:17" x14ac:dyDescent="0.25">
      <c r="A138" t="str">
        <f t="shared" si="6"/>
        <v>Ben Mee</v>
      </c>
      <c r="B138" t="s">
        <v>159</v>
      </c>
      <c r="C138" t="s">
        <v>1396</v>
      </c>
      <c r="D138">
        <v>4</v>
      </c>
      <c r="E138">
        <v>2</v>
      </c>
      <c r="F138">
        <v>42</v>
      </c>
      <c r="G138">
        <v>180</v>
      </c>
      <c r="H138">
        <v>2</v>
      </c>
      <c r="I138">
        <v>0</v>
      </c>
      <c r="J138">
        <v>0</v>
      </c>
      <c r="K138">
        <v>0</v>
      </c>
      <c r="L138">
        <v>0.02</v>
      </c>
      <c r="M138">
        <v>9</v>
      </c>
      <c r="N138">
        <v>30</v>
      </c>
      <c r="O138" t="s">
        <v>1396</v>
      </c>
      <c r="P138">
        <f t="shared" si="7"/>
        <v>0</v>
      </c>
      <c r="Q138">
        <f t="shared" si="8"/>
        <v>0.01</v>
      </c>
    </row>
    <row r="139" spans="1:17" x14ac:dyDescent="0.25">
      <c r="A139" t="str">
        <f t="shared" si="6"/>
        <v>Christian Nørgaard</v>
      </c>
      <c r="B139" t="s">
        <v>468</v>
      </c>
      <c r="C139" t="s">
        <v>469</v>
      </c>
      <c r="D139">
        <v>4</v>
      </c>
      <c r="E139">
        <v>3</v>
      </c>
      <c r="F139">
        <v>48</v>
      </c>
      <c r="G139">
        <v>2820</v>
      </c>
      <c r="H139">
        <v>34</v>
      </c>
      <c r="I139">
        <v>5</v>
      </c>
      <c r="J139">
        <v>5</v>
      </c>
      <c r="K139">
        <v>4.2300000000000004</v>
      </c>
      <c r="L139">
        <v>1.38</v>
      </c>
      <c r="M139">
        <v>107</v>
      </c>
      <c r="N139">
        <v>580</v>
      </c>
      <c r="O139" t="s">
        <v>469</v>
      </c>
      <c r="P139">
        <f t="shared" si="7"/>
        <v>0.13500000000000001</v>
      </c>
      <c r="Q139">
        <f t="shared" si="8"/>
        <v>4.4042553191489357E-2</v>
      </c>
    </row>
    <row r="140" spans="1:17" x14ac:dyDescent="0.25">
      <c r="A140" t="str">
        <f t="shared" si="6"/>
        <v>Frank Onyeka</v>
      </c>
      <c r="B140" t="s">
        <v>357</v>
      </c>
      <c r="C140" t="s">
        <v>358</v>
      </c>
      <c r="D140">
        <v>4</v>
      </c>
      <c r="E140">
        <v>3</v>
      </c>
      <c r="F140">
        <v>49</v>
      </c>
      <c r="G140">
        <v>23</v>
      </c>
      <c r="H140">
        <v>0</v>
      </c>
      <c r="I140">
        <v>0</v>
      </c>
      <c r="J140">
        <v>0</v>
      </c>
      <c r="K140">
        <v>0</v>
      </c>
      <c r="L140">
        <v>0.02</v>
      </c>
      <c r="M140">
        <v>2</v>
      </c>
      <c r="N140">
        <v>3</v>
      </c>
      <c r="O140" t="s">
        <v>358</v>
      </c>
      <c r="P140">
        <f t="shared" si="7"/>
        <v>0</v>
      </c>
      <c r="Q140">
        <f t="shared" si="8"/>
        <v>7.8260869565217397E-2</v>
      </c>
    </row>
    <row r="141" spans="1:17" x14ac:dyDescent="0.25">
      <c r="A141" t="str">
        <f t="shared" si="6"/>
        <v>Myles Peart-Harris</v>
      </c>
      <c r="B141" t="s">
        <v>32</v>
      </c>
      <c r="C141" t="s">
        <v>1415</v>
      </c>
      <c r="D141">
        <v>4</v>
      </c>
      <c r="E141">
        <v>3</v>
      </c>
      <c r="F141">
        <v>45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1415</v>
      </c>
      <c r="P141">
        <f t="shared" si="7"/>
        <v>0</v>
      </c>
      <c r="Q141">
        <f t="shared" si="8"/>
        <v>0</v>
      </c>
    </row>
    <row r="142" spans="1:17" x14ac:dyDescent="0.25">
      <c r="A142" t="str">
        <f t="shared" si="6"/>
        <v>Ethan Pinnock</v>
      </c>
      <c r="B142" t="s">
        <v>59</v>
      </c>
      <c r="C142" t="s">
        <v>199</v>
      </c>
      <c r="D142">
        <v>4</v>
      </c>
      <c r="E142">
        <v>2</v>
      </c>
      <c r="F142">
        <v>44</v>
      </c>
      <c r="G142">
        <v>1912</v>
      </c>
      <c r="H142">
        <v>21</v>
      </c>
      <c r="I142">
        <v>2</v>
      </c>
      <c r="J142">
        <v>0</v>
      </c>
      <c r="K142">
        <v>1.08</v>
      </c>
      <c r="L142">
        <v>0.64</v>
      </c>
      <c r="M142">
        <v>47</v>
      </c>
      <c r="N142">
        <v>233</v>
      </c>
      <c r="O142" t="s">
        <v>199</v>
      </c>
      <c r="P142">
        <f t="shared" si="7"/>
        <v>5.0836820083682011E-2</v>
      </c>
      <c r="Q142">
        <f t="shared" si="8"/>
        <v>3.0125523012552304E-2</v>
      </c>
    </row>
    <row r="143" spans="1:17" x14ac:dyDescent="0.25">
      <c r="A143" t="str">
        <f t="shared" si="6"/>
        <v>Mads Roerslev Rasmussen</v>
      </c>
      <c r="B143" t="s">
        <v>1385</v>
      </c>
      <c r="C143" t="s">
        <v>1397</v>
      </c>
      <c r="D143">
        <v>4</v>
      </c>
      <c r="E143">
        <v>2</v>
      </c>
      <c r="F143">
        <v>43</v>
      </c>
      <c r="G143">
        <v>1100</v>
      </c>
      <c r="H143">
        <v>11</v>
      </c>
      <c r="I143">
        <v>0</v>
      </c>
      <c r="J143">
        <v>2</v>
      </c>
      <c r="K143">
        <v>0.2</v>
      </c>
      <c r="L143">
        <v>2.09</v>
      </c>
      <c r="M143">
        <v>36</v>
      </c>
      <c r="N143">
        <v>125</v>
      </c>
      <c r="O143" t="s">
        <v>2661</v>
      </c>
      <c r="P143">
        <f t="shared" si="7"/>
        <v>1.6363636363636365E-2</v>
      </c>
      <c r="Q143">
        <f t="shared" si="8"/>
        <v>0.17099999999999999</v>
      </c>
    </row>
    <row r="144" spans="1:17" x14ac:dyDescent="0.25">
      <c r="A144" t="str">
        <f t="shared" si="6"/>
        <v>Kevin Schade</v>
      </c>
      <c r="B144" t="s">
        <v>204</v>
      </c>
      <c r="C144" t="s">
        <v>205</v>
      </c>
      <c r="D144">
        <v>4</v>
      </c>
      <c r="E144">
        <v>3</v>
      </c>
      <c r="F144">
        <v>53</v>
      </c>
      <c r="G144">
        <v>2281</v>
      </c>
      <c r="H144">
        <v>26</v>
      </c>
      <c r="I144">
        <v>11</v>
      </c>
      <c r="J144">
        <v>4</v>
      </c>
      <c r="K144">
        <v>8.4499999999999993</v>
      </c>
      <c r="L144">
        <v>1.75</v>
      </c>
      <c r="M144">
        <v>149</v>
      </c>
      <c r="N144">
        <v>498</v>
      </c>
      <c r="O144" t="s">
        <v>205</v>
      </c>
      <c r="P144">
        <f t="shared" si="7"/>
        <v>0.33340640070144667</v>
      </c>
      <c r="Q144">
        <f t="shared" si="8"/>
        <v>6.9048662867163518E-2</v>
      </c>
    </row>
    <row r="145" spans="1:17" x14ac:dyDescent="0.25">
      <c r="A145" t="str">
        <f t="shared" si="6"/>
        <v>Igor Thiago Nascimento Rodrigues</v>
      </c>
      <c r="B145" t="s">
        <v>223</v>
      </c>
      <c r="C145" t="s">
        <v>224</v>
      </c>
      <c r="D145">
        <v>4</v>
      </c>
      <c r="E145">
        <v>4</v>
      </c>
      <c r="F145">
        <v>59</v>
      </c>
      <c r="G145">
        <v>167</v>
      </c>
      <c r="H145">
        <v>1</v>
      </c>
      <c r="I145">
        <v>0</v>
      </c>
      <c r="J145">
        <v>0</v>
      </c>
      <c r="K145">
        <v>0.13</v>
      </c>
      <c r="L145">
        <v>0.04</v>
      </c>
      <c r="M145">
        <v>9</v>
      </c>
      <c r="N145">
        <v>32</v>
      </c>
      <c r="O145" t="s">
        <v>1541</v>
      </c>
      <c r="P145">
        <f t="shared" si="7"/>
        <v>7.0059880239520964E-2</v>
      </c>
      <c r="Q145">
        <f t="shared" si="8"/>
        <v>2.1556886227544911E-2</v>
      </c>
    </row>
    <row r="146" spans="1:17" x14ac:dyDescent="0.25">
      <c r="A146" t="str">
        <f t="shared" si="6"/>
        <v>Ivan Toney</v>
      </c>
      <c r="B146" t="s">
        <v>1399</v>
      </c>
      <c r="C146" t="s">
        <v>1400</v>
      </c>
      <c r="D146">
        <v>4</v>
      </c>
      <c r="E146">
        <v>4</v>
      </c>
      <c r="F146">
        <v>73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1400</v>
      </c>
      <c r="P146">
        <f t="shared" si="7"/>
        <v>0</v>
      </c>
      <c r="Q146">
        <f t="shared" si="8"/>
        <v>0</v>
      </c>
    </row>
    <row r="147" spans="1:17" x14ac:dyDescent="0.25">
      <c r="A147" t="str">
        <f t="shared" si="6"/>
        <v>Hákon Valdimarsson</v>
      </c>
      <c r="B147" t="s">
        <v>1418</v>
      </c>
      <c r="C147" t="s">
        <v>184</v>
      </c>
      <c r="D147">
        <v>4</v>
      </c>
      <c r="E147">
        <v>1</v>
      </c>
      <c r="F147">
        <v>39</v>
      </c>
      <c r="G147">
        <v>144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14</v>
      </c>
      <c r="O147" t="s">
        <v>184</v>
      </c>
      <c r="P147">
        <f t="shared" si="7"/>
        <v>0</v>
      </c>
      <c r="Q147">
        <f t="shared" si="8"/>
        <v>0</v>
      </c>
    </row>
    <row r="148" spans="1:17" x14ac:dyDescent="0.25">
      <c r="A148" t="str">
        <f t="shared" si="6"/>
        <v>Yoane Wissa</v>
      </c>
      <c r="B148" t="s">
        <v>875</v>
      </c>
      <c r="C148" t="s">
        <v>876</v>
      </c>
      <c r="D148">
        <v>4</v>
      </c>
      <c r="E148">
        <v>4</v>
      </c>
      <c r="F148">
        <v>69</v>
      </c>
      <c r="G148">
        <v>2921</v>
      </c>
      <c r="H148">
        <v>34</v>
      </c>
      <c r="I148">
        <v>18</v>
      </c>
      <c r="J148">
        <v>6</v>
      </c>
      <c r="K148">
        <v>18.579999999999998</v>
      </c>
      <c r="L148">
        <v>2.2000000000000002</v>
      </c>
      <c r="M148">
        <v>185</v>
      </c>
      <c r="N148">
        <v>739</v>
      </c>
      <c r="O148" t="s">
        <v>876</v>
      </c>
      <c r="P148">
        <f t="shared" si="7"/>
        <v>0.57247517973296813</v>
      </c>
      <c r="Q148">
        <f t="shared" si="8"/>
        <v>6.7785005135227672E-2</v>
      </c>
    </row>
    <row r="149" spans="1:17" x14ac:dyDescent="0.25">
      <c r="A149" t="str">
        <f t="shared" si="6"/>
        <v>Yehor Yarmoliuk</v>
      </c>
      <c r="B149" t="s">
        <v>217</v>
      </c>
      <c r="C149" t="s">
        <v>218</v>
      </c>
      <c r="D149">
        <v>4</v>
      </c>
      <c r="E149">
        <v>3</v>
      </c>
      <c r="F149">
        <v>43</v>
      </c>
      <c r="G149">
        <v>1435</v>
      </c>
      <c r="H149">
        <v>15</v>
      </c>
      <c r="I149">
        <v>0</v>
      </c>
      <c r="J149">
        <v>0</v>
      </c>
      <c r="K149">
        <v>0.62</v>
      </c>
      <c r="L149">
        <v>0.91</v>
      </c>
      <c r="M149">
        <v>43</v>
      </c>
      <c r="N149">
        <v>255</v>
      </c>
      <c r="O149" t="s">
        <v>218</v>
      </c>
      <c r="P149">
        <f t="shared" si="7"/>
        <v>3.8885017421602788E-2</v>
      </c>
      <c r="Q149">
        <f t="shared" si="8"/>
        <v>5.7073170731707319E-2</v>
      </c>
    </row>
    <row r="150" spans="1:17" x14ac:dyDescent="0.25">
      <c r="A150" t="str">
        <f t="shared" si="6"/>
        <v>Mathias Jorgensen</v>
      </c>
      <c r="B150" t="s">
        <v>210</v>
      </c>
      <c r="C150" t="s">
        <v>1403</v>
      </c>
      <c r="D150">
        <v>4</v>
      </c>
      <c r="E150">
        <v>2</v>
      </c>
      <c r="F150">
        <v>45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2662</v>
      </c>
      <c r="P150">
        <f t="shared" si="7"/>
        <v>0</v>
      </c>
      <c r="Q150">
        <f t="shared" si="8"/>
        <v>0</v>
      </c>
    </row>
    <row r="151" spans="1:17" x14ac:dyDescent="0.25">
      <c r="A151" t="str">
        <f t="shared" si="6"/>
        <v>Fábio Freitas Gouveia Carvalho</v>
      </c>
      <c r="B151" t="s">
        <v>61</v>
      </c>
      <c r="C151" t="s">
        <v>216</v>
      </c>
      <c r="D151">
        <v>4</v>
      </c>
      <c r="E151">
        <v>3</v>
      </c>
      <c r="F151">
        <v>45</v>
      </c>
      <c r="G151">
        <v>443</v>
      </c>
      <c r="H151">
        <v>3</v>
      </c>
      <c r="I151">
        <v>2</v>
      </c>
      <c r="J151">
        <v>1</v>
      </c>
      <c r="K151">
        <v>2.4900000000000002</v>
      </c>
      <c r="L151">
        <v>0.54</v>
      </c>
      <c r="M151">
        <v>35</v>
      </c>
      <c r="N151">
        <v>127</v>
      </c>
      <c r="O151" t="s">
        <v>2663</v>
      </c>
      <c r="P151">
        <f t="shared" si="7"/>
        <v>0.50586907449209939</v>
      </c>
      <c r="Q151">
        <f t="shared" si="8"/>
        <v>0.10970654627539504</v>
      </c>
    </row>
    <row r="152" spans="1:17" x14ac:dyDescent="0.25">
      <c r="A152" t="str">
        <f t="shared" si="6"/>
        <v>Sepp van den Berg</v>
      </c>
      <c r="B152" t="s">
        <v>187</v>
      </c>
      <c r="C152" t="s">
        <v>188</v>
      </c>
      <c r="D152">
        <v>4</v>
      </c>
      <c r="E152">
        <v>2</v>
      </c>
      <c r="F152">
        <v>41</v>
      </c>
      <c r="G152">
        <v>2584</v>
      </c>
      <c r="H152">
        <v>29</v>
      </c>
      <c r="I152">
        <v>0</v>
      </c>
      <c r="J152">
        <v>1</v>
      </c>
      <c r="K152">
        <v>2.09</v>
      </c>
      <c r="L152">
        <v>0.52</v>
      </c>
      <c r="M152">
        <v>62</v>
      </c>
      <c r="N152">
        <v>266</v>
      </c>
      <c r="O152" t="s">
        <v>2664</v>
      </c>
      <c r="P152">
        <f t="shared" si="7"/>
        <v>7.2794117647058815E-2</v>
      </c>
      <c r="Q152">
        <f t="shared" si="8"/>
        <v>1.8111455108359133E-2</v>
      </c>
    </row>
    <row r="153" spans="1:17" x14ac:dyDescent="0.25">
      <c r="A153" t="str">
        <f t="shared" si="6"/>
        <v>Ryan Trevitt</v>
      </c>
      <c r="B153" t="s">
        <v>164</v>
      </c>
      <c r="C153" t="s">
        <v>1401</v>
      </c>
      <c r="D153">
        <v>4</v>
      </c>
      <c r="E153">
        <v>3</v>
      </c>
      <c r="F153">
        <v>44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5</v>
      </c>
      <c r="O153" t="s">
        <v>1401</v>
      </c>
      <c r="P153">
        <f t="shared" si="7"/>
        <v>0</v>
      </c>
      <c r="Q153">
        <f t="shared" si="8"/>
        <v>0</v>
      </c>
    </row>
    <row r="154" spans="1:17" x14ac:dyDescent="0.25">
      <c r="A154" t="str">
        <f t="shared" si="6"/>
        <v>Gustavo Nunes Fernandes Gomes</v>
      </c>
      <c r="B154" t="s">
        <v>409</v>
      </c>
      <c r="C154" t="s">
        <v>2157</v>
      </c>
      <c r="D154">
        <v>4</v>
      </c>
      <c r="E154">
        <v>3</v>
      </c>
      <c r="F154">
        <v>49</v>
      </c>
      <c r="G154">
        <v>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11</v>
      </c>
      <c r="O154" t="s">
        <v>2665</v>
      </c>
      <c r="P154">
        <f t="shared" si="7"/>
        <v>0</v>
      </c>
      <c r="Q154">
        <f t="shared" si="8"/>
        <v>0</v>
      </c>
    </row>
    <row r="155" spans="1:17" x14ac:dyDescent="0.25">
      <c r="A155" t="str">
        <f t="shared" si="6"/>
        <v>Jayden Meghoma</v>
      </c>
      <c r="B155" t="s">
        <v>659</v>
      </c>
      <c r="C155" t="s">
        <v>2158</v>
      </c>
      <c r="D155">
        <v>4</v>
      </c>
      <c r="E155">
        <v>2</v>
      </c>
      <c r="F155">
        <v>40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3</v>
      </c>
      <c r="O155" t="s">
        <v>2158</v>
      </c>
      <c r="P155">
        <f t="shared" si="7"/>
        <v>0</v>
      </c>
      <c r="Q155">
        <f t="shared" si="8"/>
        <v>0</v>
      </c>
    </row>
    <row r="156" spans="1:17" x14ac:dyDescent="0.25">
      <c r="A156" t="str">
        <f t="shared" si="6"/>
        <v>Tony Yogane</v>
      </c>
      <c r="B156" t="s">
        <v>2159</v>
      </c>
      <c r="C156" t="s">
        <v>2160</v>
      </c>
      <c r="D156">
        <v>4</v>
      </c>
      <c r="E156">
        <v>3</v>
      </c>
      <c r="F156">
        <v>45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2160</v>
      </c>
      <c r="P156">
        <f t="shared" si="7"/>
        <v>0</v>
      </c>
      <c r="Q156">
        <f t="shared" si="8"/>
        <v>0</v>
      </c>
    </row>
    <row r="157" spans="1:17" x14ac:dyDescent="0.25">
      <c r="A157" t="str">
        <f t="shared" si="6"/>
        <v>Paris Maghoma</v>
      </c>
      <c r="B157" t="s">
        <v>2161</v>
      </c>
      <c r="C157" t="s">
        <v>2162</v>
      </c>
      <c r="D157">
        <v>4</v>
      </c>
      <c r="E157">
        <v>3</v>
      </c>
      <c r="F157">
        <v>45</v>
      </c>
      <c r="G157">
        <v>112</v>
      </c>
      <c r="H157">
        <v>0</v>
      </c>
      <c r="I157">
        <v>0</v>
      </c>
      <c r="J157">
        <v>0</v>
      </c>
      <c r="K157">
        <v>0.12</v>
      </c>
      <c r="L157">
        <v>0.04</v>
      </c>
      <c r="M157">
        <v>8</v>
      </c>
      <c r="N157">
        <v>32</v>
      </c>
      <c r="O157" t="s">
        <v>2162</v>
      </c>
      <c r="P157">
        <f t="shared" si="7"/>
        <v>9.6428571428571433E-2</v>
      </c>
      <c r="Q157">
        <f t="shared" si="8"/>
        <v>3.214285714285714E-2</v>
      </c>
    </row>
    <row r="158" spans="1:17" x14ac:dyDescent="0.25">
      <c r="A158" t="str">
        <f t="shared" si="6"/>
        <v>Benjamin Arthur</v>
      </c>
      <c r="B158" t="s">
        <v>38</v>
      </c>
      <c r="C158" t="s">
        <v>1002</v>
      </c>
      <c r="D158">
        <v>4</v>
      </c>
      <c r="E158">
        <v>2</v>
      </c>
      <c r="F158">
        <v>40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1002</v>
      </c>
      <c r="P158">
        <f t="shared" si="7"/>
        <v>0</v>
      </c>
      <c r="Q158">
        <f t="shared" si="8"/>
        <v>0</v>
      </c>
    </row>
    <row r="159" spans="1:17" x14ac:dyDescent="0.25">
      <c r="A159" t="str">
        <f t="shared" si="6"/>
        <v>Thomas Frank</v>
      </c>
      <c r="B159" t="s">
        <v>364</v>
      </c>
      <c r="C159" t="s">
        <v>357</v>
      </c>
      <c r="D159">
        <v>4</v>
      </c>
      <c r="E159">
        <v>5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116</v>
      </c>
      <c r="N159">
        <v>0</v>
      </c>
      <c r="O159" t="s">
        <v>357</v>
      </c>
      <c r="P159">
        <f t="shared" si="7"/>
        <v>0</v>
      </c>
      <c r="Q159">
        <f t="shared" si="8"/>
        <v>0</v>
      </c>
    </row>
    <row r="160" spans="1:17" x14ac:dyDescent="0.25">
      <c r="A160" t="str">
        <f t="shared" si="6"/>
        <v>Michael Kayode</v>
      </c>
      <c r="B160" t="s">
        <v>193</v>
      </c>
      <c r="C160" t="s">
        <v>194</v>
      </c>
      <c r="D160">
        <v>4</v>
      </c>
      <c r="E160">
        <v>2</v>
      </c>
      <c r="F160">
        <v>45</v>
      </c>
      <c r="G160">
        <v>523</v>
      </c>
      <c r="H160">
        <v>6</v>
      </c>
      <c r="I160">
        <v>0</v>
      </c>
      <c r="J160">
        <v>1</v>
      </c>
      <c r="K160">
        <v>0.19</v>
      </c>
      <c r="L160">
        <v>0.7</v>
      </c>
      <c r="M160">
        <v>27</v>
      </c>
      <c r="N160">
        <v>115</v>
      </c>
      <c r="O160" t="s">
        <v>194</v>
      </c>
      <c r="P160">
        <f t="shared" si="7"/>
        <v>3.2695984703632885E-2</v>
      </c>
      <c r="Q160">
        <f t="shared" si="8"/>
        <v>0.12045889101338431</v>
      </c>
    </row>
    <row r="161" spans="1:17" x14ac:dyDescent="0.25">
      <c r="A161" t="str">
        <f t="shared" si="6"/>
        <v>Julian Eyestone</v>
      </c>
      <c r="B161" t="s">
        <v>2163</v>
      </c>
      <c r="C161" t="s">
        <v>2164</v>
      </c>
      <c r="D161">
        <v>4</v>
      </c>
      <c r="E161">
        <v>1</v>
      </c>
      <c r="F161">
        <v>40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2164</v>
      </c>
      <c r="P161">
        <f t="shared" si="7"/>
        <v>0</v>
      </c>
      <c r="Q161">
        <f t="shared" si="8"/>
        <v>0</v>
      </c>
    </row>
    <row r="162" spans="1:17" x14ac:dyDescent="0.25">
      <c r="A162" t="str">
        <f t="shared" si="6"/>
        <v>Iwan Morgan</v>
      </c>
      <c r="B162" t="s">
        <v>2165</v>
      </c>
      <c r="C162" t="s">
        <v>287</v>
      </c>
      <c r="D162">
        <v>4</v>
      </c>
      <c r="E162">
        <v>4</v>
      </c>
      <c r="F162">
        <v>45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287</v>
      </c>
      <c r="P162">
        <f t="shared" si="7"/>
        <v>0</v>
      </c>
      <c r="Q162">
        <f t="shared" si="8"/>
        <v>0</v>
      </c>
    </row>
    <row r="163" spans="1:17" x14ac:dyDescent="0.25">
      <c r="A163" t="str">
        <f t="shared" si="6"/>
        <v>Benjamin Fredrick</v>
      </c>
      <c r="B163" t="s">
        <v>38</v>
      </c>
      <c r="C163" t="s">
        <v>1419</v>
      </c>
      <c r="D163">
        <v>4</v>
      </c>
      <c r="E163">
        <v>2</v>
      </c>
      <c r="F163">
        <v>40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2666</v>
      </c>
      <c r="P163">
        <f t="shared" si="7"/>
        <v>0</v>
      </c>
      <c r="Q163">
        <f t="shared" si="8"/>
        <v>0</v>
      </c>
    </row>
    <row r="164" spans="1:17" x14ac:dyDescent="0.25">
      <c r="A164" t="str">
        <f t="shared" si="6"/>
        <v>Simon Adingra</v>
      </c>
      <c r="B164" t="s">
        <v>1011</v>
      </c>
      <c r="C164" t="s">
        <v>1012</v>
      </c>
      <c r="D164">
        <v>5</v>
      </c>
      <c r="E164">
        <v>3</v>
      </c>
      <c r="F164">
        <v>51</v>
      </c>
      <c r="G164">
        <v>1081</v>
      </c>
      <c r="H164">
        <v>12</v>
      </c>
      <c r="I164">
        <v>2</v>
      </c>
      <c r="J164">
        <v>3</v>
      </c>
      <c r="K164">
        <v>2.4700000000000002</v>
      </c>
      <c r="L164">
        <v>2.73</v>
      </c>
      <c r="M164">
        <v>60</v>
      </c>
      <c r="N164">
        <v>207</v>
      </c>
      <c r="O164" t="s">
        <v>1012</v>
      </c>
      <c r="P164">
        <f t="shared" si="7"/>
        <v>0.20564292321924146</v>
      </c>
      <c r="Q164">
        <f t="shared" si="8"/>
        <v>0.22728954671600371</v>
      </c>
    </row>
    <row r="165" spans="1:17" x14ac:dyDescent="0.25">
      <c r="A165" t="str">
        <f t="shared" si="6"/>
        <v>Benicio Baker-Boaitey</v>
      </c>
      <c r="B165" t="s">
        <v>1452</v>
      </c>
      <c r="C165" t="s">
        <v>1453</v>
      </c>
      <c r="D165">
        <v>5</v>
      </c>
      <c r="E165">
        <v>3</v>
      </c>
      <c r="F165">
        <v>45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1453</v>
      </c>
      <c r="P165">
        <f t="shared" si="7"/>
        <v>0</v>
      </c>
      <c r="Q165">
        <f t="shared" si="8"/>
        <v>0</v>
      </c>
    </row>
    <row r="166" spans="1:17" x14ac:dyDescent="0.25">
      <c r="A166" t="str">
        <f t="shared" si="6"/>
        <v>Carlos Baleba</v>
      </c>
      <c r="B166" t="s">
        <v>268</v>
      </c>
      <c r="C166" t="s">
        <v>269</v>
      </c>
      <c r="D166">
        <v>5</v>
      </c>
      <c r="E166">
        <v>3</v>
      </c>
      <c r="F166">
        <v>50</v>
      </c>
      <c r="G166">
        <v>2660</v>
      </c>
      <c r="H166">
        <v>31</v>
      </c>
      <c r="I166">
        <v>3</v>
      </c>
      <c r="J166">
        <v>1</v>
      </c>
      <c r="K166">
        <v>3.1</v>
      </c>
      <c r="L166">
        <v>1.21</v>
      </c>
      <c r="M166">
        <v>87</v>
      </c>
      <c r="N166">
        <v>490</v>
      </c>
      <c r="O166" t="s">
        <v>269</v>
      </c>
      <c r="P166">
        <f t="shared" si="7"/>
        <v>0.10488721804511278</v>
      </c>
      <c r="Q166">
        <f t="shared" si="8"/>
        <v>4.0939849624060151E-2</v>
      </c>
    </row>
    <row r="167" spans="1:17" x14ac:dyDescent="0.25">
      <c r="A167" t="str">
        <f t="shared" si="6"/>
        <v>Valentín Barco</v>
      </c>
      <c r="B167" t="s">
        <v>351</v>
      </c>
      <c r="C167" t="s">
        <v>352</v>
      </c>
      <c r="D167">
        <v>5</v>
      </c>
      <c r="E167">
        <v>2</v>
      </c>
      <c r="F167">
        <v>40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352</v>
      </c>
      <c r="P167">
        <f t="shared" si="7"/>
        <v>0</v>
      </c>
      <c r="Q167">
        <f t="shared" si="8"/>
        <v>0</v>
      </c>
    </row>
    <row r="168" spans="1:17" x14ac:dyDescent="0.25">
      <c r="A168" t="str">
        <f t="shared" si="6"/>
        <v>Amario Cozier-Duberry</v>
      </c>
      <c r="B168" t="s">
        <v>1242</v>
      </c>
      <c r="C168" t="s">
        <v>1243</v>
      </c>
      <c r="D168">
        <v>5</v>
      </c>
      <c r="E168">
        <v>3</v>
      </c>
      <c r="F168">
        <v>45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1243</v>
      </c>
      <c r="P168">
        <f t="shared" si="7"/>
        <v>0</v>
      </c>
      <c r="Q168">
        <f t="shared" si="8"/>
        <v>0</v>
      </c>
    </row>
    <row r="169" spans="1:17" x14ac:dyDescent="0.25">
      <c r="A169" t="str">
        <f t="shared" si="6"/>
        <v>Mahmoud Dahoud</v>
      </c>
      <c r="B169" t="s">
        <v>1424</v>
      </c>
      <c r="C169" t="s">
        <v>1425</v>
      </c>
      <c r="D169">
        <v>5</v>
      </c>
      <c r="E169">
        <v>3</v>
      </c>
      <c r="F169">
        <v>49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1425</v>
      </c>
      <c r="P169">
        <f t="shared" si="7"/>
        <v>0</v>
      </c>
      <c r="Q169">
        <f t="shared" si="8"/>
        <v>0</v>
      </c>
    </row>
    <row r="170" spans="1:17" x14ac:dyDescent="0.25">
      <c r="A170" t="str">
        <f t="shared" si="6"/>
        <v>Lewis Dunk</v>
      </c>
      <c r="B170" t="s">
        <v>157</v>
      </c>
      <c r="C170" t="s">
        <v>241</v>
      </c>
      <c r="D170">
        <v>5</v>
      </c>
      <c r="E170">
        <v>2</v>
      </c>
      <c r="F170">
        <v>42</v>
      </c>
      <c r="G170">
        <v>2081</v>
      </c>
      <c r="H170">
        <v>23</v>
      </c>
      <c r="I170">
        <v>0</v>
      </c>
      <c r="J170">
        <v>1</v>
      </c>
      <c r="K170">
        <v>0.81</v>
      </c>
      <c r="L170">
        <v>1.02</v>
      </c>
      <c r="M170">
        <v>44</v>
      </c>
      <c r="N170">
        <v>223</v>
      </c>
      <c r="O170" t="s">
        <v>241</v>
      </c>
      <c r="P170">
        <f t="shared" si="7"/>
        <v>3.5031234983181163E-2</v>
      </c>
      <c r="Q170">
        <f t="shared" si="8"/>
        <v>4.4113407015857767E-2</v>
      </c>
    </row>
    <row r="171" spans="1:17" x14ac:dyDescent="0.25">
      <c r="A171" t="str">
        <f t="shared" si="6"/>
        <v>Pervis Estupiñán</v>
      </c>
      <c r="B171" t="s">
        <v>1426</v>
      </c>
      <c r="C171" t="s">
        <v>1427</v>
      </c>
      <c r="D171">
        <v>5</v>
      </c>
      <c r="E171">
        <v>2</v>
      </c>
      <c r="F171">
        <v>49</v>
      </c>
      <c r="G171">
        <v>2399</v>
      </c>
      <c r="H171">
        <v>26</v>
      </c>
      <c r="I171">
        <v>1</v>
      </c>
      <c r="J171">
        <v>1</v>
      </c>
      <c r="K171">
        <v>1.0900000000000001</v>
      </c>
      <c r="L171">
        <v>2.4300000000000002</v>
      </c>
      <c r="M171">
        <v>63</v>
      </c>
      <c r="N171">
        <v>313</v>
      </c>
      <c r="O171" t="s">
        <v>2667</v>
      </c>
      <c r="P171">
        <f t="shared" si="7"/>
        <v>4.0892038349312217E-2</v>
      </c>
      <c r="Q171">
        <f t="shared" si="8"/>
        <v>9.1162984576907038E-2</v>
      </c>
    </row>
    <row r="172" spans="1:17" x14ac:dyDescent="0.25">
      <c r="A172" t="str">
        <f t="shared" si="6"/>
        <v>Billy Gilmour</v>
      </c>
      <c r="B172" t="s">
        <v>1428</v>
      </c>
      <c r="C172" t="s">
        <v>1429</v>
      </c>
      <c r="D172">
        <v>5</v>
      </c>
      <c r="E172">
        <v>3</v>
      </c>
      <c r="F172">
        <v>50</v>
      </c>
      <c r="G172">
        <v>97</v>
      </c>
      <c r="H172">
        <v>1</v>
      </c>
      <c r="I172">
        <v>0</v>
      </c>
      <c r="J172">
        <v>0</v>
      </c>
      <c r="K172">
        <v>0.08</v>
      </c>
      <c r="L172">
        <v>0.04</v>
      </c>
      <c r="M172">
        <v>3</v>
      </c>
      <c r="N172">
        <v>21</v>
      </c>
      <c r="O172" t="s">
        <v>1429</v>
      </c>
      <c r="P172">
        <f t="shared" si="7"/>
        <v>7.422680412371134E-2</v>
      </c>
      <c r="Q172">
        <f t="shared" si="8"/>
        <v>3.711340206185567E-2</v>
      </c>
    </row>
    <row r="173" spans="1:17" x14ac:dyDescent="0.25">
      <c r="A173" t="str">
        <f t="shared" si="6"/>
        <v>Pascal Groß</v>
      </c>
      <c r="B173" t="s">
        <v>255</v>
      </c>
      <c r="C173" t="s">
        <v>256</v>
      </c>
      <c r="D173">
        <v>5</v>
      </c>
      <c r="E173">
        <v>3</v>
      </c>
      <c r="F173">
        <v>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2668</v>
      </c>
      <c r="P173">
        <f t="shared" si="7"/>
        <v>0</v>
      </c>
      <c r="Q173">
        <f t="shared" si="8"/>
        <v>0</v>
      </c>
    </row>
    <row r="174" spans="1:17" x14ac:dyDescent="0.25">
      <c r="A174" t="str">
        <f t="shared" si="6"/>
        <v>Jack Hinshelwood</v>
      </c>
      <c r="B174" t="s">
        <v>253</v>
      </c>
      <c r="C174" t="s">
        <v>254</v>
      </c>
      <c r="D174">
        <v>5</v>
      </c>
      <c r="E174">
        <v>3</v>
      </c>
      <c r="F174">
        <v>49</v>
      </c>
      <c r="G174">
        <v>1839</v>
      </c>
      <c r="H174">
        <v>22</v>
      </c>
      <c r="I174">
        <v>5</v>
      </c>
      <c r="J174">
        <v>3</v>
      </c>
      <c r="K174">
        <v>2.74</v>
      </c>
      <c r="L174">
        <v>1.5</v>
      </c>
      <c r="M174">
        <v>89</v>
      </c>
      <c r="N174">
        <v>404</v>
      </c>
      <c r="O174" t="s">
        <v>254</v>
      </c>
      <c r="P174">
        <f t="shared" si="7"/>
        <v>0.134094616639478</v>
      </c>
      <c r="Q174">
        <f t="shared" si="8"/>
        <v>7.3409461663947795E-2</v>
      </c>
    </row>
    <row r="175" spans="1:17" x14ac:dyDescent="0.25">
      <c r="A175" t="str">
        <f t="shared" si="6"/>
        <v>Ibrahim Osman</v>
      </c>
      <c r="B175" t="s">
        <v>916</v>
      </c>
      <c r="C175" t="s">
        <v>1213</v>
      </c>
      <c r="D175">
        <v>5</v>
      </c>
      <c r="E175">
        <v>3</v>
      </c>
      <c r="F175">
        <v>50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2669</v>
      </c>
      <c r="P175">
        <f t="shared" si="7"/>
        <v>0</v>
      </c>
      <c r="Q175">
        <f t="shared" si="8"/>
        <v>0</v>
      </c>
    </row>
    <row r="176" spans="1:17" x14ac:dyDescent="0.25">
      <c r="A176" t="str">
        <f t="shared" si="6"/>
        <v>Igor Julio dos Santos de Paulo</v>
      </c>
      <c r="B176" t="s">
        <v>244</v>
      </c>
      <c r="C176" t="s">
        <v>245</v>
      </c>
      <c r="D176">
        <v>5</v>
      </c>
      <c r="E176">
        <v>2</v>
      </c>
      <c r="F176">
        <v>43</v>
      </c>
      <c r="G176">
        <v>959</v>
      </c>
      <c r="H176">
        <v>10</v>
      </c>
      <c r="I176">
        <v>0</v>
      </c>
      <c r="J176">
        <v>0</v>
      </c>
      <c r="K176">
        <v>0.05</v>
      </c>
      <c r="L176">
        <v>0.25</v>
      </c>
      <c r="M176">
        <v>18</v>
      </c>
      <c r="N176">
        <v>113</v>
      </c>
      <c r="O176" t="s">
        <v>2670</v>
      </c>
      <c r="P176">
        <f t="shared" si="7"/>
        <v>4.6923879040667365E-3</v>
      </c>
      <c r="Q176">
        <f t="shared" si="8"/>
        <v>2.346193952033368E-2</v>
      </c>
    </row>
    <row r="177" spans="1:17" x14ac:dyDescent="0.25">
      <c r="A177" t="str">
        <f t="shared" si="6"/>
        <v>João Pedro Junqueira de Jesus</v>
      </c>
      <c r="B177" t="s">
        <v>246</v>
      </c>
      <c r="C177" t="s">
        <v>335</v>
      </c>
      <c r="D177">
        <v>5</v>
      </c>
      <c r="E177">
        <v>4</v>
      </c>
      <c r="F177">
        <v>55</v>
      </c>
      <c r="G177">
        <v>1946</v>
      </c>
      <c r="H177">
        <v>23</v>
      </c>
      <c r="I177">
        <v>10</v>
      </c>
      <c r="J177">
        <v>6</v>
      </c>
      <c r="K177">
        <v>8.9600000000000009</v>
      </c>
      <c r="L177">
        <v>3.1</v>
      </c>
      <c r="M177">
        <v>126</v>
      </c>
      <c r="N177">
        <v>516</v>
      </c>
      <c r="O177" t="s">
        <v>246</v>
      </c>
      <c r="P177">
        <f t="shared" si="7"/>
        <v>0.41438848920863314</v>
      </c>
      <c r="Q177">
        <f t="shared" si="8"/>
        <v>0.14337101747173692</v>
      </c>
    </row>
    <row r="178" spans="1:17" x14ac:dyDescent="0.25">
      <c r="A178" t="str">
        <f t="shared" si="6"/>
        <v>Kacper Kozłowski</v>
      </c>
      <c r="B178" t="s">
        <v>1432</v>
      </c>
      <c r="C178" t="s">
        <v>1433</v>
      </c>
      <c r="D178">
        <v>5</v>
      </c>
      <c r="E178">
        <v>3</v>
      </c>
      <c r="F178">
        <v>45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2671</v>
      </c>
      <c r="P178">
        <f t="shared" si="7"/>
        <v>0</v>
      </c>
      <c r="Q178">
        <f t="shared" si="8"/>
        <v>0</v>
      </c>
    </row>
    <row r="179" spans="1:17" x14ac:dyDescent="0.25">
      <c r="A179" t="str">
        <f t="shared" si="6"/>
        <v>Tariq Lamptey</v>
      </c>
      <c r="B179" t="s">
        <v>1435</v>
      </c>
      <c r="C179" t="s">
        <v>1436</v>
      </c>
      <c r="D179">
        <v>5</v>
      </c>
      <c r="E179">
        <v>2</v>
      </c>
      <c r="F179">
        <v>44</v>
      </c>
      <c r="G179">
        <v>856</v>
      </c>
      <c r="H179">
        <v>10</v>
      </c>
      <c r="I179">
        <v>2</v>
      </c>
      <c r="J179">
        <v>2</v>
      </c>
      <c r="K179">
        <v>0.38</v>
      </c>
      <c r="L179">
        <v>0.8</v>
      </c>
      <c r="M179">
        <v>42</v>
      </c>
      <c r="N179">
        <v>99</v>
      </c>
      <c r="O179" t="s">
        <v>1436</v>
      </c>
      <c r="P179">
        <f t="shared" si="7"/>
        <v>3.9953271028037383E-2</v>
      </c>
      <c r="Q179">
        <f t="shared" si="8"/>
        <v>8.411214953271029E-2</v>
      </c>
    </row>
    <row r="180" spans="1:17" x14ac:dyDescent="0.25">
      <c r="A180" t="str">
        <f t="shared" si="6"/>
        <v>Solly March</v>
      </c>
      <c r="B180" t="s">
        <v>1437</v>
      </c>
      <c r="C180" t="s">
        <v>1438</v>
      </c>
      <c r="D180">
        <v>5</v>
      </c>
      <c r="E180">
        <v>3</v>
      </c>
      <c r="F180">
        <v>65</v>
      </c>
      <c r="G180">
        <v>161</v>
      </c>
      <c r="H180">
        <v>1</v>
      </c>
      <c r="I180">
        <v>0</v>
      </c>
      <c r="J180">
        <v>0</v>
      </c>
      <c r="K180">
        <v>0.09</v>
      </c>
      <c r="L180">
        <v>0.32</v>
      </c>
      <c r="M180">
        <v>7</v>
      </c>
      <c r="N180">
        <v>25</v>
      </c>
      <c r="O180" t="s">
        <v>1438</v>
      </c>
      <c r="P180">
        <f t="shared" si="7"/>
        <v>5.0310559006211175E-2</v>
      </c>
      <c r="Q180">
        <f t="shared" si="8"/>
        <v>0.17888198757763976</v>
      </c>
    </row>
    <row r="181" spans="1:17" x14ac:dyDescent="0.25">
      <c r="A181" t="str">
        <f t="shared" si="6"/>
        <v>Adrian Mazilu</v>
      </c>
      <c r="B181" t="s">
        <v>2166</v>
      </c>
      <c r="C181" t="s">
        <v>2167</v>
      </c>
      <c r="D181">
        <v>5</v>
      </c>
      <c r="E181">
        <v>3</v>
      </c>
      <c r="F181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2167</v>
      </c>
      <c r="P181">
        <f t="shared" si="7"/>
        <v>0</v>
      </c>
      <c r="Q181">
        <f t="shared" si="8"/>
        <v>0</v>
      </c>
    </row>
    <row r="182" spans="1:17" x14ac:dyDescent="0.25">
      <c r="A182" t="str">
        <f t="shared" si="6"/>
        <v>James Milner</v>
      </c>
      <c r="B182" t="s">
        <v>135</v>
      </c>
      <c r="C182" t="s">
        <v>1440</v>
      </c>
      <c r="D182">
        <v>5</v>
      </c>
      <c r="E182">
        <v>3</v>
      </c>
      <c r="F182">
        <v>50</v>
      </c>
      <c r="G182">
        <v>170</v>
      </c>
      <c r="H182">
        <v>3</v>
      </c>
      <c r="I182">
        <v>0</v>
      </c>
      <c r="J182">
        <v>0</v>
      </c>
      <c r="K182">
        <v>0.16</v>
      </c>
      <c r="L182">
        <v>0.15</v>
      </c>
      <c r="M182">
        <v>6</v>
      </c>
      <c r="N182">
        <v>27</v>
      </c>
      <c r="O182" t="s">
        <v>1440</v>
      </c>
      <c r="P182">
        <f t="shared" si="7"/>
        <v>8.4705882352941173E-2</v>
      </c>
      <c r="Q182">
        <f t="shared" si="8"/>
        <v>7.9411764705882348E-2</v>
      </c>
    </row>
    <row r="183" spans="1:17" x14ac:dyDescent="0.25">
      <c r="A183" t="str">
        <f t="shared" si="6"/>
        <v>Yankuba Minteh</v>
      </c>
      <c r="B183" t="s">
        <v>251</v>
      </c>
      <c r="C183" t="s">
        <v>252</v>
      </c>
      <c r="D183">
        <v>5</v>
      </c>
      <c r="E183">
        <v>3</v>
      </c>
      <c r="F183">
        <v>48</v>
      </c>
      <c r="G183">
        <v>1831</v>
      </c>
      <c r="H183">
        <v>20</v>
      </c>
      <c r="I183">
        <v>6</v>
      </c>
      <c r="J183">
        <v>5</v>
      </c>
      <c r="K183">
        <v>4.13</v>
      </c>
      <c r="L183">
        <v>4.99</v>
      </c>
      <c r="M183">
        <v>102</v>
      </c>
      <c r="N183">
        <v>398</v>
      </c>
      <c r="O183" t="s">
        <v>252</v>
      </c>
      <c r="P183">
        <f t="shared" si="7"/>
        <v>0.20300382304751502</v>
      </c>
      <c r="Q183">
        <f t="shared" si="8"/>
        <v>0.24527580557072637</v>
      </c>
    </row>
    <row r="184" spans="1:17" x14ac:dyDescent="0.25">
      <c r="A184" t="str">
        <f t="shared" si="6"/>
        <v>Mitoma Kaoru</v>
      </c>
      <c r="B184" t="s">
        <v>249</v>
      </c>
      <c r="C184" t="s">
        <v>250</v>
      </c>
      <c r="D184">
        <v>5</v>
      </c>
      <c r="E184">
        <v>3</v>
      </c>
      <c r="F184">
        <v>63</v>
      </c>
      <c r="G184">
        <v>2597</v>
      </c>
      <c r="H184">
        <v>28</v>
      </c>
      <c r="I184">
        <v>10</v>
      </c>
      <c r="J184">
        <v>5</v>
      </c>
      <c r="K184">
        <v>9.19</v>
      </c>
      <c r="L184">
        <v>4.03</v>
      </c>
      <c r="M184">
        <v>145</v>
      </c>
      <c r="N184">
        <v>536</v>
      </c>
      <c r="O184" t="s">
        <v>249</v>
      </c>
      <c r="P184">
        <f t="shared" si="7"/>
        <v>0.31848286484405081</v>
      </c>
      <c r="Q184">
        <f t="shared" si="8"/>
        <v>0.13966114747785907</v>
      </c>
    </row>
    <row r="185" spans="1:17" x14ac:dyDescent="0.25">
      <c r="A185" t="str">
        <f t="shared" si="6"/>
        <v>Jakub Moder</v>
      </c>
      <c r="B185" t="s">
        <v>1279</v>
      </c>
      <c r="C185" t="s">
        <v>1441</v>
      </c>
      <c r="D185">
        <v>5</v>
      </c>
      <c r="E185">
        <v>3</v>
      </c>
      <c r="F185">
        <v>44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0.53</v>
      </c>
      <c r="M185">
        <v>4</v>
      </c>
      <c r="N185">
        <v>17</v>
      </c>
      <c r="O185" t="s">
        <v>1441</v>
      </c>
      <c r="P185">
        <f t="shared" si="7"/>
        <v>0</v>
      </c>
      <c r="Q185">
        <f t="shared" si="8"/>
        <v>5.3000000000000007</v>
      </c>
    </row>
    <row r="186" spans="1:17" x14ac:dyDescent="0.25">
      <c r="A186" t="str">
        <f t="shared" si="6"/>
        <v>Mark O’Mahony</v>
      </c>
      <c r="B186" t="s">
        <v>473</v>
      </c>
      <c r="C186" t="s">
        <v>1451</v>
      </c>
      <c r="D186">
        <v>5</v>
      </c>
      <c r="E186">
        <v>4</v>
      </c>
      <c r="F186">
        <v>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1451</v>
      </c>
      <c r="P186">
        <f t="shared" si="7"/>
        <v>0</v>
      </c>
      <c r="Q186">
        <f t="shared" si="8"/>
        <v>0</v>
      </c>
    </row>
    <row r="187" spans="1:17" x14ac:dyDescent="0.25">
      <c r="A187" t="str">
        <f t="shared" si="6"/>
        <v>Odeluga Offiah</v>
      </c>
      <c r="B187" t="s">
        <v>1461</v>
      </c>
      <c r="C187" t="s">
        <v>1462</v>
      </c>
      <c r="D187">
        <v>5</v>
      </c>
      <c r="E187">
        <v>2</v>
      </c>
      <c r="F187">
        <v>40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1462</v>
      </c>
      <c r="P187">
        <f t="shared" si="7"/>
        <v>0</v>
      </c>
      <c r="Q187">
        <f t="shared" si="8"/>
        <v>0</v>
      </c>
    </row>
    <row r="188" spans="1:17" x14ac:dyDescent="0.25">
      <c r="A188" t="str">
        <f t="shared" si="6"/>
        <v>Cameron Peupion</v>
      </c>
      <c r="B188" t="s">
        <v>1225</v>
      </c>
      <c r="C188" t="s">
        <v>1458</v>
      </c>
      <c r="D188">
        <v>5</v>
      </c>
      <c r="E188">
        <v>3</v>
      </c>
      <c r="F188">
        <v>44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1458</v>
      </c>
      <c r="P188">
        <f t="shared" si="7"/>
        <v>0</v>
      </c>
      <c r="Q188">
        <f t="shared" si="8"/>
        <v>0</v>
      </c>
    </row>
    <row r="189" spans="1:17" x14ac:dyDescent="0.25">
      <c r="A189" t="str">
        <f t="shared" si="6"/>
        <v>Jeremy Sarmiento Morante</v>
      </c>
      <c r="B189" t="s">
        <v>711</v>
      </c>
      <c r="C189" t="s">
        <v>1442</v>
      </c>
      <c r="D189">
        <v>5</v>
      </c>
      <c r="E189">
        <v>3</v>
      </c>
      <c r="F189">
        <v>49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3</v>
      </c>
      <c r="O189" t="s">
        <v>2672</v>
      </c>
      <c r="P189">
        <f t="shared" si="7"/>
        <v>0</v>
      </c>
      <c r="Q189">
        <f t="shared" si="8"/>
        <v>0</v>
      </c>
    </row>
    <row r="190" spans="1:17" x14ac:dyDescent="0.25">
      <c r="A190" t="str">
        <f t="shared" si="6"/>
        <v>Jason Steele</v>
      </c>
      <c r="B190" t="s">
        <v>233</v>
      </c>
      <c r="C190" t="s">
        <v>234</v>
      </c>
      <c r="D190">
        <v>5</v>
      </c>
      <c r="E190">
        <v>1</v>
      </c>
      <c r="F190">
        <v>40</v>
      </c>
      <c r="G190">
        <v>180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9</v>
      </c>
      <c r="N190">
        <v>46</v>
      </c>
      <c r="O190" t="s">
        <v>234</v>
      </c>
      <c r="P190">
        <f t="shared" si="7"/>
        <v>0</v>
      </c>
      <c r="Q190">
        <f t="shared" si="8"/>
        <v>0</v>
      </c>
    </row>
    <row r="191" spans="1:17" x14ac:dyDescent="0.25">
      <c r="A191" t="str">
        <f t="shared" si="6"/>
        <v>Deniz Undav</v>
      </c>
      <c r="B191" t="s">
        <v>1443</v>
      </c>
      <c r="C191" t="s">
        <v>1444</v>
      </c>
      <c r="D191">
        <v>5</v>
      </c>
      <c r="E191">
        <v>4</v>
      </c>
      <c r="F191">
        <v>55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1444</v>
      </c>
      <c r="P191">
        <f t="shared" si="7"/>
        <v>0</v>
      </c>
      <c r="Q191">
        <f t="shared" si="8"/>
        <v>0</v>
      </c>
    </row>
    <row r="192" spans="1:17" x14ac:dyDescent="0.25">
      <c r="A192" t="str">
        <f t="shared" si="6"/>
        <v>Jan Paul van Hecke</v>
      </c>
      <c r="B192" t="s">
        <v>929</v>
      </c>
      <c r="C192" t="s">
        <v>930</v>
      </c>
      <c r="D192">
        <v>5</v>
      </c>
      <c r="E192">
        <v>2</v>
      </c>
      <c r="F192">
        <v>45</v>
      </c>
      <c r="G192">
        <v>2960</v>
      </c>
      <c r="H192">
        <v>33</v>
      </c>
      <c r="I192">
        <v>1</v>
      </c>
      <c r="J192">
        <v>1</v>
      </c>
      <c r="K192">
        <v>1.32</v>
      </c>
      <c r="L192">
        <v>1.41</v>
      </c>
      <c r="M192">
        <v>87</v>
      </c>
      <c r="N192">
        <v>406</v>
      </c>
      <c r="O192" t="s">
        <v>2673</v>
      </c>
      <c r="P192">
        <f t="shared" si="7"/>
        <v>4.0135135135135135E-2</v>
      </c>
      <c r="Q192">
        <f t="shared" si="8"/>
        <v>4.2871621621621614E-2</v>
      </c>
    </row>
    <row r="193" spans="1:17" x14ac:dyDescent="0.25">
      <c r="A193" t="str">
        <f t="shared" si="6"/>
        <v>Joël Veltman</v>
      </c>
      <c r="B193" t="s">
        <v>685</v>
      </c>
      <c r="C193" t="s">
        <v>1445</v>
      </c>
      <c r="D193">
        <v>5</v>
      </c>
      <c r="E193">
        <v>2</v>
      </c>
      <c r="F193">
        <v>43</v>
      </c>
      <c r="G193">
        <v>1694</v>
      </c>
      <c r="H193">
        <v>19</v>
      </c>
      <c r="I193">
        <v>0</v>
      </c>
      <c r="J193">
        <v>0</v>
      </c>
      <c r="K193">
        <v>0.47</v>
      </c>
      <c r="L193">
        <v>1.31</v>
      </c>
      <c r="M193">
        <v>59</v>
      </c>
      <c r="N193">
        <v>249</v>
      </c>
      <c r="O193" t="s">
        <v>1445</v>
      </c>
      <c r="P193">
        <f t="shared" si="7"/>
        <v>2.4970484061393149E-2</v>
      </c>
      <c r="Q193">
        <f t="shared" si="8"/>
        <v>6.9598583234946873E-2</v>
      </c>
    </row>
    <row r="194" spans="1:17" x14ac:dyDescent="0.25">
      <c r="A194" t="str">
        <f t="shared" ref="A194:A257" si="9">_xlfn.CONCAT(B194, " ", C194)</f>
        <v>Bart Verbruggen</v>
      </c>
      <c r="B194" t="s">
        <v>231</v>
      </c>
      <c r="C194" t="s">
        <v>232</v>
      </c>
      <c r="D194">
        <v>5</v>
      </c>
      <c r="E194">
        <v>1</v>
      </c>
      <c r="F194">
        <v>45</v>
      </c>
      <c r="G194">
        <v>3240</v>
      </c>
      <c r="H194">
        <v>36</v>
      </c>
      <c r="I194">
        <v>0</v>
      </c>
      <c r="J194">
        <v>1</v>
      </c>
      <c r="K194">
        <v>0</v>
      </c>
      <c r="L194">
        <v>0.01</v>
      </c>
      <c r="M194">
        <v>103</v>
      </c>
      <c r="N194">
        <v>366</v>
      </c>
      <c r="O194" t="s">
        <v>232</v>
      </c>
      <c r="P194">
        <f t="shared" ref="P194:P257" si="10">IFERROR(K194/G194*90,0)</f>
        <v>0</v>
      </c>
      <c r="Q194">
        <f t="shared" ref="Q194:Q257" si="11">IFERROR(L194/G194*90,0)</f>
        <v>2.7777777777777778E-4</v>
      </c>
    </row>
    <row r="195" spans="1:17" x14ac:dyDescent="0.25">
      <c r="A195" t="str">
        <f t="shared" si="9"/>
        <v>Adam Webster</v>
      </c>
      <c r="B195" t="s">
        <v>143</v>
      </c>
      <c r="C195" t="s">
        <v>1446</v>
      </c>
      <c r="D195">
        <v>5</v>
      </c>
      <c r="E195">
        <v>2</v>
      </c>
      <c r="F195">
        <v>43</v>
      </c>
      <c r="G195">
        <v>885</v>
      </c>
      <c r="H195">
        <v>11</v>
      </c>
      <c r="I195">
        <v>0</v>
      </c>
      <c r="J195">
        <v>1</v>
      </c>
      <c r="K195">
        <v>0.25</v>
      </c>
      <c r="L195">
        <v>0.28000000000000003</v>
      </c>
      <c r="M195">
        <v>39</v>
      </c>
      <c r="N195">
        <v>167</v>
      </c>
      <c r="O195" t="s">
        <v>1446</v>
      </c>
      <c r="P195">
        <f t="shared" si="10"/>
        <v>2.5423728813559324E-2</v>
      </c>
      <c r="Q195">
        <f t="shared" si="11"/>
        <v>2.8474576271186446E-2</v>
      </c>
    </row>
    <row r="196" spans="1:17" x14ac:dyDescent="0.25">
      <c r="A196" t="str">
        <f t="shared" si="9"/>
        <v>Danny Welbeck</v>
      </c>
      <c r="B196" t="s">
        <v>291</v>
      </c>
      <c r="C196" t="s">
        <v>292</v>
      </c>
      <c r="D196">
        <v>5</v>
      </c>
      <c r="E196">
        <v>4</v>
      </c>
      <c r="F196">
        <v>55</v>
      </c>
      <c r="G196">
        <v>2109</v>
      </c>
      <c r="H196">
        <v>24</v>
      </c>
      <c r="I196">
        <v>10</v>
      </c>
      <c r="J196">
        <v>5</v>
      </c>
      <c r="K196">
        <v>9.58</v>
      </c>
      <c r="L196">
        <v>1.36</v>
      </c>
      <c r="M196">
        <v>125</v>
      </c>
      <c r="N196">
        <v>484</v>
      </c>
      <c r="O196" t="s">
        <v>292</v>
      </c>
      <c r="P196">
        <f t="shared" si="10"/>
        <v>0.40881934566145095</v>
      </c>
      <c r="Q196">
        <f t="shared" si="11"/>
        <v>5.8036984352773831E-2</v>
      </c>
    </row>
    <row r="197" spans="1:17" x14ac:dyDescent="0.25">
      <c r="A197" t="str">
        <f t="shared" si="9"/>
        <v>Mats Wieffer</v>
      </c>
      <c r="B197" t="s">
        <v>266</v>
      </c>
      <c r="C197" t="s">
        <v>267</v>
      </c>
      <c r="D197">
        <v>5</v>
      </c>
      <c r="E197">
        <v>3</v>
      </c>
      <c r="F197">
        <v>47</v>
      </c>
      <c r="G197">
        <v>1003</v>
      </c>
      <c r="H197">
        <v>10</v>
      </c>
      <c r="I197">
        <v>1</v>
      </c>
      <c r="J197">
        <v>5</v>
      </c>
      <c r="K197">
        <v>0.8</v>
      </c>
      <c r="L197">
        <v>1</v>
      </c>
      <c r="M197">
        <v>52</v>
      </c>
      <c r="N197">
        <v>243</v>
      </c>
      <c r="O197" t="s">
        <v>267</v>
      </c>
      <c r="P197">
        <f t="shared" si="10"/>
        <v>7.1784646061814561E-2</v>
      </c>
      <c r="Q197">
        <f t="shared" si="11"/>
        <v>8.9730807577268187E-2</v>
      </c>
    </row>
    <row r="198" spans="1:17" x14ac:dyDescent="0.25">
      <c r="A198" t="str">
        <f t="shared" si="9"/>
        <v>Brajan Gruda</v>
      </c>
      <c r="B198" t="s">
        <v>2168</v>
      </c>
      <c r="C198" t="s">
        <v>2169</v>
      </c>
      <c r="D198">
        <v>5</v>
      </c>
      <c r="E198">
        <v>3</v>
      </c>
      <c r="F198">
        <v>54</v>
      </c>
      <c r="G198">
        <v>676</v>
      </c>
      <c r="H198">
        <v>8</v>
      </c>
      <c r="I198">
        <v>1</v>
      </c>
      <c r="J198">
        <v>4</v>
      </c>
      <c r="K198">
        <v>1.1499999999999999</v>
      </c>
      <c r="L198">
        <v>1.93</v>
      </c>
      <c r="M198">
        <v>45</v>
      </c>
      <c r="N198">
        <v>176</v>
      </c>
      <c r="O198" t="s">
        <v>2169</v>
      </c>
      <c r="P198">
        <f t="shared" si="10"/>
        <v>0.15310650887573965</v>
      </c>
      <c r="Q198">
        <f t="shared" si="11"/>
        <v>0.25695266272189349</v>
      </c>
    </row>
    <row r="199" spans="1:17" x14ac:dyDescent="0.25">
      <c r="A199" t="str">
        <f t="shared" si="9"/>
        <v>Yasin Ayari</v>
      </c>
      <c r="B199" t="s">
        <v>264</v>
      </c>
      <c r="C199" t="s">
        <v>265</v>
      </c>
      <c r="D199">
        <v>5</v>
      </c>
      <c r="E199">
        <v>3</v>
      </c>
      <c r="F199">
        <v>50</v>
      </c>
      <c r="G199">
        <v>1958</v>
      </c>
      <c r="H199">
        <v>22</v>
      </c>
      <c r="I199">
        <v>2</v>
      </c>
      <c r="J199">
        <v>1</v>
      </c>
      <c r="K199">
        <v>2.5099999999999998</v>
      </c>
      <c r="L199">
        <v>2.62</v>
      </c>
      <c r="M199">
        <v>74</v>
      </c>
      <c r="N199">
        <v>358</v>
      </c>
      <c r="O199" t="s">
        <v>265</v>
      </c>
      <c r="P199">
        <f t="shared" si="10"/>
        <v>0.11537282941777323</v>
      </c>
      <c r="Q199">
        <f t="shared" si="11"/>
        <v>0.12042900919305413</v>
      </c>
    </row>
    <row r="200" spans="1:17" x14ac:dyDescent="0.25">
      <c r="A200" t="str">
        <f t="shared" si="9"/>
        <v>Andrew Moran</v>
      </c>
      <c r="B200" t="s">
        <v>945</v>
      </c>
      <c r="C200" t="s">
        <v>2170</v>
      </c>
      <c r="D200">
        <v>5</v>
      </c>
      <c r="E200">
        <v>3</v>
      </c>
      <c r="F200">
        <v>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2170</v>
      </c>
      <c r="P200">
        <f t="shared" si="10"/>
        <v>0</v>
      </c>
      <c r="Q200">
        <f t="shared" si="11"/>
        <v>0</v>
      </c>
    </row>
    <row r="201" spans="1:17" x14ac:dyDescent="0.25">
      <c r="A201" t="str">
        <f t="shared" si="9"/>
        <v>Carl Rushworth</v>
      </c>
      <c r="B201" t="s">
        <v>359</v>
      </c>
      <c r="C201" t="s">
        <v>360</v>
      </c>
      <c r="D201">
        <v>5</v>
      </c>
      <c r="E201">
        <v>1</v>
      </c>
      <c r="F201">
        <v>39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360</v>
      </c>
      <c r="P201">
        <f t="shared" si="10"/>
        <v>0</v>
      </c>
      <c r="Q201">
        <f t="shared" si="11"/>
        <v>0</v>
      </c>
    </row>
    <row r="202" spans="1:17" x14ac:dyDescent="0.25">
      <c r="A202" t="str">
        <f t="shared" si="9"/>
        <v>Georginio Rutter</v>
      </c>
      <c r="B202" t="s">
        <v>257</v>
      </c>
      <c r="C202" t="s">
        <v>258</v>
      </c>
      <c r="D202">
        <v>5</v>
      </c>
      <c r="E202">
        <v>3</v>
      </c>
      <c r="F202">
        <v>50</v>
      </c>
      <c r="G202">
        <v>1651</v>
      </c>
      <c r="H202">
        <v>19</v>
      </c>
      <c r="I202">
        <v>5</v>
      </c>
      <c r="J202">
        <v>6</v>
      </c>
      <c r="K202">
        <v>4.57</v>
      </c>
      <c r="L202">
        <v>1.67</v>
      </c>
      <c r="M202">
        <v>95</v>
      </c>
      <c r="N202">
        <v>288</v>
      </c>
      <c r="O202" t="s">
        <v>257</v>
      </c>
      <c r="P202">
        <f t="shared" si="10"/>
        <v>0.24912174439733498</v>
      </c>
      <c r="Q202">
        <f t="shared" si="11"/>
        <v>9.1035735917625663E-2</v>
      </c>
    </row>
    <row r="203" spans="1:17" x14ac:dyDescent="0.25">
      <c r="A203" t="str">
        <f t="shared" si="9"/>
        <v>Ferdi Kadioglu</v>
      </c>
      <c r="B203" t="s">
        <v>235</v>
      </c>
      <c r="C203" t="s">
        <v>2171</v>
      </c>
      <c r="D203">
        <v>5</v>
      </c>
      <c r="E203">
        <v>2</v>
      </c>
      <c r="F203">
        <v>44</v>
      </c>
      <c r="G203">
        <v>385</v>
      </c>
      <c r="H203">
        <v>5</v>
      </c>
      <c r="I203">
        <v>1</v>
      </c>
      <c r="J203">
        <v>0</v>
      </c>
      <c r="K203">
        <v>0.44</v>
      </c>
      <c r="L203">
        <v>0.31</v>
      </c>
      <c r="M203">
        <v>19</v>
      </c>
      <c r="N203">
        <v>59</v>
      </c>
      <c r="O203" t="s">
        <v>2674</v>
      </c>
      <c r="P203">
        <f t="shared" si="10"/>
        <v>0.10285714285714287</v>
      </c>
      <c r="Q203">
        <f t="shared" si="11"/>
        <v>7.2467532467532472E-2</v>
      </c>
    </row>
    <row r="204" spans="1:17" x14ac:dyDescent="0.25">
      <c r="A204" t="str">
        <f t="shared" si="9"/>
        <v>Matt O'Riley</v>
      </c>
      <c r="B204" t="s">
        <v>259</v>
      </c>
      <c r="C204" t="s">
        <v>260</v>
      </c>
      <c r="D204">
        <v>5</v>
      </c>
      <c r="E204">
        <v>3</v>
      </c>
      <c r="F204">
        <v>55</v>
      </c>
      <c r="G204">
        <v>929</v>
      </c>
      <c r="H204">
        <v>11</v>
      </c>
      <c r="I204">
        <v>2</v>
      </c>
      <c r="J204">
        <v>3</v>
      </c>
      <c r="K204">
        <v>2.76</v>
      </c>
      <c r="L204">
        <v>2.04</v>
      </c>
      <c r="M204">
        <v>50</v>
      </c>
      <c r="N204">
        <v>209</v>
      </c>
      <c r="O204" t="s">
        <v>260</v>
      </c>
      <c r="P204">
        <f t="shared" si="10"/>
        <v>0.26738428417653387</v>
      </c>
      <c r="Q204">
        <f t="shared" si="11"/>
        <v>0.19763186221743811</v>
      </c>
    </row>
    <row r="205" spans="1:17" x14ac:dyDescent="0.25">
      <c r="A205" t="str">
        <f t="shared" si="9"/>
        <v>Imari Samuels</v>
      </c>
      <c r="B205" t="s">
        <v>2172</v>
      </c>
      <c r="C205" t="s">
        <v>2173</v>
      </c>
      <c r="D205">
        <v>5</v>
      </c>
      <c r="E205">
        <v>2</v>
      </c>
      <c r="F205">
        <v>40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2173</v>
      </c>
      <c r="P205">
        <f t="shared" si="10"/>
        <v>0</v>
      </c>
      <c r="Q205">
        <f t="shared" si="11"/>
        <v>0</v>
      </c>
    </row>
    <row r="206" spans="1:17" x14ac:dyDescent="0.25">
      <c r="A206" t="str">
        <f t="shared" si="9"/>
        <v>Killian Cahill</v>
      </c>
      <c r="B206" t="s">
        <v>2174</v>
      </c>
      <c r="C206" t="s">
        <v>2175</v>
      </c>
      <c r="D206">
        <v>5</v>
      </c>
      <c r="E206">
        <v>1</v>
      </c>
      <c r="F206">
        <v>39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2175</v>
      </c>
      <c r="P206">
        <f t="shared" si="10"/>
        <v>0</v>
      </c>
      <c r="Q206">
        <f t="shared" si="11"/>
        <v>0</v>
      </c>
    </row>
    <row r="207" spans="1:17" x14ac:dyDescent="0.25">
      <c r="A207" t="str">
        <f t="shared" si="9"/>
        <v>Ruairi McConville</v>
      </c>
      <c r="B207" t="s">
        <v>2176</v>
      </c>
      <c r="C207" t="s">
        <v>2177</v>
      </c>
      <c r="D207">
        <v>5</v>
      </c>
      <c r="E207">
        <v>2</v>
      </c>
      <c r="F207">
        <v>40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2177</v>
      </c>
      <c r="P207">
        <f t="shared" si="10"/>
        <v>0</v>
      </c>
      <c r="Q207">
        <f t="shared" si="11"/>
        <v>0</v>
      </c>
    </row>
    <row r="208" spans="1:17" x14ac:dyDescent="0.25">
      <c r="A208" t="str">
        <f t="shared" si="9"/>
        <v>Jacob Slater</v>
      </c>
      <c r="B208" t="s">
        <v>556</v>
      </c>
      <c r="C208" t="s">
        <v>568</v>
      </c>
      <c r="D208">
        <v>5</v>
      </c>
      <c r="E208">
        <v>2</v>
      </c>
      <c r="F208">
        <v>40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568</v>
      </c>
      <c r="P208">
        <f t="shared" si="10"/>
        <v>0</v>
      </c>
      <c r="Q208">
        <f t="shared" si="11"/>
        <v>0</v>
      </c>
    </row>
    <row r="209" spans="1:17" x14ac:dyDescent="0.25">
      <c r="A209" t="str">
        <f t="shared" si="9"/>
        <v>Diego Gómez</v>
      </c>
      <c r="B209" t="s">
        <v>242</v>
      </c>
      <c r="C209" t="s">
        <v>1784</v>
      </c>
      <c r="D209">
        <v>5</v>
      </c>
      <c r="E209">
        <v>3</v>
      </c>
      <c r="F209">
        <v>55</v>
      </c>
      <c r="G209">
        <v>507</v>
      </c>
      <c r="H209">
        <v>4</v>
      </c>
      <c r="I209">
        <v>1</v>
      </c>
      <c r="J209">
        <v>1</v>
      </c>
      <c r="K209">
        <v>0.82</v>
      </c>
      <c r="L209">
        <v>1.1599999999999999</v>
      </c>
      <c r="M209">
        <v>30</v>
      </c>
      <c r="N209">
        <v>130</v>
      </c>
      <c r="O209" t="s">
        <v>1784</v>
      </c>
      <c r="P209">
        <f t="shared" si="10"/>
        <v>0.14556213017751479</v>
      </c>
      <c r="Q209">
        <f t="shared" si="11"/>
        <v>0.2059171597633136</v>
      </c>
    </row>
    <row r="210" spans="1:17" x14ac:dyDescent="0.25">
      <c r="A210" t="str">
        <f t="shared" si="9"/>
        <v>Fabian Hürzeler</v>
      </c>
      <c r="B210" t="s">
        <v>854</v>
      </c>
      <c r="C210" t="s">
        <v>2178</v>
      </c>
      <c r="D210">
        <v>5</v>
      </c>
      <c r="E210">
        <v>5</v>
      </c>
      <c r="F210">
        <v>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119</v>
      </c>
      <c r="N210">
        <v>0</v>
      </c>
      <c r="O210" t="s">
        <v>2178</v>
      </c>
      <c r="P210">
        <f t="shared" si="10"/>
        <v>0</v>
      </c>
      <c r="Q210">
        <f t="shared" si="11"/>
        <v>0</v>
      </c>
    </row>
    <row r="211" spans="1:17" x14ac:dyDescent="0.25">
      <c r="A211" t="str">
        <f t="shared" si="9"/>
        <v>Joe Knight</v>
      </c>
      <c r="B211" t="s">
        <v>585</v>
      </c>
      <c r="C211" t="s">
        <v>2179</v>
      </c>
      <c r="D211">
        <v>5</v>
      </c>
      <c r="E211">
        <v>3</v>
      </c>
      <c r="F211">
        <v>45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2179</v>
      </c>
      <c r="P211">
        <f t="shared" si="10"/>
        <v>0</v>
      </c>
      <c r="Q211">
        <f t="shared" si="11"/>
        <v>0</v>
      </c>
    </row>
    <row r="212" spans="1:17" x14ac:dyDescent="0.25">
      <c r="A212" t="str">
        <f t="shared" si="9"/>
        <v>Eiran Cashin</v>
      </c>
      <c r="B212" t="s">
        <v>2180</v>
      </c>
      <c r="C212" t="s">
        <v>2181</v>
      </c>
      <c r="D212">
        <v>5</v>
      </c>
      <c r="E212">
        <v>2</v>
      </c>
      <c r="F212">
        <v>45</v>
      </c>
      <c r="G212">
        <v>19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-2</v>
      </c>
      <c r="O212" t="s">
        <v>2181</v>
      </c>
      <c r="P212">
        <f t="shared" si="10"/>
        <v>0</v>
      </c>
      <c r="Q212">
        <f t="shared" si="11"/>
        <v>0</v>
      </c>
    </row>
    <row r="213" spans="1:17" x14ac:dyDescent="0.25">
      <c r="A213" t="str">
        <f t="shared" si="9"/>
        <v>Charlie Tasker</v>
      </c>
      <c r="B213" t="s">
        <v>548</v>
      </c>
      <c r="C213" t="s">
        <v>2182</v>
      </c>
      <c r="D213">
        <v>5</v>
      </c>
      <c r="E213">
        <v>2</v>
      </c>
      <c r="F213">
        <v>40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2675</v>
      </c>
      <c r="P213">
        <f t="shared" si="10"/>
        <v>0</v>
      </c>
      <c r="Q213">
        <f t="shared" si="11"/>
        <v>0</v>
      </c>
    </row>
    <row r="214" spans="1:17" x14ac:dyDescent="0.25">
      <c r="A214" t="str">
        <f t="shared" si="9"/>
        <v>Freddie Simmonds</v>
      </c>
      <c r="B214" t="s">
        <v>694</v>
      </c>
      <c r="C214" t="s">
        <v>2183</v>
      </c>
      <c r="D214">
        <v>5</v>
      </c>
      <c r="E214">
        <v>2</v>
      </c>
      <c r="F214">
        <v>40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2676</v>
      </c>
      <c r="P214">
        <f t="shared" si="10"/>
        <v>0</v>
      </c>
      <c r="Q214">
        <f t="shared" si="11"/>
        <v>0</v>
      </c>
    </row>
    <row r="215" spans="1:17" x14ac:dyDescent="0.25">
      <c r="A215" t="str">
        <f t="shared" si="9"/>
        <v>Harry Howell</v>
      </c>
      <c r="B215" t="s">
        <v>270</v>
      </c>
      <c r="C215" t="s">
        <v>271</v>
      </c>
      <c r="D215">
        <v>5</v>
      </c>
      <c r="E215">
        <v>3</v>
      </c>
      <c r="F215">
        <v>45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0.05</v>
      </c>
      <c r="M215">
        <v>1</v>
      </c>
      <c r="N215">
        <v>5</v>
      </c>
      <c r="O215" t="s">
        <v>2677</v>
      </c>
      <c r="P215">
        <f t="shared" si="10"/>
        <v>0</v>
      </c>
      <c r="Q215">
        <f t="shared" si="11"/>
        <v>0.75</v>
      </c>
    </row>
    <row r="216" spans="1:17" x14ac:dyDescent="0.25">
      <c r="A216" t="str">
        <f t="shared" si="9"/>
        <v>Andrey Nascimento dos Santos</v>
      </c>
      <c r="B216" t="s">
        <v>797</v>
      </c>
      <c r="C216" t="s">
        <v>798</v>
      </c>
      <c r="D216">
        <v>6</v>
      </c>
      <c r="E216">
        <v>3</v>
      </c>
      <c r="F216">
        <v>45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2678</v>
      </c>
      <c r="P216">
        <f t="shared" si="10"/>
        <v>0</v>
      </c>
      <c r="Q216">
        <f t="shared" si="11"/>
        <v>0</v>
      </c>
    </row>
    <row r="217" spans="1:17" x14ac:dyDescent="0.25">
      <c r="A217" t="str">
        <f t="shared" si="9"/>
        <v>Ângelo Gabriel Borges Damaceno</v>
      </c>
      <c r="B217" t="s">
        <v>1545</v>
      </c>
      <c r="C217" t="s">
        <v>1546</v>
      </c>
      <c r="D217">
        <v>6</v>
      </c>
      <c r="E217">
        <v>3</v>
      </c>
      <c r="F217">
        <v>45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2679</v>
      </c>
      <c r="P217">
        <f t="shared" si="10"/>
        <v>0</v>
      </c>
      <c r="Q217">
        <f t="shared" si="11"/>
        <v>0</v>
      </c>
    </row>
    <row r="218" spans="1:17" x14ac:dyDescent="0.25">
      <c r="A218" t="str">
        <f t="shared" si="9"/>
        <v>Benoît Badiashile</v>
      </c>
      <c r="B218" t="s">
        <v>304</v>
      </c>
      <c r="C218" t="s">
        <v>1526</v>
      </c>
      <c r="D218">
        <v>6</v>
      </c>
      <c r="E218">
        <v>2</v>
      </c>
      <c r="F218">
        <v>42</v>
      </c>
      <c r="G218">
        <v>332</v>
      </c>
      <c r="H218">
        <v>3</v>
      </c>
      <c r="I218">
        <v>0</v>
      </c>
      <c r="J218">
        <v>0</v>
      </c>
      <c r="K218">
        <v>0</v>
      </c>
      <c r="L218">
        <v>0.08</v>
      </c>
      <c r="M218">
        <v>7</v>
      </c>
      <c r="N218">
        <v>35</v>
      </c>
      <c r="O218" t="s">
        <v>2680</v>
      </c>
      <c r="P218">
        <f t="shared" si="10"/>
        <v>0</v>
      </c>
      <c r="Q218">
        <f t="shared" si="11"/>
        <v>2.1686746987951807E-2</v>
      </c>
    </row>
    <row r="219" spans="1:17" x14ac:dyDescent="0.25">
      <c r="A219" t="str">
        <f t="shared" si="9"/>
        <v>Lucas Bergström</v>
      </c>
      <c r="B219" t="s">
        <v>78</v>
      </c>
      <c r="C219" t="s">
        <v>1549</v>
      </c>
      <c r="D219">
        <v>6</v>
      </c>
      <c r="E219">
        <v>1</v>
      </c>
      <c r="F219">
        <v>39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1549</v>
      </c>
      <c r="P219">
        <f t="shared" si="10"/>
        <v>0</v>
      </c>
      <c r="Q219">
        <f t="shared" si="11"/>
        <v>0</v>
      </c>
    </row>
    <row r="220" spans="1:17" x14ac:dyDescent="0.25">
      <c r="A220" t="str">
        <f t="shared" si="9"/>
        <v>Marcus Bettinelli</v>
      </c>
      <c r="B220" t="s">
        <v>151</v>
      </c>
      <c r="C220" t="s">
        <v>751</v>
      </c>
      <c r="D220">
        <v>6</v>
      </c>
      <c r="E220">
        <v>1</v>
      </c>
      <c r="F220">
        <v>39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751</v>
      </c>
      <c r="P220">
        <f t="shared" si="10"/>
        <v>0</v>
      </c>
      <c r="Q220">
        <f t="shared" si="11"/>
        <v>0</v>
      </c>
    </row>
    <row r="221" spans="1:17" x14ac:dyDescent="0.25">
      <c r="A221" t="str">
        <f t="shared" si="9"/>
        <v>Moisés Caicedo Corozo</v>
      </c>
      <c r="B221" t="s">
        <v>327</v>
      </c>
      <c r="C221" t="s">
        <v>328</v>
      </c>
      <c r="D221">
        <v>6</v>
      </c>
      <c r="E221">
        <v>3</v>
      </c>
      <c r="F221">
        <v>49</v>
      </c>
      <c r="G221">
        <v>3351</v>
      </c>
      <c r="H221">
        <v>38</v>
      </c>
      <c r="I221">
        <v>1</v>
      </c>
      <c r="J221">
        <v>4</v>
      </c>
      <c r="K221">
        <v>0.81</v>
      </c>
      <c r="L221">
        <v>2.82</v>
      </c>
      <c r="M221">
        <v>98</v>
      </c>
      <c r="N221">
        <v>650</v>
      </c>
      <c r="O221" t="s">
        <v>2681</v>
      </c>
      <c r="P221">
        <f t="shared" si="10"/>
        <v>2.1754700089525517E-2</v>
      </c>
      <c r="Q221">
        <f t="shared" si="11"/>
        <v>7.5738585496866601E-2</v>
      </c>
    </row>
    <row r="222" spans="1:17" x14ac:dyDescent="0.25">
      <c r="A222" t="str">
        <f t="shared" si="9"/>
        <v>Cesare Casadei</v>
      </c>
      <c r="B222" t="s">
        <v>1562</v>
      </c>
      <c r="C222" t="s">
        <v>1563</v>
      </c>
      <c r="D222">
        <v>6</v>
      </c>
      <c r="E222">
        <v>3</v>
      </c>
      <c r="F222">
        <v>44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1563</v>
      </c>
      <c r="P222">
        <f t="shared" si="10"/>
        <v>0</v>
      </c>
      <c r="Q222">
        <f t="shared" si="11"/>
        <v>0</v>
      </c>
    </row>
    <row r="223" spans="1:17" x14ac:dyDescent="0.25">
      <c r="A223" t="str">
        <f t="shared" si="9"/>
        <v>Trevoh Chalobah</v>
      </c>
      <c r="B223" t="s">
        <v>298</v>
      </c>
      <c r="C223" t="s">
        <v>299</v>
      </c>
      <c r="D223">
        <v>6</v>
      </c>
      <c r="E223">
        <v>2</v>
      </c>
      <c r="F223">
        <v>44</v>
      </c>
      <c r="G223">
        <v>1969</v>
      </c>
      <c r="H223">
        <v>23</v>
      </c>
      <c r="I223">
        <v>3</v>
      </c>
      <c r="J223">
        <v>1</v>
      </c>
      <c r="K223">
        <v>1.98</v>
      </c>
      <c r="L223">
        <v>0.64</v>
      </c>
      <c r="M223">
        <v>93</v>
      </c>
      <c r="N223">
        <v>379</v>
      </c>
      <c r="O223" t="s">
        <v>299</v>
      </c>
      <c r="P223">
        <f t="shared" si="10"/>
        <v>9.0502793296089387E-2</v>
      </c>
      <c r="Q223">
        <f t="shared" si="11"/>
        <v>2.9253428136109701E-2</v>
      </c>
    </row>
    <row r="224" spans="1:17" x14ac:dyDescent="0.25">
      <c r="A224" t="str">
        <f t="shared" si="9"/>
        <v>Carney Chukwuemeka</v>
      </c>
      <c r="B224" t="s">
        <v>1528</v>
      </c>
      <c r="C224" t="s">
        <v>1529</v>
      </c>
      <c r="D224">
        <v>6</v>
      </c>
      <c r="E224">
        <v>3</v>
      </c>
      <c r="F224">
        <v>47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1529</v>
      </c>
      <c r="P224">
        <f t="shared" si="10"/>
        <v>0</v>
      </c>
      <c r="Q224">
        <f t="shared" si="11"/>
        <v>0</v>
      </c>
    </row>
    <row r="225" spans="1:17" x14ac:dyDescent="0.25">
      <c r="A225" t="str">
        <f t="shared" si="9"/>
        <v>Levi Colwill</v>
      </c>
      <c r="B225" t="s">
        <v>310</v>
      </c>
      <c r="C225" t="s">
        <v>1530</v>
      </c>
      <c r="D225">
        <v>6</v>
      </c>
      <c r="E225">
        <v>2</v>
      </c>
      <c r="F225">
        <v>44</v>
      </c>
      <c r="G225">
        <v>3150</v>
      </c>
      <c r="H225">
        <v>35</v>
      </c>
      <c r="I225">
        <v>2</v>
      </c>
      <c r="J225">
        <v>1</v>
      </c>
      <c r="K225">
        <v>1.92</v>
      </c>
      <c r="L225">
        <v>1.31</v>
      </c>
      <c r="M225">
        <v>109</v>
      </c>
      <c r="N225">
        <v>461</v>
      </c>
      <c r="O225" t="s">
        <v>1530</v>
      </c>
      <c r="P225">
        <f t="shared" si="10"/>
        <v>5.4857142857142854E-2</v>
      </c>
      <c r="Q225">
        <f t="shared" si="11"/>
        <v>3.7428571428571429E-2</v>
      </c>
    </row>
    <row r="226" spans="1:17" x14ac:dyDescent="0.25">
      <c r="A226" t="str">
        <f t="shared" si="9"/>
        <v>Marc Cucurella Saseta</v>
      </c>
      <c r="B226" t="s">
        <v>340</v>
      </c>
      <c r="C226" t="s">
        <v>1531</v>
      </c>
      <c r="D226">
        <v>6</v>
      </c>
      <c r="E226">
        <v>2</v>
      </c>
      <c r="F226">
        <v>54</v>
      </c>
      <c r="G226">
        <v>2988</v>
      </c>
      <c r="H226">
        <v>33</v>
      </c>
      <c r="I226">
        <v>5</v>
      </c>
      <c r="J226">
        <v>2</v>
      </c>
      <c r="K226">
        <v>2.79</v>
      </c>
      <c r="L226">
        <v>2.39</v>
      </c>
      <c r="M226">
        <v>133</v>
      </c>
      <c r="N226">
        <v>533</v>
      </c>
      <c r="O226" t="s">
        <v>2682</v>
      </c>
      <c r="P226">
        <f t="shared" si="10"/>
        <v>8.4036144578313252E-2</v>
      </c>
      <c r="Q226">
        <f t="shared" si="11"/>
        <v>7.1987951807228917E-2</v>
      </c>
    </row>
    <row r="227" spans="1:17" x14ac:dyDescent="0.25">
      <c r="A227" t="str">
        <f t="shared" si="9"/>
        <v>David Datro Fofana</v>
      </c>
      <c r="B227" t="s">
        <v>1502</v>
      </c>
      <c r="C227" t="s">
        <v>303</v>
      </c>
      <c r="D227">
        <v>6</v>
      </c>
      <c r="E227">
        <v>4</v>
      </c>
      <c r="F227">
        <v>54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2683</v>
      </c>
      <c r="P227">
        <f t="shared" si="10"/>
        <v>0</v>
      </c>
      <c r="Q227">
        <f t="shared" si="11"/>
        <v>0</v>
      </c>
    </row>
    <row r="228" spans="1:17" x14ac:dyDescent="0.25">
      <c r="A228" t="str">
        <f t="shared" si="9"/>
        <v>Deivid Washington de Souza Eugênio</v>
      </c>
      <c r="B228" t="s">
        <v>1551</v>
      </c>
      <c r="C228" t="s">
        <v>1552</v>
      </c>
      <c r="D228">
        <v>6</v>
      </c>
      <c r="E228">
        <v>4</v>
      </c>
      <c r="F228">
        <v>49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2684</v>
      </c>
      <c r="P228">
        <f t="shared" si="10"/>
        <v>0</v>
      </c>
      <c r="Q228">
        <f t="shared" si="11"/>
        <v>0</v>
      </c>
    </row>
    <row r="229" spans="1:17" x14ac:dyDescent="0.25">
      <c r="A229" t="str">
        <f t="shared" si="9"/>
        <v>Kiernan Dewsbury-Hall</v>
      </c>
      <c r="B229" t="s">
        <v>484</v>
      </c>
      <c r="C229" t="s">
        <v>485</v>
      </c>
      <c r="D229">
        <v>6</v>
      </c>
      <c r="E229">
        <v>3</v>
      </c>
      <c r="F229">
        <v>55</v>
      </c>
      <c r="G229">
        <v>257</v>
      </c>
      <c r="H229">
        <v>2</v>
      </c>
      <c r="I229">
        <v>0</v>
      </c>
      <c r="J229">
        <v>1</v>
      </c>
      <c r="K229">
        <v>0.22</v>
      </c>
      <c r="L229">
        <v>0.22</v>
      </c>
      <c r="M229">
        <v>18</v>
      </c>
      <c r="N229">
        <v>71</v>
      </c>
      <c r="O229" t="s">
        <v>485</v>
      </c>
      <c r="P229">
        <f t="shared" si="10"/>
        <v>7.7042801556420223E-2</v>
      </c>
      <c r="Q229">
        <f t="shared" si="11"/>
        <v>7.7042801556420223E-2</v>
      </c>
    </row>
    <row r="230" spans="1:17" x14ac:dyDescent="0.25">
      <c r="A230" t="str">
        <f t="shared" si="9"/>
        <v>Enzo Fernández</v>
      </c>
      <c r="B230" t="s">
        <v>319</v>
      </c>
      <c r="C230" t="s">
        <v>320</v>
      </c>
      <c r="D230">
        <v>6</v>
      </c>
      <c r="E230">
        <v>3</v>
      </c>
      <c r="F230">
        <v>47</v>
      </c>
      <c r="G230">
        <v>2943</v>
      </c>
      <c r="H230">
        <v>32</v>
      </c>
      <c r="I230">
        <v>6</v>
      </c>
      <c r="J230">
        <v>8</v>
      </c>
      <c r="K230">
        <v>6.23</v>
      </c>
      <c r="L230">
        <v>6.11</v>
      </c>
      <c r="M230">
        <v>135</v>
      </c>
      <c r="N230">
        <v>691</v>
      </c>
      <c r="O230" t="s">
        <v>319</v>
      </c>
      <c r="P230">
        <f t="shared" si="10"/>
        <v>0.19051987767584097</v>
      </c>
      <c r="Q230">
        <f t="shared" si="11"/>
        <v>0.18685015290519877</v>
      </c>
    </row>
    <row r="231" spans="1:17" x14ac:dyDescent="0.25">
      <c r="A231" t="str">
        <f t="shared" si="9"/>
        <v>Conor Gallagher</v>
      </c>
      <c r="B231" t="s">
        <v>708</v>
      </c>
      <c r="C231" t="s">
        <v>969</v>
      </c>
      <c r="D231">
        <v>6</v>
      </c>
      <c r="E231">
        <v>3</v>
      </c>
      <c r="F231">
        <v>59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969</v>
      </c>
      <c r="P231">
        <f t="shared" si="10"/>
        <v>0</v>
      </c>
      <c r="Q231">
        <f t="shared" si="11"/>
        <v>0</v>
      </c>
    </row>
    <row r="232" spans="1:17" x14ac:dyDescent="0.25">
      <c r="A232" t="str">
        <f t="shared" si="9"/>
        <v>Alfie Gilchrist</v>
      </c>
      <c r="B232" t="s">
        <v>507</v>
      </c>
      <c r="C232" t="s">
        <v>1556</v>
      </c>
      <c r="D232">
        <v>6</v>
      </c>
      <c r="E232">
        <v>2</v>
      </c>
      <c r="F232">
        <v>40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1556</v>
      </c>
      <c r="P232">
        <f t="shared" si="10"/>
        <v>0</v>
      </c>
      <c r="Q232">
        <f t="shared" si="11"/>
        <v>0</v>
      </c>
    </row>
    <row r="233" spans="1:17" x14ac:dyDescent="0.25">
      <c r="A233" t="str">
        <f t="shared" si="9"/>
        <v>Malo Gusto</v>
      </c>
      <c r="B233" t="s">
        <v>300</v>
      </c>
      <c r="C233" t="s">
        <v>301</v>
      </c>
      <c r="D233">
        <v>6</v>
      </c>
      <c r="E233">
        <v>2</v>
      </c>
      <c r="F233">
        <v>49</v>
      </c>
      <c r="G233">
        <v>1853</v>
      </c>
      <c r="H233">
        <v>19</v>
      </c>
      <c r="I233">
        <v>0</v>
      </c>
      <c r="J233">
        <v>1</v>
      </c>
      <c r="K233">
        <v>1.44</v>
      </c>
      <c r="L233">
        <v>1.91</v>
      </c>
      <c r="M233">
        <v>60</v>
      </c>
      <c r="N233">
        <v>285</v>
      </c>
      <c r="O233" t="s">
        <v>301</v>
      </c>
      <c r="P233">
        <f t="shared" si="10"/>
        <v>6.9940636805180784E-2</v>
      </c>
      <c r="Q233">
        <f t="shared" si="11"/>
        <v>9.2768483540205074E-2</v>
      </c>
    </row>
    <row r="234" spans="1:17" x14ac:dyDescent="0.25">
      <c r="A234" t="str">
        <f t="shared" si="9"/>
        <v>Reece James</v>
      </c>
      <c r="B234" t="s">
        <v>297</v>
      </c>
      <c r="C234" t="s">
        <v>135</v>
      </c>
      <c r="D234">
        <v>6</v>
      </c>
      <c r="E234">
        <v>2</v>
      </c>
      <c r="F234">
        <v>48</v>
      </c>
      <c r="G234">
        <v>1057</v>
      </c>
      <c r="H234">
        <v>12</v>
      </c>
      <c r="I234">
        <v>1</v>
      </c>
      <c r="J234">
        <v>2</v>
      </c>
      <c r="K234">
        <v>0.45</v>
      </c>
      <c r="L234">
        <v>1.1499999999999999</v>
      </c>
      <c r="M234">
        <v>54</v>
      </c>
      <c r="N234">
        <v>223</v>
      </c>
      <c r="O234" t="s">
        <v>135</v>
      </c>
      <c r="P234">
        <f t="shared" si="10"/>
        <v>3.8315988647114475E-2</v>
      </c>
      <c r="Q234">
        <f t="shared" si="11"/>
        <v>9.7918637653736998E-2</v>
      </c>
    </row>
    <row r="235" spans="1:17" x14ac:dyDescent="0.25">
      <c r="A235" t="str">
        <f t="shared" si="9"/>
        <v>Omari Kellyman</v>
      </c>
      <c r="B235" t="s">
        <v>909</v>
      </c>
      <c r="C235" t="s">
        <v>1327</v>
      </c>
      <c r="D235">
        <v>6</v>
      </c>
      <c r="E235">
        <v>3</v>
      </c>
      <c r="F235">
        <v>43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1327</v>
      </c>
      <c r="P235">
        <f t="shared" si="10"/>
        <v>0</v>
      </c>
      <c r="Q235">
        <f t="shared" si="11"/>
        <v>0</v>
      </c>
    </row>
    <row r="236" spans="1:17" x14ac:dyDescent="0.25">
      <c r="A236" t="str">
        <f t="shared" si="9"/>
        <v>Roméo Lavia</v>
      </c>
      <c r="B236" t="s">
        <v>329</v>
      </c>
      <c r="C236" t="s">
        <v>330</v>
      </c>
      <c r="D236">
        <v>6</v>
      </c>
      <c r="E236">
        <v>3</v>
      </c>
      <c r="F236">
        <v>45</v>
      </c>
      <c r="G236">
        <v>792</v>
      </c>
      <c r="H236">
        <v>11</v>
      </c>
      <c r="I236">
        <v>0</v>
      </c>
      <c r="J236">
        <v>1</v>
      </c>
      <c r="K236">
        <v>0.25</v>
      </c>
      <c r="L236">
        <v>0.38</v>
      </c>
      <c r="M236">
        <v>26</v>
      </c>
      <c r="N236">
        <v>125</v>
      </c>
      <c r="O236" t="s">
        <v>330</v>
      </c>
      <c r="P236">
        <f t="shared" si="10"/>
        <v>2.8409090909090912E-2</v>
      </c>
      <c r="Q236">
        <f t="shared" si="11"/>
        <v>4.3181818181818182E-2</v>
      </c>
    </row>
    <row r="237" spans="1:17" x14ac:dyDescent="0.25">
      <c r="A237" t="str">
        <f t="shared" si="9"/>
        <v>Romelu Lukaku Bolingoli</v>
      </c>
      <c r="B237" t="s">
        <v>1532</v>
      </c>
      <c r="C237" t="s">
        <v>1533</v>
      </c>
      <c r="D237">
        <v>6</v>
      </c>
      <c r="E237">
        <v>4</v>
      </c>
      <c r="F237">
        <v>63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2685</v>
      </c>
      <c r="P237">
        <f t="shared" si="10"/>
        <v>0</v>
      </c>
      <c r="Q237">
        <f t="shared" si="11"/>
        <v>0</v>
      </c>
    </row>
    <row r="238" spans="1:17" x14ac:dyDescent="0.25">
      <c r="A238" t="str">
        <f t="shared" si="9"/>
        <v>Malang Sarr</v>
      </c>
      <c r="B238" t="s">
        <v>1537</v>
      </c>
      <c r="C238" t="s">
        <v>312</v>
      </c>
      <c r="D238">
        <v>6</v>
      </c>
      <c r="E238">
        <v>2</v>
      </c>
      <c r="F238">
        <v>45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2686</v>
      </c>
      <c r="P238">
        <f t="shared" si="10"/>
        <v>0</v>
      </c>
      <c r="Q238">
        <f t="shared" si="11"/>
        <v>0</v>
      </c>
    </row>
    <row r="239" spans="1:17" x14ac:dyDescent="0.25">
      <c r="A239" t="str">
        <f t="shared" si="9"/>
        <v>Noni Madueke</v>
      </c>
      <c r="B239" t="s">
        <v>50</v>
      </c>
      <c r="C239" t="s">
        <v>51</v>
      </c>
      <c r="D239">
        <v>6</v>
      </c>
      <c r="E239">
        <v>3</v>
      </c>
      <c r="F239">
        <v>60</v>
      </c>
      <c r="G239">
        <v>2028</v>
      </c>
      <c r="H239">
        <v>27</v>
      </c>
      <c r="I239">
        <v>7</v>
      </c>
      <c r="J239">
        <v>5</v>
      </c>
      <c r="K239">
        <v>9.6199999999999992</v>
      </c>
      <c r="L239">
        <v>2.86</v>
      </c>
      <c r="M239">
        <v>120</v>
      </c>
      <c r="N239">
        <v>425</v>
      </c>
      <c r="O239" t="s">
        <v>51</v>
      </c>
      <c r="P239">
        <f t="shared" si="10"/>
        <v>0.42692307692307685</v>
      </c>
      <c r="Q239">
        <f t="shared" si="11"/>
        <v>0.12692307692307692</v>
      </c>
    </row>
    <row r="240" spans="1:17" x14ac:dyDescent="0.25">
      <c r="A240" t="str">
        <f t="shared" si="9"/>
        <v>Marc Guiu Paz</v>
      </c>
      <c r="B240" t="s">
        <v>340</v>
      </c>
      <c r="C240" t="s">
        <v>341</v>
      </c>
      <c r="D240">
        <v>6</v>
      </c>
      <c r="E240">
        <v>4</v>
      </c>
      <c r="F240">
        <v>47</v>
      </c>
      <c r="G240">
        <v>71</v>
      </c>
      <c r="H240">
        <v>0</v>
      </c>
      <c r="I240">
        <v>0</v>
      </c>
      <c r="J240">
        <v>0</v>
      </c>
      <c r="K240">
        <v>0</v>
      </c>
      <c r="L240">
        <v>0.02</v>
      </c>
      <c r="M240">
        <v>3</v>
      </c>
      <c r="N240">
        <v>11</v>
      </c>
      <c r="O240" t="s">
        <v>2687</v>
      </c>
      <c r="P240">
        <f t="shared" si="10"/>
        <v>0</v>
      </c>
      <c r="Q240">
        <f t="shared" si="11"/>
        <v>2.5352112676056339E-2</v>
      </c>
    </row>
    <row r="241" spans="1:17" x14ac:dyDescent="0.25">
      <c r="A241" t="str">
        <f t="shared" si="9"/>
        <v>Mykhailo Mudryk</v>
      </c>
      <c r="B241" t="s">
        <v>353</v>
      </c>
      <c r="C241" t="s">
        <v>354</v>
      </c>
      <c r="D241">
        <v>6</v>
      </c>
      <c r="E241">
        <v>3</v>
      </c>
      <c r="F241">
        <v>61</v>
      </c>
      <c r="G241">
        <v>145</v>
      </c>
      <c r="H241">
        <v>1</v>
      </c>
      <c r="I241">
        <v>0</v>
      </c>
      <c r="J241">
        <v>0</v>
      </c>
      <c r="K241">
        <v>0.24</v>
      </c>
      <c r="L241">
        <v>0.66</v>
      </c>
      <c r="M241">
        <v>7</v>
      </c>
      <c r="N241">
        <v>26</v>
      </c>
      <c r="O241" t="s">
        <v>354</v>
      </c>
      <c r="P241">
        <f t="shared" si="10"/>
        <v>0.1489655172413793</v>
      </c>
      <c r="Q241">
        <f t="shared" si="11"/>
        <v>0.40965517241379312</v>
      </c>
    </row>
    <row r="242" spans="1:17" x14ac:dyDescent="0.25">
      <c r="A242" t="str">
        <f t="shared" si="9"/>
        <v>Nicolas Jackson</v>
      </c>
      <c r="B242" t="s">
        <v>336</v>
      </c>
      <c r="C242" t="s">
        <v>337</v>
      </c>
      <c r="D242">
        <v>6</v>
      </c>
      <c r="E242">
        <v>4</v>
      </c>
      <c r="F242">
        <v>77</v>
      </c>
      <c r="G242">
        <v>2220</v>
      </c>
      <c r="H242">
        <v>28</v>
      </c>
      <c r="I242">
        <v>10</v>
      </c>
      <c r="J242">
        <v>6</v>
      </c>
      <c r="K242">
        <v>11.68</v>
      </c>
      <c r="L242">
        <v>1.9</v>
      </c>
      <c r="M242">
        <v>121</v>
      </c>
      <c r="N242">
        <v>417</v>
      </c>
      <c r="O242" t="s">
        <v>2688</v>
      </c>
      <c r="P242">
        <f t="shared" si="10"/>
        <v>0.47351351351351351</v>
      </c>
      <c r="Q242">
        <f t="shared" si="11"/>
        <v>7.7027027027027017E-2</v>
      </c>
    </row>
    <row r="243" spans="1:17" x14ac:dyDescent="0.25">
      <c r="A243" t="str">
        <f t="shared" si="9"/>
        <v>Christopher Nkunku</v>
      </c>
      <c r="B243" t="s">
        <v>1534</v>
      </c>
      <c r="C243" t="s">
        <v>1535</v>
      </c>
      <c r="D243">
        <v>6</v>
      </c>
      <c r="E243">
        <v>3</v>
      </c>
      <c r="F243">
        <v>57</v>
      </c>
      <c r="G243">
        <v>904</v>
      </c>
      <c r="H243">
        <v>9</v>
      </c>
      <c r="I243">
        <v>3</v>
      </c>
      <c r="J243">
        <v>2</v>
      </c>
      <c r="K243">
        <v>5.1100000000000003</v>
      </c>
      <c r="L243">
        <v>1.01</v>
      </c>
      <c r="M243">
        <v>60</v>
      </c>
      <c r="N243">
        <v>190</v>
      </c>
      <c r="O243" t="s">
        <v>1535</v>
      </c>
      <c r="P243">
        <f t="shared" si="10"/>
        <v>0.50873893805309733</v>
      </c>
      <c r="Q243">
        <f t="shared" si="11"/>
        <v>0.10055309734513275</v>
      </c>
    </row>
    <row r="244" spans="1:17" x14ac:dyDescent="0.25">
      <c r="A244" t="str">
        <f t="shared" si="9"/>
        <v>Cole Palmer</v>
      </c>
      <c r="B244" t="s">
        <v>317</v>
      </c>
      <c r="C244" t="s">
        <v>318</v>
      </c>
      <c r="D244">
        <v>6</v>
      </c>
      <c r="E244">
        <v>3</v>
      </c>
      <c r="F244">
        <v>105</v>
      </c>
      <c r="G244">
        <v>3193</v>
      </c>
      <c r="H244">
        <v>36</v>
      </c>
      <c r="I244">
        <v>15</v>
      </c>
      <c r="J244">
        <v>10</v>
      </c>
      <c r="K244">
        <v>16.79</v>
      </c>
      <c r="L244">
        <v>9.5299999999999994</v>
      </c>
      <c r="M244">
        <v>214</v>
      </c>
      <c r="N244">
        <v>952</v>
      </c>
      <c r="O244" t="s">
        <v>318</v>
      </c>
      <c r="P244">
        <f t="shared" si="10"/>
        <v>0.473253993109928</v>
      </c>
      <c r="Q244">
        <f t="shared" si="11"/>
        <v>0.26861885374256184</v>
      </c>
    </row>
    <row r="245" spans="1:17" x14ac:dyDescent="0.25">
      <c r="A245" t="str">
        <f t="shared" si="9"/>
        <v>Đorđe Petrović</v>
      </c>
      <c r="B245" t="s">
        <v>129</v>
      </c>
      <c r="C245" t="s">
        <v>130</v>
      </c>
      <c r="D245">
        <v>6</v>
      </c>
      <c r="E245">
        <v>1</v>
      </c>
      <c r="F245">
        <v>44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130</v>
      </c>
      <c r="P245">
        <f t="shared" si="10"/>
        <v>0</v>
      </c>
      <c r="Q245">
        <f t="shared" si="11"/>
        <v>0</v>
      </c>
    </row>
    <row r="246" spans="1:17" x14ac:dyDescent="0.25">
      <c r="A246" t="str">
        <f t="shared" si="9"/>
        <v>Renato Palma Veiga</v>
      </c>
      <c r="B246" t="s">
        <v>2184</v>
      </c>
      <c r="C246" t="s">
        <v>2185</v>
      </c>
      <c r="D246">
        <v>6</v>
      </c>
      <c r="E246">
        <v>3</v>
      </c>
      <c r="F246">
        <v>44</v>
      </c>
      <c r="G246">
        <v>176</v>
      </c>
      <c r="H246">
        <v>1</v>
      </c>
      <c r="I246">
        <v>0</v>
      </c>
      <c r="J246">
        <v>0</v>
      </c>
      <c r="K246">
        <v>0.16</v>
      </c>
      <c r="L246">
        <v>0.15</v>
      </c>
      <c r="M246">
        <v>7</v>
      </c>
      <c r="N246">
        <v>22</v>
      </c>
      <c r="O246" t="s">
        <v>2689</v>
      </c>
      <c r="P246">
        <f t="shared" si="10"/>
        <v>8.1818181818181818E-2</v>
      </c>
      <c r="Q246">
        <f t="shared" si="11"/>
        <v>7.6704545454545456E-2</v>
      </c>
    </row>
    <row r="247" spans="1:17" x14ac:dyDescent="0.25">
      <c r="A247" t="str">
        <f t="shared" si="9"/>
        <v>Robert Sánchez</v>
      </c>
      <c r="B247" t="s">
        <v>293</v>
      </c>
      <c r="C247" t="s">
        <v>180</v>
      </c>
      <c r="D247">
        <v>6</v>
      </c>
      <c r="E247">
        <v>1</v>
      </c>
      <c r="F247">
        <v>45</v>
      </c>
      <c r="G247">
        <v>2880</v>
      </c>
      <c r="H247">
        <v>32</v>
      </c>
      <c r="I247">
        <v>0</v>
      </c>
      <c r="J247">
        <v>0</v>
      </c>
      <c r="K247">
        <v>0</v>
      </c>
      <c r="L247">
        <v>0.02</v>
      </c>
      <c r="M247">
        <v>126</v>
      </c>
      <c r="N247">
        <v>470</v>
      </c>
      <c r="O247" t="s">
        <v>180</v>
      </c>
      <c r="P247">
        <f t="shared" si="10"/>
        <v>0</v>
      </c>
      <c r="Q247">
        <f t="shared" si="11"/>
        <v>6.2500000000000001E-4</v>
      </c>
    </row>
    <row r="248" spans="1:17" x14ac:dyDescent="0.25">
      <c r="A248" t="str">
        <f t="shared" si="9"/>
        <v>Tosin Adarabioyo</v>
      </c>
      <c r="B248" t="s">
        <v>306</v>
      </c>
      <c r="C248" t="s">
        <v>307</v>
      </c>
      <c r="D248">
        <v>6</v>
      </c>
      <c r="E248">
        <v>2</v>
      </c>
      <c r="F248">
        <v>42</v>
      </c>
      <c r="G248">
        <v>1403</v>
      </c>
      <c r="H248">
        <v>15</v>
      </c>
      <c r="I248">
        <v>1</v>
      </c>
      <c r="J248">
        <v>1</v>
      </c>
      <c r="K248">
        <v>0.93</v>
      </c>
      <c r="L248">
        <v>0.23</v>
      </c>
      <c r="M248">
        <v>71</v>
      </c>
      <c r="N248">
        <v>305</v>
      </c>
      <c r="O248" t="s">
        <v>306</v>
      </c>
      <c r="P248">
        <f t="shared" si="10"/>
        <v>5.9657875980042768E-2</v>
      </c>
      <c r="Q248">
        <f t="shared" si="11"/>
        <v>1.4754098360655738E-2</v>
      </c>
    </row>
    <row r="249" spans="1:17" x14ac:dyDescent="0.25">
      <c r="A249" t="str">
        <f t="shared" si="9"/>
        <v>Wesley Fofana</v>
      </c>
      <c r="B249" t="s">
        <v>302</v>
      </c>
      <c r="C249" t="s">
        <v>303</v>
      </c>
      <c r="D249">
        <v>6</v>
      </c>
      <c r="E249">
        <v>2</v>
      </c>
      <c r="F249">
        <v>43</v>
      </c>
      <c r="G249">
        <v>1172</v>
      </c>
      <c r="H249">
        <v>14</v>
      </c>
      <c r="I249">
        <v>0</v>
      </c>
      <c r="J249">
        <v>0</v>
      </c>
      <c r="K249">
        <v>0.44</v>
      </c>
      <c r="L249">
        <v>0.18</v>
      </c>
      <c r="M249">
        <v>26</v>
      </c>
      <c r="N249">
        <v>162</v>
      </c>
      <c r="O249" t="s">
        <v>2690</v>
      </c>
      <c r="P249">
        <f t="shared" si="10"/>
        <v>3.3788395904436858E-2</v>
      </c>
      <c r="Q249">
        <f t="shared" si="11"/>
        <v>1.3822525597269625E-2</v>
      </c>
    </row>
    <row r="250" spans="1:17" x14ac:dyDescent="0.25">
      <c r="A250" t="str">
        <f t="shared" si="9"/>
        <v>Jadon Sancho</v>
      </c>
      <c r="B250" t="s">
        <v>1816</v>
      </c>
      <c r="C250" t="s">
        <v>1817</v>
      </c>
      <c r="D250">
        <v>6</v>
      </c>
      <c r="E250">
        <v>3</v>
      </c>
      <c r="F250">
        <v>62</v>
      </c>
      <c r="G250">
        <v>1754</v>
      </c>
      <c r="H250">
        <v>19</v>
      </c>
      <c r="I250">
        <v>3</v>
      </c>
      <c r="J250">
        <v>5</v>
      </c>
      <c r="K250">
        <v>2.13</v>
      </c>
      <c r="L250">
        <v>3.1</v>
      </c>
      <c r="M250">
        <v>86</v>
      </c>
      <c r="N250">
        <v>367</v>
      </c>
      <c r="O250" t="s">
        <v>1817</v>
      </c>
      <c r="P250">
        <f t="shared" si="10"/>
        <v>0.10929304446978334</v>
      </c>
      <c r="Q250">
        <f t="shared" si="11"/>
        <v>0.15906499429874574</v>
      </c>
    </row>
    <row r="251" spans="1:17" x14ac:dyDescent="0.25">
      <c r="A251" t="str">
        <f t="shared" si="9"/>
        <v>Pedro Lomba Neto</v>
      </c>
      <c r="B251" t="s">
        <v>321</v>
      </c>
      <c r="C251" t="s">
        <v>322</v>
      </c>
      <c r="D251">
        <v>6</v>
      </c>
      <c r="E251">
        <v>3</v>
      </c>
      <c r="F251">
        <v>61</v>
      </c>
      <c r="G251">
        <v>2262</v>
      </c>
      <c r="H251">
        <v>24</v>
      </c>
      <c r="I251">
        <v>4</v>
      </c>
      <c r="J251">
        <v>6</v>
      </c>
      <c r="K251">
        <v>3.48</v>
      </c>
      <c r="L251">
        <v>4.47</v>
      </c>
      <c r="M251">
        <v>104</v>
      </c>
      <c r="N251">
        <v>434</v>
      </c>
      <c r="O251" t="s">
        <v>2646</v>
      </c>
      <c r="P251">
        <f t="shared" si="10"/>
        <v>0.13846153846153847</v>
      </c>
      <c r="Q251">
        <f t="shared" si="11"/>
        <v>0.17785145888594164</v>
      </c>
    </row>
    <row r="252" spans="1:17" x14ac:dyDescent="0.25">
      <c r="A252" t="str">
        <f t="shared" si="9"/>
        <v>Caleb Wiley</v>
      </c>
      <c r="B252" t="s">
        <v>407</v>
      </c>
      <c r="C252" t="s">
        <v>2186</v>
      </c>
      <c r="D252">
        <v>6</v>
      </c>
      <c r="E252">
        <v>2</v>
      </c>
      <c r="F252">
        <v>40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2186</v>
      </c>
      <c r="P252">
        <f t="shared" si="10"/>
        <v>0</v>
      </c>
      <c r="Q252">
        <f t="shared" si="11"/>
        <v>0</v>
      </c>
    </row>
    <row r="253" spans="1:17" x14ac:dyDescent="0.25">
      <c r="A253" t="str">
        <f t="shared" si="9"/>
        <v>Filip Jørgensen</v>
      </c>
      <c r="B253" t="s">
        <v>295</v>
      </c>
      <c r="C253" t="s">
        <v>2187</v>
      </c>
      <c r="D253">
        <v>6</v>
      </c>
      <c r="E253">
        <v>1</v>
      </c>
      <c r="F253">
        <v>42</v>
      </c>
      <c r="G253">
        <v>540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18</v>
      </c>
      <c r="N253">
        <v>59</v>
      </c>
      <c r="O253" t="s">
        <v>2187</v>
      </c>
      <c r="P253">
        <f t="shared" si="10"/>
        <v>0</v>
      </c>
      <c r="Q253">
        <f t="shared" si="11"/>
        <v>0</v>
      </c>
    </row>
    <row r="254" spans="1:17" x14ac:dyDescent="0.25">
      <c r="A254" t="str">
        <f t="shared" si="9"/>
        <v>João Félix Sequeira</v>
      </c>
      <c r="B254" t="s">
        <v>1626</v>
      </c>
      <c r="C254" t="s">
        <v>2188</v>
      </c>
      <c r="D254">
        <v>6</v>
      </c>
      <c r="E254">
        <v>3</v>
      </c>
      <c r="F254">
        <v>59</v>
      </c>
      <c r="G254">
        <v>362</v>
      </c>
      <c r="H254">
        <v>3</v>
      </c>
      <c r="I254">
        <v>1</v>
      </c>
      <c r="J254">
        <v>2</v>
      </c>
      <c r="K254">
        <v>2.2999999999999998</v>
      </c>
      <c r="L254">
        <v>0.45</v>
      </c>
      <c r="M254">
        <v>24</v>
      </c>
      <c r="N254">
        <v>90</v>
      </c>
      <c r="O254" t="s">
        <v>2691</v>
      </c>
      <c r="P254">
        <f t="shared" si="10"/>
        <v>0.57182320441988943</v>
      </c>
      <c r="Q254">
        <f t="shared" si="11"/>
        <v>0.11187845303867404</v>
      </c>
    </row>
    <row r="255" spans="1:17" x14ac:dyDescent="0.25">
      <c r="A255" t="str">
        <f t="shared" si="9"/>
        <v>Samuel Rak-Sakyi</v>
      </c>
      <c r="B255" t="s">
        <v>109</v>
      </c>
      <c r="C255" t="s">
        <v>447</v>
      </c>
      <c r="D255">
        <v>6</v>
      </c>
      <c r="E255">
        <v>3</v>
      </c>
      <c r="F255">
        <v>45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447</v>
      </c>
      <c r="P255">
        <f t="shared" si="10"/>
        <v>0</v>
      </c>
      <c r="Q255">
        <f t="shared" si="11"/>
        <v>0</v>
      </c>
    </row>
    <row r="256" spans="1:17" x14ac:dyDescent="0.25">
      <c r="A256" t="str">
        <f t="shared" si="9"/>
        <v>Tyrique George</v>
      </c>
      <c r="B256" t="s">
        <v>491</v>
      </c>
      <c r="C256" t="s">
        <v>113</v>
      </c>
      <c r="D256">
        <v>6</v>
      </c>
      <c r="E256">
        <v>3</v>
      </c>
      <c r="F256">
        <v>45</v>
      </c>
      <c r="G256">
        <v>177</v>
      </c>
      <c r="H256">
        <v>1</v>
      </c>
      <c r="I256">
        <v>1</v>
      </c>
      <c r="J256">
        <v>1</v>
      </c>
      <c r="K256">
        <v>0.2</v>
      </c>
      <c r="L256">
        <v>0.26</v>
      </c>
      <c r="M256">
        <v>17</v>
      </c>
      <c r="N256">
        <v>55</v>
      </c>
      <c r="O256" t="s">
        <v>113</v>
      </c>
      <c r="P256">
        <f t="shared" si="10"/>
        <v>0.10169491525423729</v>
      </c>
      <c r="Q256">
        <f t="shared" si="11"/>
        <v>0.13220338983050847</v>
      </c>
    </row>
    <row r="257" spans="1:17" x14ac:dyDescent="0.25">
      <c r="A257" t="str">
        <f t="shared" si="9"/>
        <v>Josh Acheampong</v>
      </c>
      <c r="B257" t="s">
        <v>219</v>
      </c>
      <c r="C257" t="s">
        <v>313</v>
      </c>
      <c r="D257">
        <v>6</v>
      </c>
      <c r="E257">
        <v>2</v>
      </c>
      <c r="F257">
        <v>40</v>
      </c>
      <c r="G257">
        <v>168</v>
      </c>
      <c r="H257">
        <v>2</v>
      </c>
      <c r="I257">
        <v>0</v>
      </c>
      <c r="J257">
        <v>0</v>
      </c>
      <c r="K257">
        <v>0.22</v>
      </c>
      <c r="L257">
        <v>0.01</v>
      </c>
      <c r="M257">
        <v>4</v>
      </c>
      <c r="N257">
        <v>8</v>
      </c>
      <c r="O257" t="s">
        <v>313</v>
      </c>
      <c r="P257">
        <f t="shared" si="10"/>
        <v>0.11785714285714285</v>
      </c>
      <c r="Q257">
        <f t="shared" si="11"/>
        <v>5.3571428571428572E-3</v>
      </c>
    </row>
    <row r="258" spans="1:17" x14ac:dyDescent="0.25">
      <c r="A258" t="str">
        <f t="shared" ref="A258:A321" si="12">_xlfn.CONCAT(B258, " ", C258)</f>
        <v>Enzo Maresca</v>
      </c>
      <c r="B258" t="s">
        <v>319</v>
      </c>
      <c r="C258" t="s">
        <v>2189</v>
      </c>
      <c r="D258">
        <v>6</v>
      </c>
      <c r="E258">
        <v>5</v>
      </c>
      <c r="F258">
        <v>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94</v>
      </c>
      <c r="N258">
        <v>0</v>
      </c>
      <c r="O258" t="s">
        <v>2189</v>
      </c>
      <c r="P258">
        <f t="shared" ref="P258:P321" si="13">IFERROR(K258/G258*90,0)</f>
        <v>0</v>
      </c>
      <c r="Q258">
        <f t="shared" ref="Q258:Q321" si="14">IFERROR(L258/G258*90,0)</f>
        <v>0</v>
      </c>
    </row>
    <row r="259" spans="1:17" x14ac:dyDescent="0.25">
      <c r="A259" t="str">
        <f t="shared" si="12"/>
        <v>Mathis Amougou</v>
      </c>
      <c r="B259" t="s">
        <v>2190</v>
      </c>
      <c r="C259" t="s">
        <v>2191</v>
      </c>
      <c r="D259">
        <v>6</v>
      </c>
      <c r="E259">
        <v>3</v>
      </c>
      <c r="F259">
        <v>45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2</v>
      </c>
      <c r="O259" t="s">
        <v>2191</v>
      </c>
      <c r="P259">
        <f t="shared" si="13"/>
        <v>0</v>
      </c>
      <c r="Q259">
        <f t="shared" si="14"/>
        <v>0</v>
      </c>
    </row>
    <row r="260" spans="1:17" x14ac:dyDescent="0.25">
      <c r="A260" t="str">
        <f t="shared" si="12"/>
        <v>Aaron Anselmino</v>
      </c>
      <c r="B260" t="s">
        <v>197</v>
      </c>
      <c r="C260" t="s">
        <v>350</v>
      </c>
      <c r="D260">
        <v>6</v>
      </c>
      <c r="E260">
        <v>2</v>
      </c>
      <c r="F260">
        <v>40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350</v>
      </c>
      <c r="P260">
        <f t="shared" si="13"/>
        <v>0</v>
      </c>
      <c r="Q260">
        <f t="shared" si="14"/>
        <v>0</v>
      </c>
    </row>
    <row r="261" spans="1:17" x14ac:dyDescent="0.25">
      <c r="A261" t="str">
        <f t="shared" si="12"/>
        <v>Shumaira Mheuka</v>
      </c>
      <c r="B261" t="s">
        <v>342</v>
      </c>
      <c r="C261" t="s">
        <v>343</v>
      </c>
      <c r="D261">
        <v>6</v>
      </c>
      <c r="E261">
        <v>4</v>
      </c>
      <c r="F261">
        <v>45</v>
      </c>
      <c r="G261">
        <v>1</v>
      </c>
      <c r="H261">
        <v>0</v>
      </c>
      <c r="I261">
        <v>0</v>
      </c>
      <c r="J261">
        <v>0</v>
      </c>
      <c r="K261">
        <v>0.06</v>
      </c>
      <c r="L261">
        <v>0</v>
      </c>
      <c r="M261">
        <v>1</v>
      </c>
      <c r="N261">
        <v>5</v>
      </c>
      <c r="O261" t="s">
        <v>343</v>
      </c>
      <c r="P261">
        <f t="shared" si="13"/>
        <v>5.3999999999999995</v>
      </c>
      <c r="Q261">
        <f t="shared" si="14"/>
        <v>0</v>
      </c>
    </row>
    <row r="262" spans="1:17" x14ac:dyDescent="0.25">
      <c r="A262" t="str">
        <f t="shared" si="12"/>
        <v>Ishé Samuels-Smith</v>
      </c>
      <c r="B262" t="s">
        <v>1564</v>
      </c>
      <c r="C262" t="s">
        <v>1565</v>
      </c>
      <c r="D262">
        <v>6</v>
      </c>
      <c r="E262">
        <v>2</v>
      </c>
      <c r="F262">
        <v>40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1565</v>
      </c>
      <c r="P262">
        <f t="shared" si="13"/>
        <v>0</v>
      </c>
      <c r="Q262">
        <f t="shared" si="14"/>
        <v>0</v>
      </c>
    </row>
    <row r="263" spans="1:17" x14ac:dyDescent="0.25">
      <c r="A263" t="str">
        <f t="shared" si="12"/>
        <v>Genesis Antwi</v>
      </c>
      <c r="B263" t="s">
        <v>2192</v>
      </c>
      <c r="C263" t="s">
        <v>2193</v>
      </c>
      <c r="D263">
        <v>6</v>
      </c>
      <c r="E263">
        <v>2</v>
      </c>
      <c r="F263">
        <v>40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2692</v>
      </c>
      <c r="P263">
        <f t="shared" si="13"/>
        <v>0</v>
      </c>
      <c r="Q263">
        <f t="shared" si="14"/>
        <v>0</v>
      </c>
    </row>
    <row r="264" spans="1:17" x14ac:dyDescent="0.25">
      <c r="A264" t="str">
        <f t="shared" si="12"/>
        <v>Eddie Nketiah</v>
      </c>
      <c r="B264" t="s">
        <v>456</v>
      </c>
      <c r="C264" t="s">
        <v>457</v>
      </c>
      <c r="D264">
        <v>7</v>
      </c>
      <c r="E264">
        <v>4</v>
      </c>
      <c r="F264">
        <v>59</v>
      </c>
      <c r="G264">
        <v>1018</v>
      </c>
      <c r="H264">
        <v>9</v>
      </c>
      <c r="I264">
        <v>3</v>
      </c>
      <c r="J264">
        <v>2</v>
      </c>
      <c r="K264">
        <v>5.94</v>
      </c>
      <c r="L264">
        <v>0.83</v>
      </c>
      <c r="M264">
        <v>53</v>
      </c>
      <c r="N264">
        <v>186</v>
      </c>
      <c r="O264" t="s">
        <v>457</v>
      </c>
      <c r="P264">
        <f t="shared" si="13"/>
        <v>0.52514734774066796</v>
      </c>
      <c r="Q264">
        <f t="shared" si="14"/>
        <v>7.337917485265226E-2</v>
      </c>
    </row>
    <row r="265" spans="1:17" x14ac:dyDescent="0.25">
      <c r="A265" t="str">
        <f t="shared" si="12"/>
        <v>Ben Chilwell</v>
      </c>
      <c r="B265" t="s">
        <v>159</v>
      </c>
      <c r="C265" t="s">
        <v>1527</v>
      </c>
      <c r="D265">
        <v>7</v>
      </c>
      <c r="E265">
        <v>2</v>
      </c>
      <c r="F265">
        <v>46</v>
      </c>
      <c r="G265">
        <v>254</v>
      </c>
      <c r="H265">
        <v>1</v>
      </c>
      <c r="I265">
        <v>1</v>
      </c>
      <c r="J265">
        <v>0</v>
      </c>
      <c r="K265">
        <v>0.25</v>
      </c>
      <c r="L265">
        <v>0.88</v>
      </c>
      <c r="M265">
        <v>13</v>
      </c>
      <c r="N265">
        <v>54</v>
      </c>
      <c r="O265" t="s">
        <v>1527</v>
      </c>
      <c r="P265">
        <f t="shared" si="13"/>
        <v>8.8582677165354326E-2</v>
      </c>
      <c r="Q265">
        <f t="shared" si="14"/>
        <v>0.31181102362204727</v>
      </c>
    </row>
    <row r="266" spans="1:17" x14ac:dyDescent="0.25">
      <c r="A266" t="str">
        <f t="shared" si="12"/>
        <v>Naouirou Ahamada</v>
      </c>
      <c r="B266" t="s">
        <v>1578</v>
      </c>
      <c r="C266" t="s">
        <v>1579</v>
      </c>
      <c r="D266">
        <v>7</v>
      </c>
      <c r="E266">
        <v>3</v>
      </c>
      <c r="F266">
        <v>45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1579</v>
      </c>
      <c r="P266">
        <f t="shared" si="13"/>
        <v>0</v>
      </c>
      <c r="Q266">
        <f t="shared" si="14"/>
        <v>0</v>
      </c>
    </row>
    <row r="267" spans="1:17" x14ac:dyDescent="0.25">
      <c r="A267" t="str">
        <f t="shared" si="12"/>
        <v>Cheick Doucouré</v>
      </c>
      <c r="B267" t="s">
        <v>444</v>
      </c>
      <c r="C267" t="s">
        <v>445</v>
      </c>
      <c r="D267">
        <v>7</v>
      </c>
      <c r="E267">
        <v>3</v>
      </c>
      <c r="F267">
        <v>48</v>
      </c>
      <c r="G267">
        <v>443</v>
      </c>
      <c r="H267">
        <v>4</v>
      </c>
      <c r="I267">
        <v>0</v>
      </c>
      <c r="J267">
        <v>1</v>
      </c>
      <c r="K267">
        <v>0.4</v>
      </c>
      <c r="L267">
        <v>0.11</v>
      </c>
      <c r="M267">
        <v>19</v>
      </c>
      <c r="N267">
        <v>71</v>
      </c>
      <c r="O267" t="s">
        <v>2693</v>
      </c>
      <c r="P267">
        <f t="shared" si="13"/>
        <v>8.1264108352144468E-2</v>
      </c>
      <c r="Q267">
        <f t="shared" si="14"/>
        <v>2.234762979683973E-2</v>
      </c>
    </row>
    <row r="268" spans="1:17" x14ac:dyDescent="0.25">
      <c r="A268" t="str">
        <f t="shared" si="12"/>
        <v>Chris Richards</v>
      </c>
      <c r="B268" t="s">
        <v>418</v>
      </c>
      <c r="C268" t="s">
        <v>419</v>
      </c>
      <c r="D268">
        <v>7</v>
      </c>
      <c r="E268">
        <v>2</v>
      </c>
      <c r="F268">
        <v>44</v>
      </c>
      <c r="G268">
        <v>1921</v>
      </c>
      <c r="H268">
        <v>22</v>
      </c>
      <c r="I268">
        <v>1</v>
      </c>
      <c r="J268">
        <v>1</v>
      </c>
      <c r="K268">
        <v>1.33</v>
      </c>
      <c r="L268">
        <v>0.6</v>
      </c>
      <c r="M268">
        <v>68</v>
      </c>
      <c r="N268">
        <v>249</v>
      </c>
      <c r="O268" t="s">
        <v>2694</v>
      </c>
      <c r="P268">
        <f t="shared" si="13"/>
        <v>6.2311296199895894E-2</v>
      </c>
      <c r="Q268">
        <f t="shared" si="14"/>
        <v>2.8110359187922956E-2</v>
      </c>
    </row>
    <row r="269" spans="1:17" x14ac:dyDescent="0.25">
      <c r="A269" t="str">
        <f t="shared" si="12"/>
        <v>Chadi Riad Dnanou</v>
      </c>
      <c r="B269" t="s">
        <v>426</v>
      </c>
      <c r="C269" t="s">
        <v>427</v>
      </c>
      <c r="D269">
        <v>7</v>
      </c>
      <c r="E269">
        <v>2</v>
      </c>
      <c r="F269">
        <v>43</v>
      </c>
      <c r="G269">
        <v>90</v>
      </c>
      <c r="H269">
        <v>1</v>
      </c>
      <c r="I269">
        <v>0</v>
      </c>
      <c r="J269">
        <v>0</v>
      </c>
      <c r="K269">
        <v>0</v>
      </c>
      <c r="L269">
        <v>0.02</v>
      </c>
      <c r="M269">
        <v>1</v>
      </c>
      <c r="N269">
        <v>3</v>
      </c>
      <c r="O269" t="s">
        <v>2695</v>
      </c>
      <c r="P269">
        <f t="shared" si="13"/>
        <v>0</v>
      </c>
      <c r="Q269">
        <f t="shared" si="14"/>
        <v>0.02</v>
      </c>
    </row>
    <row r="270" spans="1:17" x14ac:dyDescent="0.25">
      <c r="A270" t="str">
        <f t="shared" si="12"/>
        <v>Nathaniel Clyne</v>
      </c>
      <c r="B270" t="s">
        <v>1581</v>
      </c>
      <c r="C270" t="s">
        <v>1582</v>
      </c>
      <c r="D270">
        <v>7</v>
      </c>
      <c r="E270">
        <v>2</v>
      </c>
      <c r="F270">
        <v>43</v>
      </c>
      <c r="G270">
        <v>477</v>
      </c>
      <c r="H270">
        <v>5</v>
      </c>
      <c r="I270">
        <v>0</v>
      </c>
      <c r="J270">
        <v>0</v>
      </c>
      <c r="K270">
        <v>0.02</v>
      </c>
      <c r="L270">
        <v>0.24</v>
      </c>
      <c r="M270">
        <v>18</v>
      </c>
      <c r="N270">
        <v>48</v>
      </c>
      <c r="O270" t="s">
        <v>1582</v>
      </c>
      <c r="P270">
        <f t="shared" si="13"/>
        <v>3.7735849056603774E-3</v>
      </c>
      <c r="Q270">
        <f t="shared" si="14"/>
        <v>4.5283018867924525E-2</v>
      </c>
    </row>
    <row r="271" spans="1:17" x14ac:dyDescent="0.25">
      <c r="A271" t="str">
        <f t="shared" si="12"/>
        <v>Malcolm Ebiowei</v>
      </c>
      <c r="B271" t="s">
        <v>1583</v>
      </c>
      <c r="C271" t="s">
        <v>1584</v>
      </c>
      <c r="D271">
        <v>7</v>
      </c>
      <c r="E271">
        <v>3</v>
      </c>
      <c r="F271">
        <v>45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1584</v>
      </c>
      <c r="P271">
        <f t="shared" si="13"/>
        <v>0</v>
      </c>
      <c r="Q271">
        <f t="shared" si="14"/>
        <v>0</v>
      </c>
    </row>
    <row r="272" spans="1:17" x14ac:dyDescent="0.25">
      <c r="A272" t="str">
        <f t="shared" si="12"/>
        <v>Eberechi Eze</v>
      </c>
      <c r="B272" t="s">
        <v>46</v>
      </c>
      <c r="C272" t="s">
        <v>47</v>
      </c>
      <c r="D272">
        <v>7</v>
      </c>
      <c r="E272">
        <v>3</v>
      </c>
      <c r="F272">
        <v>70</v>
      </c>
      <c r="G272">
        <v>2588</v>
      </c>
      <c r="H272">
        <v>31</v>
      </c>
      <c r="I272">
        <v>8</v>
      </c>
      <c r="J272">
        <v>8</v>
      </c>
      <c r="K272">
        <v>10.39</v>
      </c>
      <c r="L272">
        <v>4.67</v>
      </c>
      <c r="M272">
        <v>148</v>
      </c>
      <c r="N272">
        <v>605</v>
      </c>
      <c r="O272" t="s">
        <v>47</v>
      </c>
      <c r="P272">
        <f t="shared" si="13"/>
        <v>0.36132148377125195</v>
      </c>
      <c r="Q272">
        <f t="shared" si="14"/>
        <v>0.16240340030911901</v>
      </c>
    </row>
    <row r="273" spans="1:17" x14ac:dyDescent="0.25">
      <c r="A273" t="str">
        <f t="shared" si="12"/>
        <v>Marc Guéhi</v>
      </c>
      <c r="B273" t="s">
        <v>340</v>
      </c>
      <c r="C273" t="s">
        <v>754</v>
      </c>
      <c r="D273">
        <v>7</v>
      </c>
      <c r="E273">
        <v>2</v>
      </c>
      <c r="F273">
        <v>47</v>
      </c>
      <c r="G273">
        <v>3059</v>
      </c>
      <c r="H273">
        <v>34</v>
      </c>
      <c r="I273">
        <v>3</v>
      </c>
      <c r="J273">
        <v>2</v>
      </c>
      <c r="K273">
        <v>1.87</v>
      </c>
      <c r="L273">
        <v>2.0099999999999998</v>
      </c>
      <c r="M273">
        <v>116</v>
      </c>
      <c r="N273">
        <v>492</v>
      </c>
      <c r="O273" t="s">
        <v>754</v>
      </c>
      <c r="P273">
        <f t="shared" si="13"/>
        <v>5.5017979731938539E-2</v>
      </c>
      <c r="Q273">
        <f t="shared" si="14"/>
        <v>5.9136972866949973E-2</v>
      </c>
    </row>
    <row r="274" spans="1:17" x14ac:dyDescent="0.25">
      <c r="A274" t="str">
        <f t="shared" si="12"/>
        <v>Dean Henderson</v>
      </c>
      <c r="B274" t="s">
        <v>413</v>
      </c>
      <c r="C274" t="s">
        <v>290</v>
      </c>
      <c r="D274">
        <v>7</v>
      </c>
      <c r="E274">
        <v>1</v>
      </c>
      <c r="F274">
        <v>46</v>
      </c>
      <c r="G274">
        <v>3420</v>
      </c>
      <c r="H274">
        <v>38</v>
      </c>
      <c r="I274">
        <v>0</v>
      </c>
      <c r="J274">
        <v>0</v>
      </c>
      <c r="K274">
        <v>0.01</v>
      </c>
      <c r="L274">
        <v>0.02</v>
      </c>
      <c r="M274">
        <v>135</v>
      </c>
      <c r="N274">
        <v>466</v>
      </c>
      <c r="O274" t="s">
        <v>290</v>
      </c>
      <c r="P274">
        <f t="shared" si="13"/>
        <v>2.631578947368421E-4</v>
      </c>
      <c r="Q274">
        <f t="shared" si="14"/>
        <v>5.263157894736842E-4</v>
      </c>
    </row>
    <row r="275" spans="1:17" x14ac:dyDescent="0.25">
      <c r="A275" t="str">
        <f t="shared" si="12"/>
        <v>Rob Holding</v>
      </c>
      <c r="B275" t="s">
        <v>1576</v>
      </c>
      <c r="C275" t="s">
        <v>1577</v>
      </c>
      <c r="D275">
        <v>7</v>
      </c>
      <c r="E275">
        <v>2</v>
      </c>
      <c r="F275">
        <v>42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1577</v>
      </c>
      <c r="P275">
        <f t="shared" si="13"/>
        <v>0</v>
      </c>
      <c r="Q275">
        <f t="shared" si="14"/>
        <v>0</v>
      </c>
    </row>
    <row r="276" spans="1:17" x14ac:dyDescent="0.25">
      <c r="A276" t="str">
        <f t="shared" si="12"/>
        <v>Will Hughes</v>
      </c>
      <c r="B276" t="s">
        <v>133</v>
      </c>
      <c r="C276" t="s">
        <v>434</v>
      </c>
      <c r="D276">
        <v>7</v>
      </c>
      <c r="E276">
        <v>3</v>
      </c>
      <c r="F276">
        <v>49</v>
      </c>
      <c r="G276">
        <v>2100</v>
      </c>
      <c r="H276">
        <v>24</v>
      </c>
      <c r="I276">
        <v>0</v>
      </c>
      <c r="J276">
        <v>4</v>
      </c>
      <c r="K276">
        <v>1.0900000000000001</v>
      </c>
      <c r="L276">
        <v>2.64</v>
      </c>
      <c r="M276">
        <v>67</v>
      </c>
      <c r="N276">
        <v>278</v>
      </c>
      <c r="O276" t="s">
        <v>434</v>
      </c>
      <c r="P276">
        <f t="shared" si="13"/>
        <v>4.6714285714285715E-2</v>
      </c>
      <c r="Q276">
        <f t="shared" si="14"/>
        <v>0.11314285714285716</v>
      </c>
    </row>
    <row r="277" spans="1:17" x14ac:dyDescent="0.25">
      <c r="A277" t="str">
        <f t="shared" si="12"/>
        <v>Daichi Kamada</v>
      </c>
      <c r="B277" t="s">
        <v>437</v>
      </c>
      <c r="C277" t="s">
        <v>438</v>
      </c>
      <c r="D277">
        <v>7</v>
      </c>
      <c r="E277">
        <v>3</v>
      </c>
      <c r="F277">
        <v>51</v>
      </c>
      <c r="G277">
        <v>1545</v>
      </c>
      <c r="H277">
        <v>15</v>
      </c>
      <c r="I277">
        <v>0</v>
      </c>
      <c r="J277">
        <v>0</v>
      </c>
      <c r="K277">
        <v>1.1200000000000001</v>
      </c>
      <c r="L277">
        <v>1.55</v>
      </c>
      <c r="M277">
        <v>45</v>
      </c>
      <c r="N277">
        <v>246</v>
      </c>
      <c r="O277" t="s">
        <v>438</v>
      </c>
      <c r="P277">
        <f t="shared" si="13"/>
        <v>6.5242718446601955E-2</v>
      </c>
      <c r="Q277">
        <f t="shared" si="14"/>
        <v>9.029126213592234E-2</v>
      </c>
    </row>
    <row r="278" spans="1:17" x14ac:dyDescent="0.25">
      <c r="A278" t="str">
        <f t="shared" si="12"/>
        <v>Jefferson Lerma Solís</v>
      </c>
      <c r="B278" t="s">
        <v>435</v>
      </c>
      <c r="C278" t="s">
        <v>436</v>
      </c>
      <c r="D278">
        <v>7</v>
      </c>
      <c r="E278">
        <v>3</v>
      </c>
      <c r="F278">
        <v>48</v>
      </c>
      <c r="G278">
        <v>2270</v>
      </c>
      <c r="H278">
        <v>26</v>
      </c>
      <c r="I278">
        <v>0</v>
      </c>
      <c r="J278">
        <v>1</v>
      </c>
      <c r="K278">
        <v>1.07</v>
      </c>
      <c r="L278">
        <v>1.75</v>
      </c>
      <c r="M278">
        <v>58</v>
      </c>
      <c r="N278">
        <v>326</v>
      </c>
      <c r="O278" t="s">
        <v>2696</v>
      </c>
      <c r="P278">
        <f t="shared" si="13"/>
        <v>4.2422907488986784E-2</v>
      </c>
      <c r="Q278">
        <f t="shared" si="14"/>
        <v>6.9383259911894271E-2</v>
      </c>
    </row>
    <row r="279" spans="1:17" x14ac:dyDescent="0.25">
      <c r="A279" t="str">
        <f t="shared" si="12"/>
        <v>Jean-Philippe Mateta</v>
      </c>
      <c r="B279" t="s">
        <v>454</v>
      </c>
      <c r="C279" t="s">
        <v>455</v>
      </c>
      <c r="D279">
        <v>7</v>
      </c>
      <c r="E279">
        <v>4</v>
      </c>
      <c r="F279">
        <v>75</v>
      </c>
      <c r="G279">
        <v>2642</v>
      </c>
      <c r="H279">
        <v>33</v>
      </c>
      <c r="I279">
        <v>14</v>
      </c>
      <c r="J279">
        <v>2</v>
      </c>
      <c r="K279">
        <v>13.77</v>
      </c>
      <c r="L279">
        <v>2.2799999999999998</v>
      </c>
      <c r="M279">
        <v>150</v>
      </c>
      <c r="N279">
        <v>576</v>
      </c>
      <c r="O279" t="s">
        <v>455</v>
      </c>
      <c r="P279">
        <f t="shared" si="13"/>
        <v>0.46907645722937169</v>
      </c>
      <c r="Q279">
        <f t="shared" si="14"/>
        <v>7.7668433005299006E-2</v>
      </c>
    </row>
    <row r="280" spans="1:17" x14ac:dyDescent="0.25">
      <c r="A280" t="str">
        <f t="shared" si="12"/>
        <v>Matheus França de Oliveira</v>
      </c>
      <c r="B280" t="s">
        <v>442</v>
      </c>
      <c r="C280" t="s">
        <v>443</v>
      </c>
      <c r="D280">
        <v>7</v>
      </c>
      <c r="E280">
        <v>3</v>
      </c>
      <c r="F280">
        <v>44</v>
      </c>
      <c r="G280">
        <v>52</v>
      </c>
      <c r="H280">
        <v>0</v>
      </c>
      <c r="I280">
        <v>1</v>
      </c>
      <c r="J280">
        <v>0</v>
      </c>
      <c r="K280">
        <v>0.28000000000000003</v>
      </c>
      <c r="L280">
        <v>0.18</v>
      </c>
      <c r="M280">
        <v>9</v>
      </c>
      <c r="N280">
        <v>34</v>
      </c>
      <c r="O280" t="s">
        <v>2697</v>
      </c>
      <c r="P280">
        <f t="shared" si="13"/>
        <v>0.48461538461538467</v>
      </c>
      <c r="Q280">
        <f t="shared" si="14"/>
        <v>0.31153846153846149</v>
      </c>
    </row>
    <row r="281" spans="1:17" x14ac:dyDescent="0.25">
      <c r="A281" t="str">
        <f t="shared" si="12"/>
        <v>Remi Matthews</v>
      </c>
      <c r="B281" t="s">
        <v>462</v>
      </c>
      <c r="C281" t="s">
        <v>463</v>
      </c>
      <c r="D281">
        <v>7</v>
      </c>
      <c r="E281">
        <v>1</v>
      </c>
      <c r="F281">
        <v>39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463</v>
      </c>
      <c r="P281">
        <f t="shared" si="13"/>
        <v>0</v>
      </c>
      <c r="Q281">
        <f t="shared" si="14"/>
        <v>0</v>
      </c>
    </row>
    <row r="282" spans="1:17" x14ac:dyDescent="0.25">
      <c r="A282" t="str">
        <f t="shared" si="12"/>
        <v>Tyrick Mitchell</v>
      </c>
      <c r="B282" t="s">
        <v>422</v>
      </c>
      <c r="C282" t="s">
        <v>423</v>
      </c>
      <c r="D282">
        <v>7</v>
      </c>
      <c r="E282">
        <v>2</v>
      </c>
      <c r="F282">
        <v>48</v>
      </c>
      <c r="G282">
        <v>3090</v>
      </c>
      <c r="H282">
        <v>37</v>
      </c>
      <c r="I282">
        <v>0</v>
      </c>
      <c r="J282">
        <v>6</v>
      </c>
      <c r="K282">
        <v>1.31</v>
      </c>
      <c r="L282">
        <v>3.67</v>
      </c>
      <c r="M282">
        <v>123</v>
      </c>
      <c r="N282">
        <v>455</v>
      </c>
      <c r="O282" t="s">
        <v>423</v>
      </c>
      <c r="P282">
        <f t="shared" si="13"/>
        <v>3.8155339805825243E-2</v>
      </c>
      <c r="Q282">
        <f t="shared" si="14"/>
        <v>0.10689320388349516</v>
      </c>
    </row>
    <row r="283" spans="1:17" x14ac:dyDescent="0.25">
      <c r="A283" t="str">
        <f t="shared" si="12"/>
        <v>Daniel Muñoz</v>
      </c>
      <c r="B283" t="s">
        <v>416</v>
      </c>
      <c r="C283" t="s">
        <v>1608</v>
      </c>
      <c r="D283">
        <v>7</v>
      </c>
      <c r="E283">
        <v>2</v>
      </c>
      <c r="F283">
        <v>52</v>
      </c>
      <c r="G283">
        <v>3229</v>
      </c>
      <c r="H283">
        <v>37</v>
      </c>
      <c r="I283">
        <v>4</v>
      </c>
      <c r="J283">
        <v>6</v>
      </c>
      <c r="K283">
        <v>4.92</v>
      </c>
      <c r="L283">
        <v>3.46</v>
      </c>
      <c r="M283">
        <v>142</v>
      </c>
      <c r="N283">
        <v>480</v>
      </c>
      <c r="O283" t="s">
        <v>1608</v>
      </c>
      <c r="P283">
        <f t="shared" si="13"/>
        <v>0.13713223908330752</v>
      </c>
      <c r="Q283">
        <f t="shared" si="14"/>
        <v>9.6438525859399188E-2</v>
      </c>
    </row>
    <row r="284" spans="1:17" x14ac:dyDescent="0.25">
      <c r="A284" t="str">
        <f t="shared" si="12"/>
        <v>David Ozoh</v>
      </c>
      <c r="B284" t="s">
        <v>20</v>
      </c>
      <c r="C284" t="s">
        <v>1603</v>
      </c>
      <c r="D284">
        <v>7</v>
      </c>
      <c r="E284">
        <v>3</v>
      </c>
      <c r="F284">
        <v>45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1603</v>
      </c>
      <c r="P284">
        <f t="shared" si="13"/>
        <v>0</v>
      </c>
      <c r="Q284">
        <f t="shared" si="14"/>
        <v>0</v>
      </c>
    </row>
    <row r="285" spans="1:17" x14ac:dyDescent="0.25">
      <c r="A285" t="str">
        <f t="shared" si="12"/>
        <v>Jesurun Rak-Sakyi</v>
      </c>
      <c r="B285" t="s">
        <v>446</v>
      </c>
      <c r="C285" t="s">
        <v>447</v>
      </c>
      <c r="D285">
        <v>7</v>
      </c>
      <c r="E285">
        <v>3</v>
      </c>
      <c r="F285">
        <v>45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447</v>
      </c>
      <c r="P285">
        <f t="shared" si="13"/>
        <v>0</v>
      </c>
      <c r="Q285">
        <f t="shared" si="14"/>
        <v>0</v>
      </c>
    </row>
    <row r="286" spans="1:17" x14ac:dyDescent="0.25">
      <c r="A286" t="str">
        <f t="shared" si="12"/>
        <v>Jeffrey Schlupp</v>
      </c>
      <c r="B286" t="s">
        <v>1594</v>
      </c>
      <c r="C286" t="s">
        <v>1595</v>
      </c>
      <c r="D286">
        <v>7</v>
      </c>
      <c r="E286">
        <v>3</v>
      </c>
      <c r="F286">
        <v>46</v>
      </c>
      <c r="G286">
        <v>95</v>
      </c>
      <c r="H286">
        <v>0</v>
      </c>
      <c r="I286">
        <v>0</v>
      </c>
      <c r="J286">
        <v>0</v>
      </c>
      <c r="K286">
        <v>0.17</v>
      </c>
      <c r="L286">
        <v>0.14000000000000001</v>
      </c>
      <c r="M286">
        <v>12</v>
      </c>
      <c r="N286">
        <v>43</v>
      </c>
      <c r="O286" t="s">
        <v>1595</v>
      </c>
      <c r="P286">
        <f t="shared" si="13"/>
        <v>0.16105263157894739</v>
      </c>
      <c r="Q286">
        <f t="shared" si="14"/>
        <v>0.13263157894736843</v>
      </c>
    </row>
    <row r="287" spans="1:17" x14ac:dyDescent="0.25">
      <c r="A287" t="str">
        <f t="shared" si="12"/>
        <v>Joel Ward</v>
      </c>
      <c r="B287" t="s">
        <v>373</v>
      </c>
      <c r="C287" t="s">
        <v>1597</v>
      </c>
      <c r="D287">
        <v>7</v>
      </c>
      <c r="E287">
        <v>2</v>
      </c>
      <c r="F287">
        <v>43</v>
      </c>
      <c r="G287">
        <v>71</v>
      </c>
      <c r="H287">
        <v>1</v>
      </c>
      <c r="I287">
        <v>0</v>
      </c>
      <c r="J287">
        <v>0</v>
      </c>
      <c r="K287">
        <v>0</v>
      </c>
      <c r="L287">
        <v>0.01</v>
      </c>
      <c r="M287">
        <v>1</v>
      </c>
      <c r="N287">
        <v>-3</v>
      </c>
      <c r="O287" t="s">
        <v>1597</v>
      </c>
      <c r="P287">
        <f t="shared" si="13"/>
        <v>0</v>
      </c>
      <c r="Q287">
        <f t="shared" si="14"/>
        <v>1.2676056338028169E-2</v>
      </c>
    </row>
    <row r="288" spans="1:17" x14ac:dyDescent="0.25">
      <c r="A288" t="str">
        <f t="shared" si="12"/>
        <v>Adam Wharton</v>
      </c>
      <c r="B288" t="s">
        <v>143</v>
      </c>
      <c r="C288" t="s">
        <v>431</v>
      </c>
      <c r="D288">
        <v>7</v>
      </c>
      <c r="E288">
        <v>3</v>
      </c>
      <c r="F288">
        <v>47</v>
      </c>
      <c r="G288">
        <v>1314</v>
      </c>
      <c r="H288">
        <v>16</v>
      </c>
      <c r="I288">
        <v>0</v>
      </c>
      <c r="J288">
        <v>2</v>
      </c>
      <c r="K288">
        <v>0.38</v>
      </c>
      <c r="L288">
        <v>2.17</v>
      </c>
      <c r="M288">
        <v>42</v>
      </c>
      <c r="N288">
        <v>244</v>
      </c>
      <c r="O288" t="s">
        <v>431</v>
      </c>
      <c r="P288">
        <f t="shared" si="13"/>
        <v>2.6027397260273973E-2</v>
      </c>
      <c r="Q288">
        <f t="shared" si="14"/>
        <v>0.14863013698630137</v>
      </c>
    </row>
    <row r="289" spans="1:17" x14ac:dyDescent="0.25">
      <c r="A289" t="str">
        <f t="shared" si="12"/>
        <v>Matt Turner</v>
      </c>
      <c r="B289" t="s">
        <v>259</v>
      </c>
      <c r="C289" t="s">
        <v>1871</v>
      </c>
      <c r="D289">
        <v>7</v>
      </c>
      <c r="E289">
        <v>1</v>
      </c>
      <c r="F289">
        <v>39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1871</v>
      </c>
      <c r="P289">
        <f t="shared" si="13"/>
        <v>0</v>
      </c>
      <c r="Q289">
        <f t="shared" si="14"/>
        <v>0</v>
      </c>
    </row>
    <row r="290" spans="1:17" x14ac:dyDescent="0.25">
      <c r="A290" t="str">
        <f t="shared" si="12"/>
        <v>Ismaïla Sarr</v>
      </c>
      <c r="B290" t="s">
        <v>430</v>
      </c>
      <c r="C290" t="s">
        <v>312</v>
      </c>
      <c r="D290">
        <v>7</v>
      </c>
      <c r="E290">
        <v>3</v>
      </c>
      <c r="F290">
        <v>55</v>
      </c>
      <c r="G290">
        <v>2708</v>
      </c>
      <c r="H290">
        <v>30</v>
      </c>
      <c r="I290">
        <v>8</v>
      </c>
      <c r="J290">
        <v>7</v>
      </c>
      <c r="K290">
        <v>10.82</v>
      </c>
      <c r="L290">
        <v>6.82</v>
      </c>
      <c r="M290">
        <v>149</v>
      </c>
      <c r="N290">
        <v>542</v>
      </c>
      <c r="O290" t="s">
        <v>2698</v>
      </c>
      <c r="P290">
        <f t="shared" si="13"/>
        <v>0.3596011816838996</v>
      </c>
      <c r="Q290">
        <f t="shared" si="14"/>
        <v>0.22666174298375183</v>
      </c>
    </row>
    <row r="291" spans="1:17" x14ac:dyDescent="0.25">
      <c r="A291" t="str">
        <f t="shared" si="12"/>
        <v>Franco Umeh-Chibueze</v>
      </c>
      <c r="B291" t="s">
        <v>1609</v>
      </c>
      <c r="C291" t="s">
        <v>1610</v>
      </c>
      <c r="D291">
        <v>7</v>
      </c>
      <c r="E291">
        <v>3</v>
      </c>
      <c r="F291">
        <v>44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1610</v>
      </c>
      <c r="P291">
        <f t="shared" si="13"/>
        <v>0</v>
      </c>
      <c r="Q291">
        <f t="shared" si="14"/>
        <v>0</v>
      </c>
    </row>
    <row r="292" spans="1:17" x14ac:dyDescent="0.25">
      <c r="A292" t="str">
        <f t="shared" si="12"/>
        <v>Justin Devenny</v>
      </c>
      <c r="B292" t="s">
        <v>155</v>
      </c>
      <c r="C292" t="s">
        <v>439</v>
      </c>
      <c r="D292">
        <v>7</v>
      </c>
      <c r="E292">
        <v>3</v>
      </c>
      <c r="F292">
        <v>45</v>
      </c>
      <c r="G292">
        <v>494</v>
      </c>
      <c r="H292">
        <v>4</v>
      </c>
      <c r="I292">
        <v>1</v>
      </c>
      <c r="J292">
        <v>1</v>
      </c>
      <c r="K292">
        <v>0.77</v>
      </c>
      <c r="L292">
        <v>0.41</v>
      </c>
      <c r="M292">
        <v>34</v>
      </c>
      <c r="N292">
        <v>129</v>
      </c>
      <c r="O292" t="s">
        <v>439</v>
      </c>
      <c r="P292">
        <f t="shared" si="13"/>
        <v>0.1402834008097166</v>
      </c>
      <c r="Q292">
        <f t="shared" si="14"/>
        <v>7.4696356275303633E-2</v>
      </c>
    </row>
    <row r="293" spans="1:17" x14ac:dyDescent="0.25">
      <c r="A293" t="str">
        <f t="shared" si="12"/>
        <v>Asher Agbinone</v>
      </c>
      <c r="B293" t="s">
        <v>2194</v>
      </c>
      <c r="C293" t="s">
        <v>2195</v>
      </c>
      <c r="D293">
        <v>7</v>
      </c>
      <c r="E293">
        <v>3</v>
      </c>
      <c r="F293">
        <v>45</v>
      </c>
      <c r="G293">
        <v>4</v>
      </c>
      <c r="H293">
        <v>0</v>
      </c>
      <c r="I293">
        <v>0</v>
      </c>
      <c r="J293">
        <v>0</v>
      </c>
      <c r="K293">
        <v>0.02</v>
      </c>
      <c r="L293">
        <v>0.01</v>
      </c>
      <c r="M293">
        <v>2</v>
      </c>
      <c r="N293">
        <v>4</v>
      </c>
      <c r="O293" t="s">
        <v>2195</v>
      </c>
      <c r="P293">
        <f t="shared" si="13"/>
        <v>0.45</v>
      </c>
      <c r="Q293">
        <f t="shared" si="14"/>
        <v>0.22500000000000001</v>
      </c>
    </row>
    <row r="294" spans="1:17" x14ac:dyDescent="0.25">
      <c r="A294" t="str">
        <f t="shared" si="12"/>
        <v>Kaden Rodney</v>
      </c>
      <c r="B294" t="s">
        <v>1256</v>
      </c>
      <c r="C294" t="s">
        <v>1611</v>
      </c>
      <c r="D294">
        <v>7</v>
      </c>
      <c r="E294">
        <v>3</v>
      </c>
      <c r="F294">
        <v>45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1611</v>
      </c>
      <c r="P294">
        <f t="shared" si="13"/>
        <v>0</v>
      </c>
      <c r="Q294">
        <f t="shared" si="14"/>
        <v>0</v>
      </c>
    </row>
    <row r="295" spans="1:17" x14ac:dyDescent="0.25">
      <c r="A295" t="str">
        <f t="shared" si="12"/>
        <v>Maxence Lacroix</v>
      </c>
      <c r="B295" t="s">
        <v>346</v>
      </c>
      <c r="C295" t="s">
        <v>347</v>
      </c>
      <c r="D295">
        <v>7</v>
      </c>
      <c r="E295">
        <v>2</v>
      </c>
      <c r="F295">
        <v>45</v>
      </c>
      <c r="G295">
        <v>3116</v>
      </c>
      <c r="H295">
        <v>35</v>
      </c>
      <c r="I295">
        <v>1</v>
      </c>
      <c r="J295">
        <v>2</v>
      </c>
      <c r="K295">
        <v>3.5</v>
      </c>
      <c r="L295">
        <v>1.01</v>
      </c>
      <c r="M295">
        <v>114</v>
      </c>
      <c r="N295">
        <v>463</v>
      </c>
      <c r="O295" t="s">
        <v>347</v>
      </c>
      <c r="P295">
        <f t="shared" si="13"/>
        <v>0.10109114249037228</v>
      </c>
      <c r="Q295">
        <f t="shared" si="14"/>
        <v>2.9172015404364569E-2</v>
      </c>
    </row>
    <row r="296" spans="1:17" x14ac:dyDescent="0.25">
      <c r="A296" t="str">
        <f t="shared" si="12"/>
        <v>Caleb Kporha</v>
      </c>
      <c r="B296" t="s">
        <v>407</v>
      </c>
      <c r="C296" t="s">
        <v>2196</v>
      </c>
      <c r="D296">
        <v>7</v>
      </c>
      <c r="E296">
        <v>2</v>
      </c>
      <c r="F296">
        <v>40</v>
      </c>
      <c r="G296">
        <v>11</v>
      </c>
      <c r="H296">
        <v>0</v>
      </c>
      <c r="I296">
        <v>0</v>
      </c>
      <c r="J296">
        <v>0</v>
      </c>
      <c r="K296">
        <v>0</v>
      </c>
      <c r="L296">
        <v>0.02</v>
      </c>
      <c r="M296">
        <v>2</v>
      </c>
      <c r="N296">
        <v>1</v>
      </c>
      <c r="O296" t="s">
        <v>2196</v>
      </c>
      <c r="P296">
        <f t="shared" si="13"/>
        <v>0</v>
      </c>
      <c r="Q296">
        <f t="shared" si="14"/>
        <v>0.16363636363636364</v>
      </c>
    </row>
    <row r="297" spans="1:17" x14ac:dyDescent="0.25">
      <c r="A297" t="str">
        <f t="shared" si="12"/>
        <v>Zach Marsh</v>
      </c>
      <c r="B297" t="s">
        <v>901</v>
      </c>
      <c r="C297" t="s">
        <v>1955</v>
      </c>
      <c r="D297">
        <v>7</v>
      </c>
      <c r="E297">
        <v>4</v>
      </c>
      <c r="F297">
        <v>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1955</v>
      </c>
      <c r="P297">
        <f t="shared" si="13"/>
        <v>0</v>
      </c>
      <c r="Q297">
        <f t="shared" si="14"/>
        <v>0</v>
      </c>
    </row>
    <row r="298" spans="1:17" x14ac:dyDescent="0.25">
      <c r="A298" t="str">
        <f t="shared" si="12"/>
        <v>Romain Esse</v>
      </c>
      <c r="B298" t="s">
        <v>440</v>
      </c>
      <c r="C298" t="s">
        <v>441</v>
      </c>
      <c r="D298">
        <v>7</v>
      </c>
      <c r="E298">
        <v>3</v>
      </c>
      <c r="F298">
        <v>47</v>
      </c>
      <c r="G298">
        <v>138</v>
      </c>
      <c r="H298">
        <v>1</v>
      </c>
      <c r="I298">
        <v>1</v>
      </c>
      <c r="J298">
        <v>2</v>
      </c>
      <c r="K298">
        <v>0.32</v>
      </c>
      <c r="L298">
        <v>0.39</v>
      </c>
      <c r="M298">
        <v>22</v>
      </c>
      <c r="N298">
        <v>72</v>
      </c>
      <c r="O298" t="s">
        <v>441</v>
      </c>
      <c r="P298">
        <f t="shared" si="13"/>
        <v>0.20869565217391303</v>
      </c>
      <c r="Q298">
        <f t="shared" si="14"/>
        <v>0.25434782608695655</v>
      </c>
    </row>
    <row r="299" spans="1:17" x14ac:dyDescent="0.25">
      <c r="A299" t="str">
        <f t="shared" si="12"/>
        <v>Oliver Glasner</v>
      </c>
      <c r="B299" t="s">
        <v>361</v>
      </c>
      <c r="C299" t="s">
        <v>2197</v>
      </c>
      <c r="D299">
        <v>7</v>
      </c>
      <c r="E299">
        <v>5</v>
      </c>
      <c r="F299">
        <v>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128</v>
      </c>
      <c r="N299">
        <v>0</v>
      </c>
      <c r="O299" t="s">
        <v>2197</v>
      </c>
      <c r="P299">
        <f t="shared" si="13"/>
        <v>0</v>
      </c>
      <c r="Q299">
        <f t="shared" si="14"/>
        <v>0</v>
      </c>
    </row>
    <row r="300" spans="1:17" x14ac:dyDescent="0.25">
      <c r="A300" t="str">
        <f t="shared" si="12"/>
        <v>Armando Broja</v>
      </c>
      <c r="B300" t="s">
        <v>1644</v>
      </c>
      <c r="C300" t="s">
        <v>1645</v>
      </c>
      <c r="D300">
        <v>8</v>
      </c>
      <c r="E300">
        <v>4</v>
      </c>
      <c r="F300">
        <v>53</v>
      </c>
      <c r="G300">
        <v>327</v>
      </c>
      <c r="H300">
        <v>4</v>
      </c>
      <c r="I300">
        <v>0</v>
      </c>
      <c r="J300">
        <v>0</v>
      </c>
      <c r="K300">
        <v>0.11</v>
      </c>
      <c r="L300">
        <v>0.11</v>
      </c>
      <c r="M300">
        <v>12</v>
      </c>
      <c r="N300">
        <v>23</v>
      </c>
      <c r="O300" t="s">
        <v>1645</v>
      </c>
      <c r="P300">
        <f t="shared" si="13"/>
        <v>3.0275229357798163E-2</v>
      </c>
      <c r="Q300">
        <f t="shared" si="14"/>
        <v>3.0275229357798163E-2</v>
      </c>
    </row>
    <row r="301" spans="1:17" x14ac:dyDescent="0.25">
      <c r="A301" t="str">
        <f t="shared" si="12"/>
        <v>Abdoulaye Doucouré</v>
      </c>
      <c r="B301" t="s">
        <v>1620</v>
      </c>
      <c r="C301" t="s">
        <v>445</v>
      </c>
      <c r="D301">
        <v>8</v>
      </c>
      <c r="E301">
        <v>3</v>
      </c>
      <c r="F301">
        <v>51</v>
      </c>
      <c r="G301">
        <v>2563</v>
      </c>
      <c r="H301">
        <v>31</v>
      </c>
      <c r="I301">
        <v>3</v>
      </c>
      <c r="J301">
        <v>2</v>
      </c>
      <c r="K301">
        <v>4.1500000000000004</v>
      </c>
      <c r="L301">
        <v>1.41</v>
      </c>
      <c r="M301">
        <v>94</v>
      </c>
      <c r="N301">
        <v>333</v>
      </c>
      <c r="O301" t="s">
        <v>2699</v>
      </c>
      <c r="P301">
        <f t="shared" si="13"/>
        <v>0.14572766289504488</v>
      </c>
      <c r="Q301">
        <f t="shared" si="14"/>
        <v>4.9512290284822472E-2</v>
      </c>
    </row>
    <row r="302" spans="1:17" x14ac:dyDescent="0.25">
      <c r="A302" t="str">
        <f t="shared" si="12"/>
        <v>Norberto Bercique Gomes Betuncal</v>
      </c>
      <c r="B302" t="s">
        <v>500</v>
      </c>
      <c r="C302" t="s">
        <v>501</v>
      </c>
      <c r="D302">
        <v>8</v>
      </c>
      <c r="E302">
        <v>4</v>
      </c>
      <c r="F302">
        <v>48</v>
      </c>
      <c r="G302">
        <v>1521</v>
      </c>
      <c r="H302">
        <v>15</v>
      </c>
      <c r="I302">
        <v>8</v>
      </c>
      <c r="J302">
        <v>0</v>
      </c>
      <c r="K302">
        <v>7.89</v>
      </c>
      <c r="L302">
        <v>0.44</v>
      </c>
      <c r="M302">
        <v>87</v>
      </c>
      <c r="N302">
        <v>295</v>
      </c>
      <c r="O302" t="s">
        <v>2700</v>
      </c>
      <c r="P302">
        <f t="shared" si="13"/>
        <v>0.46686390532544375</v>
      </c>
      <c r="Q302">
        <f t="shared" si="14"/>
        <v>2.6035502958579884E-2</v>
      </c>
    </row>
    <row r="303" spans="1:17" x14ac:dyDescent="0.25">
      <c r="A303" t="str">
        <f t="shared" si="12"/>
        <v>Jarrad Branthwaite</v>
      </c>
      <c r="B303" t="s">
        <v>477</v>
      </c>
      <c r="C303" t="s">
        <v>478</v>
      </c>
      <c r="D303">
        <v>8</v>
      </c>
      <c r="E303">
        <v>2</v>
      </c>
      <c r="F303">
        <v>49</v>
      </c>
      <c r="G303">
        <v>2509</v>
      </c>
      <c r="H303">
        <v>28</v>
      </c>
      <c r="I303">
        <v>0</v>
      </c>
      <c r="J303">
        <v>1</v>
      </c>
      <c r="K303">
        <v>1.2</v>
      </c>
      <c r="L303">
        <v>0.61</v>
      </c>
      <c r="M303">
        <v>88</v>
      </c>
      <c r="N303">
        <v>420</v>
      </c>
      <c r="O303" t="s">
        <v>478</v>
      </c>
      <c r="P303">
        <f t="shared" si="13"/>
        <v>4.3045037863690711E-2</v>
      </c>
      <c r="Q303">
        <f t="shared" si="14"/>
        <v>2.1881227580709445E-2</v>
      </c>
    </row>
    <row r="304" spans="1:17" x14ac:dyDescent="0.25">
      <c r="A304" t="str">
        <f t="shared" si="12"/>
        <v>Dominic Calvert-Lewin</v>
      </c>
      <c r="B304" t="s">
        <v>681</v>
      </c>
      <c r="C304" t="s">
        <v>682</v>
      </c>
      <c r="D304">
        <v>8</v>
      </c>
      <c r="E304">
        <v>4</v>
      </c>
      <c r="F304">
        <v>54</v>
      </c>
      <c r="G304">
        <v>1602</v>
      </c>
      <c r="H304">
        <v>19</v>
      </c>
      <c r="I304">
        <v>3</v>
      </c>
      <c r="J304">
        <v>2</v>
      </c>
      <c r="K304">
        <v>6.53</v>
      </c>
      <c r="L304">
        <v>0.63</v>
      </c>
      <c r="M304">
        <v>63</v>
      </c>
      <c r="N304">
        <v>157</v>
      </c>
      <c r="O304" t="s">
        <v>682</v>
      </c>
      <c r="P304">
        <f t="shared" si="13"/>
        <v>0.36685393258426968</v>
      </c>
      <c r="Q304">
        <f t="shared" si="14"/>
        <v>3.5393258426966293E-2</v>
      </c>
    </row>
    <row r="305" spans="1:17" x14ac:dyDescent="0.25">
      <c r="A305" t="str">
        <f t="shared" si="12"/>
        <v>Séamus Coleman</v>
      </c>
      <c r="B305" t="s">
        <v>2198</v>
      </c>
      <c r="C305" t="s">
        <v>1617</v>
      </c>
      <c r="D305">
        <v>8</v>
      </c>
      <c r="E305">
        <v>2</v>
      </c>
      <c r="F305">
        <v>43</v>
      </c>
      <c r="G305">
        <v>214</v>
      </c>
      <c r="H305">
        <v>3</v>
      </c>
      <c r="I305">
        <v>0</v>
      </c>
      <c r="J305">
        <v>0</v>
      </c>
      <c r="K305">
        <v>0.62</v>
      </c>
      <c r="L305">
        <v>0.03</v>
      </c>
      <c r="M305">
        <v>5</v>
      </c>
      <c r="N305">
        <v>17</v>
      </c>
      <c r="O305" t="s">
        <v>1617</v>
      </c>
      <c r="P305">
        <f t="shared" si="13"/>
        <v>0.26074766355140189</v>
      </c>
      <c r="Q305">
        <f t="shared" si="14"/>
        <v>1.2616822429906542E-2</v>
      </c>
    </row>
    <row r="306" spans="1:17" x14ac:dyDescent="0.25">
      <c r="A306" t="str">
        <f t="shared" si="12"/>
        <v>Idrissa Gueye</v>
      </c>
      <c r="B306" t="s">
        <v>1624</v>
      </c>
      <c r="C306" t="s">
        <v>1625</v>
      </c>
      <c r="D306">
        <v>8</v>
      </c>
      <c r="E306">
        <v>3</v>
      </c>
      <c r="F306">
        <v>48</v>
      </c>
      <c r="G306">
        <v>3063</v>
      </c>
      <c r="H306">
        <v>35</v>
      </c>
      <c r="I306">
        <v>0</v>
      </c>
      <c r="J306">
        <v>3</v>
      </c>
      <c r="K306">
        <v>1.1499999999999999</v>
      </c>
      <c r="L306">
        <v>1.99</v>
      </c>
      <c r="M306">
        <v>89</v>
      </c>
      <c r="N306">
        <v>505</v>
      </c>
      <c r="O306" t="s">
        <v>2701</v>
      </c>
      <c r="P306">
        <f t="shared" si="13"/>
        <v>3.3790401567091087E-2</v>
      </c>
      <c r="Q306">
        <f t="shared" si="14"/>
        <v>5.8472086190009792E-2</v>
      </c>
    </row>
    <row r="307" spans="1:17" x14ac:dyDescent="0.25">
      <c r="A307" t="str">
        <f t="shared" si="12"/>
        <v>James Garner</v>
      </c>
      <c r="B307" t="s">
        <v>135</v>
      </c>
      <c r="C307" t="s">
        <v>488</v>
      </c>
      <c r="D307">
        <v>8</v>
      </c>
      <c r="E307">
        <v>3</v>
      </c>
      <c r="F307">
        <v>49</v>
      </c>
      <c r="G307">
        <v>1590</v>
      </c>
      <c r="H307">
        <v>17</v>
      </c>
      <c r="I307">
        <v>0</v>
      </c>
      <c r="J307">
        <v>1</v>
      </c>
      <c r="K307">
        <v>0.67</v>
      </c>
      <c r="L307">
        <v>1.37</v>
      </c>
      <c r="M307">
        <v>42</v>
      </c>
      <c r="N307">
        <v>244</v>
      </c>
      <c r="O307" t="s">
        <v>488</v>
      </c>
      <c r="P307">
        <f t="shared" si="13"/>
        <v>3.7924528301886792E-2</v>
      </c>
      <c r="Q307">
        <f t="shared" si="14"/>
        <v>7.754716981132076E-2</v>
      </c>
    </row>
    <row r="308" spans="1:17" x14ac:dyDescent="0.25">
      <c r="A308" t="str">
        <f t="shared" si="12"/>
        <v>Jack Harrison</v>
      </c>
      <c r="B308" t="s">
        <v>253</v>
      </c>
      <c r="C308" t="s">
        <v>493</v>
      </c>
      <c r="D308">
        <v>8</v>
      </c>
      <c r="E308">
        <v>3</v>
      </c>
      <c r="F308">
        <v>52</v>
      </c>
      <c r="G308">
        <v>2068</v>
      </c>
      <c r="H308">
        <v>24</v>
      </c>
      <c r="I308">
        <v>1</v>
      </c>
      <c r="J308">
        <v>3</v>
      </c>
      <c r="K308">
        <v>3.54</v>
      </c>
      <c r="L308">
        <v>3.12</v>
      </c>
      <c r="M308">
        <v>81</v>
      </c>
      <c r="N308">
        <v>291</v>
      </c>
      <c r="O308" t="s">
        <v>493</v>
      </c>
      <c r="P308">
        <f t="shared" si="13"/>
        <v>0.15406189555125724</v>
      </c>
      <c r="Q308">
        <f t="shared" si="14"/>
        <v>0.13578336557059961</v>
      </c>
    </row>
    <row r="309" spans="1:17" x14ac:dyDescent="0.25">
      <c r="A309" t="str">
        <f t="shared" si="12"/>
        <v>Mason Holgate</v>
      </c>
      <c r="B309" t="s">
        <v>583</v>
      </c>
      <c r="C309" t="s">
        <v>1932</v>
      </c>
      <c r="D309">
        <v>8</v>
      </c>
      <c r="E309">
        <v>2</v>
      </c>
      <c r="F309">
        <v>40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-1</v>
      </c>
      <c r="O309" t="s">
        <v>1932</v>
      </c>
      <c r="P309">
        <f t="shared" si="13"/>
        <v>0</v>
      </c>
      <c r="Q309">
        <f t="shared" si="14"/>
        <v>0</v>
      </c>
    </row>
    <row r="310" spans="1:17" x14ac:dyDescent="0.25">
      <c r="A310" t="str">
        <f t="shared" si="12"/>
        <v>Tim Iroegbunam</v>
      </c>
      <c r="B310" t="s">
        <v>489</v>
      </c>
      <c r="C310" t="s">
        <v>490</v>
      </c>
      <c r="D310">
        <v>8</v>
      </c>
      <c r="E310">
        <v>3</v>
      </c>
      <c r="F310">
        <v>43</v>
      </c>
      <c r="G310">
        <v>562</v>
      </c>
      <c r="H310">
        <v>5</v>
      </c>
      <c r="I310">
        <v>0</v>
      </c>
      <c r="J310">
        <v>1</v>
      </c>
      <c r="K310">
        <v>0.23</v>
      </c>
      <c r="L310">
        <v>0.14000000000000001</v>
      </c>
      <c r="M310">
        <v>22</v>
      </c>
      <c r="N310">
        <v>82</v>
      </c>
      <c r="O310" t="s">
        <v>490</v>
      </c>
      <c r="P310">
        <f t="shared" si="13"/>
        <v>3.6832740213523132E-2</v>
      </c>
      <c r="Q310">
        <f t="shared" si="14"/>
        <v>2.2419928825622781E-2</v>
      </c>
    </row>
    <row r="311" spans="1:17" x14ac:dyDescent="0.25">
      <c r="A311" t="str">
        <f t="shared" si="12"/>
        <v>João Neves Virgínia</v>
      </c>
      <c r="B311" t="s">
        <v>1626</v>
      </c>
      <c r="C311" t="s">
        <v>1627</v>
      </c>
      <c r="D311">
        <v>8</v>
      </c>
      <c r="E311">
        <v>1</v>
      </c>
      <c r="F311">
        <v>38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2702</v>
      </c>
      <c r="P311">
        <f t="shared" si="13"/>
        <v>0</v>
      </c>
      <c r="Q311">
        <f t="shared" si="14"/>
        <v>0</v>
      </c>
    </row>
    <row r="312" spans="1:17" x14ac:dyDescent="0.25">
      <c r="A312" t="str">
        <f t="shared" si="12"/>
        <v>Michael Keane</v>
      </c>
      <c r="B312" t="s">
        <v>193</v>
      </c>
      <c r="C312" t="s">
        <v>189</v>
      </c>
      <c r="D312">
        <v>8</v>
      </c>
      <c r="E312">
        <v>2</v>
      </c>
      <c r="F312">
        <v>38</v>
      </c>
      <c r="G312">
        <v>1046</v>
      </c>
      <c r="H312">
        <v>11</v>
      </c>
      <c r="I312">
        <v>3</v>
      </c>
      <c r="J312">
        <v>0</v>
      </c>
      <c r="K312">
        <v>0.61</v>
      </c>
      <c r="L312">
        <v>0.02</v>
      </c>
      <c r="M312">
        <v>48</v>
      </c>
      <c r="N312">
        <v>139</v>
      </c>
      <c r="O312" t="s">
        <v>189</v>
      </c>
      <c r="P312">
        <f t="shared" si="13"/>
        <v>5.248565965583174E-2</v>
      </c>
      <c r="Q312">
        <f t="shared" si="14"/>
        <v>1.7208413001912047E-3</v>
      </c>
    </row>
    <row r="313" spans="1:17" x14ac:dyDescent="0.25">
      <c r="A313" t="str">
        <f t="shared" si="12"/>
        <v>Neal Maupay</v>
      </c>
      <c r="B313" t="s">
        <v>1404</v>
      </c>
      <c r="C313" t="s">
        <v>1405</v>
      </c>
      <c r="D313">
        <v>8</v>
      </c>
      <c r="E313">
        <v>4</v>
      </c>
      <c r="F313">
        <v>49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1405</v>
      </c>
      <c r="P313">
        <f t="shared" si="13"/>
        <v>0</v>
      </c>
      <c r="Q313">
        <f t="shared" si="14"/>
        <v>0</v>
      </c>
    </row>
    <row r="314" spans="1:17" x14ac:dyDescent="0.25">
      <c r="A314" t="str">
        <f t="shared" si="12"/>
        <v>Dwight McNeil</v>
      </c>
      <c r="B314" t="s">
        <v>460</v>
      </c>
      <c r="C314" t="s">
        <v>461</v>
      </c>
      <c r="D314">
        <v>8</v>
      </c>
      <c r="E314">
        <v>3</v>
      </c>
      <c r="F314">
        <v>51</v>
      </c>
      <c r="G314">
        <v>1366</v>
      </c>
      <c r="H314">
        <v>15</v>
      </c>
      <c r="I314">
        <v>4</v>
      </c>
      <c r="J314">
        <v>8</v>
      </c>
      <c r="K314">
        <v>1.05</v>
      </c>
      <c r="L314">
        <v>4.49</v>
      </c>
      <c r="M314">
        <v>93</v>
      </c>
      <c r="N314">
        <v>401</v>
      </c>
      <c r="O314" t="s">
        <v>461</v>
      </c>
      <c r="P314">
        <f t="shared" si="13"/>
        <v>6.9180087847730595E-2</v>
      </c>
      <c r="Q314">
        <f t="shared" si="14"/>
        <v>0.29582723279648609</v>
      </c>
    </row>
    <row r="315" spans="1:17" x14ac:dyDescent="0.25">
      <c r="A315" t="str">
        <f t="shared" si="12"/>
        <v>Vitalii Mykolenko</v>
      </c>
      <c r="B315" t="s">
        <v>480</v>
      </c>
      <c r="C315" t="s">
        <v>481</v>
      </c>
      <c r="D315">
        <v>8</v>
      </c>
      <c r="E315">
        <v>2</v>
      </c>
      <c r="F315">
        <v>44</v>
      </c>
      <c r="G315">
        <v>3082</v>
      </c>
      <c r="H315">
        <v>35</v>
      </c>
      <c r="I315">
        <v>1</v>
      </c>
      <c r="J315">
        <v>3</v>
      </c>
      <c r="K315">
        <v>0.48</v>
      </c>
      <c r="L315">
        <v>2.12</v>
      </c>
      <c r="M315">
        <v>121</v>
      </c>
      <c r="N315">
        <v>467</v>
      </c>
      <c r="O315" t="s">
        <v>481</v>
      </c>
      <c r="P315">
        <f t="shared" si="13"/>
        <v>1.4016872160934458E-2</v>
      </c>
      <c r="Q315">
        <f t="shared" si="14"/>
        <v>6.1907852044127201E-2</v>
      </c>
    </row>
    <row r="316" spans="1:17" x14ac:dyDescent="0.25">
      <c r="A316" t="str">
        <f t="shared" si="12"/>
        <v>Iliman Ndiaye</v>
      </c>
      <c r="B316" t="s">
        <v>486</v>
      </c>
      <c r="C316" t="s">
        <v>487</v>
      </c>
      <c r="D316">
        <v>8</v>
      </c>
      <c r="E316">
        <v>4</v>
      </c>
      <c r="F316">
        <v>52</v>
      </c>
      <c r="G316">
        <v>2426</v>
      </c>
      <c r="H316">
        <v>29</v>
      </c>
      <c r="I316">
        <v>9</v>
      </c>
      <c r="J316">
        <v>0</v>
      </c>
      <c r="K316">
        <v>6.23</v>
      </c>
      <c r="L316">
        <v>1.36</v>
      </c>
      <c r="M316">
        <v>114</v>
      </c>
      <c r="N316">
        <v>552</v>
      </c>
      <c r="O316" t="s">
        <v>487</v>
      </c>
      <c r="P316">
        <f t="shared" si="13"/>
        <v>0.231121187139324</v>
      </c>
      <c r="Q316">
        <f t="shared" si="14"/>
        <v>5.0453421269579558E-2</v>
      </c>
    </row>
    <row r="317" spans="1:17" x14ac:dyDescent="0.25">
      <c r="A317" t="str">
        <f t="shared" si="12"/>
        <v>Nathan Patterson</v>
      </c>
      <c r="B317" t="s">
        <v>185</v>
      </c>
      <c r="C317" t="s">
        <v>482</v>
      </c>
      <c r="D317">
        <v>8</v>
      </c>
      <c r="E317">
        <v>2</v>
      </c>
      <c r="F317">
        <v>44</v>
      </c>
      <c r="G317">
        <v>342</v>
      </c>
      <c r="H317">
        <v>3</v>
      </c>
      <c r="I317">
        <v>0</v>
      </c>
      <c r="J317">
        <v>1</v>
      </c>
      <c r="K317">
        <v>7.0000000000000007E-2</v>
      </c>
      <c r="L317">
        <v>0.38</v>
      </c>
      <c r="M317">
        <v>14</v>
      </c>
      <c r="N317">
        <v>47</v>
      </c>
      <c r="O317" t="s">
        <v>482</v>
      </c>
      <c r="P317">
        <f t="shared" si="13"/>
        <v>1.8421052631578949E-2</v>
      </c>
      <c r="Q317">
        <f t="shared" si="14"/>
        <v>0.1</v>
      </c>
    </row>
    <row r="318" spans="1:17" x14ac:dyDescent="0.25">
      <c r="A318" t="str">
        <f t="shared" si="12"/>
        <v>Jordan Pickford</v>
      </c>
      <c r="B318" t="s">
        <v>289</v>
      </c>
      <c r="C318" t="s">
        <v>472</v>
      </c>
      <c r="D318">
        <v>8</v>
      </c>
      <c r="E318">
        <v>1</v>
      </c>
      <c r="F318">
        <v>52</v>
      </c>
      <c r="G318">
        <v>3420</v>
      </c>
      <c r="H318">
        <v>38</v>
      </c>
      <c r="I318">
        <v>0</v>
      </c>
      <c r="J318">
        <v>1</v>
      </c>
      <c r="K318">
        <v>0</v>
      </c>
      <c r="L318">
        <v>0.22</v>
      </c>
      <c r="M318">
        <v>158</v>
      </c>
      <c r="N318">
        <v>593</v>
      </c>
      <c r="O318" t="s">
        <v>472</v>
      </c>
      <c r="P318">
        <f t="shared" si="13"/>
        <v>0</v>
      </c>
      <c r="Q318">
        <f t="shared" si="14"/>
        <v>5.7894736842105258E-3</v>
      </c>
    </row>
    <row r="319" spans="1:17" x14ac:dyDescent="0.25">
      <c r="A319" t="str">
        <f t="shared" si="12"/>
        <v>James Tarkowski</v>
      </c>
      <c r="B319" t="s">
        <v>135</v>
      </c>
      <c r="C319" t="s">
        <v>476</v>
      </c>
      <c r="D319">
        <v>8</v>
      </c>
      <c r="E319">
        <v>2</v>
      </c>
      <c r="F319">
        <v>47</v>
      </c>
      <c r="G319">
        <v>2922</v>
      </c>
      <c r="H319">
        <v>33</v>
      </c>
      <c r="I319">
        <v>1</v>
      </c>
      <c r="J319">
        <v>1</v>
      </c>
      <c r="K319">
        <v>1.32</v>
      </c>
      <c r="L319">
        <v>2.33</v>
      </c>
      <c r="M319">
        <v>105</v>
      </c>
      <c r="N319">
        <v>468</v>
      </c>
      <c r="O319" t="s">
        <v>476</v>
      </c>
      <c r="P319">
        <f t="shared" si="13"/>
        <v>4.0657084188911702E-2</v>
      </c>
      <c r="Q319">
        <f t="shared" si="14"/>
        <v>7.1765913757700209E-2</v>
      </c>
    </row>
    <row r="320" spans="1:17" x14ac:dyDescent="0.25">
      <c r="A320" t="str">
        <f t="shared" si="12"/>
        <v>Youssef Ramalho Chermiti</v>
      </c>
      <c r="B320" t="s">
        <v>1633</v>
      </c>
      <c r="C320" t="s">
        <v>1634</v>
      </c>
      <c r="D320">
        <v>8</v>
      </c>
      <c r="E320">
        <v>4</v>
      </c>
      <c r="F320">
        <v>49</v>
      </c>
      <c r="G320">
        <v>42</v>
      </c>
      <c r="H320">
        <v>0</v>
      </c>
      <c r="I320">
        <v>0</v>
      </c>
      <c r="J320">
        <v>0</v>
      </c>
      <c r="K320">
        <v>0.11</v>
      </c>
      <c r="L320">
        <v>0</v>
      </c>
      <c r="M320">
        <v>3</v>
      </c>
      <c r="N320">
        <v>9</v>
      </c>
      <c r="O320" t="s">
        <v>2703</v>
      </c>
      <c r="P320">
        <f t="shared" si="13"/>
        <v>0.23571428571428571</v>
      </c>
      <c r="Q320">
        <f t="shared" si="14"/>
        <v>0</v>
      </c>
    </row>
    <row r="321" spans="1:17" x14ac:dyDescent="0.25">
      <c r="A321" t="str">
        <f t="shared" si="12"/>
        <v>Ashley Young</v>
      </c>
      <c r="B321" t="s">
        <v>953</v>
      </c>
      <c r="C321" t="s">
        <v>1340</v>
      </c>
      <c r="D321">
        <v>8</v>
      </c>
      <c r="E321">
        <v>2</v>
      </c>
      <c r="F321">
        <v>42</v>
      </c>
      <c r="G321">
        <v>1864</v>
      </c>
      <c r="H321">
        <v>19</v>
      </c>
      <c r="I321">
        <v>1</v>
      </c>
      <c r="J321">
        <v>4</v>
      </c>
      <c r="K321">
        <v>0.27</v>
      </c>
      <c r="L321">
        <v>2.87</v>
      </c>
      <c r="M321">
        <v>98</v>
      </c>
      <c r="N321">
        <v>354</v>
      </c>
      <c r="O321" t="s">
        <v>1340</v>
      </c>
      <c r="P321">
        <f t="shared" si="13"/>
        <v>1.303648068669528E-2</v>
      </c>
      <c r="Q321">
        <f t="shared" si="14"/>
        <v>0.13857296137339056</v>
      </c>
    </row>
    <row r="322" spans="1:17" x14ac:dyDescent="0.25">
      <c r="A322" t="str">
        <f t="shared" ref="A322:A385" si="15">_xlfn.CONCAT(B322, " ", C322)</f>
        <v>Carlos Alcaraz Durán</v>
      </c>
      <c r="B322" t="s">
        <v>268</v>
      </c>
      <c r="C322" t="s">
        <v>492</v>
      </c>
      <c r="D322">
        <v>8</v>
      </c>
      <c r="E322">
        <v>3</v>
      </c>
      <c r="F322">
        <v>47</v>
      </c>
      <c r="G322">
        <v>766</v>
      </c>
      <c r="H322">
        <v>7</v>
      </c>
      <c r="I322">
        <v>2</v>
      </c>
      <c r="J322">
        <v>3</v>
      </c>
      <c r="K322">
        <v>1.78</v>
      </c>
      <c r="L322">
        <v>0.68</v>
      </c>
      <c r="M322">
        <v>44</v>
      </c>
      <c r="N322">
        <v>191</v>
      </c>
      <c r="O322" t="s">
        <v>2704</v>
      </c>
      <c r="P322">
        <f t="shared" ref="P322:P385" si="16">IFERROR(K322/G322*90,0)</f>
        <v>0.20913838120104439</v>
      </c>
      <c r="Q322">
        <f t="shared" ref="Q322:Q385" si="17">IFERROR(L322/G322*90,0)</f>
        <v>7.9895561357702358E-2</v>
      </c>
    </row>
    <row r="323" spans="1:17" x14ac:dyDescent="0.25">
      <c r="A323" t="str">
        <f t="shared" si="15"/>
        <v>Jesper Lindstrøm</v>
      </c>
      <c r="B323" t="s">
        <v>2199</v>
      </c>
      <c r="C323" t="s">
        <v>2200</v>
      </c>
      <c r="D323">
        <v>8</v>
      </c>
      <c r="E323">
        <v>3</v>
      </c>
      <c r="F323">
        <v>50</v>
      </c>
      <c r="G323">
        <v>1229</v>
      </c>
      <c r="H323">
        <v>15</v>
      </c>
      <c r="I323">
        <v>0</v>
      </c>
      <c r="J323">
        <v>1</v>
      </c>
      <c r="K323">
        <v>2.15</v>
      </c>
      <c r="L323">
        <v>1.96</v>
      </c>
      <c r="M323">
        <v>44</v>
      </c>
      <c r="N323">
        <v>167</v>
      </c>
      <c r="O323" t="s">
        <v>2200</v>
      </c>
      <c r="P323">
        <f t="shared" si="16"/>
        <v>0.15744507729861676</v>
      </c>
      <c r="Q323">
        <f t="shared" si="17"/>
        <v>0.14353132628152968</v>
      </c>
    </row>
    <row r="324" spans="1:17" x14ac:dyDescent="0.25">
      <c r="A324" t="str">
        <f t="shared" si="15"/>
        <v>Jake O'Brien</v>
      </c>
      <c r="B324" t="s">
        <v>371</v>
      </c>
      <c r="C324" t="s">
        <v>479</v>
      </c>
      <c r="D324">
        <v>8</v>
      </c>
      <c r="E324">
        <v>2</v>
      </c>
      <c r="F324">
        <v>45</v>
      </c>
      <c r="G324">
        <v>1568</v>
      </c>
      <c r="H324">
        <v>17</v>
      </c>
      <c r="I324">
        <v>2</v>
      </c>
      <c r="J324">
        <v>0</v>
      </c>
      <c r="K324">
        <v>0.77</v>
      </c>
      <c r="L324">
        <v>0.31</v>
      </c>
      <c r="M324">
        <v>65</v>
      </c>
      <c r="N324">
        <v>233</v>
      </c>
      <c r="O324" t="s">
        <v>479</v>
      </c>
      <c r="P324">
        <f t="shared" si="16"/>
        <v>4.4196428571428574E-2</v>
      </c>
      <c r="Q324">
        <f t="shared" si="17"/>
        <v>1.7793367346938774E-2</v>
      </c>
    </row>
    <row r="325" spans="1:17" x14ac:dyDescent="0.25">
      <c r="A325" t="str">
        <f t="shared" si="15"/>
        <v>Harrison Armstrong</v>
      </c>
      <c r="B325" t="s">
        <v>493</v>
      </c>
      <c r="C325" t="s">
        <v>494</v>
      </c>
      <c r="D325">
        <v>8</v>
      </c>
      <c r="E325">
        <v>3</v>
      </c>
      <c r="F325">
        <v>44</v>
      </c>
      <c r="G325">
        <v>47</v>
      </c>
      <c r="H325">
        <v>0</v>
      </c>
      <c r="I325">
        <v>0</v>
      </c>
      <c r="J325">
        <v>0</v>
      </c>
      <c r="K325">
        <v>0.37</v>
      </c>
      <c r="L325">
        <v>0</v>
      </c>
      <c r="M325">
        <v>2</v>
      </c>
      <c r="N325">
        <v>1</v>
      </c>
      <c r="O325" t="s">
        <v>494</v>
      </c>
      <c r="P325">
        <f t="shared" si="16"/>
        <v>0.70851063829787242</v>
      </c>
      <c r="Q325">
        <f t="shared" si="17"/>
        <v>0</v>
      </c>
    </row>
    <row r="326" spans="1:17" x14ac:dyDescent="0.25">
      <c r="A326" t="str">
        <f t="shared" si="15"/>
        <v>Jenson Metcalfe</v>
      </c>
      <c r="B326" t="s">
        <v>997</v>
      </c>
      <c r="C326" t="s">
        <v>1639</v>
      </c>
      <c r="D326">
        <v>8</v>
      </c>
      <c r="E326">
        <v>3</v>
      </c>
      <c r="F326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1639</v>
      </c>
      <c r="P326">
        <f t="shared" si="16"/>
        <v>0</v>
      </c>
      <c r="Q326">
        <f t="shared" si="17"/>
        <v>0</v>
      </c>
    </row>
    <row r="327" spans="1:17" x14ac:dyDescent="0.25">
      <c r="A327" t="str">
        <f t="shared" si="15"/>
        <v>Asmir Begovic</v>
      </c>
      <c r="B327" t="s">
        <v>2201</v>
      </c>
      <c r="C327" t="s">
        <v>2202</v>
      </c>
      <c r="D327">
        <v>8</v>
      </c>
      <c r="E327">
        <v>1</v>
      </c>
      <c r="F327">
        <v>40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2202</v>
      </c>
      <c r="P327">
        <f t="shared" si="16"/>
        <v>0</v>
      </c>
      <c r="Q327">
        <f t="shared" si="17"/>
        <v>0</v>
      </c>
    </row>
    <row r="328" spans="1:17" x14ac:dyDescent="0.25">
      <c r="A328" t="str">
        <f t="shared" si="15"/>
        <v>Roman Dixon</v>
      </c>
      <c r="B328" t="s">
        <v>2203</v>
      </c>
      <c r="C328" t="s">
        <v>2204</v>
      </c>
      <c r="D328">
        <v>8</v>
      </c>
      <c r="E328">
        <v>2</v>
      </c>
      <c r="F328">
        <v>39</v>
      </c>
      <c r="G328">
        <v>90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2204</v>
      </c>
      <c r="P328">
        <f t="shared" si="16"/>
        <v>0</v>
      </c>
      <c r="Q328">
        <f t="shared" si="17"/>
        <v>0</v>
      </c>
    </row>
    <row r="329" spans="1:17" x14ac:dyDescent="0.25">
      <c r="A329" t="str">
        <f t="shared" si="15"/>
        <v>Orel Mangala</v>
      </c>
      <c r="B329" t="s">
        <v>1895</v>
      </c>
      <c r="C329" t="s">
        <v>1896</v>
      </c>
      <c r="D329">
        <v>8</v>
      </c>
      <c r="E329">
        <v>3</v>
      </c>
      <c r="F329">
        <v>50</v>
      </c>
      <c r="G329">
        <v>1257</v>
      </c>
      <c r="H329">
        <v>14</v>
      </c>
      <c r="I329">
        <v>1</v>
      </c>
      <c r="J329">
        <v>0</v>
      </c>
      <c r="K329">
        <v>1.1299999999999999</v>
      </c>
      <c r="L329">
        <v>0.59</v>
      </c>
      <c r="M329">
        <v>39</v>
      </c>
      <c r="N329">
        <v>175</v>
      </c>
      <c r="O329" t="s">
        <v>1896</v>
      </c>
      <c r="P329">
        <f t="shared" si="16"/>
        <v>8.0906921241050117E-2</v>
      </c>
      <c r="Q329">
        <f t="shared" si="17"/>
        <v>4.2243436754176612E-2</v>
      </c>
    </row>
    <row r="330" spans="1:17" x14ac:dyDescent="0.25">
      <c r="A330" t="str">
        <f t="shared" si="15"/>
        <v>Callum Bates</v>
      </c>
      <c r="B330" t="s">
        <v>227</v>
      </c>
      <c r="C330" t="s">
        <v>2205</v>
      </c>
      <c r="D330">
        <v>8</v>
      </c>
      <c r="E330">
        <v>3</v>
      </c>
      <c r="F330">
        <v>45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2205</v>
      </c>
      <c r="P330">
        <f t="shared" si="16"/>
        <v>0</v>
      </c>
      <c r="Q330">
        <f t="shared" si="17"/>
        <v>0</v>
      </c>
    </row>
    <row r="331" spans="1:17" x14ac:dyDescent="0.25">
      <c r="A331" t="str">
        <f t="shared" si="15"/>
        <v>Martin Sherif</v>
      </c>
      <c r="B331" t="s">
        <v>48</v>
      </c>
      <c r="C331" t="s">
        <v>2206</v>
      </c>
      <c r="D331">
        <v>8</v>
      </c>
      <c r="E331">
        <v>4</v>
      </c>
      <c r="F331">
        <v>45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2206</v>
      </c>
      <c r="P331">
        <f t="shared" si="16"/>
        <v>0</v>
      </c>
      <c r="Q331">
        <f t="shared" si="17"/>
        <v>0</v>
      </c>
    </row>
    <row r="332" spans="1:17" x14ac:dyDescent="0.25">
      <c r="A332" t="str">
        <f t="shared" si="15"/>
        <v>David Moyes</v>
      </c>
      <c r="B332" t="s">
        <v>20</v>
      </c>
      <c r="C332" t="s">
        <v>2207</v>
      </c>
      <c r="D332">
        <v>8</v>
      </c>
      <c r="E332">
        <v>5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137</v>
      </c>
      <c r="N332">
        <v>0</v>
      </c>
      <c r="O332" t="s">
        <v>2207</v>
      </c>
      <c r="P332">
        <f t="shared" si="16"/>
        <v>0</v>
      </c>
      <c r="Q332">
        <f t="shared" si="17"/>
        <v>0</v>
      </c>
    </row>
    <row r="333" spans="1:17" x14ac:dyDescent="0.25">
      <c r="A333" t="str">
        <f t="shared" si="15"/>
        <v>Isaac Heath</v>
      </c>
      <c r="B333" t="s">
        <v>1845</v>
      </c>
      <c r="C333" t="s">
        <v>2208</v>
      </c>
      <c r="D333">
        <v>8</v>
      </c>
      <c r="E333">
        <v>3</v>
      </c>
      <c r="F333">
        <v>45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2208</v>
      </c>
      <c r="P333">
        <f t="shared" si="16"/>
        <v>0</v>
      </c>
      <c r="Q333">
        <f t="shared" si="17"/>
        <v>0</v>
      </c>
    </row>
    <row r="334" spans="1:17" x14ac:dyDescent="0.25">
      <c r="A334" t="str">
        <f t="shared" si="15"/>
        <v>Coby Ebere</v>
      </c>
      <c r="B334" t="s">
        <v>2209</v>
      </c>
      <c r="C334" t="s">
        <v>2210</v>
      </c>
      <c r="D334">
        <v>8</v>
      </c>
      <c r="E334">
        <v>3</v>
      </c>
      <c r="F334">
        <v>45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2705</v>
      </c>
      <c r="P334">
        <f t="shared" si="16"/>
        <v>0</v>
      </c>
      <c r="Q334">
        <f t="shared" si="17"/>
        <v>0</v>
      </c>
    </row>
    <row r="335" spans="1:17" x14ac:dyDescent="0.25">
      <c r="A335" t="str">
        <f t="shared" si="15"/>
        <v>Reece Welch</v>
      </c>
      <c r="B335" t="s">
        <v>297</v>
      </c>
      <c r="C335" t="s">
        <v>2211</v>
      </c>
      <c r="D335">
        <v>8</v>
      </c>
      <c r="E335">
        <v>2</v>
      </c>
      <c r="F335">
        <v>40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2211</v>
      </c>
      <c r="P335">
        <f t="shared" si="16"/>
        <v>0</v>
      </c>
      <c r="Q335">
        <f t="shared" si="17"/>
        <v>0</v>
      </c>
    </row>
    <row r="336" spans="1:17" x14ac:dyDescent="0.25">
      <c r="A336" t="str">
        <f t="shared" si="15"/>
        <v>Reiss Nelson</v>
      </c>
      <c r="B336" t="s">
        <v>63</v>
      </c>
      <c r="C336" t="s">
        <v>64</v>
      </c>
      <c r="D336">
        <v>9</v>
      </c>
      <c r="E336">
        <v>3</v>
      </c>
      <c r="F336">
        <v>50</v>
      </c>
      <c r="G336">
        <v>483</v>
      </c>
      <c r="H336">
        <v>5</v>
      </c>
      <c r="I336">
        <v>1</v>
      </c>
      <c r="J336">
        <v>1</v>
      </c>
      <c r="K336">
        <v>1.07</v>
      </c>
      <c r="L336">
        <v>0.96</v>
      </c>
      <c r="M336">
        <v>27</v>
      </c>
      <c r="N336">
        <v>143</v>
      </c>
      <c r="O336" t="s">
        <v>64</v>
      </c>
      <c r="P336">
        <f t="shared" si="16"/>
        <v>0.19937888198757764</v>
      </c>
      <c r="Q336">
        <f t="shared" si="17"/>
        <v>0.17888198757763976</v>
      </c>
    </row>
    <row r="337" spans="1:17" x14ac:dyDescent="0.25">
      <c r="A337" t="str">
        <f t="shared" si="15"/>
        <v>Emile Smith Rowe</v>
      </c>
      <c r="B337" t="s">
        <v>522</v>
      </c>
      <c r="C337" t="s">
        <v>523</v>
      </c>
      <c r="D337">
        <v>9</v>
      </c>
      <c r="E337">
        <v>3</v>
      </c>
      <c r="F337">
        <v>50</v>
      </c>
      <c r="G337">
        <v>2036</v>
      </c>
      <c r="H337">
        <v>25</v>
      </c>
      <c r="I337">
        <v>6</v>
      </c>
      <c r="J337">
        <v>3</v>
      </c>
      <c r="K337">
        <v>4.45</v>
      </c>
      <c r="L337">
        <v>2.04</v>
      </c>
      <c r="M337">
        <v>114</v>
      </c>
      <c r="N337">
        <v>449</v>
      </c>
      <c r="O337" t="s">
        <v>523</v>
      </c>
      <c r="P337">
        <f t="shared" si="16"/>
        <v>0.19670923379174854</v>
      </c>
      <c r="Q337">
        <f t="shared" si="17"/>
        <v>9.0176817288801572E-2</v>
      </c>
    </row>
    <row r="338" spans="1:17" x14ac:dyDescent="0.25">
      <c r="A338" t="str">
        <f t="shared" si="15"/>
        <v>Joachim Andersen</v>
      </c>
      <c r="B338" t="s">
        <v>509</v>
      </c>
      <c r="C338" t="s">
        <v>510</v>
      </c>
      <c r="D338">
        <v>9</v>
      </c>
      <c r="E338">
        <v>2</v>
      </c>
      <c r="F338">
        <v>42</v>
      </c>
      <c r="G338">
        <v>2673</v>
      </c>
      <c r="H338">
        <v>30</v>
      </c>
      <c r="I338">
        <v>0</v>
      </c>
      <c r="J338">
        <v>0</v>
      </c>
      <c r="K338">
        <v>1.04</v>
      </c>
      <c r="L338">
        <v>0.56999999999999995</v>
      </c>
      <c r="M338">
        <v>51</v>
      </c>
      <c r="N338">
        <v>306</v>
      </c>
      <c r="O338" t="s">
        <v>510</v>
      </c>
      <c r="P338">
        <f t="shared" si="16"/>
        <v>3.5016835016835016E-2</v>
      </c>
      <c r="Q338">
        <f t="shared" si="17"/>
        <v>1.9191919191919191E-2</v>
      </c>
    </row>
    <row r="339" spans="1:17" x14ac:dyDescent="0.25">
      <c r="A339" t="str">
        <f t="shared" si="15"/>
        <v>Adama Traoré</v>
      </c>
      <c r="B339" t="s">
        <v>1670</v>
      </c>
      <c r="C339" t="s">
        <v>1323</v>
      </c>
      <c r="D339">
        <v>9</v>
      </c>
      <c r="E339">
        <v>3</v>
      </c>
      <c r="F339">
        <v>45</v>
      </c>
      <c r="G339">
        <v>1756</v>
      </c>
      <c r="H339">
        <v>18</v>
      </c>
      <c r="I339">
        <v>2</v>
      </c>
      <c r="J339">
        <v>8</v>
      </c>
      <c r="K339">
        <v>4.1100000000000003</v>
      </c>
      <c r="L339">
        <v>4.6100000000000003</v>
      </c>
      <c r="M339">
        <v>95</v>
      </c>
      <c r="N339">
        <v>384</v>
      </c>
      <c r="O339" t="s">
        <v>1670</v>
      </c>
      <c r="P339">
        <f t="shared" si="16"/>
        <v>0.21064920273348522</v>
      </c>
      <c r="Q339">
        <f t="shared" si="17"/>
        <v>0.23627562642369021</v>
      </c>
    </row>
    <row r="340" spans="1:17" x14ac:dyDescent="0.25">
      <c r="A340" t="str">
        <f t="shared" si="15"/>
        <v>Andreas Hoelgebaum Pereira</v>
      </c>
      <c r="B340" t="s">
        <v>1646</v>
      </c>
      <c r="C340" t="s">
        <v>1647</v>
      </c>
      <c r="D340">
        <v>9</v>
      </c>
      <c r="E340">
        <v>3</v>
      </c>
      <c r="F340">
        <v>49</v>
      </c>
      <c r="G340">
        <v>2004</v>
      </c>
      <c r="H340">
        <v>25</v>
      </c>
      <c r="I340">
        <v>2</v>
      </c>
      <c r="J340">
        <v>6</v>
      </c>
      <c r="K340">
        <v>4.24</v>
      </c>
      <c r="L340">
        <v>4.63</v>
      </c>
      <c r="M340">
        <v>81</v>
      </c>
      <c r="N340">
        <v>355</v>
      </c>
      <c r="O340" t="s">
        <v>1646</v>
      </c>
      <c r="P340">
        <f t="shared" si="16"/>
        <v>0.19041916167664671</v>
      </c>
      <c r="Q340">
        <f t="shared" si="17"/>
        <v>0.20793413173652694</v>
      </c>
    </row>
    <row r="341" spans="1:17" x14ac:dyDescent="0.25">
      <c r="A341" t="str">
        <f t="shared" si="15"/>
        <v>Calvin Bassey</v>
      </c>
      <c r="B341" t="s">
        <v>517</v>
      </c>
      <c r="C341" t="s">
        <v>518</v>
      </c>
      <c r="D341">
        <v>9</v>
      </c>
      <c r="E341">
        <v>2</v>
      </c>
      <c r="F341">
        <v>45</v>
      </c>
      <c r="G341">
        <v>3074</v>
      </c>
      <c r="H341">
        <v>34</v>
      </c>
      <c r="I341">
        <v>1</v>
      </c>
      <c r="J341">
        <v>0</v>
      </c>
      <c r="K341">
        <v>1.02</v>
      </c>
      <c r="L341">
        <v>0.42</v>
      </c>
      <c r="M341">
        <v>75</v>
      </c>
      <c r="N341">
        <v>390</v>
      </c>
      <c r="O341" t="s">
        <v>518</v>
      </c>
      <c r="P341">
        <f t="shared" si="16"/>
        <v>2.9863370201691608E-2</v>
      </c>
      <c r="Q341">
        <f t="shared" si="17"/>
        <v>1.2296681847755368E-2</v>
      </c>
    </row>
    <row r="342" spans="1:17" x14ac:dyDescent="0.25">
      <c r="A342" t="str">
        <f t="shared" si="15"/>
        <v>Steven Benda</v>
      </c>
      <c r="B342" t="s">
        <v>927</v>
      </c>
      <c r="C342" t="s">
        <v>928</v>
      </c>
      <c r="D342">
        <v>9</v>
      </c>
      <c r="E342">
        <v>1</v>
      </c>
      <c r="F342">
        <v>39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928</v>
      </c>
      <c r="P342">
        <f t="shared" si="16"/>
        <v>0</v>
      </c>
      <c r="Q342">
        <f t="shared" si="17"/>
        <v>0</v>
      </c>
    </row>
    <row r="343" spans="1:17" x14ac:dyDescent="0.25">
      <c r="A343" t="str">
        <f t="shared" si="15"/>
        <v>Tom Cairney</v>
      </c>
      <c r="B343" t="s">
        <v>272</v>
      </c>
      <c r="C343" t="s">
        <v>528</v>
      </c>
      <c r="D343">
        <v>9</v>
      </c>
      <c r="E343">
        <v>3</v>
      </c>
      <c r="F343">
        <v>48</v>
      </c>
      <c r="G343">
        <v>610</v>
      </c>
      <c r="H343">
        <v>3</v>
      </c>
      <c r="I343">
        <v>2</v>
      </c>
      <c r="J343">
        <v>0</v>
      </c>
      <c r="K343">
        <v>0.73</v>
      </c>
      <c r="L343">
        <v>1.1399999999999999</v>
      </c>
      <c r="M343">
        <v>33</v>
      </c>
      <c r="N343">
        <v>192</v>
      </c>
      <c r="O343" t="s">
        <v>528</v>
      </c>
      <c r="P343">
        <f t="shared" si="16"/>
        <v>0.10770491803278689</v>
      </c>
      <c r="Q343">
        <f t="shared" si="17"/>
        <v>0.16819672131147539</v>
      </c>
    </row>
    <row r="344" spans="1:17" x14ac:dyDescent="0.25">
      <c r="A344" t="str">
        <f t="shared" si="15"/>
        <v>Timothy Castagne</v>
      </c>
      <c r="B344" t="s">
        <v>519</v>
      </c>
      <c r="C344" t="s">
        <v>520</v>
      </c>
      <c r="D344">
        <v>9</v>
      </c>
      <c r="E344">
        <v>2</v>
      </c>
      <c r="F344">
        <v>42</v>
      </c>
      <c r="G344">
        <v>1642</v>
      </c>
      <c r="H344">
        <v>17</v>
      </c>
      <c r="I344">
        <v>0</v>
      </c>
      <c r="J344">
        <v>1</v>
      </c>
      <c r="K344">
        <v>0.38</v>
      </c>
      <c r="L344">
        <v>0.56000000000000005</v>
      </c>
      <c r="M344">
        <v>46</v>
      </c>
      <c r="N344">
        <v>205</v>
      </c>
      <c r="O344" t="s">
        <v>520</v>
      </c>
      <c r="P344">
        <f t="shared" si="16"/>
        <v>2.0828258221680877E-2</v>
      </c>
      <c r="Q344">
        <f t="shared" si="17"/>
        <v>3.0694275274056031E-2</v>
      </c>
    </row>
    <row r="345" spans="1:17" x14ac:dyDescent="0.25">
      <c r="A345" t="str">
        <f t="shared" si="15"/>
        <v>Issa Diop</v>
      </c>
      <c r="B345" t="s">
        <v>600</v>
      </c>
      <c r="C345" t="s">
        <v>601</v>
      </c>
      <c r="D345">
        <v>9</v>
      </c>
      <c r="E345">
        <v>2</v>
      </c>
      <c r="F345">
        <v>43</v>
      </c>
      <c r="G345">
        <v>1334</v>
      </c>
      <c r="H345">
        <v>15</v>
      </c>
      <c r="I345">
        <v>0</v>
      </c>
      <c r="J345">
        <v>0</v>
      </c>
      <c r="K345">
        <v>0.51</v>
      </c>
      <c r="L345">
        <v>7.0000000000000007E-2</v>
      </c>
      <c r="M345">
        <v>31</v>
      </c>
      <c r="N345">
        <v>146</v>
      </c>
      <c r="O345" t="s">
        <v>601</v>
      </c>
      <c r="P345">
        <f t="shared" si="16"/>
        <v>3.440779610194903E-2</v>
      </c>
      <c r="Q345">
        <f t="shared" si="17"/>
        <v>4.7226386806596705E-3</v>
      </c>
    </row>
    <row r="346" spans="1:17" x14ac:dyDescent="0.25">
      <c r="A346" t="str">
        <f t="shared" si="15"/>
        <v>Luke Harris</v>
      </c>
      <c r="B346" t="s">
        <v>375</v>
      </c>
      <c r="C346" t="s">
        <v>1671</v>
      </c>
      <c r="D346">
        <v>9</v>
      </c>
      <c r="E346">
        <v>3</v>
      </c>
      <c r="F346">
        <v>45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1671</v>
      </c>
      <c r="P346">
        <f t="shared" si="16"/>
        <v>0</v>
      </c>
      <c r="Q346">
        <f t="shared" si="17"/>
        <v>0</v>
      </c>
    </row>
    <row r="347" spans="1:17" x14ac:dyDescent="0.25">
      <c r="A347" t="str">
        <f t="shared" si="15"/>
        <v>Alex Iwobi</v>
      </c>
      <c r="B347" t="s">
        <v>153</v>
      </c>
      <c r="C347" t="s">
        <v>521</v>
      </c>
      <c r="D347">
        <v>9</v>
      </c>
      <c r="E347">
        <v>3</v>
      </c>
      <c r="F347">
        <v>54</v>
      </c>
      <c r="G347">
        <v>2981</v>
      </c>
      <c r="H347">
        <v>35</v>
      </c>
      <c r="I347">
        <v>9</v>
      </c>
      <c r="J347">
        <v>6</v>
      </c>
      <c r="K347">
        <v>4.33</v>
      </c>
      <c r="L347">
        <v>6.9</v>
      </c>
      <c r="M347">
        <v>156</v>
      </c>
      <c r="N347">
        <v>704</v>
      </c>
      <c r="O347" t="s">
        <v>521</v>
      </c>
      <c r="P347">
        <f t="shared" si="16"/>
        <v>0.1307279436430728</v>
      </c>
      <c r="Q347">
        <f t="shared" si="17"/>
        <v>0.20831935592083195</v>
      </c>
    </row>
    <row r="348" spans="1:17" x14ac:dyDescent="0.25">
      <c r="A348" t="str">
        <f t="shared" si="15"/>
        <v>Bernd Leno</v>
      </c>
      <c r="B348" t="s">
        <v>504</v>
      </c>
      <c r="C348" t="s">
        <v>505</v>
      </c>
      <c r="D348">
        <v>9</v>
      </c>
      <c r="E348">
        <v>1</v>
      </c>
      <c r="F348">
        <v>50</v>
      </c>
      <c r="G348">
        <v>3420</v>
      </c>
      <c r="H348">
        <v>38</v>
      </c>
      <c r="I348">
        <v>0</v>
      </c>
      <c r="J348">
        <v>2</v>
      </c>
      <c r="K348">
        <v>0</v>
      </c>
      <c r="L348">
        <v>0.03</v>
      </c>
      <c r="M348">
        <v>115</v>
      </c>
      <c r="N348">
        <v>475</v>
      </c>
      <c r="O348" t="s">
        <v>505</v>
      </c>
      <c r="P348">
        <f t="shared" si="16"/>
        <v>0</v>
      </c>
      <c r="Q348">
        <f t="shared" si="17"/>
        <v>7.894736842105263E-4</v>
      </c>
    </row>
    <row r="349" spans="1:17" x14ac:dyDescent="0.25">
      <c r="A349" t="str">
        <f t="shared" si="15"/>
        <v>Saša Lukić</v>
      </c>
      <c r="B349" t="s">
        <v>602</v>
      </c>
      <c r="C349" t="s">
        <v>603</v>
      </c>
      <c r="D349">
        <v>9</v>
      </c>
      <c r="E349">
        <v>3</v>
      </c>
      <c r="F349">
        <v>48</v>
      </c>
      <c r="G349">
        <v>2348</v>
      </c>
      <c r="H349">
        <v>28</v>
      </c>
      <c r="I349">
        <v>0</v>
      </c>
      <c r="J349">
        <v>2</v>
      </c>
      <c r="K349">
        <v>1.1599999999999999</v>
      </c>
      <c r="L349">
        <v>1.4</v>
      </c>
      <c r="M349">
        <v>56</v>
      </c>
      <c r="N349">
        <v>354</v>
      </c>
      <c r="O349" t="s">
        <v>603</v>
      </c>
      <c r="P349">
        <f t="shared" si="16"/>
        <v>4.4463373083475297E-2</v>
      </c>
      <c r="Q349">
        <f t="shared" si="17"/>
        <v>5.3662691652470181E-2</v>
      </c>
    </row>
    <row r="350" spans="1:17" x14ac:dyDescent="0.25">
      <c r="A350" t="str">
        <f t="shared" si="15"/>
        <v>Kevin Mbabu</v>
      </c>
      <c r="B350" t="s">
        <v>204</v>
      </c>
      <c r="C350" t="s">
        <v>1655</v>
      </c>
      <c r="D350">
        <v>9</v>
      </c>
      <c r="E350">
        <v>2</v>
      </c>
      <c r="F350">
        <v>40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1655</v>
      </c>
      <c r="P350">
        <f t="shared" si="16"/>
        <v>0</v>
      </c>
      <c r="Q350">
        <f t="shared" si="17"/>
        <v>0</v>
      </c>
    </row>
    <row r="351" spans="1:17" x14ac:dyDescent="0.25">
      <c r="A351" t="str">
        <f t="shared" si="15"/>
        <v>Rodrigo Muniz Carvalho</v>
      </c>
      <c r="B351" t="s">
        <v>531</v>
      </c>
      <c r="C351" t="s">
        <v>532</v>
      </c>
      <c r="D351">
        <v>9</v>
      </c>
      <c r="E351">
        <v>4</v>
      </c>
      <c r="F351">
        <v>55</v>
      </c>
      <c r="G351">
        <v>943</v>
      </c>
      <c r="H351">
        <v>8</v>
      </c>
      <c r="I351">
        <v>8</v>
      </c>
      <c r="J351">
        <v>1</v>
      </c>
      <c r="K351">
        <v>5.91</v>
      </c>
      <c r="L351">
        <v>0.2</v>
      </c>
      <c r="M351">
        <v>86</v>
      </c>
      <c r="N351">
        <v>349</v>
      </c>
      <c r="O351" t="s">
        <v>2706</v>
      </c>
      <c r="P351">
        <f t="shared" si="16"/>
        <v>0.56405090137857905</v>
      </c>
      <c r="Q351">
        <f t="shared" si="17"/>
        <v>1.9088016967126194E-2</v>
      </c>
    </row>
    <row r="352" spans="1:17" x14ac:dyDescent="0.25">
      <c r="A352" t="str">
        <f t="shared" si="15"/>
        <v>Raúl Jiménez</v>
      </c>
      <c r="B352" t="s">
        <v>1664</v>
      </c>
      <c r="C352" t="s">
        <v>1665</v>
      </c>
      <c r="D352">
        <v>9</v>
      </c>
      <c r="E352">
        <v>4</v>
      </c>
      <c r="F352">
        <v>53</v>
      </c>
      <c r="G352">
        <v>2486</v>
      </c>
      <c r="H352">
        <v>30</v>
      </c>
      <c r="I352">
        <v>12</v>
      </c>
      <c r="J352">
        <v>3</v>
      </c>
      <c r="K352">
        <v>11.97</v>
      </c>
      <c r="L352">
        <v>2.0699999999999998</v>
      </c>
      <c r="M352">
        <v>147</v>
      </c>
      <c r="N352">
        <v>539</v>
      </c>
      <c r="O352" t="s">
        <v>1664</v>
      </c>
      <c r="P352">
        <f t="shared" si="16"/>
        <v>0.43334674175382143</v>
      </c>
      <c r="Q352">
        <f t="shared" si="17"/>
        <v>7.4939662107803701E-2</v>
      </c>
    </row>
    <row r="353" spans="1:17" x14ac:dyDescent="0.25">
      <c r="A353" t="str">
        <f t="shared" si="15"/>
        <v>Tim Ream</v>
      </c>
      <c r="B353" t="s">
        <v>489</v>
      </c>
      <c r="C353" t="s">
        <v>1659</v>
      </c>
      <c r="D353">
        <v>9</v>
      </c>
      <c r="E353">
        <v>2</v>
      </c>
      <c r="F353">
        <v>45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1659</v>
      </c>
      <c r="P353">
        <f t="shared" si="16"/>
        <v>0</v>
      </c>
      <c r="Q353">
        <f t="shared" si="17"/>
        <v>0</v>
      </c>
    </row>
    <row r="354" spans="1:17" x14ac:dyDescent="0.25">
      <c r="A354" t="str">
        <f t="shared" si="15"/>
        <v>Harrison Reed</v>
      </c>
      <c r="B354" t="s">
        <v>493</v>
      </c>
      <c r="C354" t="s">
        <v>530</v>
      </c>
      <c r="D354">
        <v>9</v>
      </c>
      <c r="E354">
        <v>3</v>
      </c>
      <c r="F354">
        <v>47</v>
      </c>
      <c r="G354">
        <v>100</v>
      </c>
      <c r="H354">
        <v>0</v>
      </c>
      <c r="I354">
        <v>0</v>
      </c>
      <c r="J354">
        <v>0</v>
      </c>
      <c r="K354">
        <v>0.23</v>
      </c>
      <c r="L354">
        <v>0.09</v>
      </c>
      <c r="M354">
        <v>10</v>
      </c>
      <c r="N354">
        <v>36</v>
      </c>
      <c r="O354" t="s">
        <v>530</v>
      </c>
      <c r="P354">
        <f t="shared" si="16"/>
        <v>0.20699999999999999</v>
      </c>
      <c r="Q354">
        <f t="shared" si="17"/>
        <v>8.1000000000000003E-2</v>
      </c>
    </row>
    <row r="355" spans="1:17" x14ac:dyDescent="0.25">
      <c r="A355" t="str">
        <f t="shared" si="15"/>
        <v>Antonee Robinson</v>
      </c>
      <c r="B355" t="s">
        <v>511</v>
      </c>
      <c r="C355" t="s">
        <v>512</v>
      </c>
      <c r="D355">
        <v>9</v>
      </c>
      <c r="E355">
        <v>2</v>
      </c>
      <c r="F355">
        <v>47</v>
      </c>
      <c r="G355">
        <v>3166</v>
      </c>
      <c r="H355">
        <v>35</v>
      </c>
      <c r="I355">
        <v>0</v>
      </c>
      <c r="J355">
        <v>10</v>
      </c>
      <c r="K355">
        <v>0.7</v>
      </c>
      <c r="L355">
        <v>4.17</v>
      </c>
      <c r="M355">
        <v>106</v>
      </c>
      <c r="N355">
        <v>507</v>
      </c>
      <c r="O355" t="s">
        <v>512</v>
      </c>
      <c r="P355">
        <f t="shared" si="16"/>
        <v>1.9898926089703093E-2</v>
      </c>
      <c r="Q355">
        <f t="shared" si="17"/>
        <v>0.11854074542008843</v>
      </c>
    </row>
    <row r="356" spans="1:17" x14ac:dyDescent="0.25">
      <c r="A356" t="str">
        <f t="shared" si="15"/>
        <v>Jay Stansfield</v>
      </c>
      <c r="B356" t="s">
        <v>368</v>
      </c>
      <c r="C356" t="s">
        <v>1668</v>
      </c>
      <c r="D356">
        <v>9</v>
      </c>
      <c r="E356">
        <v>4</v>
      </c>
      <c r="F356">
        <v>50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2</v>
      </c>
      <c r="O356" t="s">
        <v>1668</v>
      </c>
      <c r="P356">
        <f t="shared" si="16"/>
        <v>0</v>
      </c>
      <c r="Q356">
        <f t="shared" si="17"/>
        <v>0</v>
      </c>
    </row>
    <row r="357" spans="1:17" x14ac:dyDescent="0.25">
      <c r="A357" t="str">
        <f t="shared" si="15"/>
        <v>Kenny Tete</v>
      </c>
      <c r="B357" t="s">
        <v>515</v>
      </c>
      <c r="C357" t="s">
        <v>516</v>
      </c>
      <c r="D357">
        <v>9</v>
      </c>
      <c r="E357">
        <v>2</v>
      </c>
      <c r="F357">
        <v>44</v>
      </c>
      <c r="G357">
        <v>1773</v>
      </c>
      <c r="H357">
        <v>21</v>
      </c>
      <c r="I357">
        <v>0</v>
      </c>
      <c r="J357">
        <v>2</v>
      </c>
      <c r="K357">
        <v>1.37</v>
      </c>
      <c r="L357">
        <v>0.65</v>
      </c>
      <c r="M357">
        <v>49</v>
      </c>
      <c r="N357">
        <v>207</v>
      </c>
      <c r="O357" t="s">
        <v>516</v>
      </c>
      <c r="P357">
        <f t="shared" si="16"/>
        <v>6.9543147208121839E-2</v>
      </c>
      <c r="Q357">
        <f t="shared" si="17"/>
        <v>3.2994923857868022E-2</v>
      </c>
    </row>
    <row r="358" spans="1:17" x14ac:dyDescent="0.25">
      <c r="A358" t="str">
        <f t="shared" si="15"/>
        <v>Carlos Vinícius Alves Morais</v>
      </c>
      <c r="B358" t="s">
        <v>1662</v>
      </c>
      <c r="C358" t="s">
        <v>1663</v>
      </c>
      <c r="D358">
        <v>9</v>
      </c>
      <c r="E358">
        <v>4</v>
      </c>
      <c r="F358">
        <v>50</v>
      </c>
      <c r="G358">
        <v>13</v>
      </c>
      <c r="H358">
        <v>0</v>
      </c>
      <c r="I358">
        <v>0</v>
      </c>
      <c r="J358">
        <v>0</v>
      </c>
      <c r="K358">
        <v>0.06</v>
      </c>
      <c r="L358">
        <v>0</v>
      </c>
      <c r="M358">
        <v>3</v>
      </c>
      <c r="N358">
        <v>14</v>
      </c>
      <c r="O358" t="s">
        <v>2707</v>
      </c>
      <c r="P358">
        <f t="shared" si="16"/>
        <v>0.41538461538461535</v>
      </c>
      <c r="Q358">
        <f t="shared" si="17"/>
        <v>0</v>
      </c>
    </row>
    <row r="359" spans="1:17" x14ac:dyDescent="0.25">
      <c r="A359" t="str">
        <f t="shared" si="15"/>
        <v>Harry Wilson</v>
      </c>
      <c r="B359" t="s">
        <v>270</v>
      </c>
      <c r="C359" t="s">
        <v>228</v>
      </c>
      <c r="D359">
        <v>9</v>
      </c>
      <c r="E359">
        <v>3</v>
      </c>
      <c r="F359">
        <v>52</v>
      </c>
      <c r="G359">
        <v>1148</v>
      </c>
      <c r="H359">
        <v>12</v>
      </c>
      <c r="I359">
        <v>6</v>
      </c>
      <c r="J359">
        <v>2</v>
      </c>
      <c r="K359">
        <v>4.1900000000000004</v>
      </c>
      <c r="L359">
        <v>1.17</v>
      </c>
      <c r="M359">
        <v>78</v>
      </c>
      <c r="N359">
        <v>329</v>
      </c>
      <c r="O359" t="s">
        <v>228</v>
      </c>
      <c r="P359">
        <f t="shared" si="16"/>
        <v>0.32848432055749133</v>
      </c>
      <c r="Q359">
        <f t="shared" si="17"/>
        <v>9.1724738675958178E-2</v>
      </c>
    </row>
    <row r="360" spans="1:17" x14ac:dyDescent="0.25">
      <c r="A360" t="str">
        <f t="shared" si="15"/>
        <v>Ryan Sessegnon</v>
      </c>
      <c r="B360" t="s">
        <v>164</v>
      </c>
      <c r="C360" t="s">
        <v>529</v>
      </c>
      <c r="D360">
        <v>9</v>
      </c>
      <c r="E360">
        <v>2</v>
      </c>
      <c r="F360">
        <v>42</v>
      </c>
      <c r="G360">
        <v>574</v>
      </c>
      <c r="H360">
        <v>7</v>
      </c>
      <c r="I360">
        <v>4</v>
      </c>
      <c r="J360">
        <v>2</v>
      </c>
      <c r="K360">
        <v>1.64</v>
      </c>
      <c r="L360">
        <v>1.1200000000000001</v>
      </c>
      <c r="M360">
        <v>57</v>
      </c>
      <c r="N360">
        <v>137</v>
      </c>
      <c r="O360" t="s">
        <v>529</v>
      </c>
      <c r="P360">
        <f t="shared" si="16"/>
        <v>0.25714285714285712</v>
      </c>
      <c r="Q360">
        <f t="shared" si="17"/>
        <v>0.17560975609756099</v>
      </c>
    </row>
    <row r="361" spans="1:17" x14ac:dyDescent="0.25">
      <c r="A361" t="str">
        <f t="shared" si="15"/>
        <v>Jorge Cuenca Barreno</v>
      </c>
      <c r="B361" t="s">
        <v>513</v>
      </c>
      <c r="C361" t="s">
        <v>514</v>
      </c>
      <c r="D361">
        <v>9</v>
      </c>
      <c r="E361">
        <v>2</v>
      </c>
      <c r="F361">
        <v>44</v>
      </c>
      <c r="G361">
        <v>349</v>
      </c>
      <c r="H361">
        <v>4</v>
      </c>
      <c r="I361">
        <v>0</v>
      </c>
      <c r="J361">
        <v>0</v>
      </c>
      <c r="K361">
        <v>0.02</v>
      </c>
      <c r="L361">
        <v>0.01</v>
      </c>
      <c r="M361">
        <v>9</v>
      </c>
      <c r="N361">
        <v>38</v>
      </c>
      <c r="O361" t="s">
        <v>2708</v>
      </c>
      <c r="P361">
        <f t="shared" si="16"/>
        <v>5.1575931232091697E-3</v>
      </c>
      <c r="Q361">
        <f t="shared" si="17"/>
        <v>2.5787965616045848E-3</v>
      </c>
    </row>
    <row r="362" spans="1:17" x14ac:dyDescent="0.25">
      <c r="A362" t="str">
        <f t="shared" si="15"/>
        <v>Josh King</v>
      </c>
      <c r="B362" t="s">
        <v>219</v>
      </c>
      <c r="C362" t="s">
        <v>475</v>
      </c>
      <c r="D362">
        <v>9</v>
      </c>
      <c r="E362">
        <v>3</v>
      </c>
      <c r="F362">
        <v>44</v>
      </c>
      <c r="G362">
        <v>126</v>
      </c>
      <c r="H362">
        <v>1</v>
      </c>
      <c r="I362">
        <v>0</v>
      </c>
      <c r="J362">
        <v>0</v>
      </c>
      <c r="K362">
        <v>0.28000000000000003</v>
      </c>
      <c r="L362">
        <v>0.67</v>
      </c>
      <c r="M362">
        <v>10</v>
      </c>
      <c r="N362">
        <v>30</v>
      </c>
      <c r="O362" t="s">
        <v>475</v>
      </c>
      <c r="P362">
        <f t="shared" si="16"/>
        <v>0.2</v>
      </c>
      <c r="Q362">
        <f t="shared" si="17"/>
        <v>0.47857142857142865</v>
      </c>
    </row>
    <row r="363" spans="1:17" x14ac:dyDescent="0.25">
      <c r="A363" t="str">
        <f t="shared" si="15"/>
        <v>Martial Godo</v>
      </c>
      <c r="B363" t="s">
        <v>1811</v>
      </c>
      <c r="C363" t="s">
        <v>2212</v>
      </c>
      <c r="D363">
        <v>9</v>
      </c>
      <c r="E363">
        <v>3</v>
      </c>
      <c r="F363">
        <v>44</v>
      </c>
      <c r="G363">
        <v>21</v>
      </c>
      <c r="H363">
        <v>0</v>
      </c>
      <c r="I363">
        <v>0</v>
      </c>
      <c r="J363">
        <v>0</v>
      </c>
      <c r="K363">
        <v>0</v>
      </c>
      <c r="L363">
        <v>7.0000000000000007E-2</v>
      </c>
      <c r="M363">
        <v>2</v>
      </c>
      <c r="N363">
        <v>4</v>
      </c>
      <c r="O363" t="s">
        <v>2212</v>
      </c>
      <c r="P363">
        <f t="shared" si="16"/>
        <v>0</v>
      </c>
      <c r="Q363">
        <f t="shared" si="17"/>
        <v>0.30000000000000004</v>
      </c>
    </row>
    <row r="364" spans="1:17" x14ac:dyDescent="0.25">
      <c r="A364" t="str">
        <f t="shared" si="15"/>
        <v>Sander Berge</v>
      </c>
      <c r="B364" t="s">
        <v>526</v>
      </c>
      <c r="C364" t="s">
        <v>527</v>
      </c>
      <c r="D364">
        <v>9</v>
      </c>
      <c r="E364">
        <v>3</v>
      </c>
      <c r="F364">
        <v>50</v>
      </c>
      <c r="G364">
        <v>2221</v>
      </c>
      <c r="H364">
        <v>26</v>
      </c>
      <c r="I364">
        <v>0</v>
      </c>
      <c r="J364">
        <v>0</v>
      </c>
      <c r="K364">
        <v>0.45</v>
      </c>
      <c r="L364">
        <v>0.63</v>
      </c>
      <c r="M364">
        <v>53</v>
      </c>
      <c r="N364">
        <v>334</v>
      </c>
      <c r="O364" t="s">
        <v>527</v>
      </c>
      <c r="P364">
        <f t="shared" si="16"/>
        <v>1.8235029266096353E-2</v>
      </c>
      <c r="Q364">
        <f t="shared" si="17"/>
        <v>2.5529040972534896E-2</v>
      </c>
    </row>
    <row r="365" spans="1:17" x14ac:dyDescent="0.25">
      <c r="A365" t="str">
        <f t="shared" si="15"/>
        <v>Samuel Amissah</v>
      </c>
      <c r="B365" t="s">
        <v>109</v>
      </c>
      <c r="C365" t="s">
        <v>1935</v>
      </c>
      <c r="D365">
        <v>9</v>
      </c>
      <c r="E365">
        <v>2</v>
      </c>
      <c r="F365">
        <v>40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1935</v>
      </c>
      <c r="P365">
        <f t="shared" si="16"/>
        <v>0</v>
      </c>
      <c r="Q365">
        <f t="shared" si="17"/>
        <v>0</v>
      </c>
    </row>
    <row r="366" spans="1:17" x14ac:dyDescent="0.25">
      <c r="A366" t="str">
        <f t="shared" si="15"/>
        <v>Marco Alexandre Saraiva da Silva</v>
      </c>
      <c r="B366" t="s">
        <v>2213</v>
      </c>
      <c r="C366" t="s">
        <v>2214</v>
      </c>
      <c r="D366">
        <v>9</v>
      </c>
      <c r="E366">
        <v>5</v>
      </c>
      <c r="F366">
        <v>11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94</v>
      </c>
      <c r="N366">
        <v>0</v>
      </c>
      <c r="O366" t="s">
        <v>2066</v>
      </c>
      <c r="P366">
        <f t="shared" si="16"/>
        <v>0</v>
      </c>
      <c r="Q366">
        <f t="shared" si="17"/>
        <v>0</v>
      </c>
    </row>
    <row r="367" spans="1:17" x14ac:dyDescent="0.25">
      <c r="A367" t="str">
        <f t="shared" si="15"/>
        <v>Willian Borges da Silva</v>
      </c>
      <c r="B367" t="s">
        <v>1666</v>
      </c>
      <c r="C367" t="s">
        <v>1667</v>
      </c>
      <c r="D367">
        <v>9</v>
      </c>
      <c r="E367">
        <v>3</v>
      </c>
      <c r="F367">
        <v>50</v>
      </c>
      <c r="G367">
        <v>251</v>
      </c>
      <c r="H367">
        <v>2</v>
      </c>
      <c r="I367">
        <v>0</v>
      </c>
      <c r="J367">
        <v>0</v>
      </c>
      <c r="K367">
        <v>0.28000000000000003</v>
      </c>
      <c r="L367">
        <v>0.72</v>
      </c>
      <c r="M367">
        <v>13</v>
      </c>
      <c r="N367">
        <v>54</v>
      </c>
      <c r="O367" t="s">
        <v>1666</v>
      </c>
      <c r="P367">
        <f t="shared" si="16"/>
        <v>0.10039840637450199</v>
      </c>
      <c r="Q367">
        <f t="shared" si="17"/>
        <v>0.25816733067729086</v>
      </c>
    </row>
    <row r="368" spans="1:17" x14ac:dyDescent="0.25">
      <c r="A368" t="str">
        <f t="shared" si="15"/>
        <v>Julio Enciso</v>
      </c>
      <c r="B368" t="s">
        <v>147</v>
      </c>
      <c r="C368" t="s">
        <v>652</v>
      </c>
      <c r="D368">
        <v>10</v>
      </c>
      <c r="E368">
        <v>3</v>
      </c>
      <c r="F368">
        <v>54</v>
      </c>
      <c r="G368">
        <v>1155</v>
      </c>
      <c r="H368">
        <v>14</v>
      </c>
      <c r="I368">
        <v>2</v>
      </c>
      <c r="J368">
        <v>3</v>
      </c>
      <c r="K368">
        <v>2.82</v>
      </c>
      <c r="L368">
        <v>1.32</v>
      </c>
      <c r="M368">
        <v>59</v>
      </c>
      <c r="N368">
        <v>224</v>
      </c>
      <c r="O368" t="s">
        <v>652</v>
      </c>
      <c r="P368">
        <f t="shared" si="16"/>
        <v>0.21974025974025971</v>
      </c>
      <c r="Q368">
        <f t="shared" si="17"/>
        <v>0.10285714285714287</v>
      </c>
    </row>
    <row r="369" spans="1:17" x14ac:dyDescent="0.25">
      <c r="A369" t="str">
        <f t="shared" si="15"/>
        <v>Ali Al-Hamadi</v>
      </c>
      <c r="B369" t="s">
        <v>638</v>
      </c>
      <c r="C369" t="s">
        <v>639</v>
      </c>
      <c r="D369">
        <v>10</v>
      </c>
      <c r="E369">
        <v>4</v>
      </c>
      <c r="F369">
        <v>47</v>
      </c>
      <c r="G369">
        <v>125</v>
      </c>
      <c r="H369">
        <v>0</v>
      </c>
      <c r="I369">
        <v>0</v>
      </c>
      <c r="J369">
        <v>0</v>
      </c>
      <c r="K369">
        <v>0.35</v>
      </c>
      <c r="L369">
        <v>0.04</v>
      </c>
      <c r="M369">
        <v>8</v>
      </c>
      <c r="N369">
        <v>15</v>
      </c>
      <c r="O369" t="s">
        <v>639</v>
      </c>
      <c r="P369">
        <f t="shared" si="16"/>
        <v>0.252</v>
      </c>
      <c r="Q369">
        <f t="shared" si="17"/>
        <v>2.8800000000000003E-2</v>
      </c>
    </row>
    <row r="370" spans="1:17" x14ac:dyDescent="0.25">
      <c r="A370" t="str">
        <f t="shared" si="15"/>
        <v>Elkan Baggott</v>
      </c>
      <c r="B370" t="s">
        <v>2215</v>
      </c>
      <c r="C370" t="s">
        <v>2216</v>
      </c>
      <c r="D370">
        <v>10</v>
      </c>
      <c r="E370">
        <v>2</v>
      </c>
      <c r="F370">
        <v>40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2216</v>
      </c>
      <c r="P370">
        <f t="shared" si="16"/>
        <v>0</v>
      </c>
      <c r="Q370">
        <f t="shared" si="17"/>
        <v>0</v>
      </c>
    </row>
    <row r="371" spans="1:17" x14ac:dyDescent="0.25">
      <c r="A371" t="str">
        <f t="shared" si="15"/>
        <v>Nathan Broadhead</v>
      </c>
      <c r="B371" t="s">
        <v>185</v>
      </c>
      <c r="C371" t="s">
        <v>2217</v>
      </c>
      <c r="D371">
        <v>10</v>
      </c>
      <c r="E371">
        <v>3</v>
      </c>
      <c r="F371">
        <v>49</v>
      </c>
      <c r="G371">
        <v>690</v>
      </c>
      <c r="H371">
        <v>7</v>
      </c>
      <c r="I371">
        <v>2</v>
      </c>
      <c r="J371">
        <v>0</v>
      </c>
      <c r="K371">
        <v>1.74</v>
      </c>
      <c r="L371">
        <v>1.05</v>
      </c>
      <c r="M371">
        <v>37</v>
      </c>
      <c r="N371">
        <v>137</v>
      </c>
      <c r="O371" t="s">
        <v>2217</v>
      </c>
      <c r="P371">
        <f t="shared" si="16"/>
        <v>0.22695652173913045</v>
      </c>
      <c r="Q371">
        <f t="shared" si="17"/>
        <v>0.13695652173913042</v>
      </c>
    </row>
    <row r="372" spans="1:17" x14ac:dyDescent="0.25">
      <c r="A372" t="str">
        <f t="shared" si="15"/>
        <v>Cameron Burgess</v>
      </c>
      <c r="B372" t="s">
        <v>1225</v>
      </c>
      <c r="C372" t="s">
        <v>2218</v>
      </c>
      <c r="D372">
        <v>10</v>
      </c>
      <c r="E372">
        <v>2</v>
      </c>
      <c r="F372">
        <v>38</v>
      </c>
      <c r="G372">
        <v>1540</v>
      </c>
      <c r="H372">
        <v>16</v>
      </c>
      <c r="I372">
        <v>0</v>
      </c>
      <c r="J372">
        <v>2</v>
      </c>
      <c r="K372">
        <v>1.08</v>
      </c>
      <c r="L372">
        <v>0.34</v>
      </c>
      <c r="M372">
        <v>26</v>
      </c>
      <c r="N372">
        <v>122</v>
      </c>
      <c r="O372" t="s">
        <v>2218</v>
      </c>
      <c r="P372">
        <f t="shared" si="16"/>
        <v>6.3116883116883127E-2</v>
      </c>
      <c r="Q372">
        <f t="shared" si="17"/>
        <v>1.9870129870129871E-2</v>
      </c>
    </row>
    <row r="373" spans="1:17" x14ac:dyDescent="0.25">
      <c r="A373" t="str">
        <f t="shared" si="15"/>
        <v>Wes Burns</v>
      </c>
      <c r="B373" t="s">
        <v>619</v>
      </c>
      <c r="C373" t="s">
        <v>620</v>
      </c>
      <c r="D373">
        <v>10</v>
      </c>
      <c r="E373">
        <v>3</v>
      </c>
      <c r="F373">
        <v>47</v>
      </c>
      <c r="G373">
        <v>922</v>
      </c>
      <c r="H373">
        <v>12</v>
      </c>
      <c r="I373">
        <v>0</v>
      </c>
      <c r="J373">
        <v>1</v>
      </c>
      <c r="K373">
        <v>0.5</v>
      </c>
      <c r="L373">
        <v>1.17</v>
      </c>
      <c r="M373">
        <v>30</v>
      </c>
      <c r="N373">
        <v>144</v>
      </c>
      <c r="O373" t="s">
        <v>620</v>
      </c>
      <c r="P373">
        <f t="shared" si="16"/>
        <v>4.8806941431670282E-2</v>
      </c>
      <c r="Q373">
        <f t="shared" si="17"/>
        <v>0.11420824295010845</v>
      </c>
    </row>
    <row r="374" spans="1:17" x14ac:dyDescent="0.25">
      <c r="A374" t="str">
        <f t="shared" si="15"/>
        <v>Conor Chaplin</v>
      </c>
      <c r="B374" t="s">
        <v>708</v>
      </c>
      <c r="C374" t="s">
        <v>2219</v>
      </c>
      <c r="D374">
        <v>10</v>
      </c>
      <c r="E374">
        <v>3</v>
      </c>
      <c r="F374">
        <v>51</v>
      </c>
      <c r="G374">
        <v>845</v>
      </c>
      <c r="H374">
        <v>10</v>
      </c>
      <c r="I374">
        <v>1</v>
      </c>
      <c r="J374">
        <v>2</v>
      </c>
      <c r="K374">
        <v>1.52</v>
      </c>
      <c r="L374">
        <v>0.61</v>
      </c>
      <c r="M374">
        <v>41</v>
      </c>
      <c r="N374">
        <v>139</v>
      </c>
      <c r="O374" t="s">
        <v>2219</v>
      </c>
      <c r="P374">
        <f t="shared" si="16"/>
        <v>0.16189349112426035</v>
      </c>
      <c r="Q374">
        <f t="shared" si="17"/>
        <v>6.4970414201183435E-2</v>
      </c>
    </row>
    <row r="375" spans="1:17" x14ac:dyDescent="0.25">
      <c r="A375" t="str">
        <f t="shared" si="15"/>
        <v>Harry Clarke</v>
      </c>
      <c r="B375" t="s">
        <v>270</v>
      </c>
      <c r="C375" t="s">
        <v>622</v>
      </c>
      <c r="D375">
        <v>10</v>
      </c>
      <c r="E375">
        <v>2</v>
      </c>
      <c r="F375">
        <v>40</v>
      </c>
      <c r="G375">
        <v>377</v>
      </c>
      <c r="H375">
        <v>4</v>
      </c>
      <c r="I375">
        <v>0</v>
      </c>
      <c r="J375">
        <v>0</v>
      </c>
      <c r="K375">
        <v>0.08</v>
      </c>
      <c r="L375">
        <v>0.1</v>
      </c>
      <c r="M375">
        <v>1</v>
      </c>
      <c r="N375">
        <v>-5</v>
      </c>
      <c r="O375" t="s">
        <v>2709</v>
      </c>
      <c r="P375">
        <f t="shared" si="16"/>
        <v>1.9098143236074273E-2</v>
      </c>
      <c r="Q375">
        <f t="shared" si="17"/>
        <v>2.387267904509284E-2</v>
      </c>
    </row>
    <row r="376" spans="1:17" x14ac:dyDescent="0.25">
      <c r="A376" t="str">
        <f t="shared" si="15"/>
        <v>Leif Davis</v>
      </c>
      <c r="B376" t="s">
        <v>610</v>
      </c>
      <c r="C376" t="s">
        <v>611</v>
      </c>
      <c r="D376">
        <v>10</v>
      </c>
      <c r="E376">
        <v>2</v>
      </c>
      <c r="F376">
        <v>42</v>
      </c>
      <c r="G376">
        <v>2742</v>
      </c>
      <c r="H376">
        <v>32</v>
      </c>
      <c r="I376">
        <v>1</v>
      </c>
      <c r="J376">
        <v>2</v>
      </c>
      <c r="K376">
        <v>0.98</v>
      </c>
      <c r="L376">
        <v>4.74</v>
      </c>
      <c r="M376">
        <v>52</v>
      </c>
      <c r="N376">
        <v>174</v>
      </c>
      <c r="O376" t="s">
        <v>611</v>
      </c>
      <c r="P376">
        <f t="shared" si="16"/>
        <v>3.216630196936543E-2</v>
      </c>
      <c r="Q376">
        <f t="shared" si="17"/>
        <v>0.15557986870897156</v>
      </c>
    </row>
    <row r="377" spans="1:17" x14ac:dyDescent="0.25">
      <c r="A377" t="str">
        <f t="shared" si="15"/>
        <v>Liam Delap</v>
      </c>
      <c r="B377" t="s">
        <v>338</v>
      </c>
      <c r="C377" t="s">
        <v>339</v>
      </c>
      <c r="D377">
        <v>10</v>
      </c>
      <c r="E377">
        <v>4</v>
      </c>
      <c r="F377">
        <v>56</v>
      </c>
      <c r="G377">
        <v>2587</v>
      </c>
      <c r="H377">
        <v>32</v>
      </c>
      <c r="I377">
        <v>12</v>
      </c>
      <c r="J377">
        <v>2</v>
      </c>
      <c r="K377">
        <v>9.44</v>
      </c>
      <c r="L377">
        <v>1.38</v>
      </c>
      <c r="M377">
        <v>132</v>
      </c>
      <c r="N377">
        <v>472</v>
      </c>
      <c r="O377" t="s">
        <v>339</v>
      </c>
      <c r="P377">
        <f t="shared" si="16"/>
        <v>0.32841128720525703</v>
      </c>
      <c r="Q377">
        <f t="shared" si="17"/>
        <v>4.8009277155005796E-2</v>
      </c>
    </row>
    <row r="378" spans="1:17" x14ac:dyDescent="0.25">
      <c r="A378" t="str">
        <f t="shared" si="15"/>
        <v>George Edmundson</v>
      </c>
      <c r="B378" t="s">
        <v>113</v>
      </c>
      <c r="C378" t="s">
        <v>2220</v>
      </c>
      <c r="D378">
        <v>10</v>
      </c>
      <c r="E378">
        <v>2</v>
      </c>
      <c r="F378">
        <v>40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3</v>
      </c>
      <c r="O378" t="s">
        <v>2220</v>
      </c>
      <c r="P378">
        <f t="shared" si="16"/>
        <v>0</v>
      </c>
      <c r="Q378">
        <f t="shared" si="17"/>
        <v>0</v>
      </c>
    </row>
    <row r="379" spans="1:17" x14ac:dyDescent="0.25">
      <c r="A379" t="str">
        <f t="shared" si="15"/>
        <v>Jacob Greaves</v>
      </c>
      <c r="B379" t="s">
        <v>556</v>
      </c>
      <c r="C379" t="s">
        <v>612</v>
      </c>
      <c r="D379">
        <v>10</v>
      </c>
      <c r="E379">
        <v>2</v>
      </c>
      <c r="F379">
        <v>38</v>
      </c>
      <c r="G379">
        <v>2205</v>
      </c>
      <c r="H379">
        <v>25</v>
      </c>
      <c r="I379">
        <v>1</v>
      </c>
      <c r="J379">
        <v>0</v>
      </c>
      <c r="K379">
        <v>1.31</v>
      </c>
      <c r="L379">
        <v>0.21</v>
      </c>
      <c r="M379">
        <v>37</v>
      </c>
      <c r="N379">
        <v>171</v>
      </c>
      <c r="O379" t="s">
        <v>612</v>
      </c>
      <c r="P379">
        <f t="shared" si="16"/>
        <v>5.346938775510205E-2</v>
      </c>
      <c r="Q379">
        <f t="shared" si="17"/>
        <v>8.5714285714285719E-3</v>
      </c>
    </row>
    <row r="380" spans="1:17" x14ac:dyDescent="0.25">
      <c r="A380" t="str">
        <f t="shared" si="15"/>
        <v>Marcus Myers-Harness</v>
      </c>
      <c r="B380" t="s">
        <v>151</v>
      </c>
      <c r="C380" t="s">
        <v>2221</v>
      </c>
      <c r="D380">
        <v>10</v>
      </c>
      <c r="E380">
        <v>3</v>
      </c>
      <c r="F380">
        <v>49</v>
      </c>
      <c r="G380">
        <v>43</v>
      </c>
      <c r="H380">
        <v>0</v>
      </c>
      <c r="I380">
        <v>0</v>
      </c>
      <c r="J380">
        <v>0</v>
      </c>
      <c r="K380">
        <v>0</v>
      </c>
      <c r="L380">
        <v>0.05</v>
      </c>
      <c r="M380">
        <v>2</v>
      </c>
      <c r="N380">
        <v>4</v>
      </c>
      <c r="O380" t="s">
        <v>2710</v>
      </c>
      <c r="P380">
        <f t="shared" si="16"/>
        <v>0</v>
      </c>
      <c r="Q380">
        <f t="shared" si="17"/>
        <v>0.10465116279069767</v>
      </c>
    </row>
    <row r="381" spans="1:17" x14ac:dyDescent="0.25">
      <c r="A381" t="str">
        <f t="shared" si="15"/>
        <v>George Hirst</v>
      </c>
      <c r="B381" t="s">
        <v>113</v>
      </c>
      <c r="C381" t="s">
        <v>629</v>
      </c>
      <c r="D381">
        <v>10</v>
      </c>
      <c r="E381">
        <v>4</v>
      </c>
      <c r="F381">
        <v>54</v>
      </c>
      <c r="G381">
        <v>645</v>
      </c>
      <c r="H381">
        <v>5</v>
      </c>
      <c r="I381">
        <v>3</v>
      </c>
      <c r="J381">
        <v>1</v>
      </c>
      <c r="K381">
        <v>2.14</v>
      </c>
      <c r="L381">
        <v>0.24</v>
      </c>
      <c r="M381">
        <v>46</v>
      </c>
      <c r="N381">
        <v>157</v>
      </c>
      <c r="O381" t="s">
        <v>629</v>
      </c>
      <c r="P381">
        <f t="shared" si="16"/>
        <v>0.29860465116279072</v>
      </c>
      <c r="Q381">
        <f t="shared" si="17"/>
        <v>3.3488372093023251E-2</v>
      </c>
    </row>
    <row r="382" spans="1:17" x14ac:dyDescent="0.25">
      <c r="A382" t="str">
        <f t="shared" si="15"/>
        <v>Cameron Humphreys</v>
      </c>
      <c r="B382" t="s">
        <v>1225</v>
      </c>
      <c r="C382" t="s">
        <v>1226</v>
      </c>
      <c r="D382">
        <v>10</v>
      </c>
      <c r="E382">
        <v>3</v>
      </c>
      <c r="F382">
        <v>45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1226</v>
      </c>
      <c r="P382">
        <f t="shared" si="16"/>
        <v>0</v>
      </c>
      <c r="Q382">
        <f t="shared" si="17"/>
        <v>0</v>
      </c>
    </row>
    <row r="383" spans="1:17" x14ac:dyDescent="0.25">
      <c r="A383" t="str">
        <f t="shared" si="15"/>
        <v>Omari Giraud-Hutchinson</v>
      </c>
      <c r="B383" t="s">
        <v>909</v>
      </c>
      <c r="C383" t="s">
        <v>2222</v>
      </c>
      <c r="D383">
        <v>10</v>
      </c>
      <c r="E383">
        <v>3</v>
      </c>
      <c r="F383">
        <v>52</v>
      </c>
      <c r="G383">
        <v>2585</v>
      </c>
      <c r="H383">
        <v>30</v>
      </c>
      <c r="I383">
        <v>3</v>
      </c>
      <c r="J383">
        <v>3</v>
      </c>
      <c r="K383">
        <v>2.93</v>
      </c>
      <c r="L383">
        <v>2.46</v>
      </c>
      <c r="M383">
        <v>88</v>
      </c>
      <c r="N383">
        <v>352</v>
      </c>
      <c r="O383" t="s">
        <v>910</v>
      </c>
      <c r="P383">
        <f t="shared" si="16"/>
        <v>0.10201160541586074</v>
      </c>
      <c r="Q383">
        <f t="shared" si="17"/>
        <v>8.5647969052224368E-2</v>
      </c>
    </row>
    <row r="384" spans="1:17" x14ac:dyDescent="0.25">
      <c r="A384" t="str">
        <f t="shared" si="15"/>
        <v>Ben Johnson</v>
      </c>
      <c r="B384" t="s">
        <v>159</v>
      </c>
      <c r="C384" t="s">
        <v>471</v>
      </c>
      <c r="D384">
        <v>10</v>
      </c>
      <c r="E384">
        <v>2</v>
      </c>
      <c r="F384">
        <v>38</v>
      </c>
      <c r="G384">
        <v>1346</v>
      </c>
      <c r="H384">
        <v>14</v>
      </c>
      <c r="I384">
        <v>1</v>
      </c>
      <c r="J384">
        <v>2</v>
      </c>
      <c r="K384">
        <v>1.06</v>
      </c>
      <c r="L384">
        <v>0.83</v>
      </c>
      <c r="M384">
        <v>30</v>
      </c>
      <c r="N384">
        <v>23</v>
      </c>
      <c r="O384" t="s">
        <v>471</v>
      </c>
      <c r="P384">
        <f t="shared" si="16"/>
        <v>7.0876671619613682E-2</v>
      </c>
      <c r="Q384">
        <f t="shared" si="17"/>
        <v>5.5497771173848437E-2</v>
      </c>
    </row>
    <row r="385" spans="1:17" x14ac:dyDescent="0.25">
      <c r="A385" t="str">
        <f t="shared" si="15"/>
        <v>Freddie Ladapo</v>
      </c>
      <c r="B385" t="s">
        <v>694</v>
      </c>
      <c r="C385" t="s">
        <v>2223</v>
      </c>
      <c r="D385">
        <v>10</v>
      </c>
      <c r="E385">
        <v>4</v>
      </c>
      <c r="F385">
        <v>45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2223</v>
      </c>
      <c r="P385">
        <f t="shared" si="16"/>
        <v>0</v>
      </c>
      <c r="Q385">
        <f t="shared" si="17"/>
        <v>0</v>
      </c>
    </row>
    <row r="386" spans="1:17" x14ac:dyDescent="0.25">
      <c r="A386" t="str">
        <f t="shared" ref="A386:A449" si="18">_xlfn.CONCAT(B386, " ", C386)</f>
        <v>Massimo Luongo</v>
      </c>
      <c r="B386" t="s">
        <v>2224</v>
      </c>
      <c r="C386" t="s">
        <v>2225</v>
      </c>
      <c r="D386">
        <v>10</v>
      </c>
      <c r="E386">
        <v>3</v>
      </c>
      <c r="F386">
        <v>43</v>
      </c>
      <c r="G386">
        <v>195</v>
      </c>
      <c r="H386">
        <v>2</v>
      </c>
      <c r="I386">
        <v>0</v>
      </c>
      <c r="J386">
        <v>0</v>
      </c>
      <c r="K386">
        <v>0</v>
      </c>
      <c r="L386">
        <v>0.01</v>
      </c>
      <c r="M386">
        <v>13</v>
      </c>
      <c r="N386">
        <v>47</v>
      </c>
      <c r="O386" t="s">
        <v>2225</v>
      </c>
      <c r="P386">
        <f t="shared" ref="P386:P449" si="19">IFERROR(K386/G386*90,0)</f>
        <v>0</v>
      </c>
      <c r="Q386">
        <f t="shared" ref="Q386:Q449" si="20">IFERROR(L386/G386*90,0)</f>
        <v>4.6153846153846158E-3</v>
      </c>
    </row>
    <row r="387" spans="1:17" x14ac:dyDescent="0.25">
      <c r="A387" t="str">
        <f t="shared" si="18"/>
        <v>Sam Morsy</v>
      </c>
      <c r="B387" t="s">
        <v>632</v>
      </c>
      <c r="C387" t="s">
        <v>2226</v>
      </c>
      <c r="D387">
        <v>10</v>
      </c>
      <c r="E387">
        <v>3</v>
      </c>
      <c r="F387">
        <v>48</v>
      </c>
      <c r="G387">
        <v>2749</v>
      </c>
      <c r="H387">
        <v>31</v>
      </c>
      <c r="I387">
        <v>1</v>
      </c>
      <c r="J387">
        <v>1</v>
      </c>
      <c r="K387">
        <v>0.45</v>
      </c>
      <c r="L387">
        <v>1.51</v>
      </c>
      <c r="M387">
        <v>67</v>
      </c>
      <c r="N387">
        <v>421</v>
      </c>
      <c r="O387" t="s">
        <v>2226</v>
      </c>
      <c r="P387">
        <f t="shared" si="19"/>
        <v>1.4732630047289924E-2</v>
      </c>
      <c r="Q387">
        <f t="shared" si="20"/>
        <v>4.9436158603128409E-2</v>
      </c>
    </row>
    <row r="388" spans="1:17" x14ac:dyDescent="0.25">
      <c r="A388" t="str">
        <f t="shared" si="18"/>
        <v>Corrie Ndaba</v>
      </c>
      <c r="B388" t="s">
        <v>2227</v>
      </c>
      <c r="C388" t="s">
        <v>2228</v>
      </c>
      <c r="D388">
        <v>10</v>
      </c>
      <c r="E388">
        <v>2</v>
      </c>
      <c r="F388">
        <v>40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2228</v>
      </c>
      <c r="P388">
        <f t="shared" si="19"/>
        <v>0</v>
      </c>
      <c r="Q388">
        <f t="shared" si="20"/>
        <v>0</v>
      </c>
    </row>
    <row r="389" spans="1:17" x14ac:dyDescent="0.25">
      <c r="A389" t="str">
        <f t="shared" si="18"/>
        <v>Cieran Slicker</v>
      </c>
      <c r="B389" t="s">
        <v>2229</v>
      </c>
      <c r="C389" t="s">
        <v>2230</v>
      </c>
      <c r="D389">
        <v>10</v>
      </c>
      <c r="E389">
        <v>1</v>
      </c>
      <c r="F389">
        <v>39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2230</v>
      </c>
      <c r="P389">
        <f t="shared" si="19"/>
        <v>0</v>
      </c>
      <c r="Q389">
        <f t="shared" si="20"/>
        <v>0</v>
      </c>
    </row>
    <row r="390" spans="1:17" x14ac:dyDescent="0.25">
      <c r="A390" t="str">
        <f t="shared" si="18"/>
        <v>Jack Taylor</v>
      </c>
      <c r="B390" t="s">
        <v>253</v>
      </c>
      <c r="C390" t="s">
        <v>621</v>
      </c>
      <c r="D390">
        <v>10</v>
      </c>
      <c r="E390">
        <v>3</v>
      </c>
      <c r="F390">
        <v>48</v>
      </c>
      <c r="G390">
        <v>837</v>
      </c>
      <c r="H390">
        <v>4</v>
      </c>
      <c r="I390">
        <v>1</v>
      </c>
      <c r="J390">
        <v>0</v>
      </c>
      <c r="K390">
        <v>0.75</v>
      </c>
      <c r="L390">
        <v>0.77</v>
      </c>
      <c r="M390">
        <v>38</v>
      </c>
      <c r="N390">
        <v>144</v>
      </c>
      <c r="O390" t="s">
        <v>621</v>
      </c>
      <c r="P390">
        <f t="shared" si="19"/>
        <v>8.0645161290322578E-2</v>
      </c>
      <c r="Q390">
        <f t="shared" si="20"/>
        <v>8.2795698924731195E-2</v>
      </c>
    </row>
    <row r="391" spans="1:17" x14ac:dyDescent="0.25">
      <c r="A391" t="str">
        <f t="shared" si="18"/>
        <v>Axel Tuanzebe</v>
      </c>
      <c r="B391" t="s">
        <v>315</v>
      </c>
      <c r="C391" t="s">
        <v>2231</v>
      </c>
      <c r="D391">
        <v>10</v>
      </c>
      <c r="E391">
        <v>2</v>
      </c>
      <c r="F391">
        <v>39</v>
      </c>
      <c r="G391">
        <v>1710</v>
      </c>
      <c r="H391">
        <v>20</v>
      </c>
      <c r="I391">
        <v>0</v>
      </c>
      <c r="J391">
        <v>1</v>
      </c>
      <c r="K391">
        <v>0.21</v>
      </c>
      <c r="L391">
        <v>0.26</v>
      </c>
      <c r="M391">
        <v>27</v>
      </c>
      <c r="N391">
        <v>80</v>
      </c>
      <c r="O391" t="s">
        <v>2231</v>
      </c>
      <c r="P391">
        <f t="shared" si="19"/>
        <v>1.1052631578947369E-2</v>
      </c>
      <c r="Q391">
        <f t="shared" si="20"/>
        <v>1.3684210526315792E-2</v>
      </c>
    </row>
    <row r="392" spans="1:17" x14ac:dyDescent="0.25">
      <c r="A392" t="str">
        <f t="shared" si="18"/>
        <v>Christian Walton</v>
      </c>
      <c r="B392" t="s">
        <v>468</v>
      </c>
      <c r="C392" t="s">
        <v>604</v>
      </c>
      <c r="D392">
        <v>10</v>
      </c>
      <c r="E392">
        <v>1</v>
      </c>
      <c r="F392">
        <v>43</v>
      </c>
      <c r="G392">
        <v>630</v>
      </c>
      <c r="H392">
        <v>7</v>
      </c>
      <c r="I392">
        <v>0</v>
      </c>
      <c r="J392">
        <v>0</v>
      </c>
      <c r="K392">
        <v>0</v>
      </c>
      <c r="L392">
        <v>0</v>
      </c>
      <c r="M392">
        <v>16</v>
      </c>
      <c r="N392">
        <v>42</v>
      </c>
      <c r="O392" t="s">
        <v>604</v>
      </c>
      <c r="P392">
        <f t="shared" si="19"/>
        <v>0</v>
      </c>
      <c r="Q392">
        <f t="shared" si="20"/>
        <v>0</v>
      </c>
    </row>
    <row r="393" spans="1:17" x14ac:dyDescent="0.25">
      <c r="A393" t="str">
        <f t="shared" si="18"/>
        <v>Luke Woolfenden</v>
      </c>
      <c r="B393" t="s">
        <v>375</v>
      </c>
      <c r="C393" t="s">
        <v>376</v>
      </c>
      <c r="D393">
        <v>10</v>
      </c>
      <c r="E393">
        <v>2</v>
      </c>
      <c r="F393">
        <v>39</v>
      </c>
      <c r="G393">
        <v>1187</v>
      </c>
      <c r="H393">
        <v>12</v>
      </c>
      <c r="I393">
        <v>0</v>
      </c>
      <c r="J393">
        <v>0</v>
      </c>
      <c r="K393">
        <v>0.03</v>
      </c>
      <c r="L393">
        <v>0.02</v>
      </c>
      <c r="M393">
        <v>18</v>
      </c>
      <c r="N393">
        <v>93</v>
      </c>
      <c r="O393" t="s">
        <v>376</v>
      </c>
      <c r="P393">
        <f t="shared" si="19"/>
        <v>2.2746419545071608E-3</v>
      </c>
      <c r="Q393">
        <f t="shared" si="20"/>
        <v>1.5164279696714407E-3</v>
      </c>
    </row>
    <row r="394" spans="1:17" x14ac:dyDescent="0.25">
      <c r="A394" t="str">
        <f t="shared" si="18"/>
        <v>Kalvin Phillips</v>
      </c>
      <c r="B394" t="s">
        <v>786</v>
      </c>
      <c r="C394" t="s">
        <v>541</v>
      </c>
      <c r="D394">
        <v>10</v>
      </c>
      <c r="E394">
        <v>3</v>
      </c>
      <c r="F394">
        <v>48</v>
      </c>
      <c r="G394">
        <v>1231</v>
      </c>
      <c r="H394">
        <v>14</v>
      </c>
      <c r="I394">
        <v>0</v>
      </c>
      <c r="J394">
        <v>0</v>
      </c>
      <c r="K394">
        <v>0.45</v>
      </c>
      <c r="L394">
        <v>0.46</v>
      </c>
      <c r="M394">
        <v>27</v>
      </c>
      <c r="N394">
        <v>167</v>
      </c>
      <c r="O394" t="s">
        <v>541</v>
      </c>
      <c r="P394">
        <f t="shared" si="19"/>
        <v>3.290008123476848E-2</v>
      </c>
      <c r="Q394">
        <f t="shared" si="20"/>
        <v>3.3631194151096666E-2</v>
      </c>
    </row>
    <row r="395" spans="1:17" x14ac:dyDescent="0.25">
      <c r="A395" t="str">
        <f t="shared" si="18"/>
        <v>Arijanet Muric</v>
      </c>
      <c r="B395" t="s">
        <v>1487</v>
      </c>
      <c r="C395" t="s">
        <v>1488</v>
      </c>
      <c r="D395">
        <v>10</v>
      </c>
      <c r="E395">
        <v>1</v>
      </c>
      <c r="F395">
        <v>44</v>
      </c>
      <c r="G395">
        <v>1620</v>
      </c>
      <c r="H395">
        <v>18</v>
      </c>
      <c r="I395">
        <v>0</v>
      </c>
      <c r="J395">
        <v>0</v>
      </c>
      <c r="K395">
        <v>0</v>
      </c>
      <c r="L395">
        <v>0.01</v>
      </c>
      <c r="M395">
        <v>49</v>
      </c>
      <c r="N395">
        <v>186</v>
      </c>
      <c r="O395" t="s">
        <v>1488</v>
      </c>
      <c r="P395">
        <f t="shared" si="19"/>
        <v>0</v>
      </c>
      <c r="Q395">
        <f t="shared" si="20"/>
        <v>5.5555555555555556E-4</v>
      </c>
    </row>
    <row r="396" spans="1:17" x14ac:dyDescent="0.25">
      <c r="A396" t="str">
        <f t="shared" si="18"/>
        <v>Jaden Philogene</v>
      </c>
      <c r="B396" t="s">
        <v>630</v>
      </c>
      <c r="C396" t="s">
        <v>631</v>
      </c>
      <c r="D396">
        <v>10</v>
      </c>
      <c r="E396">
        <v>3</v>
      </c>
      <c r="F396">
        <v>53</v>
      </c>
      <c r="G396">
        <v>796</v>
      </c>
      <c r="H396">
        <v>7</v>
      </c>
      <c r="I396">
        <v>2</v>
      </c>
      <c r="J396">
        <v>0</v>
      </c>
      <c r="K396">
        <v>2.4300000000000002</v>
      </c>
      <c r="L396">
        <v>0.34</v>
      </c>
      <c r="M396">
        <v>37</v>
      </c>
      <c r="N396">
        <v>116</v>
      </c>
      <c r="O396" t="s">
        <v>630</v>
      </c>
      <c r="P396">
        <f t="shared" si="19"/>
        <v>0.27474874371859298</v>
      </c>
      <c r="Q396">
        <f t="shared" si="20"/>
        <v>3.8442211055276385E-2</v>
      </c>
    </row>
    <row r="397" spans="1:17" x14ac:dyDescent="0.25">
      <c r="A397" t="str">
        <f t="shared" si="18"/>
        <v>Conor Townsend</v>
      </c>
      <c r="B397" t="s">
        <v>708</v>
      </c>
      <c r="C397" t="s">
        <v>1756</v>
      </c>
      <c r="D397">
        <v>10</v>
      </c>
      <c r="E397">
        <v>2</v>
      </c>
      <c r="F397">
        <v>39</v>
      </c>
      <c r="G397">
        <v>334</v>
      </c>
      <c r="H397">
        <v>3</v>
      </c>
      <c r="I397">
        <v>0</v>
      </c>
      <c r="J397">
        <v>1</v>
      </c>
      <c r="K397">
        <v>0.03</v>
      </c>
      <c r="L397">
        <v>0.24</v>
      </c>
      <c r="M397">
        <v>11</v>
      </c>
      <c r="N397">
        <v>43</v>
      </c>
      <c r="O397" t="s">
        <v>1756</v>
      </c>
      <c r="P397">
        <f t="shared" si="19"/>
        <v>8.0838323353293415E-3</v>
      </c>
      <c r="Q397">
        <f t="shared" si="20"/>
        <v>6.4670658682634732E-2</v>
      </c>
    </row>
    <row r="398" spans="1:17" x14ac:dyDescent="0.25">
      <c r="A398" t="str">
        <f t="shared" si="18"/>
        <v>Sam Szmodics</v>
      </c>
      <c r="B398" t="s">
        <v>632</v>
      </c>
      <c r="C398" t="s">
        <v>633</v>
      </c>
      <c r="D398">
        <v>10</v>
      </c>
      <c r="E398">
        <v>3</v>
      </c>
      <c r="F398">
        <v>57</v>
      </c>
      <c r="G398">
        <v>988</v>
      </c>
      <c r="H398">
        <v>13</v>
      </c>
      <c r="I398">
        <v>4</v>
      </c>
      <c r="J398">
        <v>0</v>
      </c>
      <c r="K398">
        <v>3.44</v>
      </c>
      <c r="L398">
        <v>0.45</v>
      </c>
      <c r="M398">
        <v>54</v>
      </c>
      <c r="N398">
        <v>167</v>
      </c>
      <c r="O398" t="s">
        <v>633</v>
      </c>
      <c r="P398">
        <f t="shared" si="19"/>
        <v>0.3133603238866397</v>
      </c>
      <c r="Q398">
        <f t="shared" si="20"/>
        <v>4.0991902834008095E-2</v>
      </c>
    </row>
    <row r="399" spans="1:17" x14ac:dyDescent="0.25">
      <c r="A399" t="str">
        <f t="shared" si="18"/>
        <v>Jens Cajuste</v>
      </c>
      <c r="B399" t="s">
        <v>592</v>
      </c>
      <c r="C399" t="s">
        <v>2232</v>
      </c>
      <c r="D399">
        <v>10</v>
      </c>
      <c r="E399">
        <v>3</v>
      </c>
      <c r="F399">
        <v>45</v>
      </c>
      <c r="G399">
        <v>1960</v>
      </c>
      <c r="H399">
        <v>25</v>
      </c>
      <c r="I399">
        <v>1</v>
      </c>
      <c r="J399">
        <v>1</v>
      </c>
      <c r="K399">
        <v>0.68</v>
      </c>
      <c r="L399">
        <v>0.73</v>
      </c>
      <c r="M399">
        <v>63</v>
      </c>
      <c r="N399">
        <v>309</v>
      </c>
      <c r="O399" t="s">
        <v>2232</v>
      </c>
      <c r="P399">
        <f t="shared" si="19"/>
        <v>3.1224489795918371E-2</v>
      </c>
      <c r="Q399">
        <f t="shared" si="20"/>
        <v>3.3520408163265306E-2</v>
      </c>
    </row>
    <row r="400" spans="1:17" x14ac:dyDescent="0.25">
      <c r="A400" t="str">
        <f t="shared" si="18"/>
        <v>Dara O'Shea</v>
      </c>
      <c r="B400" t="s">
        <v>608</v>
      </c>
      <c r="C400" t="s">
        <v>609</v>
      </c>
      <c r="D400">
        <v>10</v>
      </c>
      <c r="E400">
        <v>2</v>
      </c>
      <c r="F400">
        <v>38</v>
      </c>
      <c r="G400">
        <v>3122</v>
      </c>
      <c r="H400">
        <v>35</v>
      </c>
      <c r="I400">
        <v>0</v>
      </c>
      <c r="J400">
        <v>2</v>
      </c>
      <c r="K400">
        <v>1.29</v>
      </c>
      <c r="L400">
        <v>0.67</v>
      </c>
      <c r="M400">
        <v>49</v>
      </c>
      <c r="N400">
        <v>231</v>
      </c>
      <c r="O400" t="s">
        <v>609</v>
      </c>
      <c r="P400">
        <f t="shared" si="19"/>
        <v>3.7187700192184502E-2</v>
      </c>
      <c r="Q400">
        <f t="shared" si="20"/>
        <v>1.9314541960281872E-2</v>
      </c>
    </row>
    <row r="401" spans="1:17" x14ac:dyDescent="0.25">
      <c r="A401" t="str">
        <f t="shared" si="18"/>
        <v>Jack Clarke</v>
      </c>
      <c r="B401" t="s">
        <v>253</v>
      </c>
      <c r="C401" t="s">
        <v>622</v>
      </c>
      <c r="D401">
        <v>10</v>
      </c>
      <c r="E401">
        <v>3</v>
      </c>
      <c r="F401">
        <v>54</v>
      </c>
      <c r="G401">
        <v>1161</v>
      </c>
      <c r="H401">
        <v>12</v>
      </c>
      <c r="I401">
        <v>0</v>
      </c>
      <c r="J401">
        <v>4</v>
      </c>
      <c r="K401">
        <v>1.17</v>
      </c>
      <c r="L401">
        <v>1.1100000000000001</v>
      </c>
      <c r="M401">
        <v>53</v>
      </c>
      <c r="N401">
        <v>221</v>
      </c>
      <c r="O401" t="s">
        <v>2711</v>
      </c>
      <c r="P401">
        <f t="shared" si="19"/>
        <v>9.0697674418604657E-2</v>
      </c>
      <c r="Q401">
        <f t="shared" si="20"/>
        <v>8.6046511627906982E-2</v>
      </c>
    </row>
    <row r="402" spans="1:17" x14ac:dyDescent="0.25">
      <c r="A402" t="str">
        <f t="shared" si="18"/>
        <v>Chiedozie Ogbene</v>
      </c>
      <c r="B402" t="s">
        <v>623</v>
      </c>
      <c r="C402" t="s">
        <v>624</v>
      </c>
      <c r="D402">
        <v>10</v>
      </c>
      <c r="E402">
        <v>3</v>
      </c>
      <c r="F402">
        <v>48</v>
      </c>
      <c r="G402">
        <v>237</v>
      </c>
      <c r="H402">
        <v>3</v>
      </c>
      <c r="I402">
        <v>0</v>
      </c>
      <c r="J402">
        <v>0</v>
      </c>
      <c r="K402">
        <v>0</v>
      </c>
      <c r="L402">
        <v>0.05</v>
      </c>
      <c r="M402">
        <v>7</v>
      </c>
      <c r="N402">
        <v>29</v>
      </c>
      <c r="O402" t="s">
        <v>624</v>
      </c>
      <c r="P402">
        <f t="shared" si="19"/>
        <v>0</v>
      </c>
      <c r="Q402">
        <f t="shared" si="20"/>
        <v>1.8987341772151899E-2</v>
      </c>
    </row>
    <row r="403" spans="1:17" x14ac:dyDescent="0.25">
      <c r="A403" t="str">
        <f t="shared" si="18"/>
        <v>Ben Godfrey</v>
      </c>
      <c r="B403" t="s">
        <v>159</v>
      </c>
      <c r="C403" t="s">
        <v>1622</v>
      </c>
      <c r="D403">
        <v>10</v>
      </c>
      <c r="E403">
        <v>2</v>
      </c>
      <c r="F403">
        <v>40</v>
      </c>
      <c r="G403">
        <v>158</v>
      </c>
      <c r="H403">
        <v>2</v>
      </c>
      <c r="I403">
        <v>0</v>
      </c>
      <c r="J403">
        <v>0</v>
      </c>
      <c r="K403">
        <v>0</v>
      </c>
      <c r="L403">
        <v>0.02</v>
      </c>
      <c r="M403">
        <v>-1</v>
      </c>
      <c r="N403">
        <v>-27</v>
      </c>
      <c r="O403" t="s">
        <v>1622</v>
      </c>
      <c r="P403">
        <f t="shared" si="19"/>
        <v>0</v>
      </c>
      <c r="Q403">
        <f t="shared" si="20"/>
        <v>1.1392405063291139E-2</v>
      </c>
    </row>
    <row r="404" spans="1:17" x14ac:dyDescent="0.25">
      <c r="A404" t="str">
        <f t="shared" si="18"/>
        <v>Kieran McKenna</v>
      </c>
      <c r="B404" t="s">
        <v>564</v>
      </c>
      <c r="C404" t="s">
        <v>1380</v>
      </c>
      <c r="D404">
        <v>10</v>
      </c>
      <c r="E404">
        <v>5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51</v>
      </c>
      <c r="N404">
        <v>0</v>
      </c>
      <c r="O404" t="s">
        <v>1380</v>
      </c>
      <c r="P404">
        <f t="shared" si="19"/>
        <v>0</v>
      </c>
      <c r="Q404">
        <f t="shared" si="20"/>
        <v>0</v>
      </c>
    </row>
    <row r="405" spans="1:17" x14ac:dyDescent="0.25">
      <c r="A405" t="str">
        <f t="shared" si="18"/>
        <v>Alex Palmer</v>
      </c>
      <c r="B405" t="s">
        <v>153</v>
      </c>
      <c r="C405" t="s">
        <v>318</v>
      </c>
      <c r="D405">
        <v>10</v>
      </c>
      <c r="E405">
        <v>1</v>
      </c>
      <c r="F405">
        <v>45</v>
      </c>
      <c r="G405">
        <v>1170</v>
      </c>
      <c r="H405">
        <v>13</v>
      </c>
      <c r="I405">
        <v>0</v>
      </c>
      <c r="J405">
        <v>0</v>
      </c>
      <c r="K405">
        <v>0</v>
      </c>
      <c r="L405">
        <v>0</v>
      </c>
      <c r="M405">
        <v>22</v>
      </c>
      <c r="N405">
        <v>94</v>
      </c>
      <c r="O405" t="s">
        <v>318</v>
      </c>
      <c r="P405">
        <f t="shared" si="19"/>
        <v>0</v>
      </c>
      <c r="Q405">
        <f t="shared" si="20"/>
        <v>0</v>
      </c>
    </row>
    <row r="406" spans="1:17" x14ac:dyDescent="0.25">
      <c r="A406" t="str">
        <f t="shared" si="18"/>
        <v>Somto Boniface</v>
      </c>
      <c r="B406" t="s">
        <v>2233</v>
      </c>
      <c r="C406" t="s">
        <v>2234</v>
      </c>
      <c r="D406">
        <v>10</v>
      </c>
      <c r="E406">
        <v>2</v>
      </c>
      <c r="F406">
        <v>40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2234</v>
      </c>
      <c r="P406">
        <f t="shared" si="19"/>
        <v>0</v>
      </c>
      <c r="Q406">
        <f t="shared" si="20"/>
        <v>0</v>
      </c>
    </row>
    <row r="407" spans="1:17" x14ac:dyDescent="0.25">
      <c r="A407" t="str">
        <f t="shared" si="18"/>
        <v>Tom Taylor</v>
      </c>
      <c r="B407" t="s">
        <v>272</v>
      </c>
      <c r="C407" t="s">
        <v>621</v>
      </c>
      <c r="D407">
        <v>10</v>
      </c>
      <c r="E407">
        <v>3</v>
      </c>
      <c r="F407">
        <v>45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2712</v>
      </c>
      <c r="P407">
        <f t="shared" si="19"/>
        <v>0</v>
      </c>
      <c r="Q407">
        <f t="shared" si="20"/>
        <v>0</v>
      </c>
    </row>
    <row r="408" spans="1:17" x14ac:dyDescent="0.25">
      <c r="A408" t="str">
        <f t="shared" si="18"/>
        <v>Facundo Buonanotte</v>
      </c>
      <c r="B408" t="s">
        <v>262</v>
      </c>
      <c r="C408" t="s">
        <v>263</v>
      </c>
      <c r="D408">
        <v>11</v>
      </c>
      <c r="E408">
        <v>3</v>
      </c>
      <c r="F408">
        <v>45</v>
      </c>
      <c r="G408">
        <v>1508</v>
      </c>
      <c r="H408">
        <v>14</v>
      </c>
      <c r="I408">
        <v>5</v>
      </c>
      <c r="J408">
        <v>2</v>
      </c>
      <c r="K408">
        <v>4.01</v>
      </c>
      <c r="L408">
        <v>2.29</v>
      </c>
      <c r="M408">
        <v>75</v>
      </c>
      <c r="N408">
        <v>299</v>
      </c>
      <c r="O408" t="s">
        <v>263</v>
      </c>
      <c r="P408">
        <f t="shared" si="19"/>
        <v>0.23932360742705569</v>
      </c>
      <c r="Q408">
        <f t="shared" si="20"/>
        <v>0.13667108753315649</v>
      </c>
    </row>
    <row r="409" spans="1:17" x14ac:dyDescent="0.25">
      <c r="A409" t="str">
        <f t="shared" si="18"/>
        <v>Jordan Ayew</v>
      </c>
      <c r="B409" t="s">
        <v>289</v>
      </c>
      <c r="C409" t="s">
        <v>1580</v>
      </c>
      <c r="D409">
        <v>11</v>
      </c>
      <c r="E409">
        <v>3</v>
      </c>
      <c r="F409">
        <v>51</v>
      </c>
      <c r="G409">
        <v>1649</v>
      </c>
      <c r="H409">
        <v>19</v>
      </c>
      <c r="I409">
        <v>5</v>
      </c>
      <c r="J409">
        <v>0</v>
      </c>
      <c r="K409">
        <v>3.72</v>
      </c>
      <c r="L409">
        <v>1.5</v>
      </c>
      <c r="M409">
        <v>75</v>
      </c>
      <c r="N409">
        <v>279</v>
      </c>
      <c r="O409" t="s">
        <v>2713</v>
      </c>
      <c r="P409">
        <f t="shared" si="19"/>
        <v>0.20303214069132811</v>
      </c>
      <c r="Q409">
        <f t="shared" si="20"/>
        <v>8.1867798665858096E-2</v>
      </c>
    </row>
    <row r="410" spans="1:17" x14ac:dyDescent="0.25">
      <c r="A410" t="str">
        <f t="shared" si="18"/>
        <v>Odsonne Edouard</v>
      </c>
      <c r="B410" t="s">
        <v>1585</v>
      </c>
      <c r="C410" t="s">
        <v>1586</v>
      </c>
      <c r="D410">
        <v>11</v>
      </c>
      <c r="E410">
        <v>4</v>
      </c>
      <c r="F410">
        <v>51</v>
      </c>
      <c r="G410">
        <v>141</v>
      </c>
      <c r="H410">
        <v>1</v>
      </c>
      <c r="I410">
        <v>0</v>
      </c>
      <c r="J410">
        <v>0</v>
      </c>
      <c r="K410">
        <v>0.39</v>
      </c>
      <c r="L410">
        <v>7.0000000000000007E-2</v>
      </c>
      <c r="M410">
        <v>7</v>
      </c>
      <c r="N410">
        <v>14</v>
      </c>
      <c r="O410" t="s">
        <v>1586</v>
      </c>
      <c r="P410">
        <f t="shared" si="19"/>
        <v>0.24893617021276596</v>
      </c>
      <c r="Q410">
        <f t="shared" si="20"/>
        <v>4.4680851063829789E-2</v>
      </c>
    </row>
    <row r="411" spans="1:17" x14ac:dyDescent="0.25">
      <c r="A411" t="str">
        <f t="shared" si="18"/>
        <v>Boubakary Soumaré</v>
      </c>
      <c r="B411" t="s">
        <v>2235</v>
      </c>
      <c r="C411" t="s">
        <v>2236</v>
      </c>
      <c r="D411">
        <v>11</v>
      </c>
      <c r="E411">
        <v>3</v>
      </c>
      <c r="F411">
        <v>44</v>
      </c>
      <c r="G411">
        <v>2165</v>
      </c>
      <c r="H411">
        <v>25</v>
      </c>
      <c r="I411">
        <v>0</v>
      </c>
      <c r="J411">
        <v>0</v>
      </c>
      <c r="K411">
        <v>0.28999999999999998</v>
      </c>
      <c r="L411">
        <v>0.94</v>
      </c>
      <c r="M411">
        <v>48</v>
      </c>
      <c r="N411">
        <v>327</v>
      </c>
      <c r="O411" t="s">
        <v>2714</v>
      </c>
      <c r="P411">
        <f t="shared" si="19"/>
        <v>1.2055427251732099E-2</v>
      </c>
      <c r="Q411">
        <f t="shared" si="20"/>
        <v>3.907621247113164E-2</v>
      </c>
    </row>
    <row r="412" spans="1:17" x14ac:dyDescent="0.25">
      <c r="A412" t="str">
        <f t="shared" si="18"/>
        <v>Tom Cannon</v>
      </c>
      <c r="B412" t="s">
        <v>272</v>
      </c>
      <c r="C412" t="s">
        <v>1635</v>
      </c>
      <c r="D412">
        <v>11</v>
      </c>
      <c r="E412">
        <v>4</v>
      </c>
      <c r="F412">
        <v>45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1635</v>
      </c>
      <c r="P412">
        <f t="shared" si="19"/>
        <v>0</v>
      </c>
      <c r="Q412">
        <f t="shared" si="20"/>
        <v>0</v>
      </c>
    </row>
    <row r="413" spans="1:17" x14ac:dyDescent="0.25">
      <c r="A413" t="str">
        <f t="shared" si="18"/>
        <v>Hamza Choudhury</v>
      </c>
      <c r="B413" t="s">
        <v>2237</v>
      </c>
      <c r="C413" t="s">
        <v>2238</v>
      </c>
      <c r="D413">
        <v>11</v>
      </c>
      <c r="E413">
        <v>3</v>
      </c>
      <c r="F413">
        <v>44</v>
      </c>
      <c r="G413">
        <v>129</v>
      </c>
      <c r="H413">
        <v>1</v>
      </c>
      <c r="I413">
        <v>0</v>
      </c>
      <c r="J413">
        <v>0</v>
      </c>
      <c r="K413">
        <v>0</v>
      </c>
      <c r="L413">
        <v>0.19</v>
      </c>
      <c r="M413">
        <v>4</v>
      </c>
      <c r="N413">
        <v>29</v>
      </c>
      <c r="O413" t="s">
        <v>2238</v>
      </c>
      <c r="P413">
        <f t="shared" si="19"/>
        <v>0</v>
      </c>
      <c r="Q413">
        <f t="shared" si="20"/>
        <v>0.13255813953488374</v>
      </c>
    </row>
    <row r="414" spans="1:17" x14ac:dyDescent="0.25">
      <c r="A414" t="str">
        <f t="shared" si="18"/>
        <v>Conor Coady</v>
      </c>
      <c r="B414" t="s">
        <v>708</v>
      </c>
      <c r="C414" t="s">
        <v>2239</v>
      </c>
      <c r="D414">
        <v>11</v>
      </c>
      <c r="E414">
        <v>2</v>
      </c>
      <c r="F414">
        <v>40</v>
      </c>
      <c r="G414">
        <v>1712</v>
      </c>
      <c r="H414">
        <v>19</v>
      </c>
      <c r="I414">
        <v>1</v>
      </c>
      <c r="J414">
        <v>0</v>
      </c>
      <c r="K414">
        <v>0.52</v>
      </c>
      <c r="L414">
        <v>0.48</v>
      </c>
      <c r="M414">
        <v>39</v>
      </c>
      <c r="N414">
        <v>144</v>
      </c>
      <c r="O414" t="s">
        <v>2239</v>
      </c>
      <c r="P414">
        <f t="shared" si="19"/>
        <v>2.7336448598130843E-2</v>
      </c>
      <c r="Q414">
        <f t="shared" si="20"/>
        <v>2.5233644859813085E-2</v>
      </c>
    </row>
    <row r="415" spans="1:17" x14ac:dyDescent="0.25">
      <c r="A415" t="str">
        <f t="shared" si="18"/>
        <v>Patson Daka</v>
      </c>
      <c r="B415" t="s">
        <v>2240</v>
      </c>
      <c r="C415" t="s">
        <v>2241</v>
      </c>
      <c r="D415">
        <v>11</v>
      </c>
      <c r="E415">
        <v>4</v>
      </c>
      <c r="F415">
        <v>48</v>
      </c>
      <c r="G415">
        <v>717</v>
      </c>
      <c r="H415">
        <v>6</v>
      </c>
      <c r="I415">
        <v>1</v>
      </c>
      <c r="J415">
        <v>0</v>
      </c>
      <c r="K415">
        <v>1.25</v>
      </c>
      <c r="L415">
        <v>0.06</v>
      </c>
      <c r="M415">
        <v>34</v>
      </c>
      <c r="N415">
        <v>108</v>
      </c>
      <c r="O415" t="s">
        <v>2241</v>
      </c>
      <c r="P415">
        <f t="shared" si="19"/>
        <v>0.15690376569037656</v>
      </c>
      <c r="Q415">
        <f t="shared" si="20"/>
        <v>7.5313807531380743E-3</v>
      </c>
    </row>
    <row r="416" spans="1:17" x14ac:dyDescent="0.25">
      <c r="A416" t="str">
        <f t="shared" si="18"/>
        <v>Bobby De Cordova-Reid</v>
      </c>
      <c r="B416" t="s">
        <v>363</v>
      </c>
      <c r="C416" t="s">
        <v>1649</v>
      </c>
      <c r="D416">
        <v>11</v>
      </c>
      <c r="E416">
        <v>3</v>
      </c>
      <c r="F416">
        <v>52</v>
      </c>
      <c r="G416">
        <v>734</v>
      </c>
      <c r="H416">
        <v>9</v>
      </c>
      <c r="I416">
        <v>1</v>
      </c>
      <c r="J416">
        <v>4</v>
      </c>
      <c r="K416">
        <v>0.79</v>
      </c>
      <c r="L416">
        <v>0.14000000000000001</v>
      </c>
      <c r="M416">
        <v>48</v>
      </c>
      <c r="N416">
        <v>145</v>
      </c>
      <c r="O416" t="s">
        <v>1649</v>
      </c>
      <c r="P416">
        <f t="shared" si="19"/>
        <v>9.6866485013623979E-2</v>
      </c>
      <c r="Q416">
        <f t="shared" si="20"/>
        <v>1.7166212534059949E-2</v>
      </c>
    </row>
    <row r="417" spans="1:17" x14ac:dyDescent="0.25">
      <c r="A417" t="str">
        <f t="shared" si="18"/>
        <v>Wout Faes</v>
      </c>
      <c r="B417" t="s">
        <v>1498</v>
      </c>
      <c r="C417" t="s">
        <v>2242</v>
      </c>
      <c r="D417">
        <v>11</v>
      </c>
      <c r="E417">
        <v>2</v>
      </c>
      <c r="F417">
        <v>38</v>
      </c>
      <c r="G417">
        <v>2812</v>
      </c>
      <c r="H417">
        <v>30</v>
      </c>
      <c r="I417">
        <v>1</v>
      </c>
      <c r="J417">
        <v>0</v>
      </c>
      <c r="K417">
        <v>1.52</v>
      </c>
      <c r="L417">
        <v>0.4</v>
      </c>
      <c r="M417">
        <v>55</v>
      </c>
      <c r="N417">
        <v>241</v>
      </c>
      <c r="O417" t="s">
        <v>2242</v>
      </c>
      <c r="P417">
        <f t="shared" si="19"/>
        <v>4.8648648648648651E-2</v>
      </c>
      <c r="Q417">
        <f t="shared" si="20"/>
        <v>1.2802275960170698E-2</v>
      </c>
    </row>
    <row r="418" spans="1:17" x14ac:dyDescent="0.25">
      <c r="A418" t="str">
        <f t="shared" si="18"/>
        <v>Michael Golding</v>
      </c>
      <c r="B418" t="s">
        <v>193</v>
      </c>
      <c r="C418" t="s">
        <v>2243</v>
      </c>
      <c r="D418">
        <v>11</v>
      </c>
      <c r="E418">
        <v>3</v>
      </c>
      <c r="F418">
        <v>44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3</v>
      </c>
      <c r="O418" t="s">
        <v>2243</v>
      </c>
      <c r="P418">
        <f t="shared" si="19"/>
        <v>0</v>
      </c>
      <c r="Q418">
        <f t="shared" si="20"/>
        <v>0</v>
      </c>
    </row>
    <row r="419" spans="1:17" x14ac:dyDescent="0.25">
      <c r="A419" t="str">
        <f t="shared" si="18"/>
        <v>Mads Hermansen</v>
      </c>
      <c r="B419" t="s">
        <v>1385</v>
      </c>
      <c r="C419" t="s">
        <v>2244</v>
      </c>
      <c r="D419">
        <v>11</v>
      </c>
      <c r="E419">
        <v>1</v>
      </c>
      <c r="F419">
        <v>44</v>
      </c>
      <c r="G419">
        <v>2385</v>
      </c>
      <c r="H419">
        <v>27</v>
      </c>
      <c r="I419">
        <v>0</v>
      </c>
      <c r="J419">
        <v>0</v>
      </c>
      <c r="K419">
        <v>0</v>
      </c>
      <c r="L419">
        <v>0.02</v>
      </c>
      <c r="M419">
        <v>63</v>
      </c>
      <c r="N419">
        <v>231</v>
      </c>
      <c r="O419" t="s">
        <v>2244</v>
      </c>
      <c r="P419">
        <f t="shared" si="19"/>
        <v>0</v>
      </c>
      <c r="Q419">
        <f t="shared" si="20"/>
        <v>7.5471698113207543E-4</v>
      </c>
    </row>
    <row r="420" spans="1:17" x14ac:dyDescent="0.25">
      <c r="A420" t="str">
        <f t="shared" si="18"/>
        <v>Daniel Iversen</v>
      </c>
      <c r="B420" t="s">
        <v>416</v>
      </c>
      <c r="C420" t="s">
        <v>2245</v>
      </c>
      <c r="D420">
        <v>11</v>
      </c>
      <c r="E420">
        <v>1</v>
      </c>
      <c r="F420">
        <v>39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2245</v>
      </c>
      <c r="P420">
        <f t="shared" si="19"/>
        <v>0</v>
      </c>
      <c r="Q420">
        <f t="shared" si="20"/>
        <v>0</v>
      </c>
    </row>
    <row r="421" spans="1:17" x14ac:dyDescent="0.25">
      <c r="A421" t="str">
        <f t="shared" si="18"/>
        <v>James Justin</v>
      </c>
      <c r="B421" t="s">
        <v>135</v>
      </c>
      <c r="C421" t="s">
        <v>155</v>
      </c>
      <c r="D421">
        <v>11</v>
      </c>
      <c r="E421">
        <v>2</v>
      </c>
      <c r="F421">
        <v>41</v>
      </c>
      <c r="G421">
        <v>2912</v>
      </c>
      <c r="H421">
        <v>34</v>
      </c>
      <c r="I421">
        <v>2</v>
      </c>
      <c r="J421">
        <v>2</v>
      </c>
      <c r="K421">
        <v>1.47</v>
      </c>
      <c r="L421">
        <v>0.8</v>
      </c>
      <c r="M421">
        <v>70</v>
      </c>
      <c r="N421">
        <v>218</v>
      </c>
      <c r="O421" t="s">
        <v>155</v>
      </c>
      <c r="P421">
        <f t="shared" si="19"/>
        <v>4.5432692307692306E-2</v>
      </c>
      <c r="Q421">
        <f t="shared" si="20"/>
        <v>2.4725274725274724E-2</v>
      </c>
    </row>
    <row r="422" spans="1:17" x14ac:dyDescent="0.25">
      <c r="A422" t="str">
        <f t="shared" si="18"/>
        <v>Victor Kristiansen</v>
      </c>
      <c r="B422" t="s">
        <v>92</v>
      </c>
      <c r="C422" t="s">
        <v>2246</v>
      </c>
      <c r="D422">
        <v>11</v>
      </c>
      <c r="E422">
        <v>2</v>
      </c>
      <c r="F422">
        <v>44</v>
      </c>
      <c r="G422">
        <v>2481</v>
      </c>
      <c r="H422">
        <v>29</v>
      </c>
      <c r="I422">
        <v>0</v>
      </c>
      <c r="J422">
        <v>1</v>
      </c>
      <c r="K422">
        <v>0.13</v>
      </c>
      <c r="L422">
        <v>1.74</v>
      </c>
      <c r="M422">
        <v>34</v>
      </c>
      <c r="N422">
        <v>153</v>
      </c>
      <c r="O422" t="s">
        <v>2246</v>
      </c>
      <c r="P422">
        <f t="shared" si="19"/>
        <v>4.7158403869407501E-3</v>
      </c>
      <c r="Q422">
        <f t="shared" si="20"/>
        <v>6.311970979443772E-2</v>
      </c>
    </row>
    <row r="423" spans="1:17" x14ac:dyDescent="0.25">
      <c r="A423" t="str">
        <f t="shared" si="18"/>
        <v>Wanya Marçal-Madivádua</v>
      </c>
      <c r="B423" t="s">
        <v>2247</v>
      </c>
      <c r="C423" t="s">
        <v>2248</v>
      </c>
      <c r="D423">
        <v>11</v>
      </c>
      <c r="E423">
        <v>3</v>
      </c>
      <c r="F423">
        <v>45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2715</v>
      </c>
      <c r="P423">
        <f t="shared" si="19"/>
        <v>0</v>
      </c>
      <c r="Q423">
        <f t="shared" si="20"/>
        <v>0</v>
      </c>
    </row>
    <row r="424" spans="1:17" x14ac:dyDescent="0.25">
      <c r="A424" t="str">
        <f t="shared" si="18"/>
        <v>Stephy Mavididi</v>
      </c>
      <c r="B424" t="s">
        <v>2249</v>
      </c>
      <c r="C424" t="s">
        <v>2250</v>
      </c>
      <c r="D424">
        <v>11</v>
      </c>
      <c r="E424">
        <v>3</v>
      </c>
      <c r="F424">
        <v>50</v>
      </c>
      <c r="G424">
        <v>1606</v>
      </c>
      <c r="H424">
        <v>16</v>
      </c>
      <c r="I424">
        <v>4</v>
      </c>
      <c r="J424">
        <v>1</v>
      </c>
      <c r="K424">
        <v>1.85</v>
      </c>
      <c r="L424">
        <v>3.25</v>
      </c>
      <c r="M424">
        <v>72</v>
      </c>
      <c r="N424">
        <v>270</v>
      </c>
      <c r="O424" t="s">
        <v>2250</v>
      </c>
      <c r="P424">
        <f t="shared" si="19"/>
        <v>0.10367372353673725</v>
      </c>
      <c r="Q424">
        <f t="shared" si="20"/>
        <v>0.18212951432129512</v>
      </c>
    </row>
    <row r="425" spans="1:17" x14ac:dyDescent="0.25">
      <c r="A425" t="str">
        <f t="shared" si="18"/>
        <v>Kasey McAteer</v>
      </c>
      <c r="B425" t="s">
        <v>640</v>
      </c>
      <c r="C425" t="s">
        <v>641</v>
      </c>
      <c r="D425">
        <v>11</v>
      </c>
      <c r="E425">
        <v>3</v>
      </c>
      <c r="F425">
        <v>47</v>
      </c>
      <c r="G425">
        <v>846</v>
      </c>
      <c r="H425">
        <v>9</v>
      </c>
      <c r="I425">
        <v>1</v>
      </c>
      <c r="J425">
        <v>1</v>
      </c>
      <c r="K425">
        <v>0.99</v>
      </c>
      <c r="L425">
        <v>0.63</v>
      </c>
      <c r="M425">
        <v>35</v>
      </c>
      <c r="N425">
        <v>125</v>
      </c>
      <c r="O425" t="s">
        <v>641</v>
      </c>
      <c r="P425">
        <f t="shared" si="19"/>
        <v>0.10531914893617023</v>
      </c>
      <c r="Q425">
        <f t="shared" si="20"/>
        <v>6.702127659574468E-2</v>
      </c>
    </row>
    <row r="426" spans="1:17" x14ac:dyDescent="0.25">
      <c r="A426" t="str">
        <f t="shared" si="18"/>
        <v>Wilfred Ndidi</v>
      </c>
      <c r="B426" t="s">
        <v>2251</v>
      </c>
      <c r="C426" t="s">
        <v>2252</v>
      </c>
      <c r="D426">
        <v>11</v>
      </c>
      <c r="E426">
        <v>3</v>
      </c>
      <c r="F426">
        <v>49</v>
      </c>
      <c r="G426">
        <v>2325</v>
      </c>
      <c r="H426">
        <v>28</v>
      </c>
      <c r="I426">
        <v>0</v>
      </c>
      <c r="J426">
        <v>5</v>
      </c>
      <c r="K426">
        <v>2.12</v>
      </c>
      <c r="L426">
        <v>1.53</v>
      </c>
      <c r="M426">
        <v>64</v>
      </c>
      <c r="N426">
        <v>375</v>
      </c>
      <c r="O426" t="s">
        <v>2252</v>
      </c>
      <c r="P426">
        <f t="shared" si="19"/>
        <v>8.2064516129032261E-2</v>
      </c>
      <c r="Q426">
        <f t="shared" si="20"/>
        <v>5.9225806451612906E-2</v>
      </c>
    </row>
    <row r="427" spans="1:17" x14ac:dyDescent="0.25">
      <c r="A427" t="str">
        <f t="shared" si="18"/>
        <v>Caleb Okoli</v>
      </c>
      <c r="B427" t="s">
        <v>407</v>
      </c>
      <c r="C427" t="s">
        <v>2253</v>
      </c>
      <c r="D427">
        <v>11</v>
      </c>
      <c r="E427">
        <v>2</v>
      </c>
      <c r="F427">
        <v>40</v>
      </c>
      <c r="G427">
        <v>1122</v>
      </c>
      <c r="H427">
        <v>12</v>
      </c>
      <c r="I427">
        <v>1</v>
      </c>
      <c r="J427">
        <v>0</v>
      </c>
      <c r="K427">
        <v>0.62</v>
      </c>
      <c r="L427">
        <v>0.17</v>
      </c>
      <c r="M427">
        <v>27</v>
      </c>
      <c r="N427">
        <v>106</v>
      </c>
      <c r="O427" t="s">
        <v>2253</v>
      </c>
      <c r="P427">
        <f t="shared" si="19"/>
        <v>4.9732620320855611E-2</v>
      </c>
      <c r="Q427">
        <f t="shared" si="20"/>
        <v>1.3636363636363636E-2</v>
      </c>
    </row>
    <row r="428" spans="1:17" x14ac:dyDescent="0.25">
      <c r="A428" t="str">
        <f t="shared" si="18"/>
        <v>Ricardo Barbosa Pereira</v>
      </c>
      <c r="B428" t="s">
        <v>2254</v>
      </c>
      <c r="C428" t="s">
        <v>2255</v>
      </c>
      <c r="D428">
        <v>11</v>
      </c>
      <c r="E428">
        <v>2</v>
      </c>
      <c r="F428">
        <v>41</v>
      </c>
      <c r="G428">
        <v>382</v>
      </c>
      <c r="H428">
        <v>4</v>
      </c>
      <c r="I428">
        <v>0</v>
      </c>
      <c r="J428">
        <v>0</v>
      </c>
      <c r="K428">
        <v>0.09</v>
      </c>
      <c r="L428">
        <v>7.0000000000000007E-2</v>
      </c>
      <c r="M428">
        <v>10</v>
      </c>
      <c r="N428">
        <v>46</v>
      </c>
      <c r="O428" t="s">
        <v>2254</v>
      </c>
      <c r="P428">
        <f t="shared" si="19"/>
        <v>2.1204188481675393E-2</v>
      </c>
      <c r="Q428">
        <f t="shared" si="20"/>
        <v>1.6492146596858642E-2</v>
      </c>
    </row>
    <row r="429" spans="1:17" x14ac:dyDescent="0.25">
      <c r="A429" t="str">
        <f t="shared" si="18"/>
        <v>Harry Souttar</v>
      </c>
      <c r="B429" t="s">
        <v>270</v>
      </c>
      <c r="C429" t="s">
        <v>2256</v>
      </c>
      <c r="D429">
        <v>11</v>
      </c>
      <c r="E429">
        <v>2</v>
      </c>
      <c r="F429">
        <v>40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2256</v>
      </c>
      <c r="P429">
        <f t="shared" si="19"/>
        <v>0</v>
      </c>
      <c r="Q429">
        <f t="shared" si="20"/>
        <v>0</v>
      </c>
    </row>
    <row r="430" spans="1:17" x14ac:dyDescent="0.25">
      <c r="A430" t="str">
        <f t="shared" si="18"/>
        <v>Jakub Stolarczyk</v>
      </c>
      <c r="B430" t="s">
        <v>1279</v>
      </c>
      <c r="C430" t="s">
        <v>2257</v>
      </c>
      <c r="D430">
        <v>11</v>
      </c>
      <c r="E430">
        <v>1</v>
      </c>
      <c r="F430">
        <v>40</v>
      </c>
      <c r="G430">
        <v>900</v>
      </c>
      <c r="H430">
        <v>10</v>
      </c>
      <c r="I430">
        <v>0</v>
      </c>
      <c r="J430">
        <v>0</v>
      </c>
      <c r="K430">
        <v>0</v>
      </c>
      <c r="L430">
        <v>0</v>
      </c>
      <c r="M430">
        <v>25</v>
      </c>
      <c r="N430">
        <v>104</v>
      </c>
      <c r="O430" t="s">
        <v>2257</v>
      </c>
      <c r="P430">
        <f t="shared" si="19"/>
        <v>0</v>
      </c>
      <c r="Q430">
        <f t="shared" si="20"/>
        <v>0</v>
      </c>
    </row>
    <row r="431" spans="1:17" x14ac:dyDescent="0.25">
      <c r="A431" t="str">
        <f t="shared" si="18"/>
        <v>Luke Thomas</v>
      </c>
      <c r="B431" t="s">
        <v>375</v>
      </c>
      <c r="C431" t="s">
        <v>364</v>
      </c>
      <c r="D431">
        <v>11</v>
      </c>
      <c r="E431">
        <v>2</v>
      </c>
      <c r="F431">
        <v>39</v>
      </c>
      <c r="G431">
        <v>1109</v>
      </c>
      <c r="H431">
        <v>13</v>
      </c>
      <c r="I431">
        <v>0</v>
      </c>
      <c r="J431">
        <v>0</v>
      </c>
      <c r="K431">
        <v>0.36</v>
      </c>
      <c r="L431">
        <v>0.49</v>
      </c>
      <c r="M431">
        <v>27</v>
      </c>
      <c r="N431">
        <v>144</v>
      </c>
      <c r="O431" t="s">
        <v>364</v>
      </c>
      <c r="P431">
        <f t="shared" si="19"/>
        <v>2.9215509467989179E-2</v>
      </c>
      <c r="Q431">
        <f t="shared" si="20"/>
        <v>3.9765554553651938E-2</v>
      </c>
    </row>
    <row r="432" spans="1:17" x14ac:dyDescent="0.25">
      <c r="A432" t="str">
        <f t="shared" si="18"/>
        <v>Jamie Vardy</v>
      </c>
      <c r="B432" t="s">
        <v>325</v>
      </c>
      <c r="C432" t="s">
        <v>2258</v>
      </c>
      <c r="D432">
        <v>11</v>
      </c>
      <c r="E432">
        <v>4</v>
      </c>
      <c r="F432">
        <v>54</v>
      </c>
      <c r="G432">
        <v>2825</v>
      </c>
      <c r="H432">
        <v>35</v>
      </c>
      <c r="I432">
        <v>9</v>
      </c>
      <c r="J432">
        <v>5</v>
      </c>
      <c r="K432">
        <v>11.23</v>
      </c>
      <c r="L432">
        <v>2.5499999999999998</v>
      </c>
      <c r="M432">
        <v>128</v>
      </c>
      <c r="N432">
        <v>464</v>
      </c>
      <c r="O432" t="s">
        <v>2258</v>
      </c>
      <c r="P432">
        <f t="shared" si="19"/>
        <v>0.35776991150442483</v>
      </c>
      <c r="Q432">
        <f t="shared" si="20"/>
        <v>8.1238938053097343E-2</v>
      </c>
    </row>
    <row r="433" spans="1:17" x14ac:dyDescent="0.25">
      <c r="A433" t="str">
        <f t="shared" si="18"/>
        <v>Jannik Vestergaard</v>
      </c>
      <c r="B433" t="s">
        <v>202</v>
      </c>
      <c r="C433" t="s">
        <v>2259</v>
      </c>
      <c r="D433">
        <v>11</v>
      </c>
      <c r="E433">
        <v>2</v>
      </c>
      <c r="F433">
        <v>39</v>
      </c>
      <c r="G433">
        <v>1390</v>
      </c>
      <c r="H433">
        <v>16</v>
      </c>
      <c r="I433">
        <v>0</v>
      </c>
      <c r="J433">
        <v>0</v>
      </c>
      <c r="K433">
        <v>0.11</v>
      </c>
      <c r="L433">
        <v>0.08</v>
      </c>
      <c r="M433">
        <v>11</v>
      </c>
      <c r="N433">
        <v>86</v>
      </c>
      <c r="O433" t="s">
        <v>2259</v>
      </c>
      <c r="P433">
        <f t="shared" si="19"/>
        <v>7.1223021582733819E-3</v>
      </c>
      <c r="Q433">
        <f t="shared" si="20"/>
        <v>5.1798561151079137E-3</v>
      </c>
    </row>
    <row r="434" spans="1:17" x14ac:dyDescent="0.25">
      <c r="A434" t="str">
        <f t="shared" si="18"/>
        <v>Danny Ward</v>
      </c>
      <c r="B434" t="s">
        <v>291</v>
      </c>
      <c r="C434" t="s">
        <v>1597</v>
      </c>
      <c r="D434">
        <v>11</v>
      </c>
      <c r="E434">
        <v>1</v>
      </c>
      <c r="F434">
        <v>39</v>
      </c>
      <c r="G434">
        <v>135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-5</v>
      </c>
      <c r="O434" t="s">
        <v>1597</v>
      </c>
      <c r="P434">
        <f t="shared" si="19"/>
        <v>0</v>
      </c>
      <c r="Q434">
        <f t="shared" si="20"/>
        <v>0</v>
      </c>
    </row>
    <row r="435" spans="1:17" x14ac:dyDescent="0.25">
      <c r="A435" t="str">
        <f t="shared" si="18"/>
        <v>Harry Winks</v>
      </c>
      <c r="B435" t="s">
        <v>270</v>
      </c>
      <c r="C435" t="s">
        <v>2260</v>
      </c>
      <c r="D435">
        <v>11</v>
      </c>
      <c r="E435">
        <v>3</v>
      </c>
      <c r="F435">
        <v>43</v>
      </c>
      <c r="G435">
        <v>1536</v>
      </c>
      <c r="H435">
        <v>17</v>
      </c>
      <c r="I435">
        <v>0</v>
      </c>
      <c r="J435">
        <v>2</v>
      </c>
      <c r="K435">
        <v>0.23</v>
      </c>
      <c r="L435">
        <v>1.53</v>
      </c>
      <c r="M435">
        <v>40</v>
      </c>
      <c r="N435">
        <v>282</v>
      </c>
      <c r="O435" t="s">
        <v>2260</v>
      </c>
      <c r="P435">
        <f t="shared" si="19"/>
        <v>1.3476562500000001E-2</v>
      </c>
      <c r="Q435">
        <f t="shared" si="20"/>
        <v>8.9648437499999997E-2</v>
      </c>
    </row>
    <row r="436" spans="1:17" x14ac:dyDescent="0.25">
      <c r="A436" t="str">
        <f t="shared" si="18"/>
        <v>Oliver Skipp</v>
      </c>
      <c r="B436" t="s">
        <v>361</v>
      </c>
      <c r="C436" t="s">
        <v>1990</v>
      </c>
      <c r="D436">
        <v>11</v>
      </c>
      <c r="E436">
        <v>3</v>
      </c>
      <c r="F436">
        <v>47</v>
      </c>
      <c r="G436">
        <v>1118</v>
      </c>
      <c r="H436">
        <v>10</v>
      </c>
      <c r="I436">
        <v>0</v>
      </c>
      <c r="J436">
        <v>0</v>
      </c>
      <c r="K436">
        <v>0.37</v>
      </c>
      <c r="L436">
        <v>0.32</v>
      </c>
      <c r="M436">
        <v>27</v>
      </c>
      <c r="N436">
        <v>121</v>
      </c>
      <c r="O436" t="s">
        <v>1990</v>
      </c>
      <c r="P436">
        <f t="shared" si="19"/>
        <v>2.9785330948121642E-2</v>
      </c>
      <c r="Q436">
        <f t="shared" si="20"/>
        <v>2.5760286225402506E-2</v>
      </c>
    </row>
    <row r="437" spans="1:17" x14ac:dyDescent="0.25">
      <c r="A437" t="str">
        <f t="shared" si="18"/>
        <v>Abdul Fatawu</v>
      </c>
      <c r="B437" t="s">
        <v>625</v>
      </c>
      <c r="C437" t="s">
        <v>626</v>
      </c>
      <c r="D437">
        <v>11</v>
      </c>
      <c r="E437">
        <v>3</v>
      </c>
      <c r="F437">
        <v>51</v>
      </c>
      <c r="G437">
        <v>576</v>
      </c>
      <c r="H437">
        <v>6</v>
      </c>
      <c r="I437">
        <v>0</v>
      </c>
      <c r="J437">
        <v>2</v>
      </c>
      <c r="K437">
        <v>0.41</v>
      </c>
      <c r="L437">
        <v>1.42</v>
      </c>
      <c r="M437">
        <v>26</v>
      </c>
      <c r="N437">
        <v>125</v>
      </c>
      <c r="O437" t="s">
        <v>2716</v>
      </c>
      <c r="P437">
        <f t="shared" si="19"/>
        <v>6.4062499999999994E-2</v>
      </c>
      <c r="Q437">
        <f t="shared" si="20"/>
        <v>0.22187499999999999</v>
      </c>
    </row>
    <row r="438" spans="1:17" x14ac:dyDescent="0.25">
      <c r="A438" t="str">
        <f t="shared" si="18"/>
        <v>Will Alves</v>
      </c>
      <c r="B438" t="s">
        <v>133</v>
      </c>
      <c r="C438" t="s">
        <v>2261</v>
      </c>
      <c r="D438">
        <v>11</v>
      </c>
      <c r="E438">
        <v>3</v>
      </c>
      <c r="F438">
        <v>44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3</v>
      </c>
      <c r="O438" t="s">
        <v>2261</v>
      </c>
      <c r="P438">
        <f t="shared" si="19"/>
        <v>0</v>
      </c>
      <c r="Q438">
        <f t="shared" si="20"/>
        <v>0</v>
      </c>
    </row>
    <row r="439" spans="1:17" x14ac:dyDescent="0.25">
      <c r="A439" t="str">
        <f t="shared" si="18"/>
        <v>Ben Nelson</v>
      </c>
      <c r="B439" t="s">
        <v>159</v>
      </c>
      <c r="C439" t="s">
        <v>64</v>
      </c>
      <c r="D439">
        <v>11</v>
      </c>
      <c r="E439">
        <v>2</v>
      </c>
      <c r="F439">
        <v>40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64</v>
      </c>
      <c r="P439">
        <f t="shared" si="19"/>
        <v>0</v>
      </c>
      <c r="Q439">
        <f t="shared" si="20"/>
        <v>0</v>
      </c>
    </row>
    <row r="440" spans="1:17" x14ac:dyDescent="0.25">
      <c r="A440" t="str">
        <f t="shared" si="18"/>
        <v>Bilal El Khannouss</v>
      </c>
      <c r="B440" t="s">
        <v>2262</v>
      </c>
      <c r="C440" t="s">
        <v>2263</v>
      </c>
      <c r="D440">
        <v>11</v>
      </c>
      <c r="E440">
        <v>3</v>
      </c>
      <c r="F440">
        <v>48</v>
      </c>
      <c r="G440">
        <v>2179</v>
      </c>
      <c r="H440">
        <v>27</v>
      </c>
      <c r="I440">
        <v>2</v>
      </c>
      <c r="J440">
        <v>4</v>
      </c>
      <c r="K440">
        <v>1.29</v>
      </c>
      <c r="L440">
        <v>2.85</v>
      </c>
      <c r="M440">
        <v>83</v>
      </c>
      <c r="N440">
        <v>376</v>
      </c>
      <c r="O440" t="s">
        <v>2263</v>
      </c>
      <c r="P440">
        <f t="shared" si="19"/>
        <v>5.3281321707205141E-2</v>
      </c>
      <c r="Q440">
        <f t="shared" si="20"/>
        <v>0.1177145479577788</v>
      </c>
    </row>
    <row r="441" spans="1:17" x14ac:dyDescent="0.25">
      <c r="A441" t="str">
        <f t="shared" si="18"/>
        <v>Henry Cartwright</v>
      </c>
      <c r="B441" t="s">
        <v>196</v>
      </c>
      <c r="C441" t="s">
        <v>544</v>
      </c>
      <c r="D441">
        <v>11</v>
      </c>
      <c r="E441">
        <v>3</v>
      </c>
      <c r="F441">
        <v>45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544</v>
      </c>
      <c r="P441">
        <f t="shared" si="19"/>
        <v>0</v>
      </c>
      <c r="Q441">
        <f t="shared" si="20"/>
        <v>0</v>
      </c>
    </row>
    <row r="442" spans="1:17" x14ac:dyDescent="0.25">
      <c r="A442" t="str">
        <f t="shared" si="18"/>
        <v>Thomas Wilson-Brown</v>
      </c>
      <c r="B442" t="s">
        <v>364</v>
      </c>
      <c r="C442" t="s">
        <v>2264</v>
      </c>
      <c r="D442">
        <v>11</v>
      </c>
      <c r="E442">
        <v>2</v>
      </c>
      <c r="F442">
        <v>40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2264</v>
      </c>
      <c r="P442">
        <f t="shared" si="19"/>
        <v>0</v>
      </c>
      <c r="Q442">
        <f t="shared" si="20"/>
        <v>0</v>
      </c>
    </row>
    <row r="443" spans="1:17" x14ac:dyDescent="0.25">
      <c r="A443" t="str">
        <f t="shared" si="18"/>
        <v>Woyo Coulibaly</v>
      </c>
      <c r="B443" t="s">
        <v>2265</v>
      </c>
      <c r="C443" t="s">
        <v>1941</v>
      </c>
      <c r="D443">
        <v>11</v>
      </c>
      <c r="E443">
        <v>2</v>
      </c>
      <c r="F443">
        <v>40</v>
      </c>
      <c r="G443">
        <v>107</v>
      </c>
      <c r="H443">
        <v>1</v>
      </c>
      <c r="I443">
        <v>0</v>
      </c>
      <c r="J443">
        <v>0</v>
      </c>
      <c r="K443">
        <v>0.04</v>
      </c>
      <c r="L443">
        <v>0.04</v>
      </c>
      <c r="M443">
        <v>1</v>
      </c>
      <c r="N443">
        <v>-4</v>
      </c>
      <c r="O443" t="s">
        <v>1941</v>
      </c>
      <c r="P443">
        <f t="shared" si="19"/>
        <v>3.3644859813084113E-2</v>
      </c>
      <c r="Q443">
        <f t="shared" si="20"/>
        <v>3.3644859813084113E-2</v>
      </c>
    </row>
    <row r="444" spans="1:17" x14ac:dyDescent="0.25">
      <c r="A444" t="str">
        <f t="shared" si="18"/>
        <v>Ruud van Nistelrooij</v>
      </c>
      <c r="B444" t="s">
        <v>2266</v>
      </c>
      <c r="C444" t="s">
        <v>2267</v>
      </c>
      <c r="D444">
        <v>11</v>
      </c>
      <c r="E444">
        <v>5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48</v>
      </c>
      <c r="N444">
        <v>0</v>
      </c>
      <c r="O444" t="s">
        <v>2717</v>
      </c>
      <c r="P444">
        <f t="shared" si="19"/>
        <v>0</v>
      </c>
      <c r="Q444">
        <f t="shared" si="20"/>
        <v>0</v>
      </c>
    </row>
    <row r="445" spans="1:17" x14ac:dyDescent="0.25">
      <c r="A445" t="str">
        <f t="shared" si="18"/>
        <v>Jeremy Monga</v>
      </c>
      <c r="B445" t="s">
        <v>711</v>
      </c>
      <c r="C445" t="s">
        <v>789</v>
      </c>
      <c r="D445">
        <v>11</v>
      </c>
      <c r="E445">
        <v>3</v>
      </c>
      <c r="F445">
        <v>45</v>
      </c>
      <c r="G445">
        <v>105</v>
      </c>
      <c r="H445">
        <v>0</v>
      </c>
      <c r="I445">
        <v>0</v>
      </c>
      <c r="J445">
        <v>0</v>
      </c>
      <c r="K445">
        <v>0.17</v>
      </c>
      <c r="L445">
        <v>0.02</v>
      </c>
      <c r="M445">
        <v>7</v>
      </c>
      <c r="N445">
        <v>29</v>
      </c>
      <c r="O445" t="s">
        <v>789</v>
      </c>
      <c r="P445">
        <f t="shared" si="19"/>
        <v>0.14571428571428571</v>
      </c>
      <c r="Q445">
        <f t="shared" si="20"/>
        <v>1.7142857142857144E-2</v>
      </c>
    </row>
    <row r="446" spans="1:17" x14ac:dyDescent="0.25">
      <c r="A446" t="str">
        <f t="shared" si="18"/>
        <v>Olabade Aluko</v>
      </c>
      <c r="B446" t="s">
        <v>2268</v>
      </c>
      <c r="C446" t="s">
        <v>2269</v>
      </c>
      <c r="D446">
        <v>11</v>
      </c>
      <c r="E446">
        <v>2</v>
      </c>
      <c r="F446">
        <v>40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3</v>
      </c>
      <c r="O446" t="s">
        <v>2718</v>
      </c>
      <c r="P446">
        <f t="shared" si="19"/>
        <v>0</v>
      </c>
      <c r="Q446">
        <f t="shared" si="20"/>
        <v>0</v>
      </c>
    </row>
    <row r="447" spans="1:17" x14ac:dyDescent="0.25">
      <c r="A447" t="str">
        <f t="shared" si="18"/>
        <v>Jake Evans</v>
      </c>
      <c r="B447" t="s">
        <v>371</v>
      </c>
      <c r="C447" t="s">
        <v>1830</v>
      </c>
      <c r="D447">
        <v>11</v>
      </c>
      <c r="E447">
        <v>3</v>
      </c>
      <c r="F447">
        <v>45</v>
      </c>
      <c r="G447">
        <v>21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4</v>
      </c>
      <c r="N447">
        <v>13</v>
      </c>
      <c r="O447" t="s">
        <v>2719</v>
      </c>
      <c r="P447">
        <f t="shared" si="19"/>
        <v>0</v>
      </c>
      <c r="Q447">
        <f t="shared" si="20"/>
        <v>0</v>
      </c>
    </row>
    <row r="448" spans="1:17" x14ac:dyDescent="0.25">
      <c r="A448" t="str">
        <f t="shared" si="18"/>
        <v>Sammy Braybrooke</v>
      </c>
      <c r="B448" t="s">
        <v>2270</v>
      </c>
      <c r="C448" t="s">
        <v>2271</v>
      </c>
      <c r="D448">
        <v>11</v>
      </c>
      <c r="E448">
        <v>3</v>
      </c>
      <c r="F448">
        <v>45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2271</v>
      </c>
      <c r="P448">
        <f t="shared" si="19"/>
        <v>0</v>
      </c>
      <c r="Q448">
        <f t="shared" si="20"/>
        <v>0</v>
      </c>
    </row>
    <row r="449" spans="1:17" x14ac:dyDescent="0.25">
      <c r="A449" t="str">
        <f t="shared" si="18"/>
        <v>Alisson Ramses Becker</v>
      </c>
      <c r="B449" t="s">
        <v>690</v>
      </c>
      <c r="C449" t="s">
        <v>1682</v>
      </c>
      <c r="D449">
        <v>12</v>
      </c>
      <c r="E449">
        <v>1</v>
      </c>
      <c r="F449">
        <v>55</v>
      </c>
      <c r="G449">
        <v>2508</v>
      </c>
      <c r="H449">
        <v>28</v>
      </c>
      <c r="I449">
        <v>0</v>
      </c>
      <c r="J449">
        <v>0</v>
      </c>
      <c r="K449">
        <v>0</v>
      </c>
      <c r="L449">
        <v>0.2</v>
      </c>
      <c r="M449">
        <v>112</v>
      </c>
      <c r="N449">
        <v>451</v>
      </c>
      <c r="O449" t="s">
        <v>2720</v>
      </c>
      <c r="P449">
        <f t="shared" si="19"/>
        <v>0</v>
      </c>
      <c r="Q449">
        <f t="shared" si="20"/>
        <v>7.1770334928229667E-3</v>
      </c>
    </row>
    <row r="450" spans="1:17" x14ac:dyDescent="0.25">
      <c r="A450" t="str">
        <f t="shared" ref="A450:A513" si="21">_xlfn.CONCAT(B450, " ", C450)</f>
        <v>Trent Alexander-Arnold</v>
      </c>
      <c r="B450" t="s">
        <v>1680</v>
      </c>
      <c r="C450" t="s">
        <v>1681</v>
      </c>
      <c r="D450">
        <v>12</v>
      </c>
      <c r="E450">
        <v>2</v>
      </c>
      <c r="F450">
        <v>72</v>
      </c>
      <c r="G450">
        <v>2362</v>
      </c>
      <c r="H450">
        <v>28</v>
      </c>
      <c r="I450">
        <v>3</v>
      </c>
      <c r="J450">
        <v>7</v>
      </c>
      <c r="K450">
        <v>1.81</v>
      </c>
      <c r="L450">
        <v>7.2</v>
      </c>
      <c r="M450">
        <v>148</v>
      </c>
      <c r="N450">
        <v>603</v>
      </c>
      <c r="O450" t="s">
        <v>1681</v>
      </c>
      <c r="P450">
        <f t="shared" ref="P450:P513" si="22">IFERROR(K450/G450*90,0)</f>
        <v>6.8966977138018637E-2</v>
      </c>
      <c r="Q450">
        <f t="shared" ref="Q450:Q513" si="23">IFERROR(L450/G450*90,0)</f>
        <v>0.27434377646062658</v>
      </c>
    </row>
    <row r="451" spans="1:17" x14ac:dyDescent="0.25">
      <c r="A451" t="str">
        <f t="shared" si="21"/>
        <v>Stefan Bajčetić Maquieira</v>
      </c>
      <c r="B451" t="s">
        <v>735</v>
      </c>
      <c r="C451" t="s">
        <v>736</v>
      </c>
      <c r="D451">
        <v>12</v>
      </c>
      <c r="E451">
        <v>3</v>
      </c>
      <c r="F451">
        <v>45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1683</v>
      </c>
      <c r="P451">
        <f t="shared" si="22"/>
        <v>0</v>
      </c>
      <c r="Q451">
        <f t="shared" si="23"/>
        <v>0</v>
      </c>
    </row>
    <row r="452" spans="1:17" x14ac:dyDescent="0.25">
      <c r="A452" t="str">
        <f t="shared" si="21"/>
        <v>Conor Bradley</v>
      </c>
      <c r="B452" t="s">
        <v>708</v>
      </c>
      <c r="C452" t="s">
        <v>111</v>
      </c>
      <c r="D452">
        <v>12</v>
      </c>
      <c r="E452">
        <v>2</v>
      </c>
      <c r="F452">
        <v>47</v>
      </c>
      <c r="G452">
        <v>744</v>
      </c>
      <c r="H452">
        <v>7</v>
      </c>
      <c r="I452">
        <v>0</v>
      </c>
      <c r="J452">
        <v>2</v>
      </c>
      <c r="K452">
        <v>0.7</v>
      </c>
      <c r="L452">
        <v>1.43</v>
      </c>
      <c r="M452">
        <v>41</v>
      </c>
      <c r="N452">
        <v>160</v>
      </c>
      <c r="O452" t="s">
        <v>111</v>
      </c>
      <c r="P452">
        <f t="shared" si="22"/>
        <v>8.4677419354838704E-2</v>
      </c>
      <c r="Q452">
        <f t="shared" si="23"/>
        <v>0.17298387096774193</v>
      </c>
    </row>
    <row r="453" spans="1:17" x14ac:dyDescent="0.25">
      <c r="A453" t="str">
        <f t="shared" si="21"/>
        <v>Bobby Clark</v>
      </c>
      <c r="B453" t="s">
        <v>363</v>
      </c>
      <c r="C453" t="s">
        <v>1698</v>
      </c>
      <c r="D453">
        <v>12</v>
      </c>
      <c r="E453">
        <v>3</v>
      </c>
      <c r="F453">
        <v>45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1698</v>
      </c>
      <c r="P453">
        <f t="shared" si="22"/>
        <v>0</v>
      </c>
      <c r="Q453">
        <f t="shared" si="23"/>
        <v>0</v>
      </c>
    </row>
    <row r="454" spans="1:17" x14ac:dyDescent="0.25">
      <c r="A454" t="str">
        <f t="shared" si="21"/>
        <v>Darwin Núñez Ribeiro</v>
      </c>
      <c r="B454" t="s">
        <v>1684</v>
      </c>
      <c r="C454" t="s">
        <v>1685</v>
      </c>
      <c r="D454">
        <v>12</v>
      </c>
      <c r="E454">
        <v>4</v>
      </c>
      <c r="F454">
        <v>70</v>
      </c>
      <c r="G454">
        <v>1113</v>
      </c>
      <c r="H454">
        <v>8</v>
      </c>
      <c r="I454">
        <v>5</v>
      </c>
      <c r="J454">
        <v>3</v>
      </c>
      <c r="K454">
        <v>5.76</v>
      </c>
      <c r="L454">
        <v>0.51</v>
      </c>
      <c r="M454">
        <v>66</v>
      </c>
      <c r="N454">
        <v>244</v>
      </c>
      <c r="O454" t="s">
        <v>1684</v>
      </c>
      <c r="P454">
        <f t="shared" si="22"/>
        <v>0.46576819407008085</v>
      </c>
      <c r="Q454">
        <f t="shared" si="23"/>
        <v>4.1239892183288412E-2</v>
      </c>
    </row>
    <row r="455" spans="1:17" x14ac:dyDescent="0.25">
      <c r="A455" t="str">
        <f t="shared" si="21"/>
        <v>Diogo Teixeira da Silva</v>
      </c>
      <c r="B455" t="s">
        <v>810</v>
      </c>
      <c r="C455" t="s">
        <v>1686</v>
      </c>
      <c r="D455">
        <v>12</v>
      </c>
      <c r="E455">
        <v>3</v>
      </c>
      <c r="F455">
        <v>72</v>
      </c>
      <c r="G455">
        <v>1182</v>
      </c>
      <c r="H455">
        <v>14</v>
      </c>
      <c r="I455">
        <v>6</v>
      </c>
      <c r="J455">
        <v>4</v>
      </c>
      <c r="K455">
        <v>7.98</v>
      </c>
      <c r="L455">
        <v>1.0900000000000001</v>
      </c>
      <c r="M455">
        <v>87</v>
      </c>
      <c r="N455">
        <v>225</v>
      </c>
      <c r="O455" t="s">
        <v>2721</v>
      </c>
      <c r="P455">
        <f t="shared" si="22"/>
        <v>0.6076142131979696</v>
      </c>
      <c r="Q455">
        <f t="shared" si="23"/>
        <v>8.2994923857868025E-2</v>
      </c>
    </row>
    <row r="456" spans="1:17" x14ac:dyDescent="0.25">
      <c r="A456" t="str">
        <f t="shared" si="21"/>
        <v>Ben Doak</v>
      </c>
      <c r="B456" t="s">
        <v>159</v>
      </c>
      <c r="C456" t="s">
        <v>1699</v>
      </c>
      <c r="D456">
        <v>12</v>
      </c>
      <c r="E456">
        <v>3</v>
      </c>
      <c r="F456">
        <v>45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1699</v>
      </c>
      <c r="P456">
        <f t="shared" si="22"/>
        <v>0</v>
      </c>
      <c r="Q456">
        <f t="shared" si="23"/>
        <v>0</v>
      </c>
    </row>
    <row r="457" spans="1:17" x14ac:dyDescent="0.25">
      <c r="A457" t="str">
        <f t="shared" si="21"/>
        <v>Harvey Elliott</v>
      </c>
      <c r="B457" t="s">
        <v>543</v>
      </c>
      <c r="C457" t="s">
        <v>745</v>
      </c>
      <c r="D457">
        <v>12</v>
      </c>
      <c r="E457">
        <v>3</v>
      </c>
      <c r="F457">
        <v>52</v>
      </c>
      <c r="G457">
        <v>359</v>
      </c>
      <c r="H457">
        <v>2</v>
      </c>
      <c r="I457">
        <v>1</v>
      </c>
      <c r="J457">
        <v>2</v>
      </c>
      <c r="K457">
        <v>1.78</v>
      </c>
      <c r="L457">
        <v>0.64</v>
      </c>
      <c r="M457">
        <v>33</v>
      </c>
      <c r="N457">
        <v>120</v>
      </c>
      <c r="O457" t="s">
        <v>745</v>
      </c>
      <c r="P457">
        <f t="shared" si="22"/>
        <v>0.44623955431754875</v>
      </c>
      <c r="Q457">
        <f t="shared" si="23"/>
        <v>0.16044568245125349</v>
      </c>
    </row>
    <row r="458" spans="1:17" x14ac:dyDescent="0.25">
      <c r="A458" t="str">
        <f t="shared" si="21"/>
        <v>Endo Wataru</v>
      </c>
      <c r="B458" t="s">
        <v>731</v>
      </c>
      <c r="C458" t="s">
        <v>732</v>
      </c>
      <c r="D458">
        <v>12</v>
      </c>
      <c r="E458">
        <v>3</v>
      </c>
      <c r="F458">
        <v>46</v>
      </c>
      <c r="G458">
        <v>259</v>
      </c>
      <c r="H458">
        <v>1</v>
      </c>
      <c r="I458">
        <v>0</v>
      </c>
      <c r="J458">
        <v>0</v>
      </c>
      <c r="K458">
        <v>0</v>
      </c>
      <c r="L458">
        <v>0.09</v>
      </c>
      <c r="M458">
        <v>21</v>
      </c>
      <c r="N458">
        <v>82</v>
      </c>
      <c r="O458" t="s">
        <v>731</v>
      </c>
      <c r="P458">
        <f t="shared" si="22"/>
        <v>0</v>
      </c>
      <c r="Q458">
        <f t="shared" si="23"/>
        <v>3.127413127413127E-2</v>
      </c>
    </row>
    <row r="459" spans="1:17" x14ac:dyDescent="0.25">
      <c r="A459" t="str">
        <f t="shared" si="21"/>
        <v>Cody Gakpo</v>
      </c>
      <c r="B459" t="s">
        <v>553</v>
      </c>
      <c r="C459" t="s">
        <v>720</v>
      </c>
      <c r="D459">
        <v>12</v>
      </c>
      <c r="E459">
        <v>4</v>
      </c>
      <c r="F459">
        <v>72</v>
      </c>
      <c r="G459">
        <v>1921</v>
      </c>
      <c r="H459">
        <v>23</v>
      </c>
      <c r="I459">
        <v>10</v>
      </c>
      <c r="J459">
        <v>5</v>
      </c>
      <c r="K459">
        <v>7.12</v>
      </c>
      <c r="L459">
        <v>3.76</v>
      </c>
      <c r="M459">
        <v>127</v>
      </c>
      <c r="N459">
        <v>572</v>
      </c>
      <c r="O459" t="s">
        <v>720</v>
      </c>
      <c r="P459">
        <f t="shared" si="22"/>
        <v>0.33357626236335242</v>
      </c>
      <c r="Q459">
        <f t="shared" si="23"/>
        <v>0.17615825091098386</v>
      </c>
    </row>
    <row r="460" spans="1:17" x14ac:dyDescent="0.25">
      <c r="A460" t="str">
        <f t="shared" si="21"/>
        <v>Joe Gomez</v>
      </c>
      <c r="B460" t="s">
        <v>585</v>
      </c>
      <c r="C460" t="s">
        <v>707</v>
      </c>
      <c r="D460">
        <v>12</v>
      </c>
      <c r="E460">
        <v>2</v>
      </c>
      <c r="F460">
        <v>47</v>
      </c>
      <c r="G460">
        <v>517</v>
      </c>
      <c r="H460">
        <v>6</v>
      </c>
      <c r="I460">
        <v>0</v>
      </c>
      <c r="J460">
        <v>0</v>
      </c>
      <c r="K460">
        <v>0.33</v>
      </c>
      <c r="L460">
        <v>0.09</v>
      </c>
      <c r="M460">
        <v>14</v>
      </c>
      <c r="N460">
        <v>83</v>
      </c>
      <c r="O460" t="s">
        <v>707</v>
      </c>
      <c r="P460">
        <f t="shared" si="22"/>
        <v>5.7446808510638304E-2</v>
      </c>
      <c r="Q460">
        <f t="shared" si="23"/>
        <v>1.5667311411992263E-2</v>
      </c>
    </row>
    <row r="461" spans="1:17" x14ac:dyDescent="0.25">
      <c r="A461" t="str">
        <f t="shared" si="21"/>
        <v>Ryan Gravenberch</v>
      </c>
      <c r="B461" t="s">
        <v>164</v>
      </c>
      <c r="C461" t="s">
        <v>726</v>
      </c>
      <c r="D461">
        <v>12</v>
      </c>
      <c r="E461">
        <v>3</v>
      </c>
      <c r="F461">
        <v>50</v>
      </c>
      <c r="G461">
        <v>3160</v>
      </c>
      <c r="H461">
        <v>37</v>
      </c>
      <c r="I461">
        <v>0</v>
      </c>
      <c r="J461">
        <v>4</v>
      </c>
      <c r="K461">
        <v>1.1299999999999999</v>
      </c>
      <c r="L461">
        <v>3.5</v>
      </c>
      <c r="M461">
        <v>92</v>
      </c>
      <c r="N461">
        <v>568</v>
      </c>
      <c r="O461" t="s">
        <v>726</v>
      </c>
      <c r="P461">
        <f t="shared" si="22"/>
        <v>3.2183544303797468E-2</v>
      </c>
      <c r="Q461">
        <f t="shared" si="23"/>
        <v>9.9683544303797472E-2</v>
      </c>
    </row>
    <row r="462" spans="1:17" x14ac:dyDescent="0.25">
      <c r="A462" t="str">
        <f t="shared" si="21"/>
        <v>Curtis Jones</v>
      </c>
      <c r="B462" t="s">
        <v>729</v>
      </c>
      <c r="C462" t="s">
        <v>730</v>
      </c>
      <c r="D462">
        <v>12</v>
      </c>
      <c r="E462">
        <v>3</v>
      </c>
      <c r="F462">
        <v>53</v>
      </c>
      <c r="G462">
        <v>1702</v>
      </c>
      <c r="H462">
        <v>19</v>
      </c>
      <c r="I462">
        <v>3</v>
      </c>
      <c r="J462">
        <v>5</v>
      </c>
      <c r="K462">
        <v>4.34</v>
      </c>
      <c r="L462">
        <v>1.46</v>
      </c>
      <c r="M462">
        <v>87</v>
      </c>
      <c r="N462">
        <v>396</v>
      </c>
      <c r="O462" t="s">
        <v>730</v>
      </c>
      <c r="P462">
        <f t="shared" si="22"/>
        <v>0.22949471210340774</v>
      </c>
      <c r="Q462">
        <f t="shared" si="23"/>
        <v>7.7203290246768502E-2</v>
      </c>
    </row>
    <row r="463" spans="1:17" x14ac:dyDescent="0.25">
      <c r="A463" t="str">
        <f t="shared" si="21"/>
        <v>Caoimhin Kelleher</v>
      </c>
      <c r="B463" t="s">
        <v>1689</v>
      </c>
      <c r="C463" t="s">
        <v>182</v>
      </c>
      <c r="D463">
        <v>12</v>
      </c>
      <c r="E463">
        <v>1</v>
      </c>
      <c r="F463">
        <v>39</v>
      </c>
      <c r="G463">
        <v>900</v>
      </c>
      <c r="H463">
        <v>10</v>
      </c>
      <c r="I463">
        <v>0</v>
      </c>
      <c r="J463">
        <v>0</v>
      </c>
      <c r="K463">
        <v>0</v>
      </c>
      <c r="L463">
        <v>0</v>
      </c>
      <c r="M463">
        <v>45</v>
      </c>
      <c r="N463">
        <v>156</v>
      </c>
      <c r="O463" t="s">
        <v>182</v>
      </c>
      <c r="P463">
        <f t="shared" si="22"/>
        <v>0</v>
      </c>
      <c r="Q463">
        <f t="shared" si="23"/>
        <v>0</v>
      </c>
    </row>
    <row r="464" spans="1:17" x14ac:dyDescent="0.25">
      <c r="A464" t="str">
        <f t="shared" si="21"/>
        <v>Ibrahima Konaté</v>
      </c>
      <c r="B464" t="s">
        <v>1690</v>
      </c>
      <c r="C464" t="s">
        <v>1691</v>
      </c>
      <c r="D464">
        <v>12</v>
      </c>
      <c r="E464">
        <v>2</v>
      </c>
      <c r="F464">
        <v>53</v>
      </c>
      <c r="G464">
        <v>2561</v>
      </c>
      <c r="H464">
        <v>30</v>
      </c>
      <c r="I464">
        <v>1</v>
      </c>
      <c r="J464">
        <v>2</v>
      </c>
      <c r="K464">
        <v>1.8</v>
      </c>
      <c r="L464">
        <v>0.91</v>
      </c>
      <c r="M464">
        <v>106</v>
      </c>
      <c r="N464">
        <v>487</v>
      </c>
      <c r="O464" t="s">
        <v>1691</v>
      </c>
      <c r="P464">
        <f t="shared" si="22"/>
        <v>6.3256540413900816E-2</v>
      </c>
      <c r="Q464">
        <f t="shared" si="23"/>
        <v>3.1979695431472083E-2</v>
      </c>
    </row>
    <row r="465" spans="1:17" x14ac:dyDescent="0.25">
      <c r="A465" t="str">
        <f t="shared" si="21"/>
        <v>Luis Díaz</v>
      </c>
      <c r="B465" t="s">
        <v>1373</v>
      </c>
      <c r="C465" t="s">
        <v>1692</v>
      </c>
      <c r="D465">
        <v>12</v>
      </c>
      <c r="E465">
        <v>3</v>
      </c>
      <c r="F465">
        <v>75</v>
      </c>
      <c r="G465">
        <v>2393</v>
      </c>
      <c r="H465">
        <v>28</v>
      </c>
      <c r="I465">
        <v>13</v>
      </c>
      <c r="J465">
        <v>7</v>
      </c>
      <c r="K465">
        <v>11.9</v>
      </c>
      <c r="L465">
        <v>4.34</v>
      </c>
      <c r="M465">
        <v>183</v>
      </c>
      <c r="N465">
        <v>634</v>
      </c>
      <c r="O465" t="s">
        <v>2722</v>
      </c>
      <c r="P465">
        <f t="shared" si="22"/>
        <v>0.447555369828667</v>
      </c>
      <c r="Q465">
        <f t="shared" si="23"/>
        <v>0.16322607605516087</v>
      </c>
    </row>
    <row r="466" spans="1:17" x14ac:dyDescent="0.25">
      <c r="A466" t="str">
        <f t="shared" si="21"/>
        <v>Mohamed Salah</v>
      </c>
      <c r="B466" t="s">
        <v>561</v>
      </c>
      <c r="C466" t="s">
        <v>1694</v>
      </c>
      <c r="D466">
        <v>12</v>
      </c>
      <c r="E466">
        <v>3</v>
      </c>
      <c r="F466">
        <v>136</v>
      </c>
      <c r="G466">
        <v>3374</v>
      </c>
      <c r="H466">
        <v>38</v>
      </c>
      <c r="I466">
        <v>29</v>
      </c>
      <c r="J466">
        <v>18</v>
      </c>
      <c r="K466">
        <v>24.7</v>
      </c>
      <c r="L466">
        <v>8.99</v>
      </c>
      <c r="M466">
        <v>344</v>
      </c>
      <c r="N466">
        <v>1133</v>
      </c>
      <c r="O466" t="s">
        <v>2723</v>
      </c>
      <c r="P466">
        <f t="shared" si="22"/>
        <v>0.65886188500296383</v>
      </c>
      <c r="Q466">
        <f t="shared" si="23"/>
        <v>0.23980438648488445</v>
      </c>
    </row>
    <row r="467" spans="1:17" x14ac:dyDescent="0.25">
      <c r="A467" t="str">
        <f t="shared" si="21"/>
        <v>Alexis Mac Allister</v>
      </c>
      <c r="B467" t="s">
        <v>727</v>
      </c>
      <c r="C467" t="s">
        <v>728</v>
      </c>
      <c r="D467">
        <v>12</v>
      </c>
      <c r="E467">
        <v>3</v>
      </c>
      <c r="F467">
        <v>62</v>
      </c>
      <c r="G467">
        <v>2597</v>
      </c>
      <c r="H467">
        <v>30</v>
      </c>
      <c r="I467">
        <v>5</v>
      </c>
      <c r="J467">
        <v>6</v>
      </c>
      <c r="K467">
        <v>2.89</v>
      </c>
      <c r="L467">
        <v>5.57</v>
      </c>
      <c r="M467">
        <v>122</v>
      </c>
      <c r="N467">
        <v>578</v>
      </c>
      <c r="O467" t="s">
        <v>728</v>
      </c>
      <c r="P467">
        <f t="shared" si="22"/>
        <v>0.10015402387370043</v>
      </c>
      <c r="Q467">
        <f t="shared" si="23"/>
        <v>0.19303041971505586</v>
      </c>
    </row>
    <row r="468" spans="1:17" x14ac:dyDescent="0.25">
      <c r="A468" t="str">
        <f t="shared" si="21"/>
        <v>James McConnell</v>
      </c>
      <c r="B468" t="s">
        <v>135</v>
      </c>
      <c r="C468" t="s">
        <v>738</v>
      </c>
      <c r="D468">
        <v>12</v>
      </c>
      <c r="E468">
        <v>3</v>
      </c>
      <c r="F468">
        <v>43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738</v>
      </c>
      <c r="P468">
        <f t="shared" si="22"/>
        <v>0</v>
      </c>
      <c r="Q468">
        <f t="shared" si="23"/>
        <v>0</v>
      </c>
    </row>
    <row r="469" spans="1:17" x14ac:dyDescent="0.25">
      <c r="A469" t="str">
        <f t="shared" si="21"/>
        <v>Tyler Morton</v>
      </c>
      <c r="B469" t="s">
        <v>161</v>
      </c>
      <c r="C469" t="s">
        <v>2272</v>
      </c>
      <c r="D469">
        <v>12</v>
      </c>
      <c r="E469">
        <v>3</v>
      </c>
      <c r="F469">
        <v>44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2272</v>
      </c>
      <c r="P469">
        <f t="shared" si="22"/>
        <v>0</v>
      </c>
      <c r="Q469">
        <f t="shared" si="23"/>
        <v>0</v>
      </c>
    </row>
    <row r="470" spans="1:17" x14ac:dyDescent="0.25">
      <c r="A470" t="str">
        <f t="shared" si="21"/>
        <v>Nathaniel Phillips</v>
      </c>
      <c r="B470" t="s">
        <v>1581</v>
      </c>
      <c r="C470" t="s">
        <v>541</v>
      </c>
      <c r="D470">
        <v>12</v>
      </c>
      <c r="E470">
        <v>2</v>
      </c>
      <c r="F470">
        <v>40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2724</v>
      </c>
      <c r="P470">
        <f t="shared" si="22"/>
        <v>0</v>
      </c>
      <c r="Q470">
        <f t="shared" si="23"/>
        <v>0</v>
      </c>
    </row>
    <row r="471" spans="1:17" x14ac:dyDescent="0.25">
      <c r="A471" t="str">
        <f t="shared" si="21"/>
        <v>Jarell Quansah</v>
      </c>
      <c r="B471" t="s">
        <v>1696</v>
      </c>
      <c r="C471" t="s">
        <v>1697</v>
      </c>
      <c r="D471">
        <v>12</v>
      </c>
      <c r="E471">
        <v>2</v>
      </c>
      <c r="F471">
        <v>39</v>
      </c>
      <c r="G471">
        <v>488</v>
      </c>
      <c r="H471">
        <v>4</v>
      </c>
      <c r="I471">
        <v>0</v>
      </c>
      <c r="J471">
        <v>0</v>
      </c>
      <c r="K471">
        <v>0.1</v>
      </c>
      <c r="L471">
        <v>0.18</v>
      </c>
      <c r="M471">
        <v>9</v>
      </c>
      <c r="N471">
        <v>38</v>
      </c>
      <c r="O471" t="s">
        <v>1697</v>
      </c>
      <c r="P471">
        <f t="shared" si="22"/>
        <v>1.8442622950819672E-2</v>
      </c>
      <c r="Q471">
        <f t="shared" si="23"/>
        <v>3.3196721311475406E-2</v>
      </c>
    </row>
    <row r="472" spans="1:17" x14ac:dyDescent="0.25">
      <c r="A472" t="str">
        <f t="shared" si="21"/>
        <v>Rhys Williams</v>
      </c>
      <c r="B472" t="s">
        <v>1836</v>
      </c>
      <c r="C472" t="s">
        <v>888</v>
      </c>
      <c r="D472">
        <v>12</v>
      </c>
      <c r="E472">
        <v>2</v>
      </c>
      <c r="F472">
        <v>40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2725</v>
      </c>
      <c r="P472">
        <f t="shared" si="22"/>
        <v>0</v>
      </c>
      <c r="Q472">
        <f t="shared" si="23"/>
        <v>0</v>
      </c>
    </row>
    <row r="473" spans="1:17" x14ac:dyDescent="0.25">
      <c r="A473" t="str">
        <f t="shared" si="21"/>
        <v>Andrew Robertson</v>
      </c>
      <c r="B473" t="s">
        <v>945</v>
      </c>
      <c r="C473" t="s">
        <v>946</v>
      </c>
      <c r="D473">
        <v>12</v>
      </c>
      <c r="E473">
        <v>2</v>
      </c>
      <c r="F473">
        <v>58</v>
      </c>
      <c r="G473">
        <v>2479</v>
      </c>
      <c r="H473">
        <v>29</v>
      </c>
      <c r="I473">
        <v>0</v>
      </c>
      <c r="J473">
        <v>1</v>
      </c>
      <c r="K473">
        <v>1.1200000000000001</v>
      </c>
      <c r="L473">
        <v>4.2699999999999996</v>
      </c>
      <c r="M473">
        <v>91</v>
      </c>
      <c r="N473">
        <v>397</v>
      </c>
      <c r="O473" t="s">
        <v>946</v>
      </c>
      <c r="P473">
        <f t="shared" si="22"/>
        <v>4.0661557079467531E-2</v>
      </c>
      <c r="Q473">
        <f t="shared" si="23"/>
        <v>0.15502218636546994</v>
      </c>
    </row>
    <row r="474" spans="1:17" x14ac:dyDescent="0.25">
      <c r="A474" t="str">
        <f t="shared" si="21"/>
        <v>Dominik Szoboszlai</v>
      </c>
      <c r="B474" t="s">
        <v>721</v>
      </c>
      <c r="C474" t="s">
        <v>722</v>
      </c>
      <c r="D474">
        <v>12</v>
      </c>
      <c r="E474">
        <v>3</v>
      </c>
      <c r="F474">
        <v>61</v>
      </c>
      <c r="G474">
        <v>2485</v>
      </c>
      <c r="H474">
        <v>29</v>
      </c>
      <c r="I474">
        <v>6</v>
      </c>
      <c r="J474">
        <v>10</v>
      </c>
      <c r="K474">
        <v>6.94</v>
      </c>
      <c r="L474">
        <v>6.06</v>
      </c>
      <c r="M474">
        <v>143</v>
      </c>
      <c r="N474">
        <v>605</v>
      </c>
      <c r="O474" t="s">
        <v>722</v>
      </c>
      <c r="P474">
        <f t="shared" si="22"/>
        <v>0.25134808853118717</v>
      </c>
      <c r="Q474">
        <f t="shared" si="23"/>
        <v>0.21947686116700199</v>
      </c>
    </row>
    <row r="475" spans="1:17" x14ac:dyDescent="0.25">
      <c r="A475" t="str">
        <f t="shared" si="21"/>
        <v>Konstantinos Tsimikas</v>
      </c>
      <c r="B475" t="s">
        <v>590</v>
      </c>
      <c r="C475" t="s">
        <v>716</v>
      </c>
      <c r="D475">
        <v>12</v>
      </c>
      <c r="E475">
        <v>2</v>
      </c>
      <c r="F475">
        <v>46</v>
      </c>
      <c r="G475">
        <v>829</v>
      </c>
      <c r="H475">
        <v>9</v>
      </c>
      <c r="I475">
        <v>0</v>
      </c>
      <c r="J475">
        <v>1</v>
      </c>
      <c r="K475">
        <v>0.39</v>
      </c>
      <c r="L475">
        <v>2.3199999999999998</v>
      </c>
      <c r="M475">
        <v>43</v>
      </c>
      <c r="N475">
        <v>217</v>
      </c>
      <c r="O475" t="s">
        <v>716</v>
      </c>
      <c r="P475">
        <f t="shared" si="22"/>
        <v>4.2340168878166468E-2</v>
      </c>
      <c r="Q475">
        <f t="shared" si="23"/>
        <v>0.25186972255729795</v>
      </c>
    </row>
    <row r="476" spans="1:17" x14ac:dyDescent="0.25">
      <c r="A476" t="str">
        <f t="shared" si="21"/>
        <v>Virgil van Dijk</v>
      </c>
      <c r="B476" t="s">
        <v>701</v>
      </c>
      <c r="C476" t="s">
        <v>702</v>
      </c>
      <c r="D476">
        <v>12</v>
      </c>
      <c r="E476">
        <v>2</v>
      </c>
      <c r="F476">
        <v>67</v>
      </c>
      <c r="G476">
        <v>3330</v>
      </c>
      <c r="H476">
        <v>37</v>
      </c>
      <c r="I476">
        <v>3</v>
      </c>
      <c r="J476">
        <v>1</v>
      </c>
      <c r="K476">
        <v>2.2200000000000002</v>
      </c>
      <c r="L476">
        <v>0.98</v>
      </c>
      <c r="M476">
        <v>143</v>
      </c>
      <c r="N476">
        <v>631</v>
      </c>
      <c r="O476" t="s">
        <v>701</v>
      </c>
      <c r="P476">
        <f t="shared" si="22"/>
        <v>6.0000000000000005E-2</v>
      </c>
      <c r="Q476">
        <f t="shared" si="23"/>
        <v>2.6486486486486487E-2</v>
      </c>
    </row>
    <row r="477" spans="1:17" x14ac:dyDescent="0.25">
      <c r="A477" t="str">
        <f t="shared" si="21"/>
        <v>Federico Chiesa</v>
      </c>
      <c r="B477" t="s">
        <v>724</v>
      </c>
      <c r="C477" t="s">
        <v>725</v>
      </c>
      <c r="D477">
        <v>12</v>
      </c>
      <c r="E477">
        <v>3</v>
      </c>
      <c r="F477">
        <v>68</v>
      </c>
      <c r="G477">
        <v>103</v>
      </c>
      <c r="H477">
        <v>1</v>
      </c>
      <c r="I477">
        <v>0</v>
      </c>
      <c r="J477">
        <v>0</v>
      </c>
      <c r="K477">
        <v>0.34</v>
      </c>
      <c r="L477">
        <v>0.15</v>
      </c>
      <c r="M477">
        <v>7</v>
      </c>
      <c r="N477">
        <v>16</v>
      </c>
      <c r="O477" t="s">
        <v>725</v>
      </c>
      <c r="P477">
        <f t="shared" si="22"/>
        <v>0.29708737864077672</v>
      </c>
      <c r="Q477">
        <f t="shared" si="23"/>
        <v>0.13106796116504854</v>
      </c>
    </row>
    <row r="478" spans="1:17" x14ac:dyDescent="0.25">
      <c r="A478" t="str">
        <f t="shared" si="21"/>
        <v>Vítezslav Jaros</v>
      </c>
      <c r="B478" t="s">
        <v>2273</v>
      </c>
      <c r="C478" t="s">
        <v>699</v>
      </c>
      <c r="D478">
        <v>12</v>
      </c>
      <c r="E478">
        <v>1</v>
      </c>
      <c r="F478">
        <v>40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6</v>
      </c>
      <c r="O478" t="s">
        <v>699</v>
      </c>
      <c r="P478">
        <f t="shared" si="22"/>
        <v>0</v>
      </c>
      <c r="Q478">
        <f t="shared" si="23"/>
        <v>0</v>
      </c>
    </row>
    <row r="479" spans="1:17" x14ac:dyDescent="0.25">
      <c r="A479" t="str">
        <f t="shared" si="21"/>
        <v>Harvey Davies</v>
      </c>
      <c r="B479" t="s">
        <v>543</v>
      </c>
      <c r="C479" t="s">
        <v>700</v>
      </c>
      <c r="D479">
        <v>12</v>
      </c>
      <c r="E479">
        <v>1</v>
      </c>
      <c r="F479">
        <v>40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700</v>
      </c>
      <c r="P479">
        <f t="shared" si="22"/>
        <v>0</v>
      </c>
      <c r="Q479">
        <f t="shared" si="23"/>
        <v>0</v>
      </c>
    </row>
    <row r="480" spans="1:17" x14ac:dyDescent="0.25">
      <c r="A480" t="str">
        <f t="shared" si="21"/>
        <v>Treymaurice Nyoni</v>
      </c>
      <c r="B480" t="s">
        <v>1701</v>
      </c>
      <c r="C480" t="s">
        <v>734</v>
      </c>
      <c r="D480">
        <v>12</v>
      </c>
      <c r="E480">
        <v>3</v>
      </c>
      <c r="F480">
        <v>45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734</v>
      </c>
      <c r="P480">
        <f t="shared" si="22"/>
        <v>0</v>
      </c>
      <c r="Q480">
        <f t="shared" si="23"/>
        <v>0</v>
      </c>
    </row>
    <row r="481" spans="1:17" x14ac:dyDescent="0.25">
      <c r="A481" t="str">
        <f t="shared" si="21"/>
        <v>Amara Nallo</v>
      </c>
      <c r="B481" t="s">
        <v>1707</v>
      </c>
      <c r="C481" t="s">
        <v>1708</v>
      </c>
      <c r="D481">
        <v>12</v>
      </c>
      <c r="E481">
        <v>2</v>
      </c>
      <c r="F481">
        <v>40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1708</v>
      </c>
      <c r="P481">
        <f t="shared" si="22"/>
        <v>0</v>
      </c>
      <c r="Q481">
        <f t="shared" si="23"/>
        <v>0</v>
      </c>
    </row>
    <row r="482" spans="1:17" x14ac:dyDescent="0.25">
      <c r="A482" t="str">
        <f t="shared" si="21"/>
        <v>Jayden Danns</v>
      </c>
      <c r="B482" t="s">
        <v>659</v>
      </c>
      <c r="C482" t="s">
        <v>744</v>
      </c>
      <c r="D482">
        <v>12</v>
      </c>
      <c r="E482">
        <v>4</v>
      </c>
      <c r="F482">
        <v>45</v>
      </c>
      <c r="G482">
        <v>10</v>
      </c>
      <c r="H482">
        <v>0</v>
      </c>
      <c r="I482">
        <v>0</v>
      </c>
      <c r="J482">
        <v>0</v>
      </c>
      <c r="K482">
        <v>0</v>
      </c>
      <c r="L482">
        <v>0.01</v>
      </c>
      <c r="M482">
        <v>1</v>
      </c>
      <c r="N482">
        <v>2</v>
      </c>
      <c r="O482" t="s">
        <v>744</v>
      </c>
      <c r="P482">
        <f t="shared" si="22"/>
        <v>0</v>
      </c>
      <c r="Q482">
        <f t="shared" si="23"/>
        <v>0.09</v>
      </c>
    </row>
    <row r="483" spans="1:17" x14ac:dyDescent="0.25">
      <c r="A483" t="str">
        <f t="shared" si="21"/>
        <v>Arne Slot</v>
      </c>
      <c r="B483" t="s">
        <v>2274</v>
      </c>
      <c r="C483" t="s">
        <v>2275</v>
      </c>
      <c r="D483">
        <v>12</v>
      </c>
      <c r="E483">
        <v>5</v>
      </c>
      <c r="F483">
        <v>15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118</v>
      </c>
      <c r="N483">
        <v>0</v>
      </c>
      <c r="O483" t="s">
        <v>2275</v>
      </c>
      <c r="P483">
        <f t="shared" si="22"/>
        <v>0</v>
      </c>
      <c r="Q483">
        <f t="shared" si="23"/>
        <v>0</v>
      </c>
    </row>
    <row r="484" spans="1:17" x14ac:dyDescent="0.25">
      <c r="A484" t="str">
        <f t="shared" si="21"/>
        <v>Manuel Akanji</v>
      </c>
      <c r="B484" t="s">
        <v>834</v>
      </c>
      <c r="C484" t="s">
        <v>1765</v>
      </c>
      <c r="D484">
        <v>13</v>
      </c>
      <c r="E484">
        <v>2</v>
      </c>
      <c r="F484">
        <v>53</v>
      </c>
      <c r="G484">
        <v>2012</v>
      </c>
      <c r="H484">
        <v>23</v>
      </c>
      <c r="I484">
        <v>0</v>
      </c>
      <c r="J484">
        <v>0</v>
      </c>
      <c r="K484">
        <v>1.57</v>
      </c>
      <c r="L484">
        <v>1.3</v>
      </c>
      <c r="M484">
        <v>61</v>
      </c>
      <c r="N484">
        <v>307</v>
      </c>
      <c r="O484" t="s">
        <v>1765</v>
      </c>
      <c r="P484">
        <f t="shared" si="22"/>
        <v>7.0228628230616305E-2</v>
      </c>
      <c r="Q484">
        <f t="shared" si="23"/>
        <v>5.8151093439363817E-2</v>
      </c>
    </row>
    <row r="485" spans="1:17" x14ac:dyDescent="0.25">
      <c r="A485" t="str">
        <f t="shared" si="21"/>
        <v>Nathan Aké</v>
      </c>
      <c r="B485" t="s">
        <v>185</v>
      </c>
      <c r="C485" t="s">
        <v>1766</v>
      </c>
      <c r="D485">
        <v>13</v>
      </c>
      <c r="E485">
        <v>2</v>
      </c>
      <c r="F485">
        <v>53</v>
      </c>
      <c r="G485">
        <v>677</v>
      </c>
      <c r="H485">
        <v>8</v>
      </c>
      <c r="I485">
        <v>0</v>
      </c>
      <c r="J485">
        <v>0</v>
      </c>
      <c r="K485">
        <v>0.22</v>
      </c>
      <c r="L485">
        <v>0.17</v>
      </c>
      <c r="M485">
        <v>25</v>
      </c>
      <c r="N485">
        <v>121</v>
      </c>
      <c r="O485" t="s">
        <v>1766</v>
      </c>
      <c r="P485">
        <f t="shared" si="22"/>
        <v>2.9246676514032496E-2</v>
      </c>
      <c r="Q485">
        <f t="shared" si="23"/>
        <v>2.2599704579025111E-2</v>
      </c>
    </row>
    <row r="486" spans="1:17" x14ac:dyDescent="0.25">
      <c r="A486" t="str">
        <f t="shared" si="21"/>
        <v>Bernardo Veiga de Carvalho e Silva</v>
      </c>
      <c r="B486" t="s">
        <v>1768</v>
      </c>
      <c r="C486" t="s">
        <v>1769</v>
      </c>
      <c r="D486">
        <v>13</v>
      </c>
      <c r="E486">
        <v>3</v>
      </c>
      <c r="F486">
        <v>61</v>
      </c>
      <c r="G486">
        <v>2667</v>
      </c>
      <c r="H486">
        <v>29</v>
      </c>
      <c r="I486">
        <v>4</v>
      </c>
      <c r="J486">
        <v>4</v>
      </c>
      <c r="K486">
        <v>3.84</v>
      </c>
      <c r="L486">
        <v>4.5599999999999996</v>
      </c>
      <c r="M486">
        <v>110</v>
      </c>
      <c r="N486">
        <v>568</v>
      </c>
      <c r="O486" t="s">
        <v>1768</v>
      </c>
      <c r="P486">
        <f t="shared" si="22"/>
        <v>0.1295838020247469</v>
      </c>
      <c r="Q486">
        <f t="shared" si="23"/>
        <v>0.15388076490438693</v>
      </c>
    </row>
    <row r="487" spans="1:17" x14ac:dyDescent="0.25">
      <c r="A487" t="str">
        <f t="shared" si="21"/>
        <v>Oscar Bobb</v>
      </c>
      <c r="B487" t="s">
        <v>428</v>
      </c>
      <c r="C487" t="s">
        <v>525</v>
      </c>
      <c r="D487">
        <v>13</v>
      </c>
      <c r="E487">
        <v>3</v>
      </c>
      <c r="F487">
        <v>47</v>
      </c>
      <c r="G487">
        <v>14</v>
      </c>
      <c r="H487">
        <v>0</v>
      </c>
      <c r="I487">
        <v>0</v>
      </c>
      <c r="J487">
        <v>0</v>
      </c>
      <c r="K487">
        <v>0</v>
      </c>
      <c r="L487">
        <v>0.02</v>
      </c>
      <c r="M487">
        <v>3</v>
      </c>
      <c r="N487">
        <v>13</v>
      </c>
      <c r="O487" t="s">
        <v>525</v>
      </c>
      <c r="P487">
        <f t="shared" si="22"/>
        <v>0</v>
      </c>
      <c r="Q487">
        <f t="shared" si="23"/>
        <v>0.12857142857142856</v>
      </c>
    </row>
    <row r="488" spans="1:17" x14ac:dyDescent="0.25">
      <c r="A488" t="str">
        <f t="shared" si="21"/>
        <v>Scott Carson</v>
      </c>
      <c r="B488" t="s">
        <v>154</v>
      </c>
      <c r="C488" t="s">
        <v>1771</v>
      </c>
      <c r="D488">
        <v>13</v>
      </c>
      <c r="E488">
        <v>1</v>
      </c>
      <c r="F488">
        <v>39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1771</v>
      </c>
      <c r="P488">
        <f t="shared" si="22"/>
        <v>0</v>
      </c>
      <c r="Q488">
        <f t="shared" si="23"/>
        <v>0</v>
      </c>
    </row>
    <row r="489" spans="1:17" x14ac:dyDescent="0.25">
      <c r="A489" t="str">
        <f t="shared" si="21"/>
        <v>Kevin De Bruyne</v>
      </c>
      <c r="B489" t="s">
        <v>204</v>
      </c>
      <c r="C489" t="s">
        <v>1772</v>
      </c>
      <c r="D489">
        <v>13</v>
      </c>
      <c r="E489">
        <v>3</v>
      </c>
      <c r="F489">
        <v>95</v>
      </c>
      <c r="G489">
        <v>1694</v>
      </c>
      <c r="H489">
        <v>19</v>
      </c>
      <c r="I489">
        <v>4</v>
      </c>
      <c r="J489">
        <v>9</v>
      </c>
      <c r="K489">
        <v>5.17</v>
      </c>
      <c r="L489">
        <v>6.75</v>
      </c>
      <c r="M489">
        <v>114</v>
      </c>
      <c r="N489">
        <v>462</v>
      </c>
      <c r="O489" t="s">
        <v>1772</v>
      </c>
      <c r="P489">
        <f t="shared" si="22"/>
        <v>0.27467532467532468</v>
      </c>
      <c r="Q489">
        <f t="shared" si="23"/>
        <v>0.35861865407319954</v>
      </c>
    </row>
    <row r="490" spans="1:17" x14ac:dyDescent="0.25">
      <c r="A490" t="str">
        <f t="shared" si="21"/>
        <v>Jérémy Doku</v>
      </c>
      <c r="B490" t="s">
        <v>772</v>
      </c>
      <c r="C490" t="s">
        <v>773</v>
      </c>
      <c r="D490">
        <v>13</v>
      </c>
      <c r="E490">
        <v>3</v>
      </c>
      <c r="F490">
        <v>62</v>
      </c>
      <c r="G490">
        <v>1506</v>
      </c>
      <c r="H490">
        <v>16</v>
      </c>
      <c r="I490">
        <v>3</v>
      </c>
      <c r="J490">
        <v>6</v>
      </c>
      <c r="K490">
        <v>1.32</v>
      </c>
      <c r="L490">
        <v>3.81</v>
      </c>
      <c r="M490">
        <v>88</v>
      </c>
      <c r="N490">
        <v>425</v>
      </c>
      <c r="O490" t="s">
        <v>773</v>
      </c>
      <c r="P490">
        <f t="shared" si="22"/>
        <v>7.8884462151394427E-2</v>
      </c>
      <c r="Q490">
        <f t="shared" si="23"/>
        <v>0.22768924302788843</v>
      </c>
    </row>
    <row r="491" spans="1:17" x14ac:dyDescent="0.25">
      <c r="A491" t="str">
        <f t="shared" si="21"/>
        <v>Ederson Santana de Moraes</v>
      </c>
      <c r="B491" t="s">
        <v>1774</v>
      </c>
      <c r="C491" t="s">
        <v>1775</v>
      </c>
      <c r="D491">
        <v>13</v>
      </c>
      <c r="E491">
        <v>1</v>
      </c>
      <c r="F491">
        <v>53</v>
      </c>
      <c r="G491">
        <v>2320</v>
      </c>
      <c r="H491">
        <v>26</v>
      </c>
      <c r="I491">
        <v>0</v>
      </c>
      <c r="J491">
        <v>4</v>
      </c>
      <c r="K491">
        <v>0</v>
      </c>
      <c r="L491">
        <v>0.16</v>
      </c>
      <c r="M491">
        <v>111</v>
      </c>
      <c r="N491">
        <v>400</v>
      </c>
      <c r="O491" t="s">
        <v>2726</v>
      </c>
      <c r="P491">
        <f t="shared" si="22"/>
        <v>0</v>
      </c>
      <c r="Q491">
        <f t="shared" si="23"/>
        <v>6.2068965517241385E-3</v>
      </c>
    </row>
    <row r="492" spans="1:17" x14ac:dyDescent="0.25">
      <c r="A492" t="str">
        <f t="shared" si="21"/>
        <v>Phil Foden</v>
      </c>
      <c r="B492" t="s">
        <v>769</v>
      </c>
      <c r="C492" t="s">
        <v>770</v>
      </c>
      <c r="D492">
        <v>13</v>
      </c>
      <c r="E492">
        <v>3</v>
      </c>
      <c r="F492">
        <v>91</v>
      </c>
      <c r="G492">
        <v>1771</v>
      </c>
      <c r="H492">
        <v>20</v>
      </c>
      <c r="I492">
        <v>7</v>
      </c>
      <c r="J492">
        <v>3</v>
      </c>
      <c r="K492">
        <v>5.17</v>
      </c>
      <c r="L492">
        <v>5.33</v>
      </c>
      <c r="M492">
        <v>105</v>
      </c>
      <c r="N492">
        <v>454</v>
      </c>
      <c r="O492" t="s">
        <v>770</v>
      </c>
      <c r="P492">
        <f t="shared" si="22"/>
        <v>0.26273291925465836</v>
      </c>
      <c r="Q492">
        <f t="shared" si="23"/>
        <v>0.27086391869000565</v>
      </c>
    </row>
    <row r="493" spans="1:17" x14ac:dyDescent="0.25">
      <c r="A493" t="str">
        <f t="shared" si="21"/>
        <v>Jack Grealish</v>
      </c>
      <c r="B493" t="s">
        <v>253</v>
      </c>
      <c r="C493" t="s">
        <v>748</v>
      </c>
      <c r="D493">
        <v>13</v>
      </c>
      <c r="E493">
        <v>3</v>
      </c>
      <c r="F493">
        <v>64</v>
      </c>
      <c r="G493">
        <v>710</v>
      </c>
      <c r="H493">
        <v>7</v>
      </c>
      <c r="I493">
        <v>1</v>
      </c>
      <c r="J493">
        <v>1</v>
      </c>
      <c r="K493">
        <v>1.1299999999999999</v>
      </c>
      <c r="L493">
        <v>1.67</v>
      </c>
      <c r="M493">
        <v>38</v>
      </c>
      <c r="N493">
        <v>187</v>
      </c>
      <c r="O493" t="s">
        <v>748</v>
      </c>
      <c r="P493">
        <f t="shared" si="22"/>
        <v>0.1432394366197183</v>
      </c>
      <c r="Q493">
        <f t="shared" si="23"/>
        <v>0.21169014084507043</v>
      </c>
    </row>
    <row r="494" spans="1:17" x14ac:dyDescent="0.25">
      <c r="A494" t="str">
        <f t="shared" si="21"/>
        <v>Joško Gvardiol</v>
      </c>
      <c r="B494" t="s">
        <v>758</v>
      </c>
      <c r="C494" t="s">
        <v>759</v>
      </c>
      <c r="D494">
        <v>13</v>
      </c>
      <c r="E494">
        <v>2</v>
      </c>
      <c r="F494">
        <v>65</v>
      </c>
      <c r="G494">
        <v>3278</v>
      </c>
      <c r="H494">
        <v>36</v>
      </c>
      <c r="I494">
        <v>5</v>
      </c>
      <c r="J494">
        <v>0</v>
      </c>
      <c r="K494">
        <v>4.5999999999999996</v>
      </c>
      <c r="L494">
        <v>2.92</v>
      </c>
      <c r="M494">
        <v>153</v>
      </c>
      <c r="N494">
        <v>623</v>
      </c>
      <c r="O494" t="s">
        <v>759</v>
      </c>
      <c r="P494">
        <f t="shared" si="22"/>
        <v>0.12629652226967664</v>
      </c>
      <c r="Q494">
        <f t="shared" si="23"/>
        <v>8.0170835875533863E-2</v>
      </c>
    </row>
    <row r="495" spans="1:17" x14ac:dyDescent="0.25">
      <c r="A495" t="str">
        <f t="shared" si="21"/>
        <v>Erling Haaland</v>
      </c>
      <c r="B495" t="s">
        <v>790</v>
      </c>
      <c r="C495" t="s">
        <v>791</v>
      </c>
      <c r="D495">
        <v>13</v>
      </c>
      <c r="E495">
        <v>4</v>
      </c>
      <c r="F495">
        <v>149</v>
      </c>
      <c r="G495">
        <v>2736</v>
      </c>
      <c r="H495">
        <v>31</v>
      </c>
      <c r="I495">
        <v>22</v>
      </c>
      <c r="J495">
        <v>3</v>
      </c>
      <c r="K495">
        <v>21.9</v>
      </c>
      <c r="L495">
        <v>2.04</v>
      </c>
      <c r="M495">
        <v>181</v>
      </c>
      <c r="N495">
        <v>795</v>
      </c>
      <c r="O495" t="s">
        <v>791</v>
      </c>
      <c r="P495">
        <f t="shared" si="22"/>
        <v>0.7203947368421052</v>
      </c>
      <c r="Q495">
        <f t="shared" si="23"/>
        <v>6.7105263157894737E-2</v>
      </c>
    </row>
    <row r="496" spans="1:17" x14ac:dyDescent="0.25">
      <c r="A496" t="str">
        <f t="shared" si="21"/>
        <v>Julián Álvarez</v>
      </c>
      <c r="B496" t="s">
        <v>145</v>
      </c>
      <c r="C496" t="s">
        <v>1767</v>
      </c>
      <c r="D496">
        <v>13</v>
      </c>
      <c r="E496">
        <v>4</v>
      </c>
      <c r="F496">
        <v>70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2727</v>
      </c>
      <c r="P496">
        <f t="shared" si="22"/>
        <v>0</v>
      </c>
      <c r="Q496">
        <f t="shared" si="23"/>
        <v>0</v>
      </c>
    </row>
    <row r="497" spans="1:17" x14ac:dyDescent="0.25">
      <c r="A497" t="str">
        <f t="shared" si="21"/>
        <v>João Cavaco Cancelo</v>
      </c>
      <c r="B497" t="s">
        <v>1626</v>
      </c>
      <c r="C497" t="s">
        <v>2276</v>
      </c>
      <c r="D497">
        <v>13</v>
      </c>
      <c r="E497">
        <v>2</v>
      </c>
      <c r="F497">
        <v>53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2728</v>
      </c>
      <c r="P497">
        <f t="shared" si="22"/>
        <v>0</v>
      </c>
      <c r="Q497">
        <f t="shared" si="23"/>
        <v>0</v>
      </c>
    </row>
    <row r="498" spans="1:17" x14ac:dyDescent="0.25">
      <c r="A498" t="str">
        <f t="shared" si="21"/>
        <v>Mateo Kovačić</v>
      </c>
      <c r="B498" t="s">
        <v>687</v>
      </c>
      <c r="C498" t="s">
        <v>783</v>
      </c>
      <c r="D498">
        <v>13</v>
      </c>
      <c r="E498">
        <v>3</v>
      </c>
      <c r="F498">
        <v>54</v>
      </c>
      <c r="G498">
        <v>2194</v>
      </c>
      <c r="H498">
        <v>25</v>
      </c>
      <c r="I498">
        <v>6</v>
      </c>
      <c r="J498">
        <v>3</v>
      </c>
      <c r="K498">
        <v>1.91</v>
      </c>
      <c r="L498">
        <v>3.21</v>
      </c>
      <c r="M498">
        <v>109</v>
      </c>
      <c r="N498">
        <v>542</v>
      </c>
      <c r="O498" t="s">
        <v>783</v>
      </c>
      <c r="P498">
        <f t="shared" si="22"/>
        <v>7.8350045578851418E-2</v>
      </c>
      <c r="Q498">
        <f t="shared" si="23"/>
        <v>0.13167730173199635</v>
      </c>
    </row>
    <row r="499" spans="1:17" x14ac:dyDescent="0.25">
      <c r="A499" t="str">
        <f t="shared" si="21"/>
        <v>Rico Lewis</v>
      </c>
      <c r="B499" t="s">
        <v>195</v>
      </c>
      <c r="C499" t="s">
        <v>157</v>
      </c>
      <c r="D499">
        <v>13</v>
      </c>
      <c r="E499">
        <v>2</v>
      </c>
      <c r="F499">
        <v>43</v>
      </c>
      <c r="G499">
        <v>1888</v>
      </c>
      <c r="H499">
        <v>21</v>
      </c>
      <c r="I499">
        <v>1</v>
      </c>
      <c r="J499">
        <v>2</v>
      </c>
      <c r="K499">
        <v>1.32</v>
      </c>
      <c r="L499">
        <v>1.01</v>
      </c>
      <c r="M499">
        <v>66</v>
      </c>
      <c r="N499">
        <v>285</v>
      </c>
      <c r="O499" t="s">
        <v>157</v>
      </c>
      <c r="P499">
        <f t="shared" si="22"/>
        <v>6.2923728813559329E-2</v>
      </c>
      <c r="Q499">
        <f t="shared" si="23"/>
        <v>4.8146186440677967E-2</v>
      </c>
    </row>
    <row r="500" spans="1:17" x14ac:dyDescent="0.25">
      <c r="A500" t="str">
        <f t="shared" si="21"/>
        <v>Matheus Luiz Nunes</v>
      </c>
      <c r="B500" t="s">
        <v>1789</v>
      </c>
      <c r="C500" t="s">
        <v>755</v>
      </c>
      <c r="D500">
        <v>13</v>
      </c>
      <c r="E500">
        <v>3</v>
      </c>
      <c r="F500">
        <v>49</v>
      </c>
      <c r="G500">
        <v>1670</v>
      </c>
      <c r="H500">
        <v>19</v>
      </c>
      <c r="I500">
        <v>1</v>
      </c>
      <c r="J500">
        <v>7</v>
      </c>
      <c r="K500">
        <v>1.1100000000000001</v>
      </c>
      <c r="L500">
        <v>3.32</v>
      </c>
      <c r="M500">
        <v>81</v>
      </c>
      <c r="N500">
        <v>373</v>
      </c>
      <c r="O500" t="s">
        <v>2729</v>
      </c>
      <c r="P500">
        <f t="shared" si="22"/>
        <v>5.9820359281437134E-2</v>
      </c>
      <c r="Q500">
        <f t="shared" si="23"/>
        <v>0.17892215568862274</v>
      </c>
    </row>
    <row r="501" spans="1:17" x14ac:dyDescent="0.25">
      <c r="A501" t="str">
        <f t="shared" si="21"/>
        <v>James McAtee</v>
      </c>
      <c r="B501" t="s">
        <v>135</v>
      </c>
      <c r="C501" t="s">
        <v>913</v>
      </c>
      <c r="D501">
        <v>13</v>
      </c>
      <c r="E501">
        <v>3</v>
      </c>
      <c r="F501">
        <v>46</v>
      </c>
      <c r="G501">
        <v>340</v>
      </c>
      <c r="H501">
        <v>3</v>
      </c>
      <c r="I501">
        <v>3</v>
      </c>
      <c r="J501">
        <v>0</v>
      </c>
      <c r="K501">
        <v>2.8</v>
      </c>
      <c r="L501">
        <v>0.8</v>
      </c>
      <c r="M501">
        <v>31</v>
      </c>
      <c r="N501">
        <v>102</v>
      </c>
      <c r="O501" t="s">
        <v>913</v>
      </c>
      <c r="P501">
        <f t="shared" si="22"/>
        <v>0.74117647058823521</v>
      </c>
      <c r="Q501">
        <f t="shared" si="23"/>
        <v>0.21176470588235297</v>
      </c>
    </row>
    <row r="502" spans="1:17" x14ac:dyDescent="0.25">
      <c r="A502" t="str">
        <f t="shared" si="21"/>
        <v>Stefan Ortega Moreno</v>
      </c>
      <c r="B502" t="s">
        <v>735</v>
      </c>
      <c r="C502" t="s">
        <v>1780</v>
      </c>
      <c r="D502">
        <v>13</v>
      </c>
      <c r="E502">
        <v>1</v>
      </c>
      <c r="F502">
        <v>52</v>
      </c>
      <c r="G502">
        <v>1099</v>
      </c>
      <c r="H502">
        <v>12</v>
      </c>
      <c r="I502">
        <v>0</v>
      </c>
      <c r="J502">
        <v>0</v>
      </c>
      <c r="K502">
        <v>0</v>
      </c>
      <c r="L502">
        <v>0</v>
      </c>
      <c r="M502">
        <v>35</v>
      </c>
      <c r="N502">
        <v>144</v>
      </c>
      <c r="O502" t="s">
        <v>1780</v>
      </c>
      <c r="P502">
        <f t="shared" si="22"/>
        <v>0</v>
      </c>
      <c r="Q502">
        <f t="shared" si="23"/>
        <v>0</v>
      </c>
    </row>
    <row r="503" spans="1:17" x14ac:dyDescent="0.25">
      <c r="A503" t="str">
        <f t="shared" si="21"/>
        <v>Rodrigo 'Rodri' Hernandez</v>
      </c>
      <c r="B503" t="s">
        <v>776</v>
      </c>
      <c r="C503" t="s">
        <v>1783</v>
      </c>
      <c r="D503">
        <v>13</v>
      </c>
      <c r="E503">
        <v>3</v>
      </c>
      <c r="F503">
        <v>62</v>
      </c>
      <c r="G503">
        <v>72</v>
      </c>
      <c r="H503">
        <v>1</v>
      </c>
      <c r="I503">
        <v>0</v>
      </c>
      <c r="J503">
        <v>0</v>
      </c>
      <c r="K503">
        <v>0</v>
      </c>
      <c r="L503">
        <v>0.09</v>
      </c>
      <c r="M503">
        <v>3</v>
      </c>
      <c r="N503">
        <v>21</v>
      </c>
      <c r="O503" t="s">
        <v>531</v>
      </c>
      <c r="P503">
        <f t="shared" si="22"/>
        <v>0</v>
      </c>
      <c r="Q503">
        <f t="shared" si="23"/>
        <v>0.1125</v>
      </c>
    </row>
    <row r="504" spans="1:17" x14ac:dyDescent="0.25">
      <c r="A504" t="str">
        <f t="shared" si="21"/>
        <v>Rúben Gato Alves Dias</v>
      </c>
      <c r="B504" t="s">
        <v>756</v>
      </c>
      <c r="C504" t="s">
        <v>1773</v>
      </c>
      <c r="D504">
        <v>13</v>
      </c>
      <c r="E504">
        <v>2</v>
      </c>
      <c r="F504">
        <v>55</v>
      </c>
      <c r="G504">
        <v>2269</v>
      </c>
      <c r="H504">
        <v>25</v>
      </c>
      <c r="I504">
        <v>0</v>
      </c>
      <c r="J504">
        <v>0</v>
      </c>
      <c r="K504">
        <v>1.54</v>
      </c>
      <c r="L504">
        <v>1.2</v>
      </c>
      <c r="M504">
        <v>90</v>
      </c>
      <c r="N504">
        <v>410</v>
      </c>
      <c r="O504" t="s">
        <v>756</v>
      </c>
      <c r="P504">
        <f t="shared" si="22"/>
        <v>6.1084178052005292E-2</v>
      </c>
      <c r="Q504">
        <f t="shared" si="23"/>
        <v>4.7598060819744374E-2</v>
      </c>
    </row>
    <row r="505" spans="1:17" x14ac:dyDescent="0.25">
      <c r="A505" t="str">
        <f t="shared" si="21"/>
        <v>John Stones</v>
      </c>
      <c r="B505" t="s">
        <v>101</v>
      </c>
      <c r="C505" t="s">
        <v>1786</v>
      </c>
      <c r="D505">
        <v>13</v>
      </c>
      <c r="E505">
        <v>2</v>
      </c>
      <c r="F505">
        <v>53</v>
      </c>
      <c r="G505">
        <v>544</v>
      </c>
      <c r="H505">
        <v>6</v>
      </c>
      <c r="I505">
        <v>2</v>
      </c>
      <c r="J505">
        <v>0</v>
      </c>
      <c r="K505">
        <v>0.6</v>
      </c>
      <c r="L505">
        <v>0.17</v>
      </c>
      <c r="M505">
        <v>29</v>
      </c>
      <c r="N505">
        <v>92</v>
      </c>
      <c r="O505" t="s">
        <v>1786</v>
      </c>
      <c r="P505">
        <f t="shared" si="22"/>
        <v>9.9264705882352935E-2</v>
      </c>
      <c r="Q505">
        <f t="shared" si="23"/>
        <v>2.8125000000000001E-2</v>
      </c>
    </row>
    <row r="506" spans="1:17" x14ac:dyDescent="0.25">
      <c r="A506" t="str">
        <f t="shared" si="21"/>
        <v>Kyle Walker</v>
      </c>
      <c r="B506" t="s">
        <v>1787</v>
      </c>
      <c r="C506" t="s">
        <v>1788</v>
      </c>
      <c r="D506">
        <v>13</v>
      </c>
      <c r="E506">
        <v>2</v>
      </c>
      <c r="F506">
        <v>51</v>
      </c>
      <c r="G506">
        <v>966</v>
      </c>
      <c r="H506">
        <v>9</v>
      </c>
      <c r="I506">
        <v>0</v>
      </c>
      <c r="J506">
        <v>0</v>
      </c>
      <c r="K506">
        <v>0.12</v>
      </c>
      <c r="L506">
        <v>1.34</v>
      </c>
      <c r="M506">
        <v>13</v>
      </c>
      <c r="N506">
        <v>63</v>
      </c>
      <c r="O506" t="s">
        <v>1788</v>
      </c>
      <c r="P506">
        <f t="shared" si="22"/>
        <v>1.1180124223602485E-2</v>
      </c>
      <c r="Q506">
        <f t="shared" si="23"/>
        <v>0.12484472049689442</v>
      </c>
    </row>
    <row r="507" spans="1:17" x14ac:dyDescent="0.25">
      <c r="A507" t="str">
        <f t="shared" si="21"/>
        <v>Sávio 'Savinho' Moreira de Oliveira</v>
      </c>
      <c r="B507" t="s">
        <v>2277</v>
      </c>
      <c r="C507" t="s">
        <v>779</v>
      </c>
      <c r="D507">
        <v>13</v>
      </c>
      <c r="E507">
        <v>3</v>
      </c>
      <c r="F507">
        <v>60</v>
      </c>
      <c r="G507">
        <v>1760</v>
      </c>
      <c r="H507">
        <v>21</v>
      </c>
      <c r="I507">
        <v>1</v>
      </c>
      <c r="J507">
        <v>11</v>
      </c>
      <c r="K507">
        <v>5.0199999999999996</v>
      </c>
      <c r="L507">
        <v>6.1</v>
      </c>
      <c r="M507">
        <v>106</v>
      </c>
      <c r="N507">
        <v>442</v>
      </c>
      <c r="O507" t="s">
        <v>2730</v>
      </c>
      <c r="P507">
        <f t="shared" si="22"/>
        <v>0.25670454545454546</v>
      </c>
      <c r="Q507">
        <f t="shared" si="23"/>
        <v>0.31193181818181814</v>
      </c>
    </row>
    <row r="508" spans="1:17" x14ac:dyDescent="0.25">
      <c r="A508" t="str">
        <f t="shared" si="21"/>
        <v>Nico O'Reilly</v>
      </c>
      <c r="B508" t="s">
        <v>752</v>
      </c>
      <c r="C508" t="s">
        <v>753</v>
      </c>
      <c r="D508">
        <v>13</v>
      </c>
      <c r="E508">
        <v>3</v>
      </c>
      <c r="F508">
        <v>49</v>
      </c>
      <c r="G508">
        <v>525</v>
      </c>
      <c r="H508">
        <v>6</v>
      </c>
      <c r="I508">
        <v>2</v>
      </c>
      <c r="J508">
        <v>0</v>
      </c>
      <c r="K508">
        <v>1.28</v>
      </c>
      <c r="L508">
        <v>0.68</v>
      </c>
      <c r="M508">
        <v>31</v>
      </c>
      <c r="N508">
        <v>118</v>
      </c>
      <c r="O508" t="s">
        <v>2731</v>
      </c>
      <c r="P508">
        <f t="shared" si="22"/>
        <v>0.21942857142857145</v>
      </c>
      <c r="Q508">
        <f t="shared" si="23"/>
        <v>0.11657142857142859</v>
      </c>
    </row>
    <row r="509" spans="1:17" x14ac:dyDescent="0.25">
      <c r="A509" t="str">
        <f t="shared" si="21"/>
        <v>Ilkay Gündogan</v>
      </c>
      <c r="B509" t="s">
        <v>2278</v>
      </c>
      <c r="C509" t="s">
        <v>2279</v>
      </c>
      <c r="D509">
        <v>13</v>
      </c>
      <c r="E509">
        <v>3</v>
      </c>
      <c r="F509">
        <v>63</v>
      </c>
      <c r="G509">
        <v>2218</v>
      </c>
      <c r="H509">
        <v>25</v>
      </c>
      <c r="I509">
        <v>1</v>
      </c>
      <c r="J509">
        <v>7</v>
      </c>
      <c r="K509">
        <v>3.21</v>
      </c>
      <c r="L509">
        <v>4.43</v>
      </c>
      <c r="M509">
        <v>97</v>
      </c>
      <c r="N509">
        <v>460</v>
      </c>
      <c r="O509" t="s">
        <v>2279</v>
      </c>
      <c r="P509">
        <f t="shared" si="22"/>
        <v>0.13025247971145176</v>
      </c>
      <c r="Q509">
        <f t="shared" si="23"/>
        <v>0.17975653742110009</v>
      </c>
    </row>
    <row r="510" spans="1:17" x14ac:dyDescent="0.25">
      <c r="A510" t="str">
        <f t="shared" si="21"/>
        <v>Issa Kaboré</v>
      </c>
      <c r="B510" t="s">
        <v>600</v>
      </c>
      <c r="C510" t="s">
        <v>1748</v>
      </c>
      <c r="D510">
        <v>13</v>
      </c>
      <c r="E510">
        <v>2</v>
      </c>
      <c r="F510">
        <v>45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1748</v>
      </c>
      <c r="P510">
        <f t="shared" si="22"/>
        <v>0</v>
      </c>
      <c r="Q510">
        <f t="shared" si="23"/>
        <v>0</v>
      </c>
    </row>
    <row r="511" spans="1:17" x14ac:dyDescent="0.25">
      <c r="A511" t="str">
        <f t="shared" si="21"/>
        <v>Jacob Wright</v>
      </c>
      <c r="B511" t="s">
        <v>556</v>
      </c>
      <c r="C511" t="s">
        <v>396</v>
      </c>
      <c r="D511">
        <v>13</v>
      </c>
      <c r="E511">
        <v>3</v>
      </c>
      <c r="F511">
        <v>45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396</v>
      </c>
      <c r="P511">
        <f t="shared" si="22"/>
        <v>0</v>
      </c>
      <c r="Q511">
        <f t="shared" si="23"/>
        <v>0</v>
      </c>
    </row>
    <row r="512" spans="1:17" x14ac:dyDescent="0.25">
      <c r="A512" t="str">
        <f t="shared" si="21"/>
        <v>Jahmai Simpson-Pusey</v>
      </c>
      <c r="B512" t="s">
        <v>2280</v>
      </c>
      <c r="C512" t="s">
        <v>2281</v>
      </c>
      <c r="D512">
        <v>13</v>
      </c>
      <c r="E512">
        <v>2</v>
      </c>
      <c r="F512">
        <v>40</v>
      </c>
      <c r="G512">
        <v>95</v>
      </c>
      <c r="H512">
        <v>1</v>
      </c>
      <c r="I512">
        <v>0</v>
      </c>
      <c r="J512">
        <v>0</v>
      </c>
      <c r="K512">
        <v>0</v>
      </c>
      <c r="L512">
        <v>0.01</v>
      </c>
      <c r="M512">
        <v>1</v>
      </c>
      <c r="N512">
        <v>7</v>
      </c>
      <c r="O512" t="s">
        <v>2281</v>
      </c>
      <c r="P512">
        <f t="shared" si="22"/>
        <v>0</v>
      </c>
      <c r="Q512">
        <f t="shared" si="23"/>
        <v>9.4736842105263164E-3</v>
      </c>
    </row>
    <row r="513" spans="1:17" x14ac:dyDescent="0.25">
      <c r="A513" t="str">
        <f t="shared" si="21"/>
        <v>Josh Wilson-Esbrand</v>
      </c>
      <c r="B513" t="s">
        <v>219</v>
      </c>
      <c r="C513" t="s">
        <v>2282</v>
      </c>
      <c r="D513">
        <v>13</v>
      </c>
      <c r="E513">
        <v>2</v>
      </c>
      <c r="F513">
        <v>40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2282</v>
      </c>
      <c r="P513">
        <f t="shared" si="22"/>
        <v>0</v>
      </c>
      <c r="Q513">
        <f t="shared" si="23"/>
        <v>0</v>
      </c>
    </row>
    <row r="514" spans="1:17" x14ac:dyDescent="0.25">
      <c r="A514" t="str">
        <f t="shared" ref="A514:A577" si="24">_xlfn.CONCAT(B514, " ", C514)</f>
        <v>Divin Mubama</v>
      </c>
      <c r="B514" t="s">
        <v>2033</v>
      </c>
      <c r="C514" t="s">
        <v>2034</v>
      </c>
      <c r="D514">
        <v>13</v>
      </c>
      <c r="E514">
        <v>4</v>
      </c>
      <c r="F514">
        <v>45</v>
      </c>
      <c r="G514">
        <v>27</v>
      </c>
      <c r="H514">
        <v>0</v>
      </c>
      <c r="I514">
        <v>0</v>
      </c>
      <c r="J514">
        <v>0</v>
      </c>
      <c r="K514">
        <v>0.04</v>
      </c>
      <c r="L514">
        <v>0</v>
      </c>
      <c r="M514">
        <v>1</v>
      </c>
      <c r="N514">
        <v>2</v>
      </c>
      <c r="O514" t="s">
        <v>2034</v>
      </c>
      <c r="P514">
        <f t="shared" ref="P514:P577" si="25">IFERROR(K514/G514*90,0)</f>
        <v>0.13333333333333333</v>
      </c>
      <c r="Q514">
        <f t="shared" ref="Q514:Q577" si="26">IFERROR(L514/G514*90,0)</f>
        <v>0</v>
      </c>
    </row>
    <row r="515" spans="1:17" x14ac:dyDescent="0.25">
      <c r="A515" t="str">
        <f t="shared" si="24"/>
        <v>Max Alleyne</v>
      </c>
      <c r="B515" t="s">
        <v>57</v>
      </c>
      <c r="C515" t="s">
        <v>764</v>
      </c>
      <c r="D515">
        <v>13</v>
      </c>
      <c r="E515">
        <v>2</v>
      </c>
      <c r="F515">
        <v>40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764</v>
      </c>
      <c r="P515">
        <f t="shared" si="25"/>
        <v>0</v>
      </c>
      <c r="Q515">
        <f t="shared" si="26"/>
        <v>0</v>
      </c>
    </row>
    <row r="516" spans="1:17" x14ac:dyDescent="0.25">
      <c r="A516" t="str">
        <f t="shared" si="24"/>
        <v>Spike Brits</v>
      </c>
      <c r="B516" t="s">
        <v>2283</v>
      </c>
      <c r="C516" t="s">
        <v>2284</v>
      </c>
      <c r="D516">
        <v>13</v>
      </c>
      <c r="E516">
        <v>1</v>
      </c>
      <c r="F516">
        <v>40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2284</v>
      </c>
      <c r="P516">
        <f t="shared" si="25"/>
        <v>0</v>
      </c>
      <c r="Q516">
        <f t="shared" si="26"/>
        <v>0</v>
      </c>
    </row>
    <row r="517" spans="1:17" x14ac:dyDescent="0.25">
      <c r="A517" t="str">
        <f t="shared" si="24"/>
        <v>Abdukodir Khusanov</v>
      </c>
      <c r="B517" t="s">
        <v>762</v>
      </c>
      <c r="C517" t="s">
        <v>763</v>
      </c>
      <c r="D517">
        <v>13</v>
      </c>
      <c r="E517">
        <v>2</v>
      </c>
      <c r="F517">
        <v>50</v>
      </c>
      <c r="G517">
        <v>503</v>
      </c>
      <c r="H517">
        <v>6</v>
      </c>
      <c r="I517">
        <v>0</v>
      </c>
      <c r="J517">
        <v>0</v>
      </c>
      <c r="K517">
        <v>0.02</v>
      </c>
      <c r="L517">
        <v>0.09</v>
      </c>
      <c r="M517">
        <v>14</v>
      </c>
      <c r="N517">
        <v>78</v>
      </c>
      <c r="O517" t="s">
        <v>763</v>
      </c>
      <c r="P517">
        <f t="shared" si="25"/>
        <v>3.5785288270377734E-3</v>
      </c>
      <c r="Q517">
        <f t="shared" si="26"/>
        <v>1.6103379721669982E-2</v>
      </c>
    </row>
    <row r="518" spans="1:17" x14ac:dyDescent="0.25">
      <c r="A518" t="str">
        <f t="shared" si="24"/>
        <v>Vitor de Oliveira Nunes dos Reis</v>
      </c>
      <c r="B518" t="s">
        <v>765</v>
      </c>
      <c r="C518" t="s">
        <v>766</v>
      </c>
      <c r="D518">
        <v>13</v>
      </c>
      <c r="E518">
        <v>2</v>
      </c>
      <c r="F518">
        <v>45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4</v>
      </c>
      <c r="O518" t="s">
        <v>2732</v>
      </c>
      <c r="P518">
        <f t="shared" si="25"/>
        <v>0</v>
      </c>
      <c r="Q518">
        <f t="shared" si="26"/>
        <v>0</v>
      </c>
    </row>
    <row r="519" spans="1:17" x14ac:dyDescent="0.25">
      <c r="A519" t="str">
        <f t="shared" si="24"/>
        <v>Pep Guardiola</v>
      </c>
      <c r="B519" t="s">
        <v>355</v>
      </c>
      <c r="C519" t="s">
        <v>2285</v>
      </c>
      <c r="D519">
        <v>13</v>
      </c>
      <c r="E519">
        <v>5</v>
      </c>
      <c r="F519">
        <v>15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113</v>
      </c>
      <c r="N519">
        <v>0</v>
      </c>
      <c r="O519" t="s">
        <v>2285</v>
      </c>
      <c r="P519">
        <f t="shared" si="25"/>
        <v>0</v>
      </c>
      <c r="Q519">
        <f t="shared" si="26"/>
        <v>0</v>
      </c>
    </row>
    <row r="520" spans="1:17" x14ac:dyDescent="0.25">
      <c r="A520" t="str">
        <f t="shared" si="24"/>
        <v>Omar Marmoush</v>
      </c>
      <c r="B520" t="s">
        <v>774</v>
      </c>
      <c r="C520" t="s">
        <v>775</v>
      </c>
      <c r="D520">
        <v>13</v>
      </c>
      <c r="E520">
        <v>4</v>
      </c>
      <c r="F520">
        <v>74</v>
      </c>
      <c r="G520">
        <v>1174</v>
      </c>
      <c r="H520">
        <v>14</v>
      </c>
      <c r="I520">
        <v>7</v>
      </c>
      <c r="J520">
        <v>1</v>
      </c>
      <c r="K520">
        <v>5.41</v>
      </c>
      <c r="L520">
        <v>1.71</v>
      </c>
      <c r="M520">
        <v>73</v>
      </c>
      <c r="N520">
        <v>326</v>
      </c>
      <c r="O520" t="s">
        <v>775</v>
      </c>
      <c r="P520">
        <f t="shared" si="25"/>
        <v>0.41473594548551956</v>
      </c>
      <c r="Q520">
        <f t="shared" si="26"/>
        <v>0.13109028960817717</v>
      </c>
    </row>
    <row r="521" spans="1:17" x14ac:dyDescent="0.25">
      <c r="A521" t="str">
        <f t="shared" si="24"/>
        <v>Nico González</v>
      </c>
      <c r="B521" t="s">
        <v>752</v>
      </c>
      <c r="C521" t="s">
        <v>2097</v>
      </c>
      <c r="D521">
        <v>13</v>
      </c>
      <c r="E521">
        <v>3</v>
      </c>
      <c r="F521">
        <v>60</v>
      </c>
      <c r="G521">
        <v>760</v>
      </c>
      <c r="H521">
        <v>9</v>
      </c>
      <c r="I521">
        <v>1</v>
      </c>
      <c r="J521">
        <v>1</v>
      </c>
      <c r="K521">
        <v>0.45</v>
      </c>
      <c r="L521">
        <v>0.48</v>
      </c>
      <c r="M521">
        <v>31</v>
      </c>
      <c r="N521">
        <v>123</v>
      </c>
      <c r="O521" t="s">
        <v>2733</v>
      </c>
      <c r="P521">
        <f t="shared" si="25"/>
        <v>5.3289473684210532E-2</v>
      </c>
      <c r="Q521">
        <f t="shared" si="26"/>
        <v>5.6842105263157895E-2</v>
      </c>
    </row>
    <row r="522" spans="1:17" x14ac:dyDescent="0.25">
      <c r="A522" t="str">
        <f t="shared" si="24"/>
        <v>Claudio Echeverri</v>
      </c>
      <c r="B522" t="s">
        <v>784</v>
      </c>
      <c r="C522" t="s">
        <v>785</v>
      </c>
      <c r="D522">
        <v>13</v>
      </c>
      <c r="E522">
        <v>3</v>
      </c>
      <c r="F522">
        <v>58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0.01</v>
      </c>
      <c r="M522">
        <v>1</v>
      </c>
      <c r="N522">
        <v>2</v>
      </c>
      <c r="O522" t="s">
        <v>785</v>
      </c>
      <c r="P522">
        <f t="shared" si="25"/>
        <v>0</v>
      </c>
      <c r="Q522">
        <f t="shared" si="26"/>
        <v>0.18</v>
      </c>
    </row>
    <row r="523" spans="1:17" x14ac:dyDescent="0.25">
      <c r="A523" t="str">
        <f t="shared" si="24"/>
        <v>Amad Diallo</v>
      </c>
      <c r="B523" t="s">
        <v>830</v>
      </c>
      <c r="C523" t="s">
        <v>831</v>
      </c>
      <c r="D523">
        <v>14</v>
      </c>
      <c r="E523">
        <v>3</v>
      </c>
      <c r="F523">
        <v>53</v>
      </c>
      <c r="G523">
        <v>1898</v>
      </c>
      <c r="H523">
        <v>20</v>
      </c>
      <c r="I523">
        <v>8</v>
      </c>
      <c r="J523">
        <v>8</v>
      </c>
      <c r="K523">
        <v>4.71</v>
      </c>
      <c r="L523">
        <v>3.98</v>
      </c>
      <c r="M523">
        <v>129</v>
      </c>
      <c r="N523">
        <v>569</v>
      </c>
      <c r="O523" t="s">
        <v>830</v>
      </c>
      <c r="P523">
        <f t="shared" si="25"/>
        <v>0.22334035827186513</v>
      </c>
      <c r="Q523">
        <f t="shared" si="26"/>
        <v>0.1887249736564805</v>
      </c>
    </row>
    <row r="524" spans="1:17" x14ac:dyDescent="0.25">
      <c r="A524" t="str">
        <f t="shared" si="24"/>
        <v>Antony Matheus dos Santos</v>
      </c>
      <c r="B524" t="s">
        <v>1795</v>
      </c>
      <c r="C524" t="s">
        <v>1796</v>
      </c>
      <c r="D524">
        <v>14</v>
      </c>
      <c r="E524">
        <v>3</v>
      </c>
      <c r="F524">
        <v>57</v>
      </c>
      <c r="G524">
        <v>135</v>
      </c>
      <c r="H524">
        <v>0</v>
      </c>
      <c r="I524">
        <v>0</v>
      </c>
      <c r="J524">
        <v>0</v>
      </c>
      <c r="K524">
        <v>0.6</v>
      </c>
      <c r="L524">
        <v>0.21</v>
      </c>
      <c r="M524">
        <v>8</v>
      </c>
      <c r="N524">
        <v>37</v>
      </c>
      <c r="O524" t="s">
        <v>1797</v>
      </c>
      <c r="P524">
        <f t="shared" si="25"/>
        <v>0.4</v>
      </c>
      <c r="Q524">
        <f t="shared" si="26"/>
        <v>0.13999999999999999</v>
      </c>
    </row>
    <row r="525" spans="1:17" x14ac:dyDescent="0.25">
      <c r="A525" t="str">
        <f t="shared" si="24"/>
        <v>Bruno Borges Fernandes</v>
      </c>
      <c r="B525" t="s">
        <v>70</v>
      </c>
      <c r="C525" t="s">
        <v>824</v>
      </c>
      <c r="D525">
        <v>14</v>
      </c>
      <c r="E525">
        <v>3</v>
      </c>
      <c r="F525">
        <v>84</v>
      </c>
      <c r="G525">
        <v>3017</v>
      </c>
      <c r="H525">
        <v>35</v>
      </c>
      <c r="I525">
        <v>8</v>
      </c>
      <c r="J525">
        <v>12</v>
      </c>
      <c r="K525">
        <v>9.93</v>
      </c>
      <c r="L525">
        <v>7.89</v>
      </c>
      <c r="M525">
        <v>174</v>
      </c>
      <c r="N525">
        <v>810</v>
      </c>
      <c r="O525" t="s">
        <v>2734</v>
      </c>
      <c r="P525">
        <f t="shared" si="25"/>
        <v>0.29622141199867419</v>
      </c>
      <c r="Q525">
        <f t="shared" si="26"/>
        <v>0.23536625787205831</v>
      </c>
    </row>
    <row r="526" spans="1:17" x14ac:dyDescent="0.25">
      <c r="A526" t="str">
        <f t="shared" si="24"/>
        <v>Altay Bayindir</v>
      </c>
      <c r="B526" t="s">
        <v>803</v>
      </c>
      <c r="C526" t="s">
        <v>1828</v>
      </c>
      <c r="D526">
        <v>14</v>
      </c>
      <c r="E526">
        <v>1</v>
      </c>
      <c r="F526">
        <v>43</v>
      </c>
      <c r="G526">
        <v>360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8</v>
      </c>
      <c r="N526">
        <v>22</v>
      </c>
      <c r="O526" t="s">
        <v>1828</v>
      </c>
      <c r="P526">
        <f t="shared" si="25"/>
        <v>0</v>
      </c>
      <c r="Q526">
        <f t="shared" si="26"/>
        <v>0</v>
      </c>
    </row>
    <row r="527" spans="1:17" x14ac:dyDescent="0.25">
      <c r="A527" t="str">
        <f t="shared" si="24"/>
        <v>Carlos Henrique Casimiro</v>
      </c>
      <c r="B527" t="s">
        <v>1800</v>
      </c>
      <c r="C527" t="s">
        <v>1801</v>
      </c>
      <c r="D527">
        <v>14</v>
      </c>
      <c r="E527">
        <v>3</v>
      </c>
      <c r="F527">
        <v>46</v>
      </c>
      <c r="G527">
        <v>1489</v>
      </c>
      <c r="H527">
        <v>18</v>
      </c>
      <c r="I527">
        <v>1</v>
      </c>
      <c r="J527">
        <v>0</v>
      </c>
      <c r="K527">
        <v>1.8</v>
      </c>
      <c r="L527">
        <v>1.99</v>
      </c>
      <c r="M527">
        <v>48</v>
      </c>
      <c r="N527">
        <v>300</v>
      </c>
      <c r="O527" t="s">
        <v>2735</v>
      </c>
      <c r="P527">
        <f t="shared" si="25"/>
        <v>0.10879785090664876</v>
      </c>
      <c r="Q527">
        <f t="shared" si="26"/>
        <v>0.12028206850235057</v>
      </c>
    </row>
    <row r="528" spans="1:17" x14ac:dyDescent="0.25">
      <c r="A528" t="str">
        <f t="shared" si="24"/>
        <v>Diogo Dalot Teixeira</v>
      </c>
      <c r="B528" t="s">
        <v>810</v>
      </c>
      <c r="C528" t="s">
        <v>811</v>
      </c>
      <c r="D528">
        <v>14</v>
      </c>
      <c r="E528">
        <v>2</v>
      </c>
      <c r="F528">
        <v>50</v>
      </c>
      <c r="G528">
        <v>2812</v>
      </c>
      <c r="H528">
        <v>31</v>
      </c>
      <c r="I528">
        <v>0</v>
      </c>
      <c r="J528">
        <v>4</v>
      </c>
      <c r="K528">
        <v>1.96</v>
      </c>
      <c r="L528">
        <v>2.35</v>
      </c>
      <c r="M528">
        <v>95</v>
      </c>
      <c r="N528">
        <v>352</v>
      </c>
      <c r="O528" t="s">
        <v>2736</v>
      </c>
      <c r="P528">
        <f t="shared" si="25"/>
        <v>6.273115220483641E-2</v>
      </c>
      <c r="Q528">
        <f t="shared" si="26"/>
        <v>7.5213371266002846E-2</v>
      </c>
    </row>
    <row r="529" spans="1:17" x14ac:dyDescent="0.25">
      <c r="A529" t="str">
        <f t="shared" si="24"/>
        <v>Christian Eriksen</v>
      </c>
      <c r="B529" t="s">
        <v>468</v>
      </c>
      <c r="C529" t="s">
        <v>1802</v>
      </c>
      <c r="D529">
        <v>14</v>
      </c>
      <c r="E529">
        <v>3</v>
      </c>
      <c r="F529">
        <v>52</v>
      </c>
      <c r="G529">
        <v>1052</v>
      </c>
      <c r="H529">
        <v>11</v>
      </c>
      <c r="I529">
        <v>1</v>
      </c>
      <c r="J529">
        <v>2</v>
      </c>
      <c r="K529">
        <v>1.31</v>
      </c>
      <c r="L529">
        <v>2.6</v>
      </c>
      <c r="M529">
        <v>45</v>
      </c>
      <c r="N529">
        <v>228</v>
      </c>
      <c r="O529" t="s">
        <v>1802</v>
      </c>
      <c r="P529">
        <f t="shared" si="25"/>
        <v>0.11207224334600761</v>
      </c>
      <c r="Q529">
        <f t="shared" si="26"/>
        <v>0.22243346007604564</v>
      </c>
    </row>
    <row r="530" spans="1:17" x14ac:dyDescent="0.25">
      <c r="A530" t="str">
        <f t="shared" si="24"/>
        <v>Jonny Evans</v>
      </c>
      <c r="B530" t="s">
        <v>1829</v>
      </c>
      <c r="C530" t="s">
        <v>1830</v>
      </c>
      <c r="D530">
        <v>14</v>
      </c>
      <c r="E530">
        <v>2</v>
      </c>
      <c r="F530">
        <v>44</v>
      </c>
      <c r="G530">
        <v>312</v>
      </c>
      <c r="H530">
        <v>3</v>
      </c>
      <c r="I530">
        <v>0</v>
      </c>
      <c r="J530">
        <v>0</v>
      </c>
      <c r="K530">
        <v>0.11</v>
      </c>
      <c r="L530">
        <v>0.02</v>
      </c>
      <c r="M530">
        <v>15</v>
      </c>
      <c r="N530">
        <v>71</v>
      </c>
      <c r="O530" t="s">
        <v>1830</v>
      </c>
      <c r="P530">
        <f t="shared" si="25"/>
        <v>3.1730769230769236E-2</v>
      </c>
      <c r="Q530">
        <f t="shared" si="26"/>
        <v>5.7692307692307696E-3</v>
      </c>
    </row>
    <row r="531" spans="1:17" x14ac:dyDescent="0.25">
      <c r="A531" t="str">
        <f t="shared" si="24"/>
        <v>Alejandro Garnacho</v>
      </c>
      <c r="B531" t="s">
        <v>125</v>
      </c>
      <c r="C531" t="s">
        <v>1806</v>
      </c>
      <c r="D531">
        <v>14</v>
      </c>
      <c r="E531">
        <v>3</v>
      </c>
      <c r="F531">
        <v>59</v>
      </c>
      <c r="G531">
        <v>2188</v>
      </c>
      <c r="H531">
        <v>23</v>
      </c>
      <c r="I531">
        <v>6</v>
      </c>
      <c r="J531">
        <v>4</v>
      </c>
      <c r="K531">
        <v>7.4</v>
      </c>
      <c r="L531">
        <v>2.76</v>
      </c>
      <c r="M531">
        <v>106</v>
      </c>
      <c r="N531">
        <v>370</v>
      </c>
      <c r="O531" t="s">
        <v>1806</v>
      </c>
      <c r="P531">
        <f t="shared" si="25"/>
        <v>0.30438756855575866</v>
      </c>
      <c r="Q531">
        <f t="shared" si="26"/>
        <v>0.11352833638025595</v>
      </c>
    </row>
    <row r="532" spans="1:17" x14ac:dyDescent="0.25">
      <c r="A532" t="str">
        <f t="shared" si="24"/>
        <v>Hannibal Mejbri</v>
      </c>
      <c r="B532" t="s">
        <v>1807</v>
      </c>
      <c r="C532" t="s">
        <v>1808</v>
      </c>
      <c r="D532">
        <v>14</v>
      </c>
      <c r="E532">
        <v>3</v>
      </c>
      <c r="F532">
        <v>45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1807</v>
      </c>
      <c r="P532">
        <f t="shared" si="25"/>
        <v>0</v>
      </c>
      <c r="Q532">
        <f t="shared" si="26"/>
        <v>0</v>
      </c>
    </row>
    <row r="533" spans="1:17" x14ac:dyDescent="0.25">
      <c r="A533" t="str">
        <f t="shared" si="24"/>
        <v>Tom Heaton</v>
      </c>
      <c r="B533" t="s">
        <v>272</v>
      </c>
      <c r="C533" t="s">
        <v>805</v>
      </c>
      <c r="D533">
        <v>14</v>
      </c>
      <c r="E533">
        <v>1</v>
      </c>
      <c r="F533">
        <v>39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805</v>
      </c>
      <c r="P533">
        <f t="shared" si="25"/>
        <v>0</v>
      </c>
      <c r="Q533">
        <f t="shared" si="26"/>
        <v>0</v>
      </c>
    </row>
    <row r="534" spans="1:17" x14ac:dyDescent="0.25">
      <c r="A534" t="str">
        <f t="shared" si="24"/>
        <v>Rasmus Højlund</v>
      </c>
      <c r="B534" t="s">
        <v>1822</v>
      </c>
      <c r="C534" t="s">
        <v>1823</v>
      </c>
      <c r="D534">
        <v>14</v>
      </c>
      <c r="E534">
        <v>4</v>
      </c>
      <c r="F534">
        <v>69</v>
      </c>
      <c r="G534">
        <v>1998</v>
      </c>
      <c r="H534">
        <v>23</v>
      </c>
      <c r="I534">
        <v>4</v>
      </c>
      <c r="J534">
        <v>1</v>
      </c>
      <c r="K534">
        <v>5.0999999999999996</v>
      </c>
      <c r="L534">
        <v>1.1399999999999999</v>
      </c>
      <c r="M534">
        <v>78</v>
      </c>
      <c r="N534">
        <v>246</v>
      </c>
      <c r="O534" t="s">
        <v>1823</v>
      </c>
      <c r="P534">
        <f t="shared" si="25"/>
        <v>0.22972972972972971</v>
      </c>
      <c r="Q534">
        <f t="shared" si="26"/>
        <v>5.1351351351351347E-2</v>
      </c>
    </row>
    <row r="535" spans="1:17" x14ac:dyDescent="0.25">
      <c r="A535" t="str">
        <f t="shared" si="24"/>
        <v>Victor Lindelöf</v>
      </c>
      <c r="B535" t="s">
        <v>92</v>
      </c>
      <c r="C535" t="s">
        <v>93</v>
      </c>
      <c r="D535">
        <v>14</v>
      </c>
      <c r="E535">
        <v>2</v>
      </c>
      <c r="F535">
        <v>43</v>
      </c>
      <c r="G535">
        <v>695</v>
      </c>
      <c r="H535">
        <v>6</v>
      </c>
      <c r="I535">
        <v>0</v>
      </c>
      <c r="J535">
        <v>0</v>
      </c>
      <c r="K535">
        <v>0</v>
      </c>
      <c r="L535">
        <v>0.09</v>
      </c>
      <c r="M535">
        <v>27</v>
      </c>
      <c r="N535">
        <v>100</v>
      </c>
      <c r="O535" t="s">
        <v>2737</v>
      </c>
      <c r="P535">
        <f t="shared" si="25"/>
        <v>0</v>
      </c>
      <c r="Q535">
        <f t="shared" si="26"/>
        <v>1.1654676258992806E-2</v>
      </c>
    </row>
    <row r="536" spans="1:17" x14ac:dyDescent="0.25">
      <c r="A536" t="str">
        <f t="shared" si="24"/>
        <v>Harry Maguire</v>
      </c>
      <c r="B536" t="s">
        <v>270</v>
      </c>
      <c r="C536" t="s">
        <v>812</v>
      </c>
      <c r="D536">
        <v>14</v>
      </c>
      <c r="E536">
        <v>2</v>
      </c>
      <c r="F536">
        <v>49</v>
      </c>
      <c r="G536">
        <v>1751</v>
      </c>
      <c r="H536">
        <v>19</v>
      </c>
      <c r="I536">
        <v>1</v>
      </c>
      <c r="J536">
        <v>0</v>
      </c>
      <c r="K536">
        <v>1.82</v>
      </c>
      <c r="L536">
        <v>0.25</v>
      </c>
      <c r="M536">
        <v>48</v>
      </c>
      <c r="N536">
        <v>217</v>
      </c>
      <c r="O536" t="s">
        <v>812</v>
      </c>
      <c r="P536">
        <f t="shared" si="25"/>
        <v>9.354654483152483E-2</v>
      </c>
      <c r="Q536">
        <f t="shared" si="26"/>
        <v>1.2849800114220445E-2</v>
      </c>
    </row>
    <row r="537" spans="1:17" x14ac:dyDescent="0.25">
      <c r="A537" t="str">
        <f t="shared" si="24"/>
        <v>Kobbie Mainoo</v>
      </c>
      <c r="B537" t="s">
        <v>832</v>
      </c>
      <c r="C537" t="s">
        <v>833</v>
      </c>
      <c r="D537">
        <v>14</v>
      </c>
      <c r="E537">
        <v>3</v>
      </c>
      <c r="F537">
        <v>52</v>
      </c>
      <c r="G537">
        <v>1646</v>
      </c>
      <c r="H537">
        <v>19</v>
      </c>
      <c r="I537">
        <v>0</v>
      </c>
      <c r="J537">
        <v>0</v>
      </c>
      <c r="K537">
        <v>0.84</v>
      </c>
      <c r="L537">
        <v>1.78</v>
      </c>
      <c r="M537">
        <v>42</v>
      </c>
      <c r="N537">
        <v>229</v>
      </c>
      <c r="O537" t="s">
        <v>833</v>
      </c>
      <c r="P537">
        <f t="shared" si="25"/>
        <v>4.5929526123936817E-2</v>
      </c>
      <c r="Q537">
        <f t="shared" si="26"/>
        <v>9.7326852976913722E-2</v>
      </c>
    </row>
    <row r="538" spans="1:17" x14ac:dyDescent="0.25">
      <c r="A538" t="str">
        <f t="shared" si="24"/>
        <v>Tyrell Malacia</v>
      </c>
      <c r="B538" t="s">
        <v>1809</v>
      </c>
      <c r="C538" t="s">
        <v>1810</v>
      </c>
      <c r="D538">
        <v>14</v>
      </c>
      <c r="E538">
        <v>2</v>
      </c>
      <c r="F538">
        <v>44</v>
      </c>
      <c r="G538">
        <v>99</v>
      </c>
      <c r="H538">
        <v>2</v>
      </c>
      <c r="I538">
        <v>0</v>
      </c>
      <c r="J538">
        <v>0</v>
      </c>
      <c r="K538">
        <v>0</v>
      </c>
      <c r="L538">
        <v>0.02</v>
      </c>
      <c r="M538">
        <v>2</v>
      </c>
      <c r="N538">
        <v>2</v>
      </c>
      <c r="O538" t="s">
        <v>1810</v>
      </c>
      <c r="P538">
        <f t="shared" si="25"/>
        <v>0</v>
      </c>
      <c r="Q538">
        <f t="shared" si="26"/>
        <v>1.8181818181818181E-2</v>
      </c>
    </row>
    <row r="539" spans="1:17" x14ac:dyDescent="0.25">
      <c r="A539" t="str">
        <f t="shared" si="24"/>
        <v>Lisandro Martínez</v>
      </c>
      <c r="B539" t="s">
        <v>813</v>
      </c>
      <c r="C539" t="s">
        <v>814</v>
      </c>
      <c r="D539">
        <v>14</v>
      </c>
      <c r="E539">
        <v>2</v>
      </c>
      <c r="F539">
        <v>43</v>
      </c>
      <c r="G539">
        <v>1751</v>
      </c>
      <c r="H539">
        <v>20</v>
      </c>
      <c r="I539">
        <v>2</v>
      </c>
      <c r="J539">
        <v>1</v>
      </c>
      <c r="K539">
        <v>1.33</v>
      </c>
      <c r="L539">
        <v>1.21</v>
      </c>
      <c r="M539">
        <v>68</v>
      </c>
      <c r="N539">
        <v>293</v>
      </c>
      <c r="O539" t="s">
        <v>2652</v>
      </c>
      <c r="P539">
        <f t="shared" si="25"/>
        <v>6.8360936607652772E-2</v>
      </c>
      <c r="Q539">
        <f t="shared" si="26"/>
        <v>6.219303255282696E-2</v>
      </c>
    </row>
    <row r="540" spans="1:17" x14ac:dyDescent="0.25">
      <c r="A540" t="str">
        <f t="shared" si="24"/>
        <v>Scott McTominay</v>
      </c>
      <c r="B540" t="s">
        <v>154</v>
      </c>
      <c r="C540" t="s">
        <v>1812</v>
      </c>
      <c r="D540">
        <v>14</v>
      </c>
      <c r="E540">
        <v>3</v>
      </c>
      <c r="F540">
        <v>49</v>
      </c>
      <c r="G540">
        <v>17</v>
      </c>
      <c r="H540">
        <v>0</v>
      </c>
      <c r="I540">
        <v>0</v>
      </c>
      <c r="J540">
        <v>0</v>
      </c>
      <c r="K540">
        <v>7.0000000000000007E-2</v>
      </c>
      <c r="L540">
        <v>0</v>
      </c>
      <c r="M540">
        <v>2</v>
      </c>
      <c r="N540">
        <v>4</v>
      </c>
      <c r="O540" t="s">
        <v>1812</v>
      </c>
      <c r="P540">
        <f t="shared" si="25"/>
        <v>0.37058823529411766</v>
      </c>
      <c r="Q540">
        <f t="shared" si="26"/>
        <v>0</v>
      </c>
    </row>
    <row r="541" spans="1:17" x14ac:dyDescent="0.25">
      <c r="A541" t="str">
        <f t="shared" si="24"/>
        <v>Mason Mount</v>
      </c>
      <c r="B541" t="s">
        <v>583</v>
      </c>
      <c r="C541" t="s">
        <v>829</v>
      </c>
      <c r="D541">
        <v>14</v>
      </c>
      <c r="E541">
        <v>3</v>
      </c>
      <c r="F541">
        <v>63</v>
      </c>
      <c r="G541">
        <v>613</v>
      </c>
      <c r="H541">
        <v>8</v>
      </c>
      <c r="I541">
        <v>1</v>
      </c>
      <c r="J541">
        <v>0</v>
      </c>
      <c r="K541">
        <v>3.37</v>
      </c>
      <c r="L541">
        <v>0.56999999999999995</v>
      </c>
      <c r="M541">
        <v>25</v>
      </c>
      <c r="N541">
        <v>74</v>
      </c>
      <c r="O541" t="s">
        <v>829</v>
      </c>
      <c r="P541">
        <f t="shared" si="25"/>
        <v>0.49477977161500819</v>
      </c>
      <c r="Q541">
        <f t="shared" si="26"/>
        <v>8.3686786296900476E-2</v>
      </c>
    </row>
    <row r="542" spans="1:17" x14ac:dyDescent="0.25">
      <c r="A542" t="str">
        <f t="shared" si="24"/>
        <v>André Onana</v>
      </c>
      <c r="B542" t="s">
        <v>1614</v>
      </c>
      <c r="C542" t="s">
        <v>108</v>
      </c>
      <c r="D542">
        <v>14</v>
      </c>
      <c r="E542">
        <v>1</v>
      </c>
      <c r="F542">
        <v>49</v>
      </c>
      <c r="G542">
        <v>3060</v>
      </c>
      <c r="H542">
        <v>34</v>
      </c>
      <c r="I542">
        <v>0</v>
      </c>
      <c r="J542">
        <v>0</v>
      </c>
      <c r="K542">
        <v>0</v>
      </c>
      <c r="L542">
        <v>0.2</v>
      </c>
      <c r="M542">
        <v>120</v>
      </c>
      <c r="N542">
        <v>443</v>
      </c>
      <c r="O542" t="s">
        <v>108</v>
      </c>
      <c r="P542">
        <f t="shared" si="25"/>
        <v>0</v>
      </c>
      <c r="Q542">
        <f t="shared" si="26"/>
        <v>5.8823529411764714E-3</v>
      </c>
    </row>
    <row r="543" spans="1:17" x14ac:dyDescent="0.25">
      <c r="A543" t="str">
        <f t="shared" si="24"/>
        <v>Facundo Pellistri Rebollo</v>
      </c>
      <c r="B543" t="s">
        <v>262</v>
      </c>
      <c r="C543" t="s">
        <v>1813</v>
      </c>
      <c r="D543">
        <v>14</v>
      </c>
      <c r="E543">
        <v>3</v>
      </c>
      <c r="F543">
        <v>50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2738</v>
      </c>
      <c r="P543">
        <f t="shared" si="25"/>
        <v>0</v>
      </c>
      <c r="Q543">
        <f t="shared" si="26"/>
        <v>0</v>
      </c>
    </row>
    <row r="544" spans="1:17" x14ac:dyDescent="0.25">
      <c r="A544" t="str">
        <f t="shared" si="24"/>
        <v>Luke Shaw</v>
      </c>
      <c r="B544" t="s">
        <v>375</v>
      </c>
      <c r="C544" t="s">
        <v>821</v>
      </c>
      <c r="D544">
        <v>14</v>
      </c>
      <c r="E544">
        <v>2</v>
      </c>
      <c r="F544">
        <v>49</v>
      </c>
      <c r="G544">
        <v>346</v>
      </c>
      <c r="H544">
        <v>4</v>
      </c>
      <c r="I544">
        <v>0</v>
      </c>
      <c r="J544">
        <v>0</v>
      </c>
      <c r="K544">
        <v>0.03</v>
      </c>
      <c r="L544">
        <v>0.77</v>
      </c>
      <c r="M544">
        <v>5</v>
      </c>
      <c r="N544">
        <v>38</v>
      </c>
      <c r="O544" t="s">
        <v>821</v>
      </c>
      <c r="P544">
        <f t="shared" si="25"/>
        <v>7.8034682080924851E-3</v>
      </c>
      <c r="Q544">
        <f t="shared" si="26"/>
        <v>0.20028901734104049</v>
      </c>
    </row>
    <row r="545" spans="1:17" x14ac:dyDescent="0.25">
      <c r="A545" t="str">
        <f t="shared" si="24"/>
        <v>Joshua Zirkzee</v>
      </c>
      <c r="B545" t="s">
        <v>843</v>
      </c>
      <c r="C545" t="s">
        <v>844</v>
      </c>
      <c r="D545">
        <v>14</v>
      </c>
      <c r="E545">
        <v>4</v>
      </c>
      <c r="F545">
        <v>65</v>
      </c>
      <c r="G545">
        <v>1385</v>
      </c>
      <c r="H545">
        <v>14</v>
      </c>
      <c r="I545">
        <v>3</v>
      </c>
      <c r="J545">
        <v>2</v>
      </c>
      <c r="K545">
        <v>4.6399999999999997</v>
      </c>
      <c r="L545">
        <v>1.04</v>
      </c>
      <c r="M545">
        <v>64</v>
      </c>
      <c r="N545">
        <v>216</v>
      </c>
      <c r="O545" t="s">
        <v>844</v>
      </c>
      <c r="P545">
        <f t="shared" si="25"/>
        <v>0.30151624548736461</v>
      </c>
      <c r="Q545">
        <f t="shared" si="26"/>
        <v>6.7581227436823099E-2</v>
      </c>
    </row>
    <row r="546" spans="1:17" x14ac:dyDescent="0.25">
      <c r="A546" t="str">
        <f t="shared" si="24"/>
        <v>Leny Yoro</v>
      </c>
      <c r="B546" t="s">
        <v>815</v>
      </c>
      <c r="C546" t="s">
        <v>816</v>
      </c>
      <c r="D546">
        <v>14</v>
      </c>
      <c r="E546">
        <v>2</v>
      </c>
      <c r="F546">
        <v>43</v>
      </c>
      <c r="G546">
        <v>1160</v>
      </c>
      <c r="H546">
        <v>12</v>
      </c>
      <c r="I546">
        <v>0</v>
      </c>
      <c r="J546">
        <v>0</v>
      </c>
      <c r="K546">
        <v>0.7</v>
      </c>
      <c r="L546">
        <v>0.15</v>
      </c>
      <c r="M546">
        <v>22</v>
      </c>
      <c r="N546">
        <v>90</v>
      </c>
      <c r="O546" t="s">
        <v>816</v>
      </c>
      <c r="P546">
        <f t="shared" si="25"/>
        <v>5.4310344827586197E-2</v>
      </c>
      <c r="Q546">
        <f t="shared" si="26"/>
        <v>1.1637931034482759E-2</v>
      </c>
    </row>
    <row r="547" spans="1:17" x14ac:dyDescent="0.25">
      <c r="A547" t="str">
        <f t="shared" si="24"/>
        <v>Matthijs de Ligt</v>
      </c>
      <c r="B547" t="s">
        <v>808</v>
      </c>
      <c r="C547" t="s">
        <v>809</v>
      </c>
      <c r="D547">
        <v>14</v>
      </c>
      <c r="E547">
        <v>2</v>
      </c>
      <c r="F547">
        <v>48</v>
      </c>
      <c r="G547">
        <v>2119</v>
      </c>
      <c r="H547">
        <v>25</v>
      </c>
      <c r="I547">
        <v>2</v>
      </c>
      <c r="J547">
        <v>0</v>
      </c>
      <c r="K547">
        <v>2.48</v>
      </c>
      <c r="L547">
        <v>0.25</v>
      </c>
      <c r="M547">
        <v>68</v>
      </c>
      <c r="N547">
        <v>312</v>
      </c>
      <c r="O547" t="s">
        <v>2739</v>
      </c>
      <c r="P547">
        <f t="shared" si="25"/>
        <v>0.10533270410571025</v>
      </c>
      <c r="Q547">
        <f t="shared" si="26"/>
        <v>1.0618216139688533E-2</v>
      </c>
    </row>
    <row r="548" spans="1:17" x14ac:dyDescent="0.25">
      <c r="A548" t="str">
        <f t="shared" si="24"/>
        <v>Noussair Mazraoui</v>
      </c>
      <c r="B548" t="s">
        <v>819</v>
      </c>
      <c r="C548" t="s">
        <v>820</v>
      </c>
      <c r="D548">
        <v>14</v>
      </c>
      <c r="E548">
        <v>2</v>
      </c>
      <c r="F548">
        <v>42</v>
      </c>
      <c r="G548">
        <v>2836</v>
      </c>
      <c r="H548">
        <v>34</v>
      </c>
      <c r="I548">
        <v>0</v>
      </c>
      <c r="J548">
        <v>1</v>
      </c>
      <c r="K548">
        <v>0.69</v>
      </c>
      <c r="L548">
        <v>1.87</v>
      </c>
      <c r="M548">
        <v>88</v>
      </c>
      <c r="N548">
        <v>410</v>
      </c>
      <c r="O548" t="s">
        <v>820</v>
      </c>
      <c r="P548">
        <f t="shared" si="25"/>
        <v>2.1897038081805358E-2</v>
      </c>
      <c r="Q548">
        <f t="shared" si="26"/>
        <v>5.9344146685472499E-2</v>
      </c>
    </row>
    <row r="549" spans="1:17" x14ac:dyDescent="0.25">
      <c r="A549" t="str">
        <f t="shared" si="24"/>
        <v>Toby Collyer</v>
      </c>
      <c r="B549" t="s">
        <v>838</v>
      </c>
      <c r="C549" t="s">
        <v>839</v>
      </c>
      <c r="D549">
        <v>14</v>
      </c>
      <c r="E549">
        <v>3</v>
      </c>
      <c r="F549">
        <v>45</v>
      </c>
      <c r="G549">
        <v>174</v>
      </c>
      <c r="H549">
        <v>0</v>
      </c>
      <c r="I549">
        <v>0</v>
      </c>
      <c r="J549">
        <v>0</v>
      </c>
      <c r="K549">
        <v>0.08</v>
      </c>
      <c r="L549">
        <v>0.37</v>
      </c>
      <c r="M549">
        <v>6</v>
      </c>
      <c r="N549">
        <v>40</v>
      </c>
      <c r="O549" t="s">
        <v>839</v>
      </c>
      <c r="P549">
        <f t="shared" si="25"/>
        <v>4.1379310344827586E-2</v>
      </c>
      <c r="Q549">
        <f t="shared" si="26"/>
        <v>0.19137931034482761</v>
      </c>
    </row>
    <row r="550" spans="1:17" x14ac:dyDescent="0.25">
      <c r="A550" t="str">
        <f t="shared" si="24"/>
        <v>Ethan Wheatley</v>
      </c>
      <c r="B550" t="s">
        <v>59</v>
      </c>
      <c r="C550" t="s">
        <v>1841</v>
      </c>
      <c r="D550">
        <v>14</v>
      </c>
      <c r="E550">
        <v>4</v>
      </c>
      <c r="F550">
        <v>45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1841</v>
      </c>
      <c r="P550">
        <f t="shared" si="25"/>
        <v>0</v>
      </c>
      <c r="Q550">
        <f t="shared" si="26"/>
        <v>0</v>
      </c>
    </row>
    <row r="551" spans="1:17" x14ac:dyDescent="0.25">
      <c r="A551" t="str">
        <f t="shared" si="24"/>
        <v>Manuel Ugarte</v>
      </c>
      <c r="B551" t="s">
        <v>834</v>
      </c>
      <c r="C551" t="s">
        <v>2286</v>
      </c>
      <c r="D551">
        <v>14</v>
      </c>
      <c r="E551">
        <v>3</v>
      </c>
      <c r="F551">
        <v>49</v>
      </c>
      <c r="G551">
        <v>1777</v>
      </c>
      <c r="H551">
        <v>22</v>
      </c>
      <c r="I551">
        <v>1</v>
      </c>
      <c r="J551">
        <v>2</v>
      </c>
      <c r="K551">
        <v>1</v>
      </c>
      <c r="L551">
        <v>0.67</v>
      </c>
      <c r="M551">
        <v>49</v>
      </c>
      <c r="N551">
        <v>318</v>
      </c>
      <c r="O551" t="s">
        <v>2286</v>
      </c>
      <c r="P551">
        <f t="shared" si="25"/>
        <v>5.0647158131682614E-2</v>
      </c>
      <c r="Q551">
        <f t="shared" si="26"/>
        <v>3.3933595948227348E-2</v>
      </c>
    </row>
    <row r="552" spans="1:17" x14ac:dyDescent="0.25">
      <c r="A552" t="str">
        <f t="shared" si="24"/>
        <v>Ayden Heaven</v>
      </c>
      <c r="B552" t="s">
        <v>817</v>
      </c>
      <c r="C552" t="s">
        <v>818</v>
      </c>
      <c r="D552">
        <v>14</v>
      </c>
      <c r="E552">
        <v>2</v>
      </c>
      <c r="F552">
        <v>40</v>
      </c>
      <c r="G552">
        <v>169</v>
      </c>
      <c r="H552">
        <v>2</v>
      </c>
      <c r="I552">
        <v>0</v>
      </c>
      <c r="J552">
        <v>0</v>
      </c>
      <c r="K552">
        <v>0.12</v>
      </c>
      <c r="L552">
        <v>0.01</v>
      </c>
      <c r="M552">
        <v>10</v>
      </c>
      <c r="N552">
        <v>47</v>
      </c>
      <c r="O552" t="s">
        <v>818</v>
      </c>
      <c r="P552">
        <f t="shared" si="25"/>
        <v>6.3905325443786978E-2</v>
      </c>
      <c r="Q552">
        <f t="shared" si="26"/>
        <v>5.3254437869822485E-3</v>
      </c>
    </row>
    <row r="553" spans="1:17" x14ac:dyDescent="0.25">
      <c r="A553" t="str">
        <f t="shared" si="24"/>
        <v>Jack Fletcher</v>
      </c>
      <c r="B553" t="s">
        <v>253</v>
      </c>
      <c r="C553" t="s">
        <v>836</v>
      </c>
      <c r="D553">
        <v>14</v>
      </c>
      <c r="E553">
        <v>3</v>
      </c>
      <c r="F553">
        <v>45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836</v>
      </c>
      <c r="P553">
        <f t="shared" si="25"/>
        <v>0</v>
      </c>
      <c r="Q553">
        <f t="shared" si="26"/>
        <v>0</v>
      </c>
    </row>
    <row r="554" spans="1:17" x14ac:dyDescent="0.25">
      <c r="A554" t="str">
        <f t="shared" si="24"/>
        <v>Harry Amass</v>
      </c>
      <c r="B554" t="s">
        <v>270</v>
      </c>
      <c r="C554" t="s">
        <v>822</v>
      </c>
      <c r="D554">
        <v>14</v>
      </c>
      <c r="E554">
        <v>2</v>
      </c>
      <c r="F554">
        <v>40</v>
      </c>
      <c r="G554">
        <v>345</v>
      </c>
      <c r="H554">
        <v>4</v>
      </c>
      <c r="I554">
        <v>0</v>
      </c>
      <c r="J554">
        <v>0</v>
      </c>
      <c r="K554">
        <v>7.0000000000000007E-2</v>
      </c>
      <c r="L554">
        <v>7.0000000000000007E-2</v>
      </c>
      <c r="M554">
        <v>4</v>
      </c>
      <c r="N554">
        <v>1</v>
      </c>
      <c r="O554" t="s">
        <v>822</v>
      </c>
      <c r="P554">
        <f t="shared" si="25"/>
        <v>1.8260869565217393E-2</v>
      </c>
      <c r="Q554">
        <f t="shared" si="26"/>
        <v>1.8260869565217393E-2</v>
      </c>
    </row>
    <row r="555" spans="1:17" x14ac:dyDescent="0.25">
      <c r="A555" t="str">
        <f t="shared" si="24"/>
        <v>Jayce Fitzgerald</v>
      </c>
      <c r="B555" t="s">
        <v>2287</v>
      </c>
      <c r="C555" t="s">
        <v>2288</v>
      </c>
      <c r="D555">
        <v>14</v>
      </c>
      <c r="E555">
        <v>3</v>
      </c>
      <c r="F555">
        <v>45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2288</v>
      </c>
      <c r="P555">
        <f t="shared" si="25"/>
        <v>0</v>
      </c>
      <c r="Q555">
        <f t="shared" si="26"/>
        <v>0</v>
      </c>
    </row>
    <row r="556" spans="1:17" x14ac:dyDescent="0.25">
      <c r="A556" t="str">
        <f t="shared" si="24"/>
        <v>Godwill Kukonki</v>
      </c>
      <c r="B556" t="s">
        <v>2289</v>
      </c>
      <c r="C556" t="s">
        <v>2290</v>
      </c>
      <c r="D556">
        <v>14</v>
      </c>
      <c r="E556">
        <v>2</v>
      </c>
      <c r="F556">
        <v>40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2290</v>
      </c>
      <c r="P556">
        <f t="shared" si="25"/>
        <v>0</v>
      </c>
      <c r="Q556">
        <f t="shared" si="26"/>
        <v>0</v>
      </c>
    </row>
    <row r="557" spans="1:17" x14ac:dyDescent="0.25">
      <c r="A557" t="str">
        <f t="shared" si="24"/>
        <v>Ruben Filipe Marques Diogo Amorim</v>
      </c>
      <c r="B557" t="s">
        <v>2291</v>
      </c>
      <c r="C557" t="s">
        <v>2292</v>
      </c>
      <c r="D557">
        <v>14</v>
      </c>
      <c r="E557">
        <v>5</v>
      </c>
      <c r="F557">
        <v>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86</v>
      </c>
      <c r="N557">
        <v>0</v>
      </c>
      <c r="O557" t="s">
        <v>2740</v>
      </c>
      <c r="P557">
        <f t="shared" si="25"/>
        <v>0</v>
      </c>
      <c r="Q557">
        <f t="shared" si="26"/>
        <v>0</v>
      </c>
    </row>
    <row r="558" spans="1:17" x14ac:dyDescent="0.25">
      <c r="A558" t="str">
        <f t="shared" si="24"/>
        <v>Elyh Harrison</v>
      </c>
      <c r="B558" t="s">
        <v>2293</v>
      </c>
      <c r="C558" t="s">
        <v>493</v>
      </c>
      <c r="D558">
        <v>14</v>
      </c>
      <c r="E558">
        <v>1</v>
      </c>
      <c r="F558">
        <v>40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493</v>
      </c>
      <c r="P558">
        <f t="shared" si="25"/>
        <v>0</v>
      </c>
      <c r="Q558">
        <f t="shared" si="26"/>
        <v>0</v>
      </c>
    </row>
    <row r="559" spans="1:17" x14ac:dyDescent="0.25">
      <c r="A559" t="str">
        <f t="shared" si="24"/>
        <v>Patrick Dorgu</v>
      </c>
      <c r="B559" t="s">
        <v>806</v>
      </c>
      <c r="C559" t="s">
        <v>807</v>
      </c>
      <c r="D559">
        <v>14</v>
      </c>
      <c r="E559">
        <v>2</v>
      </c>
      <c r="F559">
        <v>45</v>
      </c>
      <c r="G559">
        <v>840</v>
      </c>
      <c r="H559">
        <v>10</v>
      </c>
      <c r="I559">
        <v>0</v>
      </c>
      <c r="J559">
        <v>0</v>
      </c>
      <c r="K559">
        <v>0.43</v>
      </c>
      <c r="L559">
        <v>1.27</v>
      </c>
      <c r="M559">
        <v>18</v>
      </c>
      <c r="N559">
        <v>108</v>
      </c>
      <c r="O559" t="s">
        <v>807</v>
      </c>
      <c r="P559">
        <f t="shared" si="25"/>
        <v>4.6071428571428576E-2</v>
      </c>
      <c r="Q559">
        <f t="shared" si="26"/>
        <v>0.13607142857142857</v>
      </c>
    </row>
    <row r="560" spans="1:17" x14ac:dyDescent="0.25">
      <c r="A560" t="str">
        <f t="shared" si="24"/>
        <v>Chido Obi-Martin</v>
      </c>
      <c r="B560" t="s">
        <v>845</v>
      </c>
      <c r="C560" t="s">
        <v>2294</v>
      </c>
      <c r="D560">
        <v>14</v>
      </c>
      <c r="E560">
        <v>4</v>
      </c>
      <c r="F560">
        <v>45</v>
      </c>
      <c r="G560">
        <v>160</v>
      </c>
      <c r="H560">
        <v>1</v>
      </c>
      <c r="I560">
        <v>0</v>
      </c>
      <c r="J560">
        <v>0</v>
      </c>
      <c r="K560">
        <v>0.66</v>
      </c>
      <c r="L560">
        <v>0.03</v>
      </c>
      <c r="M560">
        <v>7</v>
      </c>
      <c r="N560">
        <v>21</v>
      </c>
      <c r="O560" t="s">
        <v>846</v>
      </c>
      <c r="P560">
        <f t="shared" si="25"/>
        <v>0.37125000000000002</v>
      </c>
      <c r="Q560">
        <f t="shared" si="26"/>
        <v>1.6875000000000001E-2</v>
      </c>
    </row>
    <row r="561" spans="1:17" x14ac:dyDescent="0.25">
      <c r="A561" t="str">
        <f t="shared" si="24"/>
        <v>Tyler Fredricson</v>
      </c>
      <c r="B561" t="s">
        <v>161</v>
      </c>
      <c r="C561" t="s">
        <v>823</v>
      </c>
      <c r="D561">
        <v>14</v>
      </c>
      <c r="E561">
        <v>2</v>
      </c>
      <c r="F561">
        <v>40</v>
      </c>
      <c r="G561">
        <v>166</v>
      </c>
      <c r="H561">
        <v>2</v>
      </c>
      <c r="I561">
        <v>0</v>
      </c>
      <c r="J561">
        <v>0</v>
      </c>
      <c r="K561">
        <v>0</v>
      </c>
      <c r="L561">
        <v>0.02</v>
      </c>
      <c r="M561">
        <v>2</v>
      </c>
      <c r="N561">
        <v>16</v>
      </c>
      <c r="O561" t="s">
        <v>823</v>
      </c>
      <c r="P561">
        <f t="shared" si="25"/>
        <v>0</v>
      </c>
      <c r="Q561">
        <f t="shared" si="26"/>
        <v>1.0843373493975903E-2</v>
      </c>
    </row>
    <row r="562" spans="1:17" x14ac:dyDescent="0.25">
      <c r="A562" t="str">
        <f t="shared" si="24"/>
        <v>Jack Moorhouse</v>
      </c>
      <c r="B562" t="s">
        <v>253</v>
      </c>
      <c r="C562" t="s">
        <v>2295</v>
      </c>
      <c r="D562">
        <v>14</v>
      </c>
      <c r="E562">
        <v>3</v>
      </c>
      <c r="F562">
        <v>45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2295</v>
      </c>
      <c r="P562">
        <f t="shared" si="25"/>
        <v>0</v>
      </c>
      <c r="Q562">
        <f t="shared" si="26"/>
        <v>0</v>
      </c>
    </row>
    <row r="563" spans="1:17" x14ac:dyDescent="0.25">
      <c r="A563" t="str">
        <f t="shared" si="24"/>
        <v>Sékou Koné</v>
      </c>
      <c r="B563" t="s">
        <v>2296</v>
      </c>
      <c r="C563" t="s">
        <v>2297</v>
      </c>
      <c r="D563">
        <v>14</v>
      </c>
      <c r="E563">
        <v>3</v>
      </c>
      <c r="F563">
        <v>45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2297</v>
      </c>
      <c r="P563">
        <f t="shared" si="25"/>
        <v>0</v>
      </c>
      <c r="Q563">
        <f t="shared" si="26"/>
        <v>0</v>
      </c>
    </row>
    <row r="564" spans="1:17" x14ac:dyDescent="0.25">
      <c r="A564" t="str">
        <f t="shared" si="24"/>
        <v>Hubert Graczyk</v>
      </c>
      <c r="B564" t="s">
        <v>2298</v>
      </c>
      <c r="C564" t="s">
        <v>2299</v>
      </c>
      <c r="D564">
        <v>14</v>
      </c>
      <c r="E564">
        <v>1</v>
      </c>
      <c r="F564">
        <v>40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2299</v>
      </c>
      <c r="P564">
        <f t="shared" si="25"/>
        <v>0</v>
      </c>
      <c r="Q564">
        <f t="shared" si="26"/>
        <v>0</v>
      </c>
    </row>
    <row r="565" spans="1:17" x14ac:dyDescent="0.25">
      <c r="A565" t="str">
        <f t="shared" si="24"/>
        <v>Dermot Mee</v>
      </c>
      <c r="B565" t="s">
        <v>1840</v>
      </c>
      <c r="C565" t="s">
        <v>1396</v>
      </c>
      <c r="D565">
        <v>14</v>
      </c>
      <c r="E565">
        <v>1</v>
      </c>
      <c r="F565">
        <v>40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2741</v>
      </c>
      <c r="P565">
        <f t="shared" si="25"/>
        <v>0</v>
      </c>
      <c r="Q565">
        <f t="shared" si="26"/>
        <v>0</v>
      </c>
    </row>
    <row r="566" spans="1:17" x14ac:dyDescent="0.25">
      <c r="A566" t="str">
        <f t="shared" si="24"/>
        <v>Alex Murphy</v>
      </c>
      <c r="B566" t="s">
        <v>153</v>
      </c>
      <c r="C566" t="s">
        <v>863</v>
      </c>
      <c r="D566">
        <v>15</v>
      </c>
      <c r="E566">
        <v>2</v>
      </c>
      <c r="F566">
        <v>40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2742</v>
      </c>
      <c r="P566">
        <f t="shared" si="25"/>
        <v>0</v>
      </c>
      <c r="Q566">
        <f t="shared" si="26"/>
        <v>0</v>
      </c>
    </row>
    <row r="567" spans="1:17" x14ac:dyDescent="0.25">
      <c r="A567" t="str">
        <f t="shared" si="24"/>
        <v>Miguel Almirón Rejala</v>
      </c>
      <c r="B567" t="s">
        <v>377</v>
      </c>
      <c r="C567" t="s">
        <v>1843</v>
      </c>
      <c r="D567">
        <v>15</v>
      </c>
      <c r="E567">
        <v>3</v>
      </c>
      <c r="F567">
        <v>54</v>
      </c>
      <c r="G567">
        <v>150</v>
      </c>
      <c r="H567">
        <v>1</v>
      </c>
      <c r="I567">
        <v>0</v>
      </c>
      <c r="J567">
        <v>0</v>
      </c>
      <c r="K567">
        <v>0.52</v>
      </c>
      <c r="L567">
        <v>0.19</v>
      </c>
      <c r="M567">
        <v>10</v>
      </c>
      <c r="N567">
        <v>36</v>
      </c>
      <c r="O567" t="s">
        <v>2743</v>
      </c>
      <c r="P567">
        <f t="shared" si="25"/>
        <v>0.312</v>
      </c>
      <c r="Q567">
        <f t="shared" si="26"/>
        <v>0.11399999999999999</v>
      </c>
    </row>
    <row r="568" spans="1:17" x14ac:dyDescent="0.25">
      <c r="A568" t="str">
        <f t="shared" si="24"/>
        <v>Harvey Barnes</v>
      </c>
      <c r="B568" t="s">
        <v>543</v>
      </c>
      <c r="C568" t="s">
        <v>864</v>
      </c>
      <c r="D568">
        <v>15</v>
      </c>
      <c r="E568">
        <v>3</v>
      </c>
      <c r="F568">
        <v>59</v>
      </c>
      <c r="G568">
        <v>1746</v>
      </c>
      <c r="H568">
        <v>17</v>
      </c>
      <c r="I568">
        <v>9</v>
      </c>
      <c r="J568">
        <v>5</v>
      </c>
      <c r="K568">
        <v>6.45</v>
      </c>
      <c r="L568">
        <v>4.4000000000000004</v>
      </c>
      <c r="M568">
        <v>130</v>
      </c>
      <c r="N568">
        <v>442</v>
      </c>
      <c r="O568" t="s">
        <v>864</v>
      </c>
      <c r="P568">
        <f t="shared" si="25"/>
        <v>0.3324742268041237</v>
      </c>
      <c r="Q568">
        <f t="shared" si="26"/>
        <v>0.22680412371134023</v>
      </c>
    </row>
    <row r="569" spans="1:17" x14ac:dyDescent="0.25">
      <c r="A569" t="str">
        <f t="shared" si="24"/>
        <v>Sven Botman</v>
      </c>
      <c r="B569" t="s">
        <v>856</v>
      </c>
      <c r="C569" t="s">
        <v>857</v>
      </c>
      <c r="D569">
        <v>15</v>
      </c>
      <c r="E569">
        <v>2</v>
      </c>
      <c r="F569">
        <v>44</v>
      </c>
      <c r="G569">
        <v>412</v>
      </c>
      <c r="H569">
        <v>6</v>
      </c>
      <c r="I569">
        <v>0</v>
      </c>
      <c r="J569">
        <v>0</v>
      </c>
      <c r="K569">
        <v>0.59</v>
      </c>
      <c r="L569">
        <v>0.22</v>
      </c>
      <c r="M569">
        <v>18</v>
      </c>
      <c r="N569">
        <v>95</v>
      </c>
      <c r="O569" t="s">
        <v>857</v>
      </c>
      <c r="P569">
        <f t="shared" si="25"/>
        <v>0.12888349514563108</v>
      </c>
      <c r="Q569">
        <f t="shared" si="26"/>
        <v>4.8058252427184464E-2</v>
      </c>
    </row>
    <row r="570" spans="1:17" x14ac:dyDescent="0.25">
      <c r="A570" t="str">
        <f t="shared" si="24"/>
        <v>Bruno Guimarães Rodriguez Moura</v>
      </c>
      <c r="B570" t="s">
        <v>70</v>
      </c>
      <c r="C570" t="s">
        <v>71</v>
      </c>
      <c r="D570">
        <v>15</v>
      </c>
      <c r="E570">
        <v>3</v>
      </c>
      <c r="F570">
        <v>62</v>
      </c>
      <c r="G570">
        <v>3273</v>
      </c>
      <c r="H570">
        <v>38</v>
      </c>
      <c r="I570">
        <v>5</v>
      </c>
      <c r="J570">
        <v>6</v>
      </c>
      <c r="K570">
        <v>4.34</v>
      </c>
      <c r="L570">
        <v>5.32</v>
      </c>
      <c r="M570">
        <v>135</v>
      </c>
      <c r="N570">
        <v>661</v>
      </c>
      <c r="O570" t="s">
        <v>2744</v>
      </c>
      <c r="P570">
        <f t="shared" si="25"/>
        <v>0.11934005499541704</v>
      </c>
      <c r="Q570">
        <f t="shared" si="26"/>
        <v>0.14628780934922092</v>
      </c>
    </row>
    <row r="571" spans="1:17" x14ac:dyDescent="0.25">
      <c r="A571" t="str">
        <f t="shared" si="24"/>
        <v>Dan Burn</v>
      </c>
      <c r="B571" t="s">
        <v>858</v>
      </c>
      <c r="C571" t="s">
        <v>859</v>
      </c>
      <c r="D571">
        <v>15</v>
      </c>
      <c r="E571">
        <v>2</v>
      </c>
      <c r="F571">
        <v>46</v>
      </c>
      <c r="G571">
        <v>3330</v>
      </c>
      <c r="H571">
        <v>37</v>
      </c>
      <c r="I571">
        <v>1</v>
      </c>
      <c r="J571">
        <v>1</v>
      </c>
      <c r="K571">
        <v>1.97</v>
      </c>
      <c r="L571">
        <v>1.0900000000000001</v>
      </c>
      <c r="M571">
        <v>115</v>
      </c>
      <c r="N571">
        <v>476</v>
      </c>
      <c r="O571" t="s">
        <v>859</v>
      </c>
      <c r="P571">
        <f t="shared" si="25"/>
        <v>5.3243243243243248E-2</v>
      </c>
      <c r="Q571">
        <f t="shared" si="26"/>
        <v>2.945945945945946E-2</v>
      </c>
    </row>
    <row r="572" spans="1:17" x14ac:dyDescent="0.25">
      <c r="A572" t="str">
        <f t="shared" si="24"/>
        <v>Martin Dúbravka</v>
      </c>
      <c r="B572" t="s">
        <v>48</v>
      </c>
      <c r="C572" t="s">
        <v>2300</v>
      </c>
      <c r="D572">
        <v>15</v>
      </c>
      <c r="E572">
        <v>1</v>
      </c>
      <c r="F572">
        <v>40</v>
      </c>
      <c r="G572">
        <v>900</v>
      </c>
      <c r="H572">
        <v>10</v>
      </c>
      <c r="I572">
        <v>0</v>
      </c>
      <c r="J572">
        <v>0</v>
      </c>
      <c r="K572">
        <v>0</v>
      </c>
      <c r="L572">
        <v>0</v>
      </c>
      <c r="M572">
        <v>44</v>
      </c>
      <c r="N572">
        <v>160</v>
      </c>
      <c r="O572" t="s">
        <v>2300</v>
      </c>
      <c r="P572">
        <f t="shared" si="25"/>
        <v>0</v>
      </c>
      <c r="Q572">
        <f t="shared" si="26"/>
        <v>0</v>
      </c>
    </row>
    <row r="573" spans="1:17" x14ac:dyDescent="0.25">
      <c r="A573" t="str">
        <f t="shared" si="24"/>
        <v>Anthony Gordon</v>
      </c>
      <c r="B573" t="s">
        <v>222</v>
      </c>
      <c r="C573" t="s">
        <v>1600</v>
      </c>
      <c r="D573">
        <v>15</v>
      </c>
      <c r="E573">
        <v>3</v>
      </c>
      <c r="F573">
        <v>74</v>
      </c>
      <c r="G573">
        <v>2428</v>
      </c>
      <c r="H573">
        <v>28</v>
      </c>
      <c r="I573">
        <v>6</v>
      </c>
      <c r="J573">
        <v>6</v>
      </c>
      <c r="K573">
        <v>8.19</v>
      </c>
      <c r="L573">
        <v>4.8</v>
      </c>
      <c r="M573">
        <v>124</v>
      </c>
      <c r="N573">
        <v>476</v>
      </c>
      <c r="O573" t="s">
        <v>1600</v>
      </c>
      <c r="P573">
        <f t="shared" si="25"/>
        <v>0.30358319604612849</v>
      </c>
      <c r="Q573">
        <f t="shared" si="26"/>
        <v>0.17792421746293247</v>
      </c>
    </row>
    <row r="574" spans="1:17" x14ac:dyDescent="0.25">
      <c r="A574" t="str">
        <f t="shared" si="24"/>
        <v>Lewis Hall</v>
      </c>
      <c r="B574" t="s">
        <v>157</v>
      </c>
      <c r="C574" t="s">
        <v>860</v>
      </c>
      <c r="D574">
        <v>15</v>
      </c>
      <c r="E574">
        <v>2</v>
      </c>
      <c r="F574">
        <v>47</v>
      </c>
      <c r="G574">
        <v>2188</v>
      </c>
      <c r="H574">
        <v>24</v>
      </c>
      <c r="I574">
        <v>0</v>
      </c>
      <c r="J574">
        <v>7</v>
      </c>
      <c r="K574">
        <v>0.43</v>
      </c>
      <c r="L574">
        <v>3.73</v>
      </c>
      <c r="M574">
        <v>102</v>
      </c>
      <c r="N574">
        <v>443</v>
      </c>
      <c r="O574" t="s">
        <v>860</v>
      </c>
      <c r="P574">
        <f t="shared" si="25"/>
        <v>1.7687385740402194E-2</v>
      </c>
      <c r="Q574">
        <f t="shared" si="26"/>
        <v>0.15342778793418646</v>
      </c>
    </row>
    <row r="575" spans="1:17" x14ac:dyDescent="0.25">
      <c r="A575" t="str">
        <f t="shared" si="24"/>
        <v>Isaac Hayden</v>
      </c>
      <c r="B575" t="s">
        <v>1845</v>
      </c>
      <c r="C575" t="s">
        <v>498</v>
      </c>
      <c r="D575">
        <v>15</v>
      </c>
      <c r="E575">
        <v>3</v>
      </c>
      <c r="F575">
        <v>44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498</v>
      </c>
      <c r="P575">
        <f t="shared" si="25"/>
        <v>0</v>
      </c>
      <c r="Q575">
        <f t="shared" si="26"/>
        <v>0</v>
      </c>
    </row>
    <row r="576" spans="1:17" x14ac:dyDescent="0.25">
      <c r="A576" t="str">
        <f t="shared" si="24"/>
        <v>Alexander Isak</v>
      </c>
      <c r="B576" t="s">
        <v>739</v>
      </c>
      <c r="C576" t="s">
        <v>740</v>
      </c>
      <c r="D576">
        <v>15</v>
      </c>
      <c r="E576">
        <v>4</v>
      </c>
      <c r="F576">
        <v>94</v>
      </c>
      <c r="G576">
        <v>2758</v>
      </c>
      <c r="H576">
        <v>34</v>
      </c>
      <c r="I576">
        <v>23</v>
      </c>
      <c r="J576">
        <v>6</v>
      </c>
      <c r="K576">
        <v>20.329999999999998</v>
      </c>
      <c r="L576">
        <v>3.59</v>
      </c>
      <c r="M576">
        <v>211</v>
      </c>
      <c r="N576">
        <v>848</v>
      </c>
      <c r="O576" t="s">
        <v>740</v>
      </c>
      <c r="P576">
        <f t="shared" si="25"/>
        <v>0.66341551849166058</v>
      </c>
      <c r="Q576">
        <f t="shared" si="26"/>
        <v>0.11715010877447425</v>
      </c>
    </row>
    <row r="577" spans="1:17" x14ac:dyDescent="0.25">
      <c r="A577" t="str">
        <f t="shared" si="24"/>
        <v>Jacob Murphy</v>
      </c>
      <c r="B577" t="s">
        <v>556</v>
      </c>
      <c r="C577" t="s">
        <v>863</v>
      </c>
      <c r="D577">
        <v>15</v>
      </c>
      <c r="E577">
        <v>3</v>
      </c>
      <c r="F577">
        <v>52</v>
      </c>
      <c r="G577">
        <v>2356</v>
      </c>
      <c r="H577">
        <v>31</v>
      </c>
      <c r="I577">
        <v>8</v>
      </c>
      <c r="J577">
        <v>13</v>
      </c>
      <c r="K577">
        <v>5.89</v>
      </c>
      <c r="L577">
        <v>6.14</v>
      </c>
      <c r="M577">
        <v>159</v>
      </c>
      <c r="N577">
        <v>601</v>
      </c>
      <c r="O577" t="s">
        <v>2745</v>
      </c>
      <c r="P577">
        <f t="shared" si="25"/>
        <v>0.22500000000000001</v>
      </c>
      <c r="Q577">
        <f t="shared" si="26"/>
        <v>0.23455008488964343</v>
      </c>
    </row>
    <row r="578" spans="1:17" x14ac:dyDescent="0.25">
      <c r="A578" t="str">
        <f t="shared" ref="A578:A641" si="27">_xlfn.CONCAT(B578, " ", C578)</f>
        <v>Joelinton Cássio Apolinário de Lira</v>
      </c>
      <c r="B578" t="s">
        <v>867</v>
      </c>
      <c r="C578" t="s">
        <v>868</v>
      </c>
      <c r="D578">
        <v>15</v>
      </c>
      <c r="E578">
        <v>3</v>
      </c>
      <c r="F578">
        <v>60</v>
      </c>
      <c r="G578">
        <v>2394</v>
      </c>
      <c r="H578">
        <v>29</v>
      </c>
      <c r="I578">
        <v>4</v>
      </c>
      <c r="J578">
        <v>4</v>
      </c>
      <c r="K578">
        <v>3.74</v>
      </c>
      <c r="L578">
        <v>2.17</v>
      </c>
      <c r="M578">
        <v>99</v>
      </c>
      <c r="N578">
        <v>374</v>
      </c>
      <c r="O578" t="s">
        <v>2746</v>
      </c>
      <c r="P578">
        <f t="shared" ref="P578:P641" si="28">IFERROR(K578/G578*90,0)</f>
        <v>0.14060150375939851</v>
      </c>
      <c r="Q578">
        <f t="shared" ref="Q578:Q641" si="29">IFERROR(L578/G578*90,0)</f>
        <v>8.1578947368421043E-2</v>
      </c>
    </row>
    <row r="579" spans="1:17" x14ac:dyDescent="0.25">
      <c r="A579" t="str">
        <f t="shared" si="27"/>
        <v>Lloyd Kelly</v>
      </c>
      <c r="B579" t="s">
        <v>1348</v>
      </c>
      <c r="C579" t="s">
        <v>1349</v>
      </c>
      <c r="D579">
        <v>15</v>
      </c>
      <c r="E579">
        <v>2</v>
      </c>
      <c r="F579">
        <v>42</v>
      </c>
      <c r="G579">
        <v>299</v>
      </c>
      <c r="H579">
        <v>4</v>
      </c>
      <c r="I579">
        <v>0</v>
      </c>
      <c r="J579">
        <v>1</v>
      </c>
      <c r="K579">
        <v>0.41</v>
      </c>
      <c r="L579">
        <v>0.11</v>
      </c>
      <c r="M579">
        <v>12</v>
      </c>
      <c r="N579">
        <v>40</v>
      </c>
      <c r="O579" t="s">
        <v>1349</v>
      </c>
      <c r="P579">
        <f t="shared" si="28"/>
        <v>0.1234113712374582</v>
      </c>
      <c r="Q579">
        <f t="shared" si="29"/>
        <v>3.3110367892976583E-2</v>
      </c>
    </row>
    <row r="580" spans="1:17" x14ac:dyDescent="0.25">
      <c r="A580" t="str">
        <f t="shared" si="27"/>
        <v>Emil Krafth</v>
      </c>
      <c r="B580" t="s">
        <v>1848</v>
      </c>
      <c r="C580" t="s">
        <v>1849</v>
      </c>
      <c r="D580">
        <v>15</v>
      </c>
      <c r="E580">
        <v>2</v>
      </c>
      <c r="F580">
        <v>43</v>
      </c>
      <c r="G580">
        <v>334</v>
      </c>
      <c r="H580">
        <v>2</v>
      </c>
      <c r="I580">
        <v>0</v>
      </c>
      <c r="J580">
        <v>0</v>
      </c>
      <c r="K580">
        <v>0.04</v>
      </c>
      <c r="L580">
        <v>0.04</v>
      </c>
      <c r="M580">
        <v>17</v>
      </c>
      <c r="N580">
        <v>55</v>
      </c>
      <c r="O580" t="s">
        <v>1849</v>
      </c>
      <c r="P580">
        <f t="shared" si="28"/>
        <v>1.0778443113772455E-2</v>
      </c>
      <c r="Q580">
        <f t="shared" si="29"/>
        <v>1.0778443113772455E-2</v>
      </c>
    </row>
    <row r="581" spans="1:17" x14ac:dyDescent="0.25">
      <c r="A581" t="str">
        <f t="shared" si="27"/>
        <v>Garang Kuol</v>
      </c>
      <c r="B581" t="s">
        <v>1850</v>
      </c>
      <c r="C581" t="s">
        <v>1851</v>
      </c>
      <c r="D581">
        <v>15</v>
      </c>
      <c r="E581">
        <v>3</v>
      </c>
      <c r="F581">
        <v>44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1851</v>
      </c>
      <c r="P581">
        <f t="shared" si="28"/>
        <v>0</v>
      </c>
      <c r="Q581">
        <f t="shared" si="29"/>
        <v>0</v>
      </c>
    </row>
    <row r="582" spans="1:17" x14ac:dyDescent="0.25">
      <c r="A582" t="str">
        <f t="shared" si="27"/>
        <v>Jamaal Lascelles</v>
      </c>
      <c r="B582" t="s">
        <v>1852</v>
      </c>
      <c r="C582" t="s">
        <v>1853</v>
      </c>
      <c r="D582">
        <v>15</v>
      </c>
      <c r="E582">
        <v>2</v>
      </c>
      <c r="F582">
        <v>45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1853</v>
      </c>
      <c r="P582">
        <f t="shared" si="28"/>
        <v>0</v>
      </c>
      <c r="Q582">
        <f t="shared" si="29"/>
        <v>0</v>
      </c>
    </row>
    <row r="583" spans="1:17" x14ac:dyDescent="0.25">
      <c r="A583" t="str">
        <f t="shared" si="27"/>
        <v>Jamal Lewis</v>
      </c>
      <c r="B583" t="s">
        <v>1352</v>
      </c>
      <c r="C583" t="s">
        <v>157</v>
      </c>
      <c r="D583">
        <v>15</v>
      </c>
      <c r="E583">
        <v>2</v>
      </c>
      <c r="F583">
        <v>40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157</v>
      </c>
      <c r="P583">
        <f t="shared" si="28"/>
        <v>0</v>
      </c>
      <c r="Q583">
        <f t="shared" si="29"/>
        <v>0</v>
      </c>
    </row>
    <row r="584" spans="1:17" x14ac:dyDescent="0.25">
      <c r="A584" t="str">
        <f t="shared" si="27"/>
        <v>Tino Livramento</v>
      </c>
      <c r="B584" t="s">
        <v>861</v>
      </c>
      <c r="C584" t="s">
        <v>862</v>
      </c>
      <c r="D584">
        <v>15</v>
      </c>
      <c r="E584">
        <v>2</v>
      </c>
      <c r="F584">
        <v>46</v>
      </c>
      <c r="G584">
        <v>2835</v>
      </c>
      <c r="H584">
        <v>32</v>
      </c>
      <c r="I584">
        <v>0</v>
      </c>
      <c r="J584">
        <v>1</v>
      </c>
      <c r="K584">
        <v>0.33</v>
      </c>
      <c r="L584">
        <v>2.7</v>
      </c>
      <c r="M584">
        <v>105</v>
      </c>
      <c r="N584">
        <v>476</v>
      </c>
      <c r="O584" t="s">
        <v>862</v>
      </c>
      <c r="P584">
        <f t="shared" si="28"/>
        <v>1.0476190476190477E-2</v>
      </c>
      <c r="Q584">
        <f t="shared" si="29"/>
        <v>8.5714285714285729E-2</v>
      </c>
    </row>
    <row r="585" spans="1:17" x14ac:dyDescent="0.25">
      <c r="A585" t="str">
        <f t="shared" si="27"/>
        <v>Sean Longstaff</v>
      </c>
      <c r="B585" t="s">
        <v>673</v>
      </c>
      <c r="C585" t="s">
        <v>674</v>
      </c>
      <c r="D585">
        <v>15</v>
      </c>
      <c r="E585">
        <v>3</v>
      </c>
      <c r="F585">
        <v>44</v>
      </c>
      <c r="G585">
        <v>783</v>
      </c>
      <c r="H585">
        <v>8</v>
      </c>
      <c r="I585">
        <v>0</v>
      </c>
      <c r="J585">
        <v>1</v>
      </c>
      <c r="K585">
        <v>0.6</v>
      </c>
      <c r="L585">
        <v>0.22</v>
      </c>
      <c r="M585">
        <v>34</v>
      </c>
      <c r="N585">
        <v>131</v>
      </c>
      <c r="O585" t="s">
        <v>674</v>
      </c>
      <c r="P585">
        <f t="shared" si="28"/>
        <v>6.8965517241379309E-2</v>
      </c>
      <c r="Q585">
        <f t="shared" si="29"/>
        <v>2.528735632183908E-2</v>
      </c>
    </row>
    <row r="586" spans="1:17" x14ac:dyDescent="0.25">
      <c r="A586" t="str">
        <f t="shared" si="27"/>
        <v>Lewis Miley</v>
      </c>
      <c r="B586" t="s">
        <v>157</v>
      </c>
      <c r="C586" t="s">
        <v>869</v>
      </c>
      <c r="D586">
        <v>15</v>
      </c>
      <c r="E586">
        <v>3</v>
      </c>
      <c r="F586">
        <v>50</v>
      </c>
      <c r="G586">
        <v>304</v>
      </c>
      <c r="H586">
        <v>1</v>
      </c>
      <c r="I586">
        <v>1</v>
      </c>
      <c r="J586">
        <v>0</v>
      </c>
      <c r="K586">
        <v>0.56999999999999995</v>
      </c>
      <c r="L586">
        <v>0.3</v>
      </c>
      <c r="M586">
        <v>21</v>
      </c>
      <c r="N586">
        <v>88</v>
      </c>
      <c r="O586" t="s">
        <v>869</v>
      </c>
      <c r="P586">
        <f t="shared" si="28"/>
        <v>0.16874999999999998</v>
      </c>
      <c r="Q586">
        <f t="shared" si="29"/>
        <v>8.8815789473684209E-2</v>
      </c>
    </row>
    <row r="587" spans="1:17" x14ac:dyDescent="0.25">
      <c r="A587" t="str">
        <f t="shared" si="27"/>
        <v>Odysseas Vlachodimos</v>
      </c>
      <c r="B587" t="s">
        <v>1918</v>
      </c>
      <c r="C587" t="s">
        <v>1919</v>
      </c>
      <c r="D587">
        <v>15</v>
      </c>
      <c r="E587">
        <v>1</v>
      </c>
      <c r="F587">
        <v>42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1918</v>
      </c>
      <c r="P587">
        <f t="shared" si="28"/>
        <v>0</v>
      </c>
      <c r="Q587">
        <f t="shared" si="29"/>
        <v>0</v>
      </c>
    </row>
    <row r="588" spans="1:17" x14ac:dyDescent="0.25">
      <c r="A588" t="str">
        <f t="shared" si="27"/>
        <v>Nick Pope</v>
      </c>
      <c r="B588" t="s">
        <v>847</v>
      </c>
      <c r="C588" t="s">
        <v>848</v>
      </c>
      <c r="D588">
        <v>15</v>
      </c>
      <c r="E588">
        <v>1</v>
      </c>
      <c r="F588">
        <v>50</v>
      </c>
      <c r="G588">
        <v>2520</v>
      </c>
      <c r="H588">
        <v>28</v>
      </c>
      <c r="I588">
        <v>0</v>
      </c>
      <c r="J588">
        <v>0</v>
      </c>
      <c r="K588">
        <v>0</v>
      </c>
      <c r="L588">
        <v>0</v>
      </c>
      <c r="M588">
        <v>102</v>
      </c>
      <c r="N588">
        <v>384</v>
      </c>
      <c r="O588" t="s">
        <v>848</v>
      </c>
      <c r="P588">
        <f t="shared" si="28"/>
        <v>0</v>
      </c>
      <c r="Q588">
        <f t="shared" si="29"/>
        <v>0</v>
      </c>
    </row>
    <row r="589" spans="1:17" x14ac:dyDescent="0.25">
      <c r="A589" t="str">
        <f t="shared" si="27"/>
        <v>John Ruddy</v>
      </c>
      <c r="B589" t="s">
        <v>101</v>
      </c>
      <c r="C589" t="s">
        <v>2301</v>
      </c>
      <c r="D589">
        <v>15</v>
      </c>
      <c r="E589">
        <v>1</v>
      </c>
      <c r="F589">
        <v>39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2301</v>
      </c>
      <c r="P589">
        <f t="shared" si="28"/>
        <v>0</v>
      </c>
      <c r="Q589">
        <f t="shared" si="29"/>
        <v>0</v>
      </c>
    </row>
    <row r="590" spans="1:17" x14ac:dyDescent="0.25">
      <c r="A590" t="str">
        <f t="shared" si="27"/>
        <v>Fabian Schär</v>
      </c>
      <c r="B590" t="s">
        <v>854</v>
      </c>
      <c r="C590" t="s">
        <v>855</v>
      </c>
      <c r="D590">
        <v>15</v>
      </c>
      <c r="E590">
        <v>2</v>
      </c>
      <c r="F590">
        <v>55</v>
      </c>
      <c r="G590">
        <v>2935</v>
      </c>
      <c r="H590">
        <v>33</v>
      </c>
      <c r="I590">
        <v>4</v>
      </c>
      <c r="J590">
        <v>2</v>
      </c>
      <c r="K590">
        <v>3.94</v>
      </c>
      <c r="L590">
        <v>1.01</v>
      </c>
      <c r="M590">
        <v>118</v>
      </c>
      <c r="N590">
        <v>440</v>
      </c>
      <c r="O590" t="s">
        <v>855</v>
      </c>
      <c r="P590">
        <f t="shared" si="28"/>
        <v>0.12081771720613288</v>
      </c>
      <c r="Q590">
        <f t="shared" si="29"/>
        <v>3.0971039182282792E-2</v>
      </c>
    </row>
    <row r="591" spans="1:17" x14ac:dyDescent="0.25">
      <c r="A591" t="str">
        <f t="shared" si="27"/>
        <v>Matt Targett</v>
      </c>
      <c r="B591" t="s">
        <v>259</v>
      </c>
      <c r="C591" t="s">
        <v>587</v>
      </c>
      <c r="D591">
        <v>15</v>
      </c>
      <c r="E591">
        <v>2</v>
      </c>
      <c r="F591">
        <v>39</v>
      </c>
      <c r="G591">
        <v>20</v>
      </c>
      <c r="H591">
        <v>0</v>
      </c>
      <c r="I591">
        <v>0</v>
      </c>
      <c r="J591">
        <v>0</v>
      </c>
      <c r="K591">
        <v>0</v>
      </c>
      <c r="L591">
        <v>7.0000000000000007E-2</v>
      </c>
      <c r="M591">
        <v>2</v>
      </c>
      <c r="N591">
        <v>7</v>
      </c>
      <c r="O591" t="s">
        <v>587</v>
      </c>
      <c r="P591">
        <f t="shared" si="28"/>
        <v>0</v>
      </c>
      <c r="Q591">
        <f t="shared" si="29"/>
        <v>0.31500000000000006</v>
      </c>
    </row>
    <row r="592" spans="1:17" x14ac:dyDescent="0.25">
      <c r="A592" t="str">
        <f t="shared" si="27"/>
        <v>Sandro Tonali</v>
      </c>
      <c r="B592" t="s">
        <v>931</v>
      </c>
      <c r="C592" t="s">
        <v>932</v>
      </c>
      <c r="D592">
        <v>15</v>
      </c>
      <c r="E592">
        <v>3</v>
      </c>
      <c r="F592">
        <v>55</v>
      </c>
      <c r="G592">
        <v>2625</v>
      </c>
      <c r="H592">
        <v>28</v>
      </c>
      <c r="I592">
        <v>4</v>
      </c>
      <c r="J592">
        <v>2</v>
      </c>
      <c r="K592">
        <v>4.46</v>
      </c>
      <c r="L592">
        <v>2.77</v>
      </c>
      <c r="M592">
        <v>106</v>
      </c>
      <c r="N592">
        <v>536</v>
      </c>
      <c r="O592" t="s">
        <v>932</v>
      </c>
      <c r="P592">
        <f t="shared" si="28"/>
        <v>0.15291428571428572</v>
      </c>
      <c r="Q592">
        <f t="shared" si="29"/>
        <v>9.4971428571428568E-2</v>
      </c>
    </row>
    <row r="593" spans="1:17" x14ac:dyDescent="0.25">
      <c r="A593" t="str">
        <f t="shared" si="27"/>
        <v>Kieran Trippier</v>
      </c>
      <c r="B593" t="s">
        <v>564</v>
      </c>
      <c r="C593" t="s">
        <v>1858</v>
      </c>
      <c r="D593">
        <v>15</v>
      </c>
      <c r="E593">
        <v>2</v>
      </c>
      <c r="F593">
        <v>56</v>
      </c>
      <c r="G593">
        <v>1299</v>
      </c>
      <c r="H593">
        <v>14</v>
      </c>
      <c r="I593">
        <v>0</v>
      </c>
      <c r="J593">
        <v>3</v>
      </c>
      <c r="K593">
        <v>0.12</v>
      </c>
      <c r="L593">
        <v>1.44</v>
      </c>
      <c r="M593">
        <v>72</v>
      </c>
      <c r="N593">
        <v>287</v>
      </c>
      <c r="O593" t="s">
        <v>1858</v>
      </c>
      <c r="P593">
        <f t="shared" si="28"/>
        <v>8.3140877598152415E-3</v>
      </c>
      <c r="Q593">
        <f t="shared" si="29"/>
        <v>9.9769053117782919E-2</v>
      </c>
    </row>
    <row r="594" spans="1:17" x14ac:dyDescent="0.25">
      <c r="A594" t="str">
        <f t="shared" si="27"/>
        <v>Joe White</v>
      </c>
      <c r="B594" t="s">
        <v>585</v>
      </c>
      <c r="C594" t="s">
        <v>39</v>
      </c>
      <c r="D594">
        <v>15</v>
      </c>
      <c r="E594">
        <v>3</v>
      </c>
      <c r="F594">
        <v>45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39</v>
      </c>
      <c r="P594">
        <f t="shared" si="28"/>
        <v>0</v>
      </c>
      <c r="Q594">
        <f t="shared" si="29"/>
        <v>0</v>
      </c>
    </row>
    <row r="595" spans="1:17" x14ac:dyDescent="0.25">
      <c r="A595" t="str">
        <f t="shared" si="27"/>
        <v>Joe Willock</v>
      </c>
      <c r="B595" t="s">
        <v>585</v>
      </c>
      <c r="C595" t="s">
        <v>870</v>
      </c>
      <c r="D595">
        <v>15</v>
      </c>
      <c r="E595">
        <v>3</v>
      </c>
      <c r="F595">
        <v>47</v>
      </c>
      <c r="G595">
        <v>1065</v>
      </c>
      <c r="H595">
        <v>11</v>
      </c>
      <c r="I595">
        <v>0</v>
      </c>
      <c r="J595">
        <v>2</v>
      </c>
      <c r="K595">
        <v>1.65</v>
      </c>
      <c r="L595">
        <v>0.93</v>
      </c>
      <c r="M595">
        <v>46</v>
      </c>
      <c r="N595">
        <v>139</v>
      </c>
      <c r="O595" t="s">
        <v>870</v>
      </c>
      <c r="P595">
        <f t="shared" si="28"/>
        <v>0.13943661971830987</v>
      </c>
      <c r="Q595">
        <f t="shared" si="29"/>
        <v>7.8591549295774651E-2</v>
      </c>
    </row>
    <row r="596" spans="1:17" x14ac:dyDescent="0.25">
      <c r="A596" t="str">
        <f t="shared" si="27"/>
        <v>Callum Wilson</v>
      </c>
      <c r="B596" t="s">
        <v>227</v>
      </c>
      <c r="C596" t="s">
        <v>228</v>
      </c>
      <c r="D596">
        <v>15</v>
      </c>
      <c r="E596">
        <v>4</v>
      </c>
      <c r="F596">
        <v>69</v>
      </c>
      <c r="G596">
        <v>355</v>
      </c>
      <c r="H596">
        <v>2</v>
      </c>
      <c r="I596">
        <v>0</v>
      </c>
      <c r="J596">
        <v>0</v>
      </c>
      <c r="K596">
        <v>0.36</v>
      </c>
      <c r="L596">
        <v>0.09</v>
      </c>
      <c r="M596">
        <v>19</v>
      </c>
      <c r="N596">
        <v>42</v>
      </c>
      <c r="O596" t="s">
        <v>228</v>
      </c>
      <c r="P596">
        <f t="shared" si="28"/>
        <v>9.1267605633802804E-2</v>
      </c>
      <c r="Q596">
        <f t="shared" si="29"/>
        <v>2.2816901408450701E-2</v>
      </c>
    </row>
    <row r="597" spans="1:17" x14ac:dyDescent="0.25">
      <c r="A597" t="str">
        <f t="shared" si="27"/>
        <v>Miodrag Pivaš</v>
      </c>
      <c r="B597" t="s">
        <v>2302</v>
      </c>
      <c r="C597" t="s">
        <v>2303</v>
      </c>
      <c r="D597">
        <v>15</v>
      </c>
      <c r="E597">
        <v>2</v>
      </c>
      <c r="F597">
        <v>40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2747</v>
      </c>
      <c r="P597">
        <f t="shared" si="28"/>
        <v>0</v>
      </c>
      <c r="Q597">
        <f t="shared" si="29"/>
        <v>0</v>
      </c>
    </row>
    <row r="598" spans="1:17" x14ac:dyDescent="0.25">
      <c r="A598" t="str">
        <f t="shared" si="27"/>
        <v>William Osula</v>
      </c>
      <c r="B598" t="s">
        <v>30</v>
      </c>
      <c r="C598" t="s">
        <v>877</v>
      </c>
      <c r="D598">
        <v>15</v>
      </c>
      <c r="E598">
        <v>4</v>
      </c>
      <c r="F598">
        <v>49</v>
      </c>
      <c r="G598">
        <v>124</v>
      </c>
      <c r="H598">
        <v>0</v>
      </c>
      <c r="I598">
        <v>1</v>
      </c>
      <c r="J598">
        <v>0</v>
      </c>
      <c r="K598">
        <v>0.16</v>
      </c>
      <c r="L598">
        <v>0.05</v>
      </c>
      <c r="M598">
        <v>19</v>
      </c>
      <c r="N598">
        <v>59</v>
      </c>
      <c r="O598" t="s">
        <v>877</v>
      </c>
      <c r="P598">
        <f t="shared" si="28"/>
        <v>0.11612903225806452</v>
      </c>
      <c r="Q598">
        <f t="shared" si="29"/>
        <v>3.6290322580645164E-2</v>
      </c>
    </row>
    <row r="599" spans="1:17" x14ac:dyDescent="0.25">
      <c r="A599" t="str">
        <f t="shared" si="27"/>
        <v>Eddie Howe</v>
      </c>
      <c r="B599" t="s">
        <v>456</v>
      </c>
      <c r="C599" t="s">
        <v>2304</v>
      </c>
      <c r="D599">
        <v>15</v>
      </c>
      <c r="E599">
        <v>5</v>
      </c>
      <c r="F599">
        <v>15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97</v>
      </c>
      <c r="N599">
        <v>0</v>
      </c>
      <c r="O599" t="s">
        <v>2304</v>
      </c>
      <c r="P599">
        <f t="shared" si="28"/>
        <v>0</v>
      </c>
      <c r="Q599">
        <f t="shared" si="29"/>
        <v>0</v>
      </c>
    </row>
    <row r="600" spans="1:17" x14ac:dyDescent="0.25">
      <c r="A600" t="str">
        <f t="shared" si="27"/>
        <v>Sean Neave</v>
      </c>
      <c r="B600" t="s">
        <v>673</v>
      </c>
      <c r="C600" t="s">
        <v>878</v>
      </c>
      <c r="D600">
        <v>15</v>
      </c>
      <c r="E600">
        <v>4</v>
      </c>
      <c r="F600">
        <v>45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878</v>
      </c>
      <c r="P600">
        <f t="shared" si="28"/>
        <v>0</v>
      </c>
      <c r="Q600">
        <f t="shared" si="29"/>
        <v>0</v>
      </c>
    </row>
    <row r="601" spans="1:17" x14ac:dyDescent="0.25">
      <c r="A601" t="str">
        <f t="shared" si="27"/>
        <v>Álex Moreno Lopera</v>
      </c>
      <c r="B601" t="s">
        <v>2305</v>
      </c>
      <c r="C601" t="s">
        <v>1301</v>
      </c>
      <c r="D601">
        <v>16</v>
      </c>
      <c r="E601">
        <v>2</v>
      </c>
      <c r="F601">
        <v>42</v>
      </c>
      <c r="G601">
        <v>952</v>
      </c>
      <c r="H601">
        <v>11</v>
      </c>
      <c r="I601">
        <v>0</v>
      </c>
      <c r="J601">
        <v>1</v>
      </c>
      <c r="K601">
        <v>0.17</v>
      </c>
      <c r="L601">
        <v>1.1000000000000001</v>
      </c>
      <c r="M601">
        <v>34</v>
      </c>
      <c r="N601">
        <v>126</v>
      </c>
      <c r="O601" t="s">
        <v>2748</v>
      </c>
      <c r="P601">
        <f t="shared" si="28"/>
        <v>1.607142857142857E-2</v>
      </c>
      <c r="Q601">
        <f t="shared" si="29"/>
        <v>0.10399159663865547</v>
      </c>
    </row>
    <row r="602" spans="1:17" x14ac:dyDescent="0.25">
      <c r="A602" t="str">
        <f t="shared" si="27"/>
        <v>Ola Aina</v>
      </c>
      <c r="B602" t="s">
        <v>895</v>
      </c>
      <c r="C602" t="s">
        <v>896</v>
      </c>
      <c r="D602">
        <v>16</v>
      </c>
      <c r="E602">
        <v>2</v>
      </c>
      <c r="F602">
        <v>53</v>
      </c>
      <c r="G602">
        <v>2996</v>
      </c>
      <c r="H602">
        <v>35</v>
      </c>
      <c r="I602">
        <v>2</v>
      </c>
      <c r="J602">
        <v>1</v>
      </c>
      <c r="K602">
        <v>0.63</v>
      </c>
      <c r="L602">
        <v>2.25</v>
      </c>
      <c r="M602">
        <v>128</v>
      </c>
      <c r="N602">
        <v>483</v>
      </c>
      <c r="O602" t="s">
        <v>896</v>
      </c>
      <c r="P602">
        <f t="shared" si="28"/>
        <v>1.8925233644859814E-2</v>
      </c>
      <c r="Q602">
        <f t="shared" si="29"/>
        <v>6.7590120160213624E-2</v>
      </c>
    </row>
    <row r="603" spans="1:17" x14ac:dyDescent="0.25">
      <c r="A603" t="str">
        <f t="shared" si="27"/>
        <v>Elliot Anderson</v>
      </c>
      <c r="B603" t="s">
        <v>594</v>
      </c>
      <c r="C603" t="s">
        <v>792</v>
      </c>
      <c r="D603">
        <v>16</v>
      </c>
      <c r="E603">
        <v>3</v>
      </c>
      <c r="F603">
        <v>50</v>
      </c>
      <c r="G603">
        <v>2726</v>
      </c>
      <c r="H603">
        <v>33</v>
      </c>
      <c r="I603">
        <v>2</v>
      </c>
      <c r="J603">
        <v>6</v>
      </c>
      <c r="K603">
        <v>2.04</v>
      </c>
      <c r="L603">
        <v>3.51</v>
      </c>
      <c r="M603">
        <v>107</v>
      </c>
      <c r="N603">
        <v>526</v>
      </c>
      <c r="O603" t="s">
        <v>792</v>
      </c>
      <c r="P603">
        <f t="shared" si="28"/>
        <v>6.7351430667644901E-2</v>
      </c>
      <c r="Q603">
        <f t="shared" si="29"/>
        <v>0.11588407923697724</v>
      </c>
    </row>
    <row r="604" spans="1:17" x14ac:dyDescent="0.25">
      <c r="A604" t="str">
        <f t="shared" si="27"/>
        <v>Taiwo Awoniyi</v>
      </c>
      <c r="B604" t="s">
        <v>405</v>
      </c>
      <c r="C604" t="s">
        <v>406</v>
      </c>
      <c r="D604">
        <v>16</v>
      </c>
      <c r="E604">
        <v>4</v>
      </c>
      <c r="F604">
        <v>55</v>
      </c>
      <c r="G604">
        <v>398</v>
      </c>
      <c r="H604">
        <v>3</v>
      </c>
      <c r="I604">
        <v>1</v>
      </c>
      <c r="J604">
        <v>0</v>
      </c>
      <c r="K604">
        <v>2.15</v>
      </c>
      <c r="L604">
        <v>0.12</v>
      </c>
      <c r="M604">
        <v>32</v>
      </c>
      <c r="N604">
        <v>89</v>
      </c>
      <c r="O604" t="s">
        <v>406</v>
      </c>
      <c r="P604">
        <f t="shared" si="28"/>
        <v>0.48618090452261303</v>
      </c>
      <c r="Q604">
        <f t="shared" si="29"/>
        <v>2.7135678391959794E-2</v>
      </c>
    </row>
    <row r="605" spans="1:17" x14ac:dyDescent="0.25">
      <c r="A605" t="str">
        <f t="shared" si="27"/>
        <v>Willy Boly</v>
      </c>
      <c r="B605" t="s">
        <v>1834</v>
      </c>
      <c r="C605" t="s">
        <v>1878</v>
      </c>
      <c r="D605">
        <v>16</v>
      </c>
      <c r="E605">
        <v>2</v>
      </c>
      <c r="F605">
        <v>42</v>
      </c>
      <c r="G605">
        <v>146</v>
      </c>
      <c r="H605">
        <v>1</v>
      </c>
      <c r="I605">
        <v>0</v>
      </c>
      <c r="J605">
        <v>0</v>
      </c>
      <c r="K605">
        <v>7.0000000000000007E-2</v>
      </c>
      <c r="L605">
        <v>0</v>
      </c>
      <c r="M605">
        <v>6</v>
      </c>
      <c r="N605">
        <v>26</v>
      </c>
      <c r="O605" t="s">
        <v>1878</v>
      </c>
      <c r="P605">
        <f t="shared" si="28"/>
        <v>4.3150684931506852E-2</v>
      </c>
      <c r="Q605">
        <f t="shared" si="29"/>
        <v>0</v>
      </c>
    </row>
    <row r="606" spans="1:17" x14ac:dyDescent="0.25">
      <c r="A606" t="str">
        <f t="shared" si="27"/>
        <v>Josh Bowler</v>
      </c>
      <c r="B606" t="s">
        <v>219</v>
      </c>
      <c r="C606" t="s">
        <v>1879</v>
      </c>
      <c r="D606">
        <v>16</v>
      </c>
      <c r="E606">
        <v>3</v>
      </c>
      <c r="F606">
        <v>45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1879</v>
      </c>
      <c r="P606">
        <f t="shared" si="28"/>
        <v>0</v>
      </c>
      <c r="Q606">
        <f t="shared" si="29"/>
        <v>0</v>
      </c>
    </row>
    <row r="607" spans="1:17" x14ac:dyDescent="0.25">
      <c r="A607" t="str">
        <f t="shared" si="27"/>
        <v>Carlos Miguel dos Santos Pereira</v>
      </c>
      <c r="B607" t="s">
        <v>2306</v>
      </c>
      <c r="C607" t="s">
        <v>2307</v>
      </c>
      <c r="D607">
        <v>16</v>
      </c>
      <c r="E607">
        <v>1</v>
      </c>
      <c r="F607">
        <v>41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2749</v>
      </c>
      <c r="P607">
        <f t="shared" si="28"/>
        <v>0</v>
      </c>
      <c r="Q607">
        <f t="shared" si="29"/>
        <v>0</v>
      </c>
    </row>
    <row r="608" spans="1:17" x14ac:dyDescent="0.25">
      <c r="A608" t="str">
        <f t="shared" si="27"/>
        <v>Eric da Silva Moreira</v>
      </c>
      <c r="B608" t="s">
        <v>1798</v>
      </c>
      <c r="C608" t="s">
        <v>1555</v>
      </c>
      <c r="D608">
        <v>16</v>
      </c>
      <c r="E608">
        <v>3</v>
      </c>
      <c r="F608">
        <v>43</v>
      </c>
      <c r="G608">
        <v>28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9</v>
      </c>
      <c r="O608" t="s">
        <v>2750</v>
      </c>
      <c r="P608">
        <f t="shared" si="28"/>
        <v>0</v>
      </c>
      <c r="Q608">
        <f t="shared" si="29"/>
        <v>0</v>
      </c>
    </row>
    <row r="609" spans="1:17" x14ac:dyDescent="0.25">
      <c r="A609" t="str">
        <f t="shared" si="27"/>
        <v>Danilo dos Santos de Oliveira</v>
      </c>
      <c r="B609" t="s">
        <v>1881</v>
      </c>
      <c r="C609" t="s">
        <v>1882</v>
      </c>
      <c r="D609">
        <v>16</v>
      </c>
      <c r="E609">
        <v>3</v>
      </c>
      <c r="F609">
        <v>47</v>
      </c>
      <c r="G609">
        <v>270</v>
      </c>
      <c r="H609">
        <v>5</v>
      </c>
      <c r="I609">
        <v>0</v>
      </c>
      <c r="J609">
        <v>0</v>
      </c>
      <c r="K609">
        <v>0</v>
      </c>
      <c r="L609">
        <v>0.01</v>
      </c>
      <c r="M609">
        <v>11</v>
      </c>
      <c r="N609">
        <v>43</v>
      </c>
      <c r="O609" t="s">
        <v>1881</v>
      </c>
      <c r="P609">
        <f t="shared" si="28"/>
        <v>0</v>
      </c>
      <c r="Q609">
        <f t="shared" si="29"/>
        <v>3.3333333333333331E-3</v>
      </c>
    </row>
    <row r="610" spans="1:17" x14ac:dyDescent="0.25">
      <c r="A610" t="str">
        <f t="shared" si="27"/>
        <v>Emmanuel Dennis</v>
      </c>
      <c r="B610" t="s">
        <v>344</v>
      </c>
      <c r="C610" t="s">
        <v>134</v>
      </c>
      <c r="D610">
        <v>16</v>
      </c>
      <c r="E610">
        <v>4</v>
      </c>
      <c r="F610">
        <v>49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134</v>
      </c>
      <c r="P610">
        <f t="shared" si="28"/>
        <v>0</v>
      </c>
      <c r="Q610">
        <f t="shared" si="29"/>
        <v>0</v>
      </c>
    </row>
    <row r="611" spans="1:17" x14ac:dyDescent="0.25">
      <c r="A611" t="str">
        <f t="shared" si="27"/>
        <v>Nicolás Domínguez</v>
      </c>
      <c r="B611" t="s">
        <v>914</v>
      </c>
      <c r="C611" t="s">
        <v>915</v>
      </c>
      <c r="D611">
        <v>16</v>
      </c>
      <c r="E611">
        <v>3</v>
      </c>
      <c r="F611">
        <v>48</v>
      </c>
      <c r="G611">
        <v>1954</v>
      </c>
      <c r="H611">
        <v>23</v>
      </c>
      <c r="I611">
        <v>0</v>
      </c>
      <c r="J611">
        <v>1</v>
      </c>
      <c r="K611">
        <v>1.58</v>
      </c>
      <c r="L611">
        <v>1.58</v>
      </c>
      <c r="M611">
        <v>54</v>
      </c>
      <c r="N611">
        <v>292</v>
      </c>
      <c r="O611" t="s">
        <v>2751</v>
      </c>
      <c r="P611">
        <f t="shared" si="28"/>
        <v>7.2773797338792232E-2</v>
      </c>
      <c r="Q611">
        <f t="shared" si="29"/>
        <v>7.2773797338792232E-2</v>
      </c>
    </row>
    <row r="612" spans="1:17" x14ac:dyDescent="0.25">
      <c r="A612" t="str">
        <f t="shared" si="27"/>
        <v>Anthony Elanga</v>
      </c>
      <c r="B612" t="s">
        <v>222</v>
      </c>
      <c r="C612" t="s">
        <v>865</v>
      </c>
      <c r="D612">
        <v>16</v>
      </c>
      <c r="E612">
        <v>3</v>
      </c>
      <c r="F612">
        <v>55</v>
      </c>
      <c r="G612">
        <v>2496</v>
      </c>
      <c r="H612">
        <v>31</v>
      </c>
      <c r="I612">
        <v>6</v>
      </c>
      <c r="J612">
        <v>11</v>
      </c>
      <c r="K612">
        <v>4.8099999999999996</v>
      </c>
      <c r="L612">
        <v>5.12</v>
      </c>
      <c r="M612">
        <v>153</v>
      </c>
      <c r="N612">
        <v>535</v>
      </c>
      <c r="O612" t="s">
        <v>865</v>
      </c>
      <c r="P612">
        <f t="shared" si="28"/>
        <v>0.17343749999999999</v>
      </c>
      <c r="Q612">
        <f t="shared" si="29"/>
        <v>0.18461538461538463</v>
      </c>
    </row>
    <row r="613" spans="1:17" x14ac:dyDescent="0.25">
      <c r="A613" t="str">
        <f t="shared" si="27"/>
        <v>Morgan Gibbs-White</v>
      </c>
      <c r="B613" t="s">
        <v>287</v>
      </c>
      <c r="C613" t="s">
        <v>906</v>
      </c>
      <c r="D613">
        <v>16</v>
      </c>
      <c r="E613">
        <v>3</v>
      </c>
      <c r="F613">
        <v>65</v>
      </c>
      <c r="G613">
        <v>2806</v>
      </c>
      <c r="H613">
        <v>34</v>
      </c>
      <c r="I613">
        <v>7</v>
      </c>
      <c r="J613">
        <v>11</v>
      </c>
      <c r="K613">
        <v>6.31</v>
      </c>
      <c r="L613">
        <v>4.68</v>
      </c>
      <c r="M613">
        <v>154</v>
      </c>
      <c r="N613">
        <v>594</v>
      </c>
      <c r="O613" t="s">
        <v>906</v>
      </c>
      <c r="P613">
        <f t="shared" si="28"/>
        <v>0.20238774055595152</v>
      </c>
      <c r="Q613">
        <f t="shared" si="29"/>
        <v>0.15010691375623661</v>
      </c>
    </row>
    <row r="614" spans="1:17" x14ac:dyDescent="0.25">
      <c r="A614" t="str">
        <f t="shared" si="27"/>
        <v>Callum Hudson-Odoi</v>
      </c>
      <c r="B614" t="s">
        <v>227</v>
      </c>
      <c r="C614" t="s">
        <v>907</v>
      </c>
      <c r="D614">
        <v>16</v>
      </c>
      <c r="E614">
        <v>3</v>
      </c>
      <c r="F614">
        <v>51</v>
      </c>
      <c r="G614">
        <v>2190</v>
      </c>
      <c r="H614">
        <v>25</v>
      </c>
      <c r="I614">
        <v>5</v>
      </c>
      <c r="J614">
        <v>3</v>
      </c>
      <c r="K614">
        <v>2.52</v>
      </c>
      <c r="L614">
        <v>2.54</v>
      </c>
      <c r="M614">
        <v>103</v>
      </c>
      <c r="N614">
        <v>454</v>
      </c>
      <c r="O614" t="s">
        <v>907</v>
      </c>
      <c r="P614">
        <f t="shared" si="28"/>
        <v>0.10356164383561645</v>
      </c>
      <c r="Q614">
        <f t="shared" si="29"/>
        <v>0.10438356164383562</v>
      </c>
    </row>
    <row r="615" spans="1:17" x14ac:dyDescent="0.25">
      <c r="A615" t="str">
        <f t="shared" si="27"/>
        <v>Alex Mighten</v>
      </c>
      <c r="B615" t="s">
        <v>153</v>
      </c>
      <c r="C615" t="s">
        <v>1899</v>
      </c>
      <c r="D615">
        <v>16</v>
      </c>
      <c r="E615">
        <v>3</v>
      </c>
      <c r="F615">
        <v>45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1899</v>
      </c>
      <c r="P615">
        <f t="shared" si="28"/>
        <v>0</v>
      </c>
      <c r="Q615">
        <f t="shared" si="29"/>
        <v>0</v>
      </c>
    </row>
    <row r="616" spans="1:17" x14ac:dyDescent="0.25">
      <c r="A616" t="str">
        <f t="shared" si="27"/>
        <v>Murillo Santiago Costa dos Santos</v>
      </c>
      <c r="B616" t="s">
        <v>893</v>
      </c>
      <c r="C616" t="s">
        <v>1917</v>
      </c>
      <c r="D616">
        <v>16</v>
      </c>
      <c r="E616">
        <v>2</v>
      </c>
      <c r="F616">
        <v>47</v>
      </c>
      <c r="G616">
        <v>3188</v>
      </c>
      <c r="H616">
        <v>36</v>
      </c>
      <c r="I616">
        <v>2</v>
      </c>
      <c r="J616">
        <v>0</v>
      </c>
      <c r="K616">
        <v>1.47</v>
      </c>
      <c r="L616">
        <v>1.1499999999999999</v>
      </c>
      <c r="M616">
        <v>130</v>
      </c>
      <c r="N616">
        <v>541</v>
      </c>
      <c r="O616" t="s">
        <v>893</v>
      </c>
      <c r="P616">
        <f t="shared" si="28"/>
        <v>4.1499372647427854E-2</v>
      </c>
      <c r="Q616">
        <f t="shared" si="29"/>
        <v>3.2465495608531993E-2</v>
      </c>
    </row>
    <row r="617" spans="1:17" x14ac:dyDescent="0.25">
      <c r="A617" t="str">
        <f t="shared" si="27"/>
        <v>Neco Williams</v>
      </c>
      <c r="B617" t="s">
        <v>887</v>
      </c>
      <c r="C617" t="s">
        <v>888</v>
      </c>
      <c r="D617">
        <v>16</v>
      </c>
      <c r="E617">
        <v>2</v>
      </c>
      <c r="F617">
        <v>45</v>
      </c>
      <c r="G617">
        <v>2588</v>
      </c>
      <c r="H617">
        <v>28</v>
      </c>
      <c r="I617">
        <v>1</v>
      </c>
      <c r="J617">
        <v>3</v>
      </c>
      <c r="K617">
        <v>2.29</v>
      </c>
      <c r="L617">
        <v>1.54</v>
      </c>
      <c r="M617">
        <v>109</v>
      </c>
      <c r="N617">
        <v>435</v>
      </c>
      <c r="O617" t="s">
        <v>2752</v>
      </c>
      <c r="P617">
        <f t="shared" si="28"/>
        <v>7.9636785162287477E-2</v>
      </c>
      <c r="Q617">
        <f t="shared" si="29"/>
        <v>5.3554868624420396E-2</v>
      </c>
    </row>
    <row r="618" spans="1:17" x14ac:dyDescent="0.25">
      <c r="A618" t="str">
        <f t="shared" si="27"/>
        <v>Omar Richards</v>
      </c>
      <c r="B618" t="s">
        <v>774</v>
      </c>
      <c r="C618" t="s">
        <v>419</v>
      </c>
      <c r="D618">
        <v>16</v>
      </c>
      <c r="E618">
        <v>2</v>
      </c>
      <c r="F618">
        <v>45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2753</v>
      </c>
      <c r="P618">
        <f t="shared" si="28"/>
        <v>0</v>
      </c>
      <c r="Q618">
        <f t="shared" si="29"/>
        <v>0</v>
      </c>
    </row>
    <row r="619" spans="1:17" x14ac:dyDescent="0.25">
      <c r="A619" t="str">
        <f t="shared" si="27"/>
        <v>Lewis O'Brien</v>
      </c>
      <c r="B619" t="s">
        <v>157</v>
      </c>
      <c r="C619" t="s">
        <v>479</v>
      </c>
      <c r="D619">
        <v>16</v>
      </c>
      <c r="E619">
        <v>3</v>
      </c>
      <c r="F619">
        <v>50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479</v>
      </c>
      <c r="P619">
        <f t="shared" si="28"/>
        <v>0</v>
      </c>
      <c r="Q619">
        <f t="shared" si="29"/>
        <v>0</v>
      </c>
    </row>
    <row r="620" spans="1:17" x14ac:dyDescent="0.25">
      <c r="A620" t="str">
        <f t="shared" si="27"/>
        <v>Andrew Omobamidele</v>
      </c>
      <c r="B620" t="s">
        <v>945</v>
      </c>
      <c r="C620" t="s">
        <v>1920</v>
      </c>
      <c r="D620">
        <v>16</v>
      </c>
      <c r="E620">
        <v>2</v>
      </c>
      <c r="F620">
        <v>42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1920</v>
      </c>
      <c r="P620">
        <f t="shared" si="28"/>
        <v>0</v>
      </c>
      <c r="Q620">
        <f t="shared" si="29"/>
        <v>0</v>
      </c>
    </row>
    <row r="621" spans="1:17" x14ac:dyDescent="0.25">
      <c r="A621" t="str">
        <f t="shared" si="27"/>
        <v>Jonathan Panzo</v>
      </c>
      <c r="B621" t="s">
        <v>1903</v>
      </c>
      <c r="C621" t="s">
        <v>1904</v>
      </c>
      <c r="D621">
        <v>16</v>
      </c>
      <c r="E621">
        <v>2</v>
      </c>
      <c r="F621">
        <v>40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1904</v>
      </c>
      <c r="P621">
        <f t="shared" si="28"/>
        <v>0</v>
      </c>
      <c r="Q621">
        <f t="shared" si="29"/>
        <v>0</v>
      </c>
    </row>
    <row r="622" spans="1:17" x14ac:dyDescent="0.25">
      <c r="A622" t="str">
        <f t="shared" si="27"/>
        <v>Ibrahim Sangaré</v>
      </c>
      <c r="B622" t="s">
        <v>916</v>
      </c>
      <c r="C622" t="s">
        <v>230</v>
      </c>
      <c r="D622">
        <v>16</v>
      </c>
      <c r="E622">
        <v>3</v>
      </c>
      <c r="F622">
        <v>43</v>
      </c>
      <c r="G622">
        <v>584</v>
      </c>
      <c r="H622">
        <v>7</v>
      </c>
      <c r="I622">
        <v>0</v>
      </c>
      <c r="J622">
        <v>1</v>
      </c>
      <c r="K622">
        <v>0.02</v>
      </c>
      <c r="L622">
        <v>0.21</v>
      </c>
      <c r="M622">
        <v>20</v>
      </c>
      <c r="N622">
        <v>107</v>
      </c>
      <c r="O622" t="s">
        <v>230</v>
      </c>
      <c r="P622">
        <f t="shared" si="28"/>
        <v>3.0821917808219177E-3</v>
      </c>
      <c r="Q622">
        <f t="shared" si="29"/>
        <v>3.2363013698630136E-2</v>
      </c>
    </row>
    <row r="623" spans="1:17" x14ac:dyDescent="0.25">
      <c r="A623" t="str">
        <f t="shared" si="27"/>
        <v>Matz Sels</v>
      </c>
      <c r="B623" t="s">
        <v>883</v>
      </c>
      <c r="C623" t="s">
        <v>884</v>
      </c>
      <c r="D623">
        <v>16</v>
      </c>
      <c r="E623">
        <v>1</v>
      </c>
      <c r="F623">
        <v>52</v>
      </c>
      <c r="G623">
        <v>3420</v>
      </c>
      <c r="H623">
        <v>38</v>
      </c>
      <c r="I623">
        <v>0</v>
      </c>
      <c r="J623">
        <v>1</v>
      </c>
      <c r="K623">
        <v>0</v>
      </c>
      <c r="L623">
        <v>0.26</v>
      </c>
      <c r="M623">
        <v>150</v>
      </c>
      <c r="N623">
        <v>521</v>
      </c>
      <c r="O623" t="s">
        <v>884</v>
      </c>
      <c r="P623">
        <f t="shared" si="28"/>
        <v>0</v>
      </c>
      <c r="Q623">
        <f t="shared" si="29"/>
        <v>6.8421052631578959E-3</v>
      </c>
    </row>
    <row r="624" spans="1:17" x14ac:dyDescent="0.25">
      <c r="A624" t="str">
        <f t="shared" si="27"/>
        <v>Harry Toffolo</v>
      </c>
      <c r="B624" t="s">
        <v>270</v>
      </c>
      <c r="C624" t="s">
        <v>1910</v>
      </c>
      <c r="D624">
        <v>16</v>
      </c>
      <c r="E624">
        <v>2</v>
      </c>
      <c r="F624">
        <v>42</v>
      </c>
      <c r="G624">
        <v>135</v>
      </c>
      <c r="H624">
        <v>1</v>
      </c>
      <c r="I624">
        <v>0</v>
      </c>
      <c r="J624">
        <v>0</v>
      </c>
      <c r="K624">
        <v>0.02</v>
      </c>
      <c r="L624">
        <v>0.01</v>
      </c>
      <c r="M624">
        <v>4</v>
      </c>
      <c r="N624">
        <v>18</v>
      </c>
      <c r="O624" t="s">
        <v>1910</v>
      </c>
      <c r="P624">
        <f t="shared" si="28"/>
        <v>1.3333333333333332E-2</v>
      </c>
      <c r="Q624">
        <f t="shared" si="29"/>
        <v>6.6666666666666662E-3</v>
      </c>
    </row>
    <row r="625" spans="1:17" x14ac:dyDescent="0.25">
      <c r="A625" t="str">
        <f t="shared" si="27"/>
        <v>Hwang Ui-jo</v>
      </c>
      <c r="B625" t="s">
        <v>1911</v>
      </c>
      <c r="C625" t="s">
        <v>1912</v>
      </c>
      <c r="D625">
        <v>16</v>
      </c>
      <c r="E625">
        <v>4</v>
      </c>
      <c r="F625">
        <v>45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1912</v>
      </c>
      <c r="P625">
        <f t="shared" si="28"/>
        <v>0</v>
      </c>
      <c r="Q625">
        <f t="shared" si="29"/>
        <v>0</v>
      </c>
    </row>
    <row r="626" spans="1:17" x14ac:dyDescent="0.25">
      <c r="A626" t="str">
        <f t="shared" si="27"/>
        <v>Chris Wood</v>
      </c>
      <c r="B626" t="s">
        <v>418</v>
      </c>
      <c r="C626" t="s">
        <v>918</v>
      </c>
      <c r="D626">
        <v>16</v>
      </c>
      <c r="E626">
        <v>4</v>
      </c>
      <c r="F626">
        <v>72</v>
      </c>
      <c r="G626">
        <v>2958</v>
      </c>
      <c r="H626">
        <v>35</v>
      </c>
      <c r="I626">
        <v>20</v>
      </c>
      <c r="J626">
        <v>3</v>
      </c>
      <c r="K626">
        <v>13.42</v>
      </c>
      <c r="L626">
        <v>1.59</v>
      </c>
      <c r="M626">
        <v>200</v>
      </c>
      <c r="N626">
        <v>744</v>
      </c>
      <c r="O626" t="s">
        <v>918</v>
      </c>
      <c r="P626">
        <f t="shared" si="28"/>
        <v>0.40831643002028395</v>
      </c>
      <c r="Q626">
        <f t="shared" si="29"/>
        <v>4.8377281947261666E-2</v>
      </c>
    </row>
    <row r="627" spans="1:17" x14ac:dyDescent="0.25">
      <c r="A627" t="str">
        <f t="shared" si="27"/>
        <v>Joe Worrall</v>
      </c>
      <c r="B627" t="s">
        <v>585</v>
      </c>
      <c r="C627" t="s">
        <v>1913</v>
      </c>
      <c r="D627">
        <v>16</v>
      </c>
      <c r="E627">
        <v>2</v>
      </c>
      <c r="F627">
        <v>45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1913</v>
      </c>
      <c r="P627">
        <f t="shared" si="28"/>
        <v>0</v>
      </c>
      <c r="Q627">
        <f t="shared" si="29"/>
        <v>0</v>
      </c>
    </row>
    <row r="628" spans="1:17" x14ac:dyDescent="0.25">
      <c r="A628" t="str">
        <f t="shared" si="27"/>
        <v>Ryan Yates</v>
      </c>
      <c r="B628" t="s">
        <v>164</v>
      </c>
      <c r="C628" t="s">
        <v>917</v>
      </c>
      <c r="D628">
        <v>16</v>
      </c>
      <c r="E628">
        <v>3</v>
      </c>
      <c r="F628">
        <v>48</v>
      </c>
      <c r="G628">
        <v>1901</v>
      </c>
      <c r="H628">
        <v>18</v>
      </c>
      <c r="I628">
        <v>2</v>
      </c>
      <c r="J628">
        <v>2</v>
      </c>
      <c r="K628">
        <v>2.41</v>
      </c>
      <c r="L628">
        <v>0.47</v>
      </c>
      <c r="M628">
        <v>67</v>
      </c>
      <c r="N628">
        <v>306</v>
      </c>
      <c r="O628" t="s">
        <v>917</v>
      </c>
      <c r="P628">
        <f t="shared" si="28"/>
        <v>0.11409784324039979</v>
      </c>
      <c r="Q628">
        <f t="shared" si="29"/>
        <v>2.2251446607048923E-2</v>
      </c>
    </row>
    <row r="629" spans="1:17" x14ac:dyDescent="0.25">
      <c r="A629" t="str">
        <f t="shared" si="27"/>
        <v>Nikola Milenković</v>
      </c>
      <c r="B629" t="s">
        <v>891</v>
      </c>
      <c r="C629" t="s">
        <v>892</v>
      </c>
      <c r="D629">
        <v>16</v>
      </c>
      <c r="E629">
        <v>2</v>
      </c>
      <c r="F629">
        <v>52</v>
      </c>
      <c r="G629">
        <v>3330</v>
      </c>
      <c r="H629">
        <v>37</v>
      </c>
      <c r="I629">
        <v>5</v>
      </c>
      <c r="J629">
        <v>2</v>
      </c>
      <c r="K629">
        <v>4.05</v>
      </c>
      <c r="L629">
        <v>0.73</v>
      </c>
      <c r="M629">
        <v>145</v>
      </c>
      <c r="N629">
        <v>499</v>
      </c>
      <c r="O629" t="s">
        <v>892</v>
      </c>
      <c r="P629">
        <f t="shared" si="28"/>
        <v>0.10945945945945945</v>
      </c>
      <c r="Q629">
        <f t="shared" si="29"/>
        <v>1.9729729729729729E-2</v>
      </c>
    </row>
    <row r="630" spans="1:17" x14ac:dyDescent="0.25">
      <c r="A630" t="str">
        <f t="shared" si="27"/>
        <v>João Pedro Ferreira Silva</v>
      </c>
      <c r="B630" t="s">
        <v>246</v>
      </c>
      <c r="C630" t="s">
        <v>2308</v>
      </c>
      <c r="D630">
        <v>16</v>
      </c>
      <c r="E630">
        <v>3</v>
      </c>
      <c r="F630">
        <v>59</v>
      </c>
      <c r="G630">
        <v>835</v>
      </c>
      <c r="H630">
        <v>5</v>
      </c>
      <c r="I630">
        <v>3</v>
      </c>
      <c r="J630">
        <v>2</v>
      </c>
      <c r="K630">
        <v>2.13</v>
      </c>
      <c r="L630">
        <v>1.87</v>
      </c>
      <c r="M630">
        <v>52</v>
      </c>
      <c r="N630">
        <v>212</v>
      </c>
      <c r="O630" t="s">
        <v>2754</v>
      </c>
      <c r="P630">
        <f t="shared" si="28"/>
        <v>0.2295808383233533</v>
      </c>
      <c r="Q630">
        <f t="shared" si="29"/>
        <v>0.20155688622754492</v>
      </c>
    </row>
    <row r="631" spans="1:17" x14ac:dyDescent="0.25">
      <c r="A631" t="str">
        <f t="shared" si="27"/>
        <v>Ramón Sosa</v>
      </c>
      <c r="B631" t="s">
        <v>2309</v>
      </c>
      <c r="C631" t="s">
        <v>425</v>
      </c>
      <c r="D631">
        <v>16</v>
      </c>
      <c r="E631">
        <v>3</v>
      </c>
      <c r="F631">
        <v>55</v>
      </c>
      <c r="G631">
        <v>280</v>
      </c>
      <c r="H631">
        <v>1</v>
      </c>
      <c r="I631">
        <v>1</v>
      </c>
      <c r="J631">
        <v>0</v>
      </c>
      <c r="K631">
        <v>1.1100000000000001</v>
      </c>
      <c r="L631">
        <v>0.36</v>
      </c>
      <c r="M631">
        <v>25</v>
      </c>
      <c r="N631">
        <v>101</v>
      </c>
      <c r="O631" t="s">
        <v>425</v>
      </c>
      <c r="P631">
        <f t="shared" si="28"/>
        <v>0.35678571428571432</v>
      </c>
      <c r="Q631">
        <f t="shared" si="29"/>
        <v>0.11571428571428571</v>
      </c>
    </row>
    <row r="632" spans="1:17" x14ac:dyDescent="0.25">
      <c r="A632" t="str">
        <f t="shared" si="27"/>
        <v>Felipe Rodrigues da Silva</v>
      </c>
      <c r="B632" t="s">
        <v>889</v>
      </c>
      <c r="C632" t="s">
        <v>890</v>
      </c>
      <c r="D632">
        <v>16</v>
      </c>
      <c r="E632">
        <v>2</v>
      </c>
      <c r="F632">
        <v>45</v>
      </c>
      <c r="G632">
        <v>891</v>
      </c>
      <c r="H632">
        <v>6</v>
      </c>
      <c r="I632">
        <v>0</v>
      </c>
      <c r="J632">
        <v>0</v>
      </c>
      <c r="K632">
        <v>0.18</v>
      </c>
      <c r="L632">
        <v>0.03</v>
      </c>
      <c r="M632">
        <v>36</v>
      </c>
      <c r="N632">
        <v>125</v>
      </c>
      <c r="O632" t="s">
        <v>2755</v>
      </c>
      <c r="P632">
        <f t="shared" si="28"/>
        <v>1.8181818181818181E-2</v>
      </c>
      <c r="Q632">
        <f t="shared" si="29"/>
        <v>3.0303030303030303E-3</v>
      </c>
    </row>
    <row r="633" spans="1:17" x14ac:dyDescent="0.25">
      <c r="A633" t="str">
        <f t="shared" si="27"/>
        <v>Zach Abbott</v>
      </c>
      <c r="B633" t="s">
        <v>901</v>
      </c>
      <c r="C633" t="s">
        <v>902</v>
      </c>
      <c r="D633">
        <v>16</v>
      </c>
      <c r="E633">
        <v>2</v>
      </c>
      <c r="F633">
        <v>40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902</v>
      </c>
      <c r="P633">
        <f t="shared" si="28"/>
        <v>0</v>
      </c>
      <c r="Q633">
        <f t="shared" si="29"/>
        <v>0</v>
      </c>
    </row>
    <row r="634" spans="1:17" x14ac:dyDescent="0.25">
      <c r="A634" t="str">
        <f t="shared" si="27"/>
        <v>Wayne Hennessey</v>
      </c>
      <c r="B634" t="s">
        <v>1888</v>
      </c>
      <c r="C634" t="s">
        <v>1889</v>
      </c>
      <c r="D634">
        <v>16</v>
      </c>
      <c r="E634">
        <v>1</v>
      </c>
      <c r="F634">
        <v>40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1889</v>
      </c>
      <c r="P634">
        <f t="shared" si="28"/>
        <v>0</v>
      </c>
      <c r="Q634">
        <f t="shared" si="29"/>
        <v>0</v>
      </c>
    </row>
    <row r="635" spans="1:17" x14ac:dyDescent="0.25">
      <c r="A635" t="str">
        <f t="shared" si="27"/>
        <v>Nuno Herlander Simões Espírito Santo</v>
      </c>
      <c r="B635" t="s">
        <v>2310</v>
      </c>
      <c r="C635" t="s">
        <v>2311</v>
      </c>
      <c r="D635">
        <v>16</v>
      </c>
      <c r="E635">
        <v>5</v>
      </c>
      <c r="F635">
        <v>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78</v>
      </c>
      <c r="N635">
        <v>0</v>
      </c>
      <c r="O635" t="s">
        <v>1869</v>
      </c>
      <c r="P635">
        <f t="shared" si="28"/>
        <v>0</v>
      </c>
      <c r="Q635">
        <f t="shared" si="29"/>
        <v>0</v>
      </c>
    </row>
    <row r="636" spans="1:17" x14ac:dyDescent="0.25">
      <c r="A636" t="str">
        <f t="shared" si="27"/>
        <v>Aaron Ramsdale</v>
      </c>
      <c r="B636" t="s">
        <v>197</v>
      </c>
      <c r="C636" t="s">
        <v>1284</v>
      </c>
      <c r="D636">
        <v>17</v>
      </c>
      <c r="E636">
        <v>1</v>
      </c>
      <c r="F636">
        <v>44</v>
      </c>
      <c r="G636">
        <v>2700</v>
      </c>
      <c r="H636">
        <v>30</v>
      </c>
      <c r="I636">
        <v>0</v>
      </c>
      <c r="J636">
        <v>0</v>
      </c>
      <c r="K636">
        <v>0</v>
      </c>
      <c r="L636">
        <v>0.04</v>
      </c>
      <c r="M636">
        <v>97</v>
      </c>
      <c r="N636">
        <v>315</v>
      </c>
      <c r="O636" t="s">
        <v>1284</v>
      </c>
      <c r="P636">
        <f t="shared" si="28"/>
        <v>0</v>
      </c>
      <c r="Q636">
        <f t="shared" si="29"/>
        <v>1.3333333333333333E-3</v>
      </c>
    </row>
    <row r="637" spans="1:17" x14ac:dyDescent="0.25">
      <c r="A637" t="str">
        <f t="shared" si="27"/>
        <v>Cameron Archer</v>
      </c>
      <c r="B637" t="s">
        <v>1225</v>
      </c>
      <c r="C637" t="s">
        <v>1931</v>
      </c>
      <c r="D637">
        <v>17</v>
      </c>
      <c r="E637">
        <v>4</v>
      </c>
      <c r="F637">
        <v>48</v>
      </c>
      <c r="G637">
        <v>1421</v>
      </c>
      <c r="H637">
        <v>13</v>
      </c>
      <c r="I637">
        <v>2</v>
      </c>
      <c r="J637">
        <v>0</v>
      </c>
      <c r="K637">
        <v>5.71</v>
      </c>
      <c r="L637">
        <v>0.72</v>
      </c>
      <c r="M637">
        <v>57</v>
      </c>
      <c r="N637">
        <v>145</v>
      </c>
      <c r="O637" t="s">
        <v>1931</v>
      </c>
      <c r="P637">
        <f t="shared" si="28"/>
        <v>0.3616467276565799</v>
      </c>
      <c r="Q637">
        <f t="shared" si="29"/>
        <v>4.5601688951442648E-2</v>
      </c>
    </row>
    <row r="638" spans="1:17" x14ac:dyDescent="0.25">
      <c r="A638" t="str">
        <f t="shared" si="27"/>
        <v>Lesley Ugochukwu</v>
      </c>
      <c r="B638" t="s">
        <v>1547</v>
      </c>
      <c r="C638" t="s">
        <v>1548</v>
      </c>
      <c r="D638">
        <v>17</v>
      </c>
      <c r="E638">
        <v>3</v>
      </c>
      <c r="F638">
        <v>44</v>
      </c>
      <c r="G638">
        <v>1652</v>
      </c>
      <c r="H638">
        <v>18</v>
      </c>
      <c r="I638">
        <v>1</v>
      </c>
      <c r="J638">
        <v>1</v>
      </c>
      <c r="K638">
        <v>0.85</v>
      </c>
      <c r="L638">
        <v>0.62</v>
      </c>
      <c r="M638">
        <v>47</v>
      </c>
      <c r="N638">
        <v>209</v>
      </c>
      <c r="O638" t="s">
        <v>1548</v>
      </c>
      <c r="P638">
        <f t="shared" si="28"/>
        <v>4.630750605326877E-2</v>
      </c>
      <c r="Q638">
        <f t="shared" si="29"/>
        <v>3.3777239709443095E-2</v>
      </c>
    </row>
    <row r="639" spans="1:17" x14ac:dyDescent="0.25">
      <c r="A639" t="str">
        <f t="shared" si="27"/>
        <v>Ryan Fraser</v>
      </c>
      <c r="B639" t="s">
        <v>164</v>
      </c>
      <c r="C639" t="s">
        <v>131</v>
      </c>
      <c r="D639">
        <v>17</v>
      </c>
      <c r="E639">
        <v>3</v>
      </c>
      <c r="F639">
        <v>48</v>
      </c>
      <c r="G639">
        <v>303</v>
      </c>
      <c r="H639">
        <v>4</v>
      </c>
      <c r="I639">
        <v>0</v>
      </c>
      <c r="J639">
        <v>0</v>
      </c>
      <c r="K639">
        <v>0.02</v>
      </c>
      <c r="L639">
        <v>0.1</v>
      </c>
      <c r="M639">
        <v>7</v>
      </c>
      <c r="N639">
        <v>31</v>
      </c>
      <c r="O639" t="s">
        <v>131</v>
      </c>
      <c r="P639">
        <f t="shared" si="28"/>
        <v>5.9405940594059398E-3</v>
      </c>
      <c r="Q639">
        <f t="shared" si="29"/>
        <v>2.9702970297029702E-2</v>
      </c>
    </row>
    <row r="640" spans="1:17" x14ac:dyDescent="0.25">
      <c r="A640" t="str">
        <f t="shared" si="27"/>
        <v>Samuel Amo-Ameyaw</v>
      </c>
      <c r="B640" t="s">
        <v>109</v>
      </c>
      <c r="C640" t="s">
        <v>2312</v>
      </c>
      <c r="D640">
        <v>17</v>
      </c>
      <c r="E640">
        <v>3</v>
      </c>
      <c r="F640">
        <v>44</v>
      </c>
      <c r="G640">
        <v>26</v>
      </c>
      <c r="H640">
        <v>0</v>
      </c>
      <c r="I640">
        <v>0</v>
      </c>
      <c r="J640">
        <v>0</v>
      </c>
      <c r="K640">
        <v>0.02</v>
      </c>
      <c r="L640">
        <v>0.13</v>
      </c>
      <c r="M640">
        <v>1</v>
      </c>
      <c r="N640">
        <v>1</v>
      </c>
      <c r="O640" t="s">
        <v>2312</v>
      </c>
      <c r="P640">
        <f t="shared" si="28"/>
        <v>6.9230769230769235E-2</v>
      </c>
      <c r="Q640">
        <f t="shared" si="29"/>
        <v>0.45</v>
      </c>
    </row>
    <row r="641" spans="1:17" x14ac:dyDescent="0.25">
      <c r="A641" t="str">
        <f t="shared" si="27"/>
        <v>Joe Aribo</v>
      </c>
      <c r="B641" t="s">
        <v>585</v>
      </c>
      <c r="C641" t="s">
        <v>2313</v>
      </c>
      <c r="D641">
        <v>17</v>
      </c>
      <c r="E641">
        <v>3</v>
      </c>
      <c r="F641">
        <v>49</v>
      </c>
      <c r="G641">
        <v>2007</v>
      </c>
      <c r="H641">
        <v>21</v>
      </c>
      <c r="I641">
        <v>3</v>
      </c>
      <c r="J641">
        <v>0</v>
      </c>
      <c r="K641">
        <v>2.69</v>
      </c>
      <c r="L641">
        <v>1.23</v>
      </c>
      <c r="M641">
        <v>72</v>
      </c>
      <c r="N641">
        <v>394</v>
      </c>
      <c r="O641" t="s">
        <v>2313</v>
      </c>
      <c r="P641">
        <f t="shared" si="28"/>
        <v>0.12062780269058297</v>
      </c>
      <c r="Q641">
        <f t="shared" si="29"/>
        <v>5.5156950672645741E-2</v>
      </c>
    </row>
    <row r="642" spans="1:17" x14ac:dyDescent="0.25">
      <c r="A642" t="str">
        <f t="shared" ref="A642:A705" si="30">_xlfn.CONCAT(B642, " ", C642)</f>
        <v>Adam Armstrong</v>
      </c>
      <c r="B642" t="s">
        <v>143</v>
      </c>
      <c r="C642" t="s">
        <v>494</v>
      </c>
      <c r="D642">
        <v>17</v>
      </c>
      <c r="E642">
        <v>4</v>
      </c>
      <c r="F642">
        <v>51</v>
      </c>
      <c r="G642">
        <v>1246</v>
      </c>
      <c r="H642">
        <v>15</v>
      </c>
      <c r="I642">
        <v>2</v>
      </c>
      <c r="J642">
        <v>3</v>
      </c>
      <c r="K642">
        <v>3.28</v>
      </c>
      <c r="L642">
        <v>0.56000000000000005</v>
      </c>
      <c r="M642">
        <v>45</v>
      </c>
      <c r="N642">
        <v>145</v>
      </c>
      <c r="O642" t="s">
        <v>494</v>
      </c>
      <c r="P642">
        <f t="shared" ref="P642:P705" si="31">IFERROR(K642/G642*90,0)</f>
        <v>0.23691813804173353</v>
      </c>
      <c r="Q642">
        <f t="shared" ref="Q642:Q705" si="32">IFERROR(L642/G642*90,0)</f>
        <v>4.0449438202247195E-2</v>
      </c>
    </row>
    <row r="643" spans="1:17" x14ac:dyDescent="0.25">
      <c r="A643" t="str">
        <f t="shared" si="30"/>
        <v>Gavin Bazunu</v>
      </c>
      <c r="B643" t="s">
        <v>1350</v>
      </c>
      <c r="C643" t="s">
        <v>2314</v>
      </c>
      <c r="D643">
        <v>17</v>
      </c>
      <c r="E643">
        <v>1</v>
      </c>
      <c r="F643">
        <v>43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2314</v>
      </c>
      <c r="P643">
        <f t="shared" si="31"/>
        <v>0</v>
      </c>
      <c r="Q643">
        <f t="shared" si="32"/>
        <v>0</v>
      </c>
    </row>
    <row r="644" spans="1:17" x14ac:dyDescent="0.25">
      <c r="A644" t="str">
        <f t="shared" si="30"/>
        <v>Jan Bednarek</v>
      </c>
      <c r="B644" t="s">
        <v>2315</v>
      </c>
      <c r="C644" t="s">
        <v>2316</v>
      </c>
      <c r="D644">
        <v>17</v>
      </c>
      <c r="E644">
        <v>2</v>
      </c>
      <c r="F644">
        <v>40</v>
      </c>
      <c r="G644">
        <v>2531</v>
      </c>
      <c r="H644">
        <v>30</v>
      </c>
      <c r="I644">
        <v>2</v>
      </c>
      <c r="J644">
        <v>0</v>
      </c>
      <c r="K644">
        <v>0.65</v>
      </c>
      <c r="L644">
        <v>0.84</v>
      </c>
      <c r="M644">
        <v>60</v>
      </c>
      <c r="N644">
        <v>283</v>
      </c>
      <c r="O644" t="s">
        <v>2316</v>
      </c>
      <c r="P644">
        <f t="shared" si="31"/>
        <v>2.3113393915448439E-2</v>
      </c>
      <c r="Q644">
        <f t="shared" si="32"/>
        <v>2.986961675227183E-2</v>
      </c>
    </row>
    <row r="645" spans="1:17" x14ac:dyDescent="0.25">
      <c r="A645" t="str">
        <f t="shared" si="30"/>
        <v>Armel Bella-Kotchap</v>
      </c>
      <c r="B645" t="s">
        <v>2317</v>
      </c>
      <c r="C645" t="s">
        <v>2318</v>
      </c>
      <c r="D645">
        <v>17</v>
      </c>
      <c r="E645">
        <v>2</v>
      </c>
      <c r="F645">
        <v>39</v>
      </c>
      <c r="G645">
        <v>329</v>
      </c>
      <c r="H645">
        <v>2</v>
      </c>
      <c r="I645">
        <v>0</v>
      </c>
      <c r="J645">
        <v>0</v>
      </c>
      <c r="K645">
        <v>0.32</v>
      </c>
      <c r="L645">
        <v>0.01</v>
      </c>
      <c r="M645">
        <v>2</v>
      </c>
      <c r="N645">
        <v>7</v>
      </c>
      <c r="O645" t="s">
        <v>2318</v>
      </c>
      <c r="P645">
        <f t="shared" si="31"/>
        <v>8.753799392097264E-2</v>
      </c>
      <c r="Q645">
        <f t="shared" si="32"/>
        <v>2.735562310030395E-3</v>
      </c>
    </row>
    <row r="646" spans="1:17" x14ac:dyDescent="0.25">
      <c r="A646" t="str">
        <f t="shared" si="30"/>
        <v>James Bree</v>
      </c>
      <c r="B646" t="s">
        <v>135</v>
      </c>
      <c r="C646" t="s">
        <v>2319</v>
      </c>
      <c r="D646">
        <v>17</v>
      </c>
      <c r="E646">
        <v>2</v>
      </c>
      <c r="F646">
        <v>39</v>
      </c>
      <c r="G646">
        <v>1070</v>
      </c>
      <c r="H646">
        <v>13</v>
      </c>
      <c r="I646">
        <v>0</v>
      </c>
      <c r="J646">
        <v>1</v>
      </c>
      <c r="K646">
        <v>0.11</v>
      </c>
      <c r="L646">
        <v>0.71</v>
      </c>
      <c r="M646">
        <v>23</v>
      </c>
      <c r="N646">
        <v>95</v>
      </c>
      <c r="O646" t="s">
        <v>2319</v>
      </c>
      <c r="P646">
        <f t="shared" si="31"/>
        <v>9.2523364485981308E-3</v>
      </c>
      <c r="Q646">
        <f t="shared" si="32"/>
        <v>5.97196261682243E-2</v>
      </c>
    </row>
    <row r="647" spans="1:17" x14ac:dyDescent="0.25">
      <c r="A647" t="str">
        <f t="shared" si="30"/>
        <v>Shea Charles</v>
      </c>
      <c r="B647" t="s">
        <v>538</v>
      </c>
      <c r="C647" t="s">
        <v>539</v>
      </c>
      <c r="D647">
        <v>17</v>
      </c>
      <c r="E647">
        <v>3</v>
      </c>
      <c r="F647">
        <v>45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539</v>
      </c>
      <c r="P647">
        <f t="shared" si="31"/>
        <v>0</v>
      </c>
      <c r="Q647">
        <f t="shared" si="32"/>
        <v>0</v>
      </c>
    </row>
    <row r="648" spans="1:17" x14ac:dyDescent="0.25">
      <c r="A648" t="str">
        <f t="shared" si="30"/>
        <v>Samuel Edozie</v>
      </c>
      <c r="B648" t="s">
        <v>109</v>
      </c>
      <c r="C648" t="s">
        <v>2320</v>
      </c>
      <c r="D648">
        <v>17</v>
      </c>
      <c r="E648">
        <v>3</v>
      </c>
      <c r="F648">
        <v>49</v>
      </c>
      <c r="G648">
        <v>64</v>
      </c>
      <c r="H648">
        <v>0</v>
      </c>
      <c r="I648">
        <v>0</v>
      </c>
      <c r="J648">
        <v>0</v>
      </c>
      <c r="K648">
        <v>0</v>
      </c>
      <c r="L648">
        <v>0.15</v>
      </c>
      <c r="M648">
        <v>1</v>
      </c>
      <c r="N648">
        <v>6</v>
      </c>
      <c r="O648" t="s">
        <v>2320</v>
      </c>
      <c r="P648">
        <f t="shared" si="31"/>
        <v>0</v>
      </c>
      <c r="Q648">
        <f t="shared" si="32"/>
        <v>0.2109375</v>
      </c>
    </row>
    <row r="649" spans="1:17" x14ac:dyDescent="0.25">
      <c r="A649" t="str">
        <f t="shared" si="30"/>
        <v>Ronnie Edwards</v>
      </c>
      <c r="B649" t="s">
        <v>1557</v>
      </c>
      <c r="C649" t="s">
        <v>2321</v>
      </c>
      <c r="D649">
        <v>17</v>
      </c>
      <c r="E649">
        <v>2</v>
      </c>
      <c r="F649">
        <v>39</v>
      </c>
      <c r="G649">
        <v>12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-1</v>
      </c>
      <c r="O649" t="s">
        <v>2321</v>
      </c>
      <c r="P649">
        <f t="shared" si="31"/>
        <v>0</v>
      </c>
      <c r="Q649">
        <f t="shared" si="32"/>
        <v>0</v>
      </c>
    </row>
    <row r="650" spans="1:17" x14ac:dyDescent="0.25">
      <c r="A650" t="str">
        <f t="shared" si="30"/>
        <v>Taylor Harwood-Bellis</v>
      </c>
      <c r="B650" t="s">
        <v>621</v>
      </c>
      <c r="C650" t="s">
        <v>2322</v>
      </c>
      <c r="D650">
        <v>17</v>
      </c>
      <c r="E650">
        <v>2</v>
      </c>
      <c r="F650">
        <v>39</v>
      </c>
      <c r="G650">
        <v>2824</v>
      </c>
      <c r="H650">
        <v>32</v>
      </c>
      <c r="I650">
        <v>1</v>
      </c>
      <c r="J650">
        <v>0</v>
      </c>
      <c r="K650">
        <v>1.78</v>
      </c>
      <c r="L650">
        <v>0.68</v>
      </c>
      <c r="M650">
        <v>55</v>
      </c>
      <c r="N650">
        <v>268</v>
      </c>
      <c r="O650" t="s">
        <v>2322</v>
      </c>
      <c r="P650">
        <f t="shared" si="31"/>
        <v>5.672804532577904E-2</v>
      </c>
      <c r="Q650">
        <f t="shared" si="32"/>
        <v>2.1671388101983005E-2</v>
      </c>
    </row>
    <row r="651" spans="1:17" x14ac:dyDescent="0.25">
      <c r="A651" t="str">
        <f t="shared" si="30"/>
        <v>Kamaldeen Sulemana</v>
      </c>
      <c r="B651" t="s">
        <v>2323</v>
      </c>
      <c r="C651" t="s">
        <v>2324</v>
      </c>
      <c r="D651">
        <v>17</v>
      </c>
      <c r="E651">
        <v>3</v>
      </c>
      <c r="F651">
        <v>50</v>
      </c>
      <c r="G651">
        <v>1394</v>
      </c>
      <c r="H651">
        <v>17</v>
      </c>
      <c r="I651">
        <v>1</v>
      </c>
      <c r="J651">
        <v>2</v>
      </c>
      <c r="K651">
        <v>1.39</v>
      </c>
      <c r="L651">
        <v>0.85</v>
      </c>
      <c r="M651">
        <v>53</v>
      </c>
      <c r="N651">
        <v>163</v>
      </c>
      <c r="O651" t="s">
        <v>2323</v>
      </c>
      <c r="P651">
        <f t="shared" si="31"/>
        <v>8.9741750358680053E-2</v>
      </c>
      <c r="Q651">
        <f t="shared" si="32"/>
        <v>5.4878048780487805E-2</v>
      </c>
    </row>
    <row r="652" spans="1:17" x14ac:dyDescent="0.25">
      <c r="A652" t="str">
        <f t="shared" si="30"/>
        <v>Adam Lallana</v>
      </c>
      <c r="B652" t="s">
        <v>143</v>
      </c>
      <c r="C652" t="s">
        <v>1434</v>
      </c>
      <c r="D652">
        <v>17</v>
      </c>
      <c r="E652">
        <v>3</v>
      </c>
      <c r="F652">
        <v>50</v>
      </c>
      <c r="G652">
        <v>352</v>
      </c>
      <c r="H652">
        <v>5</v>
      </c>
      <c r="I652">
        <v>0</v>
      </c>
      <c r="J652">
        <v>2</v>
      </c>
      <c r="K652">
        <v>0.15</v>
      </c>
      <c r="L652">
        <v>0.48</v>
      </c>
      <c r="M652">
        <v>17</v>
      </c>
      <c r="N652">
        <v>74</v>
      </c>
      <c r="O652" t="s">
        <v>1434</v>
      </c>
      <c r="P652">
        <f t="shared" si="31"/>
        <v>3.8352272727272728E-2</v>
      </c>
      <c r="Q652">
        <f t="shared" si="32"/>
        <v>0.12272727272727271</v>
      </c>
    </row>
    <row r="653" spans="1:17" x14ac:dyDescent="0.25">
      <c r="A653" t="str">
        <f t="shared" si="30"/>
        <v>Juan Larios López</v>
      </c>
      <c r="B653" t="s">
        <v>2325</v>
      </c>
      <c r="C653" t="s">
        <v>2326</v>
      </c>
      <c r="D653">
        <v>17</v>
      </c>
      <c r="E653">
        <v>2</v>
      </c>
      <c r="F653">
        <v>39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2756</v>
      </c>
      <c r="P653">
        <f t="shared" si="31"/>
        <v>0</v>
      </c>
      <c r="Q653">
        <f t="shared" si="32"/>
        <v>0</v>
      </c>
    </row>
    <row r="654" spans="1:17" x14ac:dyDescent="0.25">
      <c r="A654" t="str">
        <f t="shared" si="30"/>
        <v>Mateusz Lis</v>
      </c>
      <c r="B654" t="s">
        <v>2327</v>
      </c>
      <c r="C654" t="s">
        <v>2328</v>
      </c>
      <c r="D654">
        <v>17</v>
      </c>
      <c r="E654">
        <v>1</v>
      </c>
      <c r="F654">
        <v>40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2328</v>
      </c>
      <c r="P654">
        <f t="shared" si="31"/>
        <v>0</v>
      </c>
      <c r="Q654">
        <f t="shared" si="32"/>
        <v>0</v>
      </c>
    </row>
    <row r="655" spans="1:17" x14ac:dyDescent="0.25">
      <c r="A655" t="str">
        <f t="shared" si="30"/>
        <v>Joe Lumley</v>
      </c>
      <c r="B655" t="s">
        <v>585</v>
      </c>
      <c r="C655" t="s">
        <v>2329</v>
      </c>
      <c r="D655">
        <v>17</v>
      </c>
      <c r="E655">
        <v>1</v>
      </c>
      <c r="F655">
        <v>40</v>
      </c>
      <c r="G655">
        <v>270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8</v>
      </c>
      <c r="N655">
        <v>22</v>
      </c>
      <c r="O655" t="s">
        <v>2329</v>
      </c>
      <c r="P655">
        <f t="shared" si="31"/>
        <v>0</v>
      </c>
      <c r="Q655">
        <f t="shared" si="32"/>
        <v>0</v>
      </c>
    </row>
    <row r="656" spans="1:17" x14ac:dyDescent="0.25">
      <c r="A656" t="str">
        <f t="shared" si="30"/>
        <v>Ryan Manning</v>
      </c>
      <c r="B656" t="s">
        <v>164</v>
      </c>
      <c r="C656" t="s">
        <v>2330</v>
      </c>
      <c r="D656">
        <v>17</v>
      </c>
      <c r="E656">
        <v>2</v>
      </c>
      <c r="F656">
        <v>43</v>
      </c>
      <c r="G656">
        <v>1458</v>
      </c>
      <c r="H656">
        <v>18</v>
      </c>
      <c r="I656">
        <v>0</v>
      </c>
      <c r="J656">
        <v>2</v>
      </c>
      <c r="K656">
        <v>0.34</v>
      </c>
      <c r="L656">
        <v>2.8</v>
      </c>
      <c r="M656">
        <v>34</v>
      </c>
      <c r="N656">
        <v>162</v>
      </c>
      <c r="O656" t="s">
        <v>2330</v>
      </c>
      <c r="P656">
        <f t="shared" si="31"/>
        <v>2.0987654320987658E-2</v>
      </c>
      <c r="Q656">
        <f t="shared" si="32"/>
        <v>0.1728395061728395</v>
      </c>
    </row>
    <row r="657" spans="1:17" x14ac:dyDescent="0.25">
      <c r="A657" t="str">
        <f t="shared" si="30"/>
        <v>Sékou Mara</v>
      </c>
      <c r="B657" t="s">
        <v>2296</v>
      </c>
      <c r="C657" t="s">
        <v>2331</v>
      </c>
      <c r="D657">
        <v>17</v>
      </c>
      <c r="E657">
        <v>4</v>
      </c>
      <c r="F657">
        <v>50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2331</v>
      </c>
      <c r="P657">
        <f t="shared" si="31"/>
        <v>0</v>
      </c>
      <c r="Q657">
        <f t="shared" si="32"/>
        <v>0</v>
      </c>
    </row>
    <row r="658" spans="1:17" x14ac:dyDescent="0.25">
      <c r="A658" t="str">
        <f t="shared" si="30"/>
        <v>Alex McCarthy</v>
      </c>
      <c r="B658" t="s">
        <v>153</v>
      </c>
      <c r="C658" t="s">
        <v>558</v>
      </c>
      <c r="D658">
        <v>17</v>
      </c>
      <c r="E658">
        <v>1</v>
      </c>
      <c r="F658">
        <v>42</v>
      </c>
      <c r="G658">
        <v>450</v>
      </c>
      <c r="H658">
        <v>5</v>
      </c>
      <c r="I658">
        <v>0</v>
      </c>
      <c r="J658">
        <v>0</v>
      </c>
      <c r="K658">
        <v>0</v>
      </c>
      <c r="L658">
        <v>0</v>
      </c>
      <c r="M658">
        <v>12</v>
      </c>
      <c r="N658">
        <v>32</v>
      </c>
      <c r="O658" t="s">
        <v>558</v>
      </c>
      <c r="P658">
        <f t="shared" si="31"/>
        <v>0</v>
      </c>
      <c r="Q658">
        <f t="shared" si="32"/>
        <v>0</v>
      </c>
    </row>
    <row r="659" spans="1:17" x14ac:dyDescent="0.25">
      <c r="A659" t="str">
        <f t="shared" si="30"/>
        <v>Paul Onuachu</v>
      </c>
      <c r="B659" t="s">
        <v>1863</v>
      </c>
      <c r="C659" t="s">
        <v>2332</v>
      </c>
      <c r="D659">
        <v>17</v>
      </c>
      <c r="E659">
        <v>4</v>
      </c>
      <c r="F659">
        <v>49</v>
      </c>
      <c r="G659">
        <v>1038</v>
      </c>
      <c r="H659">
        <v>11</v>
      </c>
      <c r="I659">
        <v>4</v>
      </c>
      <c r="J659">
        <v>1</v>
      </c>
      <c r="K659">
        <v>3.61</v>
      </c>
      <c r="L659">
        <v>0.26</v>
      </c>
      <c r="M659">
        <v>51</v>
      </c>
      <c r="N659">
        <v>151</v>
      </c>
      <c r="O659" t="s">
        <v>2332</v>
      </c>
      <c r="P659">
        <f t="shared" si="31"/>
        <v>0.31300578034682081</v>
      </c>
      <c r="Q659">
        <f t="shared" si="32"/>
        <v>2.2543352601156069E-2</v>
      </c>
    </row>
    <row r="660" spans="1:17" x14ac:dyDescent="0.25">
      <c r="A660" t="str">
        <f t="shared" si="30"/>
        <v>Will Smallbone</v>
      </c>
      <c r="B660" t="s">
        <v>133</v>
      </c>
      <c r="C660" t="s">
        <v>2333</v>
      </c>
      <c r="D660">
        <v>17</v>
      </c>
      <c r="E660">
        <v>3</v>
      </c>
      <c r="F660">
        <v>50</v>
      </c>
      <c r="G660">
        <v>679</v>
      </c>
      <c r="H660">
        <v>6</v>
      </c>
      <c r="I660">
        <v>1</v>
      </c>
      <c r="J660">
        <v>0</v>
      </c>
      <c r="K660">
        <v>0.56999999999999995</v>
      </c>
      <c r="L660">
        <v>0.89</v>
      </c>
      <c r="M660">
        <v>26</v>
      </c>
      <c r="N660">
        <v>119</v>
      </c>
      <c r="O660" t="s">
        <v>2333</v>
      </c>
      <c r="P660">
        <f t="shared" si="31"/>
        <v>7.5552282768777609E-2</v>
      </c>
      <c r="Q660">
        <f t="shared" si="32"/>
        <v>0.11796759941089839</v>
      </c>
    </row>
    <row r="661" spans="1:17" x14ac:dyDescent="0.25">
      <c r="A661" t="str">
        <f t="shared" si="30"/>
        <v>Jack Stephens</v>
      </c>
      <c r="B661" t="s">
        <v>253</v>
      </c>
      <c r="C661" t="s">
        <v>2334</v>
      </c>
      <c r="D661">
        <v>17</v>
      </c>
      <c r="E661">
        <v>2</v>
      </c>
      <c r="F661">
        <v>40</v>
      </c>
      <c r="G661">
        <v>1389</v>
      </c>
      <c r="H661">
        <v>17</v>
      </c>
      <c r="I661">
        <v>1</v>
      </c>
      <c r="J661">
        <v>0</v>
      </c>
      <c r="K661">
        <v>0.57999999999999996</v>
      </c>
      <c r="L661">
        <v>0.26</v>
      </c>
      <c r="M661">
        <v>31</v>
      </c>
      <c r="N661">
        <v>112</v>
      </c>
      <c r="O661" t="s">
        <v>2334</v>
      </c>
      <c r="P661">
        <f t="shared" si="31"/>
        <v>3.7580993520518358E-2</v>
      </c>
      <c r="Q661">
        <f t="shared" si="32"/>
        <v>1.6846652267818576E-2</v>
      </c>
    </row>
    <row r="662" spans="1:17" x14ac:dyDescent="0.25">
      <c r="A662" t="str">
        <f t="shared" si="30"/>
        <v>Ross Stewart</v>
      </c>
      <c r="B662" t="s">
        <v>103</v>
      </c>
      <c r="C662" t="s">
        <v>2335</v>
      </c>
      <c r="D662">
        <v>17</v>
      </c>
      <c r="E662">
        <v>4</v>
      </c>
      <c r="F662">
        <v>44</v>
      </c>
      <c r="G662">
        <v>382</v>
      </c>
      <c r="H662">
        <v>4</v>
      </c>
      <c r="I662">
        <v>1</v>
      </c>
      <c r="J662">
        <v>0</v>
      </c>
      <c r="K662">
        <v>1.1499999999999999</v>
      </c>
      <c r="L662">
        <v>0.04</v>
      </c>
      <c r="M662">
        <v>20</v>
      </c>
      <c r="N662">
        <v>59</v>
      </c>
      <c r="O662" t="s">
        <v>2335</v>
      </c>
      <c r="P662">
        <f t="shared" si="31"/>
        <v>0.27094240837696332</v>
      </c>
      <c r="Q662">
        <f t="shared" si="32"/>
        <v>9.4240837696335077E-3</v>
      </c>
    </row>
    <row r="663" spans="1:17" x14ac:dyDescent="0.25">
      <c r="A663" t="str">
        <f t="shared" si="30"/>
        <v>Sugawara Yukinari</v>
      </c>
      <c r="B663" t="s">
        <v>2336</v>
      </c>
      <c r="C663" t="s">
        <v>2337</v>
      </c>
      <c r="D663">
        <v>17</v>
      </c>
      <c r="E663">
        <v>2</v>
      </c>
      <c r="F663">
        <v>42</v>
      </c>
      <c r="G663">
        <v>1548</v>
      </c>
      <c r="H663">
        <v>16</v>
      </c>
      <c r="I663">
        <v>1</v>
      </c>
      <c r="J663">
        <v>1</v>
      </c>
      <c r="K663">
        <v>0.48</v>
      </c>
      <c r="L663">
        <v>2.4700000000000002</v>
      </c>
      <c r="M663">
        <v>43</v>
      </c>
      <c r="N663">
        <v>116</v>
      </c>
      <c r="O663" t="s">
        <v>2336</v>
      </c>
      <c r="P663">
        <f t="shared" si="31"/>
        <v>2.7906976744186043E-2</v>
      </c>
      <c r="Q663">
        <f t="shared" si="32"/>
        <v>0.14360465116279073</v>
      </c>
    </row>
    <row r="664" spans="1:17" x14ac:dyDescent="0.25">
      <c r="A664" t="str">
        <f t="shared" si="30"/>
        <v>Charlie Taylor</v>
      </c>
      <c r="B664" t="s">
        <v>548</v>
      </c>
      <c r="C664" t="s">
        <v>621</v>
      </c>
      <c r="D664">
        <v>17</v>
      </c>
      <c r="E664">
        <v>2</v>
      </c>
      <c r="F664">
        <v>39</v>
      </c>
      <c r="G664">
        <v>353</v>
      </c>
      <c r="H664">
        <v>3</v>
      </c>
      <c r="I664">
        <v>0</v>
      </c>
      <c r="J664">
        <v>0</v>
      </c>
      <c r="K664">
        <v>0</v>
      </c>
      <c r="L664">
        <v>0.14000000000000001</v>
      </c>
      <c r="M664">
        <v>6</v>
      </c>
      <c r="N664">
        <v>26</v>
      </c>
      <c r="O664" t="s">
        <v>621</v>
      </c>
      <c r="P664">
        <f t="shared" si="31"/>
        <v>0</v>
      </c>
      <c r="Q664">
        <f t="shared" si="32"/>
        <v>3.5694050991501421E-2</v>
      </c>
    </row>
    <row r="665" spans="1:17" x14ac:dyDescent="0.25">
      <c r="A665" t="str">
        <f t="shared" si="30"/>
        <v>Kyle Walker-Peters</v>
      </c>
      <c r="B665" t="s">
        <v>1787</v>
      </c>
      <c r="C665" t="s">
        <v>2338</v>
      </c>
      <c r="D665">
        <v>17</v>
      </c>
      <c r="E665">
        <v>2</v>
      </c>
      <c r="F665">
        <v>42</v>
      </c>
      <c r="G665">
        <v>2918</v>
      </c>
      <c r="H665">
        <v>33</v>
      </c>
      <c r="I665">
        <v>0</v>
      </c>
      <c r="J665">
        <v>3</v>
      </c>
      <c r="K665">
        <v>0.85</v>
      </c>
      <c r="L665">
        <v>2.2999999999999998</v>
      </c>
      <c r="M665">
        <v>54</v>
      </c>
      <c r="N665">
        <v>240</v>
      </c>
      <c r="O665" t="s">
        <v>2338</v>
      </c>
      <c r="P665">
        <f t="shared" si="31"/>
        <v>2.6216586703221387E-2</v>
      </c>
      <c r="Q665">
        <f t="shared" si="32"/>
        <v>7.093899931459903E-2</v>
      </c>
    </row>
    <row r="666" spans="1:17" x14ac:dyDescent="0.25">
      <c r="A666" t="str">
        <f t="shared" si="30"/>
        <v>Nathan Wood-Gordon</v>
      </c>
      <c r="B666" t="s">
        <v>185</v>
      </c>
      <c r="C666" t="s">
        <v>2339</v>
      </c>
      <c r="D666">
        <v>17</v>
      </c>
      <c r="E666">
        <v>2</v>
      </c>
      <c r="F666">
        <v>39</v>
      </c>
      <c r="G666">
        <v>771</v>
      </c>
      <c r="H666">
        <v>9</v>
      </c>
      <c r="I666">
        <v>0</v>
      </c>
      <c r="J666">
        <v>0</v>
      </c>
      <c r="K666">
        <v>0.23</v>
      </c>
      <c r="L666">
        <v>0.04</v>
      </c>
      <c r="M666">
        <v>14</v>
      </c>
      <c r="N666">
        <v>54</v>
      </c>
      <c r="O666" t="s">
        <v>918</v>
      </c>
      <c r="P666">
        <f t="shared" si="31"/>
        <v>2.6848249027237356E-2</v>
      </c>
      <c r="Q666">
        <f t="shared" si="32"/>
        <v>4.6692607003891049E-3</v>
      </c>
    </row>
    <row r="667" spans="1:17" x14ac:dyDescent="0.25">
      <c r="A667" t="str">
        <f t="shared" si="30"/>
        <v>Maxwel Cornet</v>
      </c>
      <c r="B667" t="s">
        <v>2018</v>
      </c>
      <c r="C667" t="s">
        <v>2019</v>
      </c>
      <c r="D667">
        <v>17</v>
      </c>
      <c r="E667">
        <v>3</v>
      </c>
      <c r="F667">
        <v>47</v>
      </c>
      <c r="G667">
        <v>71</v>
      </c>
      <c r="H667">
        <v>1</v>
      </c>
      <c r="I667">
        <v>0</v>
      </c>
      <c r="J667">
        <v>0</v>
      </c>
      <c r="K667">
        <v>0.16</v>
      </c>
      <c r="L667">
        <v>0</v>
      </c>
      <c r="M667">
        <v>1</v>
      </c>
      <c r="N667">
        <v>12</v>
      </c>
      <c r="O667" t="s">
        <v>2019</v>
      </c>
      <c r="P667">
        <f t="shared" si="31"/>
        <v>0.20281690140845071</v>
      </c>
      <c r="Q667">
        <f t="shared" si="32"/>
        <v>0</v>
      </c>
    </row>
    <row r="668" spans="1:17" x14ac:dyDescent="0.25">
      <c r="A668" t="str">
        <f t="shared" si="30"/>
        <v>Flynn Downes</v>
      </c>
      <c r="B668" t="s">
        <v>2023</v>
      </c>
      <c r="C668" t="s">
        <v>2024</v>
      </c>
      <c r="D668">
        <v>17</v>
      </c>
      <c r="E668">
        <v>3</v>
      </c>
      <c r="F668">
        <v>47</v>
      </c>
      <c r="G668">
        <v>2149</v>
      </c>
      <c r="H668">
        <v>25</v>
      </c>
      <c r="I668">
        <v>1</v>
      </c>
      <c r="J668">
        <v>0</v>
      </c>
      <c r="K668">
        <v>0.64</v>
      </c>
      <c r="L668">
        <v>1.41</v>
      </c>
      <c r="M668">
        <v>48</v>
      </c>
      <c r="N668">
        <v>312</v>
      </c>
      <c r="O668" t="s">
        <v>2024</v>
      </c>
      <c r="P668">
        <f t="shared" si="31"/>
        <v>2.6803164262447648E-2</v>
      </c>
      <c r="Q668">
        <f t="shared" si="32"/>
        <v>5.9050721265704972E-2</v>
      </c>
    </row>
    <row r="669" spans="1:17" x14ac:dyDescent="0.25">
      <c r="A669" t="str">
        <f t="shared" si="30"/>
        <v>Ben Brereton Díaz</v>
      </c>
      <c r="B669" t="s">
        <v>159</v>
      </c>
      <c r="C669" t="s">
        <v>1965</v>
      </c>
      <c r="D669">
        <v>17</v>
      </c>
      <c r="E669">
        <v>3</v>
      </c>
      <c r="F669">
        <v>48</v>
      </c>
      <c r="G669">
        <v>446</v>
      </c>
      <c r="H669">
        <v>4</v>
      </c>
      <c r="I669">
        <v>0</v>
      </c>
      <c r="J669">
        <v>0</v>
      </c>
      <c r="K669">
        <v>0.9</v>
      </c>
      <c r="L669">
        <v>0.15</v>
      </c>
      <c r="M669">
        <v>13</v>
      </c>
      <c r="N669">
        <v>43</v>
      </c>
      <c r="O669" t="s">
        <v>1965</v>
      </c>
      <c r="P669">
        <f t="shared" si="31"/>
        <v>0.18161434977578475</v>
      </c>
      <c r="Q669">
        <f t="shared" si="32"/>
        <v>3.0269058295964123E-2</v>
      </c>
    </row>
    <row r="670" spans="1:17" x14ac:dyDescent="0.25">
      <c r="A670" t="str">
        <f t="shared" si="30"/>
        <v>Tyler Dibling</v>
      </c>
      <c r="B670" t="s">
        <v>161</v>
      </c>
      <c r="C670" t="s">
        <v>495</v>
      </c>
      <c r="D670">
        <v>17</v>
      </c>
      <c r="E670">
        <v>3</v>
      </c>
      <c r="F670">
        <v>43</v>
      </c>
      <c r="G670">
        <v>1863</v>
      </c>
      <c r="H670">
        <v>20</v>
      </c>
      <c r="I670">
        <v>2</v>
      </c>
      <c r="J670">
        <v>2</v>
      </c>
      <c r="K670">
        <v>2.6</v>
      </c>
      <c r="L670">
        <v>1.47</v>
      </c>
      <c r="M670">
        <v>68</v>
      </c>
      <c r="N670">
        <v>247</v>
      </c>
      <c r="O670" t="s">
        <v>495</v>
      </c>
      <c r="P670">
        <f t="shared" si="31"/>
        <v>0.12560386473429952</v>
      </c>
      <c r="Q670">
        <f t="shared" si="32"/>
        <v>7.1014492753623176E-2</v>
      </c>
    </row>
    <row r="671" spans="1:17" x14ac:dyDescent="0.25">
      <c r="A671" t="str">
        <f t="shared" si="30"/>
        <v>Mateus Gonçalo Espanha Fernandes</v>
      </c>
      <c r="B671" t="s">
        <v>2340</v>
      </c>
      <c r="C671" t="s">
        <v>2341</v>
      </c>
      <c r="D671">
        <v>17</v>
      </c>
      <c r="E671">
        <v>3</v>
      </c>
      <c r="F671">
        <v>50</v>
      </c>
      <c r="G671">
        <v>2911</v>
      </c>
      <c r="H671">
        <v>34</v>
      </c>
      <c r="I671">
        <v>2</v>
      </c>
      <c r="J671">
        <v>4</v>
      </c>
      <c r="K671">
        <v>4.12</v>
      </c>
      <c r="L671">
        <v>3.62</v>
      </c>
      <c r="M671">
        <v>95</v>
      </c>
      <c r="N671">
        <v>513</v>
      </c>
      <c r="O671" t="s">
        <v>2757</v>
      </c>
      <c r="P671">
        <f t="shared" si="31"/>
        <v>0.12737890759189283</v>
      </c>
      <c r="Q671">
        <f t="shared" si="32"/>
        <v>0.11192030230161458</v>
      </c>
    </row>
    <row r="672" spans="1:17" x14ac:dyDescent="0.25">
      <c r="A672" t="str">
        <f t="shared" si="30"/>
        <v>Joseph O'Brien-Whitmarsh</v>
      </c>
      <c r="B672" t="s">
        <v>1754</v>
      </c>
      <c r="C672" t="s">
        <v>2342</v>
      </c>
      <c r="D672">
        <v>17</v>
      </c>
      <c r="E672">
        <v>3</v>
      </c>
      <c r="F672">
        <v>45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2342</v>
      </c>
      <c r="P672">
        <f t="shared" si="31"/>
        <v>0</v>
      </c>
      <c r="Q672">
        <f t="shared" si="32"/>
        <v>0</v>
      </c>
    </row>
    <row r="673" spans="1:17" x14ac:dyDescent="0.25">
      <c r="A673" t="str">
        <f t="shared" si="30"/>
        <v>Welington Damascena Santos</v>
      </c>
      <c r="B673" t="s">
        <v>2343</v>
      </c>
      <c r="C673" t="s">
        <v>2344</v>
      </c>
      <c r="D673">
        <v>17</v>
      </c>
      <c r="E673">
        <v>2</v>
      </c>
      <c r="F673">
        <v>40</v>
      </c>
      <c r="G673">
        <v>478</v>
      </c>
      <c r="H673">
        <v>6</v>
      </c>
      <c r="I673">
        <v>0</v>
      </c>
      <c r="J673">
        <v>0</v>
      </c>
      <c r="K673">
        <v>0.04</v>
      </c>
      <c r="L673">
        <v>0.16</v>
      </c>
      <c r="M673">
        <v>14</v>
      </c>
      <c r="N673">
        <v>53</v>
      </c>
      <c r="O673" t="s">
        <v>2758</v>
      </c>
      <c r="P673">
        <f t="shared" si="31"/>
        <v>7.5313807531380761E-3</v>
      </c>
      <c r="Q673">
        <f t="shared" si="32"/>
        <v>3.0125523012552304E-2</v>
      </c>
    </row>
    <row r="674" spans="1:17" x14ac:dyDescent="0.25">
      <c r="A674" t="str">
        <f t="shared" si="30"/>
        <v>Joachim Kayi-Sanda</v>
      </c>
      <c r="B674" t="s">
        <v>509</v>
      </c>
      <c r="C674" t="s">
        <v>2345</v>
      </c>
      <c r="D674">
        <v>17</v>
      </c>
      <c r="E674">
        <v>2</v>
      </c>
      <c r="F674">
        <v>40</v>
      </c>
      <c r="G674">
        <v>12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</v>
      </c>
      <c r="N674">
        <v>3</v>
      </c>
      <c r="O674" t="s">
        <v>2759</v>
      </c>
      <c r="P674">
        <f t="shared" si="31"/>
        <v>0</v>
      </c>
      <c r="Q674">
        <f t="shared" si="32"/>
        <v>0</v>
      </c>
    </row>
    <row r="675" spans="1:17" x14ac:dyDescent="0.25">
      <c r="A675" t="str">
        <f t="shared" si="30"/>
        <v>Albert Grønbæk</v>
      </c>
      <c r="B675" t="s">
        <v>1709</v>
      </c>
      <c r="C675" t="s">
        <v>2346</v>
      </c>
      <c r="D675">
        <v>17</v>
      </c>
      <c r="E675">
        <v>3</v>
      </c>
      <c r="F675">
        <v>49</v>
      </c>
      <c r="G675">
        <v>141</v>
      </c>
      <c r="H675">
        <v>2</v>
      </c>
      <c r="I675">
        <v>0</v>
      </c>
      <c r="J675">
        <v>0</v>
      </c>
      <c r="K675">
        <v>0.12</v>
      </c>
      <c r="L675">
        <v>0.01</v>
      </c>
      <c r="M675">
        <v>6</v>
      </c>
      <c r="N675">
        <v>13</v>
      </c>
      <c r="O675" t="s">
        <v>2346</v>
      </c>
      <c r="P675">
        <f t="shared" si="31"/>
        <v>7.6595744680851063E-2</v>
      </c>
      <c r="Q675">
        <f t="shared" si="32"/>
        <v>6.382978723404255E-3</v>
      </c>
    </row>
    <row r="676" spans="1:17" x14ac:dyDescent="0.25">
      <c r="A676" t="str">
        <f t="shared" si="30"/>
        <v>Simon Rusk</v>
      </c>
      <c r="B676" t="s">
        <v>1011</v>
      </c>
      <c r="C676" t="s">
        <v>2347</v>
      </c>
      <c r="D676">
        <v>17</v>
      </c>
      <c r="E676">
        <v>5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38</v>
      </c>
      <c r="N676">
        <v>0</v>
      </c>
      <c r="O676" t="s">
        <v>2347</v>
      </c>
      <c r="P676">
        <f t="shared" si="31"/>
        <v>0</v>
      </c>
      <c r="Q676">
        <f t="shared" si="32"/>
        <v>0</v>
      </c>
    </row>
    <row r="677" spans="1:17" x14ac:dyDescent="0.25">
      <c r="A677" t="str">
        <f t="shared" si="30"/>
        <v>Jay Robinson</v>
      </c>
      <c r="B677" t="s">
        <v>368</v>
      </c>
      <c r="C677" t="s">
        <v>512</v>
      </c>
      <c r="D677">
        <v>17</v>
      </c>
      <c r="E677">
        <v>4</v>
      </c>
      <c r="F677">
        <v>44</v>
      </c>
      <c r="G677">
        <v>134</v>
      </c>
      <c r="H677">
        <v>1</v>
      </c>
      <c r="I677">
        <v>0</v>
      </c>
      <c r="J677">
        <v>0</v>
      </c>
      <c r="K677">
        <v>7.0000000000000007E-2</v>
      </c>
      <c r="L677">
        <v>0.53</v>
      </c>
      <c r="M677">
        <v>5</v>
      </c>
      <c r="N677">
        <v>19</v>
      </c>
      <c r="O677" t="s">
        <v>2760</v>
      </c>
      <c r="P677">
        <f t="shared" si="31"/>
        <v>4.7014925373134335E-2</v>
      </c>
      <c r="Q677">
        <f t="shared" si="32"/>
        <v>0.35597014925373138</v>
      </c>
    </row>
    <row r="678" spans="1:17" x14ac:dyDescent="0.25">
      <c r="A678" t="str">
        <f t="shared" si="30"/>
        <v>Jayden Moore</v>
      </c>
      <c r="B678" t="s">
        <v>659</v>
      </c>
      <c r="C678" t="s">
        <v>976</v>
      </c>
      <c r="D678">
        <v>17</v>
      </c>
      <c r="E678">
        <v>2</v>
      </c>
      <c r="F678">
        <v>40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976</v>
      </c>
      <c r="P678">
        <f t="shared" si="31"/>
        <v>0</v>
      </c>
      <c r="Q678">
        <f t="shared" si="32"/>
        <v>0</v>
      </c>
    </row>
    <row r="679" spans="1:17" x14ac:dyDescent="0.25">
      <c r="A679" t="str">
        <f t="shared" si="30"/>
        <v>Dominic Solanke-Mitchell</v>
      </c>
      <c r="B679" t="s">
        <v>681</v>
      </c>
      <c r="C679" t="s">
        <v>980</v>
      </c>
      <c r="D679">
        <v>18</v>
      </c>
      <c r="E679">
        <v>4</v>
      </c>
      <c r="F679">
        <v>73</v>
      </c>
      <c r="G679">
        <v>2199</v>
      </c>
      <c r="H679">
        <v>25</v>
      </c>
      <c r="I679">
        <v>9</v>
      </c>
      <c r="J679">
        <v>5</v>
      </c>
      <c r="K679">
        <v>10.89</v>
      </c>
      <c r="L679">
        <v>1.1299999999999999</v>
      </c>
      <c r="M679">
        <v>108</v>
      </c>
      <c r="N679">
        <v>404</v>
      </c>
      <c r="O679" t="s">
        <v>1364</v>
      </c>
      <c r="P679">
        <f t="shared" si="31"/>
        <v>0.44570259208731244</v>
      </c>
      <c r="Q679">
        <f t="shared" si="32"/>
        <v>4.6248294679399726E-2</v>
      </c>
    </row>
    <row r="680" spans="1:17" x14ac:dyDescent="0.25">
      <c r="A680" t="str">
        <f t="shared" si="30"/>
        <v>Ashley Phillips</v>
      </c>
      <c r="B680" t="s">
        <v>953</v>
      </c>
      <c r="C680" t="s">
        <v>541</v>
      </c>
      <c r="D680">
        <v>18</v>
      </c>
      <c r="E680">
        <v>2</v>
      </c>
      <c r="F680">
        <v>40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2761</v>
      </c>
      <c r="P680">
        <f t="shared" si="31"/>
        <v>0</v>
      </c>
      <c r="Q680">
        <f t="shared" si="32"/>
        <v>0</v>
      </c>
    </row>
    <row r="681" spans="1:17" x14ac:dyDescent="0.25">
      <c r="A681" t="str">
        <f t="shared" si="30"/>
        <v>Brandon Austin</v>
      </c>
      <c r="B681" t="s">
        <v>397</v>
      </c>
      <c r="C681" t="s">
        <v>935</v>
      </c>
      <c r="D681">
        <v>18</v>
      </c>
      <c r="E681">
        <v>1</v>
      </c>
      <c r="F681">
        <v>40</v>
      </c>
      <c r="G681">
        <v>90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7</v>
      </c>
      <c r="O681" t="s">
        <v>935</v>
      </c>
      <c r="P681">
        <f t="shared" si="31"/>
        <v>0</v>
      </c>
      <c r="Q681">
        <f t="shared" si="32"/>
        <v>0</v>
      </c>
    </row>
    <row r="682" spans="1:17" x14ac:dyDescent="0.25">
      <c r="A682" t="str">
        <f t="shared" si="30"/>
        <v>Rodrigo Bentancur</v>
      </c>
      <c r="B682" t="s">
        <v>531</v>
      </c>
      <c r="C682" t="s">
        <v>966</v>
      </c>
      <c r="D682">
        <v>18</v>
      </c>
      <c r="E682">
        <v>3</v>
      </c>
      <c r="F682">
        <v>49</v>
      </c>
      <c r="G682">
        <v>1640</v>
      </c>
      <c r="H682">
        <v>21</v>
      </c>
      <c r="I682">
        <v>2</v>
      </c>
      <c r="J682">
        <v>0</v>
      </c>
      <c r="K682">
        <v>1.36</v>
      </c>
      <c r="L682">
        <v>1.02</v>
      </c>
      <c r="M682">
        <v>49</v>
      </c>
      <c r="N682">
        <v>293</v>
      </c>
      <c r="O682" t="s">
        <v>966</v>
      </c>
      <c r="P682">
        <f t="shared" si="31"/>
        <v>7.4634146341463425E-2</v>
      </c>
      <c r="Q682">
        <f t="shared" si="32"/>
        <v>5.5975609756097562E-2</v>
      </c>
    </row>
    <row r="683" spans="1:17" x14ac:dyDescent="0.25">
      <c r="A683" t="str">
        <f t="shared" si="30"/>
        <v>Lucas Bergvall</v>
      </c>
      <c r="B683" t="s">
        <v>78</v>
      </c>
      <c r="C683" t="s">
        <v>970</v>
      </c>
      <c r="D683">
        <v>18</v>
      </c>
      <c r="E683">
        <v>3</v>
      </c>
      <c r="F683">
        <v>44</v>
      </c>
      <c r="G683">
        <v>1200</v>
      </c>
      <c r="H683">
        <v>11</v>
      </c>
      <c r="I683">
        <v>0</v>
      </c>
      <c r="J683">
        <v>2</v>
      </c>
      <c r="K683">
        <v>0.71</v>
      </c>
      <c r="L683">
        <v>0.82</v>
      </c>
      <c r="M683">
        <v>44</v>
      </c>
      <c r="N683">
        <v>216</v>
      </c>
      <c r="O683" t="s">
        <v>970</v>
      </c>
      <c r="P683">
        <f t="shared" si="31"/>
        <v>5.3249999999999999E-2</v>
      </c>
      <c r="Q683">
        <f t="shared" si="32"/>
        <v>6.1499999999999999E-2</v>
      </c>
    </row>
    <row r="684" spans="1:17" x14ac:dyDescent="0.25">
      <c r="A684" t="str">
        <f t="shared" si="30"/>
        <v>Yves Bissouma</v>
      </c>
      <c r="B684" t="s">
        <v>1973</v>
      </c>
      <c r="C684" t="s">
        <v>1974</v>
      </c>
      <c r="D684">
        <v>18</v>
      </c>
      <c r="E684">
        <v>3</v>
      </c>
      <c r="F684">
        <v>48</v>
      </c>
      <c r="G684">
        <v>1396</v>
      </c>
      <c r="H684">
        <v>16</v>
      </c>
      <c r="I684">
        <v>2</v>
      </c>
      <c r="J684">
        <v>0</v>
      </c>
      <c r="K684">
        <v>0.64</v>
      </c>
      <c r="L684">
        <v>0.48</v>
      </c>
      <c r="M684">
        <v>50</v>
      </c>
      <c r="N684">
        <v>258</v>
      </c>
      <c r="O684" t="s">
        <v>1974</v>
      </c>
      <c r="P684">
        <f t="shared" si="31"/>
        <v>4.1260744985673357E-2</v>
      </c>
      <c r="Q684">
        <f t="shared" si="32"/>
        <v>3.0945558739255013E-2</v>
      </c>
    </row>
    <row r="685" spans="1:17" x14ac:dyDescent="0.25">
      <c r="A685" t="str">
        <f t="shared" si="30"/>
        <v>Bryan Gil Salvatierra</v>
      </c>
      <c r="B685" t="s">
        <v>825</v>
      </c>
      <c r="C685" t="s">
        <v>1975</v>
      </c>
      <c r="D685">
        <v>18</v>
      </c>
      <c r="E685">
        <v>3</v>
      </c>
      <c r="F685">
        <v>50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825</v>
      </c>
      <c r="P685">
        <f t="shared" si="31"/>
        <v>0</v>
      </c>
      <c r="Q685">
        <f t="shared" si="32"/>
        <v>0</v>
      </c>
    </row>
    <row r="686" spans="1:17" x14ac:dyDescent="0.25">
      <c r="A686" t="str">
        <f t="shared" si="30"/>
        <v>Ben Davies</v>
      </c>
      <c r="B686" t="s">
        <v>159</v>
      </c>
      <c r="C686" t="s">
        <v>700</v>
      </c>
      <c r="D686">
        <v>18</v>
      </c>
      <c r="E686">
        <v>2</v>
      </c>
      <c r="F686">
        <v>43</v>
      </c>
      <c r="G686">
        <v>1329</v>
      </c>
      <c r="H686">
        <v>14</v>
      </c>
      <c r="I686">
        <v>0</v>
      </c>
      <c r="J686">
        <v>0</v>
      </c>
      <c r="K686">
        <v>0.27</v>
      </c>
      <c r="L686">
        <v>0.5</v>
      </c>
      <c r="M686">
        <v>28</v>
      </c>
      <c r="N686">
        <v>154</v>
      </c>
      <c r="O686" t="s">
        <v>700</v>
      </c>
      <c r="P686">
        <f t="shared" si="31"/>
        <v>1.8284424379232507E-2</v>
      </c>
      <c r="Q686">
        <f t="shared" si="32"/>
        <v>3.3860045146726858E-2</v>
      </c>
    </row>
    <row r="687" spans="1:17" x14ac:dyDescent="0.25">
      <c r="A687" t="str">
        <f t="shared" si="30"/>
        <v>Alfie Devine</v>
      </c>
      <c r="B687" t="s">
        <v>507</v>
      </c>
      <c r="C687" t="s">
        <v>2348</v>
      </c>
      <c r="D687">
        <v>18</v>
      </c>
      <c r="E687">
        <v>3</v>
      </c>
      <c r="F687">
        <v>45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2348</v>
      </c>
      <c r="P687">
        <f t="shared" si="31"/>
        <v>0</v>
      </c>
      <c r="Q687">
        <f t="shared" si="32"/>
        <v>0</v>
      </c>
    </row>
    <row r="688" spans="1:17" x14ac:dyDescent="0.25">
      <c r="A688" t="str">
        <f t="shared" si="30"/>
        <v>Radu Drăgușin</v>
      </c>
      <c r="B688" t="s">
        <v>1370</v>
      </c>
      <c r="C688" t="s">
        <v>2007</v>
      </c>
      <c r="D688">
        <v>18</v>
      </c>
      <c r="E688">
        <v>2</v>
      </c>
      <c r="F688">
        <v>43</v>
      </c>
      <c r="G688">
        <v>1250</v>
      </c>
      <c r="H688">
        <v>14</v>
      </c>
      <c r="I688">
        <v>0</v>
      </c>
      <c r="J688">
        <v>0</v>
      </c>
      <c r="K688">
        <v>0.13</v>
      </c>
      <c r="L688">
        <v>0.16</v>
      </c>
      <c r="M688">
        <v>24</v>
      </c>
      <c r="N688">
        <v>96</v>
      </c>
      <c r="O688" t="s">
        <v>2006</v>
      </c>
      <c r="P688">
        <f t="shared" si="31"/>
        <v>9.3600000000000003E-3</v>
      </c>
      <c r="Q688">
        <f t="shared" si="32"/>
        <v>1.1519999999999999E-2</v>
      </c>
    </row>
    <row r="689" spans="1:17" x14ac:dyDescent="0.25">
      <c r="A689" t="str">
        <f t="shared" si="30"/>
        <v>Emerson Leite de Souza Junior</v>
      </c>
      <c r="B689" t="s">
        <v>1977</v>
      </c>
      <c r="C689" t="s">
        <v>1978</v>
      </c>
      <c r="D689">
        <v>18</v>
      </c>
      <c r="E689">
        <v>2</v>
      </c>
      <c r="F689">
        <v>45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2762</v>
      </c>
      <c r="P689">
        <f t="shared" si="31"/>
        <v>0</v>
      </c>
      <c r="Q689">
        <f t="shared" si="32"/>
        <v>0</v>
      </c>
    </row>
    <row r="690" spans="1:17" x14ac:dyDescent="0.25">
      <c r="A690" t="str">
        <f t="shared" si="30"/>
        <v>Fraser Forster</v>
      </c>
      <c r="B690" t="s">
        <v>131</v>
      </c>
      <c r="C690" t="s">
        <v>132</v>
      </c>
      <c r="D690">
        <v>18</v>
      </c>
      <c r="E690">
        <v>1</v>
      </c>
      <c r="F690">
        <v>43</v>
      </c>
      <c r="G690">
        <v>630</v>
      </c>
      <c r="H690">
        <v>7</v>
      </c>
      <c r="I690">
        <v>0</v>
      </c>
      <c r="J690">
        <v>0</v>
      </c>
      <c r="K690">
        <v>0</v>
      </c>
      <c r="L690">
        <v>0</v>
      </c>
      <c r="M690">
        <v>19</v>
      </c>
      <c r="N690">
        <v>64</v>
      </c>
      <c r="O690" t="s">
        <v>132</v>
      </c>
      <c r="P690">
        <f t="shared" si="31"/>
        <v>0</v>
      </c>
      <c r="Q690">
        <f t="shared" si="32"/>
        <v>0</v>
      </c>
    </row>
    <row r="691" spans="1:17" x14ac:dyDescent="0.25">
      <c r="A691" t="str">
        <f t="shared" si="30"/>
        <v>Archie Gray</v>
      </c>
      <c r="B691" t="s">
        <v>973</v>
      </c>
      <c r="C691" t="s">
        <v>974</v>
      </c>
      <c r="D691">
        <v>18</v>
      </c>
      <c r="E691">
        <v>3</v>
      </c>
      <c r="F691">
        <v>46</v>
      </c>
      <c r="G691">
        <v>1750</v>
      </c>
      <c r="H691">
        <v>19</v>
      </c>
      <c r="I691">
        <v>0</v>
      </c>
      <c r="J691">
        <v>0</v>
      </c>
      <c r="K691">
        <v>0.03</v>
      </c>
      <c r="L691">
        <v>0.19</v>
      </c>
      <c r="M691">
        <v>45</v>
      </c>
      <c r="N691">
        <v>253</v>
      </c>
      <c r="O691" t="s">
        <v>974</v>
      </c>
      <c r="P691">
        <f t="shared" si="31"/>
        <v>1.5428571428571427E-3</v>
      </c>
      <c r="Q691">
        <f t="shared" si="32"/>
        <v>9.7714285714285715E-3</v>
      </c>
    </row>
    <row r="692" spans="1:17" x14ac:dyDescent="0.25">
      <c r="A692" t="str">
        <f t="shared" si="30"/>
        <v>Pierre-Emile Højbjerg</v>
      </c>
      <c r="B692" t="s">
        <v>1979</v>
      </c>
      <c r="C692" t="s">
        <v>1980</v>
      </c>
      <c r="D692">
        <v>18</v>
      </c>
      <c r="E692">
        <v>3</v>
      </c>
      <c r="F692">
        <v>50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1980</v>
      </c>
      <c r="P692">
        <f t="shared" si="31"/>
        <v>0</v>
      </c>
      <c r="Q692">
        <f t="shared" si="32"/>
        <v>0</v>
      </c>
    </row>
    <row r="693" spans="1:17" x14ac:dyDescent="0.25">
      <c r="A693" t="str">
        <f t="shared" si="30"/>
        <v>Brennan Johnson</v>
      </c>
      <c r="B693" t="s">
        <v>470</v>
      </c>
      <c r="C693" t="s">
        <v>471</v>
      </c>
      <c r="D693">
        <v>18</v>
      </c>
      <c r="E693">
        <v>3</v>
      </c>
      <c r="F693">
        <v>62</v>
      </c>
      <c r="G693">
        <v>2171</v>
      </c>
      <c r="H693">
        <v>24</v>
      </c>
      <c r="I693">
        <v>11</v>
      </c>
      <c r="J693">
        <v>6</v>
      </c>
      <c r="K693">
        <v>10.75</v>
      </c>
      <c r="L693">
        <v>1.99</v>
      </c>
      <c r="M693">
        <v>137</v>
      </c>
      <c r="N693">
        <v>461</v>
      </c>
      <c r="O693" t="s">
        <v>471</v>
      </c>
      <c r="P693">
        <f t="shared" si="31"/>
        <v>0.44564716720405345</v>
      </c>
      <c r="Q693">
        <f t="shared" si="32"/>
        <v>8.249654537079687E-2</v>
      </c>
    </row>
    <row r="694" spans="1:17" x14ac:dyDescent="0.25">
      <c r="A694" t="str">
        <f t="shared" si="30"/>
        <v>Dejan Kulusevski</v>
      </c>
      <c r="B694" t="s">
        <v>971</v>
      </c>
      <c r="C694" t="s">
        <v>972</v>
      </c>
      <c r="D694">
        <v>18</v>
      </c>
      <c r="E694">
        <v>3</v>
      </c>
      <c r="F694">
        <v>62</v>
      </c>
      <c r="G694">
        <v>2386</v>
      </c>
      <c r="H694">
        <v>27</v>
      </c>
      <c r="I694">
        <v>7</v>
      </c>
      <c r="J694">
        <v>4</v>
      </c>
      <c r="K694">
        <v>4.0599999999999996</v>
      </c>
      <c r="L694">
        <v>4.03</v>
      </c>
      <c r="M694">
        <v>117</v>
      </c>
      <c r="N694">
        <v>426</v>
      </c>
      <c r="O694" t="s">
        <v>972</v>
      </c>
      <c r="P694">
        <f t="shared" si="31"/>
        <v>0.15314333612740988</v>
      </c>
      <c r="Q694">
        <f t="shared" si="32"/>
        <v>0.15201173512154234</v>
      </c>
    </row>
    <row r="695" spans="1:17" x14ac:dyDescent="0.25">
      <c r="A695" t="str">
        <f t="shared" si="30"/>
        <v>Giovani Lo Celso</v>
      </c>
      <c r="B695" t="s">
        <v>1983</v>
      </c>
      <c r="C695" t="s">
        <v>1984</v>
      </c>
      <c r="D695">
        <v>18</v>
      </c>
      <c r="E695">
        <v>3</v>
      </c>
      <c r="F695">
        <v>49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1984</v>
      </c>
      <c r="P695">
        <f t="shared" si="31"/>
        <v>0</v>
      </c>
      <c r="Q695">
        <f t="shared" si="32"/>
        <v>0</v>
      </c>
    </row>
    <row r="696" spans="1:17" x14ac:dyDescent="0.25">
      <c r="A696" t="str">
        <f t="shared" si="30"/>
        <v>James Maddison</v>
      </c>
      <c r="B696" t="s">
        <v>135</v>
      </c>
      <c r="C696" t="s">
        <v>965</v>
      </c>
      <c r="D696">
        <v>18</v>
      </c>
      <c r="E696">
        <v>3</v>
      </c>
      <c r="F696">
        <v>74</v>
      </c>
      <c r="G696">
        <v>1799</v>
      </c>
      <c r="H696">
        <v>21</v>
      </c>
      <c r="I696">
        <v>9</v>
      </c>
      <c r="J696">
        <v>8</v>
      </c>
      <c r="K696">
        <v>5.54</v>
      </c>
      <c r="L696">
        <v>5.92</v>
      </c>
      <c r="M696">
        <v>133</v>
      </c>
      <c r="N696">
        <v>592</v>
      </c>
      <c r="O696" t="s">
        <v>965</v>
      </c>
      <c r="P696">
        <f t="shared" si="31"/>
        <v>0.27715397443023904</v>
      </c>
      <c r="Q696">
        <f t="shared" si="32"/>
        <v>0.29616453585325181</v>
      </c>
    </row>
    <row r="697" spans="1:17" x14ac:dyDescent="0.25">
      <c r="A697" t="str">
        <f t="shared" si="30"/>
        <v>Pedro Porro</v>
      </c>
      <c r="B697" t="s">
        <v>321</v>
      </c>
      <c r="C697" t="s">
        <v>1987</v>
      </c>
      <c r="D697">
        <v>18</v>
      </c>
      <c r="E697">
        <v>2</v>
      </c>
      <c r="F697">
        <v>52</v>
      </c>
      <c r="G697">
        <v>2606</v>
      </c>
      <c r="H697">
        <v>28</v>
      </c>
      <c r="I697">
        <v>2</v>
      </c>
      <c r="J697">
        <v>6</v>
      </c>
      <c r="K697">
        <v>1.63</v>
      </c>
      <c r="L697">
        <v>4.71</v>
      </c>
      <c r="M697">
        <v>98</v>
      </c>
      <c r="N697">
        <v>456</v>
      </c>
      <c r="O697" t="s">
        <v>2763</v>
      </c>
      <c r="P697">
        <f t="shared" si="31"/>
        <v>5.6293169608595546E-2</v>
      </c>
      <c r="Q697">
        <f t="shared" si="32"/>
        <v>0.16266308518802763</v>
      </c>
    </row>
    <row r="698" spans="1:17" x14ac:dyDescent="0.25">
      <c r="A698" t="str">
        <f t="shared" si="30"/>
        <v>Sergio Reguilón</v>
      </c>
      <c r="B698" t="s">
        <v>1406</v>
      </c>
      <c r="C698" t="s">
        <v>1407</v>
      </c>
      <c r="D698">
        <v>18</v>
      </c>
      <c r="E698">
        <v>2</v>
      </c>
      <c r="F698">
        <v>41</v>
      </c>
      <c r="G698">
        <v>194</v>
      </c>
      <c r="H698">
        <v>1</v>
      </c>
      <c r="I698">
        <v>0</v>
      </c>
      <c r="J698">
        <v>0</v>
      </c>
      <c r="K698">
        <v>0.12</v>
      </c>
      <c r="L698">
        <v>0.24</v>
      </c>
      <c r="M698">
        <v>2</v>
      </c>
      <c r="N698">
        <v>20</v>
      </c>
      <c r="O698" t="s">
        <v>1407</v>
      </c>
      <c r="P698">
        <f t="shared" si="31"/>
        <v>5.5670103092783502E-2</v>
      </c>
      <c r="Q698">
        <f t="shared" si="32"/>
        <v>0.111340206185567</v>
      </c>
    </row>
    <row r="699" spans="1:17" x14ac:dyDescent="0.25">
      <c r="A699" t="str">
        <f t="shared" si="30"/>
        <v>Richarlison de Andrade</v>
      </c>
      <c r="B699" t="s">
        <v>981</v>
      </c>
      <c r="C699" t="s">
        <v>982</v>
      </c>
      <c r="D699">
        <v>18</v>
      </c>
      <c r="E699">
        <v>4</v>
      </c>
      <c r="F699">
        <v>68</v>
      </c>
      <c r="G699">
        <v>497</v>
      </c>
      <c r="H699">
        <v>4</v>
      </c>
      <c r="I699">
        <v>4</v>
      </c>
      <c r="J699">
        <v>1</v>
      </c>
      <c r="K699">
        <v>3.71</v>
      </c>
      <c r="L699">
        <v>0.6</v>
      </c>
      <c r="M699">
        <v>35</v>
      </c>
      <c r="N699">
        <v>138</v>
      </c>
      <c r="O699" t="s">
        <v>981</v>
      </c>
      <c r="P699">
        <f t="shared" si="31"/>
        <v>0.67183098591549295</v>
      </c>
      <c r="Q699">
        <f t="shared" si="32"/>
        <v>0.10865191146881288</v>
      </c>
    </row>
    <row r="700" spans="1:17" x14ac:dyDescent="0.25">
      <c r="A700" t="str">
        <f t="shared" si="30"/>
        <v>Cristian Romero</v>
      </c>
      <c r="B700" t="s">
        <v>942</v>
      </c>
      <c r="C700" t="s">
        <v>943</v>
      </c>
      <c r="D700">
        <v>18</v>
      </c>
      <c r="E700">
        <v>2</v>
      </c>
      <c r="F700">
        <v>49</v>
      </c>
      <c r="G700">
        <v>1416</v>
      </c>
      <c r="H700">
        <v>18</v>
      </c>
      <c r="I700">
        <v>1</v>
      </c>
      <c r="J700">
        <v>1</v>
      </c>
      <c r="K700">
        <v>1.52</v>
      </c>
      <c r="L700">
        <v>0.81</v>
      </c>
      <c r="M700">
        <v>49</v>
      </c>
      <c r="N700">
        <v>245</v>
      </c>
      <c r="O700" t="s">
        <v>943</v>
      </c>
      <c r="P700">
        <f t="shared" si="31"/>
        <v>9.6610169491525413E-2</v>
      </c>
      <c r="Q700">
        <f t="shared" si="32"/>
        <v>5.1483050847457634E-2</v>
      </c>
    </row>
    <row r="701" spans="1:17" x14ac:dyDescent="0.25">
      <c r="A701" t="str">
        <f t="shared" si="30"/>
        <v>Pape Matar Sarr</v>
      </c>
      <c r="B701" t="s">
        <v>968</v>
      </c>
      <c r="C701" t="s">
        <v>312</v>
      </c>
      <c r="D701">
        <v>18</v>
      </c>
      <c r="E701">
        <v>3</v>
      </c>
      <c r="F701">
        <v>47</v>
      </c>
      <c r="G701">
        <v>1901</v>
      </c>
      <c r="H701">
        <v>22</v>
      </c>
      <c r="I701">
        <v>3</v>
      </c>
      <c r="J701">
        <v>2</v>
      </c>
      <c r="K701">
        <v>3.72</v>
      </c>
      <c r="L701">
        <v>0.78</v>
      </c>
      <c r="M701">
        <v>71</v>
      </c>
      <c r="N701">
        <v>365</v>
      </c>
      <c r="O701" t="s">
        <v>2764</v>
      </c>
      <c r="P701">
        <f t="shared" si="31"/>
        <v>0.17611783271962125</v>
      </c>
      <c r="Q701">
        <f t="shared" si="32"/>
        <v>3.6927932667017362E-2</v>
      </c>
    </row>
    <row r="702" spans="1:17" x14ac:dyDescent="0.25">
      <c r="A702" t="str">
        <f t="shared" si="30"/>
        <v>Dane Scarlett</v>
      </c>
      <c r="B702" t="s">
        <v>983</v>
      </c>
      <c r="C702" t="s">
        <v>984</v>
      </c>
      <c r="D702">
        <v>18</v>
      </c>
      <c r="E702">
        <v>4</v>
      </c>
      <c r="F702">
        <v>44</v>
      </c>
      <c r="G702">
        <v>31</v>
      </c>
      <c r="H702">
        <v>0</v>
      </c>
      <c r="I702">
        <v>0</v>
      </c>
      <c r="J702">
        <v>1</v>
      </c>
      <c r="K702">
        <v>0.04</v>
      </c>
      <c r="L702">
        <v>0</v>
      </c>
      <c r="M702">
        <v>6</v>
      </c>
      <c r="N702">
        <v>20</v>
      </c>
      <c r="O702" t="s">
        <v>984</v>
      </c>
      <c r="P702">
        <f t="shared" si="31"/>
        <v>0.11612903225806452</v>
      </c>
      <c r="Q702">
        <f t="shared" si="32"/>
        <v>0</v>
      </c>
    </row>
    <row r="703" spans="1:17" x14ac:dyDescent="0.25">
      <c r="A703" t="str">
        <f t="shared" si="30"/>
        <v>Manor Solomon</v>
      </c>
      <c r="B703" t="s">
        <v>1996</v>
      </c>
      <c r="C703" t="s">
        <v>1997</v>
      </c>
      <c r="D703">
        <v>18</v>
      </c>
      <c r="E703">
        <v>3</v>
      </c>
      <c r="F703">
        <v>54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1997</v>
      </c>
      <c r="P703">
        <f t="shared" si="31"/>
        <v>0</v>
      </c>
      <c r="Q703">
        <f t="shared" si="32"/>
        <v>0</v>
      </c>
    </row>
    <row r="704" spans="1:17" x14ac:dyDescent="0.25">
      <c r="A704" t="str">
        <f t="shared" si="30"/>
        <v>Son Heung-min</v>
      </c>
      <c r="B704" t="s">
        <v>1991</v>
      </c>
      <c r="C704" t="s">
        <v>1992</v>
      </c>
      <c r="D704">
        <v>18</v>
      </c>
      <c r="E704">
        <v>3</v>
      </c>
      <c r="F704">
        <v>97</v>
      </c>
      <c r="G704">
        <v>2106</v>
      </c>
      <c r="H704">
        <v>24</v>
      </c>
      <c r="I704">
        <v>7</v>
      </c>
      <c r="J704">
        <v>10</v>
      </c>
      <c r="K704">
        <v>7.25</v>
      </c>
      <c r="L704">
        <v>4.97</v>
      </c>
      <c r="M704">
        <v>129</v>
      </c>
      <c r="N704">
        <v>543</v>
      </c>
      <c r="O704" t="s">
        <v>1991</v>
      </c>
      <c r="P704">
        <f t="shared" si="31"/>
        <v>0.30982905982905984</v>
      </c>
      <c r="Q704">
        <f t="shared" si="32"/>
        <v>0.21239316239316236</v>
      </c>
    </row>
    <row r="705" spans="1:17" x14ac:dyDescent="0.25">
      <c r="A705" t="str">
        <f t="shared" si="30"/>
        <v>Djed Spence</v>
      </c>
      <c r="B705" t="s">
        <v>949</v>
      </c>
      <c r="C705" t="s">
        <v>950</v>
      </c>
      <c r="D705">
        <v>18</v>
      </c>
      <c r="E705">
        <v>2</v>
      </c>
      <c r="F705">
        <v>44</v>
      </c>
      <c r="G705">
        <v>1790</v>
      </c>
      <c r="H705">
        <v>19</v>
      </c>
      <c r="I705">
        <v>1</v>
      </c>
      <c r="J705">
        <v>2</v>
      </c>
      <c r="K705">
        <v>0.57999999999999996</v>
      </c>
      <c r="L705">
        <v>1.41</v>
      </c>
      <c r="M705">
        <v>51</v>
      </c>
      <c r="N705">
        <v>216</v>
      </c>
      <c r="O705" t="s">
        <v>950</v>
      </c>
      <c r="P705">
        <f t="shared" si="31"/>
        <v>2.9162011173184354E-2</v>
      </c>
      <c r="Q705">
        <f t="shared" si="32"/>
        <v>7.0893854748603352E-2</v>
      </c>
    </row>
    <row r="706" spans="1:17" x14ac:dyDescent="0.25">
      <c r="A706" t="str">
        <f t="shared" ref="A706:A769" si="33">_xlfn.CONCAT(B706, " ", C706)</f>
        <v>Destiny Udogie</v>
      </c>
      <c r="B706" t="s">
        <v>951</v>
      </c>
      <c r="C706" t="s">
        <v>952</v>
      </c>
      <c r="D706">
        <v>18</v>
      </c>
      <c r="E706">
        <v>2</v>
      </c>
      <c r="F706">
        <v>48</v>
      </c>
      <c r="G706">
        <v>1923</v>
      </c>
      <c r="H706">
        <v>24</v>
      </c>
      <c r="I706">
        <v>0</v>
      </c>
      <c r="J706">
        <v>1</v>
      </c>
      <c r="K706">
        <v>0.31</v>
      </c>
      <c r="L706">
        <v>1.22</v>
      </c>
      <c r="M706">
        <v>43</v>
      </c>
      <c r="N706">
        <v>233</v>
      </c>
      <c r="O706" t="s">
        <v>952</v>
      </c>
      <c r="P706">
        <f t="shared" ref="P706:P769" si="34">IFERROR(K706/G706*90,0)</f>
        <v>1.4508580343213728E-2</v>
      </c>
      <c r="Q706">
        <f t="shared" ref="Q706:Q769" si="35">IFERROR(L706/G706*90,0)</f>
        <v>5.7098283931357255E-2</v>
      </c>
    </row>
    <row r="707" spans="1:17" x14ac:dyDescent="0.25">
      <c r="A707" t="str">
        <f t="shared" si="33"/>
        <v>Micky van de Ven</v>
      </c>
      <c r="B707" t="s">
        <v>947</v>
      </c>
      <c r="C707" t="s">
        <v>948</v>
      </c>
      <c r="D707">
        <v>18</v>
      </c>
      <c r="E707">
        <v>2</v>
      </c>
      <c r="F707">
        <v>45</v>
      </c>
      <c r="G707">
        <v>1014</v>
      </c>
      <c r="H707">
        <v>12</v>
      </c>
      <c r="I707">
        <v>0</v>
      </c>
      <c r="J707">
        <v>2</v>
      </c>
      <c r="K707">
        <v>0.54</v>
      </c>
      <c r="L707">
        <v>0.7</v>
      </c>
      <c r="M707">
        <v>32</v>
      </c>
      <c r="N707">
        <v>139</v>
      </c>
      <c r="O707" t="s">
        <v>2765</v>
      </c>
      <c r="P707">
        <f t="shared" si="34"/>
        <v>4.7928994082840244E-2</v>
      </c>
      <c r="Q707">
        <f t="shared" si="35"/>
        <v>6.2130177514792898E-2</v>
      </c>
    </row>
    <row r="708" spans="1:17" x14ac:dyDescent="0.25">
      <c r="A708" t="str">
        <f t="shared" si="33"/>
        <v>Alejo Véliz</v>
      </c>
      <c r="B708" t="s">
        <v>1998</v>
      </c>
      <c r="C708" t="s">
        <v>1999</v>
      </c>
      <c r="D708">
        <v>18</v>
      </c>
      <c r="E708">
        <v>4</v>
      </c>
      <c r="F708">
        <v>50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2766</v>
      </c>
      <c r="P708">
        <f t="shared" si="34"/>
        <v>0</v>
      </c>
      <c r="Q708">
        <f t="shared" si="35"/>
        <v>0</v>
      </c>
    </row>
    <row r="709" spans="1:17" x14ac:dyDescent="0.25">
      <c r="A709" t="str">
        <f t="shared" si="33"/>
        <v>Guglielmo Vicario</v>
      </c>
      <c r="B709" t="s">
        <v>933</v>
      </c>
      <c r="C709" t="s">
        <v>934</v>
      </c>
      <c r="D709">
        <v>18</v>
      </c>
      <c r="E709">
        <v>1</v>
      </c>
      <c r="F709">
        <v>48</v>
      </c>
      <c r="G709">
        <v>2160</v>
      </c>
      <c r="H709">
        <v>24</v>
      </c>
      <c r="I709">
        <v>0</v>
      </c>
      <c r="J709">
        <v>0</v>
      </c>
      <c r="K709">
        <v>0</v>
      </c>
      <c r="L709">
        <v>0</v>
      </c>
      <c r="M709">
        <v>66</v>
      </c>
      <c r="N709">
        <v>293</v>
      </c>
      <c r="O709" t="s">
        <v>934</v>
      </c>
      <c r="P709">
        <f t="shared" si="34"/>
        <v>0</v>
      </c>
      <c r="Q709">
        <f t="shared" si="35"/>
        <v>0</v>
      </c>
    </row>
    <row r="710" spans="1:17" x14ac:dyDescent="0.25">
      <c r="A710" t="str">
        <f t="shared" si="33"/>
        <v>Timo Werner</v>
      </c>
      <c r="B710" t="s">
        <v>2004</v>
      </c>
      <c r="C710" t="s">
        <v>2005</v>
      </c>
      <c r="D710">
        <v>18</v>
      </c>
      <c r="E710">
        <v>3</v>
      </c>
      <c r="F710">
        <v>62</v>
      </c>
      <c r="G710">
        <v>504</v>
      </c>
      <c r="H710">
        <v>4</v>
      </c>
      <c r="I710">
        <v>0</v>
      </c>
      <c r="J710">
        <v>3</v>
      </c>
      <c r="K710">
        <v>1.04</v>
      </c>
      <c r="L710">
        <v>1.55</v>
      </c>
      <c r="M710">
        <v>34</v>
      </c>
      <c r="N710">
        <v>120</v>
      </c>
      <c r="O710" t="s">
        <v>2005</v>
      </c>
      <c r="P710">
        <f t="shared" si="34"/>
        <v>0.18571428571428572</v>
      </c>
      <c r="Q710">
        <f t="shared" si="35"/>
        <v>0.2767857142857143</v>
      </c>
    </row>
    <row r="711" spans="1:17" x14ac:dyDescent="0.25">
      <c r="A711" t="str">
        <f t="shared" si="33"/>
        <v>Alfie Whiteman</v>
      </c>
      <c r="B711" t="s">
        <v>507</v>
      </c>
      <c r="C711" t="s">
        <v>1995</v>
      </c>
      <c r="D711">
        <v>18</v>
      </c>
      <c r="E711">
        <v>1</v>
      </c>
      <c r="F711">
        <v>39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1995</v>
      </c>
      <c r="P711">
        <f t="shared" si="34"/>
        <v>0</v>
      </c>
      <c r="Q711">
        <f t="shared" si="35"/>
        <v>0</v>
      </c>
    </row>
    <row r="712" spans="1:17" x14ac:dyDescent="0.25">
      <c r="A712" t="str">
        <f t="shared" si="33"/>
        <v>Will Lankshear</v>
      </c>
      <c r="B712" t="s">
        <v>133</v>
      </c>
      <c r="C712" t="s">
        <v>2349</v>
      </c>
      <c r="D712">
        <v>18</v>
      </c>
      <c r="E712">
        <v>4</v>
      </c>
      <c r="F712">
        <v>45</v>
      </c>
      <c r="G712">
        <v>10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</v>
      </c>
      <c r="N712">
        <v>7</v>
      </c>
      <c r="O712" t="s">
        <v>2349</v>
      </c>
      <c r="P712">
        <f t="shared" si="34"/>
        <v>0</v>
      </c>
      <c r="Q712">
        <f t="shared" si="35"/>
        <v>0</v>
      </c>
    </row>
    <row r="713" spans="1:17" x14ac:dyDescent="0.25">
      <c r="A713" t="str">
        <f t="shared" si="33"/>
        <v>Mikey Moore</v>
      </c>
      <c r="B713" t="s">
        <v>975</v>
      </c>
      <c r="C713" t="s">
        <v>976</v>
      </c>
      <c r="D713">
        <v>18</v>
      </c>
      <c r="E713">
        <v>3</v>
      </c>
      <c r="F713">
        <v>45</v>
      </c>
      <c r="G713">
        <v>359</v>
      </c>
      <c r="H713">
        <v>3</v>
      </c>
      <c r="I713">
        <v>0</v>
      </c>
      <c r="J713">
        <v>2</v>
      </c>
      <c r="K713">
        <v>0.2</v>
      </c>
      <c r="L713">
        <v>0.56000000000000005</v>
      </c>
      <c r="M713">
        <v>19</v>
      </c>
      <c r="N713">
        <v>51</v>
      </c>
      <c r="O713" t="s">
        <v>976</v>
      </c>
      <c r="P713">
        <f t="shared" si="34"/>
        <v>5.0139275766016712E-2</v>
      </c>
      <c r="Q713">
        <f t="shared" si="35"/>
        <v>0.1403899721448468</v>
      </c>
    </row>
    <row r="714" spans="1:17" x14ac:dyDescent="0.25">
      <c r="A714" t="str">
        <f t="shared" si="33"/>
        <v>Wilson Odobert</v>
      </c>
      <c r="B714" t="s">
        <v>228</v>
      </c>
      <c r="C714" t="s">
        <v>967</v>
      </c>
      <c r="D714">
        <v>18</v>
      </c>
      <c r="E714">
        <v>3</v>
      </c>
      <c r="F714">
        <v>53</v>
      </c>
      <c r="G714">
        <v>843</v>
      </c>
      <c r="H714">
        <v>9</v>
      </c>
      <c r="I714">
        <v>1</v>
      </c>
      <c r="J714">
        <v>0</v>
      </c>
      <c r="K714">
        <v>1.63</v>
      </c>
      <c r="L714">
        <v>0.76</v>
      </c>
      <c r="M714">
        <v>34</v>
      </c>
      <c r="N714">
        <v>92</v>
      </c>
      <c r="O714" t="s">
        <v>967</v>
      </c>
      <c r="P714">
        <f t="shared" si="34"/>
        <v>0.17402135231316726</v>
      </c>
      <c r="Q714">
        <f t="shared" si="35"/>
        <v>8.1138790035587188E-2</v>
      </c>
    </row>
    <row r="715" spans="1:17" x14ac:dyDescent="0.25">
      <c r="A715" t="str">
        <f t="shared" si="33"/>
        <v>Callum Olusesi</v>
      </c>
      <c r="B715" t="s">
        <v>227</v>
      </c>
      <c r="C715" t="s">
        <v>977</v>
      </c>
      <c r="D715">
        <v>18</v>
      </c>
      <c r="E715">
        <v>3</v>
      </c>
      <c r="F715">
        <v>45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977</v>
      </c>
      <c r="P715">
        <f t="shared" si="34"/>
        <v>0</v>
      </c>
      <c r="Q715">
        <f t="shared" si="35"/>
        <v>0</v>
      </c>
    </row>
    <row r="716" spans="1:17" x14ac:dyDescent="0.25">
      <c r="A716" t="str">
        <f t="shared" si="33"/>
        <v>Malachi Hardy</v>
      </c>
      <c r="B716" t="s">
        <v>2350</v>
      </c>
      <c r="C716" t="s">
        <v>2351</v>
      </c>
      <c r="D716">
        <v>18</v>
      </c>
      <c r="E716">
        <v>2</v>
      </c>
      <c r="F716">
        <v>40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2351</v>
      </c>
      <c r="P716">
        <f t="shared" si="34"/>
        <v>0</v>
      </c>
      <c r="Q716">
        <f t="shared" si="35"/>
        <v>0</v>
      </c>
    </row>
    <row r="717" spans="1:17" x14ac:dyDescent="0.25">
      <c r="A717" t="str">
        <f t="shared" si="33"/>
        <v>Luca Williams-Barnett</v>
      </c>
      <c r="B717" t="s">
        <v>903</v>
      </c>
      <c r="C717" t="s">
        <v>1231</v>
      </c>
      <c r="D717">
        <v>18</v>
      </c>
      <c r="E717">
        <v>3</v>
      </c>
      <c r="F717">
        <v>45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1231</v>
      </c>
      <c r="P717">
        <f t="shared" si="34"/>
        <v>0</v>
      </c>
      <c r="Q717">
        <f t="shared" si="35"/>
        <v>0</v>
      </c>
    </row>
    <row r="718" spans="1:17" x14ac:dyDescent="0.25">
      <c r="A718" t="str">
        <f t="shared" si="33"/>
        <v>Alfie Dorrington</v>
      </c>
      <c r="B718" t="s">
        <v>507</v>
      </c>
      <c r="C718" t="s">
        <v>2001</v>
      </c>
      <c r="D718">
        <v>18</v>
      </c>
      <c r="E718">
        <v>2</v>
      </c>
      <c r="F718">
        <v>40</v>
      </c>
      <c r="G718">
        <v>13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4</v>
      </c>
      <c r="O718" t="s">
        <v>2001</v>
      </c>
      <c r="P718">
        <f t="shared" si="34"/>
        <v>0</v>
      </c>
      <c r="Q718">
        <f t="shared" si="35"/>
        <v>0</v>
      </c>
    </row>
    <row r="719" spans="1:17" x14ac:dyDescent="0.25">
      <c r="A719" t="str">
        <f t="shared" si="33"/>
        <v>Maeson King</v>
      </c>
      <c r="B719" t="s">
        <v>2352</v>
      </c>
      <c r="C719" t="s">
        <v>475</v>
      </c>
      <c r="D719">
        <v>18</v>
      </c>
      <c r="E719">
        <v>2</v>
      </c>
      <c r="F719">
        <v>40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475</v>
      </c>
      <c r="P719">
        <f t="shared" si="34"/>
        <v>0</v>
      </c>
      <c r="Q719">
        <f t="shared" si="35"/>
        <v>0</v>
      </c>
    </row>
    <row r="720" spans="1:17" x14ac:dyDescent="0.25">
      <c r="A720" t="str">
        <f t="shared" si="33"/>
        <v>Antonín Kinsky</v>
      </c>
      <c r="B720" t="s">
        <v>936</v>
      </c>
      <c r="C720" t="s">
        <v>2353</v>
      </c>
      <c r="D720">
        <v>18</v>
      </c>
      <c r="E720">
        <v>1</v>
      </c>
      <c r="F720">
        <v>41</v>
      </c>
      <c r="G720">
        <v>540</v>
      </c>
      <c r="H720">
        <v>6</v>
      </c>
      <c r="I720">
        <v>0</v>
      </c>
      <c r="J720">
        <v>0</v>
      </c>
      <c r="K720">
        <v>0</v>
      </c>
      <c r="L720">
        <v>0.01</v>
      </c>
      <c r="M720">
        <v>17</v>
      </c>
      <c r="N720">
        <v>86</v>
      </c>
      <c r="O720" t="s">
        <v>2353</v>
      </c>
      <c r="P720">
        <f t="shared" si="34"/>
        <v>0</v>
      </c>
      <c r="Q720">
        <f t="shared" si="35"/>
        <v>1.6666666666666666E-3</v>
      </c>
    </row>
    <row r="721" spans="1:17" x14ac:dyDescent="0.25">
      <c r="A721" t="str">
        <f t="shared" si="33"/>
        <v>Min-Hyeok Yang</v>
      </c>
      <c r="B721" t="s">
        <v>2354</v>
      </c>
      <c r="C721" t="s">
        <v>2355</v>
      </c>
      <c r="D721">
        <v>18</v>
      </c>
      <c r="E721">
        <v>3</v>
      </c>
      <c r="F721">
        <v>45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2355</v>
      </c>
      <c r="P721">
        <f t="shared" si="34"/>
        <v>0</v>
      </c>
      <c r="Q721">
        <f t="shared" si="35"/>
        <v>0</v>
      </c>
    </row>
    <row r="722" spans="1:17" x14ac:dyDescent="0.25">
      <c r="A722" t="str">
        <f t="shared" si="33"/>
        <v>Damola Ajayi</v>
      </c>
      <c r="B722" t="s">
        <v>2356</v>
      </c>
      <c r="C722" t="s">
        <v>550</v>
      </c>
      <c r="D722">
        <v>18</v>
      </c>
      <c r="E722">
        <v>3</v>
      </c>
      <c r="F722">
        <v>45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550</v>
      </c>
      <c r="P722">
        <f t="shared" si="34"/>
        <v>0</v>
      </c>
      <c r="Q722">
        <f t="shared" si="35"/>
        <v>0</v>
      </c>
    </row>
    <row r="723" spans="1:17" x14ac:dyDescent="0.25">
      <c r="A723" t="str">
        <f t="shared" si="33"/>
        <v>Ange Postecoglou</v>
      </c>
      <c r="B723" t="s">
        <v>2357</v>
      </c>
      <c r="C723" t="s">
        <v>2358</v>
      </c>
      <c r="D723">
        <v>18</v>
      </c>
      <c r="E723">
        <v>5</v>
      </c>
      <c r="F723">
        <v>11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58</v>
      </c>
      <c r="N723">
        <v>0</v>
      </c>
      <c r="O723" t="s">
        <v>2358</v>
      </c>
      <c r="P723">
        <f t="shared" si="34"/>
        <v>0</v>
      </c>
      <c r="Q723">
        <f t="shared" si="35"/>
        <v>0</v>
      </c>
    </row>
    <row r="724" spans="1:17" x14ac:dyDescent="0.25">
      <c r="A724" t="str">
        <f t="shared" si="33"/>
        <v>Dante Cassanova</v>
      </c>
      <c r="B724" t="s">
        <v>2359</v>
      </c>
      <c r="C724" t="s">
        <v>2360</v>
      </c>
      <c r="D724">
        <v>18</v>
      </c>
      <c r="E724">
        <v>2</v>
      </c>
      <c r="F724">
        <v>40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2360</v>
      </c>
      <c r="P724">
        <f t="shared" si="34"/>
        <v>0</v>
      </c>
      <c r="Q724">
        <f t="shared" si="35"/>
        <v>0</v>
      </c>
    </row>
    <row r="725" spans="1:17" x14ac:dyDescent="0.25">
      <c r="A725" t="str">
        <f t="shared" si="33"/>
        <v>Kevin Danso</v>
      </c>
      <c r="B725" t="s">
        <v>204</v>
      </c>
      <c r="C725" t="s">
        <v>944</v>
      </c>
      <c r="D725">
        <v>18</v>
      </c>
      <c r="E725">
        <v>2</v>
      </c>
      <c r="F725">
        <v>44</v>
      </c>
      <c r="G725">
        <v>842</v>
      </c>
      <c r="H725">
        <v>9</v>
      </c>
      <c r="I725">
        <v>0</v>
      </c>
      <c r="J725">
        <v>0</v>
      </c>
      <c r="K725">
        <v>0.4</v>
      </c>
      <c r="L725">
        <v>0.12</v>
      </c>
      <c r="M725">
        <v>16</v>
      </c>
      <c r="N725">
        <v>104</v>
      </c>
      <c r="O725" t="s">
        <v>944</v>
      </c>
      <c r="P725">
        <f t="shared" si="34"/>
        <v>4.2755344418052253E-2</v>
      </c>
      <c r="Q725">
        <f t="shared" si="35"/>
        <v>1.2826603325415678E-2</v>
      </c>
    </row>
    <row r="726" spans="1:17" x14ac:dyDescent="0.25">
      <c r="A726" t="str">
        <f t="shared" si="33"/>
        <v>Mathys Tel</v>
      </c>
      <c r="B726" t="s">
        <v>963</v>
      </c>
      <c r="C726" t="s">
        <v>964</v>
      </c>
      <c r="D726">
        <v>18</v>
      </c>
      <c r="E726">
        <v>3</v>
      </c>
      <c r="F726">
        <v>58</v>
      </c>
      <c r="G726">
        <v>908</v>
      </c>
      <c r="H726">
        <v>11</v>
      </c>
      <c r="I726">
        <v>2</v>
      </c>
      <c r="J726">
        <v>2</v>
      </c>
      <c r="K726">
        <v>2.96</v>
      </c>
      <c r="L726">
        <v>1.55</v>
      </c>
      <c r="M726">
        <v>42</v>
      </c>
      <c r="N726">
        <v>151</v>
      </c>
      <c r="O726" t="s">
        <v>964</v>
      </c>
      <c r="P726">
        <f t="shared" si="34"/>
        <v>0.29339207048458149</v>
      </c>
      <c r="Q726">
        <f t="shared" si="35"/>
        <v>0.15363436123348018</v>
      </c>
    </row>
    <row r="727" spans="1:17" x14ac:dyDescent="0.25">
      <c r="A727" t="str">
        <f t="shared" si="33"/>
        <v>Evan Ferguson</v>
      </c>
      <c r="B727" t="s">
        <v>282</v>
      </c>
      <c r="C727" t="s">
        <v>283</v>
      </c>
      <c r="D727">
        <v>19</v>
      </c>
      <c r="E727">
        <v>4</v>
      </c>
      <c r="F727">
        <v>55</v>
      </c>
      <c r="G727">
        <v>385</v>
      </c>
      <c r="H727">
        <v>3</v>
      </c>
      <c r="I727">
        <v>1</v>
      </c>
      <c r="J727">
        <v>0</v>
      </c>
      <c r="K727">
        <v>1.1299999999999999</v>
      </c>
      <c r="L727">
        <v>0.66</v>
      </c>
      <c r="M727">
        <v>28</v>
      </c>
      <c r="N727">
        <v>97</v>
      </c>
      <c r="O727" t="s">
        <v>283</v>
      </c>
      <c r="P727">
        <f t="shared" si="34"/>
        <v>0.26415584415584409</v>
      </c>
      <c r="Q727">
        <f t="shared" si="35"/>
        <v>0.1542857142857143</v>
      </c>
    </row>
    <row r="728" spans="1:17" x14ac:dyDescent="0.25">
      <c r="A728" t="str">
        <f t="shared" si="33"/>
        <v>Aaron Wan-Bissaka</v>
      </c>
      <c r="B728" t="s">
        <v>197</v>
      </c>
      <c r="C728" t="s">
        <v>1219</v>
      </c>
      <c r="D728">
        <v>19</v>
      </c>
      <c r="E728">
        <v>2</v>
      </c>
      <c r="F728">
        <v>45</v>
      </c>
      <c r="G728">
        <v>3154</v>
      </c>
      <c r="H728">
        <v>35</v>
      </c>
      <c r="I728">
        <v>2</v>
      </c>
      <c r="J728">
        <v>6</v>
      </c>
      <c r="K728">
        <v>1.18</v>
      </c>
      <c r="L728">
        <v>2.75</v>
      </c>
      <c r="M728">
        <v>118</v>
      </c>
      <c r="N728">
        <v>496</v>
      </c>
      <c r="O728" t="s">
        <v>1219</v>
      </c>
      <c r="P728">
        <f t="shared" si="34"/>
        <v>3.3671528218135696E-2</v>
      </c>
      <c r="Q728">
        <f t="shared" si="35"/>
        <v>7.8471781864299303E-2</v>
      </c>
    </row>
    <row r="729" spans="1:17" x14ac:dyDescent="0.25">
      <c r="A729" t="str">
        <f t="shared" si="33"/>
        <v>Edson Álvarez Velázquez</v>
      </c>
      <c r="B729" t="s">
        <v>2045</v>
      </c>
      <c r="C729" t="s">
        <v>2046</v>
      </c>
      <c r="D729">
        <v>19</v>
      </c>
      <c r="E729">
        <v>3</v>
      </c>
      <c r="F729">
        <v>50</v>
      </c>
      <c r="G729">
        <v>1769</v>
      </c>
      <c r="H729">
        <v>20</v>
      </c>
      <c r="I729">
        <v>0</v>
      </c>
      <c r="J729">
        <v>1</v>
      </c>
      <c r="K729">
        <v>0.39</v>
      </c>
      <c r="L729">
        <v>0.89</v>
      </c>
      <c r="M729">
        <v>40</v>
      </c>
      <c r="N729">
        <v>221</v>
      </c>
      <c r="O729" t="s">
        <v>1767</v>
      </c>
      <c r="P729">
        <f t="shared" si="34"/>
        <v>1.9841718485019786E-2</v>
      </c>
      <c r="Q729">
        <f t="shared" si="35"/>
        <v>4.5279819106840022E-2</v>
      </c>
    </row>
    <row r="730" spans="1:17" x14ac:dyDescent="0.25">
      <c r="A730" t="str">
        <f t="shared" si="33"/>
        <v>Michail Antonio</v>
      </c>
      <c r="B730" t="s">
        <v>2010</v>
      </c>
      <c r="C730" t="s">
        <v>2011</v>
      </c>
      <c r="D730">
        <v>19</v>
      </c>
      <c r="E730">
        <v>4</v>
      </c>
      <c r="F730">
        <v>52</v>
      </c>
      <c r="G730">
        <v>834</v>
      </c>
      <c r="H730">
        <v>11</v>
      </c>
      <c r="I730">
        <v>1</v>
      </c>
      <c r="J730">
        <v>4</v>
      </c>
      <c r="K730">
        <v>2.2000000000000002</v>
      </c>
      <c r="L730">
        <v>0.91</v>
      </c>
      <c r="M730">
        <v>42</v>
      </c>
      <c r="N730">
        <v>111</v>
      </c>
      <c r="O730" t="s">
        <v>2011</v>
      </c>
      <c r="P730">
        <f t="shared" si="34"/>
        <v>0.23741007194244607</v>
      </c>
      <c r="Q730">
        <f t="shared" si="35"/>
        <v>9.8201438848920866E-2</v>
      </c>
    </row>
    <row r="731" spans="1:17" x14ac:dyDescent="0.25">
      <c r="A731" t="str">
        <f t="shared" si="33"/>
        <v>Alphonse Areola</v>
      </c>
      <c r="B731" t="s">
        <v>2012</v>
      </c>
      <c r="C731" t="s">
        <v>2013</v>
      </c>
      <c r="D731">
        <v>19</v>
      </c>
      <c r="E731">
        <v>1</v>
      </c>
      <c r="F731">
        <v>42</v>
      </c>
      <c r="G731">
        <v>2259</v>
      </c>
      <c r="H731">
        <v>25</v>
      </c>
      <c r="I731">
        <v>0</v>
      </c>
      <c r="J731">
        <v>0</v>
      </c>
      <c r="K731">
        <v>0</v>
      </c>
      <c r="L731">
        <v>0</v>
      </c>
      <c r="M731">
        <v>69</v>
      </c>
      <c r="N731">
        <v>261</v>
      </c>
      <c r="O731" t="s">
        <v>2013</v>
      </c>
      <c r="P731">
        <f t="shared" si="34"/>
        <v>0</v>
      </c>
      <c r="Q731">
        <f t="shared" si="35"/>
        <v>0</v>
      </c>
    </row>
    <row r="732" spans="1:17" x14ac:dyDescent="0.25">
      <c r="A732" t="str">
        <f t="shared" si="33"/>
        <v>Jarrod Bowen</v>
      </c>
      <c r="B732" t="s">
        <v>2016</v>
      </c>
      <c r="C732" t="s">
        <v>2017</v>
      </c>
      <c r="D732">
        <v>19</v>
      </c>
      <c r="E732">
        <v>3</v>
      </c>
      <c r="F732">
        <v>79</v>
      </c>
      <c r="G732">
        <v>2974</v>
      </c>
      <c r="H732">
        <v>34</v>
      </c>
      <c r="I732">
        <v>13</v>
      </c>
      <c r="J732">
        <v>11</v>
      </c>
      <c r="K732">
        <v>8.6</v>
      </c>
      <c r="L732">
        <v>6.47</v>
      </c>
      <c r="M732">
        <v>193</v>
      </c>
      <c r="N732">
        <v>678</v>
      </c>
      <c r="O732" t="s">
        <v>2017</v>
      </c>
      <c r="P732">
        <f t="shared" si="34"/>
        <v>0.26025554808338935</v>
      </c>
      <c r="Q732">
        <f t="shared" si="35"/>
        <v>0.19579690652320106</v>
      </c>
    </row>
    <row r="733" spans="1:17" x14ac:dyDescent="0.25">
      <c r="A733" t="str">
        <f t="shared" si="33"/>
        <v>Vladimír Coufal</v>
      </c>
      <c r="B733" t="s">
        <v>2020</v>
      </c>
      <c r="C733" t="s">
        <v>2021</v>
      </c>
      <c r="D733">
        <v>19</v>
      </c>
      <c r="E733">
        <v>2</v>
      </c>
      <c r="F733">
        <v>41</v>
      </c>
      <c r="G733">
        <v>1056</v>
      </c>
      <c r="H733">
        <v>11</v>
      </c>
      <c r="I733">
        <v>0</v>
      </c>
      <c r="J733">
        <v>0</v>
      </c>
      <c r="K733">
        <v>0.37</v>
      </c>
      <c r="L733">
        <v>0.89</v>
      </c>
      <c r="M733">
        <v>27</v>
      </c>
      <c r="N733">
        <v>89</v>
      </c>
      <c r="O733" t="s">
        <v>2021</v>
      </c>
      <c r="P733">
        <f t="shared" si="34"/>
        <v>3.1534090909090907E-2</v>
      </c>
      <c r="Q733">
        <f t="shared" si="35"/>
        <v>7.5852272727272727E-2</v>
      </c>
    </row>
    <row r="734" spans="1:17" x14ac:dyDescent="0.25">
      <c r="A734" t="str">
        <f t="shared" si="33"/>
        <v>Aaron Cresswell</v>
      </c>
      <c r="B734" t="s">
        <v>197</v>
      </c>
      <c r="C734" t="s">
        <v>1228</v>
      </c>
      <c r="D734">
        <v>19</v>
      </c>
      <c r="E734">
        <v>2</v>
      </c>
      <c r="F734">
        <v>39</v>
      </c>
      <c r="G734">
        <v>818</v>
      </c>
      <c r="H734">
        <v>10</v>
      </c>
      <c r="I734">
        <v>0</v>
      </c>
      <c r="J734">
        <v>0</v>
      </c>
      <c r="K734">
        <v>0.23</v>
      </c>
      <c r="L734">
        <v>1.89</v>
      </c>
      <c r="M734">
        <v>36</v>
      </c>
      <c r="N734">
        <v>159</v>
      </c>
      <c r="O734" t="s">
        <v>1228</v>
      </c>
      <c r="P734">
        <f t="shared" si="34"/>
        <v>2.530562347188264E-2</v>
      </c>
      <c r="Q734">
        <f t="shared" si="35"/>
        <v>0.20794621026894866</v>
      </c>
    </row>
    <row r="735" spans="1:17" x14ac:dyDescent="0.25">
      <c r="A735" t="str">
        <f t="shared" si="33"/>
        <v>George Earthy</v>
      </c>
      <c r="B735" t="s">
        <v>113</v>
      </c>
      <c r="C735" t="s">
        <v>2055</v>
      </c>
      <c r="D735">
        <v>19</v>
      </c>
      <c r="E735">
        <v>3</v>
      </c>
      <c r="F735">
        <v>45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2055</v>
      </c>
      <c r="P735">
        <f t="shared" si="34"/>
        <v>0</v>
      </c>
      <c r="Q735">
        <f t="shared" si="35"/>
        <v>0</v>
      </c>
    </row>
    <row r="736" spans="1:17" x14ac:dyDescent="0.25">
      <c r="A736" t="str">
        <f t="shared" si="33"/>
        <v>Emerson Palmieri dos Santos</v>
      </c>
      <c r="B736" t="s">
        <v>1977</v>
      </c>
      <c r="C736" t="s">
        <v>2025</v>
      </c>
      <c r="D736">
        <v>19</v>
      </c>
      <c r="E736">
        <v>2</v>
      </c>
      <c r="F736">
        <v>44</v>
      </c>
      <c r="G736">
        <v>2108</v>
      </c>
      <c r="H736">
        <v>26</v>
      </c>
      <c r="I736">
        <v>2</v>
      </c>
      <c r="J736">
        <v>1</v>
      </c>
      <c r="K736">
        <v>1.95</v>
      </c>
      <c r="L736">
        <v>2.19</v>
      </c>
      <c r="M736">
        <v>76</v>
      </c>
      <c r="N736">
        <v>219</v>
      </c>
      <c r="O736" t="s">
        <v>1977</v>
      </c>
      <c r="P736">
        <f t="shared" si="34"/>
        <v>8.3254269449715368E-2</v>
      </c>
      <c r="Q736">
        <f t="shared" si="35"/>
        <v>9.3500948766603406E-2</v>
      </c>
    </row>
    <row r="737" spans="1:17" x14ac:dyDescent="0.25">
      <c r="A737" t="str">
        <f t="shared" si="33"/>
        <v>Łukasz Fabiański</v>
      </c>
      <c r="B737" t="s">
        <v>2361</v>
      </c>
      <c r="C737" t="s">
        <v>2362</v>
      </c>
      <c r="D737">
        <v>19</v>
      </c>
      <c r="E737">
        <v>1</v>
      </c>
      <c r="F737">
        <v>39</v>
      </c>
      <c r="G737">
        <v>1160</v>
      </c>
      <c r="H737">
        <v>13</v>
      </c>
      <c r="I737">
        <v>0</v>
      </c>
      <c r="J737">
        <v>0</v>
      </c>
      <c r="K737">
        <v>0</v>
      </c>
      <c r="L737">
        <v>0</v>
      </c>
      <c r="M737">
        <v>39</v>
      </c>
      <c r="N737">
        <v>143</v>
      </c>
      <c r="O737" t="s">
        <v>2027</v>
      </c>
      <c r="P737">
        <f t="shared" si="34"/>
        <v>0</v>
      </c>
      <c r="Q737">
        <f t="shared" si="35"/>
        <v>0</v>
      </c>
    </row>
    <row r="738" spans="1:17" x14ac:dyDescent="0.25">
      <c r="A738" t="str">
        <f t="shared" si="33"/>
        <v>Wes Foderingham</v>
      </c>
      <c r="B738" t="s">
        <v>619</v>
      </c>
      <c r="C738" t="s">
        <v>1943</v>
      </c>
      <c r="D738">
        <v>19</v>
      </c>
      <c r="E738">
        <v>1</v>
      </c>
      <c r="F738">
        <v>42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1943</v>
      </c>
      <c r="P738">
        <f t="shared" si="34"/>
        <v>0</v>
      </c>
      <c r="Q738">
        <f t="shared" si="35"/>
        <v>0</v>
      </c>
    </row>
    <row r="739" spans="1:17" x14ac:dyDescent="0.25">
      <c r="A739" t="str">
        <f t="shared" si="33"/>
        <v>Danny Ings</v>
      </c>
      <c r="B739" t="s">
        <v>291</v>
      </c>
      <c r="C739" t="s">
        <v>2030</v>
      </c>
      <c r="D739">
        <v>19</v>
      </c>
      <c r="E739">
        <v>4</v>
      </c>
      <c r="F739">
        <v>48</v>
      </c>
      <c r="G739">
        <v>270</v>
      </c>
      <c r="H739">
        <v>1</v>
      </c>
      <c r="I739">
        <v>1</v>
      </c>
      <c r="J739">
        <v>3</v>
      </c>
      <c r="K739">
        <v>2.25</v>
      </c>
      <c r="L739">
        <v>0.06</v>
      </c>
      <c r="M739">
        <v>32</v>
      </c>
      <c r="N739">
        <v>110</v>
      </c>
      <c r="O739" t="s">
        <v>2030</v>
      </c>
      <c r="P739">
        <f t="shared" si="34"/>
        <v>0.75</v>
      </c>
      <c r="Q739">
        <f t="shared" si="35"/>
        <v>1.9999999999999997E-2</v>
      </c>
    </row>
    <row r="740" spans="1:17" x14ac:dyDescent="0.25">
      <c r="A740" t="str">
        <f t="shared" si="33"/>
        <v>Max Kilman</v>
      </c>
      <c r="B740" t="s">
        <v>57</v>
      </c>
      <c r="C740" t="s">
        <v>2079</v>
      </c>
      <c r="D740">
        <v>19</v>
      </c>
      <c r="E740">
        <v>2</v>
      </c>
      <c r="F740">
        <v>43</v>
      </c>
      <c r="G740">
        <v>3348</v>
      </c>
      <c r="H740">
        <v>38</v>
      </c>
      <c r="I740">
        <v>0</v>
      </c>
      <c r="J740">
        <v>1</v>
      </c>
      <c r="K740">
        <v>1.55</v>
      </c>
      <c r="L740">
        <v>1.19</v>
      </c>
      <c r="M740">
        <v>82</v>
      </c>
      <c r="N740">
        <v>395</v>
      </c>
      <c r="O740" t="s">
        <v>2079</v>
      </c>
      <c r="P740">
        <f t="shared" si="34"/>
        <v>4.1666666666666671E-2</v>
      </c>
      <c r="Q740">
        <f t="shared" si="35"/>
        <v>3.1989247311827951E-2</v>
      </c>
    </row>
    <row r="741" spans="1:17" x14ac:dyDescent="0.25">
      <c r="A741" t="str">
        <f t="shared" si="33"/>
        <v>Mohammed Kudus</v>
      </c>
      <c r="B741" t="s">
        <v>959</v>
      </c>
      <c r="C741" t="s">
        <v>960</v>
      </c>
      <c r="D741">
        <v>19</v>
      </c>
      <c r="E741">
        <v>3</v>
      </c>
      <c r="F741">
        <v>62</v>
      </c>
      <c r="G741">
        <v>2589</v>
      </c>
      <c r="H741">
        <v>31</v>
      </c>
      <c r="I741">
        <v>5</v>
      </c>
      <c r="J741">
        <v>4</v>
      </c>
      <c r="K741">
        <v>6.97</v>
      </c>
      <c r="L741">
        <v>2.67</v>
      </c>
      <c r="M741">
        <v>106</v>
      </c>
      <c r="N741">
        <v>373</v>
      </c>
      <c r="O741" t="s">
        <v>960</v>
      </c>
      <c r="P741">
        <f t="shared" si="34"/>
        <v>0.24229432213209731</v>
      </c>
      <c r="Q741">
        <f t="shared" si="35"/>
        <v>9.2815758980301269E-2</v>
      </c>
    </row>
    <row r="742" spans="1:17" x14ac:dyDescent="0.25">
      <c r="A742" t="str">
        <f t="shared" si="33"/>
        <v>Luis Guilherme Lira dos Santos</v>
      </c>
      <c r="B742" t="s">
        <v>2363</v>
      </c>
      <c r="C742" t="s">
        <v>2364</v>
      </c>
      <c r="D742">
        <v>19</v>
      </c>
      <c r="E742">
        <v>3</v>
      </c>
      <c r="F742">
        <v>46</v>
      </c>
      <c r="G742">
        <v>139</v>
      </c>
      <c r="H742">
        <v>1</v>
      </c>
      <c r="I742">
        <v>0</v>
      </c>
      <c r="J742">
        <v>0</v>
      </c>
      <c r="K742">
        <v>0.42</v>
      </c>
      <c r="L742">
        <v>0.13</v>
      </c>
      <c r="M742">
        <v>12</v>
      </c>
      <c r="N742">
        <v>47</v>
      </c>
      <c r="O742" t="s">
        <v>2767</v>
      </c>
      <c r="P742">
        <f t="shared" si="34"/>
        <v>0.27194244604316548</v>
      </c>
      <c r="Q742">
        <f t="shared" si="35"/>
        <v>8.4172661870503596E-2</v>
      </c>
    </row>
    <row r="743" spans="1:17" x14ac:dyDescent="0.25">
      <c r="A743" t="str">
        <f t="shared" si="33"/>
        <v>Lucas Tolentino Coelho de Lima</v>
      </c>
      <c r="B743" t="s">
        <v>78</v>
      </c>
      <c r="C743" t="s">
        <v>2035</v>
      </c>
      <c r="D743">
        <v>19</v>
      </c>
      <c r="E743">
        <v>3</v>
      </c>
      <c r="F743">
        <v>57</v>
      </c>
      <c r="G743">
        <v>2374</v>
      </c>
      <c r="H743">
        <v>27</v>
      </c>
      <c r="I743">
        <v>4</v>
      </c>
      <c r="J743">
        <v>1</v>
      </c>
      <c r="K743">
        <v>5.36</v>
      </c>
      <c r="L743">
        <v>3.36</v>
      </c>
      <c r="M743">
        <v>80</v>
      </c>
      <c r="N743">
        <v>375</v>
      </c>
      <c r="O743" t="s">
        <v>2768</v>
      </c>
      <c r="P743">
        <f t="shared" si="34"/>
        <v>0.20320134793597303</v>
      </c>
      <c r="Q743">
        <f t="shared" si="35"/>
        <v>0.127379949452401</v>
      </c>
    </row>
    <row r="744" spans="1:17" x14ac:dyDescent="0.25">
      <c r="A744" t="str">
        <f t="shared" si="33"/>
        <v>Konstantinos Mavropanos</v>
      </c>
      <c r="B744" t="s">
        <v>590</v>
      </c>
      <c r="C744" t="s">
        <v>2049</v>
      </c>
      <c r="D744">
        <v>19</v>
      </c>
      <c r="E744">
        <v>2</v>
      </c>
      <c r="F744">
        <v>43</v>
      </c>
      <c r="G744">
        <v>2035</v>
      </c>
      <c r="H744">
        <v>21</v>
      </c>
      <c r="I744">
        <v>0</v>
      </c>
      <c r="J744">
        <v>0</v>
      </c>
      <c r="K744">
        <v>1.61</v>
      </c>
      <c r="L744">
        <v>0.39</v>
      </c>
      <c r="M744">
        <v>45</v>
      </c>
      <c r="N744">
        <v>234</v>
      </c>
      <c r="O744" t="s">
        <v>2049</v>
      </c>
      <c r="P744">
        <f t="shared" si="34"/>
        <v>7.1203931203931203E-2</v>
      </c>
      <c r="Q744">
        <f t="shared" si="35"/>
        <v>1.7248157248157248E-2</v>
      </c>
    </row>
    <row r="745" spans="1:17" x14ac:dyDescent="0.25">
      <c r="A745" t="str">
        <f t="shared" si="33"/>
        <v>Nayef Aguerd</v>
      </c>
      <c r="B745" t="s">
        <v>2008</v>
      </c>
      <c r="C745" t="s">
        <v>2009</v>
      </c>
      <c r="D745">
        <v>19</v>
      </c>
      <c r="E745">
        <v>2</v>
      </c>
      <c r="F745">
        <v>44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2769</v>
      </c>
      <c r="P745">
        <f t="shared" si="34"/>
        <v>0</v>
      </c>
      <c r="Q745">
        <f t="shared" si="35"/>
        <v>0</v>
      </c>
    </row>
    <row r="746" spans="1:17" x14ac:dyDescent="0.25">
      <c r="A746" t="str">
        <f t="shared" si="33"/>
        <v>Tomáš Souček</v>
      </c>
      <c r="B746" t="s">
        <v>2038</v>
      </c>
      <c r="C746" t="s">
        <v>2039</v>
      </c>
      <c r="D746">
        <v>19</v>
      </c>
      <c r="E746">
        <v>3</v>
      </c>
      <c r="F746">
        <v>48</v>
      </c>
      <c r="G746">
        <v>2563</v>
      </c>
      <c r="H746">
        <v>30</v>
      </c>
      <c r="I746">
        <v>9</v>
      </c>
      <c r="J746">
        <v>2</v>
      </c>
      <c r="K746">
        <v>6.6</v>
      </c>
      <c r="L746">
        <v>1.27</v>
      </c>
      <c r="M746">
        <v>126</v>
      </c>
      <c r="N746">
        <v>442</v>
      </c>
      <c r="O746" t="s">
        <v>2039</v>
      </c>
      <c r="P746">
        <f t="shared" si="34"/>
        <v>0.23175965665236054</v>
      </c>
      <c r="Q746">
        <f t="shared" si="35"/>
        <v>4.459617635583301E-2</v>
      </c>
    </row>
    <row r="747" spans="1:17" x14ac:dyDescent="0.25">
      <c r="A747" t="str">
        <f t="shared" si="33"/>
        <v>James Ward-Prowse</v>
      </c>
      <c r="B747" t="s">
        <v>135</v>
      </c>
      <c r="C747" t="s">
        <v>2048</v>
      </c>
      <c r="D747">
        <v>19</v>
      </c>
      <c r="E747">
        <v>3</v>
      </c>
      <c r="F747">
        <v>61</v>
      </c>
      <c r="G747">
        <v>1433</v>
      </c>
      <c r="H747">
        <v>17</v>
      </c>
      <c r="I747">
        <v>1</v>
      </c>
      <c r="J747">
        <v>2</v>
      </c>
      <c r="K747">
        <v>1.59</v>
      </c>
      <c r="L747">
        <v>2.68</v>
      </c>
      <c r="M747">
        <v>51</v>
      </c>
      <c r="N747">
        <v>293</v>
      </c>
      <c r="O747" t="s">
        <v>2048</v>
      </c>
      <c r="P747">
        <f t="shared" si="34"/>
        <v>9.9860432658757853E-2</v>
      </c>
      <c r="Q747">
        <f t="shared" si="35"/>
        <v>0.16831821353803211</v>
      </c>
    </row>
    <row r="748" spans="1:17" x14ac:dyDescent="0.25">
      <c r="A748" t="str">
        <f t="shared" si="33"/>
        <v>Kurt Zouma</v>
      </c>
      <c r="B748" t="s">
        <v>2041</v>
      </c>
      <c r="C748" t="s">
        <v>2042</v>
      </c>
      <c r="D748">
        <v>19</v>
      </c>
      <c r="E748">
        <v>2</v>
      </c>
      <c r="F748">
        <v>44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2042</v>
      </c>
      <c r="P748">
        <f t="shared" si="34"/>
        <v>0</v>
      </c>
      <c r="Q748">
        <f t="shared" si="35"/>
        <v>0</v>
      </c>
    </row>
    <row r="749" spans="1:17" x14ac:dyDescent="0.25">
      <c r="A749" t="str">
        <f t="shared" si="33"/>
        <v>Andy Irving</v>
      </c>
      <c r="B749" t="s">
        <v>1628</v>
      </c>
      <c r="C749" t="s">
        <v>2365</v>
      </c>
      <c r="D749">
        <v>19</v>
      </c>
      <c r="E749">
        <v>3</v>
      </c>
      <c r="F749">
        <v>47</v>
      </c>
      <c r="G749">
        <v>161</v>
      </c>
      <c r="H749">
        <v>1</v>
      </c>
      <c r="I749">
        <v>0</v>
      </c>
      <c r="J749">
        <v>0</v>
      </c>
      <c r="K749">
        <v>0.13</v>
      </c>
      <c r="L749">
        <v>0.12</v>
      </c>
      <c r="M749">
        <v>9</v>
      </c>
      <c r="N749">
        <v>38</v>
      </c>
      <c r="O749" t="s">
        <v>2365</v>
      </c>
      <c r="P749">
        <f t="shared" si="34"/>
        <v>7.2670807453416142E-2</v>
      </c>
      <c r="Q749">
        <f t="shared" si="35"/>
        <v>6.70807453416149E-2</v>
      </c>
    </row>
    <row r="750" spans="1:17" x14ac:dyDescent="0.25">
      <c r="A750" t="str">
        <f t="shared" si="33"/>
        <v>Crysencio Summerville</v>
      </c>
      <c r="B750" t="s">
        <v>2366</v>
      </c>
      <c r="C750" t="s">
        <v>2367</v>
      </c>
      <c r="D750">
        <v>19</v>
      </c>
      <c r="E750">
        <v>3</v>
      </c>
      <c r="F750">
        <v>55</v>
      </c>
      <c r="G750">
        <v>776</v>
      </c>
      <c r="H750">
        <v>7</v>
      </c>
      <c r="I750">
        <v>1</v>
      </c>
      <c r="J750">
        <v>1</v>
      </c>
      <c r="K750">
        <v>1.61</v>
      </c>
      <c r="L750">
        <v>1.71</v>
      </c>
      <c r="M750">
        <v>33</v>
      </c>
      <c r="N750">
        <v>129</v>
      </c>
      <c r="O750" t="s">
        <v>2367</v>
      </c>
      <c r="P750">
        <f t="shared" si="34"/>
        <v>0.18672680412371134</v>
      </c>
      <c r="Q750">
        <f t="shared" si="35"/>
        <v>0.19832474226804125</v>
      </c>
    </row>
    <row r="751" spans="1:17" x14ac:dyDescent="0.25">
      <c r="A751" t="str">
        <f t="shared" si="33"/>
        <v>Guido Rodríguez</v>
      </c>
      <c r="B751" t="s">
        <v>2368</v>
      </c>
      <c r="C751" t="s">
        <v>176</v>
      </c>
      <c r="D751">
        <v>19</v>
      </c>
      <c r="E751">
        <v>3</v>
      </c>
      <c r="F751">
        <v>48</v>
      </c>
      <c r="G751">
        <v>1147</v>
      </c>
      <c r="H751">
        <v>16</v>
      </c>
      <c r="I751">
        <v>0</v>
      </c>
      <c r="J751">
        <v>1</v>
      </c>
      <c r="K751">
        <v>0.22</v>
      </c>
      <c r="L751">
        <v>0.17</v>
      </c>
      <c r="M751">
        <v>36</v>
      </c>
      <c r="N751">
        <v>193</v>
      </c>
      <c r="O751" t="s">
        <v>2770</v>
      </c>
      <c r="P751">
        <f t="shared" si="34"/>
        <v>1.7262423714036617E-2</v>
      </c>
      <c r="Q751">
        <f t="shared" si="35"/>
        <v>1.3339145597210115E-2</v>
      </c>
    </row>
    <row r="752" spans="1:17" x14ac:dyDescent="0.25">
      <c r="A752" t="str">
        <f t="shared" si="33"/>
        <v>Niclas Füllkrug</v>
      </c>
      <c r="B752" t="s">
        <v>2369</v>
      </c>
      <c r="C752" t="s">
        <v>2370</v>
      </c>
      <c r="D752">
        <v>19</v>
      </c>
      <c r="E752">
        <v>4</v>
      </c>
      <c r="F752">
        <v>67</v>
      </c>
      <c r="G752">
        <v>783</v>
      </c>
      <c r="H752">
        <v>6</v>
      </c>
      <c r="I752">
        <v>3</v>
      </c>
      <c r="J752">
        <v>2</v>
      </c>
      <c r="K752">
        <v>2.14</v>
      </c>
      <c r="L752">
        <v>0.47</v>
      </c>
      <c r="M752">
        <v>42</v>
      </c>
      <c r="N752">
        <v>152</v>
      </c>
      <c r="O752" t="s">
        <v>2370</v>
      </c>
      <c r="P752">
        <f t="shared" si="34"/>
        <v>0.24597701149425286</v>
      </c>
      <c r="Q752">
        <f t="shared" si="35"/>
        <v>5.4022988505747119E-2</v>
      </c>
    </row>
    <row r="753" spans="1:17" x14ac:dyDescent="0.25">
      <c r="A753" t="str">
        <f t="shared" si="33"/>
        <v>Jean-Clair Todibo</v>
      </c>
      <c r="B753" t="s">
        <v>2371</v>
      </c>
      <c r="C753" t="s">
        <v>2372</v>
      </c>
      <c r="D753">
        <v>19</v>
      </c>
      <c r="E753">
        <v>2</v>
      </c>
      <c r="F753">
        <v>42</v>
      </c>
      <c r="G753">
        <v>1824</v>
      </c>
      <c r="H753">
        <v>20</v>
      </c>
      <c r="I753">
        <v>0</v>
      </c>
      <c r="J753">
        <v>0</v>
      </c>
      <c r="K753">
        <v>0.36</v>
      </c>
      <c r="L753">
        <v>0.06</v>
      </c>
      <c r="M753">
        <v>54</v>
      </c>
      <c r="N753">
        <v>233</v>
      </c>
      <c r="O753" t="s">
        <v>2372</v>
      </c>
      <c r="P753">
        <f t="shared" si="34"/>
        <v>1.7763157894736842E-2</v>
      </c>
      <c r="Q753">
        <f t="shared" si="35"/>
        <v>2.9605263157894738E-3</v>
      </c>
    </row>
    <row r="754" spans="1:17" x14ac:dyDescent="0.25">
      <c r="A754" t="str">
        <f t="shared" si="33"/>
        <v>Kaelan Casey</v>
      </c>
      <c r="B754" t="s">
        <v>2051</v>
      </c>
      <c r="C754" t="s">
        <v>2052</v>
      </c>
      <c r="D754">
        <v>19</v>
      </c>
      <c r="E754">
        <v>2</v>
      </c>
      <c r="F754">
        <v>40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3</v>
      </c>
      <c r="O754" t="s">
        <v>2052</v>
      </c>
      <c r="P754">
        <f t="shared" si="34"/>
        <v>0</v>
      </c>
      <c r="Q754">
        <f t="shared" si="35"/>
        <v>0</v>
      </c>
    </row>
    <row r="755" spans="1:17" x14ac:dyDescent="0.25">
      <c r="A755" t="str">
        <f t="shared" si="33"/>
        <v>Carlos Soler</v>
      </c>
      <c r="B755" t="s">
        <v>268</v>
      </c>
      <c r="C755" t="s">
        <v>2150</v>
      </c>
      <c r="D755">
        <v>19</v>
      </c>
      <c r="E755">
        <v>3</v>
      </c>
      <c r="F755">
        <v>50</v>
      </c>
      <c r="G755">
        <v>1394</v>
      </c>
      <c r="H755">
        <v>14</v>
      </c>
      <c r="I755">
        <v>1</v>
      </c>
      <c r="J755">
        <v>1</v>
      </c>
      <c r="K755">
        <v>1.85</v>
      </c>
      <c r="L755">
        <v>1.93</v>
      </c>
      <c r="M755">
        <v>47</v>
      </c>
      <c r="N755">
        <v>216</v>
      </c>
      <c r="O755" t="s">
        <v>2771</v>
      </c>
      <c r="P755">
        <f t="shared" si="34"/>
        <v>0.11944045911047348</v>
      </c>
      <c r="Q755">
        <f t="shared" si="35"/>
        <v>0.12460545193687231</v>
      </c>
    </row>
    <row r="756" spans="1:17" x14ac:dyDescent="0.25">
      <c r="A756" t="str">
        <f t="shared" si="33"/>
        <v>Ollie Scarles</v>
      </c>
      <c r="B756" t="s">
        <v>121</v>
      </c>
      <c r="C756" t="s">
        <v>2053</v>
      </c>
      <c r="D756">
        <v>19</v>
      </c>
      <c r="E756">
        <v>2</v>
      </c>
      <c r="F756">
        <v>40</v>
      </c>
      <c r="G756">
        <v>659</v>
      </c>
      <c r="H756">
        <v>7</v>
      </c>
      <c r="I756">
        <v>0</v>
      </c>
      <c r="J756">
        <v>0</v>
      </c>
      <c r="K756">
        <v>0.11</v>
      </c>
      <c r="L756">
        <v>0.18</v>
      </c>
      <c r="M756">
        <v>29</v>
      </c>
      <c r="N756">
        <v>98</v>
      </c>
      <c r="O756" t="s">
        <v>2053</v>
      </c>
      <c r="P756">
        <f t="shared" si="34"/>
        <v>1.5022761760242793E-2</v>
      </c>
      <c r="Q756">
        <f t="shared" si="35"/>
        <v>2.4582701062215478E-2</v>
      </c>
    </row>
    <row r="757" spans="1:17" x14ac:dyDescent="0.25">
      <c r="A757" t="str">
        <f t="shared" si="33"/>
        <v>Ezra Mayers</v>
      </c>
      <c r="B757" t="s">
        <v>2373</v>
      </c>
      <c r="C757" t="s">
        <v>2374</v>
      </c>
      <c r="D757">
        <v>19</v>
      </c>
      <c r="E757">
        <v>2</v>
      </c>
      <c r="F757">
        <v>40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2374</v>
      </c>
      <c r="P757">
        <f t="shared" si="34"/>
        <v>0</v>
      </c>
      <c r="Q757">
        <f t="shared" si="35"/>
        <v>0</v>
      </c>
    </row>
    <row r="758" spans="1:17" x14ac:dyDescent="0.25">
      <c r="A758" t="str">
        <f t="shared" si="33"/>
        <v>Lewis Orford</v>
      </c>
      <c r="B758" t="s">
        <v>157</v>
      </c>
      <c r="C758" t="s">
        <v>2050</v>
      </c>
      <c r="D758">
        <v>19</v>
      </c>
      <c r="E758">
        <v>3</v>
      </c>
      <c r="F758">
        <v>45</v>
      </c>
      <c r="G758">
        <v>47</v>
      </c>
      <c r="H758">
        <v>0</v>
      </c>
      <c r="I758">
        <v>0</v>
      </c>
      <c r="J758">
        <v>0</v>
      </c>
      <c r="K758">
        <v>0.03</v>
      </c>
      <c r="L758">
        <v>0.04</v>
      </c>
      <c r="M758">
        <v>2</v>
      </c>
      <c r="N758">
        <v>13</v>
      </c>
      <c r="O758" t="s">
        <v>2050</v>
      </c>
      <c r="P758">
        <f t="shared" si="34"/>
        <v>5.7446808510638298E-2</v>
      </c>
      <c r="Q758">
        <f t="shared" si="35"/>
        <v>7.6595744680851063E-2</v>
      </c>
    </row>
    <row r="759" spans="1:17" x14ac:dyDescent="0.25">
      <c r="A759" t="str">
        <f t="shared" si="33"/>
        <v>Graham Potter</v>
      </c>
      <c r="B759" t="s">
        <v>2375</v>
      </c>
      <c r="C759" t="s">
        <v>2376</v>
      </c>
      <c r="D759">
        <v>19</v>
      </c>
      <c r="E759">
        <v>5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84</v>
      </c>
      <c r="N759">
        <v>0</v>
      </c>
      <c r="O759" t="s">
        <v>2376</v>
      </c>
      <c r="P759">
        <f t="shared" si="34"/>
        <v>0</v>
      </c>
      <c r="Q759">
        <f t="shared" si="35"/>
        <v>0</v>
      </c>
    </row>
    <row r="760" spans="1:17" x14ac:dyDescent="0.25">
      <c r="A760" t="str">
        <f t="shared" si="33"/>
        <v>Sam Johnstone</v>
      </c>
      <c r="B760" t="s">
        <v>632</v>
      </c>
      <c r="C760" t="s">
        <v>1589</v>
      </c>
      <c r="D760">
        <v>20</v>
      </c>
      <c r="E760">
        <v>1</v>
      </c>
      <c r="F760">
        <v>41</v>
      </c>
      <c r="G760">
        <v>630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12</v>
      </c>
      <c r="N760">
        <v>42</v>
      </c>
      <c r="O760" t="s">
        <v>1589</v>
      </c>
      <c r="P760">
        <f t="shared" si="34"/>
        <v>0</v>
      </c>
      <c r="Q760">
        <f t="shared" si="35"/>
        <v>0</v>
      </c>
    </row>
    <row r="761" spans="1:17" x14ac:dyDescent="0.25">
      <c r="A761" t="str">
        <f t="shared" si="33"/>
        <v>Rayan Aït-Nouri</v>
      </c>
      <c r="B761" t="s">
        <v>760</v>
      </c>
      <c r="C761" t="s">
        <v>761</v>
      </c>
      <c r="D761">
        <v>20</v>
      </c>
      <c r="E761">
        <v>2</v>
      </c>
      <c r="F761">
        <v>51</v>
      </c>
      <c r="G761">
        <v>3112</v>
      </c>
      <c r="H761">
        <v>37</v>
      </c>
      <c r="I761">
        <v>4</v>
      </c>
      <c r="J761">
        <v>7</v>
      </c>
      <c r="K761">
        <v>2.69</v>
      </c>
      <c r="L761">
        <v>3.98</v>
      </c>
      <c r="M761">
        <v>125</v>
      </c>
      <c r="N761">
        <v>447</v>
      </c>
      <c r="O761" t="s">
        <v>761</v>
      </c>
      <c r="P761">
        <f t="shared" si="34"/>
        <v>7.7795629820051407E-2</v>
      </c>
      <c r="Q761">
        <f t="shared" si="35"/>
        <v>0.11510282776349615</v>
      </c>
    </row>
    <row r="762" spans="1:17" x14ac:dyDescent="0.25">
      <c r="A762" t="str">
        <f t="shared" si="33"/>
        <v>Boubacar Traoré</v>
      </c>
      <c r="B762" t="s">
        <v>105</v>
      </c>
      <c r="C762" t="s">
        <v>1323</v>
      </c>
      <c r="D762">
        <v>20</v>
      </c>
      <c r="E762">
        <v>3</v>
      </c>
      <c r="F762">
        <v>48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3</v>
      </c>
      <c r="O762" t="s">
        <v>2772</v>
      </c>
      <c r="P762">
        <f t="shared" si="34"/>
        <v>0</v>
      </c>
      <c r="Q762">
        <f t="shared" si="35"/>
        <v>0</v>
      </c>
    </row>
    <row r="763" spans="1:17" x14ac:dyDescent="0.25">
      <c r="A763" t="str">
        <f t="shared" si="33"/>
        <v>Jean-Ricner Bellegarde</v>
      </c>
      <c r="B763" t="s">
        <v>2098</v>
      </c>
      <c r="C763" t="s">
        <v>2099</v>
      </c>
      <c r="D763">
        <v>20</v>
      </c>
      <c r="E763">
        <v>3</v>
      </c>
      <c r="F763">
        <v>49</v>
      </c>
      <c r="G763">
        <v>1666</v>
      </c>
      <c r="H763">
        <v>20</v>
      </c>
      <c r="I763">
        <v>2</v>
      </c>
      <c r="J763">
        <v>7</v>
      </c>
      <c r="K763">
        <v>1.46</v>
      </c>
      <c r="L763">
        <v>2.74</v>
      </c>
      <c r="M763">
        <v>90</v>
      </c>
      <c r="N763">
        <v>332</v>
      </c>
      <c r="O763" t="s">
        <v>2099</v>
      </c>
      <c r="P763">
        <f t="shared" si="34"/>
        <v>7.8871548619447771E-2</v>
      </c>
      <c r="Q763">
        <f t="shared" si="35"/>
        <v>0.14801920768307325</v>
      </c>
    </row>
    <row r="764" spans="1:17" x14ac:dyDescent="0.25">
      <c r="A764" t="str">
        <f t="shared" si="33"/>
        <v>Daniel Bentley</v>
      </c>
      <c r="B764" t="s">
        <v>416</v>
      </c>
      <c r="C764" t="s">
        <v>1244</v>
      </c>
      <c r="D764">
        <v>20</v>
      </c>
      <c r="E764">
        <v>1</v>
      </c>
      <c r="F764">
        <v>39</v>
      </c>
      <c r="G764">
        <v>180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9</v>
      </c>
      <c r="N764">
        <v>29</v>
      </c>
      <c r="O764" t="s">
        <v>1244</v>
      </c>
      <c r="P764">
        <f t="shared" si="34"/>
        <v>0</v>
      </c>
      <c r="Q764">
        <f t="shared" si="35"/>
        <v>0</v>
      </c>
    </row>
    <row r="765" spans="1:17" x14ac:dyDescent="0.25">
      <c r="A765" t="str">
        <f t="shared" si="33"/>
        <v>Francisco Jorge Tomás Oliveira</v>
      </c>
      <c r="B765" t="s">
        <v>2061</v>
      </c>
      <c r="C765" t="s">
        <v>2062</v>
      </c>
      <c r="D765">
        <v>20</v>
      </c>
      <c r="E765">
        <v>3</v>
      </c>
      <c r="F765">
        <v>45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0.05</v>
      </c>
      <c r="M765">
        <v>1</v>
      </c>
      <c r="N765">
        <v>4</v>
      </c>
      <c r="O765" t="s">
        <v>2773</v>
      </c>
      <c r="P765">
        <f t="shared" si="34"/>
        <v>0</v>
      </c>
      <c r="Q765">
        <f t="shared" si="35"/>
        <v>0.75</v>
      </c>
    </row>
    <row r="766" spans="1:17" x14ac:dyDescent="0.25">
      <c r="A766" t="str">
        <f t="shared" si="33"/>
        <v>Tawanda Chirewa</v>
      </c>
      <c r="B766" t="s">
        <v>2101</v>
      </c>
      <c r="C766" t="s">
        <v>2102</v>
      </c>
      <c r="D766">
        <v>20</v>
      </c>
      <c r="E766">
        <v>3</v>
      </c>
      <c r="F766">
        <v>45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2102</v>
      </c>
      <c r="P766">
        <f t="shared" si="34"/>
        <v>0</v>
      </c>
      <c r="Q766">
        <f t="shared" si="35"/>
        <v>0</v>
      </c>
    </row>
    <row r="767" spans="1:17" x14ac:dyDescent="0.25">
      <c r="A767" t="str">
        <f t="shared" si="33"/>
        <v>Leon Chiwome</v>
      </c>
      <c r="B767" t="s">
        <v>99</v>
      </c>
      <c r="C767" t="s">
        <v>2111</v>
      </c>
      <c r="D767">
        <v>20</v>
      </c>
      <c r="E767">
        <v>4</v>
      </c>
      <c r="F767">
        <v>44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2111</v>
      </c>
      <c r="P767">
        <f t="shared" si="34"/>
        <v>0</v>
      </c>
      <c r="Q767">
        <f t="shared" si="35"/>
        <v>0</v>
      </c>
    </row>
    <row r="768" spans="1:17" x14ac:dyDescent="0.25">
      <c r="A768" t="str">
        <f t="shared" si="33"/>
        <v>Luke Cundle</v>
      </c>
      <c r="B768" t="s">
        <v>375</v>
      </c>
      <c r="C768" t="s">
        <v>2063</v>
      </c>
      <c r="D768">
        <v>20</v>
      </c>
      <c r="E768">
        <v>3</v>
      </c>
      <c r="F768">
        <v>45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2063</v>
      </c>
      <c r="P768">
        <f t="shared" si="34"/>
        <v>0</v>
      </c>
      <c r="Q768">
        <f t="shared" si="35"/>
        <v>0</v>
      </c>
    </row>
    <row r="769" spans="1:17" x14ac:dyDescent="0.25">
      <c r="A769" t="str">
        <f t="shared" si="33"/>
        <v>Matheus Santos Carneiro Da Cunha</v>
      </c>
      <c r="B769" t="s">
        <v>442</v>
      </c>
      <c r="C769" t="s">
        <v>2092</v>
      </c>
      <c r="D769">
        <v>20</v>
      </c>
      <c r="E769">
        <v>4</v>
      </c>
      <c r="F769">
        <v>70</v>
      </c>
      <c r="G769">
        <v>2596</v>
      </c>
      <c r="H769">
        <v>29</v>
      </c>
      <c r="I769">
        <v>15</v>
      </c>
      <c r="J769">
        <v>7</v>
      </c>
      <c r="K769">
        <v>8.73</v>
      </c>
      <c r="L769">
        <v>5.29</v>
      </c>
      <c r="M769">
        <v>178</v>
      </c>
      <c r="N769">
        <v>838</v>
      </c>
      <c r="O769" t="s">
        <v>2774</v>
      </c>
      <c r="P769">
        <f t="shared" si="34"/>
        <v>0.30265793528505397</v>
      </c>
      <c r="Q769">
        <f t="shared" si="35"/>
        <v>0.18339753466872111</v>
      </c>
    </row>
    <row r="770" spans="1:17" x14ac:dyDescent="0.25">
      <c r="A770" t="str">
        <f t="shared" ref="A770:A833" si="36">_xlfn.CONCAT(B770, " ", C770)</f>
        <v>Craig Dawson</v>
      </c>
      <c r="B770" t="s">
        <v>2064</v>
      </c>
      <c r="C770" t="s">
        <v>2065</v>
      </c>
      <c r="D770">
        <v>20</v>
      </c>
      <c r="E770">
        <v>2</v>
      </c>
      <c r="F770">
        <v>42</v>
      </c>
      <c r="G770">
        <v>969</v>
      </c>
      <c r="H770">
        <v>10</v>
      </c>
      <c r="I770">
        <v>0</v>
      </c>
      <c r="J770">
        <v>1</v>
      </c>
      <c r="K770">
        <v>0.5</v>
      </c>
      <c r="L770">
        <v>7.0000000000000007E-2</v>
      </c>
      <c r="M770">
        <v>17</v>
      </c>
      <c r="N770">
        <v>57</v>
      </c>
      <c r="O770" t="s">
        <v>2065</v>
      </c>
      <c r="P770">
        <f t="shared" ref="P770:P805" si="37">IFERROR(K770/G770*90,0)</f>
        <v>4.6439628482972131E-2</v>
      </c>
      <c r="Q770">
        <f t="shared" ref="Q770:Q805" si="38">IFERROR(L770/G770*90,0)</f>
        <v>6.501547987616099E-3</v>
      </c>
    </row>
    <row r="771" spans="1:17" x14ac:dyDescent="0.25">
      <c r="A771" t="str">
        <f t="shared" si="36"/>
        <v>Matt Doherty</v>
      </c>
      <c r="B771" t="s">
        <v>259</v>
      </c>
      <c r="C771" t="s">
        <v>2093</v>
      </c>
      <c r="D771">
        <v>20</v>
      </c>
      <c r="E771">
        <v>2</v>
      </c>
      <c r="F771">
        <v>43</v>
      </c>
      <c r="G771">
        <v>2105</v>
      </c>
      <c r="H771">
        <v>25</v>
      </c>
      <c r="I771">
        <v>2</v>
      </c>
      <c r="J771">
        <v>1</v>
      </c>
      <c r="K771">
        <v>1.1200000000000001</v>
      </c>
      <c r="L771">
        <v>1.24</v>
      </c>
      <c r="M771">
        <v>75</v>
      </c>
      <c r="N771">
        <v>307</v>
      </c>
      <c r="O771" t="s">
        <v>2093</v>
      </c>
      <c r="P771">
        <f t="shared" si="37"/>
        <v>4.7885985748218535E-2</v>
      </c>
      <c r="Q771">
        <f t="shared" si="38"/>
        <v>5.3016627078384795E-2</v>
      </c>
    </row>
    <row r="772" spans="1:17" x14ac:dyDescent="0.25">
      <c r="A772" t="str">
        <f t="shared" si="36"/>
        <v>Tommy Doyle</v>
      </c>
      <c r="B772" t="s">
        <v>2056</v>
      </c>
      <c r="C772" t="s">
        <v>2057</v>
      </c>
      <c r="D772">
        <v>20</v>
      </c>
      <c r="E772">
        <v>3</v>
      </c>
      <c r="F772">
        <v>47</v>
      </c>
      <c r="G772">
        <v>474</v>
      </c>
      <c r="H772">
        <v>3</v>
      </c>
      <c r="I772">
        <v>0</v>
      </c>
      <c r="J772">
        <v>1</v>
      </c>
      <c r="K772">
        <v>0.55000000000000004</v>
      </c>
      <c r="L772">
        <v>0.35</v>
      </c>
      <c r="M772">
        <v>28</v>
      </c>
      <c r="N772">
        <v>128</v>
      </c>
      <c r="O772" t="s">
        <v>2057</v>
      </c>
      <c r="P772">
        <f t="shared" si="37"/>
        <v>0.10443037974683546</v>
      </c>
      <c r="Q772">
        <f t="shared" si="38"/>
        <v>6.6455696202531639E-2</v>
      </c>
    </row>
    <row r="773" spans="1:17" x14ac:dyDescent="0.25">
      <c r="A773" t="str">
        <f t="shared" si="36"/>
        <v>Fábio Silva</v>
      </c>
      <c r="B773" t="s">
        <v>61</v>
      </c>
      <c r="C773" t="s">
        <v>2066</v>
      </c>
      <c r="D773">
        <v>20</v>
      </c>
      <c r="E773">
        <v>4</v>
      </c>
      <c r="F773">
        <v>50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2775</v>
      </c>
      <c r="P773">
        <f t="shared" si="37"/>
        <v>0</v>
      </c>
      <c r="Q773">
        <f t="shared" si="38"/>
        <v>0</v>
      </c>
    </row>
    <row r="774" spans="1:17" x14ac:dyDescent="0.25">
      <c r="A774" t="str">
        <f t="shared" si="36"/>
        <v>Nathan Fraser</v>
      </c>
      <c r="B774" t="s">
        <v>185</v>
      </c>
      <c r="C774" t="s">
        <v>131</v>
      </c>
      <c r="D774">
        <v>20</v>
      </c>
      <c r="E774">
        <v>4</v>
      </c>
      <c r="F774">
        <v>45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131</v>
      </c>
      <c r="P774">
        <f t="shared" si="37"/>
        <v>0</v>
      </c>
      <c r="Q774">
        <f t="shared" si="38"/>
        <v>0</v>
      </c>
    </row>
    <row r="775" spans="1:17" x14ac:dyDescent="0.25">
      <c r="A775" t="str">
        <f t="shared" si="36"/>
        <v>Enso González</v>
      </c>
      <c r="B775" t="s">
        <v>2096</v>
      </c>
      <c r="C775" t="s">
        <v>2097</v>
      </c>
      <c r="D775">
        <v>20</v>
      </c>
      <c r="E775">
        <v>3</v>
      </c>
      <c r="F775">
        <v>44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2776</v>
      </c>
      <c r="P775">
        <f t="shared" si="37"/>
        <v>0</v>
      </c>
      <c r="Q775">
        <f t="shared" si="38"/>
        <v>0</v>
      </c>
    </row>
    <row r="776" spans="1:17" x14ac:dyDescent="0.25">
      <c r="A776" t="str">
        <f t="shared" si="36"/>
        <v>Gonçalo Manuel Ganchinho Guedes</v>
      </c>
      <c r="B776" t="s">
        <v>2067</v>
      </c>
      <c r="C776" t="s">
        <v>2068</v>
      </c>
      <c r="D776">
        <v>20</v>
      </c>
      <c r="E776">
        <v>3</v>
      </c>
      <c r="F776">
        <v>53</v>
      </c>
      <c r="G776">
        <v>979</v>
      </c>
      <c r="H776">
        <v>10</v>
      </c>
      <c r="I776">
        <v>2</v>
      </c>
      <c r="J776">
        <v>4</v>
      </c>
      <c r="K776">
        <v>3.28</v>
      </c>
      <c r="L776">
        <v>0.92</v>
      </c>
      <c r="M776">
        <v>62</v>
      </c>
      <c r="N776">
        <v>187</v>
      </c>
      <c r="O776" t="s">
        <v>2777</v>
      </c>
      <c r="P776">
        <f t="shared" si="37"/>
        <v>0.30153217568947904</v>
      </c>
      <c r="Q776">
        <f t="shared" si="38"/>
        <v>8.4576098059244126E-2</v>
      </c>
    </row>
    <row r="777" spans="1:17" x14ac:dyDescent="0.25">
      <c r="A777" t="str">
        <f t="shared" si="36"/>
        <v>Hugo Bueno López</v>
      </c>
      <c r="B777" t="s">
        <v>741</v>
      </c>
      <c r="C777" t="s">
        <v>2060</v>
      </c>
      <c r="D777">
        <v>20</v>
      </c>
      <c r="E777">
        <v>2</v>
      </c>
      <c r="F777">
        <v>45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2778</v>
      </c>
      <c r="P777">
        <f t="shared" si="37"/>
        <v>0</v>
      </c>
      <c r="Q777">
        <f t="shared" si="38"/>
        <v>0</v>
      </c>
    </row>
    <row r="778" spans="1:17" x14ac:dyDescent="0.25">
      <c r="A778" t="str">
        <f t="shared" si="36"/>
        <v>Hwang Hee-chan</v>
      </c>
      <c r="B778" t="s">
        <v>1911</v>
      </c>
      <c r="C778" t="s">
        <v>2072</v>
      </c>
      <c r="D778">
        <v>20</v>
      </c>
      <c r="E778">
        <v>3</v>
      </c>
      <c r="F778">
        <v>61</v>
      </c>
      <c r="G778">
        <v>646</v>
      </c>
      <c r="H778">
        <v>5</v>
      </c>
      <c r="I778">
        <v>2</v>
      </c>
      <c r="J778">
        <v>1</v>
      </c>
      <c r="K778">
        <v>0.79</v>
      </c>
      <c r="L778">
        <v>0.35</v>
      </c>
      <c r="M778">
        <v>37</v>
      </c>
      <c r="N778">
        <v>130</v>
      </c>
      <c r="O778" t="s">
        <v>2779</v>
      </c>
      <c r="P778">
        <f t="shared" si="37"/>
        <v>0.11006191950464397</v>
      </c>
      <c r="Q778">
        <f t="shared" si="38"/>
        <v>4.8761609907120737E-2</v>
      </c>
    </row>
    <row r="779" spans="1:17" x14ac:dyDescent="0.25">
      <c r="A779" t="str">
        <f t="shared" si="36"/>
        <v>Joe Hodge</v>
      </c>
      <c r="B779" t="s">
        <v>585</v>
      </c>
      <c r="C779" t="s">
        <v>2069</v>
      </c>
      <c r="D779">
        <v>20</v>
      </c>
      <c r="E779">
        <v>3</v>
      </c>
      <c r="F779">
        <v>45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2069</v>
      </c>
      <c r="P779">
        <f t="shared" si="37"/>
        <v>0</v>
      </c>
      <c r="Q779">
        <f t="shared" si="38"/>
        <v>0</v>
      </c>
    </row>
    <row r="780" spans="1:17" x14ac:dyDescent="0.25">
      <c r="A780" t="str">
        <f t="shared" si="36"/>
        <v>Ki-Jana Hoever</v>
      </c>
      <c r="B780" t="s">
        <v>2070</v>
      </c>
      <c r="C780" t="s">
        <v>2071</v>
      </c>
      <c r="D780">
        <v>20</v>
      </c>
      <c r="E780">
        <v>2</v>
      </c>
      <c r="F780">
        <v>40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2071</v>
      </c>
      <c r="P780">
        <f t="shared" si="37"/>
        <v>0</v>
      </c>
      <c r="Q780">
        <f t="shared" si="38"/>
        <v>0</v>
      </c>
    </row>
    <row r="781" spans="1:17" x14ac:dyDescent="0.25">
      <c r="A781" t="str">
        <f t="shared" si="36"/>
        <v>João Victor Gomes da Silva</v>
      </c>
      <c r="B781" t="s">
        <v>957</v>
      </c>
      <c r="C781" t="s">
        <v>2073</v>
      </c>
      <c r="D781">
        <v>20</v>
      </c>
      <c r="E781">
        <v>3</v>
      </c>
      <c r="F781">
        <v>49</v>
      </c>
      <c r="G781">
        <v>2975</v>
      </c>
      <c r="H781">
        <v>35</v>
      </c>
      <c r="I781">
        <v>3</v>
      </c>
      <c r="J781">
        <v>1</v>
      </c>
      <c r="K781">
        <v>2.94</v>
      </c>
      <c r="L781">
        <v>2.61</v>
      </c>
      <c r="M781">
        <v>87</v>
      </c>
      <c r="N781">
        <v>489</v>
      </c>
      <c r="O781" t="s">
        <v>2780</v>
      </c>
      <c r="P781">
        <f t="shared" si="37"/>
        <v>8.8941176470588232E-2</v>
      </c>
      <c r="Q781">
        <f t="shared" si="38"/>
        <v>7.8957983193277306E-2</v>
      </c>
    </row>
    <row r="782" spans="1:17" x14ac:dyDescent="0.25">
      <c r="A782" t="str">
        <f t="shared" si="36"/>
        <v>José Malheiro de Sá</v>
      </c>
      <c r="B782" t="s">
        <v>2083</v>
      </c>
      <c r="C782" t="s">
        <v>2084</v>
      </c>
      <c r="D782">
        <v>20</v>
      </c>
      <c r="E782">
        <v>1</v>
      </c>
      <c r="F782">
        <v>44</v>
      </c>
      <c r="G782">
        <v>2610</v>
      </c>
      <c r="H782">
        <v>29</v>
      </c>
      <c r="I782">
        <v>0</v>
      </c>
      <c r="J782">
        <v>0</v>
      </c>
      <c r="K782">
        <v>0</v>
      </c>
      <c r="L782">
        <v>0.01</v>
      </c>
      <c r="M782">
        <v>93</v>
      </c>
      <c r="N782">
        <v>305</v>
      </c>
      <c r="O782" t="s">
        <v>2781</v>
      </c>
      <c r="P782">
        <f t="shared" si="37"/>
        <v>0</v>
      </c>
      <c r="Q782">
        <f t="shared" si="38"/>
        <v>3.4482758620689653E-4</v>
      </c>
    </row>
    <row r="783" spans="1:17" x14ac:dyDescent="0.25">
      <c r="A783" t="str">
        <f t="shared" si="36"/>
        <v>Saša Kalajdžić</v>
      </c>
      <c r="B783" t="s">
        <v>602</v>
      </c>
      <c r="C783" t="s">
        <v>2078</v>
      </c>
      <c r="D783">
        <v>20</v>
      </c>
      <c r="E783">
        <v>4</v>
      </c>
      <c r="F783">
        <v>48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2078</v>
      </c>
      <c r="P783">
        <f t="shared" si="37"/>
        <v>0</v>
      </c>
      <c r="Q783">
        <f t="shared" si="38"/>
        <v>0</v>
      </c>
    </row>
    <row r="784" spans="1:17" x14ac:dyDescent="0.25">
      <c r="A784" t="str">
        <f t="shared" si="36"/>
        <v>Tom King</v>
      </c>
      <c r="B784" t="s">
        <v>272</v>
      </c>
      <c r="C784" t="s">
        <v>475</v>
      </c>
      <c r="D784">
        <v>20</v>
      </c>
      <c r="E784">
        <v>1</v>
      </c>
      <c r="F784">
        <v>39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3</v>
      </c>
      <c r="O784" t="s">
        <v>475</v>
      </c>
      <c r="P784">
        <f t="shared" si="37"/>
        <v>0</v>
      </c>
      <c r="Q784">
        <f t="shared" si="38"/>
        <v>0</v>
      </c>
    </row>
    <row r="785" spans="1:17" x14ac:dyDescent="0.25">
      <c r="A785" t="str">
        <f t="shared" si="36"/>
        <v>Mario Lemina</v>
      </c>
      <c r="B785" t="s">
        <v>2080</v>
      </c>
      <c r="C785" t="s">
        <v>2081</v>
      </c>
      <c r="D785">
        <v>20</v>
      </c>
      <c r="E785">
        <v>3</v>
      </c>
      <c r="F785">
        <v>48</v>
      </c>
      <c r="G785">
        <v>1363</v>
      </c>
      <c r="H785">
        <v>15</v>
      </c>
      <c r="I785">
        <v>1</v>
      </c>
      <c r="J785">
        <v>3</v>
      </c>
      <c r="K785">
        <v>1.3</v>
      </c>
      <c r="L785">
        <v>0.87</v>
      </c>
      <c r="M785">
        <v>47</v>
      </c>
      <c r="N785">
        <v>252</v>
      </c>
      <c r="O785" t="s">
        <v>2782</v>
      </c>
      <c r="P785">
        <f t="shared" si="37"/>
        <v>8.5840058694057225E-2</v>
      </c>
      <c r="Q785">
        <f t="shared" si="38"/>
        <v>5.7446808510638298E-2</v>
      </c>
    </row>
    <row r="786" spans="1:17" x14ac:dyDescent="0.25">
      <c r="A786" t="str">
        <f t="shared" si="36"/>
        <v>Yerson Mosquera</v>
      </c>
      <c r="B786" t="s">
        <v>2108</v>
      </c>
      <c r="C786" t="s">
        <v>41</v>
      </c>
      <c r="D786">
        <v>20</v>
      </c>
      <c r="E786">
        <v>2</v>
      </c>
      <c r="F786">
        <v>38</v>
      </c>
      <c r="G786">
        <v>441</v>
      </c>
      <c r="H786">
        <v>5</v>
      </c>
      <c r="I786">
        <v>0</v>
      </c>
      <c r="J786">
        <v>0</v>
      </c>
      <c r="K786">
        <v>0.33</v>
      </c>
      <c r="L786">
        <v>0.03</v>
      </c>
      <c r="M786">
        <v>3</v>
      </c>
      <c r="N786">
        <v>24</v>
      </c>
      <c r="O786" t="s">
        <v>41</v>
      </c>
      <c r="P786">
        <f t="shared" si="37"/>
        <v>6.7346938775510207E-2</v>
      </c>
      <c r="Q786">
        <f t="shared" si="38"/>
        <v>6.1224489795918364E-3</v>
      </c>
    </row>
    <row r="787" spans="1:17" x14ac:dyDescent="0.25">
      <c r="A787" t="str">
        <f t="shared" si="36"/>
        <v>Nélson Cabral Semedo</v>
      </c>
      <c r="B787" t="s">
        <v>2088</v>
      </c>
      <c r="C787" t="s">
        <v>2089</v>
      </c>
      <c r="D787">
        <v>20</v>
      </c>
      <c r="E787">
        <v>2</v>
      </c>
      <c r="F787">
        <v>45</v>
      </c>
      <c r="G787">
        <v>2889</v>
      </c>
      <c r="H787">
        <v>32</v>
      </c>
      <c r="I787">
        <v>0</v>
      </c>
      <c r="J787">
        <v>4</v>
      </c>
      <c r="K787">
        <v>1.05</v>
      </c>
      <c r="L787">
        <v>1.71</v>
      </c>
      <c r="M787">
        <v>84</v>
      </c>
      <c r="N787">
        <v>302</v>
      </c>
      <c r="O787" t="s">
        <v>2783</v>
      </c>
      <c r="P787">
        <f t="shared" si="37"/>
        <v>3.2710280373831779E-2</v>
      </c>
      <c r="Q787">
        <f t="shared" si="38"/>
        <v>5.3271028037383178E-2</v>
      </c>
    </row>
    <row r="788" spans="1:17" x14ac:dyDescent="0.25">
      <c r="A788" t="str">
        <f t="shared" si="36"/>
        <v>Pedro Cardoso de Lima</v>
      </c>
      <c r="B788" t="s">
        <v>321</v>
      </c>
      <c r="C788" t="s">
        <v>2377</v>
      </c>
      <c r="D788">
        <v>20</v>
      </c>
      <c r="E788">
        <v>2</v>
      </c>
      <c r="F788">
        <v>39</v>
      </c>
      <c r="G788">
        <v>69</v>
      </c>
      <c r="H788">
        <v>1</v>
      </c>
      <c r="I788">
        <v>0</v>
      </c>
      <c r="J788">
        <v>0</v>
      </c>
      <c r="K788">
        <v>0.06</v>
      </c>
      <c r="L788">
        <v>0.1</v>
      </c>
      <c r="M788">
        <v>2</v>
      </c>
      <c r="N788">
        <v>9</v>
      </c>
      <c r="O788" t="s">
        <v>2784</v>
      </c>
      <c r="P788">
        <f t="shared" si="37"/>
        <v>7.8260869565217384E-2</v>
      </c>
      <c r="Q788">
        <f t="shared" si="38"/>
        <v>0.13043478260869565</v>
      </c>
    </row>
    <row r="789" spans="1:17" x14ac:dyDescent="0.25">
      <c r="A789" t="str">
        <f t="shared" si="36"/>
        <v>Daniel Castelo Podence</v>
      </c>
      <c r="B789" t="s">
        <v>416</v>
      </c>
      <c r="C789" t="s">
        <v>2082</v>
      </c>
      <c r="D789">
        <v>20</v>
      </c>
      <c r="E789">
        <v>3</v>
      </c>
      <c r="F789">
        <v>55</v>
      </c>
      <c r="G789">
        <v>46</v>
      </c>
      <c r="H789">
        <v>0</v>
      </c>
      <c r="I789">
        <v>0</v>
      </c>
      <c r="J789">
        <v>0</v>
      </c>
      <c r="K789">
        <v>0.04</v>
      </c>
      <c r="L789">
        <v>0.01</v>
      </c>
      <c r="M789">
        <v>2</v>
      </c>
      <c r="N789">
        <v>9</v>
      </c>
      <c r="O789" t="s">
        <v>2785</v>
      </c>
      <c r="P789">
        <f t="shared" si="37"/>
        <v>7.8260869565217397E-2</v>
      </c>
      <c r="Q789">
        <f t="shared" si="38"/>
        <v>1.9565217391304349E-2</v>
      </c>
    </row>
    <row r="790" spans="1:17" x14ac:dyDescent="0.25">
      <c r="A790" t="str">
        <f t="shared" si="36"/>
        <v>Rodrigo Martins Gomes</v>
      </c>
      <c r="B790" t="s">
        <v>531</v>
      </c>
      <c r="C790" t="s">
        <v>2378</v>
      </c>
      <c r="D790">
        <v>20</v>
      </c>
      <c r="E790">
        <v>3</v>
      </c>
      <c r="F790">
        <v>51</v>
      </c>
      <c r="G790">
        <v>794</v>
      </c>
      <c r="H790">
        <v>7</v>
      </c>
      <c r="I790">
        <v>2</v>
      </c>
      <c r="J790">
        <v>0</v>
      </c>
      <c r="K790">
        <v>0.72</v>
      </c>
      <c r="L790">
        <v>0.87</v>
      </c>
      <c r="M790">
        <v>42</v>
      </c>
      <c r="N790">
        <v>183</v>
      </c>
      <c r="O790" t="s">
        <v>2786</v>
      </c>
      <c r="P790">
        <f t="shared" si="37"/>
        <v>8.1612090680100752E-2</v>
      </c>
      <c r="Q790">
        <f t="shared" si="38"/>
        <v>9.8614609571788414E-2</v>
      </c>
    </row>
    <row r="791" spans="1:17" x14ac:dyDescent="0.25">
      <c r="A791" t="str">
        <f t="shared" si="36"/>
        <v>Santiago Bueno</v>
      </c>
      <c r="B791" t="s">
        <v>2094</v>
      </c>
      <c r="C791" t="s">
        <v>2095</v>
      </c>
      <c r="D791">
        <v>20</v>
      </c>
      <c r="E791">
        <v>2</v>
      </c>
      <c r="F791">
        <v>43</v>
      </c>
      <c r="G791">
        <v>1678</v>
      </c>
      <c r="H791">
        <v>18</v>
      </c>
      <c r="I791">
        <v>0</v>
      </c>
      <c r="J791">
        <v>0</v>
      </c>
      <c r="K791">
        <v>0.45</v>
      </c>
      <c r="L791">
        <v>0.1</v>
      </c>
      <c r="M791">
        <v>52</v>
      </c>
      <c r="N791">
        <v>174</v>
      </c>
      <c r="O791" t="s">
        <v>2787</v>
      </c>
      <c r="P791">
        <f t="shared" si="37"/>
        <v>2.4135876042908226E-2</v>
      </c>
      <c r="Q791">
        <f t="shared" si="38"/>
        <v>5.3635280095351611E-3</v>
      </c>
    </row>
    <row r="792" spans="1:17" x14ac:dyDescent="0.25">
      <c r="A792" t="str">
        <f t="shared" si="36"/>
        <v>Pablo Sarabia</v>
      </c>
      <c r="B792" t="s">
        <v>2028</v>
      </c>
      <c r="C792" t="s">
        <v>2085</v>
      </c>
      <c r="D792">
        <v>20</v>
      </c>
      <c r="E792">
        <v>3</v>
      </c>
      <c r="F792">
        <v>50</v>
      </c>
      <c r="G792">
        <v>800</v>
      </c>
      <c r="H792">
        <v>7</v>
      </c>
      <c r="I792">
        <v>3</v>
      </c>
      <c r="J792">
        <v>2</v>
      </c>
      <c r="K792">
        <v>2.88</v>
      </c>
      <c r="L792">
        <v>1.9</v>
      </c>
      <c r="M792">
        <v>50</v>
      </c>
      <c r="N792">
        <v>175</v>
      </c>
      <c r="O792" t="s">
        <v>2085</v>
      </c>
      <c r="P792">
        <f t="shared" si="37"/>
        <v>0.32400000000000001</v>
      </c>
      <c r="Q792">
        <f t="shared" si="38"/>
        <v>0.21375</v>
      </c>
    </row>
    <row r="793" spans="1:17" x14ac:dyDescent="0.25">
      <c r="A793" t="str">
        <f t="shared" si="36"/>
        <v>Jørgen Strand Larsen</v>
      </c>
      <c r="B793" t="s">
        <v>452</v>
      </c>
      <c r="C793" t="s">
        <v>453</v>
      </c>
      <c r="D793">
        <v>20</v>
      </c>
      <c r="E793">
        <v>4</v>
      </c>
      <c r="F793">
        <v>52</v>
      </c>
      <c r="G793">
        <v>2587</v>
      </c>
      <c r="H793">
        <v>30</v>
      </c>
      <c r="I793">
        <v>14</v>
      </c>
      <c r="J793">
        <v>4</v>
      </c>
      <c r="K793">
        <v>10.14</v>
      </c>
      <c r="L793">
        <v>1</v>
      </c>
      <c r="M793">
        <v>145</v>
      </c>
      <c r="N793">
        <v>570</v>
      </c>
      <c r="O793" t="s">
        <v>453</v>
      </c>
      <c r="P793">
        <f t="shared" si="37"/>
        <v>0.35276381909547744</v>
      </c>
      <c r="Q793">
        <f t="shared" si="38"/>
        <v>3.4789331271743329E-2</v>
      </c>
    </row>
    <row r="794" spans="1:17" x14ac:dyDescent="0.25">
      <c r="A794" t="str">
        <f t="shared" si="36"/>
        <v>Toti António Gomes</v>
      </c>
      <c r="B794" t="s">
        <v>2090</v>
      </c>
      <c r="C794" t="s">
        <v>120</v>
      </c>
      <c r="D794">
        <v>20</v>
      </c>
      <c r="E794">
        <v>2</v>
      </c>
      <c r="F794">
        <v>43</v>
      </c>
      <c r="G794">
        <v>2613</v>
      </c>
      <c r="H794">
        <v>30</v>
      </c>
      <c r="I794">
        <v>0</v>
      </c>
      <c r="J794">
        <v>1</v>
      </c>
      <c r="K794">
        <v>0.73</v>
      </c>
      <c r="L794">
        <v>0.6</v>
      </c>
      <c r="M794">
        <v>79</v>
      </c>
      <c r="N794">
        <v>370</v>
      </c>
      <c r="O794" t="s">
        <v>2091</v>
      </c>
      <c r="P794">
        <f t="shared" si="37"/>
        <v>2.5143513203214694E-2</v>
      </c>
      <c r="Q794">
        <f t="shared" si="38"/>
        <v>2.0665901262916189E-2</v>
      </c>
    </row>
    <row r="795" spans="1:17" x14ac:dyDescent="0.25">
      <c r="A795" t="str">
        <f t="shared" si="36"/>
        <v>Bastien Meupiyou</v>
      </c>
      <c r="B795" t="s">
        <v>1469</v>
      </c>
      <c r="C795" t="s">
        <v>2379</v>
      </c>
      <c r="D795">
        <v>20</v>
      </c>
      <c r="E795">
        <v>2</v>
      </c>
      <c r="F795">
        <v>39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2379</v>
      </c>
      <c r="P795">
        <f t="shared" si="37"/>
        <v>0</v>
      </c>
      <c r="Q795">
        <f t="shared" si="38"/>
        <v>0</v>
      </c>
    </row>
    <row r="796" spans="1:17" x14ac:dyDescent="0.25">
      <c r="A796" t="str">
        <f t="shared" si="36"/>
        <v>André Trindade da Costa Neto</v>
      </c>
      <c r="B796" t="s">
        <v>1614</v>
      </c>
      <c r="C796" t="s">
        <v>2380</v>
      </c>
      <c r="D796">
        <v>20</v>
      </c>
      <c r="E796">
        <v>3</v>
      </c>
      <c r="F796">
        <v>50</v>
      </c>
      <c r="G796">
        <v>2472</v>
      </c>
      <c r="H796">
        <v>31</v>
      </c>
      <c r="I796">
        <v>0</v>
      </c>
      <c r="J796">
        <v>0</v>
      </c>
      <c r="K796">
        <v>0.41</v>
      </c>
      <c r="L796">
        <v>0.52</v>
      </c>
      <c r="M796">
        <v>61</v>
      </c>
      <c r="N796">
        <v>436</v>
      </c>
      <c r="O796" t="s">
        <v>1614</v>
      </c>
      <c r="P796">
        <f t="shared" si="37"/>
        <v>1.4927184466019417E-2</v>
      </c>
      <c r="Q796">
        <f t="shared" si="38"/>
        <v>1.8932038834951457E-2</v>
      </c>
    </row>
    <row r="797" spans="1:17" x14ac:dyDescent="0.25">
      <c r="A797" t="str">
        <f t="shared" si="36"/>
        <v>Carlos Roberto Forbs Borges</v>
      </c>
      <c r="B797" t="s">
        <v>2381</v>
      </c>
      <c r="C797" t="s">
        <v>2382</v>
      </c>
      <c r="D797">
        <v>20</v>
      </c>
      <c r="E797">
        <v>3</v>
      </c>
      <c r="F797">
        <v>54</v>
      </c>
      <c r="G797">
        <v>236</v>
      </c>
      <c r="H797">
        <v>1</v>
      </c>
      <c r="I797">
        <v>0</v>
      </c>
      <c r="J797">
        <v>0</v>
      </c>
      <c r="K797">
        <v>0.15</v>
      </c>
      <c r="L797">
        <v>0.1</v>
      </c>
      <c r="M797">
        <v>9</v>
      </c>
      <c r="N797">
        <v>35</v>
      </c>
      <c r="O797" t="s">
        <v>2788</v>
      </c>
      <c r="P797">
        <f t="shared" si="37"/>
        <v>5.7203389830508468E-2</v>
      </c>
      <c r="Q797">
        <f t="shared" si="38"/>
        <v>3.8135593220338986E-2</v>
      </c>
    </row>
    <row r="798" spans="1:17" x14ac:dyDescent="0.25">
      <c r="A798" t="str">
        <f t="shared" si="36"/>
        <v>Alfie Pond</v>
      </c>
      <c r="B798" t="s">
        <v>507</v>
      </c>
      <c r="C798" t="s">
        <v>2383</v>
      </c>
      <c r="D798">
        <v>20</v>
      </c>
      <c r="E798">
        <v>2</v>
      </c>
      <c r="F798">
        <v>39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3</v>
      </c>
      <c r="O798" t="s">
        <v>2383</v>
      </c>
      <c r="P798">
        <f t="shared" si="37"/>
        <v>0</v>
      </c>
      <c r="Q798">
        <f t="shared" si="38"/>
        <v>0</v>
      </c>
    </row>
    <row r="799" spans="1:17" x14ac:dyDescent="0.25">
      <c r="A799" t="str">
        <f t="shared" si="36"/>
        <v>Tom Edozie</v>
      </c>
      <c r="B799" t="s">
        <v>272</v>
      </c>
      <c r="C799" t="s">
        <v>2320</v>
      </c>
      <c r="D799">
        <v>20</v>
      </c>
      <c r="E799">
        <v>3</v>
      </c>
      <c r="F799">
        <v>45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2320</v>
      </c>
      <c r="P799">
        <f t="shared" si="37"/>
        <v>0</v>
      </c>
      <c r="Q799">
        <f t="shared" si="38"/>
        <v>0</v>
      </c>
    </row>
    <row r="800" spans="1:17" x14ac:dyDescent="0.25">
      <c r="A800" t="str">
        <f t="shared" si="36"/>
        <v>Wes Okoduwa</v>
      </c>
      <c r="B800" t="s">
        <v>619</v>
      </c>
      <c r="C800" t="s">
        <v>2110</v>
      </c>
      <c r="D800">
        <v>20</v>
      </c>
      <c r="E800">
        <v>2</v>
      </c>
      <c r="F800">
        <v>40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2110</v>
      </c>
      <c r="P800">
        <f t="shared" si="37"/>
        <v>0</v>
      </c>
      <c r="Q800">
        <f t="shared" si="38"/>
        <v>0</v>
      </c>
    </row>
    <row r="801" spans="1:17" x14ac:dyDescent="0.25">
      <c r="A801" t="str">
        <f t="shared" si="36"/>
        <v>Emmanuel Agbadou</v>
      </c>
      <c r="B801" t="s">
        <v>344</v>
      </c>
      <c r="C801" t="s">
        <v>2384</v>
      </c>
      <c r="D801">
        <v>20</v>
      </c>
      <c r="E801">
        <v>2</v>
      </c>
      <c r="F801">
        <v>40</v>
      </c>
      <c r="G801">
        <v>1410</v>
      </c>
      <c r="H801">
        <v>16</v>
      </c>
      <c r="I801">
        <v>1</v>
      </c>
      <c r="J801">
        <v>0</v>
      </c>
      <c r="K801">
        <v>0.9</v>
      </c>
      <c r="L801">
        <v>0.32</v>
      </c>
      <c r="M801">
        <v>45</v>
      </c>
      <c r="N801">
        <v>223</v>
      </c>
      <c r="O801" t="s">
        <v>2384</v>
      </c>
      <c r="P801">
        <f t="shared" si="37"/>
        <v>5.7446808510638298E-2</v>
      </c>
      <c r="Q801">
        <f t="shared" si="38"/>
        <v>2.0425531914893616E-2</v>
      </c>
    </row>
    <row r="802" spans="1:17" x14ac:dyDescent="0.25">
      <c r="A802" t="str">
        <f t="shared" si="36"/>
        <v>Vítor Manuel de Oliveira Lopes Pereira</v>
      </c>
      <c r="B802" t="s">
        <v>2385</v>
      </c>
      <c r="C802" t="s">
        <v>2386</v>
      </c>
      <c r="D802">
        <v>20</v>
      </c>
      <c r="E802">
        <v>5</v>
      </c>
      <c r="F802">
        <v>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111</v>
      </c>
      <c r="N802">
        <v>0</v>
      </c>
      <c r="O802" t="s">
        <v>1733</v>
      </c>
      <c r="P802">
        <f t="shared" si="37"/>
        <v>0</v>
      </c>
      <c r="Q802">
        <f t="shared" si="38"/>
        <v>0</v>
      </c>
    </row>
    <row r="803" spans="1:17" x14ac:dyDescent="0.25">
      <c r="A803" t="str">
        <f t="shared" si="36"/>
        <v>Nasser Djiga</v>
      </c>
      <c r="B803" t="s">
        <v>2387</v>
      </c>
      <c r="C803" t="s">
        <v>2388</v>
      </c>
      <c r="D803">
        <v>20</v>
      </c>
      <c r="E803">
        <v>2</v>
      </c>
      <c r="F803">
        <v>45</v>
      </c>
      <c r="G803">
        <v>65</v>
      </c>
      <c r="H803">
        <v>1</v>
      </c>
      <c r="I803">
        <v>0</v>
      </c>
      <c r="J803">
        <v>0</v>
      </c>
      <c r="K803">
        <v>0</v>
      </c>
      <c r="L803">
        <v>0.01</v>
      </c>
      <c r="M803">
        <v>4</v>
      </c>
      <c r="N803">
        <v>11</v>
      </c>
      <c r="O803" t="s">
        <v>2388</v>
      </c>
      <c r="P803">
        <f t="shared" si="37"/>
        <v>0</v>
      </c>
      <c r="Q803">
        <f t="shared" si="38"/>
        <v>1.3846153846153847E-2</v>
      </c>
    </row>
    <row r="804" spans="1:17" x14ac:dyDescent="0.25">
      <c r="A804" t="str">
        <f t="shared" si="36"/>
        <v>Marshall Munetsi</v>
      </c>
      <c r="B804" t="s">
        <v>2054</v>
      </c>
      <c r="C804" t="s">
        <v>2389</v>
      </c>
      <c r="D804">
        <v>20</v>
      </c>
      <c r="E804">
        <v>3</v>
      </c>
      <c r="F804">
        <v>50</v>
      </c>
      <c r="G804">
        <v>1077</v>
      </c>
      <c r="H804">
        <v>12</v>
      </c>
      <c r="I804">
        <v>2</v>
      </c>
      <c r="J804">
        <v>2</v>
      </c>
      <c r="K804">
        <v>3.32</v>
      </c>
      <c r="L804">
        <v>1.08</v>
      </c>
      <c r="M804">
        <v>50</v>
      </c>
      <c r="N804">
        <v>134</v>
      </c>
      <c r="O804" t="s">
        <v>2389</v>
      </c>
      <c r="P804">
        <f t="shared" si="37"/>
        <v>0.27743732590529246</v>
      </c>
      <c r="Q804">
        <f t="shared" si="38"/>
        <v>9.0250696378830084E-2</v>
      </c>
    </row>
    <row r="805" spans="1:17" x14ac:dyDescent="0.25">
      <c r="A805" t="str">
        <f t="shared" si="36"/>
        <v>Mateus Mané</v>
      </c>
      <c r="B805" t="s">
        <v>978</v>
      </c>
      <c r="C805" t="s">
        <v>2390</v>
      </c>
      <c r="D805">
        <v>20</v>
      </c>
      <c r="E805">
        <v>4</v>
      </c>
      <c r="F805">
        <v>45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3</v>
      </c>
      <c r="O805" t="s">
        <v>2390</v>
      </c>
      <c r="P805">
        <f t="shared" si="37"/>
        <v>0</v>
      </c>
      <c r="Q805">
        <f t="shared" si="38"/>
        <v>0</v>
      </c>
    </row>
    <row r="806" spans="1:17" x14ac:dyDescent="0.25">
      <c r="A806" t="str">
        <f t="shared" ref="A806:A833" si="39">_xlfn.CONCAT(B806, " ", C806)</f>
        <v xml:space="preserve"> </v>
      </c>
    </row>
    <row r="807" spans="1:17" x14ac:dyDescent="0.25">
      <c r="A807" t="str">
        <f t="shared" si="39"/>
        <v xml:space="preserve"> </v>
      </c>
    </row>
    <row r="808" spans="1:17" x14ac:dyDescent="0.25">
      <c r="A808" t="str">
        <f t="shared" si="39"/>
        <v xml:space="preserve"> </v>
      </c>
    </row>
    <row r="809" spans="1:17" x14ac:dyDescent="0.25">
      <c r="A809" t="str">
        <f t="shared" si="39"/>
        <v xml:space="preserve"> </v>
      </c>
    </row>
    <row r="810" spans="1:17" x14ac:dyDescent="0.25">
      <c r="A810" t="str">
        <f t="shared" si="39"/>
        <v xml:space="preserve"> </v>
      </c>
    </row>
    <row r="811" spans="1:17" x14ac:dyDescent="0.25">
      <c r="A811" t="str">
        <f t="shared" si="39"/>
        <v xml:space="preserve"> </v>
      </c>
    </row>
    <row r="812" spans="1:17" x14ac:dyDescent="0.25">
      <c r="A812" t="str">
        <f t="shared" si="39"/>
        <v xml:space="preserve"> </v>
      </c>
    </row>
    <row r="813" spans="1:17" x14ac:dyDescent="0.25">
      <c r="A813" t="str">
        <f t="shared" si="39"/>
        <v xml:space="preserve"> </v>
      </c>
    </row>
    <row r="814" spans="1:17" x14ac:dyDescent="0.25">
      <c r="A814" t="str">
        <f t="shared" si="39"/>
        <v xml:space="preserve"> </v>
      </c>
    </row>
    <row r="815" spans="1:17" x14ac:dyDescent="0.25">
      <c r="A815" t="str">
        <f t="shared" si="39"/>
        <v xml:space="preserve"> </v>
      </c>
    </row>
    <row r="816" spans="1:17" x14ac:dyDescent="0.25">
      <c r="A816" t="str">
        <f t="shared" si="39"/>
        <v xml:space="preserve"> </v>
      </c>
    </row>
    <row r="817" spans="1:1" x14ac:dyDescent="0.25">
      <c r="A817" t="str">
        <f t="shared" si="39"/>
        <v xml:space="preserve"> </v>
      </c>
    </row>
    <row r="818" spans="1:1" x14ac:dyDescent="0.25">
      <c r="A818" t="str">
        <f t="shared" si="39"/>
        <v xml:space="preserve"> </v>
      </c>
    </row>
    <row r="819" spans="1:1" x14ac:dyDescent="0.25">
      <c r="A819" t="str">
        <f t="shared" si="39"/>
        <v xml:space="preserve"> </v>
      </c>
    </row>
    <row r="820" spans="1:1" x14ac:dyDescent="0.25">
      <c r="A820" t="str">
        <f t="shared" si="39"/>
        <v xml:space="preserve"> </v>
      </c>
    </row>
    <row r="821" spans="1:1" x14ac:dyDescent="0.25">
      <c r="A821" t="str">
        <f t="shared" si="39"/>
        <v xml:space="preserve"> </v>
      </c>
    </row>
    <row r="822" spans="1:1" x14ac:dyDescent="0.25">
      <c r="A822" t="str">
        <f t="shared" si="39"/>
        <v xml:space="preserve"> </v>
      </c>
    </row>
    <row r="823" spans="1:1" x14ac:dyDescent="0.25">
      <c r="A823" t="str">
        <f t="shared" si="39"/>
        <v xml:space="preserve"> </v>
      </c>
    </row>
    <row r="824" spans="1:1" x14ac:dyDescent="0.25">
      <c r="A824" t="str">
        <f t="shared" si="39"/>
        <v xml:space="preserve"> </v>
      </c>
    </row>
    <row r="825" spans="1:1" x14ac:dyDescent="0.25">
      <c r="A825" t="str">
        <f t="shared" si="39"/>
        <v xml:space="preserve"> </v>
      </c>
    </row>
    <row r="826" spans="1:1" x14ac:dyDescent="0.25">
      <c r="A826" t="str">
        <f t="shared" si="39"/>
        <v xml:space="preserve"> </v>
      </c>
    </row>
    <row r="827" spans="1:1" x14ac:dyDescent="0.25">
      <c r="A827" t="str">
        <f t="shared" si="39"/>
        <v xml:space="preserve"> </v>
      </c>
    </row>
    <row r="828" spans="1:1" x14ac:dyDescent="0.25">
      <c r="A828" t="str">
        <f t="shared" si="39"/>
        <v xml:space="preserve"> </v>
      </c>
    </row>
    <row r="829" spans="1:1" x14ac:dyDescent="0.25">
      <c r="A829" t="str">
        <f t="shared" si="39"/>
        <v xml:space="preserve"> </v>
      </c>
    </row>
    <row r="830" spans="1:1" x14ac:dyDescent="0.25">
      <c r="A830" t="str">
        <f t="shared" si="39"/>
        <v xml:space="preserve"> </v>
      </c>
    </row>
    <row r="831" spans="1:1" x14ac:dyDescent="0.25">
      <c r="A831" t="str">
        <f t="shared" si="39"/>
        <v xml:space="preserve"> </v>
      </c>
    </row>
    <row r="832" spans="1:1" x14ac:dyDescent="0.25">
      <c r="A832" t="str">
        <f t="shared" si="39"/>
        <v xml:space="preserve"> </v>
      </c>
    </row>
    <row r="833" spans="1:1" x14ac:dyDescent="0.25">
      <c r="A833" t="str">
        <f t="shared" si="39"/>
        <v xml:space="preserve"> </v>
      </c>
    </row>
    <row r="834" spans="1:1" x14ac:dyDescent="0.25">
      <c r="A834" t="str">
        <f t="shared" ref="A834:A866" si="40">_xlfn.CONCAT(B834, " ", C834)</f>
        <v xml:space="preserve"> </v>
      </c>
    </row>
    <row r="835" spans="1:1" x14ac:dyDescent="0.25">
      <c r="A835" t="str">
        <f t="shared" si="40"/>
        <v xml:space="preserve"> </v>
      </c>
    </row>
    <row r="836" spans="1:1" x14ac:dyDescent="0.25">
      <c r="A836" t="str">
        <f t="shared" si="40"/>
        <v xml:space="preserve"> </v>
      </c>
    </row>
    <row r="837" spans="1:1" x14ac:dyDescent="0.25">
      <c r="A837" t="str">
        <f t="shared" si="40"/>
        <v xml:space="preserve"> </v>
      </c>
    </row>
    <row r="838" spans="1:1" x14ac:dyDescent="0.25">
      <c r="A838" t="str">
        <f t="shared" si="40"/>
        <v xml:space="preserve"> </v>
      </c>
    </row>
    <row r="839" spans="1:1" x14ac:dyDescent="0.25">
      <c r="A839" t="str">
        <f t="shared" si="40"/>
        <v xml:space="preserve"> </v>
      </c>
    </row>
    <row r="840" spans="1:1" x14ac:dyDescent="0.25">
      <c r="A840" t="str">
        <f t="shared" si="40"/>
        <v xml:space="preserve"> </v>
      </c>
    </row>
    <row r="841" spans="1:1" x14ac:dyDescent="0.25">
      <c r="A841" t="str">
        <f t="shared" si="40"/>
        <v xml:space="preserve"> </v>
      </c>
    </row>
    <row r="842" spans="1:1" x14ac:dyDescent="0.25">
      <c r="A842" t="str">
        <f t="shared" si="40"/>
        <v xml:space="preserve"> </v>
      </c>
    </row>
    <row r="843" spans="1:1" x14ac:dyDescent="0.25">
      <c r="A843" t="str">
        <f t="shared" si="40"/>
        <v xml:space="preserve"> </v>
      </c>
    </row>
    <row r="844" spans="1:1" x14ac:dyDescent="0.25">
      <c r="A844" t="str">
        <f t="shared" si="40"/>
        <v xml:space="preserve"> </v>
      </c>
    </row>
    <row r="845" spans="1:1" x14ac:dyDescent="0.25">
      <c r="A845" t="str">
        <f t="shared" si="40"/>
        <v xml:space="preserve"> </v>
      </c>
    </row>
    <row r="846" spans="1:1" x14ac:dyDescent="0.25">
      <c r="A846" t="str">
        <f t="shared" si="40"/>
        <v xml:space="preserve"> </v>
      </c>
    </row>
    <row r="847" spans="1:1" x14ac:dyDescent="0.25">
      <c r="A847" t="str">
        <f t="shared" si="40"/>
        <v xml:space="preserve"> </v>
      </c>
    </row>
    <row r="848" spans="1:1" x14ac:dyDescent="0.25">
      <c r="A848" t="str">
        <f t="shared" si="40"/>
        <v xml:space="preserve"> </v>
      </c>
    </row>
    <row r="849" spans="1:1" x14ac:dyDescent="0.25">
      <c r="A849" t="str">
        <f t="shared" si="40"/>
        <v xml:space="preserve"> </v>
      </c>
    </row>
    <row r="850" spans="1:1" x14ac:dyDescent="0.25">
      <c r="A850" t="str">
        <f t="shared" si="40"/>
        <v xml:space="preserve"> </v>
      </c>
    </row>
    <row r="851" spans="1:1" x14ac:dyDescent="0.25">
      <c r="A851" t="str">
        <f t="shared" si="40"/>
        <v xml:space="preserve"> </v>
      </c>
    </row>
    <row r="852" spans="1:1" x14ac:dyDescent="0.25">
      <c r="A852" t="str">
        <f t="shared" si="40"/>
        <v xml:space="preserve"> </v>
      </c>
    </row>
    <row r="853" spans="1:1" x14ac:dyDescent="0.25">
      <c r="A853" t="str">
        <f t="shared" si="40"/>
        <v xml:space="preserve"> </v>
      </c>
    </row>
    <row r="854" spans="1:1" x14ac:dyDescent="0.25">
      <c r="A854" t="str">
        <f t="shared" si="40"/>
        <v xml:space="preserve"> </v>
      </c>
    </row>
    <row r="855" spans="1:1" x14ac:dyDescent="0.25">
      <c r="A855" t="str">
        <f t="shared" si="40"/>
        <v xml:space="preserve"> </v>
      </c>
    </row>
    <row r="856" spans="1:1" x14ac:dyDescent="0.25">
      <c r="A856" t="str">
        <f t="shared" si="40"/>
        <v xml:space="preserve"> </v>
      </c>
    </row>
    <row r="857" spans="1:1" x14ac:dyDescent="0.25">
      <c r="A857" t="str">
        <f t="shared" si="40"/>
        <v xml:space="preserve"> </v>
      </c>
    </row>
    <row r="858" spans="1:1" x14ac:dyDescent="0.25">
      <c r="A858" t="str">
        <f t="shared" si="40"/>
        <v xml:space="preserve"> </v>
      </c>
    </row>
    <row r="859" spans="1:1" x14ac:dyDescent="0.25">
      <c r="A859" t="str">
        <f t="shared" si="40"/>
        <v xml:space="preserve"> </v>
      </c>
    </row>
    <row r="860" spans="1:1" x14ac:dyDescent="0.25">
      <c r="A860" t="str">
        <f t="shared" si="40"/>
        <v xml:space="preserve"> </v>
      </c>
    </row>
    <row r="861" spans="1:1" x14ac:dyDescent="0.25">
      <c r="A861" t="str">
        <f t="shared" si="40"/>
        <v xml:space="preserve"> </v>
      </c>
    </row>
    <row r="862" spans="1:1" x14ac:dyDescent="0.25">
      <c r="A862" t="str">
        <f t="shared" si="40"/>
        <v xml:space="preserve"> </v>
      </c>
    </row>
    <row r="863" spans="1:1" x14ac:dyDescent="0.25">
      <c r="A863" t="str">
        <f t="shared" si="40"/>
        <v xml:space="preserve"> </v>
      </c>
    </row>
    <row r="864" spans="1:1" x14ac:dyDescent="0.25">
      <c r="A864" t="str">
        <f t="shared" si="40"/>
        <v xml:space="preserve"> </v>
      </c>
    </row>
    <row r="865" spans="1:1" x14ac:dyDescent="0.25">
      <c r="A865" t="str">
        <f t="shared" si="40"/>
        <v xml:space="preserve"> </v>
      </c>
    </row>
    <row r="866" spans="1:1" x14ac:dyDescent="0.25">
      <c r="A866" t="str">
        <f t="shared" si="40"/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AD5E-68C4-476C-8657-FB422FB6490B}">
  <dimension ref="A1:Q866"/>
  <sheetViews>
    <sheetView topLeftCell="D1" workbookViewId="0">
      <selection activeCell="P3" sqref="P3"/>
    </sheetView>
  </sheetViews>
  <sheetFormatPr defaultRowHeight="15" x14ac:dyDescent="0.25"/>
  <cols>
    <col min="1" max="1" width="52.7109375" bestFit="1" customWidth="1"/>
    <col min="2" max="2" width="21.5703125" bestFit="1" customWidth="1"/>
    <col min="3" max="3" width="42.5703125" bestFit="1" customWidth="1"/>
    <col min="4" max="4" width="7.85546875" bestFit="1" customWidth="1"/>
    <col min="5" max="5" width="16" bestFit="1" customWidth="1"/>
    <col min="6" max="6" width="11.7109375" bestFit="1" customWidth="1"/>
    <col min="7" max="7" width="10.5703125" bestFit="1" customWidth="1"/>
    <col min="8" max="8" width="8.140625" bestFit="1" customWidth="1"/>
    <col min="9" max="9" width="14.7109375" bestFit="1" customWidth="1"/>
    <col min="10" max="10" width="9" bestFit="1" customWidth="1"/>
    <col min="11" max="11" width="17.28515625" bestFit="1" customWidth="1"/>
    <col min="12" max="12" width="18.42578125" bestFit="1" customWidth="1"/>
    <col min="13" max="13" width="14" bestFit="1" customWidth="1"/>
    <col min="14" max="14" width="6.42578125" bestFit="1" customWidth="1"/>
    <col min="15" max="15" width="24.5703125" bestFit="1" customWidth="1"/>
    <col min="16" max="16" width="12.7109375" bestFit="1" customWidth="1"/>
    <col min="17" max="17" width="12.5703125" bestFit="1" customWidth="1"/>
  </cols>
  <sheetData>
    <row r="1" spans="1:17" x14ac:dyDescent="0.25">
      <c r="A1" t="s">
        <v>1036</v>
      </c>
      <c r="B1" t="s">
        <v>4</v>
      </c>
      <c r="C1" t="s">
        <v>7</v>
      </c>
      <c r="D1" t="s">
        <v>8</v>
      </c>
      <c r="E1" t="s">
        <v>1030</v>
      </c>
      <c r="F1" t="s">
        <v>5</v>
      </c>
      <c r="G1" t="s">
        <v>10</v>
      </c>
      <c r="H1" t="s">
        <v>1028</v>
      </c>
      <c r="I1" t="s">
        <v>11</v>
      </c>
      <c r="J1" t="s">
        <v>12</v>
      </c>
      <c r="K1" t="s">
        <v>17</v>
      </c>
      <c r="L1" t="s">
        <v>18</v>
      </c>
      <c r="M1" t="s">
        <v>9</v>
      </c>
      <c r="N1" t="s">
        <v>16</v>
      </c>
      <c r="O1" t="s">
        <v>1027</v>
      </c>
      <c r="P1" t="s">
        <v>2590</v>
      </c>
      <c r="Q1" t="s">
        <v>2591</v>
      </c>
    </row>
    <row r="2" spans="1:17" x14ac:dyDescent="0.25">
      <c r="A2" t="str">
        <f t="shared" ref="A2:A65" si="0">_xlfn.CONCAT(B2, " ", C2)</f>
        <v>David Raya Martín</v>
      </c>
      <c r="B2" t="s">
        <v>20</v>
      </c>
      <c r="C2" t="s">
        <v>21</v>
      </c>
      <c r="D2">
        <v>1</v>
      </c>
      <c r="E2">
        <v>1</v>
      </c>
      <c r="F2">
        <v>62</v>
      </c>
      <c r="G2">
        <v>3330</v>
      </c>
      <c r="H2">
        <v>37</v>
      </c>
      <c r="I2">
        <v>0</v>
      </c>
      <c r="J2">
        <v>0</v>
      </c>
      <c r="K2">
        <v>0</v>
      </c>
      <c r="L2">
        <v>7.0000000000000007E-2</v>
      </c>
      <c r="M2">
        <v>162</v>
      </c>
      <c r="N2">
        <v>633</v>
      </c>
      <c r="O2">
        <v>0</v>
      </c>
      <c r="P2">
        <f t="shared" ref="P2:P65" si="1">IFERROR(K2/G2*90,0)</f>
        <v>0</v>
      </c>
      <c r="Q2">
        <f t="shared" ref="Q2:Q65" si="2">IFERROR(L2/G2*90,0)</f>
        <v>1.8918918918918919E-3</v>
      </c>
    </row>
    <row r="3" spans="1:17" x14ac:dyDescent="0.25">
      <c r="A3" t="str">
        <f t="shared" si="0"/>
        <v>Kepa Arrizabalaga Revuelta</v>
      </c>
      <c r="B3" t="s">
        <v>22</v>
      </c>
      <c r="C3" t="s">
        <v>23</v>
      </c>
      <c r="D3">
        <v>1</v>
      </c>
      <c r="E3">
        <v>1</v>
      </c>
      <c r="F3">
        <v>40</v>
      </c>
      <c r="G3">
        <v>90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11</v>
      </c>
      <c r="O3">
        <v>0</v>
      </c>
      <c r="P3">
        <f t="shared" si="1"/>
        <v>0</v>
      </c>
      <c r="Q3">
        <f t="shared" si="2"/>
        <v>0</v>
      </c>
    </row>
    <row r="4" spans="1:17" x14ac:dyDescent="0.25">
      <c r="A4" t="str">
        <f t="shared" si="0"/>
        <v>Karl Hein</v>
      </c>
      <c r="B4" t="s">
        <v>799</v>
      </c>
      <c r="C4" t="s">
        <v>1293</v>
      </c>
      <c r="D4">
        <v>1</v>
      </c>
      <c r="E4">
        <v>1</v>
      </c>
      <c r="F4">
        <v>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1"/>
        <v>0</v>
      </c>
      <c r="Q4">
        <f t="shared" si="2"/>
        <v>0</v>
      </c>
    </row>
    <row r="5" spans="1:17" x14ac:dyDescent="0.25">
      <c r="A5" t="str">
        <f t="shared" si="0"/>
        <v>Tommy Setford</v>
      </c>
      <c r="B5" t="s">
        <v>2056</v>
      </c>
      <c r="C5" t="s">
        <v>2118</v>
      </c>
      <c r="D5">
        <v>1</v>
      </c>
      <c r="E5">
        <v>1</v>
      </c>
      <c r="F5">
        <v>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1"/>
        <v>0</v>
      </c>
      <c r="Q5">
        <f t="shared" si="2"/>
        <v>0</v>
      </c>
    </row>
    <row r="6" spans="1:17" x14ac:dyDescent="0.25">
      <c r="A6" t="str">
        <f t="shared" si="0"/>
        <v>Gabriel dos Santos Magalhães</v>
      </c>
      <c r="B6" t="s">
        <v>26</v>
      </c>
      <c r="C6" t="s">
        <v>27</v>
      </c>
      <c r="D6">
        <v>1</v>
      </c>
      <c r="E6">
        <v>2</v>
      </c>
      <c r="F6">
        <v>73</v>
      </c>
      <c r="G6">
        <v>2750</v>
      </c>
      <c r="H6">
        <v>30</v>
      </c>
      <c r="I6">
        <v>3</v>
      </c>
      <c r="J6">
        <v>5</v>
      </c>
      <c r="K6">
        <v>2.94</v>
      </c>
      <c r="L6">
        <v>1.75</v>
      </c>
      <c r="M6">
        <v>209</v>
      </c>
      <c r="N6">
        <v>724</v>
      </c>
      <c r="O6">
        <v>277</v>
      </c>
      <c r="P6">
        <f t="shared" si="1"/>
        <v>9.6218181818181814E-2</v>
      </c>
      <c r="Q6">
        <f t="shared" si="2"/>
        <v>5.7272727272727274E-2</v>
      </c>
    </row>
    <row r="7" spans="1:17" x14ac:dyDescent="0.25">
      <c r="A7" t="str">
        <f t="shared" si="0"/>
        <v>William Saliba</v>
      </c>
      <c r="B7" t="s">
        <v>30</v>
      </c>
      <c r="C7" t="s">
        <v>31</v>
      </c>
      <c r="D7">
        <v>1</v>
      </c>
      <c r="E7">
        <v>2</v>
      </c>
      <c r="F7">
        <v>63</v>
      </c>
      <c r="G7">
        <v>2614</v>
      </c>
      <c r="H7">
        <v>30</v>
      </c>
      <c r="I7">
        <v>1</v>
      </c>
      <c r="J7">
        <v>0</v>
      </c>
      <c r="K7">
        <v>0.88</v>
      </c>
      <c r="L7">
        <v>1.21</v>
      </c>
      <c r="M7">
        <v>137</v>
      </c>
      <c r="N7">
        <v>581</v>
      </c>
      <c r="O7">
        <v>193</v>
      </c>
      <c r="P7">
        <f t="shared" si="1"/>
        <v>3.0298393267023715E-2</v>
      </c>
      <c r="Q7">
        <f t="shared" si="2"/>
        <v>4.1660290742157616E-2</v>
      </c>
    </row>
    <row r="8" spans="1:17" x14ac:dyDescent="0.25">
      <c r="A8" t="str">
        <f t="shared" si="0"/>
        <v>Riccardo Calafiori</v>
      </c>
      <c r="B8" t="s">
        <v>34</v>
      </c>
      <c r="C8" t="s">
        <v>35</v>
      </c>
      <c r="D8">
        <v>1</v>
      </c>
      <c r="E8">
        <v>2</v>
      </c>
      <c r="F8">
        <v>56</v>
      </c>
      <c r="G8">
        <v>1697</v>
      </c>
      <c r="H8">
        <v>22</v>
      </c>
      <c r="I8">
        <v>1</v>
      </c>
      <c r="J8">
        <v>2</v>
      </c>
      <c r="K8">
        <v>3.36</v>
      </c>
      <c r="L8">
        <v>0.76</v>
      </c>
      <c r="M8">
        <v>109</v>
      </c>
      <c r="N8">
        <v>389</v>
      </c>
      <c r="O8">
        <v>102</v>
      </c>
      <c r="P8">
        <f t="shared" si="1"/>
        <v>0.1781968179139658</v>
      </c>
      <c r="Q8">
        <f t="shared" si="2"/>
        <v>4.0306423099587506E-2</v>
      </c>
    </row>
    <row r="9" spans="1:17" x14ac:dyDescent="0.25">
      <c r="A9" t="str">
        <f t="shared" si="0"/>
        <v>Jurriën Timber</v>
      </c>
      <c r="B9" t="s">
        <v>28</v>
      </c>
      <c r="C9" t="s">
        <v>29</v>
      </c>
      <c r="D9">
        <v>1</v>
      </c>
      <c r="E9">
        <v>2</v>
      </c>
      <c r="F9">
        <v>60</v>
      </c>
      <c r="G9">
        <v>2452</v>
      </c>
      <c r="H9">
        <v>28</v>
      </c>
      <c r="I9">
        <v>3</v>
      </c>
      <c r="J9">
        <v>6</v>
      </c>
      <c r="K9">
        <v>4.71</v>
      </c>
      <c r="L9">
        <v>1.53</v>
      </c>
      <c r="M9">
        <v>149</v>
      </c>
      <c r="N9">
        <v>532</v>
      </c>
      <c r="O9">
        <v>148</v>
      </c>
      <c r="P9">
        <f t="shared" si="1"/>
        <v>0.17287928221859708</v>
      </c>
      <c r="Q9">
        <f t="shared" si="2"/>
        <v>5.6158238172920066E-2</v>
      </c>
    </row>
    <row r="10" spans="1:17" x14ac:dyDescent="0.25">
      <c r="A10" t="str">
        <f t="shared" si="0"/>
        <v>Jakub Kiwior</v>
      </c>
      <c r="B10" t="s">
        <v>1279</v>
      </c>
      <c r="C10" t="s">
        <v>1280</v>
      </c>
      <c r="D10">
        <v>1</v>
      </c>
      <c r="E10">
        <v>2</v>
      </c>
      <c r="F10">
        <v>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1"/>
        <v>0</v>
      </c>
      <c r="Q10">
        <f t="shared" si="2"/>
        <v>0</v>
      </c>
    </row>
    <row r="11" spans="1:17" x14ac:dyDescent="0.25">
      <c r="A11" t="str">
        <f t="shared" si="0"/>
        <v>Myles Lewis-Skelly</v>
      </c>
      <c r="B11" t="s">
        <v>32</v>
      </c>
      <c r="C11" t="s">
        <v>33</v>
      </c>
      <c r="D11">
        <v>1</v>
      </c>
      <c r="E11">
        <v>2</v>
      </c>
      <c r="F11">
        <v>50</v>
      </c>
      <c r="G11">
        <v>697</v>
      </c>
      <c r="H11">
        <v>5</v>
      </c>
      <c r="I11">
        <v>0</v>
      </c>
      <c r="J11">
        <v>0</v>
      </c>
      <c r="K11">
        <v>0.1</v>
      </c>
      <c r="L11">
        <v>0.2</v>
      </c>
      <c r="M11">
        <v>29</v>
      </c>
      <c r="N11">
        <v>110</v>
      </c>
      <c r="O11">
        <v>25</v>
      </c>
      <c r="P11">
        <f t="shared" si="1"/>
        <v>1.2912482065997131E-2</v>
      </c>
      <c r="Q11">
        <f t="shared" si="2"/>
        <v>2.5824964131994262E-2</v>
      </c>
    </row>
    <row r="12" spans="1:17" x14ac:dyDescent="0.25">
      <c r="A12" t="str">
        <f t="shared" si="0"/>
        <v>Benjamin White</v>
      </c>
      <c r="B12" t="s">
        <v>38</v>
      </c>
      <c r="C12" t="s">
        <v>39</v>
      </c>
      <c r="D12">
        <v>1</v>
      </c>
      <c r="E12">
        <v>2</v>
      </c>
      <c r="F12">
        <v>51</v>
      </c>
      <c r="G12">
        <v>699</v>
      </c>
      <c r="H12">
        <v>9</v>
      </c>
      <c r="I12">
        <v>0</v>
      </c>
      <c r="J12">
        <v>1</v>
      </c>
      <c r="K12">
        <v>0.45</v>
      </c>
      <c r="L12">
        <v>0.69</v>
      </c>
      <c r="M12">
        <v>45</v>
      </c>
      <c r="N12">
        <v>181</v>
      </c>
      <c r="O12">
        <v>53</v>
      </c>
      <c r="P12">
        <f t="shared" si="1"/>
        <v>5.7939914163090134E-2</v>
      </c>
      <c r="Q12">
        <f t="shared" si="2"/>
        <v>8.8841201716738191E-2</v>
      </c>
    </row>
    <row r="13" spans="1:17" x14ac:dyDescent="0.25">
      <c r="A13" t="str">
        <f t="shared" si="0"/>
        <v>Brayden Clarke</v>
      </c>
      <c r="B13" t="s">
        <v>2129</v>
      </c>
      <c r="C13" t="s">
        <v>622</v>
      </c>
      <c r="D13">
        <v>1</v>
      </c>
      <c r="E13">
        <v>2</v>
      </c>
      <c r="F13">
        <v>37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1"/>
        <v>0</v>
      </c>
      <c r="Q13">
        <f t="shared" si="2"/>
        <v>0</v>
      </c>
    </row>
    <row r="14" spans="1:17" x14ac:dyDescent="0.25">
      <c r="A14" t="str">
        <f t="shared" si="0"/>
        <v>Maldini Kacurri</v>
      </c>
      <c r="B14" t="s">
        <v>2119</v>
      </c>
      <c r="C14" t="s">
        <v>2120</v>
      </c>
      <c r="D14">
        <v>1</v>
      </c>
      <c r="E14">
        <v>2</v>
      </c>
      <c r="F14">
        <v>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1"/>
        <v>0</v>
      </c>
      <c r="Q14">
        <f t="shared" si="2"/>
        <v>0</v>
      </c>
    </row>
    <row r="15" spans="1:17" x14ac:dyDescent="0.25">
      <c r="A15" t="str">
        <f t="shared" si="0"/>
        <v>Josh Nichols</v>
      </c>
      <c r="B15" t="s">
        <v>219</v>
      </c>
      <c r="C15" t="s">
        <v>2123</v>
      </c>
      <c r="D15">
        <v>1</v>
      </c>
      <c r="E15">
        <v>2</v>
      </c>
      <c r="F15">
        <v>37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1"/>
        <v>0</v>
      </c>
      <c r="Q15">
        <f t="shared" si="2"/>
        <v>0</v>
      </c>
    </row>
    <row r="16" spans="1:17" x14ac:dyDescent="0.25">
      <c r="A16" t="str">
        <f t="shared" si="0"/>
        <v>Bukayo Saka</v>
      </c>
      <c r="B16" t="s">
        <v>42</v>
      </c>
      <c r="C16" t="s">
        <v>43</v>
      </c>
      <c r="D16">
        <v>1</v>
      </c>
      <c r="E16">
        <v>3</v>
      </c>
      <c r="F16">
        <v>100</v>
      </c>
      <c r="G16">
        <v>2218</v>
      </c>
      <c r="H16">
        <v>25</v>
      </c>
      <c r="I16">
        <v>7</v>
      </c>
      <c r="J16">
        <v>10</v>
      </c>
      <c r="K16">
        <v>7.57</v>
      </c>
      <c r="L16">
        <v>7.16</v>
      </c>
      <c r="M16">
        <v>157</v>
      </c>
      <c r="N16">
        <v>570</v>
      </c>
      <c r="O16">
        <v>184</v>
      </c>
      <c r="P16">
        <f t="shared" si="1"/>
        <v>0.30716862037871956</v>
      </c>
      <c r="Q16">
        <f t="shared" si="2"/>
        <v>0.29053201082055907</v>
      </c>
    </row>
    <row r="17" spans="1:17" x14ac:dyDescent="0.25">
      <c r="A17" t="str">
        <f t="shared" si="0"/>
        <v>Martin Ødegaard</v>
      </c>
      <c r="B17" t="s">
        <v>48</v>
      </c>
      <c r="C17" t="s">
        <v>49</v>
      </c>
      <c r="D17">
        <v>1</v>
      </c>
      <c r="E17">
        <v>3</v>
      </c>
      <c r="F17">
        <v>78</v>
      </c>
      <c r="G17">
        <v>1363</v>
      </c>
      <c r="H17">
        <v>16</v>
      </c>
      <c r="I17">
        <v>1</v>
      </c>
      <c r="J17">
        <v>7</v>
      </c>
      <c r="K17">
        <v>1.25</v>
      </c>
      <c r="L17">
        <v>3.65</v>
      </c>
      <c r="M17">
        <v>74</v>
      </c>
      <c r="N17">
        <v>306</v>
      </c>
      <c r="O17">
        <v>102</v>
      </c>
      <c r="P17">
        <f t="shared" si="1"/>
        <v>8.2538517975055029E-2</v>
      </c>
      <c r="Q17">
        <f t="shared" si="2"/>
        <v>0.24101247248716068</v>
      </c>
    </row>
    <row r="18" spans="1:17" x14ac:dyDescent="0.25">
      <c r="A18" t="str">
        <f t="shared" si="0"/>
        <v>Noni Madueke</v>
      </c>
      <c r="B18" t="s">
        <v>50</v>
      </c>
      <c r="C18" t="s">
        <v>51</v>
      </c>
      <c r="D18">
        <v>1</v>
      </c>
      <c r="E18">
        <v>3</v>
      </c>
      <c r="F18">
        <v>68</v>
      </c>
      <c r="G18">
        <v>1205</v>
      </c>
      <c r="H18">
        <v>16</v>
      </c>
      <c r="I18">
        <v>3</v>
      </c>
      <c r="J18">
        <v>1</v>
      </c>
      <c r="K18">
        <v>1.23</v>
      </c>
      <c r="L18">
        <v>2.86</v>
      </c>
      <c r="M18">
        <v>72</v>
      </c>
      <c r="N18">
        <v>254</v>
      </c>
      <c r="O18">
        <v>70</v>
      </c>
      <c r="P18">
        <f t="shared" si="1"/>
        <v>9.1867219917012452E-2</v>
      </c>
      <c r="Q18">
        <f t="shared" si="2"/>
        <v>0.21360995850622405</v>
      </c>
    </row>
    <row r="19" spans="1:17" x14ac:dyDescent="0.25">
      <c r="A19" t="str">
        <f t="shared" si="0"/>
        <v>Gabriel Martinelli Silva</v>
      </c>
      <c r="B19" t="s">
        <v>26</v>
      </c>
      <c r="C19" t="s">
        <v>54</v>
      </c>
      <c r="D19">
        <v>1</v>
      </c>
      <c r="E19">
        <v>3</v>
      </c>
      <c r="F19">
        <v>68</v>
      </c>
      <c r="G19">
        <v>1065</v>
      </c>
      <c r="H19">
        <v>11</v>
      </c>
      <c r="I19">
        <v>1</v>
      </c>
      <c r="J19">
        <v>5</v>
      </c>
      <c r="K19">
        <v>4.12</v>
      </c>
      <c r="L19">
        <v>1.27</v>
      </c>
      <c r="M19">
        <v>57</v>
      </c>
      <c r="N19">
        <v>195</v>
      </c>
      <c r="O19">
        <v>77</v>
      </c>
      <c r="P19">
        <f t="shared" si="1"/>
        <v>0.34816901408450707</v>
      </c>
      <c r="Q19">
        <f t="shared" si="2"/>
        <v>0.10732394366197183</v>
      </c>
    </row>
    <row r="20" spans="1:17" x14ac:dyDescent="0.25">
      <c r="A20" t="str">
        <f t="shared" si="0"/>
        <v>Leandro Trossard</v>
      </c>
      <c r="B20" t="s">
        <v>1288</v>
      </c>
      <c r="C20" t="s">
        <v>1289</v>
      </c>
      <c r="D20">
        <v>1</v>
      </c>
      <c r="E20">
        <v>3</v>
      </c>
      <c r="F20">
        <v>66</v>
      </c>
      <c r="G20">
        <v>1997</v>
      </c>
      <c r="H20">
        <v>21</v>
      </c>
      <c r="I20">
        <v>6</v>
      </c>
      <c r="J20">
        <v>6</v>
      </c>
      <c r="K20">
        <v>5.6</v>
      </c>
      <c r="L20">
        <v>3.59</v>
      </c>
      <c r="M20">
        <v>119</v>
      </c>
      <c r="N20">
        <v>445</v>
      </c>
      <c r="O20">
        <v>133</v>
      </c>
      <c r="P20">
        <f t="shared" si="1"/>
        <v>0.25237856785177765</v>
      </c>
      <c r="Q20">
        <f t="shared" si="2"/>
        <v>0.16179268903355032</v>
      </c>
    </row>
    <row r="21" spans="1:17" x14ac:dyDescent="0.25">
      <c r="A21" t="str">
        <f t="shared" si="0"/>
        <v>Declan Rice</v>
      </c>
      <c r="B21" t="s">
        <v>44</v>
      </c>
      <c r="C21" t="s">
        <v>45</v>
      </c>
      <c r="D21">
        <v>1</v>
      </c>
      <c r="E21">
        <v>3</v>
      </c>
      <c r="F21">
        <v>72</v>
      </c>
      <c r="G21">
        <v>3093</v>
      </c>
      <c r="H21">
        <v>35</v>
      </c>
      <c r="I21">
        <v>4</v>
      </c>
      <c r="J21">
        <v>9</v>
      </c>
      <c r="K21">
        <v>3.15</v>
      </c>
      <c r="L21">
        <v>7.32</v>
      </c>
      <c r="M21">
        <v>184</v>
      </c>
      <c r="N21">
        <v>790</v>
      </c>
      <c r="O21">
        <v>376</v>
      </c>
      <c r="P21">
        <f t="shared" si="1"/>
        <v>9.1658583899127066E-2</v>
      </c>
      <c r="Q21">
        <f t="shared" si="2"/>
        <v>0.21299709020368573</v>
      </c>
    </row>
    <row r="22" spans="1:17" x14ac:dyDescent="0.25">
      <c r="A22" t="str">
        <f t="shared" si="0"/>
        <v>Mikel Merino Zazón</v>
      </c>
      <c r="B22" t="s">
        <v>52</v>
      </c>
      <c r="C22" t="s">
        <v>53</v>
      </c>
      <c r="D22">
        <v>1</v>
      </c>
      <c r="E22">
        <v>3</v>
      </c>
      <c r="F22">
        <v>53</v>
      </c>
      <c r="G22">
        <v>1024</v>
      </c>
      <c r="H22">
        <v>10</v>
      </c>
      <c r="I22">
        <v>4</v>
      </c>
      <c r="J22">
        <v>3</v>
      </c>
      <c r="K22">
        <v>3.36</v>
      </c>
      <c r="L22">
        <v>1.45</v>
      </c>
      <c r="M22">
        <v>67</v>
      </c>
      <c r="N22">
        <v>236</v>
      </c>
      <c r="O22">
        <v>113</v>
      </c>
      <c r="P22">
        <f t="shared" si="1"/>
        <v>0.29531249999999998</v>
      </c>
      <c r="Q22">
        <f t="shared" si="2"/>
        <v>0.12744140625</v>
      </c>
    </row>
    <row r="23" spans="1:17" x14ac:dyDescent="0.25">
      <c r="A23" t="str">
        <f t="shared" si="0"/>
        <v>Fábio Ferreira Vieira</v>
      </c>
      <c r="B23" t="s">
        <v>61</v>
      </c>
      <c r="C23" t="s">
        <v>62</v>
      </c>
      <c r="D23">
        <v>1</v>
      </c>
      <c r="E23">
        <v>3</v>
      </c>
      <c r="F23">
        <v>54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1"/>
        <v>0</v>
      </c>
      <c r="Q23">
        <f t="shared" si="2"/>
        <v>0</v>
      </c>
    </row>
    <row r="24" spans="1:17" x14ac:dyDescent="0.25">
      <c r="A24" t="str">
        <f t="shared" si="0"/>
        <v>Christian Nørgaard</v>
      </c>
      <c r="B24" t="s">
        <v>468</v>
      </c>
      <c r="C24" t="s">
        <v>469</v>
      </c>
      <c r="D24">
        <v>1</v>
      </c>
      <c r="E24">
        <v>3</v>
      </c>
      <c r="F24">
        <v>51</v>
      </c>
      <c r="G24">
        <v>101</v>
      </c>
      <c r="H24">
        <v>1</v>
      </c>
      <c r="I24">
        <v>0</v>
      </c>
      <c r="J24">
        <v>0</v>
      </c>
      <c r="K24">
        <v>0.08</v>
      </c>
      <c r="L24">
        <v>0.04</v>
      </c>
      <c r="M24">
        <v>7</v>
      </c>
      <c r="N24">
        <v>28</v>
      </c>
      <c r="O24">
        <v>16</v>
      </c>
      <c r="P24">
        <f t="shared" si="1"/>
        <v>7.1287128712871295E-2</v>
      </c>
      <c r="Q24">
        <f t="shared" si="2"/>
        <v>3.5643564356435647E-2</v>
      </c>
    </row>
    <row r="25" spans="1:17" x14ac:dyDescent="0.25">
      <c r="A25" t="str">
        <f t="shared" si="0"/>
        <v>Ethan Nwaneri</v>
      </c>
      <c r="B25" t="s">
        <v>59</v>
      </c>
      <c r="C25" t="s">
        <v>60</v>
      </c>
      <c r="D25">
        <v>1</v>
      </c>
      <c r="E25">
        <v>3</v>
      </c>
      <c r="F25">
        <v>50</v>
      </c>
      <c r="G25">
        <v>165</v>
      </c>
      <c r="H25">
        <v>0</v>
      </c>
      <c r="I25">
        <v>0</v>
      </c>
      <c r="J25">
        <v>0</v>
      </c>
      <c r="K25">
        <v>0.23</v>
      </c>
      <c r="L25">
        <v>0.08</v>
      </c>
      <c r="M25">
        <v>8</v>
      </c>
      <c r="N25">
        <v>20</v>
      </c>
      <c r="O25">
        <v>13</v>
      </c>
      <c r="P25">
        <f t="shared" si="1"/>
        <v>0.12545454545454546</v>
      </c>
      <c r="Q25">
        <f t="shared" si="2"/>
        <v>4.3636363636363633E-2</v>
      </c>
    </row>
    <row r="26" spans="1:17" x14ac:dyDescent="0.25">
      <c r="A26" t="str">
        <f t="shared" si="0"/>
        <v>Martín Zubimendi Ibáñez</v>
      </c>
      <c r="B26" t="s">
        <v>55</v>
      </c>
      <c r="C26" t="s">
        <v>56</v>
      </c>
      <c r="D26">
        <v>1</v>
      </c>
      <c r="E26">
        <v>3</v>
      </c>
      <c r="F26">
        <v>49</v>
      </c>
      <c r="G26">
        <v>2991</v>
      </c>
      <c r="H26">
        <v>34</v>
      </c>
      <c r="I26">
        <v>5</v>
      </c>
      <c r="J26">
        <v>1</v>
      </c>
      <c r="K26">
        <v>2.84</v>
      </c>
      <c r="L26">
        <v>2.27</v>
      </c>
      <c r="M26">
        <v>133</v>
      </c>
      <c r="N26">
        <v>604</v>
      </c>
      <c r="O26">
        <v>307</v>
      </c>
      <c r="P26">
        <f t="shared" si="1"/>
        <v>8.5456369107321961E-2</v>
      </c>
      <c r="Q26">
        <f t="shared" si="2"/>
        <v>6.8304914744232698E-2</v>
      </c>
    </row>
    <row r="27" spans="1:17" x14ac:dyDescent="0.25">
      <c r="A27" t="str">
        <f t="shared" si="0"/>
        <v>Ismeal Kabia</v>
      </c>
      <c r="B27" t="s">
        <v>2121</v>
      </c>
      <c r="C27" t="s">
        <v>2122</v>
      </c>
      <c r="D27">
        <v>1</v>
      </c>
      <c r="E27">
        <v>3</v>
      </c>
      <c r="F27">
        <v>45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1"/>
        <v>0</v>
      </c>
      <c r="Q27">
        <f t="shared" si="2"/>
        <v>0</v>
      </c>
    </row>
    <row r="28" spans="1:17" x14ac:dyDescent="0.25">
      <c r="A28" t="str">
        <f t="shared" si="0"/>
        <v>Albert Sambi Lokonga</v>
      </c>
      <c r="B28" t="s">
        <v>1709</v>
      </c>
      <c r="C28" t="s">
        <v>1710</v>
      </c>
      <c r="D28">
        <v>1</v>
      </c>
      <c r="E28">
        <v>3</v>
      </c>
      <c r="F28">
        <v>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1"/>
        <v>0</v>
      </c>
      <c r="Q28">
        <f t="shared" si="2"/>
        <v>0</v>
      </c>
    </row>
    <row r="29" spans="1:17" x14ac:dyDescent="0.25">
      <c r="A29" t="str">
        <f t="shared" si="0"/>
        <v>Kai Havertz</v>
      </c>
      <c r="B29" t="s">
        <v>67</v>
      </c>
      <c r="C29" t="s">
        <v>68</v>
      </c>
      <c r="D29">
        <v>1</v>
      </c>
      <c r="E29">
        <v>4</v>
      </c>
      <c r="F29">
        <v>73</v>
      </c>
      <c r="G29">
        <v>577</v>
      </c>
      <c r="H29">
        <v>7</v>
      </c>
      <c r="I29">
        <v>2</v>
      </c>
      <c r="J29">
        <v>3</v>
      </c>
      <c r="K29">
        <v>3.31</v>
      </c>
      <c r="L29">
        <v>0.64</v>
      </c>
      <c r="M29">
        <v>36</v>
      </c>
      <c r="N29">
        <v>143</v>
      </c>
      <c r="O29">
        <v>32</v>
      </c>
      <c r="P29">
        <f t="shared" si="1"/>
        <v>0.51629116117850948</v>
      </c>
      <c r="Q29">
        <f t="shared" si="2"/>
        <v>9.982668977469672E-2</v>
      </c>
    </row>
    <row r="30" spans="1:17" x14ac:dyDescent="0.25">
      <c r="A30" t="str">
        <f t="shared" si="0"/>
        <v>Gabriel Fernando de Jesus</v>
      </c>
      <c r="B30" t="s">
        <v>26</v>
      </c>
      <c r="C30" t="s">
        <v>69</v>
      </c>
      <c r="D30">
        <v>1</v>
      </c>
      <c r="E30">
        <v>4</v>
      </c>
      <c r="F30">
        <v>64</v>
      </c>
      <c r="G30">
        <v>418</v>
      </c>
      <c r="H30">
        <v>3</v>
      </c>
      <c r="I30">
        <v>3</v>
      </c>
      <c r="J30">
        <v>0</v>
      </c>
      <c r="K30">
        <v>2.71</v>
      </c>
      <c r="L30">
        <v>0.26</v>
      </c>
      <c r="M30">
        <v>24</v>
      </c>
      <c r="N30">
        <v>92</v>
      </c>
      <c r="O30">
        <v>30</v>
      </c>
      <c r="P30">
        <f t="shared" si="1"/>
        <v>0.58349282296650717</v>
      </c>
      <c r="Q30">
        <f t="shared" si="2"/>
        <v>5.5980861244019145E-2</v>
      </c>
    </row>
    <row r="31" spans="1:17" x14ac:dyDescent="0.25">
      <c r="A31" t="str">
        <f t="shared" si="0"/>
        <v>Eberechi Eze</v>
      </c>
      <c r="B31" t="s">
        <v>46</v>
      </c>
      <c r="C31" t="s">
        <v>47</v>
      </c>
      <c r="D31">
        <v>1</v>
      </c>
      <c r="E31">
        <v>3</v>
      </c>
      <c r="F31">
        <v>73</v>
      </c>
      <c r="G31">
        <v>1885</v>
      </c>
      <c r="H31">
        <v>22</v>
      </c>
      <c r="I31">
        <v>7</v>
      </c>
      <c r="J31">
        <v>3</v>
      </c>
      <c r="K31">
        <v>5.18</v>
      </c>
      <c r="L31">
        <v>2.66</v>
      </c>
      <c r="M31">
        <v>113</v>
      </c>
      <c r="N31">
        <v>439</v>
      </c>
      <c r="O31">
        <v>120</v>
      </c>
      <c r="P31">
        <f t="shared" si="1"/>
        <v>0.24732095490716177</v>
      </c>
      <c r="Q31">
        <f t="shared" si="2"/>
        <v>0.1270026525198939</v>
      </c>
    </row>
    <row r="32" spans="1:17" x14ac:dyDescent="0.25">
      <c r="A32" t="str">
        <f t="shared" si="0"/>
        <v>Cristhian Mosquera</v>
      </c>
      <c r="B32" t="s">
        <v>40</v>
      </c>
      <c r="C32" t="s">
        <v>41</v>
      </c>
      <c r="D32">
        <v>1</v>
      </c>
      <c r="E32">
        <v>2</v>
      </c>
      <c r="F32">
        <v>53</v>
      </c>
      <c r="G32">
        <v>986</v>
      </c>
      <c r="H32">
        <v>9</v>
      </c>
      <c r="I32">
        <v>0</v>
      </c>
      <c r="J32">
        <v>0</v>
      </c>
      <c r="K32">
        <v>0.1</v>
      </c>
      <c r="L32">
        <v>0.63</v>
      </c>
      <c r="M32">
        <v>40</v>
      </c>
      <c r="N32">
        <v>195</v>
      </c>
      <c r="O32">
        <v>95</v>
      </c>
      <c r="P32">
        <f t="shared" si="1"/>
        <v>9.1277890466531456E-3</v>
      </c>
      <c r="Q32">
        <f t="shared" si="2"/>
        <v>5.750507099391481E-2</v>
      </c>
    </row>
    <row r="33" spans="1:17" x14ac:dyDescent="0.25">
      <c r="A33" t="str">
        <f t="shared" si="0"/>
        <v>Viktor Gyökeres</v>
      </c>
      <c r="B33" t="s">
        <v>65</v>
      </c>
      <c r="C33" t="s">
        <v>66</v>
      </c>
      <c r="D33">
        <v>1</v>
      </c>
      <c r="E33">
        <v>4</v>
      </c>
      <c r="F33">
        <v>91</v>
      </c>
      <c r="G33">
        <v>2217</v>
      </c>
      <c r="H33">
        <v>26</v>
      </c>
      <c r="I33">
        <v>14</v>
      </c>
      <c r="J33">
        <v>1</v>
      </c>
      <c r="K33">
        <v>12.26</v>
      </c>
      <c r="L33">
        <v>1.94</v>
      </c>
      <c r="M33">
        <v>128</v>
      </c>
      <c r="N33">
        <v>474</v>
      </c>
      <c r="O33">
        <v>85</v>
      </c>
      <c r="P33">
        <f t="shared" si="1"/>
        <v>0.49769959404600811</v>
      </c>
      <c r="Q33">
        <f t="shared" si="2"/>
        <v>7.8755074424898514E-2</v>
      </c>
    </row>
    <row r="34" spans="1:17" x14ac:dyDescent="0.25">
      <c r="A34" t="str">
        <f t="shared" si="0"/>
        <v>Max Dowman</v>
      </c>
      <c r="B34" t="s">
        <v>57</v>
      </c>
      <c r="C34" t="s">
        <v>58</v>
      </c>
      <c r="D34">
        <v>1</v>
      </c>
      <c r="E34">
        <v>3</v>
      </c>
      <c r="F34">
        <v>42</v>
      </c>
      <c r="G34">
        <v>152</v>
      </c>
      <c r="H34">
        <v>1</v>
      </c>
      <c r="I34">
        <v>1</v>
      </c>
      <c r="J34">
        <v>1</v>
      </c>
      <c r="K34">
        <v>1.19</v>
      </c>
      <c r="L34">
        <v>0.3</v>
      </c>
      <c r="M34">
        <v>16</v>
      </c>
      <c r="N34">
        <v>51</v>
      </c>
      <c r="O34">
        <v>16</v>
      </c>
      <c r="P34">
        <f t="shared" si="1"/>
        <v>0.70460526315789462</v>
      </c>
      <c r="Q34">
        <f t="shared" si="2"/>
        <v>0.17763157894736842</v>
      </c>
    </row>
    <row r="35" spans="1:17" x14ac:dyDescent="0.25">
      <c r="A35" t="str">
        <f t="shared" si="0"/>
        <v>Andre Harriman-Annous</v>
      </c>
      <c r="B35" t="s">
        <v>1956</v>
      </c>
      <c r="C35" t="s">
        <v>2391</v>
      </c>
      <c r="D35">
        <v>1</v>
      </c>
      <c r="E35">
        <v>3</v>
      </c>
      <c r="F35">
        <v>44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1"/>
        <v>0</v>
      </c>
      <c r="Q35">
        <f t="shared" si="2"/>
        <v>0</v>
      </c>
    </row>
    <row r="36" spans="1:17" x14ac:dyDescent="0.25">
      <c r="A36" t="str">
        <f t="shared" si="0"/>
        <v>Piero Hincapié</v>
      </c>
      <c r="B36" t="s">
        <v>36</v>
      </c>
      <c r="C36" t="s">
        <v>37</v>
      </c>
      <c r="D36">
        <v>1</v>
      </c>
      <c r="E36">
        <v>2</v>
      </c>
      <c r="F36">
        <v>51</v>
      </c>
      <c r="G36">
        <v>1787</v>
      </c>
      <c r="H36">
        <v>20</v>
      </c>
      <c r="I36">
        <v>1</v>
      </c>
      <c r="J36">
        <v>2</v>
      </c>
      <c r="K36">
        <v>0.36</v>
      </c>
      <c r="L36">
        <v>1.67</v>
      </c>
      <c r="M36">
        <v>87</v>
      </c>
      <c r="N36">
        <v>335</v>
      </c>
      <c r="O36">
        <v>171</v>
      </c>
      <c r="P36">
        <f t="shared" si="1"/>
        <v>1.8130945719082258E-2</v>
      </c>
      <c r="Q36">
        <f t="shared" si="2"/>
        <v>8.4107442641298255E-2</v>
      </c>
    </row>
    <row r="37" spans="1:17" x14ac:dyDescent="0.25">
      <c r="A37" t="str">
        <f t="shared" si="0"/>
        <v>Marli Salmon</v>
      </c>
      <c r="B37" t="s">
        <v>2392</v>
      </c>
      <c r="C37" t="s">
        <v>2393</v>
      </c>
      <c r="D37">
        <v>1</v>
      </c>
      <c r="E37">
        <v>2</v>
      </c>
      <c r="F37">
        <v>40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1"/>
        <v>0</v>
      </c>
      <c r="Q37">
        <f t="shared" si="2"/>
        <v>0</v>
      </c>
    </row>
    <row r="38" spans="1:17" x14ac:dyDescent="0.25">
      <c r="A38" t="str">
        <f t="shared" si="0"/>
        <v>Emiliano Martínez Romero</v>
      </c>
      <c r="B38" t="s">
        <v>74</v>
      </c>
      <c r="C38" t="s">
        <v>75</v>
      </c>
      <c r="D38">
        <v>2</v>
      </c>
      <c r="E38">
        <v>1</v>
      </c>
      <c r="F38">
        <v>50</v>
      </c>
      <c r="G38">
        <v>2835</v>
      </c>
      <c r="H38">
        <v>32</v>
      </c>
      <c r="I38">
        <v>0</v>
      </c>
      <c r="J38">
        <v>1</v>
      </c>
      <c r="K38">
        <v>0</v>
      </c>
      <c r="L38">
        <v>0.08</v>
      </c>
      <c r="M38">
        <v>120</v>
      </c>
      <c r="N38">
        <v>530</v>
      </c>
      <c r="O38">
        <v>0</v>
      </c>
      <c r="P38">
        <f t="shared" si="1"/>
        <v>0</v>
      </c>
      <c r="Q38">
        <f t="shared" si="2"/>
        <v>2.5396825396825397E-3</v>
      </c>
    </row>
    <row r="39" spans="1:17" x14ac:dyDescent="0.25">
      <c r="A39" t="str">
        <f t="shared" si="0"/>
        <v>Marco Bizot</v>
      </c>
      <c r="B39" t="s">
        <v>76</v>
      </c>
      <c r="C39" t="s">
        <v>77</v>
      </c>
      <c r="D39">
        <v>2</v>
      </c>
      <c r="E39">
        <v>1</v>
      </c>
      <c r="F39">
        <v>42</v>
      </c>
      <c r="G39">
        <v>585</v>
      </c>
      <c r="H39">
        <v>6</v>
      </c>
      <c r="I39">
        <v>0</v>
      </c>
      <c r="J39">
        <v>0</v>
      </c>
      <c r="K39">
        <v>0</v>
      </c>
      <c r="L39">
        <v>0</v>
      </c>
      <c r="M39">
        <v>16</v>
      </c>
      <c r="N39">
        <v>75</v>
      </c>
      <c r="O39">
        <v>0</v>
      </c>
      <c r="P39">
        <f t="shared" si="1"/>
        <v>0</v>
      </c>
      <c r="Q39">
        <f t="shared" si="2"/>
        <v>0</v>
      </c>
    </row>
    <row r="40" spans="1:17" x14ac:dyDescent="0.25">
      <c r="A40" t="str">
        <f t="shared" si="0"/>
        <v>Joe Gauci</v>
      </c>
      <c r="B40" t="s">
        <v>585</v>
      </c>
      <c r="C40" t="s">
        <v>1336</v>
      </c>
      <c r="D40">
        <v>2</v>
      </c>
      <c r="E40">
        <v>1</v>
      </c>
      <c r="F40">
        <v>40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1"/>
        <v>0</v>
      </c>
      <c r="Q40">
        <f t="shared" si="2"/>
        <v>0</v>
      </c>
    </row>
    <row r="41" spans="1:17" x14ac:dyDescent="0.25">
      <c r="A41" t="str">
        <f t="shared" si="0"/>
        <v>Filip Marschall</v>
      </c>
      <c r="B41" t="s">
        <v>295</v>
      </c>
      <c r="C41" t="s">
        <v>1328</v>
      </c>
      <c r="D41">
        <v>2</v>
      </c>
      <c r="E41">
        <v>1</v>
      </c>
      <c r="F41">
        <v>40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 t="shared" si="1"/>
        <v>0</v>
      </c>
      <c r="Q41">
        <f t="shared" si="2"/>
        <v>0</v>
      </c>
    </row>
    <row r="42" spans="1:17" x14ac:dyDescent="0.25">
      <c r="A42" t="str">
        <f t="shared" si="0"/>
        <v>Matty Cash</v>
      </c>
      <c r="B42" t="s">
        <v>82</v>
      </c>
      <c r="C42" t="s">
        <v>83</v>
      </c>
      <c r="D42">
        <v>2</v>
      </c>
      <c r="E42">
        <v>2</v>
      </c>
      <c r="F42">
        <v>46</v>
      </c>
      <c r="G42">
        <v>3016</v>
      </c>
      <c r="H42">
        <v>34</v>
      </c>
      <c r="I42">
        <v>3</v>
      </c>
      <c r="J42">
        <v>3</v>
      </c>
      <c r="K42">
        <v>1.1399999999999999</v>
      </c>
      <c r="L42">
        <v>2.94</v>
      </c>
      <c r="M42">
        <v>117</v>
      </c>
      <c r="N42">
        <v>450</v>
      </c>
      <c r="O42">
        <v>186</v>
      </c>
      <c r="P42">
        <f t="shared" si="1"/>
        <v>3.4018567639257292E-2</v>
      </c>
      <c r="Q42">
        <f t="shared" si="2"/>
        <v>8.7732095490716186E-2</v>
      </c>
    </row>
    <row r="43" spans="1:17" x14ac:dyDescent="0.25">
      <c r="A43" t="str">
        <f t="shared" si="0"/>
        <v>Lucas Digne</v>
      </c>
      <c r="B43" t="s">
        <v>78</v>
      </c>
      <c r="C43" t="s">
        <v>79</v>
      </c>
      <c r="D43">
        <v>2</v>
      </c>
      <c r="E43">
        <v>2</v>
      </c>
      <c r="F43">
        <v>45</v>
      </c>
      <c r="G43">
        <v>1842</v>
      </c>
      <c r="H43">
        <v>21</v>
      </c>
      <c r="I43">
        <v>0</v>
      </c>
      <c r="J43">
        <v>7</v>
      </c>
      <c r="K43">
        <v>0.67</v>
      </c>
      <c r="L43">
        <v>3.28</v>
      </c>
      <c r="M43">
        <v>97</v>
      </c>
      <c r="N43">
        <v>381</v>
      </c>
      <c r="O43">
        <v>113</v>
      </c>
      <c r="P43">
        <f t="shared" si="1"/>
        <v>3.2736156351791536E-2</v>
      </c>
      <c r="Q43">
        <f t="shared" si="2"/>
        <v>0.16026058631921825</v>
      </c>
    </row>
    <row r="44" spans="1:17" x14ac:dyDescent="0.25">
      <c r="A44" t="str">
        <f t="shared" si="0"/>
        <v>Ezri Konsa Ngoyo</v>
      </c>
      <c r="B44" t="s">
        <v>80</v>
      </c>
      <c r="C44" t="s">
        <v>81</v>
      </c>
      <c r="D44">
        <v>2</v>
      </c>
      <c r="E44">
        <v>2</v>
      </c>
      <c r="F44">
        <v>44</v>
      </c>
      <c r="G44">
        <v>3035</v>
      </c>
      <c r="H44">
        <v>34</v>
      </c>
      <c r="I44">
        <v>0</v>
      </c>
      <c r="J44">
        <v>1</v>
      </c>
      <c r="K44">
        <v>1.27</v>
      </c>
      <c r="L44">
        <v>0.59</v>
      </c>
      <c r="M44">
        <v>100</v>
      </c>
      <c r="N44">
        <v>497</v>
      </c>
      <c r="O44">
        <v>196</v>
      </c>
      <c r="P44">
        <f t="shared" si="1"/>
        <v>3.7660626029654039E-2</v>
      </c>
      <c r="Q44">
        <f t="shared" si="2"/>
        <v>1.7495881383855022E-2</v>
      </c>
    </row>
    <row r="45" spans="1:17" x14ac:dyDescent="0.25">
      <c r="A45" t="str">
        <f t="shared" si="0"/>
        <v>Ian Maatsen</v>
      </c>
      <c r="B45" t="s">
        <v>90</v>
      </c>
      <c r="C45" t="s">
        <v>91</v>
      </c>
      <c r="D45">
        <v>2</v>
      </c>
      <c r="E45">
        <v>2</v>
      </c>
      <c r="F45">
        <v>42</v>
      </c>
      <c r="G45">
        <v>1590</v>
      </c>
      <c r="H45">
        <v>17</v>
      </c>
      <c r="I45">
        <v>0</v>
      </c>
      <c r="J45">
        <v>1</v>
      </c>
      <c r="K45">
        <v>1.26</v>
      </c>
      <c r="L45">
        <v>2.39</v>
      </c>
      <c r="M45">
        <v>54</v>
      </c>
      <c r="N45">
        <v>242</v>
      </c>
      <c r="O45">
        <v>128</v>
      </c>
      <c r="P45">
        <f t="shared" si="1"/>
        <v>7.1320754716981127E-2</v>
      </c>
      <c r="Q45">
        <f t="shared" si="2"/>
        <v>0.13528301886792451</v>
      </c>
    </row>
    <row r="46" spans="1:17" x14ac:dyDescent="0.25">
      <c r="A46" t="str">
        <f t="shared" si="0"/>
        <v>Tyrone Mings</v>
      </c>
      <c r="B46" t="s">
        <v>84</v>
      </c>
      <c r="C46" t="s">
        <v>85</v>
      </c>
      <c r="D46">
        <v>2</v>
      </c>
      <c r="E46">
        <v>2</v>
      </c>
      <c r="F46">
        <v>43</v>
      </c>
      <c r="G46">
        <v>1322</v>
      </c>
      <c r="H46">
        <v>15</v>
      </c>
      <c r="I46">
        <v>0</v>
      </c>
      <c r="J46">
        <v>1</v>
      </c>
      <c r="K46">
        <v>1.3</v>
      </c>
      <c r="L46">
        <v>0.42</v>
      </c>
      <c r="M46">
        <v>50</v>
      </c>
      <c r="N46">
        <v>169</v>
      </c>
      <c r="O46">
        <v>107</v>
      </c>
      <c r="P46">
        <f t="shared" si="1"/>
        <v>8.8502269288956131E-2</v>
      </c>
      <c r="Q46">
        <f t="shared" si="2"/>
        <v>2.8593040847201209E-2</v>
      </c>
    </row>
    <row r="47" spans="1:17" x14ac:dyDescent="0.25">
      <c r="A47" t="str">
        <f t="shared" si="0"/>
        <v>Pau Torres</v>
      </c>
      <c r="B47" t="s">
        <v>86</v>
      </c>
      <c r="C47" t="s">
        <v>87</v>
      </c>
      <c r="D47">
        <v>2</v>
      </c>
      <c r="E47">
        <v>2</v>
      </c>
      <c r="F47">
        <v>43</v>
      </c>
      <c r="G47">
        <v>1673</v>
      </c>
      <c r="H47">
        <v>18</v>
      </c>
      <c r="I47">
        <v>0</v>
      </c>
      <c r="J47">
        <v>2</v>
      </c>
      <c r="K47">
        <v>1.33</v>
      </c>
      <c r="L47">
        <v>0.39</v>
      </c>
      <c r="M47">
        <v>64</v>
      </c>
      <c r="N47">
        <v>280</v>
      </c>
      <c r="O47">
        <v>112</v>
      </c>
      <c r="P47">
        <f t="shared" si="1"/>
        <v>7.1548117154811713E-2</v>
      </c>
      <c r="Q47">
        <f t="shared" si="2"/>
        <v>2.0980274955170356E-2</v>
      </c>
    </row>
    <row r="48" spans="1:17" x14ac:dyDescent="0.25">
      <c r="A48" t="str">
        <f t="shared" si="0"/>
        <v>Andrés García</v>
      </c>
      <c r="B48" t="s">
        <v>94</v>
      </c>
      <c r="C48" t="s">
        <v>95</v>
      </c>
      <c r="D48">
        <v>2</v>
      </c>
      <c r="E48">
        <v>2</v>
      </c>
      <c r="F48">
        <v>39</v>
      </c>
      <c r="G48">
        <v>83</v>
      </c>
      <c r="H48">
        <v>1</v>
      </c>
      <c r="I48">
        <v>0</v>
      </c>
      <c r="J48">
        <v>0</v>
      </c>
      <c r="K48">
        <v>0</v>
      </c>
      <c r="L48">
        <v>0.01</v>
      </c>
      <c r="M48">
        <v>5</v>
      </c>
      <c r="N48">
        <v>12</v>
      </c>
      <c r="O48">
        <v>10</v>
      </c>
      <c r="P48">
        <f t="shared" si="1"/>
        <v>0</v>
      </c>
      <c r="Q48">
        <f t="shared" si="2"/>
        <v>1.0843373493975903E-2</v>
      </c>
    </row>
    <row r="49" spans="1:17" x14ac:dyDescent="0.25">
      <c r="A49" t="str">
        <f t="shared" si="0"/>
        <v>Álex Moreno Lopera</v>
      </c>
      <c r="B49" t="s">
        <v>2305</v>
      </c>
      <c r="C49" t="s">
        <v>1301</v>
      </c>
      <c r="D49">
        <v>2</v>
      </c>
      <c r="E49">
        <v>2</v>
      </c>
      <c r="F49">
        <v>40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f t="shared" si="1"/>
        <v>0</v>
      </c>
      <c r="Q49">
        <f t="shared" si="2"/>
        <v>0</v>
      </c>
    </row>
    <row r="50" spans="1:17" x14ac:dyDescent="0.25">
      <c r="A50" t="str">
        <f t="shared" si="0"/>
        <v>Lamare Bogarde</v>
      </c>
      <c r="B50" t="s">
        <v>88</v>
      </c>
      <c r="C50" t="s">
        <v>89</v>
      </c>
      <c r="D50">
        <v>2</v>
      </c>
      <c r="E50">
        <v>2</v>
      </c>
      <c r="F50">
        <v>40</v>
      </c>
      <c r="G50">
        <v>1042</v>
      </c>
      <c r="H50">
        <v>11</v>
      </c>
      <c r="I50">
        <v>0</v>
      </c>
      <c r="J50">
        <v>0</v>
      </c>
      <c r="K50">
        <v>0</v>
      </c>
      <c r="L50">
        <v>0.2</v>
      </c>
      <c r="M50">
        <v>40</v>
      </c>
      <c r="N50">
        <v>121</v>
      </c>
      <c r="O50">
        <v>60</v>
      </c>
      <c r="P50">
        <f t="shared" si="1"/>
        <v>0</v>
      </c>
      <c r="Q50">
        <f t="shared" si="2"/>
        <v>1.7274472168905951E-2</v>
      </c>
    </row>
    <row r="51" spans="1:17" x14ac:dyDescent="0.25">
      <c r="A51" t="str">
        <f t="shared" si="0"/>
        <v>Lino da Cruz Sousa</v>
      </c>
      <c r="B51" t="s">
        <v>2132</v>
      </c>
      <c r="C51" t="s">
        <v>2133</v>
      </c>
      <c r="D51">
        <v>2</v>
      </c>
      <c r="E51">
        <v>2</v>
      </c>
      <c r="F51">
        <v>38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f t="shared" si="1"/>
        <v>0</v>
      </c>
      <c r="Q51">
        <f t="shared" si="2"/>
        <v>0</v>
      </c>
    </row>
    <row r="52" spans="1:17" x14ac:dyDescent="0.25">
      <c r="A52" t="str">
        <f t="shared" si="0"/>
        <v>Yasin Özcan</v>
      </c>
      <c r="B52" t="s">
        <v>264</v>
      </c>
      <c r="C52" t="s">
        <v>2394</v>
      </c>
      <c r="D52">
        <v>2</v>
      </c>
      <c r="E52">
        <v>2</v>
      </c>
      <c r="F52">
        <v>40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f t="shared" si="1"/>
        <v>0</v>
      </c>
      <c r="Q52">
        <f t="shared" si="2"/>
        <v>0</v>
      </c>
    </row>
    <row r="53" spans="1:17" x14ac:dyDescent="0.25">
      <c r="A53" t="str">
        <f t="shared" si="0"/>
        <v>Morgan Rogers</v>
      </c>
      <c r="B53" t="s">
        <v>287</v>
      </c>
      <c r="C53" t="s">
        <v>288</v>
      </c>
      <c r="D53">
        <v>2</v>
      </c>
      <c r="E53">
        <v>3</v>
      </c>
      <c r="F53">
        <v>73</v>
      </c>
      <c r="G53">
        <v>3280</v>
      </c>
      <c r="H53">
        <v>37</v>
      </c>
      <c r="I53">
        <v>10</v>
      </c>
      <c r="J53">
        <v>8</v>
      </c>
      <c r="K53">
        <v>6.84</v>
      </c>
      <c r="L53">
        <v>4.32</v>
      </c>
      <c r="M53">
        <v>169</v>
      </c>
      <c r="N53">
        <v>605</v>
      </c>
      <c r="O53">
        <v>230</v>
      </c>
      <c r="P53">
        <f t="shared" si="1"/>
        <v>0.18768292682926829</v>
      </c>
      <c r="Q53">
        <f t="shared" si="2"/>
        <v>0.11853658536585367</v>
      </c>
    </row>
    <row r="54" spans="1:17" x14ac:dyDescent="0.25">
      <c r="A54" t="str">
        <f t="shared" si="0"/>
        <v>Youri Tielemans</v>
      </c>
      <c r="B54" t="s">
        <v>795</v>
      </c>
      <c r="C54" t="s">
        <v>796</v>
      </c>
      <c r="D54">
        <v>2</v>
      </c>
      <c r="E54">
        <v>3</v>
      </c>
      <c r="F54">
        <v>59</v>
      </c>
      <c r="G54">
        <v>1857</v>
      </c>
      <c r="H54">
        <v>21</v>
      </c>
      <c r="I54">
        <v>0</v>
      </c>
      <c r="J54">
        <v>4</v>
      </c>
      <c r="K54">
        <v>1.1399999999999999</v>
      </c>
      <c r="L54">
        <v>3.26</v>
      </c>
      <c r="M54">
        <v>68</v>
      </c>
      <c r="N54">
        <v>417</v>
      </c>
      <c r="O54">
        <v>203</v>
      </c>
      <c r="P54">
        <f t="shared" si="1"/>
        <v>5.525040387722132E-2</v>
      </c>
      <c r="Q54">
        <f t="shared" si="2"/>
        <v>0.15799676898222939</v>
      </c>
    </row>
    <row r="55" spans="1:17" x14ac:dyDescent="0.25">
      <c r="A55" t="str">
        <f t="shared" si="0"/>
        <v>Leon Bailey</v>
      </c>
      <c r="B55" t="s">
        <v>99</v>
      </c>
      <c r="C55" t="s">
        <v>100</v>
      </c>
      <c r="D55">
        <v>2</v>
      </c>
      <c r="E55">
        <v>3</v>
      </c>
      <c r="F55">
        <v>55</v>
      </c>
      <c r="G55">
        <v>450</v>
      </c>
      <c r="H55">
        <v>3</v>
      </c>
      <c r="I55">
        <v>0</v>
      </c>
      <c r="J55">
        <v>2</v>
      </c>
      <c r="K55">
        <v>0.5</v>
      </c>
      <c r="L55">
        <v>1.46</v>
      </c>
      <c r="M55">
        <v>21</v>
      </c>
      <c r="N55">
        <v>69</v>
      </c>
      <c r="O55">
        <v>48</v>
      </c>
      <c r="P55">
        <f t="shared" si="1"/>
        <v>0.1</v>
      </c>
      <c r="Q55">
        <f t="shared" si="2"/>
        <v>0.29199999999999998</v>
      </c>
    </row>
    <row r="56" spans="1:17" x14ac:dyDescent="0.25">
      <c r="A56" t="str">
        <f t="shared" si="0"/>
        <v>Emiliano Buendía Stati</v>
      </c>
      <c r="B56" t="s">
        <v>74</v>
      </c>
      <c r="C56" t="s">
        <v>98</v>
      </c>
      <c r="D56">
        <v>2</v>
      </c>
      <c r="E56">
        <v>3</v>
      </c>
      <c r="F56">
        <v>53</v>
      </c>
      <c r="G56">
        <v>1753</v>
      </c>
      <c r="H56">
        <v>21</v>
      </c>
      <c r="I56">
        <v>6</v>
      </c>
      <c r="J56">
        <v>2</v>
      </c>
      <c r="K56">
        <v>3.38</v>
      </c>
      <c r="L56">
        <v>2.23</v>
      </c>
      <c r="M56">
        <v>102</v>
      </c>
      <c r="N56">
        <v>382</v>
      </c>
      <c r="O56">
        <v>197</v>
      </c>
      <c r="P56">
        <f t="shared" si="1"/>
        <v>0.173531089560753</v>
      </c>
      <c r="Q56">
        <f t="shared" si="2"/>
        <v>0.11448944666286366</v>
      </c>
    </row>
    <row r="57" spans="1:17" x14ac:dyDescent="0.25">
      <c r="A57" t="str">
        <f t="shared" si="0"/>
        <v>Samuel Iling-Junior</v>
      </c>
      <c r="B57" t="s">
        <v>109</v>
      </c>
      <c r="C57" t="s">
        <v>110</v>
      </c>
      <c r="D57">
        <v>2</v>
      </c>
      <c r="E57">
        <v>3</v>
      </c>
      <c r="F57">
        <v>55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f t="shared" si="1"/>
        <v>0</v>
      </c>
      <c r="Q57">
        <f t="shared" si="2"/>
        <v>0</v>
      </c>
    </row>
    <row r="58" spans="1:17" x14ac:dyDescent="0.25">
      <c r="A58" t="str">
        <f t="shared" si="0"/>
        <v>Donyell Malen</v>
      </c>
      <c r="B58" t="s">
        <v>2139</v>
      </c>
      <c r="C58" t="s">
        <v>2140</v>
      </c>
      <c r="D58">
        <v>2</v>
      </c>
      <c r="E58">
        <v>3</v>
      </c>
      <c r="F58">
        <v>51</v>
      </c>
      <c r="G58">
        <v>640</v>
      </c>
      <c r="H58">
        <v>5</v>
      </c>
      <c r="I58">
        <v>4</v>
      </c>
      <c r="J58">
        <v>2</v>
      </c>
      <c r="K58">
        <v>4.03</v>
      </c>
      <c r="L58">
        <v>0.35</v>
      </c>
      <c r="M58">
        <v>55</v>
      </c>
      <c r="N58">
        <v>161</v>
      </c>
      <c r="O58">
        <v>16</v>
      </c>
      <c r="P58">
        <f t="shared" si="1"/>
        <v>0.56671875000000005</v>
      </c>
      <c r="Q58">
        <f t="shared" si="2"/>
        <v>4.9218749999999992E-2</v>
      </c>
    </row>
    <row r="59" spans="1:17" x14ac:dyDescent="0.25">
      <c r="A59" t="str">
        <f t="shared" si="0"/>
        <v>John McGinn</v>
      </c>
      <c r="B59" t="s">
        <v>101</v>
      </c>
      <c r="C59" t="s">
        <v>102</v>
      </c>
      <c r="D59">
        <v>2</v>
      </c>
      <c r="E59">
        <v>3</v>
      </c>
      <c r="F59">
        <v>53</v>
      </c>
      <c r="G59">
        <v>2136</v>
      </c>
      <c r="H59">
        <v>28</v>
      </c>
      <c r="I59">
        <v>5</v>
      </c>
      <c r="J59">
        <v>4</v>
      </c>
      <c r="K59">
        <v>3</v>
      </c>
      <c r="L59">
        <v>4.1100000000000003</v>
      </c>
      <c r="M59">
        <v>103</v>
      </c>
      <c r="N59">
        <v>443</v>
      </c>
      <c r="O59">
        <v>150</v>
      </c>
      <c r="P59">
        <f t="shared" si="1"/>
        <v>0.12640449438202248</v>
      </c>
      <c r="Q59">
        <f t="shared" si="2"/>
        <v>0.1731741573033708</v>
      </c>
    </row>
    <row r="60" spans="1:17" x14ac:dyDescent="0.25">
      <c r="A60" t="str">
        <f t="shared" si="0"/>
        <v>Ross Barkley</v>
      </c>
      <c r="B60" t="s">
        <v>103</v>
      </c>
      <c r="C60" t="s">
        <v>104</v>
      </c>
      <c r="D60">
        <v>2</v>
      </c>
      <c r="E60">
        <v>3</v>
      </c>
      <c r="F60">
        <v>48</v>
      </c>
      <c r="G60">
        <v>844</v>
      </c>
      <c r="H60">
        <v>7</v>
      </c>
      <c r="I60">
        <v>3</v>
      </c>
      <c r="J60">
        <v>2</v>
      </c>
      <c r="K60">
        <v>1.58</v>
      </c>
      <c r="L60">
        <v>1.26</v>
      </c>
      <c r="M60">
        <v>56</v>
      </c>
      <c r="N60">
        <v>221</v>
      </c>
      <c r="O60">
        <v>74</v>
      </c>
      <c r="P60">
        <f t="shared" si="1"/>
        <v>0.1684834123222749</v>
      </c>
      <c r="Q60">
        <f t="shared" si="2"/>
        <v>0.13436018957345972</v>
      </c>
    </row>
    <row r="61" spans="1:17" x14ac:dyDescent="0.25">
      <c r="A61" t="str">
        <f t="shared" si="0"/>
        <v>Enzo Barrenechea</v>
      </c>
      <c r="B61" t="s">
        <v>319</v>
      </c>
      <c r="C61" t="s">
        <v>2130</v>
      </c>
      <c r="D61">
        <v>2</v>
      </c>
      <c r="E61">
        <v>3</v>
      </c>
      <c r="F61">
        <v>50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f t="shared" si="1"/>
        <v>0</v>
      </c>
      <c r="Q61">
        <f t="shared" si="2"/>
        <v>0</v>
      </c>
    </row>
    <row r="62" spans="1:17" x14ac:dyDescent="0.25">
      <c r="A62" t="str">
        <f t="shared" si="0"/>
        <v>Lewis Dobbin</v>
      </c>
      <c r="B62" t="s">
        <v>157</v>
      </c>
      <c r="C62" t="s">
        <v>1632</v>
      </c>
      <c r="D62">
        <v>2</v>
      </c>
      <c r="E62">
        <v>3</v>
      </c>
      <c r="F62">
        <v>50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f t="shared" si="1"/>
        <v>0</v>
      </c>
      <c r="Q62">
        <f t="shared" si="2"/>
        <v>0</v>
      </c>
    </row>
    <row r="63" spans="1:17" x14ac:dyDescent="0.25">
      <c r="A63" t="str">
        <f t="shared" si="0"/>
        <v>Boubacar Kamara</v>
      </c>
      <c r="B63" t="s">
        <v>105</v>
      </c>
      <c r="C63" t="s">
        <v>106</v>
      </c>
      <c r="D63">
        <v>2</v>
      </c>
      <c r="E63">
        <v>3</v>
      </c>
      <c r="F63">
        <v>49</v>
      </c>
      <c r="G63">
        <v>1410</v>
      </c>
      <c r="H63">
        <v>17</v>
      </c>
      <c r="I63">
        <v>1</v>
      </c>
      <c r="J63">
        <v>3</v>
      </c>
      <c r="K63">
        <v>0.53</v>
      </c>
      <c r="L63">
        <v>0.84</v>
      </c>
      <c r="M63">
        <v>61</v>
      </c>
      <c r="N63">
        <v>282</v>
      </c>
      <c r="O63">
        <v>149</v>
      </c>
      <c r="P63">
        <f t="shared" si="1"/>
        <v>3.3829787234042556E-2</v>
      </c>
      <c r="Q63">
        <f t="shared" si="2"/>
        <v>5.3617021276595747E-2</v>
      </c>
    </row>
    <row r="64" spans="1:17" x14ac:dyDescent="0.25">
      <c r="A64" t="str">
        <f t="shared" si="0"/>
        <v>Amadou Onana</v>
      </c>
      <c r="B64" t="s">
        <v>107</v>
      </c>
      <c r="C64" t="s">
        <v>108</v>
      </c>
      <c r="D64">
        <v>2</v>
      </c>
      <c r="E64">
        <v>3</v>
      </c>
      <c r="F64">
        <v>48</v>
      </c>
      <c r="G64">
        <v>1755</v>
      </c>
      <c r="H64">
        <v>21</v>
      </c>
      <c r="I64">
        <v>2</v>
      </c>
      <c r="J64">
        <v>0</v>
      </c>
      <c r="K64">
        <v>1.68</v>
      </c>
      <c r="L64">
        <v>0.69</v>
      </c>
      <c r="M64">
        <v>76</v>
      </c>
      <c r="N64">
        <v>353</v>
      </c>
      <c r="O64">
        <v>219</v>
      </c>
      <c r="P64">
        <f t="shared" si="1"/>
        <v>8.615384615384615E-2</v>
      </c>
      <c r="Q64">
        <f t="shared" si="2"/>
        <v>3.5384615384615382E-2</v>
      </c>
    </row>
    <row r="65" spans="1:17" x14ac:dyDescent="0.25">
      <c r="A65" t="str">
        <f t="shared" si="0"/>
        <v>Ben Broggio</v>
      </c>
      <c r="B65" t="s">
        <v>159</v>
      </c>
      <c r="C65" t="s">
        <v>2136</v>
      </c>
      <c r="D65">
        <v>2</v>
      </c>
      <c r="E65">
        <v>3</v>
      </c>
      <c r="F65">
        <v>44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f t="shared" si="1"/>
        <v>0</v>
      </c>
      <c r="Q65">
        <f t="shared" si="2"/>
        <v>0</v>
      </c>
    </row>
    <row r="66" spans="1:17" x14ac:dyDescent="0.25">
      <c r="A66" t="str">
        <f t="shared" ref="A66:A129" si="3">_xlfn.CONCAT(B66, " ", C66)</f>
        <v>Leander Dendoncker</v>
      </c>
      <c r="B66" t="s">
        <v>1307</v>
      </c>
      <c r="C66" t="s">
        <v>1308</v>
      </c>
      <c r="D66">
        <v>2</v>
      </c>
      <c r="E66">
        <v>3</v>
      </c>
      <c r="F66">
        <v>45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f t="shared" ref="P66:P129" si="4">IFERROR(K66/G66*90,0)</f>
        <v>0</v>
      </c>
      <c r="Q66">
        <f t="shared" ref="Q66:Q129" si="5">IFERROR(L66/G66*90,0)</f>
        <v>0</v>
      </c>
    </row>
    <row r="67" spans="1:17" x14ac:dyDescent="0.25">
      <c r="A67" t="str">
        <f t="shared" si="3"/>
        <v>Jamaldeen Jimoh-Aloba</v>
      </c>
      <c r="B67" t="s">
        <v>2137</v>
      </c>
      <c r="C67" t="s">
        <v>2395</v>
      </c>
      <c r="D67">
        <v>2</v>
      </c>
      <c r="E67">
        <v>3</v>
      </c>
      <c r="F67">
        <v>45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3</v>
      </c>
      <c r="O67">
        <v>1</v>
      </c>
      <c r="P67">
        <f t="shared" si="4"/>
        <v>0</v>
      </c>
      <c r="Q67">
        <f t="shared" si="5"/>
        <v>0</v>
      </c>
    </row>
    <row r="68" spans="1:17" x14ac:dyDescent="0.25">
      <c r="A68" t="str">
        <f t="shared" si="3"/>
        <v>Kadan Young</v>
      </c>
      <c r="B68" t="s">
        <v>1339</v>
      </c>
      <c r="C68" t="s">
        <v>1340</v>
      </c>
      <c r="D68">
        <v>2</v>
      </c>
      <c r="E68">
        <v>3</v>
      </c>
      <c r="F68">
        <v>43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f t="shared" si="4"/>
        <v>0</v>
      </c>
      <c r="Q68">
        <f t="shared" si="5"/>
        <v>0</v>
      </c>
    </row>
    <row r="69" spans="1:17" x14ac:dyDescent="0.25">
      <c r="A69" t="str">
        <f t="shared" si="3"/>
        <v>Ollie Watkins</v>
      </c>
      <c r="B69" t="s">
        <v>121</v>
      </c>
      <c r="C69" t="s">
        <v>122</v>
      </c>
      <c r="D69">
        <v>2</v>
      </c>
      <c r="E69">
        <v>4</v>
      </c>
      <c r="F69">
        <v>87</v>
      </c>
      <c r="G69">
        <v>2833</v>
      </c>
      <c r="H69">
        <v>33</v>
      </c>
      <c r="I69">
        <v>16</v>
      </c>
      <c r="J69">
        <v>4</v>
      </c>
      <c r="K69">
        <v>15.4</v>
      </c>
      <c r="L69">
        <v>1.18</v>
      </c>
      <c r="M69">
        <v>167</v>
      </c>
      <c r="N69">
        <v>623</v>
      </c>
      <c r="O69">
        <v>94</v>
      </c>
      <c r="P69">
        <f t="shared" si="4"/>
        <v>0.48923402753265094</v>
      </c>
      <c r="Q69">
        <f t="shared" si="5"/>
        <v>3.7486763148605717E-2</v>
      </c>
    </row>
    <row r="70" spans="1:17" x14ac:dyDescent="0.25">
      <c r="A70" t="str">
        <f t="shared" si="3"/>
        <v>Zépiqueno Redmond</v>
      </c>
      <c r="B70" t="s">
        <v>2396</v>
      </c>
      <c r="C70" t="s">
        <v>1505</v>
      </c>
      <c r="D70">
        <v>2</v>
      </c>
      <c r="E70">
        <v>4</v>
      </c>
      <c r="F70">
        <v>45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f t="shared" si="4"/>
        <v>0</v>
      </c>
      <c r="Q70">
        <f t="shared" si="5"/>
        <v>0</v>
      </c>
    </row>
    <row r="71" spans="1:17" x14ac:dyDescent="0.25">
      <c r="A71" t="str">
        <f t="shared" si="3"/>
        <v>Harvey Elliott</v>
      </c>
      <c r="B71" t="s">
        <v>543</v>
      </c>
      <c r="C71" t="s">
        <v>745</v>
      </c>
      <c r="D71">
        <v>2</v>
      </c>
      <c r="E71">
        <v>3</v>
      </c>
      <c r="F71">
        <v>51</v>
      </c>
      <c r="G71">
        <v>110</v>
      </c>
      <c r="H71">
        <v>1</v>
      </c>
      <c r="I71">
        <v>0</v>
      </c>
      <c r="J71">
        <v>0</v>
      </c>
      <c r="K71">
        <v>0.28999999999999998</v>
      </c>
      <c r="L71">
        <v>0.08</v>
      </c>
      <c r="M71">
        <v>5</v>
      </c>
      <c r="N71">
        <v>17</v>
      </c>
      <c r="O71">
        <v>6</v>
      </c>
      <c r="P71">
        <f t="shared" si="4"/>
        <v>0.23727272727272727</v>
      </c>
      <c r="Q71">
        <f t="shared" si="5"/>
        <v>6.545454545454546E-2</v>
      </c>
    </row>
    <row r="72" spans="1:17" x14ac:dyDescent="0.25">
      <c r="A72" t="str">
        <f t="shared" si="3"/>
        <v>Jadon Sancho</v>
      </c>
      <c r="B72" t="s">
        <v>1816</v>
      </c>
      <c r="C72" t="s">
        <v>1817</v>
      </c>
      <c r="D72">
        <v>2</v>
      </c>
      <c r="E72">
        <v>3</v>
      </c>
      <c r="F72">
        <v>58</v>
      </c>
      <c r="G72">
        <v>863</v>
      </c>
      <c r="H72">
        <v>9</v>
      </c>
      <c r="I72">
        <v>0</v>
      </c>
      <c r="J72">
        <v>2</v>
      </c>
      <c r="K72">
        <v>0.61</v>
      </c>
      <c r="L72">
        <v>1.87</v>
      </c>
      <c r="M72">
        <v>37</v>
      </c>
      <c r="N72">
        <v>141</v>
      </c>
      <c r="O72">
        <v>44</v>
      </c>
      <c r="P72">
        <f t="shared" si="4"/>
        <v>6.3615295480880643E-2</v>
      </c>
      <c r="Q72">
        <f t="shared" si="5"/>
        <v>0.1950173812282735</v>
      </c>
    </row>
    <row r="73" spans="1:17" x14ac:dyDescent="0.25">
      <c r="A73" t="str">
        <f t="shared" si="3"/>
        <v>James Wright</v>
      </c>
      <c r="B73" t="s">
        <v>135</v>
      </c>
      <c r="C73" t="s">
        <v>396</v>
      </c>
      <c r="D73">
        <v>2</v>
      </c>
      <c r="E73">
        <v>1</v>
      </c>
      <c r="F73">
        <v>39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f t="shared" si="4"/>
        <v>0</v>
      </c>
      <c r="Q73">
        <f t="shared" si="5"/>
        <v>0</v>
      </c>
    </row>
    <row r="74" spans="1:17" x14ac:dyDescent="0.25">
      <c r="A74" t="str">
        <f t="shared" si="3"/>
        <v>Douglas Luiz Soares de Paulo</v>
      </c>
      <c r="B74" t="s">
        <v>1311</v>
      </c>
      <c r="C74" t="s">
        <v>1312</v>
      </c>
      <c r="D74">
        <v>2</v>
      </c>
      <c r="E74">
        <v>3</v>
      </c>
      <c r="F74">
        <v>49</v>
      </c>
      <c r="G74">
        <v>913</v>
      </c>
      <c r="H74">
        <v>12</v>
      </c>
      <c r="I74">
        <v>1</v>
      </c>
      <c r="J74">
        <v>1</v>
      </c>
      <c r="K74">
        <v>0.53</v>
      </c>
      <c r="L74">
        <v>1.42</v>
      </c>
      <c r="M74">
        <v>35</v>
      </c>
      <c r="N74">
        <v>220</v>
      </c>
      <c r="O74">
        <v>105</v>
      </c>
      <c r="P74">
        <f t="shared" si="4"/>
        <v>5.2245345016429356E-2</v>
      </c>
      <c r="Q74">
        <f t="shared" si="5"/>
        <v>0.13997809419496166</v>
      </c>
    </row>
    <row r="75" spans="1:17" x14ac:dyDescent="0.25">
      <c r="A75" t="str">
        <f t="shared" si="3"/>
        <v>Triston Rowe</v>
      </c>
      <c r="B75" t="s">
        <v>1216</v>
      </c>
      <c r="C75" t="s">
        <v>1217</v>
      </c>
      <c r="D75">
        <v>2</v>
      </c>
      <c r="E75">
        <v>2</v>
      </c>
      <c r="F75">
        <v>40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f t="shared" si="4"/>
        <v>0</v>
      </c>
      <c r="Q75">
        <f t="shared" si="5"/>
        <v>0</v>
      </c>
    </row>
    <row r="76" spans="1:17" x14ac:dyDescent="0.25">
      <c r="A76" t="str">
        <f t="shared" si="3"/>
        <v>Bradley Burrowes</v>
      </c>
      <c r="B76" t="s">
        <v>111</v>
      </c>
      <c r="C76" t="s">
        <v>112</v>
      </c>
      <c r="D76">
        <v>2</v>
      </c>
      <c r="E76">
        <v>3</v>
      </c>
      <c r="F76">
        <v>43</v>
      </c>
      <c r="G76">
        <v>16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3</v>
      </c>
      <c r="O76">
        <v>1</v>
      </c>
      <c r="P76">
        <f t="shared" si="4"/>
        <v>0</v>
      </c>
      <c r="Q76">
        <f t="shared" si="5"/>
        <v>0</v>
      </c>
    </row>
    <row r="77" spans="1:17" x14ac:dyDescent="0.25">
      <c r="A77" t="str">
        <f t="shared" si="3"/>
        <v>Sam Proctor</v>
      </c>
      <c r="B77" t="s">
        <v>632</v>
      </c>
      <c r="C77" t="s">
        <v>1334</v>
      </c>
      <c r="D77">
        <v>2</v>
      </c>
      <c r="E77">
        <v>1</v>
      </c>
      <c r="F77">
        <v>39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f t="shared" si="4"/>
        <v>0</v>
      </c>
      <c r="Q77">
        <f t="shared" si="5"/>
        <v>0</v>
      </c>
    </row>
    <row r="78" spans="1:17" x14ac:dyDescent="0.25">
      <c r="A78" t="str">
        <f t="shared" si="3"/>
        <v>Travis Patterson</v>
      </c>
      <c r="B78" t="s">
        <v>1867</v>
      </c>
      <c r="C78" t="s">
        <v>482</v>
      </c>
      <c r="D78">
        <v>2</v>
      </c>
      <c r="E78">
        <v>2</v>
      </c>
      <c r="F78">
        <v>39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f t="shared" si="4"/>
        <v>0</v>
      </c>
      <c r="Q78">
        <f t="shared" si="5"/>
        <v>0</v>
      </c>
    </row>
    <row r="79" spans="1:17" x14ac:dyDescent="0.25">
      <c r="A79" t="str">
        <f t="shared" si="3"/>
        <v>Victor Lindelöf</v>
      </c>
      <c r="B79" t="s">
        <v>92</v>
      </c>
      <c r="C79" t="s">
        <v>93</v>
      </c>
      <c r="D79">
        <v>2</v>
      </c>
      <c r="E79">
        <v>2</v>
      </c>
      <c r="F79">
        <v>45</v>
      </c>
      <c r="G79">
        <v>942</v>
      </c>
      <c r="H79">
        <v>11</v>
      </c>
      <c r="I79">
        <v>0</v>
      </c>
      <c r="J79">
        <v>1</v>
      </c>
      <c r="K79">
        <v>0.28000000000000003</v>
      </c>
      <c r="L79">
        <v>0.1</v>
      </c>
      <c r="M79">
        <v>29</v>
      </c>
      <c r="N79">
        <v>124</v>
      </c>
      <c r="O79">
        <v>54</v>
      </c>
      <c r="P79">
        <f t="shared" si="4"/>
        <v>2.6751592356687903E-2</v>
      </c>
      <c r="Q79">
        <f t="shared" si="5"/>
        <v>9.5541401273885346E-3</v>
      </c>
    </row>
    <row r="80" spans="1:17" x14ac:dyDescent="0.25">
      <c r="A80" t="str">
        <f t="shared" si="3"/>
        <v>George Hemmings</v>
      </c>
      <c r="B80" t="s">
        <v>113</v>
      </c>
      <c r="C80" t="s">
        <v>114</v>
      </c>
      <c r="D80">
        <v>2</v>
      </c>
      <c r="E80">
        <v>3</v>
      </c>
      <c r="F80">
        <v>45</v>
      </c>
      <c r="G80">
        <v>25</v>
      </c>
      <c r="H80">
        <v>0</v>
      </c>
      <c r="I80">
        <v>0</v>
      </c>
      <c r="J80">
        <v>0</v>
      </c>
      <c r="K80">
        <v>0.04</v>
      </c>
      <c r="L80">
        <v>0.01</v>
      </c>
      <c r="M80">
        <v>2</v>
      </c>
      <c r="N80">
        <v>5</v>
      </c>
      <c r="O80">
        <v>1</v>
      </c>
      <c r="P80">
        <f t="shared" si="4"/>
        <v>0.14400000000000002</v>
      </c>
      <c r="Q80">
        <f t="shared" si="5"/>
        <v>3.6000000000000004E-2</v>
      </c>
    </row>
    <row r="81" spans="1:17" x14ac:dyDescent="0.25">
      <c r="A81" t="str">
        <f t="shared" si="3"/>
        <v>Ronnie Hollingshead</v>
      </c>
      <c r="B81" t="s">
        <v>1557</v>
      </c>
      <c r="C81" t="s">
        <v>2397</v>
      </c>
      <c r="D81">
        <v>2</v>
      </c>
      <c r="E81">
        <v>1</v>
      </c>
      <c r="F81">
        <v>40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f t="shared" si="4"/>
        <v>0</v>
      </c>
      <c r="Q81">
        <f t="shared" si="5"/>
        <v>0</v>
      </c>
    </row>
    <row r="82" spans="1:17" x14ac:dyDescent="0.25">
      <c r="A82" t="str">
        <f t="shared" si="3"/>
        <v>Leon Routh</v>
      </c>
      <c r="B82" t="s">
        <v>99</v>
      </c>
      <c r="C82" t="s">
        <v>2398</v>
      </c>
      <c r="D82">
        <v>2</v>
      </c>
      <c r="E82">
        <v>2</v>
      </c>
      <c r="F82">
        <v>40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f t="shared" si="4"/>
        <v>0</v>
      </c>
      <c r="Q82">
        <f t="shared" si="5"/>
        <v>0</v>
      </c>
    </row>
    <row r="83" spans="1:17" x14ac:dyDescent="0.25">
      <c r="A83" t="str">
        <f t="shared" si="3"/>
        <v>TJ Carroll</v>
      </c>
      <c r="B83" t="s">
        <v>2399</v>
      </c>
      <c r="C83" t="s">
        <v>2400</v>
      </c>
      <c r="D83">
        <v>2</v>
      </c>
      <c r="E83">
        <v>2</v>
      </c>
      <c r="F83">
        <v>40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f t="shared" si="4"/>
        <v>0</v>
      </c>
      <c r="Q83">
        <f t="shared" si="5"/>
        <v>0</v>
      </c>
    </row>
    <row r="84" spans="1:17" x14ac:dyDescent="0.25">
      <c r="A84" t="str">
        <f t="shared" si="3"/>
        <v>Alysson Edward Franco da Rocha dos Santos</v>
      </c>
      <c r="B84" t="s">
        <v>115</v>
      </c>
      <c r="C84" t="s">
        <v>116</v>
      </c>
      <c r="D84">
        <v>2</v>
      </c>
      <c r="E84">
        <v>3</v>
      </c>
      <c r="F84">
        <v>50</v>
      </c>
      <c r="G84">
        <v>47</v>
      </c>
      <c r="H84">
        <v>0</v>
      </c>
      <c r="I84">
        <v>0</v>
      </c>
      <c r="J84">
        <v>0</v>
      </c>
      <c r="K84">
        <v>0.05</v>
      </c>
      <c r="L84">
        <v>0.05</v>
      </c>
      <c r="M84">
        <v>3</v>
      </c>
      <c r="N84">
        <v>11</v>
      </c>
      <c r="O84">
        <v>4</v>
      </c>
      <c r="P84">
        <f t="shared" si="4"/>
        <v>9.5744680851063829E-2</v>
      </c>
      <c r="Q84">
        <f t="shared" si="5"/>
        <v>9.5744680851063829E-2</v>
      </c>
    </row>
    <row r="85" spans="1:17" x14ac:dyDescent="0.25">
      <c r="A85" t="str">
        <f t="shared" si="3"/>
        <v>Tammy Abraham</v>
      </c>
      <c r="B85" t="s">
        <v>123</v>
      </c>
      <c r="C85" t="s">
        <v>124</v>
      </c>
      <c r="D85">
        <v>2</v>
      </c>
      <c r="E85">
        <v>4</v>
      </c>
      <c r="F85">
        <v>57</v>
      </c>
      <c r="G85">
        <v>278</v>
      </c>
      <c r="H85">
        <v>2</v>
      </c>
      <c r="I85">
        <v>2</v>
      </c>
      <c r="J85">
        <v>0</v>
      </c>
      <c r="K85">
        <v>2.0499999999999998</v>
      </c>
      <c r="L85">
        <v>0.36</v>
      </c>
      <c r="M85">
        <v>23</v>
      </c>
      <c r="N85">
        <v>93</v>
      </c>
      <c r="O85">
        <v>13</v>
      </c>
      <c r="P85">
        <f t="shared" si="4"/>
        <v>0.66366906474820142</v>
      </c>
      <c r="Q85">
        <f t="shared" si="5"/>
        <v>0.11654676258992806</v>
      </c>
    </row>
    <row r="86" spans="1:17" x14ac:dyDescent="0.25">
      <c r="A86" t="str">
        <f t="shared" si="3"/>
        <v>Max Weiß</v>
      </c>
      <c r="B86" t="s">
        <v>57</v>
      </c>
      <c r="C86" t="s">
        <v>2401</v>
      </c>
      <c r="D86">
        <v>3</v>
      </c>
      <c r="E86">
        <v>1</v>
      </c>
      <c r="F86">
        <v>42</v>
      </c>
      <c r="G86">
        <v>270</v>
      </c>
      <c r="H86">
        <v>3</v>
      </c>
      <c r="I86">
        <v>0</v>
      </c>
      <c r="J86">
        <v>0</v>
      </c>
      <c r="K86">
        <v>0</v>
      </c>
      <c r="L86">
        <v>0</v>
      </c>
      <c r="M86">
        <v>7</v>
      </c>
      <c r="N86">
        <v>39</v>
      </c>
      <c r="O86">
        <v>0</v>
      </c>
      <c r="P86">
        <f t="shared" si="4"/>
        <v>0</v>
      </c>
      <c r="Q86">
        <f t="shared" si="5"/>
        <v>0</v>
      </c>
    </row>
    <row r="87" spans="1:17" x14ac:dyDescent="0.25">
      <c r="A87" t="str">
        <f t="shared" si="3"/>
        <v>Etienne Green</v>
      </c>
      <c r="B87" t="s">
        <v>2402</v>
      </c>
      <c r="C87" t="s">
        <v>2403</v>
      </c>
      <c r="D87">
        <v>3</v>
      </c>
      <c r="E87">
        <v>1</v>
      </c>
      <c r="F87">
        <v>40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f t="shared" si="4"/>
        <v>0</v>
      </c>
      <c r="Q87">
        <f t="shared" si="5"/>
        <v>0</v>
      </c>
    </row>
    <row r="88" spans="1:17" x14ac:dyDescent="0.25">
      <c r="A88" t="str">
        <f t="shared" si="3"/>
        <v>Václav Hladký</v>
      </c>
      <c r="B88" t="s">
        <v>2404</v>
      </c>
      <c r="C88" t="s">
        <v>2405</v>
      </c>
      <c r="D88">
        <v>3</v>
      </c>
      <c r="E88">
        <v>1</v>
      </c>
      <c r="F88">
        <v>39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4"/>
        <v>0</v>
      </c>
      <c r="Q88">
        <f t="shared" si="5"/>
        <v>0</v>
      </c>
    </row>
    <row r="89" spans="1:17" x14ac:dyDescent="0.25">
      <c r="A89" t="str">
        <f t="shared" si="3"/>
        <v>Connor Roberts</v>
      </c>
      <c r="B89" t="s">
        <v>1491</v>
      </c>
      <c r="C89" t="s">
        <v>1492</v>
      </c>
      <c r="D89">
        <v>3</v>
      </c>
      <c r="E89">
        <v>2</v>
      </c>
      <c r="F89">
        <v>43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f t="shared" si="4"/>
        <v>0</v>
      </c>
      <c r="Q89">
        <f t="shared" si="5"/>
        <v>0</v>
      </c>
    </row>
    <row r="90" spans="1:17" x14ac:dyDescent="0.25">
      <c r="A90" t="str">
        <f t="shared" si="3"/>
        <v>Kyle Walker</v>
      </c>
      <c r="B90" t="s">
        <v>1787</v>
      </c>
      <c r="C90" t="s">
        <v>1788</v>
      </c>
      <c r="D90">
        <v>3</v>
      </c>
      <c r="E90">
        <v>2</v>
      </c>
      <c r="F90">
        <v>44</v>
      </c>
      <c r="G90">
        <v>3095</v>
      </c>
      <c r="H90">
        <v>35</v>
      </c>
      <c r="I90">
        <v>0</v>
      </c>
      <c r="J90">
        <v>2</v>
      </c>
      <c r="K90">
        <v>0.15</v>
      </c>
      <c r="L90">
        <v>1.29</v>
      </c>
      <c r="M90">
        <v>70</v>
      </c>
      <c r="N90">
        <v>242</v>
      </c>
      <c r="O90">
        <v>212</v>
      </c>
      <c r="P90">
        <f t="shared" si="4"/>
        <v>4.3618739903069463E-3</v>
      </c>
      <c r="Q90">
        <f t="shared" si="5"/>
        <v>3.751211631663974E-2</v>
      </c>
    </row>
    <row r="91" spans="1:17" x14ac:dyDescent="0.25">
      <c r="A91" t="str">
        <f t="shared" si="3"/>
        <v>Hannes Delcroix</v>
      </c>
      <c r="B91" t="s">
        <v>1510</v>
      </c>
      <c r="C91" t="s">
        <v>1511</v>
      </c>
      <c r="D91">
        <v>3</v>
      </c>
      <c r="E91">
        <v>2</v>
      </c>
      <c r="F91">
        <v>38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f t="shared" si="4"/>
        <v>0</v>
      </c>
      <c r="Q91">
        <f t="shared" si="5"/>
        <v>0</v>
      </c>
    </row>
    <row r="92" spans="1:17" x14ac:dyDescent="0.25">
      <c r="A92" t="str">
        <f t="shared" si="3"/>
        <v>Owen Dodgson</v>
      </c>
      <c r="B92" t="s">
        <v>1508</v>
      </c>
      <c r="C92" t="s">
        <v>1509</v>
      </c>
      <c r="D92">
        <v>3</v>
      </c>
      <c r="E92">
        <v>2</v>
      </c>
      <c r="F92">
        <v>40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f t="shared" si="4"/>
        <v>0</v>
      </c>
      <c r="Q92">
        <f t="shared" si="5"/>
        <v>0</v>
      </c>
    </row>
    <row r="93" spans="1:17" x14ac:dyDescent="0.25">
      <c r="A93" t="str">
        <f t="shared" si="3"/>
        <v>Hjalmar Ekdal</v>
      </c>
      <c r="B93" t="s">
        <v>1480</v>
      </c>
      <c r="C93" t="s">
        <v>1481</v>
      </c>
      <c r="D93">
        <v>3</v>
      </c>
      <c r="E93">
        <v>2</v>
      </c>
      <c r="F93">
        <v>38</v>
      </c>
      <c r="G93">
        <v>1539</v>
      </c>
      <c r="H93">
        <v>17</v>
      </c>
      <c r="I93">
        <v>0</v>
      </c>
      <c r="J93">
        <v>0</v>
      </c>
      <c r="K93">
        <v>0.25</v>
      </c>
      <c r="L93">
        <v>0.32</v>
      </c>
      <c r="M93">
        <v>52</v>
      </c>
      <c r="N93">
        <v>159</v>
      </c>
      <c r="O93">
        <v>174</v>
      </c>
      <c r="P93">
        <f t="shared" si="4"/>
        <v>1.4619883040935672E-2</v>
      </c>
      <c r="Q93">
        <f t="shared" si="5"/>
        <v>1.8713450292397661E-2</v>
      </c>
    </row>
    <row r="94" spans="1:17" x14ac:dyDescent="0.25">
      <c r="A94" t="str">
        <f t="shared" si="3"/>
        <v>Maxime Estève</v>
      </c>
      <c r="B94" t="s">
        <v>1517</v>
      </c>
      <c r="C94" t="s">
        <v>1519</v>
      </c>
      <c r="D94">
        <v>3</v>
      </c>
      <c r="E94">
        <v>2</v>
      </c>
      <c r="F94">
        <v>38</v>
      </c>
      <c r="G94">
        <v>2933</v>
      </c>
      <c r="H94">
        <v>34</v>
      </c>
      <c r="I94">
        <v>0</v>
      </c>
      <c r="J94">
        <v>0</v>
      </c>
      <c r="K94">
        <v>0.73</v>
      </c>
      <c r="L94">
        <v>0.59</v>
      </c>
      <c r="M94">
        <v>85</v>
      </c>
      <c r="N94">
        <v>264</v>
      </c>
      <c r="O94">
        <v>334</v>
      </c>
      <c r="P94">
        <f t="shared" si="4"/>
        <v>2.2400272758267982E-2</v>
      </c>
      <c r="Q94">
        <f t="shared" si="5"/>
        <v>1.8104330037504258E-2</v>
      </c>
    </row>
    <row r="95" spans="1:17" x14ac:dyDescent="0.25">
      <c r="A95" t="str">
        <f t="shared" si="3"/>
        <v>Quilindschy Hartman</v>
      </c>
      <c r="B95" t="s">
        <v>2406</v>
      </c>
      <c r="C95" t="s">
        <v>2407</v>
      </c>
      <c r="D95">
        <v>3</v>
      </c>
      <c r="E95">
        <v>2</v>
      </c>
      <c r="F95">
        <v>40</v>
      </c>
      <c r="G95">
        <v>1825</v>
      </c>
      <c r="H95">
        <v>21</v>
      </c>
      <c r="I95">
        <v>0</v>
      </c>
      <c r="J95">
        <v>6</v>
      </c>
      <c r="K95">
        <v>0.32</v>
      </c>
      <c r="L95">
        <v>1.98</v>
      </c>
      <c r="M95">
        <v>63</v>
      </c>
      <c r="N95">
        <v>228</v>
      </c>
      <c r="O95">
        <v>153</v>
      </c>
      <c r="P95">
        <f t="shared" si="4"/>
        <v>1.5780821917808219E-2</v>
      </c>
      <c r="Q95">
        <f t="shared" si="5"/>
        <v>9.7643835616438357E-2</v>
      </c>
    </row>
    <row r="96" spans="1:17" x14ac:dyDescent="0.25">
      <c r="A96" t="str">
        <f t="shared" si="3"/>
        <v>Bashir Humphreys</v>
      </c>
      <c r="B96" t="s">
        <v>1550</v>
      </c>
      <c r="C96" t="s">
        <v>1226</v>
      </c>
      <c r="D96">
        <v>3</v>
      </c>
      <c r="E96">
        <v>2</v>
      </c>
      <c r="F96">
        <v>39</v>
      </c>
      <c r="G96">
        <v>1574</v>
      </c>
      <c r="H96">
        <v>17</v>
      </c>
      <c r="I96">
        <v>0</v>
      </c>
      <c r="J96">
        <v>2</v>
      </c>
      <c r="K96">
        <v>0.42</v>
      </c>
      <c r="L96">
        <v>0.68</v>
      </c>
      <c r="M96">
        <v>47</v>
      </c>
      <c r="N96">
        <v>210</v>
      </c>
      <c r="O96">
        <v>141</v>
      </c>
      <c r="P96">
        <f t="shared" si="4"/>
        <v>2.4015247776365947E-2</v>
      </c>
      <c r="Q96">
        <f t="shared" si="5"/>
        <v>3.8881829733163918E-2</v>
      </c>
    </row>
    <row r="97" spans="1:17" x14ac:dyDescent="0.25">
      <c r="A97" t="str">
        <f t="shared" si="3"/>
        <v>Jordan Beyer</v>
      </c>
      <c r="B97" t="s">
        <v>289</v>
      </c>
      <c r="C97" t="s">
        <v>1472</v>
      </c>
      <c r="D97">
        <v>3</v>
      </c>
      <c r="E97">
        <v>2</v>
      </c>
      <c r="F97">
        <v>39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f t="shared" si="4"/>
        <v>0</v>
      </c>
      <c r="Q97">
        <f t="shared" si="5"/>
        <v>0</v>
      </c>
    </row>
    <row r="98" spans="1:17" x14ac:dyDescent="0.25">
      <c r="A98" t="str">
        <f t="shared" si="3"/>
        <v>Lucas Pires Silva</v>
      </c>
      <c r="B98" t="s">
        <v>78</v>
      </c>
      <c r="C98" t="s">
        <v>2408</v>
      </c>
      <c r="D98">
        <v>3</v>
      </c>
      <c r="E98">
        <v>2</v>
      </c>
      <c r="F98">
        <v>38</v>
      </c>
      <c r="G98">
        <v>1405</v>
      </c>
      <c r="H98">
        <v>15</v>
      </c>
      <c r="I98">
        <v>0</v>
      </c>
      <c r="J98">
        <v>0</v>
      </c>
      <c r="K98">
        <v>0.6</v>
      </c>
      <c r="L98">
        <v>1.46</v>
      </c>
      <c r="M98">
        <v>25</v>
      </c>
      <c r="N98">
        <v>127</v>
      </c>
      <c r="O98">
        <v>93</v>
      </c>
      <c r="P98">
        <f t="shared" si="4"/>
        <v>3.8434163701067614E-2</v>
      </c>
      <c r="Q98">
        <f t="shared" si="5"/>
        <v>9.3523131672597862E-2</v>
      </c>
    </row>
    <row r="99" spans="1:17" x14ac:dyDescent="0.25">
      <c r="A99" t="str">
        <f t="shared" si="3"/>
        <v>Shurandy Sambo</v>
      </c>
      <c r="B99" t="s">
        <v>2409</v>
      </c>
      <c r="C99" t="s">
        <v>2410</v>
      </c>
      <c r="D99">
        <v>3</v>
      </c>
      <c r="E99">
        <v>2</v>
      </c>
      <c r="F99">
        <v>40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f t="shared" si="4"/>
        <v>0</v>
      </c>
      <c r="Q99">
        <f t="shared" si="5"/>
        <v>0</v>
      </c>
    </row>
    <row r="100" spans="1:17" x14ac:dyDescent="0.25">
      <c r="A100" t="str">
        <f t="shared" si="3"/>
        <v>Oliver Sonne</v>
      </c>
      <c r="B100" t="s">
        <v>361</v>
      </c>
      <c r="C100" t="s">
        <v>2411</v>
      </c>
      <c r="D100">
        <v>3</v>
      </c>
      <c r="E100">
        <v>2</v>
      </c>
      <c r="F100">
        <v>38</v>
      </c>
      <c r="G100">
        <v>164</v>
      </c>
      <c r="H100">
        <v>1</v>
      </c>
      <c r="I100">
        <v>1</v>
      </c>
      <c r="J100">
        <v>0</v>
      </c>
      <c r="K100">
        <v>0.55000000000000004</v>
      </c>
      <c r="L100">
        <v>0.08</v>
      </c>
      <c r="M100">
        <v>13</v>
      </c>
      <c r="N100">
        <v>20</v>
      </c>
      <c r="O100">
        <v>7</v>
      </c>
      <c r="P100">
        <f t="shared" si="4"/>
        <v>0.30182926829268297</v>
      </c>
      <c r="Q100">
        <f t="shared" si="5"/>
        <v>4.3902439024390241E-2</v>
      </c>
    </row>
    <row r="101" spans="1:17" x14ac:dyDescent="0.25">
      <c r="A101" t="str">
        <f t="shared" si="3"/>
        <v>Axel Tuanzebe</v>
      </c>
      <c r="B101" t="s">
        <v>315</v>
      </c>
      <c r="C101" t="s">
        <v>2231</v>
      </c>
      <c r="D101">
        <v>3</v>
      </c>
      <c r="E101">
        <v>2</v>
      </c>
      <c r="F101">
        <v>39</v>
      </c>
      <c r="G101">
        <v>1201</v>
      </c>
      <c r="H101">
        <v>14</v>
      </c>
      <c r="I101">
        <v>1</v>
      </c>
      <c r="J101">
        <v>0</v>
      </c>
      <c r="K101">
        <v>0.61</v>
      </c>
      <c r="L101">
        <v>0.12</v>
      </c>
      <c r="M101">
        <v>34</v>
      </c>
      <c r="N101">
        <v>102</v>
      </c>
      <c r="O101">
        <v>120</v>
      </c>
      <c r="P101">
        <f t="shared" si="4"/>
        <v>4.5711906744379679E-2</v>
      </c>
      <c r="Q101">
        <f t="shared" si="5"/>
        <v>8.9925062447960037E-3</v>
      </c>
    </row>
    <row r="102" spans="1:17" x14ac:dyDescent="0.25">
      <c r="A102" t="str">
        <f t="shared" si="3"/>
        <v>Joe Worrall</v>
      </c>
      <c r="B102" t="s">
        <v>585</v>
      </c>
      <c r="C102" t="s">
        <v>1913</v>
      </c>
      <c r="D102">
        <v>3</v>
      </c>
      <c r="E102">
        <v>2</v>
      </c>
      <c r="F102">
        <v>38</v>
      </c>
      <c r="G102">
        <v>496</v>
      </c>
      <c r="H102">
        <v>5</v>
      </c>
      <c r="I102">
        <v>0</v>
      </c>
      <c r="J102">
        <v>0</v>
      </c>
      <c r="K102">
        <v>0.08</v>
      </c>
      <c r="L102">
        <v>0.02</v>
      </c>
      <c r="M102">
        <v>20</v>
      </c>
      <c r="N102">
        <v>40</v>
      </c>
      <c r="O102">
        <v>76</v>
      </c>
      <c r="P102">
        <f t="shared" si="4"/>
        <v>1.4516129032258065E-2</v>
      </c>
      <c r="Q102">
        <f t="shared" si="5"/>
        <v>3.6290322580645163E-3</v>
      </c>
    </row>
    <row r="103" spans="1:17" x14ac:dyDescent="0.25">
      <c r="A103" t="str">
        <f t="shared" si="3"/>
        <v>Jaidon Anthony</v>
      </c>
      <c r="B103" t="s">
        <v>221</v>
      </c>
      <c r="C103" t="s">
        <v>222</v>
      </c>
      <c r="D103">
        <v>3</v>
      </c>
      <c r="E103">
        <v>3</v>
      </c>
      <c r="F103">
        <v>50</v>
      </c>
      <c r="G103">
        <v>2717</v>
      </c>
      <c r="H103">
        <v>32</v>
      </c>
      <c r="I103">
        <v>8</v>
      </c>
      <c r="J103">
        <v>4</v>
      </c>
      <c r="K103">
        <v>5.1100000000000003</v>
      </c>
      <c r="L103">
        <v>2.85</v>
      </c>
      <c r="M103">
        <v>127</v>
      </c>
      <c r="N103">
        <v>513</v>
      </c>
      <c r="O103">
        <v>232</v>
      </c>
      <c r="P103">
        <f t="shared" si="4"/>
        <v>0.16926757453073243</v>
      </c>
      <c r="Q103">
        <f t="shared" si="5"/>
        <v>9.4405594405594401E-2</v>
      </c>
    </row>
    <row r="104" spans="1:17" x14ac:dyDescent="0.25">
      <c r="A104" t="str">
        <f t="shared" si="3"/>
        <v>Manuel Benson Hedilazio</v>
      </c>
      <c r="B104" t="s">
        <v>834</v>
      </c>
      <c r="C104" t="s">
        <v>2412</v>
      </c>
      <c r="D104">
        <v>3</v>
      </c>
      <c r="E104">
        <v>3</v>
      </c>
      <c r="F104">
        <v>54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f t="shared" si="4"/>
        <v>0</v>
      </c>
      <c r="Q104">
        <f t="shared" si="5"/>
        <v>0</v>
      </c>
    </row>
    <row r="105" spans="1:17" x14ac:dyDescent="0.25">
      <c r="A105" t="str">
        <f t="shared" si="3"/>
        <v>Jacob Bruun Larsen</v>
      </c>
      <c r="B105" t="s">
        <v>556</v>
      </c>
      <c r="C105" t="s">
        <v>1507</v>
      </c>
      <c r="D105">
        <v>3</v>
      </c>
      <c r="E105">
        <v>3</v>
      </c>
      <c r="F105">
        <v>52</v>
      </c>
      <c r="G105">
        <v>1014</v>
      </c>
      <c r="H105">
        <v>10</v>
      </c>
      <c r="I105">
        <v>0</v>
      </c>
      <c r="J105">
        <v>1</v>
      </c>
      <c r="K105">
        <v>1.37</v>
      </c>
      <c r="L105">
        <v>1.1599999999999999</v>
      </c>
      <c r="M105">
        <v>41</v>
      </c>
      <c r="N105">
        <v>123</v>
      </c>
      <c r="O105">
        <v>63</v>
      </c>
      <c r="P105">
        <f t="shared" si="4"/>
        <v>0.12159763313609469</v>
      </c>
      <c r="Q105">
        <f t="shared" si="5"/>
        <v>0.1029585798816568</v>
      </c>
    </row>
    <row r="106" spans="1:17" x14ac:dyDescent="0.25">
      <c r="A106" t="str">
        <f t="shared" si="3"/>
        <v>Enock Agyei</v>
      </c>
      <c r="B106" t="s">
        <v>1465</v>
      </c>
      <c r="C106" t="s">
        <v>1466</v>
      </c>
      <c r="D106">
        <v>3</v>
      </c>
      <c r="E106">
        <v>3</v>
      </c>
      <c r="F106">
        <v>47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f t="shared" si="4"/>
        <v>0</v>
      </c>
      <c r="Q106">
        <f t="shared" si="5"/>
        <v>0</v>
      </c>
    </row>
    <row r="107" spans="1:17" x14ac:dyDescent="0.25">
      <c r="A107" t="str">
        <f t="shared" si="3"/>
        <v>Darko Churlinov</v>
      </c>
      <c r="B107" t="s">
        <v>579</v>
      </c>
      <c r="C107" t="s">
        <v>1474</v>
      </c>
      <c r="D107">
        <v>3</v>
      </c>
      <c r="E107">
        <v>3</v>
      </c>
      <c r="F107">
        <v>49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f t="shared" si="4"/>
        <v>0</v>
      </c>
      <c r="Q107">
        <f t="shared" si="5"/>
        <v>0</v>
      </c>
    </row>
    <row r="108" spans="1:17" x14ac:dyDescent="0.25">
      <c r="A108" t="str">
        <f t="shared" si="3"/>
        <v>Josh Cullen</v>
      </c>
      <c r="B108" t="s">
        <v>219</v>
      </c>
      <c r="C108" t="s">
        <v>1477</v>
      </c>
      <c r="D108">
        <v>3</v>
      </c>
      <c r="E108">
        <v>3</v>
      </c>
      <c r="F108">
        <v>49</v>
      </c>
      <c r="G108">
        <v>1513</v>
      </c>
      <c r="H108">
        <v>18</v>
      </c>
      <c r="I108">
        <v>2</v>
      </c>
      <c r="J108">
        <v>2</v>
      </c>
      <c r="K108">
        <v>0.94</v>
      </c>
      <c r="L108">
        <v>1.36</v>
      </c>
      <c r="M108">
        <v>70</v>
      </c>
      <c r="N108">
        <v>321</v>
      </c>
      <c r="O108">
        <v>173</v>
      </c>
      <c r="P108">
        <f t="shared" si="4"/>
        <v>5.5915399867812292E-2</v>
      </c>
      <c r="Q108">
        <f t="shared" si="5"/>
        <v>8.0898876404494391E-2</v>
      </c>
    </row>
    <row r="109" spans="1:17" x14ac:dyDescent="0.25">
      <c r="A109" t="str">
        <f t="shared" si="3"/>
        <v>Marcus Edwards</v>
      </c>
      <c r="B109" t="s">
        <v>151</v>
      </c>
      <c r="C109" t="s">
        <v>2321</v>
      </c>
      <c r="D109">
        <v>3</v>
      </c>
      <c r="E109">
        <v>3</v>
      </c>
      <c r="F109">
        <v>47</v>
      </c>
      <c r="G109">
        <v>1058</v>
      </c>
      <c r="H109">
        <v>11</v>
      </c>
      <c r="I109">
        <v>1</v>
      </c>
      <c r="J109">
        <v>3</v>
      </c>
      <c r="K109">
        <v>1.49</v>
      </c>
      <c r="L109">
        <v>1.84</v>
      </c>
      <c r="M109">
        <v>51</v>
      </c>
      <c r="N109">
        <v>189</v>
      </c>
      <c r="O109">
        <v>67</v>
      </c>
      <c r="P109">
        <f t="shared" si="4"/>
        <v>0.12674858223062382</v>
      </c>
      <c r="Q109">
        <f t="shared" si="5"/>
        <v>0.15652173913043479</v>
      </c>
    </row>
    <row r="110" spans="1:17" x14ac:dyDescent="0.25">
      <c r="A110" t="str">
        <f t="shared" si="3"/>
        <v>Hannibal Mejbri</v>
      </c>
      <c r="B110" t="s">
        <v>1807</v>
      </c>
      <c r="C110" t="s">
        <v>1808</v>
      </c>
      <c r="D110">
        <v>3</v>
      </c>
      <c r="E110">
        <v>3</v>
      </c>
      <c r="F110">
        <v>47</v>
      </c>
      <c r="G110">
        <v>1219</v>
      </c>
      <c r="H110">
        <v>15</v>
      </c>
      <c r="I110">
        <v>1</v>
      </c>
      <c r="J110">
        <v>5</v>
      </c>
      <c r="K110">
        <v>0.91</v>
      </c>
      <c r="L110">
        <v>2.08</v>
      </c>
      <c r="M110">
        <v>59</v>
      </c>
      <c r="N110">
        <v>261</v>
      </c>
      <c r="O110">
        <v>111</v>
      </c>
      <c r="P110">
        <f t="shared" si="4"/>
        <v>6.7186218211648899E-2</v>
      </c>
      <c r="Q110">
        <f t="shared" si="5"/>
        <v>0.1535684987694832</v>
      </c>
    </row>
    <row r="111" spans="1:17" x14ac:dyDescent="0.25">
      <c r="A111" t="str">
        <f t="shared" si="3"/>
        <v>Luca Koleosho</v>
      </c>
      <c r="B111" t="s">
        <v>903</v>
      </c>
      <c r="C111" t="s">
        <v>1506</v>
      </c>
      <c r="D111">
        <v>3</v>
      </c>
      <c r="E111">
        <v>3</v>
      </c>
      <c r="F111">
        <v>50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f t="shared" si="4"/>
        <v>0</v>
      </c>
      <c r="Q111">
        <f t="shared" si="5"/>
        <v>0</v>
      </c>
    </row>
    <row r="112" spans="1:17" x14ac:dyDescent="0.25">
      <c r="A112" t="str">
        <f t="shared" si="3"/>
        <v>Josh Laurent</v>
      </c>
      <c r="B112" t="s">
        <v>219</v>
      </c>
      <c r="C112" t="s">
        <v>2413</v>
      </c>
      <c r="D112">
        <v>3</v>
      </c>
      <c r="E112">
        <v>3</v>
      </c>
      <c r="F112">
        <v>48</v>
      </c>
      <c r="G112">
        <v>1752</v>
      </c>
      <c r="H112">
        <v>18</v>
      </c>
      <c r="I112">
        <v>1</v>
      </c>
      <c r="J112">
        <v>0</v>
      </c>
      <c r="K112">
        <v>0.87</v>
      </c>
      <c r="L112">
        <v>0.48</v>
      </c>
      <c r="M112">
        <v>56</v>
      </c>
      <c r="N112">
        <v>232</v>
      </c>
      <c r="O112">
        <v>186</v>
      </c>
      <c r="P112">
        <f t="shared" si="4"/>
        <v>4.4691780821917805E-2</v>
      </c>
      <c r="Q112">
        <f t="shared" si="5"/>
        <v>2.4657534246575342E-2</v>
      </c>
    </row>
    <row r="113" spans="1:17" x14ac:dyDescent="0.25">
      <c r="A113" t="str">
        <f t="shared" si="3"/>
        <v>Loum Tchaouna</v>
      </c>
      <c r="B113" t="s">
        <v>390</v>
      </c>
      <c r="C113" t="s">
        <v>391</v>
      </c>
      <c r="D113">
        <v>3</v>
      </c>
      <c r="E113">
        <v>3</v>
      </c>
      <c r="F113">
        <v>48</v>
      </c>
      <c r="G113">
        <v>1259</v>
      </c>
      <c r="H113">
        <v>14</v>
      </c>
      <c r="I113">
        <v>2</v>
      </c>
      <c r="J113">
        <v>2</v>
      </c>
      <c r="K113">
        <v>1.27</v>
      </c>
      <c r="L113">
        <v>0.91</v>
      </c>
      <c r="M113">
        <v>59</v>
      </c>
      <c r="N113">
        <v>208</v>
      </c>
      <c r="O113">
        <v>69</v>
      </c>
      <c r="P113">
        <f t="shared" si="4"/>
        <v>9.0786338363780777E-2</v>
      </c>
      <c r="Q113">
        <f t="shared" si="5"/>
        <v>6.5051628276409854E-2</v>
      </c>
    </row>
    <row r="114" spans="1:17" x14ac:dyDescent="0.25">
      <c r="A114" t="str">
        <f t="shared" si="3"/>
        <v>Aaron Ramsey</v>
      </c>
      <c r="B114" t="s">
        <v>197</v>
      </c>
      <c r="C114" t="s">
        <v>866</v>
      </c>
      <c r="D114">
        <v>3</v>
      </c>
      <c r="E114">
        <v>3</v>
      </c>
      <c r="F114">
        <v>44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f t="shared" si="4"/>
        <v>0</v>
      </c>
      <c r="Q114">
        <f t="shared" si="5"/>
        <v>0</v>
      </c>
    </row>
    <row r="115" spans="1:17" x14ac:dyDescent="0.25">
      <c r="A115" t="str">
        <f t="shared" si="3"/>
        <v>Oluwaseun Adewumi</v>
      </c>
      <c r="B115" t="s">
        <v>2414</v>
      </c>
      <c r="C115" t="s">
        <v>2415</v>
      </c>
      <c r="D115">
        <v>3</v>
      </c>
      <c r="E115">
        <v>3</v>
      </c>
      <c r="F115">
        <v>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f t="shared" si="4"/>
        <v>0</v>
      </c>
      <c r="Q115">
        <f t="shared" si="5"/>
        <v>0</v>
      </c>
    </row>
    <row r="116" spans="1:17" x14ac:dyDescent="0.25">
      <c r="A116" t="str">
        <f t="shared" si="3"/>
        <v>Jaydon Banel</v>
      </c>
      <c r="B116" t="s">
        <v>2416</v>
      </c>
      <c r="C116" t="s">
        <v>2417</v>
      </c>
      <c r="D116">
        <v>3</v>
      </c>
      <c r="E116">
        <v>3</v>
      </c>
      <c r="F116">
        <v>45</v>
      </c>
      <c r="G116">
        <v>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2</v>
      </c>
      <c r="O116">
        <v>0</v>
      </c>
      <c r="P116">
        <f t="shared" si="4"/>
        <v>0</v>
      </c>
      <c r="Q116">
        <f t="shared" si="5"/>
        <v>0</v>
      </c>
    </row>
    <row r="117" spans="1:17" x14ac:dyDescent="0.25">
      <c r="A117" t="str">
        <f t="shared" si="3"/>
        <v>Mike Trésor Ndayishimiye</v>
      </c>
      <c r="B117" t="s">
        <v>348</v>
      </c>
      <c r="C117" t="s">
        <v>2418</v>
      </c>
      <c r="D117">
        <v>3</v>
      </c>
      <c r="E117">
        <v>3</v>
      </c>
      <c r="F117">
        <v>43</v>
      </c>
      <c r="G117">
        <v>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</v>
      </c>
      <c r="N117">
        <v>18</v>
      </c>
      <c r="O117">
        <v>5</v>
      </c>
      <c r="P117">
        <f t="shared" si="4"/>
        <v>0</v>
      </c>
      <c r="Q117">
        <f t="shared" si="5"/>
        <v>0</v>
      </c>
    </row>
    <row r="118" spans="1:17" x14ac:dyDescent="0.25">
      <c r="A118" t="str">
        <f t="shared" si="3"/>
        <v>Zian Flemming</v>
      </c>
      <c r="B118" t="s">
        <v>2419</v>
      </c>
      <c r="C118" t="s">
        <v>2420</v>
      </c>
      <c r="D118">
        <v>3</v>
      </c>
      <c r="E118">
        <v>4</v>
      </c>
      <c r="F118">
        <v>53</v>
      </c>
      <c r="G118">
        <v>1764</v>
      </c>
      <c r="H118">
        <v>21</v>
      </c>
      <c r="I118">
        <v>11</v>
      </c>
      <c r="J118">
        <v>0</v>
      </c>
      <c r="K118">
        <v>7.94</v>
      </c>
      <c r="L118">
        <v>0.41</v>
      </c>
      <c r="M118">
        <v>99</v>
      </c>
      <c r="N118">
        <v>371</v>
      </c>
      <c r="O118">
        <v>99</v>
      </c>
      <c r="P118">
        <f t="shared" si="4"/>
        <v>0.40510204081632656</v>
      </c>
      <c r="Q118">
        <f t="shared" si="5"/>
        <v>2.0918367346938777E-2</v>
      </c>
    </row>
    <row r="119" spans="1:17" x14ac:dyDescent="0.25">
      <c r="A119" t="str">
        <f t="shared" si="3"/>
        <v>Zeki Amdouni</v>
      </c>
      <c r="B119" t="s">
        <v>1503</v>
      </c>
      <c r="C119" t="s">
        <v>1504</v>
      </c>
      <c r="D119">
        <v>3</v>
      </c>
      <c r="E119">
        <v>4</v>
      </c>
      <c r="F119">
        <v>48</v>
      </c>
      <c r="G119">
        <v>69</v>
      </c>
      <c r="H119">
        <v>0</v>
      </c>
      <c r="I119">
        <v>0</v>
      </c>
      <c r="J119">
        <v>0</v>
      </c>
      <c r="K119">
        <v>0.24</v>
      </c>
      <c r="L119">
        <v>0.02</v>
      </c>
      <c r="M119">
        <v>4</v>
      </c>
      <c r="N119">
        <v>10</v>
      </c>
      <c r="O119">
        <v>1</v>
      </c>
      <c r="P119">
        <f t="shared" si="4"/>
        <v>0.31304347826086953</v>
      </c>
      <c r="Q119">
        <f t="shared" si="5"/>
        <v>2.6086956521739129E-2</v>
      </c>
    </row>
    <row r="120" spans="1:17" x14ac:dyDescent="0.25">
      <c r="A120" t="str">
        <f t="shared" si="3"/>
        <v>Lyle Foster</v>
      </c>
      <c r="B120" t="s">
        <v>1482</v>
      </c>
      <c r="C120" t="s">
        <v>1483</v>
      </c>
      <c r="D120">
        <v>3</v>
      </c>
      <c r="E120">
        <v>4</v>
      </c>
      <c r="F120">
        <v>49</v>
      </c>
      <c r="G120">
        <v>1361</v>
      </c>
      <c r="H120">
        <v>15</v>
      </c>
      <c r="I120">
        <v>3</v>
      </c>
      <c r="J120">
        <v>2</v>
      </c>
      <c r="K120">
        <v>3.22</v>
      </c>
      <c r="L120">
        <v>0.37</v>
      </c>
      <c r="M120">
        <v>58</v>
      </c>
      <c r="N120">
        <v>202</v>
      </c>
      <c r="O120">
        <v>85</v>
      </c>
      <c r="P120">
        <f t="shared" si="4"/>
        <v>0.21293166789125645</v>
      </c>
      <c r="Q120">
        <f t="shared" si="5"/>
        <v>2.446730345334313E-2</v>
      </c>
    </row>
    <row r="121" spans="1:17" x14ac:dyDescent="0.25">
      <c r="A121" t="str">
        <f t="shared" si="3"/>
        <v>Ashley Barnes</v>
      </c>
      <c r="B121" t="s">
        <v>953</v>
      </c>
      <c r="C121" t="s">
        <v>864</v>
      </c>
      <c r="D121">
        <v>3</v>
      </c>
      <c r="E121">
        <v>4</v>
      </c>
      <c r="F121">
        <v>42</v>
      </c>
      <c r="G121">
        <v>40</v>
      </c>
      <c r="H121">
        <v>0</v>
      </c>
      <c r="I121">
        <v>0</v>
      </c>
      <c r="J121">
        <v>0</v>
      </c>
      <c r="K121">
        <v>0.25</v>
      </c>
      <c r="L121">
        <v>0.04</v>
      </c>
      <c r="M121">
        <v>5</v>
      </c>
      <c r="N121">
        <v>11</v>
      </c>
      <c r="O121">
        <v>2</v>
      </c>
      <c r="P121">
        <f t="shared" si="4"/>
        <v>0.5625</v>
      </c>
      <c r="Q121">
        <f t="shared" si="5"/>
        <v>0.09</v>
      </c>
    </row>
    <row r="122" spans="1:17" x14ac:dyDescent="0.25">
      <c r="A122" t="str">
        <f t="shared" si="3"/>
        <v>Michael Obafemi</v>
      </c>
      <c r="B122" t="s">
        <v>193</v>
      </c>
      <c r="C122" t="s">
        <v>1489</v>
      </c>
      <c r="D122">
        <v>3</v>
      </c>
      <c r="E122">
        <v>4</v>
      </c>
      <c r="F122">
        <v>44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f t="shared" si="4"/>
        <v>0</v>
      </c>
      <c r="Q122">
        <f t="shared" si="5"/>
        <v>0</v>
      </c>
    </row>
    <row r="123" spans="1:17" x14ac:dyDescent="0.25">
      <c r="A123" t="str">
        <f t="shared" si="3"/>
        <v>Martin Dúbravka</v>
      </c>
      <c r="B123" t="s">
        <v>48</v>
      </c>
      <c r="C123" t="s">
        <v>2300</v>
      </c>
      <c r="D123">
        <v>3</v>
      </c>
      <c r="E123">
        <v>1</v>
      </c>
      <c r="F123">
        <v>40</v>
      </c>
      <c r="G123">
        <v>3150</v>
      </c>
      <c r="H123">
        <v>35</v>
      </c>
      <c r="I123">
        <v>0</v>
      </c>
      <c r="J123">
        <v>0</v>
      </c>
      <c r="K123">
        <v>0</v>
      </c>
      <c r="L123">
        <v>0.04</v>
      </c>
      <c r="M123">
        <v>96</v>
      </c>
      <c r="N123">
        <v>436</v>
      </c>
      <c r="O123">
        <v>0</v>
      </c>
      <c r="P123">
        <f t="shared" si="4"/>
        <v>0</v>
      </c>
      <c r="Q123">
        <f t="shared" si="5"/>
        <v>1.1428571428571429E-3</v>
      </c>
    </row>
    <row r="124" spans="1:17" x14ac:dyDescent="0.25">
      <c r="A124" t="str">
        <f t="shared" si="3"/>
        <v>James Ward-Prowse</v>
      </c>
      <c r="B124" t="s">
        <v>135</v>
      </c>
      <c r="C124" t="s">
        <v>2048</v>
      </c>
      <c r="D124">
        <v>3</v>
      </c>
      <c r="E124">
        <v>3</v>
      </c>
      <c r="F124">
        <v>56</v>
      </c>
      <c r="G124">
        <v>1092</v>
      </c>
      <c r="H124">
        <v>12</v>
      </c>
      <c r="I124">
        <v>0</v>
      </c>
      <c r="J124">
        <v>1</v>
      </c>
      <c r="K124">
        <v>0.24</v>
      </c>
      <c r="L124">
        <v>1.87</v>
      </c>
      <c r="M124">
        <v>40</v>
      </c>
      <c r="N124">
        <v>248</v>
      </c>
      <c r="O124">
        <v>109</v>
      </c>
      <c r="P124">
        <f t="shared" si="4"/>
        <v>1.9780219780219779E-2</v>
      </c>
      <c r="Q124">
        <f t="shared" si="5"/>
        <v>0.15412087912087913</v>
      </c>
    </row>
    <row r="125" spans="1:17" x14ac:dyDescent="0.25">
      <c r="A125" t="str">
        <f t="shared" si="3"/>
        <v>Lesley Ugochukwu</v>
      </c>
      <c r="B125" t="s">
        <v>1547</v>
      </c>
      <c r="C125" t="s">
        <v>1548</v>
      </c>
      <c r="D125">
        <v>3</v>
      </c>
      <c r="E125">
        <v>3</v>
      </c>
      <c r="F125">
        <v>50</v>
      </c>
      <c r="G125">
        <v>2330</v>
      </c>
      <c r="H125">
        <v>27</v>
      </c>
      <c r="I125">
        <v>3</v>
      </c>
      <c r="J125">
        <v>3</v>
      </c>
      <c r="K125">
        <v>2.5</v>
      </c>
      <c r="L125">
        <v>0.41</v>
      </c>
      <c r="M125">
        <v>97</v>
      </c>
      <c r="N125">
        <v>374</v>
      </c>
      <c r="O125">
        <v>214</v>
      </c>
      <c r="P125">
        <f t="shared" si="4"/>
        <v>9.6566523605150209E-2</v>
      </c>
      <c r="Q125">
        <f t="shared" si="5"/>
        <v>1.5836909871244632E-2</v>
      </c>
    </row>
    <row r="126" spans="1:17" x14ac:dyDescent="0.25">
      <c r="A126" t="str">
        <f t="shared" si="3"/>
        <v>Armando Broja</v>
      </c>
      <c r="B126" t="s">
        <v>1644</v>
      </c>
      <c r="C126" t="s">
        <v>1645</v>
      </c>
      <c r="D126">
        <v>3</v>
      </c>
      <c r="E126">
        <v>4</v>
      </c>
      <c r="F126">
        <v>52</v>
      </c>
      <c r="G126">
        <v>843</v>
      </c>
      <c r="H126">
        <v>8</v>
      </c>
      <c r="I126">
        <v>1</v>
      </c>
      <c r="J126">
        <v>1</v>
      </c>
      <c r="K126">
        <v>2.14</v>
      </c>
      <c r="L126">
        <v>0.22</v>
      </c>
      <c r="M126">
        <v>43</v>
      </c>
      <c r="N126">
        <v>119</v>
      </c>
      <c r="O126">
        <v>44</v>
      </c>
      <c r="P126">
        <f t="shared" si="4"/>
        <v>0.22846975088967975</v>
      </c>
      <c r="Q126">
        <f t="shared" si="5"/>
        <v>2.3487544483985764E-2</v>
      </c>
    </row>
    <row r="127" spans="1:17" x14ac:dyDescent="0.25">
      <c r="A127" t="str">
        <f t="shared" si="3"/>
        <v>Florentino Ibrain Morris Luís</v>
      </c>
      <c r="B127" t="s">
        <v>650</v>
      </c>
      <c r="C127" t="s">
        <v>651</v>
      </c>
      <c r="D127">
        <v>3</v>
      </c>
      <c r="E127">
        <v>3</v>
      </c>
      <c r="F127">
        <v>50</v>
      </c>
      <c r="G127">
        <v>2100</v>
      </c>
      <c r="H127">
        <v>25</v>
      </c>
      <c r="I127">
        <v>0</v>
      </c>
      <c r="J127">
        <v>2</v>
      </c>
      <c r="K127">
        <v>0.64</v>
      </c>
      <c r="L127">
        <v>0.52</v>
      </c>
      <c r="M127">
        <v>84</v>
      </c>
      <c r="N127">
        <v>357</v>
      </c>
      <c r="O127">
        <v>313</v>
      </c>
      <c r="P127">
        <f t="shared" si="4"/>
        <v>2.7428571428571431E-2</v>
      </c>
      <c r="Q127">
        <f t="shared" si="5"/>
        <v>2.2285714285714287E-2</v>
      </c>
    </row>
    <row r="128" spans="1:17" x14ac:dyDescent="0.25">
      <c r="A128" t="str">
        <f t="shared" si="3"/>
        <v>Oliver Pimlott</v>
      </c>
      <c r="B128" t="s">
        <v>361</v>
      </c>
      <c r="C128" t="s">
        <v>2421</v>
      </c>
      <c r="D128">
        <v>3</v>
      </c>
      <c r="E128">
        <v>3</v>
      </c>
      <c r="F128">
        <v>45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f t="shared" si="4"/>
        <v>0</v>
      </c>
      <c r="Q128">
        <f t="shared" si="5"/>
        <v>0</v>
      </c>
    </row>
    <row r="129" spans="1:17" x14ac:dyDescent="0.25">
      <c r="A129" t="str">
        <f t="shared" si="3"/>
        <v>George Brierley</v>
      </c>
      <c r="B129" t="s">
        <v>113</v>
      </c>
      <c r="C129" t="s">
        <v>1409</v>
      </c>
      <c r="D129">
        <v>3</v>
      </c>
      <c r="E129">
        <v>3</v>
      </c>
      <c r="F129">
        <v>45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f t="shared" si="4"/>
        <v>0</v>
      </c>
      <c r="Q129">
        <f t="shared" si="5"/>
        <v>0</v>
      </c>
    </row>
    <row r="130" spans="1:17" x14ac:dyDescent="0.25">
      <c r="A130" t="str">
        <f t="shared" ref="A130:A193" si="6">_xlfn.CONCAT(B130, " ", C130)</f>
        <v>Kian McMahon-Brown</v>
      </c>
      <c r="B130" t="s">
        <v>2422</v>
      </c>
      <c r="C130" t="s">
        <v>2423</v>
      </c>
      <c r="D130">
        <v>3</v>
      </c>
      <c r="E130">
        <v>3</v>
      </c>
      <c r="F130">
        <v>45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f t="shared" ref="P130:P193" si="7">IFERROR(K130/G130*90,0)</f>
        <v>0</v>
      </c>
      <c r="Q130">
        <f t="shared" ref="Q130:Q193" si="8">IFERROR(L130/G130*90,0)</f>
        <v>0</v>
      </c>
    </row>
    <row r="131" spans="1:17" x14ac:dyDescent="0.25">
      <c r="A131" t="str">
        <f t="shared" si="6"/>
        <v>Norberto Murara Neto</v>
      </c>
      <c r="B131" t="s">
        <v>1357</v>
      </c>
      <c r="C131" t="s">
        <v>1358</v>
      </c>
      <c r="D131">
        <v>4</v>
      </c>
      <c r="E131">
        <v>1</v>
      </c>
      <c r="F131">
        <v>45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f t="shared" si="7"/>
        <v>0</v>
      </c>
      <c r="Q131">
        <f t="shared" si="8"/>
        <v>0</v>
      </c>
    </row>
    <row r="132" spans="1:17" x14ac:dyDescent="0.25">
      <c r="A132" t="str">
        <f t="shared" si="6"/>
        <v>Đorđe Petrović</v>
      </c>
      <c r="B132" t="s">
        <v>129</v>
      </c>
      <c r="C132" t="s">
        <v>130</v>
      </c>
      <c r="D132">
        <v>4</v>
      </c>
      <c r="E132">
        <v>1</v>
      </c>
      <c r="F132">
        <v>46</v>
      </c>
      <c r="G132">
        <v>3420</v>
      </c>
      <c r="H132">
        <v>38</v>
      </c>
      <c r="I132">
        <v>0</v>
      </c>
      <c r="J132">
        <v>0</v>
      </c>
      <c r="K132">
        <v>0</v>
      </c>
      <c r="L132">
        <v>0</v>
      </c>
      <c r="M132">
        <v>124</v>
      </c>
      <c r="N132">
        <v>512</v>
      </c>
      <c r="O132">
        <v>0</v>
      </c>
      <c r="P132">
        <f t="shared" si="7"/>
        <v>0</v>
      </c>
      <c r="Q132">
        <f t="shared" si="8"/>
        <v>0</v>
      </c>
    </row>
    <row r="133" spans="1:17" x14ac:dyDescent="0.25">
      <c r="A133" t="str">
        <f t="shared" si="6"/>
        <v>Will Dennis</v>
      </c>
      <c r="B133" t="s">
        <v>133</v>
      </c>
      <c r="C133" t="s">
        <v>134</v>
      </c>
      <c r="D133">
        <v>4</v>
      </c>
      <c r="E133">
        <v>1</v>
      </c>
      <c r="F133">
        <v>40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f t="shared" si="7"/>
        <v>0</v>
      </c>
      <c r="Q133">
        <f t="shared" si="8"/>
        <v>0</v>
      </c>
    </row>
    <row r="134" spans="1:17" x14ac:dyDescent="0.25">
      <c r="A134" t="str">
        <f t="shared" si="6"/>
        <v>Callan McKenna</v>
      </c>
      <c r="B134" t="s">
        <v>1379</v>
      </c>
      <c r="C134" t="s">
        <v>1380</v>
      </c>
      <c r="D134">
        <v>4</v>
      </c>
      <c r="E134">
        <v>1</v>
      </c>
      <c r="F134">
        <v>39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f t="shared" si="7"/>
        <v>0</v>
      </c>
      <c r="Q134">
        <f t="shared" si="8"/>
        <v>0</v>
      </c>
    </row>
    <row r="135" spans="1:17" x14ac:dyDescent="0.25">
      <c r="A135" t="str">
        <f t="shared" si="6"/>
        <v>Alex Paulsen</v>
      </c>
      <c r="B135" t="s">
        <v>153</v>
      </c>
      <c r="C135" t="s">
        <v>2143</v>
      </c>
      <c r="D135">
        <v>4</v>
      </c>
      <c r="E135">
        <v>1</v>
      </c>
      <c r="F135">
        <v>40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f t="shared" si="7"/>
        <v>0</v>
      </c>
      <c r="Q135">
        <f t="shared" si="8"/>
        <v>0</v>
      </c>
    </row>
    <row r="136" spans="1:17" x14ac:dyDescent="0.25">
      <c r="A136" t="str">
        <f t="shared" si="6"/>
        <v>Illia Zabarnyi</v>
      </c>
      <c r="B136" t="s">
        <v>1367</v>
      </c>
      <c r="C136" t="s">
        <v>1368</v>
      </c>
      <c r="D136">
        <v>4</v>
      </c>
      <c r="E136">
        <v>2</v>
      </c>
      <c r="F136">
        <v>50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f t="shared" si="7"/>
        <v>0</v>
      </c>
      <c r="Q136">
        <f t="shared" si="8"/>
        <v>0</v>
      </c>
    </row>
    <row r="137" spans="1:17" x14ac:dyDescent="0.25">
      <c r="A137" t="str">
        <f t="shared" si="6"/>
        <v>Marcos Senesi Barón</v>
      </c>
      <c r="B137" t="s">
        <v>939</v>
      </c>
      <c r="C137" t="s">
        <v>940</v>
      </c>
      <c r="D137">
        <v>4</v>
      </c>
      <c r="E137">
        <v>2</v>
      </c>
      <c r="F137">
        <v>52</v>
      </c>
      <c r="G137">
        <v>3288</v>
      </c>
      <c r="H137">
        <v>37</v>
      </c>
      <c r="I137">
        <v>0</v>
      </c>
      <c r="J137">
        <v>6</v>
      </c>
      <c r="K137">
        <v>1.53</v>
      </c>
      <c r="L137">
        <v>4.72</v>
      </c>
      <c r="M137">
        <v>175</v>
      </c>
      <c r="N137">
        <v>571</v>
      </c>
      <c r="O137">
        <v>419</v>
      </c>
      <c r="P137">
        <f t="shared" si="7"/>
        <v>4.1879562043795622E-2</v>
      </c>
      <c r="Q137">
        <f t="shared" si="8"/>
        <v>0.1291970802919708</v>
      </c>
    </row>
    <row r="138" spans="1:17" x14ac:dyDescent="0.25">
      <c r="A138" t="str">
        <f t="shared" si="6"/>
        <v>Adam Smith</v>
      </c>
      <c r="B138" t="s">
        <v>143</v>
      </c>
      <c r="C138" t="s">
        <v>144</v>
      </c>
      <c r="D138">
        <v>4</v>
      </c>
      <c r="E138">
        <v>2</v>
      </c>
      <c r="F138">
        <v>44</v>
      </c>
      <c r="G138">
        <v>1073</v>
      </c>
      <c r="H138">
        <v>14</v>
      </c>
      <c r="I138">
        <v>0</v>
      </c>
      <c r="J138">
        <v>2</v>
      </c>
      <c r="K138">
        <v>0</v>
      </c>
      <c r="L138">
        <v>0.23</v>
      </c>
      <c r="M138">
        <v>58</v>
      </c>
      <c r="N138">
        <v>185</v>
      </c>
      <c r="O138">
        <v>70</v>
      </c>
      <c r="P138">
        <f t="shared" si="7"/>
        <v>0</v>
      </c>
      <c r="Q138">
        <f t="shared" si="8"/>
        <v>1.9291705498602051E-2</v>
      </c>
    </row>
    <row r="139" spans="1:17" x14ac:dyDescent="0.25">
      <c r="A139" t="str">
        <f t="shared" si="6"/>
        <v>Adrien Truffert</v>
      </c>
      <c r="B139" t="s">
        <v>137</v>
      </c>
      <c r="C139" t="s">
        <v>138</v>
      </c>
      <c r="D139">
        <v>4</v>
      </c>
      <c r="E139">
        <v>2</v>
      </c>
      <c r="F139">
        <v>48</v>
      </c>
      <c r="G139">
        <v>3378</v>
      </c>
      <c r="H139">
        <v>38</v>
      </c>
      <c r="I139">
        <v>1</v>
      </c>
      <c r="J139">
        <v>6</v>
      </c>
      <c r="K139">
        <v>1.35</v>
      </c>
      <c r="L139">
        <v>3.07</v>
      </c>
      <c r="M139">
        <v>165</v>
      </c>
      <c r="N139">
        <v>607</v>
      </c>
      <c r="O139">
        <v>301</v>
      </c>
      <c r="P139">
        <f t="shared" si="7"/>
        <v>3.5968028419182951E-2</v>
      </c>
      <c r="Q139">
        <f t="shared" si="8"/>
        <v>8.1793960923623441E-2</v>
      </c>
    </row>
    <row r="140" spans="1:17" x14ac:dyDescent="0.25">
      <c r="A140" t="str">
        <f t="shared" si="6"/>
        <v>Matai Akinmboni</v>
      </c>
      <c r="B140" t="s">
        <v>2148</v>
      </c>
      <c r="C140" t="s">
        <v>2149</v>
      </c>
      <c r="D140">
        <v>4</v>
      </c>
      <c r="E140">
        <v>2</v>
      </c>
      <c r="F140">
        <v>38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f t="shared" si="7"/>
        <v>0</v>
      </c>
      <c r="Q140">
        <f t="shared" si="8"/>
        <v>0</v>
      </c>
    </row>
    <row r="141" spans="1:17" x14ac:dyDescent="0.25">
      <c r="A141" t="str">
        <f t="shared" si="6"/>
        <v>Owen Bevan</v>
      </c>
      <c r="B141" t="s">
        <v>1508</v>
      </c>
      <c r="C141" t="s">
        <v>2424</v>
      </c>
      <c r="D141">
        <v>4</v>
      </c>
      <c r="E141">
        <v>2</v>
      </c>
      <c r="F141">
        <v>38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f t="shared" si="7"/>
        <v>0</v>
      </c>
      <c r="Q141">
        <f t="shared" si="8"/>
        <v>0</v>
      </c>
    </row>
    <row r="142" spans="1:17" x14ac:dyDescent="0.25">
      <c r="A142" t="str">
        <f t="shared" si="6"/>
        <v>James Hill</v>
      </c>
      <c r="B142" t="s">
        <v>135</v>
      </c>
      <c r="C142" t="s">
        <v>136</v>
      </c>
      <c r="D142">
        <v>4</v>
      </c>
      <c r="E142">
        <v>2</v>
      </c>
      <c r="F142">
        <v>42</v>
      </c>
      <c r="G142">
        <v>2102</v>
      </c>
      <c r="H142">
        <v>22</v>
      </c>
      <c r="I142">
        <v>0</v>
      </c>
      <c r="J142">
        <v>3</v>
      </c>
      <c r="K142">
        <v>0.89</v>
      </c>
      <c r="L142">
        <v>1.1599999999999999</v>
      </c>
      <c r="M142">
        <v>110</v>
      </c>
      <c r="N142">
        <v>386</v>
      </c>
      <c r="O142">
        <v>260</v>
      </c>
      <c r="P142">
        <f t="shared" si="7"/>
        <v>3.8106565176022837E-2</v>
      </c>
      <c r="Q142">
        <f t="shared" si="8"/>
        <v>4.9666983824928637E-2</v>
      </c>
    </row>
    <row r="143" spans="1:17" x14ac:dyDescent="0.25">
      <c r="A143" t="str">
        <f t="shared" si="6"/>
        <v>Julián Araujo Zúñiga</v>
      </c>
      <c r="B143" t="s">
        <v>145</v>
      </c>
      <c r="C143" t="s">
        <v>146</v>
      </c>
      <c r="D143">
        <v>4</v>
      </c>
      <c r="E143">
        <v>2</v>
      </c>
      <c r="F143">
        <v>38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f t="shared" si="7"/>
        <v>0</v>
      </c>
      <c r="Q143">
        <f t="shared" si="8"/>
        <v>0</v>
      </c>
    </row>
    <row r="144" spans="1:17" x14ac:dyDescent="0.25">
      <c r="A144" t="str">
        <f t="shared" si="6"/>
        <v>Chris Mepham</v>
      </c>
      <c r="B144" t="s">
        <v>418</v>
      </c>
      <c r="C144" t="s">
        <v>1355</v>
      </c>
      <c r="D144">
        <v>4</v>
      </c>
      <c r="E144">
        <v>2</v>
      </c>
      <c r="F144">
        <v>40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f t="shared" si="7"/>
        <v>0</v>
      </c>
      <c r="Q144">
        <f t="shared" si="8"/>
        <v>0</v>
      </c>
    </row>
    <row r="145" spans="1:17" x14ac:dyDescent="0.25">
      <c r="A145" t="str">
        <f t="shared" si="6"/>
        <v>Julio Soler Barreto</v>
      </c>
      <c r="B145" t="s">
        <v>147</v>
      </c>
      <c r="C145" t="s">
        <v>148</v>
      </c>
      <c r="D145">
        <v>4</v>
      </c>
      <c r="E145">
        <v>2</v>
      </c>
      <c r="F145">
        <v>39</v>
      </c>
      <c r="G145">
        <v>34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2</v>
      </c>
      <c r="O145">
        <v>1</v>
      </c>
      <c r="P145">
        <f t="shared" si="7"/>
        <v>0</v>
      </c>
      <c r="Q145">
        <f t="shared" si="8"/>
        <v>0</v>
      </c>
    </row>
    <row r="146" spans="1:17" x14ac:dyDescent="0.25">
      <c r="A146" t="str">
        <f t="shared" si="6"/>
        <v>Justin Kluivert</v>
      </c>
      <c r="B146" t="s">
        <v>155</v>
      </c>
      <c r="C146" t="s">
        <v>156</v>
      </c>
      <c r="D146">
        <v>4</v>
      </c>
      <c r="E146">
        <v>3</v>
      </c>
      <c r="F146">
        <v>69</v>
      </c>
      <c r="G146">
        <v>945</v>
      </c>
      <c r="H146">
        <v>10</v>
      </c>
      <c r="I146">
        <v>2</v>
      </c>
      <c r="J146">
        <v>0</v>
      </c>
      <c r="K146">
        <v>2.31</v>
      </c>
      <c r="L146">
        <v>1.55</v>
      </c>
      <c r="M146">
        <v>41</v>
      </c>
      <c r="N146">
        <v>147</v>
      </c>
      <c r="O146">
        <v>65</v>
      </c>
      <c r="P146">
        <f t="shared" si="7"/>
        <v>0.22</v>
      </c>
      <c r="Q146">
        <f t="shared" si="8"/>
        <v>0.14761904761904762</v>
      </c>
    </row>
    <row r="147" spans="1:17" x14ac:dyDescent="0.25">
      <c r="A147" t="str">
        <f t="shared" si="6"/>
        <v>Marcus Tavernier</v>
      </c>
      <c r="B147" t="s">
        <v>151</v>
      </c>
      <c r="C147" t="s">
        <v>152</v>
      </c>
      <c r="D147">
        <v>4</v>
      </c>
      <c r="E147">
        <v>3</v>
      </c>
      <c r="F147">
        <v>53</v>
      </c>
      <c r="G147">
        <v>2732</v>
      </c>
      <c r="H147">
        <v>31</v>
      </c>
      <c r="I147">
        <v>7</v>
      </c>
      <c r="J147">
        <v>4</v>
      </c>
      <c r="K147">
        <v>9.06</v>
      </c>
      <c r="L147">
        <v>4.5999999999999996</v>
      </c>
      <c r="M147">
        <v>137</v>
      </c>
      <c r="N147">
        <v>552</v>
      </c>
      <c r="O147">
        <v>251</v>
      </c>
      <c r="P147">
        <f t="shared" si="7"/>
        <v>0.2984626647144949</v>
      </c>
      <c r="Q147">
        <f t="shared" si="8"/>
        <v>0.15153733528550511</v>
      </c>
    </row>
    <row r="148" spans="1:17" x14ac:dyDescent="0.25">
      <c r="A148" t="str">
        <f t="shared" si="6"/>
        <v>Tyler Adams</v>
      </c>
      <c r="B148" t="s">
        <v>161</v>
      </c>
      <c r="C148" t="s">
        <v>162</v>
      </c>
      <c r="D148">
        <v>4</v>
      </c>
      <c r="E148">
        <v>3</v>
      </c>
      <c r="F148">
        <v>49</v>
      </c>
      <c r="G148">
        <v>1769</v>
      </c>
      <c r="H148">
        <v>21</v>
      </c>
      <c r="I148">
        <v>2</v>
      </c>
      <c r="J148">
        <v>2</v>
      </c>
      <c r="K148">
        <v>0.63</v>
      </c>
      <c r="L148">
        <v>0.63</v>
      </c>
      <c r="M148">
        <v>77</v>
      </c>
      <c r="N148">
        <v>346</v>
      </c>
      <c r="O148">
        <v>232</v>
      </c>
      <c r="P148">
        <f t="shared" si="7"/>
        <v>3.20520067834935E-2</v>
      </c>
      <c r="Q148">
        <f t="shared" si="8"/>
        <v>3.20520067834935E-2</v>
      </c>
    </row>
    <row r="149" spans="1:17" x14ac:dyDescent="0.25">
      <c r="A149" t="str">
        <f t="shared" si="6"/>
        <v>David Brooks</v>
      </c>
      <c r="B149" t="s">
        <v>20</v>
      </c>
      <c r="C149" t="s">
        <v>163</v>
      </c>
      <c r="D149">
        <v>4</v>
      </c>
      <c r="E149">
        <v>3</v>
      </c>
      <c r="F149">
        <v>50</v>
      </c>
      <c r="G149">
        <v>1188</v>
      </c>
      <c r="H149">
        <v>13</v>
      </c>
      <c r="I149">
        <v>1</v>
      </c>
      <c r="J149">
        <v>3</v>
      </c>
      <c r="K149">
        <v>5.81</v>
      </c>
      <c r="L149">
        <v>3.4</v>
      </c>
      <c r="M149">
        <v>59</v>
      </c>
      <c r="N149">
        <v>215</v>
      </c>
      <c r="O149">
        <v>94</v>
      </c>
      <c r="P149">
        <f t="shared" si="7"/>
        <v>0.44015151515151513</v>
      </c>
      <c r="Q149">
        <f t="shared" si="8"/>
        <v>0.25757575757575757</v>
      </c>
    </row>
    <row r="150" spans="1:17" x14ac:dyDescent="0.25">
      <c r="A150" t="str">
        <f t="shared" si="6"/>
        <v>Ryan Christie</v>
      </c>
      <c r="B150" t="s">
        <v>164</v>
      </c>
      <c r="C150" t="s">
        <v>165</v>
      </c>
      <c r="D150">
        <v>4</v>
      </c>
      <c r="E150">
        <v>3</v>
      </c>
      <c r="F150">
        <v>49</v>
      </c>
      <c r="G150">
        <v>978</v>
      </c>
      <c r="H150">
        <v>9</v>
      </c>
      <c r="I150">
        <v>2</v>
      </c>
      <c r="J150">
        <v>1</v>
      </c>
      <c r="K150">
        <v>1.81</v>
      </c>
      <c r="L150">
        <v>0.79</v>
      </c>
      <c r="M150">
        <v>47</v>
      </c>
      <c r="N150">
        <v>214</v>
      </c>
      <c r="O150">
        <v>123</v>
      </c>
      <c r="P150">
        <f t="shared" si="7"/>
        <v>0.16656441717791409</v>
      </c>
      <c r="Q150">
        <f t="shared" si="8"/>
        <v>7.2699386503067495E-2</v>
      </c>
    </row>
    <row r="151" spans="1:17" x14ac:dyDescent="0.25">
      <c r="A151" t="str">
        <f t="shared" si="6"/>
        <v>Lewis Cook</v>
      </c>
      <c r="B151" t="s">
        <v>157</v>
      </c>
      <c r="C151" t="s">
        <v>158</v>
      </c>
      <c r="D151">
        <v>4</v>
      </c>
      <c r="E151">
        <v>3</v>
      </c>
      <c r="F151">
        <v>49</v>
      </c>
      <c r="G151">
        <v>872</v>
      </c>
      <c r="H151">
        <v>8</v>
      </c>
      <c r="I151">
        <v>0</v>
      </c>
      <c r="J151">
        <v>1</v>
      </c>
      <c r="K151">
        <v>7.0000000000000007E-2</v>
      </c>
      <c r="L151">
        <v>0.52</v>
      </c>
      <c r="M151">
        <v>40</v>
      </c>
      <c r="N151">
        <v>190</v>
      </c>
      <c r="O151">
        <v>143</v>
      </c>
      <c r="P151">
        <f t="shared" si="7"/>
        <v>7.2247706422018361E-3</v>
      </c>
      <c r="Q151">
        <f t="shared" si="8"/>
        <v>5.3669724770642205E-2</v>
      </c>
    </row>
    <row r="152" spans="1:17" x14ac:dyDescent="0.25">
      <c r="A152" t="str">
        <f t="shared" si="6"/>
        <v>Philip Billing</v>
      </c>
      <c r="B152" t="s">
        <v>1343</v>
      </c>
      <c r="C152" t="s">
        <v>1344</v>
      </c>
      <c r="D152">
        <v>4</v>
      </c>
      <c r="E152">
        <v>3</v>
      </c>
      <c r="F152">
        <v>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f t="shared" si="7"/>
        <v>0</v>
      </c>
      <c r="Q152">
        <f t="shared" si="8"/>
        <v>0</v>
      </c>
    </row>
    <row r="153" spans="1:17" x14ac:dyDescent="0.25">
      <c r="A153" t="str">
        <f t="shared" si="6"/>
        <v>Alex Scott</v>
      </c>
      <c r="B153" t="s">
        <v>153</v>
      </c>
      <c r="C153" t="s">
        <v>154</v>
      </c>
      <c r="D153">
        <v>4</v>
      </c>
      <c r="E153">
        <v>3</v>
      </c>
      <c r="F153">
        <v>49</v>
      </c>
      <c r="G153">
        <v>2848</v>
      </c>
      <c r="H153">
        <v>34</v>
      </c>
      <c r="I153">
        <v>3</v>
      </c>
      <c r="J153">
        <v>2</v>
      </c>
      <c r="K153">
        <v>3.8</v>
      </c>
      <c r="L153">
        <v>2.94</v>
      </c>
      <c r="M153">
        <v>136</v>
      </c>
      <c r="N153">
        <v>603</v>
      </c>
      <c r="O153">
        <v>386</v>
      </c>
      <c r="P153">
        <f t="shared" si="7"/>
        <v>0.12008426966292134</v>
      </c>
      <c r="Q153">
        <f t="shared" si="8"/>
        <v>9.2907303370786509E-2</v>
      </c>
    </row>
    <row r="154" spans="1:17" x14ac:dyDescent="0.25">
      <c r="A154" t="str">
        <f t="shared" si="6"/>
        <v>Luis Sinisterra Lucumí</v>
      </c>
      <c r="B154" t="s">
        <v>1373</v>
      </c>
      <c r="C154" t="s">
        <v>2425</v>
      </c>
      <c r="D154">
        <v>4</v>
      </c>
      <c r="E154">
        <v>3</v>
      </c>
      <c r="F154">
        <v>50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f t="shared" si="7"/>
        <v>0</v>
      </c>
      <c r="Q154">
        <f t="shared" si="8"/>
        <v>0</v>
      </c>
    </row>
    <row r="155" spans="1:17" x14ac:dyDescent="0.25">
      <c r="A155" t="str">
        <f t="shared" si="6"/>
        <v>Romain Faivre</v>
      </c>
      <c r="B155" t="s">
        <v>440</v>
      </c>
      <c r="C155" t="s">
        <v>1375</v>
      </c>
      <c r="D155">
        <v>4</v>
      </c>
      <c r="E155">
        <v>3</v>
      </c>
      <c r="F155">
        <v>45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f t="shared" si="7"/>
        <v>0</v>
      </c>
      <c r="Q155">
        <f t="shared" si="8"/>
        <v>0</v>
      </c>
    </row>
    <row r="156" spans="1:17" x14ac:dyDescent="0.25">
      <c r="A156" t="str">
        <f t="shared" si="6"/>
        <v>Hamed Traorè</v>
      </c>
      <c r="B156" t="s">
        <v>1365</v>
      </c>
      <c r="C156" t="s">
        <v>1366</v>
      </c>
      <c r="D156">
        <v>4</v>
      </c>
      <c r="E156">
        <v>3</v>
      </c>
      <c r="F156">
        <v>45</v>
      </c>
      <c r="G156">
        <v>16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4</v>
      </c>
      <c r="N156">
        <v>12</v>
      </c>
      <c r="O156">
        <v>4</v>
      </c>
      <c r="P156">
        <f t="shared" si="7"/>
        <v>0</v>
      </c>
      <c r="Q156">
        <f t="shared" si="8"/>
        <v>0</v>
      </c>
    </row>
    <row r="157" spans="1:17" x14ac:dyDescent="0.25">
      <c r="A157" t="str">
        <f t="shared" si="6"/>
        <v>Dominic Sadi</v>
      </c>
      <c r="B157" t="s">
        <v>681</v>
      </c>
      <c r="C157" t="s">
        <v>1377</v>
      </c>
      <c r="D157">
        <v>4</v>
      </c>
      <c r="E157">
        <v>3</v>
      </c>
      <c r="F157">
        <v>45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f t="shared" si="7"/>
        <v>0</v>
      </c>
      <c r="Q157">
        <f t="shared" si="8"/>
        <v>0</v>
      </c>
    </row>
    <row r="158" spans="1:17" x14ac:dyDescent="0.25">
      <c r="A158" t="str">
        <f t="shared" si="6"/>
        <v>Zain Silcott-Duberry</v>
      </c>
      <c r="B158" t="s">
        <v>2152</v>
      </c>
      <c r="C158" t="s">
        <v>2153</v>
      </c>
      <c r="D158">
        <v>4</v>
      </c>
      <c r="E158">
        <v>3</v>
      </c>
      <c r="F158">
        <v>44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7"/>
        <v>0</v>
      </c>
      <c r="Q158">
        <f t="shared" si="8"/>
        <v>0</v>
      </c>
    </row>
    <row r="159" spans="1:17" x14ac:dyDescent="0.25">
      <c r="A159" t="str">
        <f t="shared" si="6"/>
        <v>Ben Winterburn</v>
      </c>
      <c r="B159" t="s">
        <v>159</v>
      </c>
      <c r="C159" t="s">
        <v>2145</v>
      </c>
      <c r="D159">
        <v>4</v>
      </c>
      <c r="E159">
        <v>3</v>
      </c>
      <c r="F159">
        <v>45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3</v>
      </c>
      <c r="O159">
        <v>0</v>
      </c>
      <c r="P159">
        <f t="shared" si="7"/>
        <v>0</v>
      </c>
      <c r="Q159">
        <f t="shared" si="8"/>
        <v>0</v>
      </c>
    </row>
    <row r="160" spans="1:17" x14ac:dyDescent="0.25">
      <c r="A160" t="str">
        <f t="shared" si="6"/>
        <v>Francisco Evanilson de Lima Barbosa</v>
      </c>
      <c r="B160" t="s">
        <v>171</v>
      </c>
      <c r="C160" t="s">
        <v>172</v>
      </c>
      <c r="D160">
        <v>4</v>
      </c>
      <c r="E160">
        <v>4</v>
      </c>
      <c r="F160">
        <v>66</v>
      </c>
      <c r="G160">
        <v>2741</v>
      </c>
      <c r="H160">
        <v>32</v>
      </c>
      <c r="I160">
        <v>6</v>
      </c>
      <c r="J160">
        <v>7</v>
      </c>
      <c r="K160">
        <v>10.64</v>
      </c>
      <c r="L160">
        <v>1.48</v>
      </c>
      <c r="M160">
        <v>115</v>
      </c>
      <c r="N160">
        <v>412</v>
      </c>
      <c r="O160">
        <v>135</v>
      </c>
      <c r="P160">
        <f t="shared" si="7"/>
        <v>0.34936154688070048</v>
      </c>
      <c r="Q160">
        <f t="shared" si="8"/>
        <v>4.8595403137541043E-2</v>
      </c>
    </row>
    <row r="161" spans="1:17" x14ac:dyDescent="0.25">
      <c r="A161" t="str">
        <f t="shared" si="6"/>
        <v>Enes Ünal</v>
      </c>
      <c r="B161" t="s">
        <v>173</v>
      </c>
      <c r="C161" t="s">
        <v>174</v>
      </c>
      <c r="D161">
        <v>4</v>
      </c>
      <c r="E161">
        <v>4</v>
      </c>
      <c r="F161">
        <v>54</v>
      </c>
      <c r="G161">
        <v>214</v>
      </c>
      <c r="H161">
        <v>0</v>
      </c>
      <c r="I161">
        <v>1</v>
      </c>
      <c r="J161">
        <v>0</v>
      </c>
      <c r="K161">
        <v>2</v>
      </c>
      <c r="L161">
        <v>7.0000000000000007E-2</v>
      </c>
      <c r="M161">
        <v>27</v>
      </c>
      <c r="N161">
        <v>83</v>
      </c>
      <c r="O161">
        <v>23</v>
      </c>
      <c r="P161">
        <f t="shared" si="7"/>
        <v>0.84112149532710279</v>
      </c>
      <c r="Q161">
        <f t="shared" si="8"/>
        <v>2.9439252336448601E-2</v>
      </c>
    </row>
    <row r="162" spans="1:17" x14ac:dyDescent="0.25">
      <c r="A162" t="str">
        <f t="shared" si="6"/>
        <v>Daniel Adu-Adjei</v>
      </c>
      <c r="B162" t="s">
        <v>416</v>
      </c>
      <c r="C162" t="s">
        <v>2151</v>
      </c>
      <c r="D162">
        <v>4</v>
      </c>
      <c r="E162">
        <v>4</v>
      </c>
      <c r="F162">
        <v>44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f t="shared" si="7"/>
        <v>0</v>
      </c>
      <c r="Q162">
        <f t="shared" si="8"/>
        <v>0</v>
      </c>
    </row>
    <row r="163" spans="1:17" x14ac:dyDescent="0.25">
      <c r="A163" t="str">
        <f t="shared" si="6"/>
        <v>Junior Kroupi</v>
      </c>
      <c r="B163" t="s">
        <v>169</v>
      </c>
      <c r="C163" t="s">
        <v>170</v>
      </c>
      <c r="D163">
        <v>4</v>
      </c>
      <c r="E163">
        <v>4</v>
      </c>
      <c r="F163">
        <v>47</v>
      </c>
      <c r="G163">
        <v>1663</v>
      </c>
      <c r="H163">
        <v>21</v>
      </c>
      <c r="I163">
        <v>13</v>
      </c>
      <c r="J163">
        <v>0</v>
      </c>
      <c r="K163">
        <v>8.31</v>
      </c>
      <c r="L163">
        <v>1.51</v>
      </c>
      <c r="M163">
        <v>113</v>
      </c>
      <c r="N163">
        <v>480</v>
      </c>
      <c r="O163">
        <v>112</v>
      </c>
      <c r="P163">
        <f t="shared" si="7"/>
        <v>0.44972940469031875</v>
      </c>
      <c r="Q163">
        <f t="shared" si="8"/>
        <v>8.1719783523752254E-2</v>
      </c>
    </row>
    <row r="164" spans="1:17" x14ac:dyDescent="0.25">
      <c r="A164" t="str">
        <f t="shared" si="6"/>
        <v>Ben Gannon-Doak</v>
      </c>
      <c r="B164" t="s">
        <v>159</v>
      </c>
      <c r="C164" t="s">
        <v>160</v>
      </c>
      <c r="D164">
        <v>4</v>
      </c>
      <c r="E164">
        <v>3</v>
      </c>
      <c r="F164">
        <v>48</v>
      </c>
      <c r="G164">
        <v>105</v>
      </c>
      <c r="H164">
        <v>0</v>
      </c>
      <c r="I164">
        <v>0</v>
      </c>
      <c r="J164">
        <v>1</v>
      </c>
      <c r="K164">
        <v>0.26</v>
      </c>
      <c r="L164">
        <v>0.13</v>
      </c>
      <c r="M164">
        <v>11</v>
      </c>
      <c r="N164">
        <v>33</v>
      </c>
      <c r="O164">
        <v>13</v>
      </c>
      <c r="P164">
        <f t="shared" si="7"/>
        <v>0.22285714285714289</v>
      </c>
      <c r="Q164">
        <f t="shared" si="8"/>
        <v>0.11142857142857145</v>
      </c>
    </row>
    <row r="165" spans="1:17" x14ac:dyDescent="0.25">
      <c r="A165" t="str">
        <f t="shared" si="6"/>
        <v>Bafodé Diakité</v>
      </c>
      <c r="B165" t="s">
        <v>139</v>
      </c>
      <c r="C165" t="s">
        <v>140</v>
      </c>
      <c r="D165">
        <v>4</v>
      </c>
      <c r="E165">
        <v>2</v>
      </c>
      <c r="F165">
        <v>41</v>
      </c>
      <c r="G165">
        <v>1275</v>
      </c>
      <c r="H165">
        <v>15</v>
      </c>
      <c r="I165">
        <v>0</v>
      </c>
      <c r="J165">
        <v>0</v>
      </c>
      <c r="K165">
        <v>0.02</v>
      </c>
      <c r="L165">
        <v>0.19</v>
      </c>
      <c r="M165">
        <v>46</v>
      </c>
      <c r="N165">
        <v>164</v>
      </c>
      <c r="O165">
        <v>117</v>
      </c>
      <c r="P165">
        <f t="shared" si="7"/>
        <v>1.4117647058823528E-3</v>
      </c>
      <c r="Q165">
        <f t="shared" si="8"/>
        <v>1.3411764705882352E-2</v>
      </c>
    </row>
    <row r="166" spans="1:17" x14ac:dyDescent="0.25">
      <c r="A166" t="str">
        <f t="shared" si="6"/>
        <v>Remy Rees-Dottin</v>
      </c>
      <c r="B166" t="s">
        <v>2146</v>
      </c>
      <c r="C166" t="s">
        <v>2147</v>
      </c>
      <c r="D166">
        <v>4</v>
      </c>
      <c r="E166">
        <v>3</v>
      </c>
      <c r="F166">
        <v>43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f t="shared" si="7"/>
        <v>0</v>
      </c>
      <c r="Q166">
        <f t="shared" si="8"/>
        <v>0</v>
      </c>
    </row>
    <row r="167" spans="1:17" x14ac:dyDescent="0.25">
      <c r="A167" t="str">
        <f t="shared" si="6"/>
        <v>Amine Adli</v>
      </c>
      <c r="B167" t="s">
        <v>167</v>
      </c>
      <c r="C167" t="s">
        <v>168</v>
      </c>
      <c r="D167">
        <v>4</v>
      </c>
      <c r="E167">
        <v>3</v>
      </c>
      <c r="F167">
        <v>54</v>
      </c>
      <c r="G167">
        <v>1074</v>
      </c>
      <c r="H167">
        <v>10</v>
      </c>
      <c r="I167">
        <v>3</v>
      </c>
      <c r="J167">
        <v>2</v>
      </c>
      <c r="K167">
        <v>2.6</v>
      </c>
      <c r="L167">
        <v>1.62</v>
      </c>
      <c r="M167">
        <v>67</v>
      </c>
      <c r="N167">
        <v>241</v>
      </c>
      <c r="O167">
        <v>123</v>
      </c>
      <c r="P167">
        <f t="shared" si="7"/>
        <v>0.21787709497206703</v>
      </c>
      <c r="Q167">
        <f t="shared" si="8"/>
        <v>0.13575418994413407</v>
      </c>
    </row>
    <row r="168" spans="1:17" x14ac:dyDescent="0.25">
      <c r="A168" t="str">
        <f t="shared" si="6"/>
        <v>Álex Jiménez Sánchez</v>
      </c>
      <c r="B168" t="s">
        <v>2305</v>
      </c>
      <c r="C168" t="s">
        <v>2426</v>
      </c>
      <c r="D168">
        <v>4</v>
      </c>
      <c r="E168">
        <v>2</v>
      </c>
      <c r="F168">
        <v>45</v>
      </c>
      <c r="G168">
        <v>2315</v>
      </c>
      <c r="H168">
        <v>26</v>
      </c>
      <c r="I168">
        <v>1</v>
      </c>
      <c r="J168">
        <v>2</v>
      </c>
      <c r="K168">
        <v>1.0900000000000001</v>
      </c>
      <c r="L168">
        <v>1.73</v>
      </c>
      <c r="M168">
        <v>74</v>
      </c>
      <c r="N168">
        <v>297</v>
      </c>
      <c r="O168">
        <v>148</v>
      </c>
      <c r="P168">
        <f t="shared" si="7"/>
        <v>4.2375809935205185E-2</v>
      </c>
      <c r="Q168">
        <f t="shared" si="8"/>
        <v>6.725701943844492E-2</v>
      </c>
    </row>
    <row r="169" spans="1:17" x14ac:dyDescent="0.25">
      <c r="A169" t="str">
        <f t="shared" si="6"/>
        <v>Veljko Milosavljevic</v>
      </c>
      <c r="B169" t="s">
        <v>141</v>
      </c>
      <c r="C169" t="s">
        <v>142</v>
      </c>
      <c r="D169">
        <v>4</v>
      </c>
      <c r="E169">
        <v>2</v>
      </c>
      <c r="F169">
        <v>44</v>
      </c>
      <c r="G169">
        <v>367</v>
      </c>
      <c r="H169">
        <v>4</v>
      </c>
      <c r="I169">
        <v>0</v>
      </c>
      <c r="J169">
        <v>0</v>
      </c>
      <c r="K169">
        <v>0.15</v>
      </c>
      <c r="L169">
        <v>0.19</v>
      </c>
      <c r="M169">
        <v>19</v>
      </c>
      <c r="N169">
        <v>63</v>
      </c>
      <c r="O169">
        <v>39</v>
      </c>
      <c r="P169">
        <f t="shared" si="7"/>
        <v>3.6784741144414164E-2</v>
      </c>
      <c r="Q169">
        <f t="shared" si="8"/>
        <v>4.6594005449591289E-2</v>
      </c>
    </row>
    <row r="170" spans="1:17" x14ac:dyDescent="0.25">
      <c r="A170" t="str">
        <f t="shared" si="6"/>
        <v>Malcom DaCosta</v>
      </c>
      <c r="B170" t="s">
        <v>2427</v>
      </c>
      <c r="C170" t="s">
        <v>2428</v>
      </c>
      <c r="D170">
        <v>4</v>
      </c>
      <c r="E170">
        <v>3</v>
      </c>
      <c r="F170">
        <v>45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f t="shared" si="7"/>
        <v>0</v>
      </c>
      <c r="Q170">
        <f t="shared" si="8"/>
        <v>0</v>
      </c>
    </row>
    <row r="171" spans="1:17" x14ac:dyDescent="0.25">
      <c r="A171" t="str">
        <f t="shared" si="6"/>
        <v>Fraser Forster</v>
      </c>
      <c r="B171" t="s">
        <v>131</v>
      </c>
      <c r="C171" t="s">
        <v>132</v>
      </c>
      <c r="D171">
        <v>4</v>
      </c>
      <c r="E171">
        <v>1</v>
      </c>
      <c r="F171">
        <v>40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f t="shared" si="7"/>
        <v>0</v>
      </c>
      <c r="Q171">
        <f t="shared" si="8"/>
        <v>0</v>
      </c>
    </row>
    <row r="172" spans="1:17" x14ac:dyDescent="0.25">
      <c r="A172" t="str">
        <f t="shared" si="6"/>
        <v>Charlie Stevens</v>
      </c>
      <c r="B172" t="s">
        <v>548</v>
      </c>
      <c r="C172" t="s">
        <v>2429</v>
      </c>
      <c r="D172">
        <v>4</v>
      </c>
      <c r="E172">
        <v>3</v>
      </c>
      <c r="F172">
        <v>45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f t="shared" si="7"/>
        <v>0</v>
      </c>
      <c r="Q172">
        <f t="shared" si="8"/>
        <v>0</v>
      </c>
    </row>
    <row r="173" spans="1:17" x14ac:dyDescent="0.25">
      <c r="A173" t="str">
        <f t="shared" si="6"/>
        <v>Alex Tóth</v>
      </c>
      <c r="B173" t="s">
        <v>153</v>
      </c>
      <c r="C173" t="s">
        <v>166</v>
      </c>
      <c r="D173">
        <v>4</v>
      </c>
      <c r="E173">
        <v>3</v>
      </c>
      <c r="F173">
        <v>49</v>
      </c>
      <c r="G173">
        <v>135</v>
      </c>
      <c r="H173">
        <v>2</v>
      </c>
      <c r="I173">
        <v>0</v>
      </c>
      <c r="J173">
        <v>0</v>
      </c>
      <c r="K173">
        <v>0.11</v>
      </c>
      <c r="L173">
        <v>0.33</v>
      </c>
      <c r="M173">
        <v>8</v>
      </c>
      <c r="N173">
        <v>32</v>
      </c>
      <c r="O173">
        <v>17</v>
      </c>
      <c r="P173">
        <f t="shared" si="7"/>
        <v>7.3333333333333334E-2</v>
      </c>
      <c r="Q173">
        <f t="shared" si="8"/>
        <v>0.22</v>
      </c>
    </row>
    <row r="174" spans="1:17" x14ac:dyDescent="0.25">
      <c r="A174" t="str">
        <f t="shared" si="6"/>
        <v>Christos Mandas</v>
      </c>
      <c r="B174" t="s">
        <v>72</v>
      </c>
      <c r="C174" t="s">
        <v>2430</v>
      </c>
      <c r="D174">
        <v>4</v>
      </c>
      <c r="E174">
        <v>1</v>
      </c>
      <c r="F174">
        <v>40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f t="shared" si="7"/>
        <v>0</v>
      </c>
      <c r="Q174">
        <f t="shared" si="8"/>
        <v>0</v>
      </c>
    </row>
    <row r="175" spans="1:17" x14ac:dyDescent="0.25">
      <c r="A175" t="str">
        <f t="shared" si="6"/>
        <v>Rayan Vitor Simplício Rocha</v>
      </c>
      <c r="B175" t="s">
        <v>149</v>
      </c>
      <c r="C175" t="s">
        <v>150</v>
      </c>
      <c r="D175">
        <v>4</v>
      </c>
      <c r="E175">
        <v>3</v>
      </c>
      <c r="F175">
        <v>54</v>
      </c>
      <c r="G175">
        <v>1110</v>
      </c>
      <c r="H175">
        <v>13</v>
      </c>
      <c r="I175">
        <v>5</v>
      </c>
      <c r="J175">
        <v>2</v>
      </c>
      <c r="K175">
        <v>2.67</v>
      </c>
      <c r="L175">
        <v>1.84</v>
      </c>
      <c r="M175">
        <v>67</v>
      </c>
      <c r="N175">
        <v>238</v>
      </c>
      <c r="O175">
        <v>82</v>
      </c>
      <c r="P175">
        <f t="shared" si="7"/>
        <v>0.21648648648648647</v>
      </c>
      <c r="Q175">
        <f t="shared" si="8"/>
        <v>0.14918918918918919</v>
      </c>
    </row>
    <row r="176" spans="1:17" x14ac:dyDescent="0.25">
      <c r="A176" t="str">
        <f t="shared" si="6"/>
        <v>Reiss Nelson</v>
      </c>
      <c r="B176" t="s">
        <v>63</v>
      </c>
      <c r="C176" t="s">
        <v>64</v>
      </c>
      <c r="D176">
        <v>5</v>
      </c>
      <c r="E176">
        <v>3</v>
      </c>
      <c r="F176">
        <v>48</v>
      </c>
      <c r="G176">
        <v>118</v>
      </c>
      <c r="H176">
        <v>0</v>
      </c>
      <c r="I176">
        <v>0</v>
      </c>
      <c r="J176">
        <v>1</v>
      </c>
      <c r="K176">
        <v>0.71</v>
      </c>
      <c r="L176">
        <v>0.11</v>
      </c>
      <c r="M176">
        <v>13</v>
      </c>
      <c r="N176">
        <v>39</v>
      </c>
      <c r="O176">
        <v>23</v>
      </c>
      <c r="P176">
        <f t="shared" si="7"/>
        <v>0.54152542372881352</v>
      </c>
      <c r="Q176">
        <f t="shared" si="8"/>
        <v>8.3898305084745772E-2</v>
      </c>
    </row>
    <row r="177" spans="1:17" x14ac:dyDescent="0.25">
      <c r="A177" t="str">
        <f t="shared" si="6"/>
        <v>Dango Ouattara</v>
      </c>
      <c r="B177" t="s">
        <v>206</v>
      </c>
      <c r="C177" t="s">
        <v>207</v>
      </c>
      <c r="D177">
        <v>5</v>
      </c>
      <c r="E177">
        <v>3</v>
      </c>
      <c r="F177">
        <v>56</v>
      </c>
      <c r="G177">
        <v>2271</v>
      </c>
      <c r="H177">
        <v>25</v>
      </c>
      <c r="I177">
        <v>7</v>
      </c>
      <c r="J177">
        <v>8</v>
      </c>
      <c r="K177">
        <v>7.94</v>
      </c>
      <c r="L177">
        <v>4.12</v>
      </c>
      <c r="M177">
        <v>136</v>
      </c>
      <c r="N177">
        <v>429</v>
      </c>
      <c r="O177">
        <v>185</v>
      </c>
      <c r="P177">
        <f t="shared" si="7"/>
        <v>0.31466314398943201</v>
      </c>
      <c r="Q177">
        <f t="shared" si="8"/>
        <v>0.16327608982826949</v>
      </c>
    </row>
    <row r="178" spans="1:17" x14ac:dyDescent="0.25">
      <c r="A178" t="str">
        <f t="shared" si="6"/>
        <v>Caoimhín Kelleher</v>
      </c>
      <c r="B178" t="s">
        <v>181</v>
      </c>
      <c r="C178" t="s">
        <v>182</v>
      </c>
      <c r="D178">
        <v>5</v>
      </c>
      <c r="E178">
        <v>1</v>
      </c>
      <c r="F178">
        <v>48</v>
      </c>
      <c r="G178">
        <v>3330</v>
      </c>
      <c r="H178">
        <v>37</v>
      </c>
      <c r="I178">
        <v>0</v>
      </c>
      <c r="J178">
        <v>0</v>
      </c>
      <c r="K178">
        <v>0</v>
      </c>
      <c r="L178">
        <v>0.22</v>
      </c>
      <c r="M178">
        <v>143</v>
      </c>
      <c r="N178">
        <v>570</v>
      </c>
      <c r="O178">
        <v>0</v>
      </c>
      <c r="P178">
        <f t="shared" si="7"/>
        <v>0</v>
      </c>
      <c r="Q178">
        <f t="shared" si="8"/>
        <v>5.9459459459459459E-3</v>
      </c>
    </row>
    <row r="179" spans="1:17" x14ac:dyDescent="0.25">
      <c r="A179" t="str">
        <f t="shared" si="6"/>
        <v>Ellery Balcombe</v>
      </c>
      <c r="B179" t="s">
        <v>1381</v>
      </c>
      <c r="C179" t="s">
        <v>1382</v>
      </c>
      <c r="D179">
        <v>5</v>
      </c>
      <c r="E179">
        <v>1</v>
      </c>
      <c r="F179">
        <v>39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f t="shared" si="7"/>
        <v>0</v>
      </c>
      <c r="Q179">
        <f t="shared" si="8"/>
        <v>0</v>
      </c>
    </row>
    <row r="180" spans="1:17" x14ac:dyDescent="0.25">
      <c r="A180" t="str">
        <f t="shared" si="6"/>
        <v>Matthew Cox</v>
      </c>
      <c r="B180" t="s">
        <v>1390</v>
      </c>
      <c r="C180" t="s">
        <v>1391</v>
      </c>
      <c r="D180">
        <v>5</v>
      </c>
      <c r="E180">
        <v>1</v>
      </c>
      <c r="F180">
        <v>39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f t="shared" si="7"/>
        <v>0</v>
      </c>
      <c r="Q180">
        <f t="shared" si="8"/>
        <v>0</v>
      </c>
    </row>
    <row r="181" spans="1:17" x14ac:dyDescent="0.25">
      <c r="A181" t="str">
        <f t="shared" si="6"/>
        <v>Julian Eyestone</v>
      </c>
      <c r="B181" t="s">
        <v>2163</v>
      </c>
      <c r="C181" t="s">
        <v>2164</v>
      </c>
      <c r="D181">
        <v>5</v>
      </c>
      <c r="E181">
        <v>1</v>
      </c>
      <c r="F181">
        <v>39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f t="shared" si="7"/>
        <v>0</v>
      </c>
      <c r="Q181">
        <f t="shared" si="8"/>
        <v>0</v>
      </c>
    </row>
    <row r="182" spans="1:17" x14ac:dyDescent="0.25">
      <c r="A182" t="str">
        <f t="shared" si="6"/>
        <v>Hákon Rafn Valdimarsson</v>
      </c>
      <c r="B182" t="s">
        <v>183</v>
      </c>
      <c r="C182" t="s">
        <v>184</v>
      </c>
      <c r="D182">
        <v>5</v>
      </c>
      <c r="E182">
        <v>1</v>
      </c>
      <c r="F182">
        <v>38</v>
      </c>
      <c r="G182">
        <v>90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f t="shared" si="7"/>
        <v>0</v>
      </c>
      <c r="Q182">
        <f t="shared" si="8"/>
        <v>0</v>
      </c>
    </row>
    <row r="183" spans="1:17" x14ac:dyDescent="0.25">
      <c r="A183" t="str">
        <f t="shared" si="6"/>
        <v>Nathan Collins</v>
      </c>
      <c r="B183" t="s">
        <v>185</v>
      </c>
      <c r="C183" t="s">
        <v>186</v>
      </c>
      <c r="D183">
        <v>5</v>
      </c>
      <c r="E183">
        <v>2</v>
      </c>
      <c r="F183">
        <v>49</v>
      </c>
      <c r="G183">
        <v>2971</v>
      </c>
      <c r="H183">
        <v>32</v>
      </c>
      <c r="I183">
        <v>1</v>
      </c>
      <c r="J183">
        <v>2</v>
      </c>
      <c r="K183">
        <v>2.2400000000000002</v>
      </c>
      <c r="L183">
        <v>1.71</v>
      </c>
      <c r="M183">
        <v>129</v>
      </c>
      <c r="N183">
        <v>450</v>
      </c>
      <c r="O183">
        <v>319</v>
      </c>
      <c r="P183">
        <f t="shared" si="7"/>
        <v>6.7855940760686642E-2</v>
      </c>
      <c r="Q183">
        <f t="shared" si="8"/>
        <v>5.180074049141703E-2</v>
      </c>
    </row>
    <row r="184" spans="1:17" x14ac:dyDescent="0.25">
      <c r="A184" t="str">
        <f t="shared" si="6"/>
        <v>Keane Lewis-Potter</v>
      </c>
      <c r="B184" t="s">
        <v>189</v>
      </c>
      <c r="C184" t="s">
        <v>190</v>
      </c>
      <c r="D184">
        <v>5</v>
      </c>
      <c r="E184">
        <v>2</v>
      </c>
      <c r="F184">
        <v>48</v>
      </c>
      <c r="G184">
        <v>1960</v>
      </c>
      <c r="H184">
        <v>22</v>
      </c>
      <c r="I184">
        <v>3</v>
      </c>
      <c r="J184">
        <v>4</v>
      </c>
      <c r="K184">
        <v>3.01</v>
      </c>
      <c r="L184">
        <v>2.5099999999999998</v>
      </c>
      <c r="M184">
        <v>115</v>
      </c>
      <c r="N184">
        <v>356</v>
      </c>
      <c r="O184">
        <v>74</v>
      </c>
      <c r="P184">
        <f t="shared" si="7"/>
        <v>0.13821428571428571</v>
      </c>
      <c r="Q184">
        <f t="shared" si="8"/>
        <v>0.11525510204081632</v>
      </c>
    </row>
    <row r="185" spans="1:17" x14ac:dyDescent="0.25">
      <c r="A185" t="str">
        <f t="shared" si="6"/>
        <v>Kristoffer Ajer</v>
      </c>
      <c r="B185" t="s">
        <v>191</v>
      </c>
      <c r="C185" t="s">
        <v>192</v>
      </c>
      <c r="D185">
        <v>5</v>
      </c>
      <c r="E185">
        <v>2</v>
      </c>
      <c r="F185">
        <v>44</v>
      </c>
      <c r="G185">
        <v>1805</v>
      </c>
      <c r="H185">
        <v>20</v>
      </c>
      <c r="I185">
        <v>0</v>
      </c>
      <c r="J185">
        <v>2</v>
      </c>
      <c r="K185">
        <v>0.69</v>
      </c>
      <c r="L185">
        <v>0.73</v>
      </c>
      <c r="M185">
        <v>76</v>
      </c>
      <c r="N185">
        <v>211</v>
      </c>
      <c r="O185">
        <v>192</v>
      </c>
      <c r="P185">
        <f t="shared" si="7"/>
        <v>3.4404432132963986E-2</v>
      </c>
      <c r="Q185">
        <f t="shared" si="8"/>
        <v>3.6398891966759002E-2</v>
      </c>
    </row>
    <row r="186" spans="1:17" x14ac:dyDescent="0.25">
      <c r="A186" t="str">
        <f t="shared" si="6"/>
        <v>Rico Henry</v>
      </c>
      <c r="B186" t="s">
        <v>195</v>
      </c>
      <c r="C186" t="s">
        <v>196</v>
      </c>
      <c r="D186">
        <v>5</v>
      </c>
      <c r="E186">
        <v>2</v>
      </c>
      <c r="F186">
        <v>43</v>
      </c>
      <c r="G186">
        <v>1322</v>
      </c>
      <c r="H186">
        <v>14</v>
      </c>
      <c r="I186">
        <v>0</v>
      </c>
      <c r="J186">
        <v>2</v>
      </c>
      <c r="K186">
        <v>0.18</v>
      </c>
      <c r="L186">
        <v>0.54</v>
      </c>
      <c r="M186">
        <v>52</v>
      </c>
      <c r="N186">
        <v>144</v>
      </c>
      <c r="O186">
        <v>68</v>
      </c>
      <c r="P186">
        <f t="shared" si="7"/>
        <v>1.2254160363086233E-2</v>
      </c>
      <c r="Q186">
        <f t="shared" si="8"/>
        <v>3.6762481089258704E-2</v>
      </c>
    </row>
    <row r="187" spans="1:17" x14ac:dyDescent="0.25">
      <c r="A187" t="str">
        <f t="shared" si="6"/>
        <v>Michael Kayode</v>
      </c>
      <c r="B187" t="s">
        <v>193</v>
      </c>
      <c r="C187" t="s">
        <v>194</v>
      </c>
      <c r="D187">
        <v>5</v>
      </c>
      <c r="E187">
        <v>2</v>
      </c>
      <c r="F187">
        <v>46</v>
      </c>
      <c r="G187">
        <v>3258</v>
      </c>
      <c r="H187">
        <v>37</v>
      </c>
      <c r="I187">
        <v>1</v>
      </c>
      <c r="J187">
        <v>2</v>
      </c>
      <c r="K187">
        <v>1.28</v>
      </c>
      <c r="L187">
        <v>2.89</v>
      </c>
      <c r="M187">
        <v>113</v>
      </c>
      <c r="N187">
        <v>494</v>
      </c>
      <c r="O187">
        <v>219</v>
      </c>
      <c r="P187">
        <f t="shared" si="7"/>
        <v>3.535911602209945E-2</v>
      </c>
      <c r="Q187">
        <f t="shared" si="8"/>
        <v>7.9834254143646421E-2</v>
      </c>
    </row>
    <row r="188" spans="1:17" x14ac:dyDescent="0.25">
      <c r="A188" t="str">
        <f t="shared" si="6"/>
        <v>Ethan Pinnock</v>
      </c>
      <c r="B188" t="s">
        <v>59</v>
      </c>
      <c r="C188" t="s">
        <v>199</v>
      </c>
      <c r="D188">
        <v>5</v>
      </c>
      <c r="E188">
        <v>2</v>
      </c>
      <c r="F188">
        <v>42</v>
      </c>
      <c r="G188">
        <v>318</v>
      </c>
      <c r="H188">
        <v>4</v>
      </c>
      <c r="I188">
        <v>0</v>
      </c>
      <c r="J188">
        <v>0</v>
      </c>
      <c r="K188">
        <v>0.01</v>
      </c>
      <c r="L188">
        <v>0.06</v>
      </c>
      <c r="M188">
        <v>14</v>
      </c>
      <c r="N188">
        <v>53</v>
      </c>
      <c r="O188">
        <v>42</v>
      </c>
      <c r="P188">
        <f t="shared" si="7"/>
        <v>2.8301886792452828E-3</v>
      </c>
      <c r="Q188">
        <f t="shared" si="8"/>
        <v>1.6981132075471698E-2</v>
      </c>
    </row>
    <row r="189" spans="1:17" x14ac:dyDescent="0.25">
      <c r="A189" t="str">
        <f t="shared" si="6"/>
        <v>Mads Roerslev Rasmussen</v>
      </c>
      <c r="B189" t="s">
        <v>1385</v>
      </c>
      <c r="C189" t="s">
        <v>1397</v>
      </c>
      <c r="D189">
        <v>5</v>
      </c>
      <c r="E189">
        <v>2</v>
      </c>
      <c r="F189">
        <v>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f t="shared" si="7"/>
        <v>0</v>
      </c>
      <c r="Q189">
        <f t="shared" si="8"/>
        <v>0</v>
      </c>
    </row>
    <row r="190" spans="1:17" x14ac:dyDescent="0.25">
      <c r="A190" t="str">
        <f t="shared" si="6"/>
        <v>Sepp van den Berg</v>
      </c>
      <c r="B190" t="s">
        <v>187</v>
      </c>
      <c r="C190" t="s">
        <v>188</v>
      </c>
      <c r="D190">
        <v>5</v>
      </c>
      <c r="E190">
        <v>2</v>
      </c>
      <c r="F190">
        <v>44</v>
      </c>
      <c r="G190">
        <v>2761</v>
      </c>
      <c r="H190">
        <v>30</v>
      </c>
      <c r="I190">
        <v>0</v>
      </c>
      <c r="J190">
        <v>3</v>
      </c>
      <c r="K190">
        <v>3.36</v>
      </c>
      <c r="L190">
        <v>1.45</v>
      </c>
      <c r="M190">
        <v>113</v>
      </c>
      <c r="N190">
        <v>435</v>
      </c>
      <c r="O190">
        <v>272</v>
      </c>
      <c r="P190">
        <f t="shared" si="7"/>
        <v>0.10952553422672945</v>
      </c>
      <c r="Q190">
        <f t="shared" si="8"/>
        <v>4.7265483520463593E-2</v>
      </c>
    </row>
    <row r="191" spans="1:17" x14ac:dyDescent="0.25">
      <c r="A191" t="str">
        <f t="shared" si="6"/>
        <v>Benjamin Arthur</v>
      </c>
      <c r="B191" t="s">
        <v>38</v>
      </c>
      <c r="C191" t="s">
        <v>1002</v>
      </c>
      <c r="D191">
        <v>5</v>
      </c>
      <c r="E191">
        <v>2</v>
      </c>
      <c r="F191">
        <v>38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f t="shared" si="7"/>
        <v>0</v>
      </c>
      <c r="Q191">
        <f t="shared" si="8"/>
        <v>0</v>
      </c>
    </row>
    <row r="192" spans="1:17" x14ac:dyDescent="0.25">
      <c r="A192" t="str">
        <f t="shared" si="6"/>
        <v>Benjamin Fredrick</v>
      </c>
      <c r="B192" t="s">
        <v>38</v>
      </c>
      <c r="C192" t="s">
        <v>1419</v>
      </c>
      <c r="D192">
        <v>5</v>
      </c>
      <c r="E192">
        <v>2</v>
      </c>
      <c r="F192">
        <v>40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f t="shared" si="7"/>
        <v>0</v>
      </c>
      <c r="Q192">
        <f t="shared" si="8"/>
        <v>0</v>
      </c>
    </row>
    <row r="193" spans="1:17" x14ac:dyDescent="0.25">
      <c r="A193" t="str">
        <f t="shared" si="6"/>
        <v>Aaron Hickey</v>
      </c>
      <c r="B193" t="s">
        <v>197</v>
      </c>
      <c r="C193" t="s">
        <v>198</v>
      </c>
      <c r="D193">
        <v>5</v>
      </c>
      <c r="E193">
        <v>2</v>
      </c>
      <c r="F193">
        <v>40</v>
      </c>
      <c r="G193">
        <v>679</v>
      </c>
      <c r="H193">
        <v>8</v>
      </c>
      <c r="I193">
        <v>0</v>
      </c>
      <c r="J193">
        <v>0</v>
      </c>
      <c r="K193">
        <v>0.44</v>
      </c>
      <c r="L193">
        <v>0.17</v>
      </c>
      <c r="M193">
        <v>37</v>
      </c>
      <c r="N193">
        <v>105</v>
      </c>
      <c r="O193">
        <v>51</v>
      </c>
      <c r="P193">
        <f t="shared" si="7"/>
        <v>5.8321060382916054E-2</v>
      </c>
      <c r="Q193">
        <f t="shared" si="8"/>
        <v>2.2533136966126657E-2</v>
      </c>
    </row>
    <row r="194" spans="1:17" x14ac:dyDescent="0.25">
      <c r="A194" t="str">
        <f t="shared" ref="A194:A257" si="9">_xlfn.CONCAT(B194, " ", C194)</f>
        <v>Kim Ji-soo</v>
      </c>
      <c r="B194" t="s">
        <v>200</v>
      </c>
      <c r="C194" t="s">
        <v>201</v>
      </c>
      <c r="D194">
        <v>5</v>
      </c>
      <c r="E194">
        <v>2</v>
      </c>
      <c r="F194">
        <v>39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f t="shared" ref="P194:P257" si="10">IFERROR(K194/G194*90,0)</f>
        <v>0</v>
      </c>
      <c r="Q194">
        <f t="shared" ref="Q194:Q257" si="11">IFERROR(L194/G194*90,0)</f>
        <v>0</v>
      </c>
    </row>
    <row r="195" spans="1:17" x14ac:dyDescent="0.25">
      <c r="A195" t="str">
        <f t="shared" si="9"/>
        <v>Jayden Meghoma</v>
      </c>
      <c r="B195" t="s">
        <v>659</v>
      </c>
      <c r="C195" t="s">
        <v>2158</v>
      </c>
      <c r="D195">
        <v>5</v>
      </c>
      <c r="E195">
        <v>2</v>
      </c>
      <c r="F195">
        <v>40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f t="shared" si="10"/>
        <v>0</v>
      </c>
      <c r="Q195">
        <f t="shared" si="11"/>
        <v>0</v>
      </c>
    </row>
    <row r="196" spans="1:17" x14ac:dyDescent="0.25">
      <c r="A196" t="str">
        <f t="shared" si="9"/>
        <v>Kevin Schade</v>
      </c>
      <c r="B196" t="s">
        <v>204</v>
      </c>
      <c r="C196" t="s">
        <v>205</v>
      </c>
      <c r="D196">
        <v>5</v>
      </c>
      <c r="E196">
        <v>3</v>
      </c>
      <c r="F196">
        <v>68</v>
      </c>
      <c r="G196">
        <v>2744</v>
      </c>
      <c r="H196">
        <v>32</v>
      </c>
      <c r="I196">
        <v>8</v>
      </c>
      <c r="J196">
        <v>5</v>
      </c>
      <c r="K196">
        <v>12.08</v>
      </c>
      <c r="L196">
        <v>2.0499999999999998</v>
      </c>
      <c r="M196">
        <v>125</v>
      </c>
      <c r="N196">
        <v>385</v>
      </c>
      <c r="O196">
        <v>190</v>
      </c>
      <c r="P196">
        <f t="shared" si="10"/>
        <v>0.39620991253644317</v>
      </c>
      <c r="Q196">
        <f t="shared" si="11"/>
        <v>6.7237609329446058E-2</v>
      </c>
    </row>
    <row r="197" spans="1:17" x14ac:dyDescent="0.25">
      <c r="A197" t="str">
        <f t="shared" si="9"/>
        <v>Mikkel Damsgaard</v>
      </c>
      <c r="B197" t="s">
        <v>208</v>
      </c>
      <c r="C197" t="s">
        <v>209</v>
      </c>
      <c r="D197">
        <v>5</v>
      </c>
      <c r="E197">
        <v>3</v>
      </c>
      <c r="F197">
        <v>56</v>
      </c>
      <c r="G197">
        <v>2046</v>
      </c>
      <c r="H197">
        <v>24</v>
      </c>
      <c r="I197">
        <v>4</v>
      </c>
      <c r="J197">
        <v>4</v>
      </c>
      <c r="K197">
        <v>2.61</v>
      </c>
      <c r="L197">
        <v>5.43</v>
      </c>
      <c r="M197">
        <v>113</v>
      </c>
      <c r="N197">
        <v>467</v>
      </c>
      <c r="O197">
        <v>241</v>
      </c>
      <c r="P197">
        <f t="shared" si="10"/>
        <v>0.11480938416422286</v>
      </c>
      <c r="Q197">
        <f t="shared" si="11"/>
        <v>0.23885630498533722</v>
      </c>
    </row>
    <row r="198" spans="1:17" x14ac:dyDescent="0.25">
      <c r="A198" t="str">
        <f t="shared" si="9"/>
        <v>Antoni Milambo</v>
      </c>
      <c r="B198" t="s">
        <v>214</v>
      </c>
      <c r="C198" t="s">
        <v>215</v>
      </c>
      <c r="D198">
        <v>5</v>
      </c>
      <c r="E198">
        <v>3</v>
      </c>
      <c r="F198">
        <v>52</v>
      </c>
      <c r="G198">
        <v>45</v>
      </c>
      <c r="H198">
        <v>1</v>
      </c>
      <c r="I198">
        <v>0</v>
      </c>
      <c r="J198">
        <v>0</v>
      </c>
      <c r="K198">
        <v>0</v>
      </c>
      <c r="L198">
        <v>0.01</v>
      </c>
      <c r="M198">
        <v>1</v>
      </c>
      <c r="N198">
        <v>5</v>
      </c>
      <c r="O198">
        <v>4</v>
      </c>
      <c r="P198">
        <f t="shared" si="10"/>
        <v>0</v>
      </c>
      <c r="Q198">
        <f t="shared" si="11"/>
        <v>0.02</v>
      </c>
    </row>
    <row r="199" spans="1:17" x14ac:dyDescent="0.25">
      <c r="A199" t="str">
        <f t="shared" si="9"/>
        <v>Fábio Freitas Gouveia Carvalho</v>
      </c>
      <c r="B199" t="s">
        <v>61</v>
      </c>
      <c r="C199" t="s">
        <v>216</v>
      </c>
      <c r="D199">
        <v>5</v>
      </c>
      <c r="E199">
        <v>3</v>
      </c>
      <c r="F199">
        <v>46</v>
      </c>
      <c r="G199">
        <v>100</v>
      </c>
      <c r="H199">
        <v>1</v>
      </c>
      <c r="I199">
        <v>1</v>
      </c>
      <c r="J199">
        <v>0</v>
      </c>
      <c r="K199">
        <v>0.7</v>
      </c>
      <c r="L199">
        <v>0.03</v>
      </c>
      <c r="M199">
        <v>13</v>
      </c>
      <c r="N199">
        <v>42</v>
      </c>
      <c r="O199">
        <v>8</v>
      </c>
      <c r="P199">
        <f t="shared" si="10"/>
        <v>0.62999999999999989</v>
      </c>
      <c r="Q199">
        <f t="shared" si="11"/>
        <v>2.6999999999999996E-2</v>
      </c>
    </row>
    <row r="200" spans="1:17" x14ac:dyDescent="0.25">
      <c r="A200" t="str">
        <f t="shared" si="9"/>
        <v>Jordan Henderson</v>
      </c>
      <c r="B200" t="s">
        <v>289</v>
      </c>
      <c r="C200" t="s">
        <v>290</v>
      </c>
      <c r="D200">
        <v>5</v>
      </c>
      <c r="E200">
        <v>3</v>
      </c>
      <c r="F200">
        <v>50</v>
      </c>
      <c r="G200">
        <v>1911</v>
      </c>
      <c r="H200">
        <v>22</v>
      </c>
      <c r="I200">
        <v>1</v>
      </c>
      <c r="J200">
        <v>3</v>
      </c>
      <c r="K200">
        <v>0.33</v>
      </c>
      <c r="L200">
        <v>2.31</v>
      </c>
      <c r="M200">
        <v>76</v>
      </c>
      <c r="N200">
        <v>343</v>
      </c>
      <c r="O200">
        <v>183</v>
      </c>
      <c r="P200">
        <f t="shared" si="10"/>
        <v>1.554160125588697E-2</v>
      </c>
      <c r="Q200">
        <f t="shared" si="11"/>
        <v>0.10879120879120879</v>
      </c>
    </row>
    <row r="201" spans="1:17" x14ac:dyDescent="0.25">
      <c r="A201" t="str">
        <f t="shared" si="9"/>
        <v>Vitaly Janelt</v>
      </c>
      <c r="B201" t="s">
        <v>212</v>
      </c>
      <c r="C201" t="s">
        <v>213</v>
      </c>
      <c r="D201">
        <v>5</v>
      </c>
      <c r="E201">
        <v>3</v>
      </c>
      <c r="F201">
        <v>49</v>
      </c>
      <c r="G201">
        <v>1434</v>
      </c>
      <c r="H201">
        <v>15</v>
      </c>
      <c r="I201">
        <v>1</v>
      </c>
      <c r="J201">
        <v>4</v>
      </c>
      <c r="K201">
        <v>0.82</v>
      </c>
      <c r="L201">
        <v>2.27</v>
      </c>
      <c r="M201">
        <v>74</v>
      </c>
      <c r="N201">
        <v>334</v>
      </c>
      <c r="O201">
        <v>183</v>
      </c>
      <c r="P201">
        <f t="shared" si="10"/>
        <v>5.1464435146443506E-2</v>
      </c>
      <c r="Q201">
        <f t="shared" si="11"/>
        <v>0.14246861924686191</v>
      </c>
    </row>
    <row r="202" spans="1:17" x14ac:dyDescent="0.25">
      <c r="A202" t="str">
        <f t="shared" si="9"/>
        <v>Mathias Jensen</v>
      </c>
      <c r="B202" t="s">
        <v>210</v>
      </c>
      <c r="C202" t="s">
        <v>211</v>
      </c>
      <c r="D202">
        <v>5</v>
      </c>
      <c r="E202">
        <v>3</v>
      </c>
      <c r="F202">
        <v>49</v>
      </c>
      <c r="G202">
        <v>2239</v>
      </c>
      <c r="H202">
        <v>26</v>
      </c>
      <c r="I202">
        <v>3</v>
      </c>
      <c r="J202">
        <v>2</v>
      </c>
      <c r="K202">
        <v>2.21</v>
      </c>
      <c r="L202">
        <v>6.06</v>
      </c>
      <c r="M202">
        <v>98</v>
      </c>
      <c r="N202">
        <v>465</v>
      </c>
      <c r="O202">
        <v>220</v>
      </c>
      <c r="P202">
        <f t="shared" si="10"/>
        <v>8.8834301027244308E-2</v>
      </c>
      <c r="Q202">
        <f t="shared" si="11"/>
        <v>0.24359088878963819</v>
      </c>
    </row>
    <row r="203" spans="1:17" x14ac:dyDescent="0.25">
      <c r="A203" t="str">
        <f t="shared" si="9"/>
        <v>Gustavo Nunes Fernandes Gomes</v>
      </c>
      <c r="B203" t="s">
        <v>409</v>
      </c>
      <c r="C203" t="s">
        <v>2157</v>
      </c>
      <c r="D203">
        <v>5</v>
      </c>
      <c r="E203">
        <v>3</v>
      </c>
      <c r="F203">
        <v>49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f t="shared" si="10"/>
        <v>0</v>
      </c>
      <c r="Q203">
        <f t="shared" si="11"/>
        <v>0</v>
      </c>
    </row>
    <row r="204" spans="1:17" x14ac:dyDescent="0.25">
      <c r="A204" t="str">
        <f t="shared" si="9"/>
        <v>Frank Onyeka</v>
      </c>
      <c r="B204" t="s">
        <v>357</v>
      </c>
      <c r="C204" t="s">
        <v>358</v>
      </c>
      <c r="D204">
        <v>5</v>
      </c>
      <c r="E204">
        <v>3</v>
      </c>
      <c r="F204">
        <v>48</v>
      </c>
      <c r="G204">
        <v>88</v>
      </c>
      <c r="H204">
        <v>0</v>
      </c>
      <c r="I204">
        <v>0</v>
      </c>
      <c r="J204">
        <v>2</v>
      </c>
      <c r="K204">
        <v>0</v>
      </c>
      <c r="L204">
        <v>0.36</v>
      </c>
      <c r="M204">
        <v>12</v>
      </c>
      <c r="N204">
        <v>41</v>
      </c>
      <c r="O204">
        <v>10</v>
      </c>
      <c r="P204">
        <f t="shared" si="10"/>
        <v>0</v>
      </c>
      <c r="Q204">
        <f t="shared" si="11"/>
        <v>0.36818181818181811</v>
      </c>
    </row>
    <row r="205" spans="1:17" x14ac:dyDescent="0.25">
      <c r="A205" t="str">
        <f t="shared" si="9"/>
        <v>Yehor Yarmoliuk</v>
      </c>
      <c r="B205" t="s">
        <v>217</v>
      </c>
      <c r="C205" t="s">
        <v>218</v>
      </c>
      <c r="D205">
        <v>5</v>
      </c>
      <c r="E205">
        <v>3</v>
      </c>
      <c r="F205">
        <v>50</v>
      </c>
      <c r="G205">
        <v>2652</v>
      </c>
      <c r="H205">
        <v>30</v>
      </c>
      <c r="I205">
        <v>1</v>
      </c>
      <c r="J205">
        <v>3</v>
      </c>
      <c r="K205">
        <v>1.22</v>
      </c>
      <c r="L205">
        <v>1.39</v>
      </c>
      <c r="M205">
        <v>104</v>
      </c>
      <c r="N205">
        <v>448</v>
      </c>
      <c r="O205">
        <v>338</v>
      </c>
      <c r="P205">
        <f t="shared" si="10"/>
        <v>4.1402714932126695E-2</v>
      </c>
      <c r="Q205">
        <f t="shared" si="11"/>
        <v>4.7171945701357465E-2</v>
      </c>
    </row>
    <row r="206" spans="1:17" x14ac:dyDescent="0.25">
      <c r="A206" t="str">
        <f t="shared" si="9"/>
        <v>Romelle Donovan</v>
      </c>
      <c r="B206" t="s">
        <v>2431</v>
      </c>
      <c r="C206" t="s">
        <v>2432</v>
      </c>
      <c r="D206">
        <v>5</v>
      </c>
      <c r="E206">
        <v>3</v>
      </c>
      <c r="F206">
        <v>44</v>
      </c>
      <c r="G206">
        <v>38</v>
      </c>
      <c r="H206">
        <v>0</v>
      </c>
      <c r="I206">
        <v>0</v>
      </c>
      <c r="J206">
        <v>0</v>
      </c>
      <c r="K206">
        <v>0.09</v>
      </c>
      <c r="L206">
        <v>0.01</v>
      </c>
      <c r="M206">
        <v>4</v>
      </c>
      <c r="N206">
        <v>19</v>
      </c>
      <c r="O206">
        <v>5</v>
      </c>
      <c r="P206">
        <f t="shared" si="10"/>
        <v>0.21315789473684207</v>
      </c>
      <c r="Q206">
        <f t="shared" si="11"/>
        <v>2.368421052631579E-2</v>
      </c>
    </row>
    <row r="207" spans="1:17" x14ac:dyDescent="0.25">
      <c r="A207" t="str">
        <f t="shared" si="9"/>
        <v>Yunus Emre Konak</v>
      </c>
      <c r="B207" t="s">
        <v>2156</v>
      </c>
      <c r="C207" t="s">
        <v>1421</v>
      </c>
      <c r="D207">
        <v>5</v>
      </c>
      <c r="E207">
        <v>3</v>
      </c>
      <c r="F207">
        <v>43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f t="shared" si="10"/>
        <v>0</v>
      </c>
      <c r="Q207">
        <f t="shared" si="11"/>
        <v>0</v>
      </c>
    </row>
    <row r="208" spans="1:17" x14ac:dyDescent="0.25">
      <c r="A208" t="str">
        <f t="shared" si="9"/>
        <v>Paris Maghoma</v>
      </c>
      <c r="B208" t="s">
        <v>2161</v>
      </c>
      <c r="C208" t="s">
        <v>2162</v>
      </c>
      <c r="D208">
        <v>5</v>
      </c>
      <c r="E208">
        <v>3</v>
      </c>
      <c r="F208">
        <v>45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10"/>
        <v>0</v>
      </c>
      <c r="Q208">
        <f t="shared" si="11"/>
        <v>0</v>
      </c>
    </row>
    <row r="209" spans="1:17" x14ac:dyDescent="0.25">
      <c r="A209" t="str">
        <f t="shared" si="9"/>
        <v>Myles Peart-Harris</v>
      </c>
      <c r="B209" t="s">
        <v>32</v>
      </c>
      <c r="C209" t="s">
        <v>1415</v>
      </c>
      <c r="D209">
        <v>5</v>
      </c>
      <c r="E209">
        <v>3</v>
      </c>
      <c r="F209">
        <v>44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2</v>
      </c>
      <c r="O209">
        <v>0</v>
      </c>
      <c r="P209">
        <f t="shared" si="10"/>
        <v>0</v>
      </c>
      <c r="Q209">
        <f t="shared" si="11"/>
        <v>0</v>
      </c>
    </row>
    <row r="210" spans="1:17" x14ac:dyDescent="0.25">
      <c r="A210" t="str">
        <f t="shared" si="9"/>
        <v>Ryan Trevitt</v>
      </c>
      <c r="B210" t="s">
        <v>164</v>
      </c>
      <c r="C210" t="s">
        <v>1401</v>
      </c>
      <c r="D210">
        <v>5</v>
      </c>
      <c r="E210">
        <v>3</v>
      </c>
      <c r="F210">
        <v>45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f t="shared" si="10"/>
        <v>0</v>
      </c>
      <c r="Q210">
        <f t="shared" si="11"/>
        <v>0</v>
      </c>
    </row>
    <row r="211" spans="1:17" x14ac:dyDescent="0.25">
      <c r="A211" t="str">
        <f t="shared" si="9"/>
        <v>Igor Thiago Nascimento Rodrigues</v>
      </c>
      <c r="B211" t="s">
        <v>223</v>
      </c>
      <c r="C211" t="s">
        <v>224</v>
      </c>
      <c r="D211">
        <v>5</v>
      </c>
      <c r="E211">
        <v>4</v>
      </c>
      <c r="F211">
        <v>72</v>
      </c>
      <c r="G211">
        <v>3282</v>
      </c>
      <c r="H211">
        <v>37</v>
      </c>
      <c r="I211">
        <v>22</v>
      </c>
      <c r="J211">
        <v>1</v>
      </c>
      <c r="K211">
        <v>20.6</v>
      </c>
      <c r="L211">
        <v>1.83</v>
      </c>
      <c r="M211">
        <v>181</v>
      </c>
      <c r="N211">
        <v>710</v>
      </c>
      <c r="O211">
        <v>214</v>
      </c>
      <c r="P211">
        <f t="shared" si="10"/>
        <v>0.56489945155393062</v>
      </c>
      <c r="Q211">
        <f t="shared" si="11"/>
        <v>5.0182815356489947E-2</v>
      </c>
    </row>
    <row r="212" spans="1:17" x14ac:dyDescent="0.25">
      <c r="A212" t="str">
        <f t="shared" si="9"/>
        <v>Iwan Morgan</v>
      </c>
      <c r="B212" t="s">
        <v>2165</v>
      </c>
      <c r="C212" t="s">
        <v>287</v>
      </c>
      <c r="D212">
        <v>5</v>
      </c>
      <c r="E212">
        <v>4</v>
      </c>
      <c r="F212">
        <v>44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f t="shared" si="10"/>
        <v>0</v>
      </c>
      <c r="Q212">
        <f t="shared" si="11"/>
        <v>0</v>
      </c>
    </row>
    <row r="213" spans="1:17" x14ac:dyDescent="0.25">
      <c r="A213" t="str">
        <f t="shared" si="9"/>
        <v>Josh Dasilva</v>
      </c>
      <c r="B213" t="s">
        <v>219</v>
      </c>
      <c r="C213" t="s">
        <v>220</v>
      </c>
      <c r="D213">
        <v>5</v>
      </c>
      <c r="E213">
        <v>3</v>
      </c>
      <c r="F213">
        <v>49</v>
      </c>
      <c r="G213">
        <v>2</v>
      </c>
      <c r="H213">
        <v>0</v>
      </c>
      <c r="I213">
        <v>0</v>
      </c>
      <c r="J213">
        <v>0</v>
      </c>
      <c r="K213">
        <v>0.08</v>
      </c>
      <c r="L213">
        <v>0</v>
      </c>
      <c r="M213">
        <v>2</v>
      </c>
      <c r="N213">
        <v>5</v>
      </c>
      <c r="O213">
        <v>1</v>
      </c>
      <c r="P213">
        <f t="shared" si="10"/>
        <v>3.6</v>
      </c>
      <c r="Q213">
        <f t="shared" si="11"/>
        <v>0</v>
      </c>
    </row>
    <row r="214" spans="1:17" x14ac:dyDescent="0.25">
      <c r="A214" t="str">
        <f t="shared" si="9"/>
        <v>Kaye Furo</v>
      </c>
      <c r="B214" t="s">
        <v>225</v>
      </c>
      <c r="C214" t="s">
        <v>226</v>
      </c>
      <c r="D214">
        <v>5</v>
      </c>
      <c r="E214">
        <v>4</v>
      </c>
      <c r="F214">
        <v>45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2</v>
      </c>
      <c r="O214">
        <v>0</v>
      </c>
      <c r="P214">
        <f t="shared" si="10"/>
        <v>0</v>
      </c>
      <c r="Q214">
        <f t="shared" si="11"/>
        <v>0</v>
      </c>
    </row>
    <row r="215" spans="1:17" x14ac:dyDescent="0.25">
      <c r="A215" t="str">
        <f t="shared" si="9"/>
        <v>Luka Bentt</v>
      </c>
      <c r="B215" t="s">
        <v>285</v>
      </c>
      <c r="C215" t="s">
        <v>2433</v>
      </c>
      <c r="D215">
        <v>5</v>
      </c>
      <c r="E215">
        <v>3</v>
      </c>
      <c r="F215">
        <v>45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10"/>
        <v>0</v>
      </c>
      <c r="Q215">
        <f t="shared" si="11"/>
        <v>0</v>
      </c>
    </row>
    <row r="216" spans="1:17" x14ac:dyDescent="0.25">
      <c r="A216" t="str">
        <f t="shared" si="9"/>
        <v>Ollie Shield</v>
      </c>
      <c r="B216" t="s">
        <v>121</v>
      </c>
      <c r="C216" t="s">
        <v>2434</v>
      </c>
      <c r="D216">
        <v>5</v>
      </c>
      <c r="E216">
        <v>2</v>
      </c>
      <c r="F216">
        <v>40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f t="shared" si="10"/>
        <v>0</v>
      </c>
      <c r="Q216">
        <f t="shared" si="11"/>
        <v>0</v>
      </c>
    </row>
    <row r="217" spans="1:17" x14ac:dyDescent="0.25">
      <c r="A217" t="str">
        <f t="shared" si="9"/>
        <v>Joshua Stephenson</v>
      </c>
      <c r="B217" t="s">
        <v>843</v>
      </c>
      <c r="C217" t="s">
        <v>2435</v>
      </c>
      <c r="D217">
        <v>5</v>
      </c>
      <c r="E217">
        <v>2</v>
      </c>
      <c r="F217">
        <v>40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f t="shared" si="10"/>
        <v>0</v>
      </c>
      <c r="Q217">
        <f t="shared" si="11"/>
        <v>0</v>
      </c>
    </row>
    <row r="218" spans="1:17" x14ac:dyDescent="0.25">
      <c r="A218" t="str">
        <f t="shared" si="9"/>
        <v>Conor McManus</v>
      </c>
      <c r="B218" t="s">
        <v>708</v>
      </c>
      <c r="C218" t="s">
        <v>2436</v>
      </c>
      <c r="D218">
        <v>5</v>
      </c>
      <c r="E218">
        <v>2</v>
      </c>
      <c r="F218">
        <v>40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f t="shared" si="10"/>
        <v>0</v>
      </c>
      <c r="Q218">
        <f t="shared" si="11"/>
        <v>0</v>
      </c>
    </row>
    <row r="219" spans="1:17" x14ac:dyDescent="0.25">
      <c r="A219" t="str">
        <f t="shared" si="9"/>
        <v>Riley Owen</v>
      </c>
      <c r="B219" t="s">
        <v>2437</v>
      </c>
      <c r="C219" t="s">
        <v>1508</v>
      </c>
      <c r="D219">
        <v>5</v>
      </c>
      <c r="E219">
        <v>3</v>
      </c>
      <c r="F219">
        <v>45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f t="shared" si="10"/>
        <v>0</v>
      </c>
      <c r="Q219">
        <f t="shared" si="11"/>
        <v>0</v>
      </c>
    </row>
    <row r="220" spans="1:17" x14ac:dyDescent="0.25">
      <c r="A220" t="str">
        <f t="shared" si="9"/>
        <v>Jason Steele</v>
      </c>
      <c r="B220" t="s">
        <v>233</v>
      </c>
      <c r="C220" t="s">
        <v>234</v>
      </c>
      <c r="D220">
        <v>6</v>
      </c>
      <c r="E220">
        <v>1</v>
      </c>
      <c r="F220">
        <v>42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f t="shared" si="10"/>
        <v>0</v>
      </c>
      <c r="Q220">
        <f t="shared" si="11"/>
        <v>0</v>
      </c>
    </row>
    <row r="221" spans="1:17" x14ac:dyDescent="0.25">
      <c r="A221" t="str">
        <f t="shared" si="9"/>
        <v>Bart Verbruggen</v>
      </c>
      <c r="B221" t="s">
        <v>231</v>
      </c>
      <c r="C221" t="s">
        <v>232</v>
      </c>
      <c r="D221">
        <v>6</v>
      </c>
      <c r="E221">
        <v>1</v>
      </c>
      <c r="F221">
        <v>46</v>
      </c>
      <c r="G221">
        <v>3420</v>
      </c>
      <c r="H221">
        <v>38</v>
      </c>
      <c r="I221">
        <v>0</v>
      </c>
      <c r="J221">
        <v>0</v>
      </c>
      <c r="K221">
        <v>0</v>
      </c>
      <c r="L221">
        <v>0.06</v>
      </c>
      <c r="M221">
        <v>130</v>
      </c>
      <c r="N221">
        <v>616</v>
      </c>
      <c r="O221">
        <v>0</v>
      </c>
      <c r="P221">
        <f t="shared" si="10"/>
        <v>0</v>
      </c>
      <c r="Q221">
        <f t="shared" si="11"/>
        <v>1.5789473684210526E-3</v>
      </c>
    </row>
    <row r="222" spans="1:17" x14ac:dyDescent="0.25">
      <c r="A222" t="str">
        <f t="shared" si="9"/>
        <v>Tom McGill</v>
      </c>
      <c r="B222" t="s">
        <v>272</v>
      </c>
      <c r="C222" t="s">
        <v>1439</v>
      </c>
      <c r="D222">
        <v>6</v>
      </c>
      <c r="E222">
        <v>1</v>
      </c>
      <c r="F222">
        <v>39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f t="shared" si="10"/>
        <v>0</v>
      </c>
      <c r="Q222">
        <f t="shared" si="11"/>
        <v>0</v>
      </c>
    </row>
    <row r="223" spans="1:17" x14ac:dyDescent="0.25">
      <c r="A223" t="str">
        <f t="shared" si="9"/>
        <v>Carl Rushworth</v>
      </c>
      <c r="B223" t="s">
        <v>359</v>
      </c>
      <c r="C223" t="s">
        <v>360</v>
      </c>
      <c r="D223">
        <v>6</v>
      </c>
      <c r="E223">
        <v>1</v>
      </c>
      <c r="F223">
        <v>40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10"/>
        <v>0</v>
      </c>
      <c r="Q223">
        <f t="shared" si="11"/>
        <v>0</v>
      </c>
    </row>
    <row r="224" spans="1:17" x14ac:dyDescent="0.25">
      <c r="A224" t="str">
        <f t="shared" si="9"/>
        <v>Kjell Scherpen</v>
      </c>
      <c r="B224" t="s">
        <v>648</v>
      </c>
      <c r="C224" t="s">
        <v>649</v>
      </c>
      <c r="D224">
        <v>6</v>
      </c>
      <c r="E224">
        <v>1</v>
      </c>
      <c r="F224">
        <v>40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f t="shared" si="10"/>
        <v>0</v>
      </c>
      <c r="Q224">
        <f t="shared" si="11"/>
        <v>0</v>
      </c>
    </row>
    <row r="225" spans="1:17" x14ac:dyDescent="0.25">
      <c r="A225" t="str">
        <f t="shared" si="9"/>
        <v>Olivier Boscagli</v>
      </c>
      <c r="B225" t="s">
        <v>237</v>
      </c>
      <c r="C225" t="s">
        <v>238</v>
      </c>
      <c r="D225">
        <v>6</v>
      </c>
      <c r="E225">
        <v>2</v>
      </c>
      <c r="F225">
        <v>42</v>
      </c>
      <c r="G225">
        <v>799</v>
      </c>
      <c r="H225">
        <v>9</v>
      </c>
      <c r="I225">
        <v>0</v>
      </c>
      <c r="J225">
        <v>1</v>
      </c>
      <c r="K225">
        <v>0.05</v>
      </c>
      <c r="L225">
        <v>0.47</v>
      </c>
      <c r="M225">
        <v>39</v>
      </c>
      <c r="N225">
        <v>171</v>
      </c>
      <c r="O225">
        <v>78</v>
      </c>
      <c r="P225">
        <f t="shared" si="10"/>
        <v>5.6320400500625787E-3</v>
      </c>
      <c r="Q225">
        <f t="shared" si="11"/>
        <v>5.2941176470588228E-2</v>
      </c>
    </row>
    <row r="226" spans="1:17" x14ac:dyDescent="0.25">
      <c r="A226" t="str">
        <f t="shared" si="9"/>
        <v>Diego Coppola</v>
      </c>
      <c r="B226" t="s">
        <v>242</v>
      </c>
      <c r="C226" t="s">
        <v>243</v>
      </c>
      <c r="D226">
        <v>6</v>
      </c>
      <c r="E226">
        <v>2</v>
      </c>
      <c r="F226">
        <v>42</v>
      </c>
      <c r="G226">
        <v>193</v>
      </c>
      <c r="H226">
        <v>2</v>
      </c>
      <c r="I226">
        <v>0</v>
      </c>
      <c r="J226">
        <v>0</v>
      </c>
      <c r="K226">
        <v>0</v>
      </c>
      <c r="L226">
        <v>0.01</v>
      </c>
      <c r="M226">
        <v>10</v>
      </c>
      <c r="N226">
        <v>32</v>
      </c>
      <c r="O226">
        <v>18</v>
      </c>
      <c r="P226">
        <f t="shared" si="10"/>
        <v>0</v>
      </c>
      <c r="Q226">
        <f t="shared" si="11"/>
        <v>4.6632124352331611E-3</v>
      </c>
    </row>
    <row r="227" spans="1:17" x14ac:dyDescent="0.25">
      <c r="A227" t="str">
        <f t="shared" si="9"/>
        <v>Maxim De Cuyper</v>
      </c>
      <c r="B227" t="s">
        <v>239</v>
      </c>
      <c r="C227" t="s">
        <v>240</v>
      </c>
      <c r="D227">
        <v>6</v>
      </c>
      <c r="E227">
        <v>2</v>
      </c>
      <c r="F227">
        <v>43</v>
      </c>
      <c r="G227">
        <v>1404</v>
      </c>
      <c r="H227">
        <v>17</v>
      </c>
      <c r="I227">
        <v>2</v>
      </c>
      <c r="J227">
        <v>3</v>
      </c>
      <c r="K227">
        <v>1.66</v>
      </c>
      <c r="L227">
        <v>4.08</v>
      </c>
      <c r="M227">
        <v>84</v>
      </c>
      <c r="N227">
        <v>318</v>
      </c>
      <c r="O227">
        <v>64</v>
      </c>
      <c r="P227">
        <f t="shared" si="10"/>
        <v>0.10641025641025641</v>
      </c>
      <c r="Q227">
        <f t="shared" si="11"/>
        <v>0.26153846153846155</v>
      </c>
    </row>
    <row r="228" spans="1:17" x14ac:dyDescent="0.25">
      <c r="A228" t="str">
        <f t="shared" si="9"/>
        <v>Lewis Dunk</v>
      </c>
      <c r="B228" t="s">
        <v>157</v>
      </c>
      <c r="C228" t="s">
        <v>241</v>
      </c>
      <c r="D228">
        <v>6</v>
      </c>
      <c r="E228">
        <v>2</v>
      </c>
      <c r="F228">
        <v>45</v>
      </c>
      <c r="G228">
        <v>2837</v>
      </c>
      <c r="H228">
        <v>31</v>
      </c>
      <c r="I228">
        <v>1</v>
      </c>
      <c r="J228">
        <v>1</v>
      </c>
      <c r="K228">
        <v>1.83</v>
      </c>
      <c r="L228">
        <v>0.56000000000000005</v>
      </c>
      <c r="M228">
        <v>100</v>
      </c>
      <c r="N228">
        <v>443</v>
      </c>
      <c r="O228">
        <v>231</v>
      </c>
      <c r="P228">
        <f t="shared" si="10"/>
        <v>5.8054282692985557E-2</v>
      </c>
      <c r="Q228">
        <f t="shared" si="11"/>
        <v>1.7765244977088476E-2</v>
      </c>
    </row>
    <row r="229" spans="1:17" x14ac:dyDescent="0.25">
      <c r="A229" t="str">
        <f t="shared" si="9"/>
        <v>Pervis Estupiñán Tenorio</v>
      </c>
      <c r="B229" t="s">
        <v>1426</v>
      </c>
      <c r="C229" t="s">
        <v>2438</v>
      </c>
      <c r="D229">
        <v>6</v>
      </c>
      <c r="E229">
        <v>2</v>
      </c>
      <c r="F229">
        <v>45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 t="shared" si="10"/>
        <v>0</v>
      </c>
      <c r="Q229">
        <f t="shared" si="11"/>
        <v>0</v>
      </c>
    </row>
    <row r="230" spans="1:17" x14ac:dyDescent="0.25">
      <c r="A230" t="str">
        <f t="shared" si="9"/>
        <v>Ferdi Kadıoğlu</v>
      </c>
      <c r="B230" t="s">
        <v>235</v>
      </c>
      <c r="C230" t="s">
        <v>236</v>
      </c>
      <c r="D230">
        <v>6</v>
      </c>
      <c r="E230">
        <v>2</v>
      </c>
      <c r="F230">
        <v>45</v>
      </c>
      <c r="G230">
        <v>3130</v>
      </c>
      <c r="H230">
        <v>34</v>
      </c>
      <c r="I230">
        <v>1</v>
      </c>
      <c r="J230">
        <v>2</v>
      </c>
      <c r="K230">
        <v>2.06</v>
      </c>
      <c r="L230">
        <v>3.31</v>
      </c>
      <c r="M230">
        <v>118</v>
      </c>
      <c r="N230">
        <v>514</v>
      </c>
      <c r="O230">
        <v>170</v>
      </c>
      <c r="P230">
        <f t="shared" si="10"/>
        <v>5.9233226837060705E-2</v>
      </c>
      <c r="Q230">
        <f t="shared" si="11"/>
        <v>9.517571884984026E-2</v>
      </c>
    </row>
    <row r="231" spans="1:17" x14ac:dyDescent="0.25">
      <c r="A231" t="str">
        <f t="shared" si="9"/>
        <v>Igor Julio dos Santos de Paulo</v>
      </c>
      <c r="B231" t="s">
        <v>244</v>
      </c>
      <c r="C231" t="s">
        <v>245</v>
      </c>
      <c r="D231">
        <v>6</v>
      </c>
      <c r="E231">
        <v>2</v>
      </c>
      <c r="F231">
        <v>45</v>
      </c>
      <c r="G231">
        <v>103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6</v>
      </c>
      <c r="N231">
        <v>10</v>
      </c>
      <c r="O231">
        <v>13</v>
      </c>
      <c r="P231">
        <f t="shared" si="10"/>
        <v>0</v>
      </c>
      <c r="Q231">
        <f t="shared" si="11"/>
        <v>0</v>
      </c>
    </row>
    <row r="232" spans="1:17" x14ac:dyDescent="0.25">
      <c r="A232" t="str">
        <f t="shared" si="9"/>
        <v>Tariq Lamptey</v>
      </c>
      <c r="B232" t="s">
        <v>1435</v>
      </c>
      <c r="C232" t="s">
        <v>1436</v>
      </c>
      <c r="D232">
        <v>6</v>
      </c>
      <c r="E232">
        <v>2</v>
      </c>
      <c r="F232">
        <v>44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f t="shared" si="10"/>
        <v>0</v>
      </c>
      <c r="Q232">
        <f t="shared" si="11"/>
        <v>0</v>
      </c>
    </row>
    <row r="233" spans="1:17" x14ac:dyDescent="0.25">
      <c r="A233" t="str">
        <f t="shared" si="9"/>
        <v>Jan Paul van Hecke</v>
      </c>
      <c r="B233" t="s">
        <v>929</v>
      </c>
      <c r="C233" t="s">
        <v>930</v>
      </c>
      <c r="D233">
        <v>6</v>
      </c>
      <c r="E233">
        <v>2</v>
      </c>
      <c r="F233">
        <v>47</v>
      </c>
      <c r="G233">
        <v>3210</v>
      </c>
      <c r="H233">
        <v>36</v>
      </c>
      <c r="I233">
        <v>3</v>
      </c>
      <c r="J233">
        <v>3</v>
      </c>
      <c r="K233">
        <v>3.31</v>
      </c>
      <c r="L233">
        <v>1.57</v>
      </c>
      <c r="M233">
        <v>148</v>
      </c>
      <c r="N233">
        <v>575</v>
      </c>
      <c r="O233">
        <v>317</v>
      </c>
      <c r="P233">
        <f t="shared" si="10"/>
        <v>9.2803738317757012E-2</v>
      </c>
      <c r="Q233">
        <f t="shared" si="11"/>
        <v>4.4018691588785047E-2</v>
      </c>
    </row>
    <row r="234" spans="1:17" x14ac:dyDescent="0.25">
      <c r="A234" t="str">
        <f t="shared" si="9"/>
        <v>Joël Veltman</v>
      </c>
      <c r="B234" t="s">
        <v>685</v>
      </c>
      <c r="C234" t="s">
        <v>1445</v>
      </c>
      <c r="D234">
        <v>6</v>
      </c>
      <c r="E234">
        <v>2</v>
      </c>
      <c r="F234">
        <v>43</v>
      </c>
      <c r="G234">
        <v>1047</v>
      </c>
      <c r="H234">
        <v>9</v>
      </c>
      <c r="I234">
        <v>1</v>
      </c>
      <c r="J234">
        <v>0</v>
      </c>
      <c r="K234">
        <v>1.1499999999999999</v>
      </c>
      <c r="L234">
        <v>0.2</v>
      </c>
      <c r="M234">
        <v>46</v>
      </c>
      <c r="N234">
        <v>176</v>
      </c>
      <c r="O234">
        <v>99</v>
      </c>
      <c r="P234">
        <f t="shared" si="10"/>
        <v>9.8853868194842404E-2</v>
      </c>
      <c r="Q234">
        <f t="shared" si="11"/>
        <v>1.7191977077363897E-2</v>
      </c>
    </row>
    <row r="235" spans="1:17" x14ac:dyDescent="0.25">
      <c r="A235" t="str">
        <f t="shared" si="9"/>
        <v>Adam Webster</v>
      </c>
      <c r="B235" t="s">
        <v>143</v>
      </c>
      <c r="C235" t="s">
        <v>1446</v>
      </c>
      <c r="D235">
        <v>6</v>
      </c>
      <c r="E235">
        <v>2</v>
      </c>
      <c r="F235">
        <v>44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f t="shared" si="10"/>
        <v>0</v>
      </c>
      <c r="Q235">
        <f t="shared" si="11"/>
        <v>0</v>
      </c>
    </row>
    <row r="236" spans="1:17" x14ac:dyDescent="0.25">
      <c r="A236" t="str">
        <f t="shared" si="9"/>
        <v>Eiran Cashin</v>
      </c>
      <c r="B236" t="s">
        <v>2180</v>
      </c>
      <c r="C236" t="s">
        <v>2181</v>
      </c>
      <c r="D236">
        <v>6</v>
      </c>
      <c r="E236">
        <v>2</v>
      </c>
      <c r="F236">
        <v>40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f t="shared" si="10"/>
        <v>0</v>
      </c>
      <c r="Q236">
        <f t="shared" si="11"/>
        <v>0</v>
      </c>
    </row>
    <row r="237" spans="1:17" x14ac:dyDescent="0.25">
      <c r="A237" t="str">
        <f t="shared" si="9"/>
        <v>Jacob Slater</v>
      </c>
      <c r="B237" t="s">
        <v>556</v>
      </c>
      <c r="C237" t="s">
        <v>568</v>
      </c>
      <c r="D237">
        <v>6</v>
      </c>
      <c r="E237">
        <v>2</v>
      </c>
      <c r="F237">
        <v>40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f t="shared" si="10"/>
        <v>0</v>
      </c>
      <c r="Q237">
        <f t="shared" si="11"/>
        <v>0</v>
      </c>
    </row>
    <row r="238" spans="1:17" x14ac:dyDescent="0.25">
      <c r="A238" t="str">
        <f t="shared" si="9"/>
        <v>Charlie Tasker</v>
      </c>
      <c r="B238" t="s">
        <v>548</v>
      </c>
      <c r="C238" t="s">
        <v>2182</v>
      </c>
      <c r="D238">
        <v>6</v>
      </c>
      <c r="E238">
        <v>2</v>
      </c>
      <c r="F238">
        <v>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f t="shared" si="10"/>
        <v>0</v>
      </c>
      <c r="Q238">
        <f t="shared" si="11"/>
        <v>0</v>
      </c>
    </row>
    <row r="239" spans="1:17" x14ac:dyDescent="0.25">
      <c r="A239" t="str">
        <f t="shared" si="9"/>
        <v>Mitoma Kaoru</v>
      </c>
      <c r="B239" t="s">
        <v>249</v>
      </c>
      <c r="C239" t="s">
        <v>250</v>
      </c>
      <c r="D239">
        <v>6</v>
      </c>
      <c r="E239">
        <v>3</v>
      </c>
      <c r="F239">
        <v>61</v>
      </c>
      <c r="G239">
        <v>1714</v>
      </c>
      <c r="H239">
        <v>19</v>
      </c>
      <c r="I239">
        <v>3</v>
      </c>
      <c r="J239">
        <v>1</v>
      </c>
      <c r="K239">
        <v>4.04</v>
      </c>
      <c r="L239">
        <v>2.74</v>
      </c>
      <c r="M239">
        <v>62</v>
      </c>
      <c r="N239">
        <v>247</v>
      </c>
      <c r="O239">
        <v>107</v>
      </c>
      <c r="P239">
        <f t="shared" si="10"/>
        <v>0.21213535589264879</v>
      </c>
      <c r="Q239">
        <f t="shared" si="11"/>
        <v>0.14387397899649942</v>
      </c>
    </row>
    <row r="240" spans="1:17" x14ac:dyDescent="0.25">
      <c r="A240" t="str">
        <f t="shared" si="9"/>
        <v>Georginio Rutter</v>
      </c>
      <c r="B240" t="s">
        <v>257</v>
      </c>
      <c r="C240" t="s">
        <v>258</v>
      </c>
      <c r="D240">
        <v>6</v>
      </c>
      <c r="E240">
        <v>3</v>
      </c>
      <c r="F240">
        <v>56</v>
      </c>
      <c r="G240">
        <v>1776</v>
      </c>
      <c r="H240">
        <v>20</v>
      </c>
      <c r="I240">
        <v>3</v>
      </c>
      <c r="J240">
        <v>5</v>
      </c>
      <c r="K240">
        <v>2.9</v>
      </c>
      <c r="L240">
        <v>2.9</v>
      </c>
      <c r="M240">
        <v>87</v>
      </c>
      <c r="N240">
        <v>290</v>
      </c>
      <c r="O240">
        <v>131</v>
      </c>
      <c r="P240">
        <f t="shared" si="10"/>
        <v>0.14695945945945946</v>
      </c>
      <c r="Q240">
        <f t="shared" si="11"/>
        <v>0.14695945945945946</v>
      </c>
    </row>
    <row r="241" spans="1:17" x14ac:dyDescent="0.25">
      <c r="A241" t="str">
        <f t="shared" si="9"/>
        <v>Solly March</v>
      </c>
      <c r="B241" t="s">
        <v>1437</v>
      </c>
      <c r="C241" t="s">
        <v>1438</v>
      </c>
      <c r="D241">
        <v>6</v>
      </c>
      <c r="E241">
        <v>3</v>
      </c>
      <c r="F241">
        <v>58</v>
      </c>
      <c r="G241">
        <v>38</v>
      </c>
      <c r="H241">
        <v>0</v>
      </c>
      <c r="I241">
        <v>0</v>
      </c>
      <c r="J241">
        <v>0</v>
      </c>
      <c r="K241">
        <v>0.04</v>
      </c>
      <c r="L241">
        <v>0.02</v>
      </c>
      <c r="M241">
        <v>4</v>
      </c>
      <c r="N241">
        <v>18</v>
      </c>
      <c r="O241">
        <v>5</v>
      </c>
      <c r="P241">
        <f t="shared" si="10"/>
        <v>9.4736842105263161E-2</v>
      </c>
      <c r="Q241">
        <f t="shared" si="11"/>
        <v>4.736842105263158E-2</v>
      </c>
    </row>
    <row r="242" spans="1:17" x14ac:dyDescent="0.25">
      <c r="A242" t="str">
        <f t="shared" si="9"/>
        <v>Yankuba Minteh</v>
      </c>
      <c r="B242" t="s">
        <v>251</v>
      </c>
      <c r="C242" t="s">
        <v>252</v>
      </c>
      <c r="D242">
        <v>6</v>
      </c>
      <c r="E242">
        <v>3</v>
      </c>
      <c r="F242">
        <v>55</v>
      </c>
      <c r="G242">
        <v>2389</v>
      </c>
      <c r="H242">
        <v>26</v>
      </c>
      <c r="I242">
        <v>3</v>
      </c>
      <c r="J242">
        <v>8</v>
      </c>
      <c r="K242">
        <v>3.81</v>
      </c>
      <c r="L242">
        <v>5.0599999999999996</v>
      </c>
      <c r="M242">
        <v>117</v>
      </c>
      <c r="N242">
        <v>466</v>
      </c>
      <c r="O242">
        <v>185</v>
      </c>
      <c r="P242">
        <f t="shared" si="10"/>
        <v>0.14353285893679363</v>
      </c>
      <c r="Q242">
        <f t="shared" si="11"/>
        <v>0.19062369192130599</v>
      </c>
    </row>
    <row r="243" spans="1:17" x14ac:dyDescent="0.25">
      <c r="A243" t="str">
        <f t="shared" si="9"/>
        <v>Julio Enciso Espínola</v>
      </c>
      <c r="B243" t="s">
        <v>147</v>
      </c>
      <c r="C243" t="s">
        <v>2439</v>
      </c>
      <c r="D243">
        <v>6</v>
      </c>
      <c r="E243">
        <v>3</v>
      </c>
      <c r="F243">
        <v>54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f t="shared" si="10"/>
        <v>0</v>
      </c>
      <c r="Q243">
        <f t="shared" si="11"/>
        <v>0</v>
      </c>
    </row>
    <row r="244" spans="1:17" x14ac:dyDescent="0.25">
      <c r="A244" t="str">
        <f t="shared" si="9"/>
        <v>Brajan Gruda</v>
      </c>
      <c r="B244" t="s">
        <v>2168</v>
      </c>
      <c r="C244" t="s">
        <v>2169</v>
      </c>
      <c r="D244">
        <v>6</v>
      </c>
      <c r="E244">
        <v>3</v>
      </c>
      <c r="F244">
        <v>54</v>
      </c>
      <c r="G244">
        <v>708</v>
      </c>
      <c r="H244">
        <v>8</v>
      </c>
      <c r="I244">
        <v>1</v>
      </c>
      <c r="J244">
        <v>1</v>
      </c>
      <c r="K244">
        <v>1.86</v>
      </c>
      <c r="L244">
        <v>0.88</v>
      </c>
      <c r="M244">
        <v>35</v>
      </c>
      <c r="N244">
        <v>114</v>
      </c>
      <c r="O244">
        <v>58</v>
      </c>
      <c r="P244">
        <f t="shared" si="10"/>
        <v>0.23644067796610171</v>
      </c>
      <c r="Q244">
        <f t="shared" si="11"/>
        <v>0.11186440677966103</v>
      </c>
    </row>
    <row r="245" spans="1:17" x14ac:dyDescent="0.25">
      <c r="A245" t="str">
        <f t="shared" si="9"/>
        <v>Jack Hinshelwood</v>
      </c>
      <c r="B245" t="s">
        <v>253</v>
      </c>
      <c r="C245" t="s">
        <v>254</v>
      </c>
      <c r="D245">
        <v>6</v>
      </c>
      <c r="E245">
        <v>3</v>
      </c>
      <c r="F245">
        <v>52</v>
      </c>
      <c r="G245">
        <v>1736</v>
      </c>
      <c r="H245">
        <v>20</v>
      </c>
      <c r="I245">
        <v>4</v>
      </c>
      <c r="J245">
        <v>5</v>
      </c>
      <c r="K245">
        <v>4.9400000000000004</v>
      </c>
      <c r="L245">
        <v>2.34</v>
      </c>
      <c r="M245">
        <v>91</v>
      </c>
      <c r="N245">
        <v>317</v>
      </c>
      <c r="O245">
        <v>114</v>
      </c>
      <c r="P245">
        <f t="shared" si="10"/>
        <v>0.25610599078341018</v>
      </c>
      <c r="Q245">
        <f t="shared" si="11"/>
        <v>0.12131336405529952</v>
      </c>
    </row>
    <row r="246" spans="1:17" x14ac:dyDescent="0.25">
      <c r="A246" t="str">
        <f t="shared" si="9"/>
        <v>Matt O'Riley</v>
      </c>
      <c r="B246" t="s">
        <v>259</v>
      </c>
      <c r="C246" t="s">
        <v>260</v>
      </c>
      <c r="D246">
        <v>6</v>
      </c>
      <c r="E246">
        <v>3</v>
      </c>
      <c r="F246">
        <v>55</v>
      </c>
      <c r="G246">
        <v>202</v>
      </c>
      <c r="H246">
        <v>2</v>
      </c>
      <c r="I246">
        <v>1</v>
      </c>
      <c r="J246">
        <v>0</v>
      </c>
      <c r="K246">
        <v>1.21</v>
      </c>
      <c r="L246">
        <v>0.18</v>
      </c>
      <c r="M246">
        <v>16</v>
      </c>
      <c r="N246">
        <v>48</v>
      </c>
      <c r="O246">
        <v>10</v>
      </c>
      <c r="P246">
        <f t="shared" si="10"/>
        <v>0.53910891089108914</v>
      </c>
      <c r="Q246">
        <f t="shared" si="11"/>
        <v>8.0198019801980186E-2</v>
      </c>
    </row>
    <row r="247" spans="1:17" x14ac:dyDescent="0.25">
      <c r="A247" t="str">
        <f t="shared" si="9"/>
        <v>Abdallah Sima</v>
      </c>
      <c r="B247" t="s">
        <v>2440</v>
      </c>
      <c r="C247" t="s">
        <v>2441</v>
      </c>
      <c r="D247">
        <v>6</v>
      </c>
      <c r="E247">
        <v>3</v>
      </c>
      <c r="F247">
        <v>54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f t="shared" si="10"/>
        <v>0</v>
      </c>
      <c r="Q247">
        <f t="shared" si="11"/>
        <v>0</v>
      </c>
    </row>
    <row r="248" spans="1:17" x14ac:dyDescent="0.25">
      <c r="A248" t="str">
        <f t="shared" si="9"/>
        <v>Yasin Ayari</v>
      </c>
      <c r="B248" t="s">
        <v>264</v>
      </c>
      <c r="C248" t="s">
        <v>265</v>
      </c>
      <c r="D248">
        <v>6</v>
      </c>
      <c r="E248">
        <v>3</v>
      </c>
      <c r="F248">
        <v>48</v>
      </c>
      <c r="G248">
        <v>1921</v>
      </c>
      <c r="H248">
        <v>20</v>
      </c>
      <c r="I248">
        <v>3</v>
      </c>
      <c r="J248">
        <v>4</v>
      </c>
      <c r="K248">
        <v>2.7</v>
      </c>
      <c r="L248">
        <v>1.1499999999999999</v>
      </c>
      <c r="M248">
        <v>98</v>
      </c>
      <c r="N248">
        <v>406</v>
      </c>
      <c r="O248">
        <v>225</v>
      </c>
      <c r="P248">
        <f t="shared" si="10"/>
        <v>0.12649661634565332</v>
      </c>
      <c r="Q248">
        <f t="shared" si="11"/>
        <v>5.3878188443519E-2</v>
      </c>
    </row>
    <row r="249" spans="1:17" x14ac:dyDescent="0.25">
      <c r="A249" t="str">
        <f t="shared" si="9"/>
        <v>Carlos Baleba</v>
      </c>
      <c r="B249" t="s">
        <v>268</v>
      </c>
      <c r="C249" t="s">
        <v>269</v>
      </c>
      <c r="D249">
        <v>6</v>
      </c>
      <c r="E249">
        <v>3</v>
      </c>
      <c r="F249">
        <v>45</v>
      </c>
      <c r="G249">
        <v>1646</v>
      </c>
      <c r="H249">
        <v>23</v>
      </c>
      <c r="I249">
        <v>0</v>
      </c>
      <c r="J249">
        <v>0</v>
      </c>
      <c r="K249">
        <v>0.78</v>
      </c>
      <c r="L249">
        <v>0.72</v>
      </c>
      <c r="M249">
        <v>56</v>
      </c>
      <c r="N249">
        <v>231</v>
      </c>
      <c r="O249">
        <v>209</v>
      </c>
      <c r="P249">
        <f t="shared" si="10"/>
        <v>4.2648845686512754E-2</v>
      </c>
      <c r="Q249">
        <f t="shared" si="11"/>
        <v>3.9368165249088698E-2</v>
      </c>
    </row>
    <row r="250" spans="1:17" x14ac:dyDescent="0.25">
      <c r="A250" t="str">
        <f t="shared" si="9"/>
        <v>Diego Gómez Amarilla</v>
      </c>
      <c r="B250" t="s">
        <v>242</v>
      </c>
      <c r="C250" t="s">
        <v>261</v>
      </c>
      <c r="D250">
        <v>6</v>
      </c>
      <c r="E250">
        <v>3</v>
      </c>
      <c r="F250">
        <v>49</v>
      </c>
      <c r="G250">
        <v>2117</v>
      </c>
      <c r="H250">
        <v>26</v>
      </c>
      <c r="I250">
        <v>5</v>
      </c>
      <c r="J250">
        <v>1</v>
      </c>
      <c r="K250">
        <v>6.24</v>
      </c>
      <c r="L250">
        <v>1.72</v>
      </c>
      <c r="M250">
        <v>97</v>
      </c>
      <c r="N250">
        <v>361</v>
      </c>
      <c r="O250">
        <v>238</v>
      </c>
      <c r="P250">
        <f t="shared" si="10"/>
        <v>0.26528105810108643</v>
      </c>
      <c r="Q250">
        <f t="shared" si="11"/>
        <v>7.3122342938119977E-2</v>
      </c>
    </row>
    <row r="251" spans="1:17" x14ac:dyDescent="0.25">
      <c r="A251" t="str">
        <f t="shared" si="9"/>
        <v>James Milner</v>
      </c>
      <c r="B251" t="s">
        <v>135</v>
      </c>
      <c r="C251" t="s">
        <v>1440</v>
      </c>
      <c r="D251">
        <v>6</v>
      </c>
      <c r="E251">
        <v>3</v>
      </c>
      <c r="F251">
        <v>49</v>
      </c>
      <c r="G251">
        <v>772</v>
      </c>
      <c r="H251">
        <v>7</v>
      </c>
      <c r="I251">
        <v>1</v>
      </c>
      <c r="J251">
        <v>1</v>
      </c>
      <c r="K251">
        <v>1.03</v>
      </c>
      <c r="L251">
        <v>0.66</v>
      </c>
      <c r="M251">
        <v>35</v>
      </c>
      <c r="N251">
        <v>158</v>
      </c>
      <c r="O251">
        <v>80</v>
      </c>
      <c r="P251">
        <f t="shared" si="10"/>
        <v>0.12007772020725388</v>
      </c>
      <c r="Q251">
        <f t="shared" si="11"/>
        <v>7.6943005181347154E-2</v>
      </c>
    </row>
    <row r="252" spans="1:17" x14ac:dyDescent="0.25">
      <c r="A252" t="str">
        <f t="shared" si="9"/>
        <v>Jeremy Sarmiento Morante</v>
      </c>
      <c r="B252" t="s">
        <v>711</v>
      </c>
      <c r="C252" t="s">
        <v>1442</v>
      </c>
      <c r="D252">
        <v>6</v>
      </c>
      <c r="E252">
        <v>3</v>
      </c>
      <c r="F252">
        <v>49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10"/>
        <v>0</v>
      </c>
      <c r="Q252">
        <f t="shared" si="11"/>
        <v>0</v>
      </c>
    </row>
    <row r="253" spans="1:17" x14ac:dyDescent="0.25">
      <c r="A253" t="str">
        <f t="shared" si="9"/>
        <v>Tom Watson</v>
      </c>
      <c r="B253" t="s">
        <v>272</v>
      </c>
      <c r="C253" t="s">
        <v>273</v>
      </c>
      <c r="D253">
        <v>6</v>
      </c>
      <c r="E253">
        <v>3</v>
      </c>
      <c r="F253">
        <v>48</v>
      </c>
      <c r="G253">
        <v>57</v>
      </c>
      <c r="H253">
        <v>0</v>
      </c>
      <c r="I253">
        <v>0</v>
      </c>
      <c r="J253">
        <v>0</v>
      </c>
      <c r="K253">
        <v>0.04</v>
      </c>
      <c r="L253">
        <v>0.03</v>
      </c>
      <c r="M253">
        <v>5</v>
      </c>
      <c r="N253">
        <v>15</v>
      </c>
      <c r="O253">
        <v>5</v>
      </c>
      <c r="P253">
        <f t="shared" si="10"/>
        <v>6.3157894736842107E-2</v>
      </c>
      <c r="Q253">
        <f t="shared" si="11"/>
        <v>4.736842105263158E-2</v>
      </c>
    </row>
    <row r="254" spans="1:17" x14ac:dyDescent="0.25">
      <c r="A254" t="str">
        <f t="shared" si="9"/>
        <v>Mats Wieffer</v>
      </c>
      <c r="B254" t="s">
        <v>266</v>
      </c>
      <c r="C254" t="s">
        <v>267</v>
      </c>
      <c r="D254">
        <v>6</v>
      </c>
      <c r="E254">
        <v>3</v>
      </c>
      <c r="F254">
        <v>48</v>
      </c>
      <c r="G254">
        <v>1901</v>
      </c>
      <c r="H254">
        <v>23</v>
      </c>
      <c r="I254">
        <v>2</v>
      </c>
      <c r="J254">
        <v>4</v>
      </c>
      <c r="K254">
        <v>1.92</v>
      </c>
      <c r="L254">
        <v>1.86</v>
      </c>
      <c r="M254">
        <v>94</v>
      </c>
      <c r="N254">
        <v>398</v>
      </c>
      <c r="O254">
        <v>269</v>
      </c>
      <c r="P254">
        <f t="shared" si="10"/>
        <v>9.0899526564965805E-2</v>
      </c>
      <c r="Q254">
        <f t="shared" si="11"/>
        <v>8.8058916359810627E-2</v>
      </c>
    </row>
    <row r="255" spans="1:17" x14ac:dyDescent="0.25">
      <c r="A255" t="str">
        <f t="shared" si="9"/>
        <v>Malick Yalcouyé</v>
      </c>
      <c r="B255" t="s">
        <v>852</v>
      </c>
      <c r="C255" t="s">
        <v>1221</v>
      </c>
      <c r="D255">
        <v>6</v>
      </c>
      <c r="E255">
        <v>3</v>
      </c>
      <c r="F255">
        <v>50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f t="shared" si="10"/>
        <v>0</v>
      </c>
      <c r="Q255">
        <f t="shared" si="11"/>
        <v>0</v>
      </c>
    </row>
    <row r="256" spans="1:17" x14ac:dyDescent="0.25">
      <c r="A256" t="str">
        <f t="shared" si="9"/>
        <v>Joe Knight</v>
      </c>
      <c r="B256" t="s">
        <v>585</v>
      </c>
      <c r="C256" t="s">
        <v>2179</v>
      </c>
      <c r="D256">
        <v>6</v>
      </c>
      <c r="E256">
        <v>3</v>
      </c>
      <c r="F256">
        <v>44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3</v>
      </c>
      <c r="O256">
        <v>0</v>
      </c>
      <c r="P256">
        <f t="shared" si="10"/>
        <v>0</v>
      </c>
      <c r="Q256">
        <f t="shared" si="11"/>
        <v>0</v>
      </c>
    </row>
    <row r="257" spans="1:17" x14ac:dyDescent="0.25">
      <c r="A257" t="str">
        <f t="shared" si="9"/>
        <v>Adrian Mazilu</v>
      </c>
      <c r="B257" t="s">
        <v>2166</v>
      </c>
      <c r="C257" t="s">
        <v>2167</v>
      </c>
      <c r="D257">
        <v>6</v>
      </c>
      <c r="E257">
        <v>3</v>
      </c>
      <c r="F257">
        <v>45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f t="shared" si="10"/>
        <v>0</v>
      </c>
      <c r="Q257">
        <f t="shared" si="11"/>
        <v>0</v>
      </c>
    </row>
    <row r="258" spans="1:17" x14ac:dyDescent="0.25">
      <c r="A258" t="str">
        <f t="shared" ref="A258:A321" si="12">_xlfn.CONCAT(B258, " ", C258)</f>
        <v>Andrew Moran</v>
      </c>
      <c r="B258" t="s">
        <v>945</v>
      </c>
      <c r="C258" t="s">
        <v>2170</v>
      </c>
      <c r="D258">
        <v>6</v>
      </c>
      <c r="E258">
        <v>3</v>
      </c>
      <c r="F258">
        <v>45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f t="shared" ref="P258:P321" si="13">IFERROR(K258/G258*90,0)</f>
        <v>0</v>
      </c>
      <c r="Q258">
        <f t="shared" ref="Q258:Q321" si="14">IFERROR(L258/G258*90,0)</f>
        <v>0</v>
      </c>
    </row>
    <row r="259" spans="1:17" x14ac:dyDescent="0.25">
      <c r="A259" t="str">
        <f t="shared" si="12"/>
        <v>Danny Welbeck</v>
      </c>
      <c r="B259" t="s">
        <v>291</v>
      </c>
      <c r="C259" t="s">
        <v>292</v>
      </c>
      <c r="D259">
        <v>6</v>
      </c>
      <c r="E259">
        <v>4</v>
      </c>
      <c r="F259">
        <v>63</v>
      </c>
      <c r="G259">
        <v>2249</v>
      </c>
      <c r="H259">
        <v>26</v>
      </c>
      <c r="I259">
        <v>13</v>
      </c>
      <c r="J259">
        <v>1</v>
      </c>
      <c r="K259">
        <v>12.36</v>
      </c>
      <c r="L259">
        <v>1.4</v>
      </c>
      <c r="M259">
        <v>126</v>
      </c>
      <c r="N259">
        <v>511</v>
      </c>
      <c r="O259">
        <v>112</v>
      </c>
      <c r="P259">
        <f t="shared" si="13"/>
        <v>0.49461983103601598</v>
      </c>
      <c r="Q259">
        <f t="shared" si="14"/>
        <v>5.6024899955535792E-2</v>
      </c>
    </row>
    <row r="260" spans="1:17" x14ac:dyDescent="0.25">
      <c r="A260" t="str">
        <f t="shared" si="12"/>
        <v>Evan Ferguson</v>
      </c>
      <c r="B260" t="s">
        <v>282</v>
      </c>
      <c r="C260" t="s">
        <v>283</v>
      </c>
      <c r="D260">
        <v>6</v>
      </c>
      <c r="E260">
        <v>4</v>
      </c>
      <c r="F260">
        <v>55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f t="shared" si="13"/>
        <v>0</v>
      </c>
      <c r="Q260">
        <f t="shared" si="14"/>
        <v>0</v>
      </c>
    </row>
    <row r="261" spans="1:17" x14ac:dyDescent="0.25">
      <c r="A261" t="str">
        <f t="shared" si="12"/>
        <v>Stefanos Tzimas</v>
      </c>
      <c r="B261" t="s">
        <v>278</v>
      </c>
      <c r="C261" t="s">
        <v>279</v>
      </c>
      <c r="D261">
        <v>6</v>
      </c>
      <c r="E261">
        <v>4</v>
      </c>
      <c r="F261">
        <v>52</v>
      </c>
      <c r="G261">
        <v>132</v>
      </c>
      <c r="H261">
        <v>1</v>
      </c>
      <c r="I261">
        <v>1</v>
      </c>
      <c r="J261">
        <v>1</v>
      </c>
      <c r="K261">
        <v>0.44</v>
      </c>
      <c r="L261">
        <v>0.11</v>
      </c>
      <c r="M261">
        <v>16</v>
      </c>
      <c r="N261">
        <v>55</v>
      </c>
      <c r="O261">
        <v>15</v>
      </c>
      <c r="P261">
        <f t="shared" si="13"/>
        <v>0.30000000000000004</v>
      </c>
      <c r="Q261">
        <f t="shared" si="14"/>
        <v>7.5000000000000011E-2</v>
      </c>
    </row>
    <row r="262" spans="1:17" x14ac:dyDescent="0.25">
      <c r="A262" t="str">
        <f t="shared" si="12"/>
        <v>Charalampos Kostoulas</v>
      </c>
      <c r="B262" t="s">
        <v>280</v>
      </c>
      <c r="C262" t="s">
        <v>281</v>
      </c>
      <c r="D262">
        <v>6</v>
      </c>
      <c r="E262">
        <v>4</v>
      </c>
      <c r="F262">
        <v>48</v>
      </c>
      <c r="G262">
        <v>351</v>
      </c>
      <c r="H262">
        <v>2</v>
      </c>
      <c r="I262">
        <v>2</v>
      </c>
      <c r="J262">
        <v>1</v>
      </c>
      <c r="K262">
        <v>2.12</v>
      </c>
      <c r="L262">
        <v>0.54</v>
      </c>
      <c r="M262">
        <v>35</v>
      </c>
      <c r="N262">
        <v>140</v>
      </c>
      <c r="O262">
        <v>41</v>
      </c>
      <c r="P262">
        <f t="shared" si="13"/>
        <v>0.54358974358974366</v>
      </c>
      <c r="Q262">
        <f t="shared" si="14"/>
        <v>0.13846153846153847</v>
      </c>
    </row>
    <row r="263" spans="1:17" x14ac:dyDescent="0.25">
      <c r="A263" t="str">
        <f t="shared" si="12"/>
        <v>Nehemiah Oriola</v>
      </c>
      <c r="B263" t="s">
        <v>274</v>
      </c>
      <c r="C263" t="s">
        <v>275</v>
      </c>
      <c r="D263">
        <v>6</v>
      </c>
      <c r="E263">
        <v>3</v>
      </c>
      <c r="F263">
        <v>45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3</v>
      </c>
      <c r="O263">
        <v>0</v>
      </c>
      <c r="P263">
        <f t="shared" si="13"/>
        <v>0</v>
      </c>
      <c r="Q263">
        <f t="shared" si="14"/>
        <v>0</v>
      </c>
    </row>
    <row r="264" spans="1:17" x14ac:dyDescent="0.25">
      <c r="A264" t="str">
        <f t="shared" si="12"/>
        <v>Freddie Simmonds</v>
      </c>
      <c r="B264" t="s">
        <v>694</v>
      </c>
      <c r="C264" t="s">
        <v>2183</v>
      </c>
      <c r="D264">
        <v>6</v>
      </c>
      <c r="E264">
        <v>2</v>
      </c>
      <c r="F264">
        <v>40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f t="shared" si="13"/>
        <v>0</v>
      </c>
      <c r="Q264">
        <f t="shared" si="14"/>
        <v>0</v>
      </c>
    </row>
    <row r="265" spans="1:17" x14ac:dyDescent="0.25">
      <c r="A265" t="str">
        <f t="shared" si="12"/>
        <v>Pascal Groß</v>
      </c>
      <c r="B265" t="s">
        <v>255</v>
      </c>
      <c r="C265" t="s">
        <v>256</v>
      </c>
      <c r="D265">
        <v>6</v>
      </c>
      <c r="E265">
        <v>3</v>
      </c>
      <c r="F265">
        <v>56</v>
      </c>
      <c r="G265">
        <v>1636</v>
      </c>
      <c r="H265">
        <v>18</v>
      </c>
      <c r="I265">
        <v>1</v>
      </c>
      <c r="J265">
        <v>6</v>
      </c>
      <c r="K265">
        <v>1.39</v>
      </c>
      <c r="L265">
        <v>3.95</v>
      </c>
      <c r="M265">
        <v>78</v>
      </c>
      <c r="N265">
        <v>389</v>
      </c>
      <c r="O265">
        <v>145</v>
      </c>
      <c r="P265">
        <f t="shared" si="13"/>
        <v>7.6466992665036662E-2</v>
      </c>
      <c r="Q265">
        <f t="shared" si="14"/>
        <v>0.21729828850855748</v>
      </c>
    </row>
    <row r="266" spans="1:17" x14ac:dyDescent="0.25">
      <c r="A266" t="str">
        <f t="shared" si="12"/>
        <v>Harry Howell</v>
      </c>
      <c r="B266" t="s">
        <v>270</v>
      </c>
      <c r="C266" t="s">
        <v>271</v>
      </c>
      <c r="D266">
        <v>6</v>
      </c>
      <c r="E266">
        <v>3</v>
      </c>
      <c r="F266">
        <v>45</v>
      </c>
      <c r="G266">
        <v>92</v>
      </c>
      <c r="H266">
        <v>1</v>
      </c>
      <c r="I266">
        <v>0</v>
      </c>
      <c r="J266">
        <v>0</v>
      </c>
      <c r="K266">
        <v>0</v>
      </c>
      <c r="L266">
        <v>0.03</v>
      </c>
      <c r="M266">
        <v>4</v>
      </c>
      <c r="N266">
        <v>11</v>
      </c>
      <c r="O266">
        <v>7</v>
      </c>
      <c r="P266">
        <f t="shared" si="13"/>
        <v>0</v>
      </c>
      <c r="Q266">
        <f t="shared" si="14"/>
        <v>2.9347826086956519E-2</v>
      </c>
    </row>
    <row r="267" spans="1:17" x14ac:dyDescent="0.25">
      <c r="A267" t="str">
        <f t="shared" si="12"/>
        <v>Robert Lynch Sánchez</v>
      </c>
      <c r="B267" t="s">
        <v>293</v>
      </c>
      <c r="C267" t="s">
        <v>294</v>
      </c>
      <c r="D267">
        <v>7</v>
      </c>
      <c r="E267">
        <v>1</v>
      </c>
      <c r="F267">
        <v>48</v>
      </c>
      <c r="G267">
        <v>3040</v>
      </c>
      <c r="H267">
        <v>35</v>
      </c>
      <c r="I267">
        <v>0</v>
      </c>
      <c r="J267">
        <v>1</v>
      </c>
      <c r="K267">
        <v>0</v>
      </c>
      <c r="L267">
        <v>0.04</v>
      </c>
      <c r="M267">
        <v>113</v>
      </c>
      <c r="N267">
        <v>509</v>
      </c>
      <c r="O267">
        <v>0</v>
      </c>
      <c r="P267">
        <f t="shared" si="13"/>
        <v>0</v>
      </c>
      <c r="Q267">
        <f t="shared" si="14"/>
        <v>1.1842105263157896E-3</v>
      </c>
    </row>
    <row r="268" spans="1:17" x14ac:dyDescent="0.25">
      <c r="A268" t="str">
        <f t="shared" si="12"/>
        <v>Filip Jörgensen</v>
      </c>
      <c r="B268" t="s">
        <v>295</v>
      </c>
      <c r="C268" t="s">
        <v>296</v>
      </c>
      <c r="D268">
        <v>7</v>
      </c>
      <c r="E268">
        <v>1</v>
      </c>
      <c r="F268">
        <v>43</v>
      </c>
      <c r="G268">
        <v>378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9</v>
      </c>
      <c r="N268">
        <v>50</v>
      </c>
      <c r="O268">
        <v>0</v>
      </c>
      <c r="P268">
        <f t="shared" si="13"/>
        <v>0</v>
      </c>
      <c r="Q268">
        <f t="shared" si="14"/>
        <v>0</v>
      </c>
    </row>
    <row r="269" spans="1:17" x14ac:dyDescent="0.25">
      <c r="A269" t="str">
        <f t="shared" si="12"/>
        <v>Mike Penders</v>
      </c>
      <c r="B269" t="s">
        <v>348</v>
      </c>
      <c r="C269" t="s">
        <v>349</v>
      </c>
      <c r="D269">
        <v>7</v>
      </c>
      <c r="E269">
        <v>1</v>
      </c>
      <c r="F269">
        <v>40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f t="shared" si="13"/>
        <v>0</v>
      </c>
      <c r="Q269">
        <f t="shared" si="14"/>
        <v>0</v>
      </c>
    </row>
    <row r="270" spans="1:17" x14ac:dyDescent="0.25">
      <c r="A270" t="str">
        <f t="shared" si="12"/>
        <v>Gabriel Słonina</v>
      </c>
      <c r="B270" t="s">
        <v>26</v>
      </c>
      <c r="C270" t="s">
        <v>1538</v>
      </c>
      <c r="D270">
        <v>7</v>
      </c>
      <c r="E270">
        <v>1</v>
      </c>
      <c r="F270">
        <v>38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f t="shared" si="13"/>
        <v>0</v>
      </c>
      <c r="Q270">
        <f t="shared" si="14"/>
        <v>0</v>
      </c>
    </row>
    <row r="271" spans="1:17" x14ac:dyDescent="0.25">
      <c r="A271" t="str">
        <f t="shared" si="12"/>
        <v>Marc Cucurella Saseta</v>
      </c>
      <c r="B271" t="s">
        <v>340</v>
      </c>
      <c r="C271" t="s">
        <v>1531</v>
      </c>
      <c r="D271">
        <v>7</v>
      </c>
      <c r="E271">
        <v>2</v>
      </c>
      <c r="F271">
        <v>61</v>
      </c>
      <c r="G271">
        <v>2706</v>
      </c>
      <c r="H271">
        <v>31</v>
      </c>
      <c r="I271">
        <v>1</v>
      </c>
      <c r="J271">
        <v>4</v>
      </c>
      <c r="K271">
        <v>2.34</v>
      </c>
      <c r="L271">
        <v>3.23</v>
      </c>
      <c r="M271">
        <v>104</v>
      </c>
      <c r="N271">
        <v>468</v>
      </c>
      <c r="O271">
        <v>182</v>
      </c>
      <c r="P271">
        <f t="shared" si="13"/>
        <v>7.7827050997782699E-2</v>
      </c>
      <c r="Q271">
        <f t="shared" si="14"/>
        <v>0.10742793791574279</v>
      </c>
    </row>
    <row r="272" spans="1:17" x14ac:dyDescent="0.25">
      <c r="A272" t="str">
        <f t="shared" si="12"/>
        <v>Reece James</v>
      </c>
      <c r="B272" t="s">
        <v>297</v>
      </c>
      <c r="C272" t="s">
        <v>135</v>
      </c>
      <c r="D272">
        <v>7</v>
      </c>
      <c r="E272">
        <v>2</v>
      </c>
      <c r="F272">
        <v>56</v>
      </c>
      <c r="G272">
        <v>1957</v>
      </c>
      <c r="H272">
        <v>20</v>
      </c>
      <c r="I272">
        <v>2</v>
      </c>
      <c r="J272">
        <v>6</v>
      </c>
      <c r="K272">
        <v>1.04</v>
      </c>
      <c r="L272">
        <v>3.2</v>
      </c>
      <c r="M272">
        <v>115</v>
      </c>
      <c r="N272">
        <v>493</v>
      </c>
      <c r="O272">
        <v>128</v>
      </c>
      <c r="P272">
        <f t="shared" si="13"/>
        <v>4.7828308635666839E-2</v>
      </c>
      <c r="Q272">
        <f t="shared" si="14"/>
        <v>0.14716402657128258</v>
      </c>
    </row>
    <row r="273" spans="1:17" x14ac:dyDescent="0.25">
      <c r="A273" t="str">
        <f t="shared" si="12"/>
        <v>Trevoh Chalobah</v>
      </c>
      <c r="B273" t="s">
        <v>298</v>
      </c>
      <c r="C273" t="s">
        <v>299</v>
      </c>
      <c r="D273">
        <v>7</v>
      </c>
      <c r="E273">
        <v>2</v>
      </c>
      <c r="F273">
        <v>54</v>
      </c>
      <c r="G273">
        <v>2780</v>
      </c>
      <c r="H273">
        <v>31</v>
      </c>
      <c r="I273">
        <v>3</v>
      </c>
      <c r="J273">
        <v>1</v>
      </c>
      <c r="K273">
        <v>1.44</v>
      </c>
      <c r="L273">
        <v>1.03</v>
      </c>
      <c r="M273">
        <v>136</v>
      </c>
      <c r="N273">
        <v>516</v>
      </c>
      <c r="O273">
        <v>265</v>
      </c>
      <c r="P273">
        <f t="shared" si="13"/>
        <v>4.6618705035971222E-2</v>
      </c>
      <c r="Q273">
        <f t="shared" si="14"/>
        <v>3.3345323741007196E-2</v>
      </c>
    </row>
    <row r="274" spans="1:17" x14ac:dyDescent="0.25">
      <c r="A274" t="str">
        <f t="shared" si="12"/>
        <v>Levi Samuels Colwill</v>
      </c>
      <c r="B274" t="s">
        <v>310</v>
      </c>
      <c r="C274" t="s">
        <v>311</v>
      </c>
      <c r="D274">
        <v>7</v>
      </c>
      <c r="E274">
        <v>2</v>
      </c>
      <c r="F274">
        <v>47</v>
      </c>
      <c r="G274">
        <v>225</v>
      </c>
      <c r="H274">
        <v>2</v>
      </c>
      <c r="I274">
        <v>0</v>
      </c>
      <c r="J274">
        <v>0</v>
      </c>
      <c r="K274">
        <v>0</v>
      </c>
      <c r="L274">
        <v>0.12</v>
      </c>
      <c r="M274">
        <v>8</v>
      </c>
      <c r="N274">
        <v>30</v>
      </c>
      <c r="O274">
        <v>25</v>
      </c>
      <c r="P274">
        <f t="shared" si="13"/>
        <v>0</v>
      </c>
      <c r="Q274">
        <f t="shared" si="14"/>
        <v>4.8000000000000001E-2</v>
      </c>
    </row>
    <row r="275" spans="1:17" x14ac:dyDescent="0.25">
      <c r="A275" t="str">
        <f t="shared" si="12"/>
        <v>Malo Gusto</v>
      </c>
      <c r="B275" t="s">
        <v>300</v>
      </c>
      <c r="C275" t="s">
        <v>301</v>
      </c>
      <c r="D275">
        <v>7</v>
      </c>
      <c r="E275">
        <v>2</v>
      </c>
      <c r="F275">
        <v>48</v>
      </c>
      <c r="G275">
        <v>2255</v>
      </c>
      <c r="H275">
        <v>26</v>
      </c>
      <c r="I275">
        <v>2</v>
      </c>
      <c r="J275">
        <v>3</v>
      </c>
      <c r="K275">
        <v>1.56</v>
      </c>
      <c r="L275">
        <v>2.97</v>
      </c>
      <c r="M275">
        <v>96</v>
      </c>
      <c r="N275">
        <v>406</v>
      </c>
      <c r="O275">
        <v>126</v>
      </c>
      <c r="P275">
        <f t="shared" si="13"/>
        <v>6.2261640798226166E-2</v>
      </c>
      <c r="Q275">
        <f t="shared" si="14"/>
        <v>0.11853658536585367</v>
      </c>
    </row>
    <row r="276" spans="1:17" x14ac:dyDescent="0.25">
      <c r="A276" t="str">
        <f t="shared" si="12"/>
        <v>Benoît Badiashile Mukinayi</v>
      </c>
      <c r="B276" t="s">
        <v>304</v>
      </c>
      <c r="C276" t="s">
        <v>305</v>
      </c>
      <c r="D276">
        <v>7</v>
      </c>
      <c r="E276">
        <v>2</v>
      </c>
      <c r="F276">
        <v>44</v>
      </c>
      <c r="G276">
        <v>470</v>
      </c>
      <c r="H276">
        <v>6</v>
      </c>
      <c r="I276">
        <v>0</v>
      </c>
      <c r="J276">
        <v>0</v>
      </c>
      <c r="K276">
        <v>0</v>
      </c>
      <c r="L276">
        <v>0.06</v>
      </c>
      <c r="M276">
        <v>7</v>
      </c>
      <c r="N276">
        <v>48</v>
      </c>
      <c r="O276">
        <v>48</v>
      </c>
      <c r="P276">
        <f t="shared" si="13"/>
        <v>0</v>
      </c>
      <c r="Q276">
        <f t="shared" si="14"/>
        <v>1.1489361702127658E-2</v>
      </c>
    </row>
    <row r="277" spans="1:17" x14ac:dyDescent="0.25">
      <c r="A277" t="str">
        <f t="shared" si="12"/>
        <v>Wesley Fofana</v>
      </c>
      <c r="B277" t="s">
        <v>302</v>
      </c>
      <c r="C277" t="s">
        <v>303</v>
      </c>
      <c r="D277">
        <v>7</v>
      </c>
      <c r="E277">
        <v>2</v>
      </c>
      <c r="F277">
        <v>44</v>
      </c>
      <c r="G277">
        <v>1718</v>
      </c>
      <c r="H277">
        <v>20</v>
      </c>
      <c r="I277">
        <v>0</v>
      </c>
      <c r="J277">
        <v>2</v>
      </c>
      <c r="K277">
        <v>0.72</v>
      </c>
      <c r="L277">
        <v>0.6</v>
      </c>
      <c r="M277">
        <v>65</v>
      </c>
      <c r="N277">
        <v>288</v>
      </c>
      <c r="O277">
        <v>206</v>
      </c>
      <c r="P277">
        <f t="shared" si="13"/>
        <v>3.7718277066356228E-2</v>
      </c>
      <c r="Q277">
        <f t="shared" si="14"/>
        <v>3.1431897555296857E-2</v>
      </c>
    </row>
    <row r="278" spans="1:17" x14ac:dyDescent="0.25">
      <c r="A278" t="str">
        <f t="shared" si="12"/>
        <v>Mamadou Sarr</v>
      </c>
      <c r="B278" t="s">
        <v>229</v>
      </c>
      <c r="C278" t="s">
        <v>312</v>
      </c>
      <c r="D278">
        <v>7</v>
      </c>
      <c r="E278">
        <v>2</v>
      </c>
      <c r="F278">
        <v>45</v>
      </c>
      <c r="G278">
        <v>100</v>
      </c>
      <c r="H278">
        <v>1</v>
      </c>
      <c r="I278">
        <v>0</v>
      </c>
      <c r="J278">
        <v>0</v>
      </c>
      <c r="K278">
        <v>0.35</v>
      </c>
      <c r="L278">
        <v>0</v>
      </c>
      <c r="M278">
        <v>3</v>
      </c>
      <c r="N278">
        <v>4</v>
      </c>
      <c r="O278">
        <v>8</v>
      </c>
      <c r="P278">
        <f t="shared" si="13"/>
        <v>0.31499999999999995</v>
      </c>
      <c r="Q278">
        <f t="shared" si="14"/>
        <v>0</v>
      </c>
    </row>
    <row r="279" spans="1:17" x14ac:dyDescent="0.25">
      <c r="A279" t="str">
        <f t="shared" si="12"/>
        <v>Tosin Adarabioyo</v>
      </c>
      <c r="B279" t="s">
        <v>306</v>
      </c>
      <c r="C279" t="s">
        <v>307</v>
      </c>
      <c r="D279">
        <v>7</v>
      </c>
      <c r="E279">
        <v>2</v>
      </c>
      <c r="F279">
        <v>40</v>
      </c>
      <c r="G279">
        <v>788</v>
      </c>
      <c r="H279">
        <v>8</v>
      </c>
      <c r="I279">
        <v>0</v>
      </c>
      <c r="J279">
        <v>0</v>
      </c>
      <c r="K279">
        <v>0.11</v>
      </c>
      <c r="L279">
        <v>0.4</v>
      </c>
      <c r="M279">
        <v>34</v>
      </c>
      <c r="N279">
        <v>130</v>
      </c>
      <c r="O279">
        <v>97</v>
      </c>
      <c r="P279">
        <f t="shared" si="13"/>
        <v>1.2563451776649746E-2</v>
      </c>
      <c r="Q279">
        <f t="shared" si="14"/>
        <v>4.5685279187817264E-2</v>
      </c>
    </row>
    <row r="280" spans="1:17" x14ac:dyDescent="0.25">
      <c r="A280" t="str">
        <f t="shared" si="12"/>
        <v>Josh Acheampong</v>
      </c>
      <c r="B280" t="s">
        <v>219</v>
      </c>
      <c r="C280" t="s">
        <v>313</v>
      </c>
      <c r="D280">
        <v>7</v>
      </c>
      <c r="E280">
        <v>2</v>
      </c>
      <c r="F280">
        <v>37</v>
      </c>
      <c r="G280">
        <v>657</v>
      </c>
      <c r="H280">
        <v>8</v>
      </c>
      <c r="I280">
        <v>1</v>
      </c>
      <c r="J280">
        <v>0</v>
      </c>
      <c r="K280">
        <v>0.62</v>
      </c>
      <c r="L280">
        <v>0.13</v>
      </c>
      <c r="M280">
        <v>39</v>
      </c>
      <c r="N280">
        <v>118</v>
      </c>
      <c r="O280">
        <v>44</v>
      </c>
      <c r="P280">
        <f t="shared" si="13"/>
        <v>8.4931506849315067E-2</v>
      </c>
      <c r="Q280">
        <f t="shared" si="14"/>
        <v>1.7808219178082191E-2</v>
      </c>
    </row>
    <row r="281" spans="1:17" x14ac:dyDescent="0.25">
      <c r="A281" t="str">
        <f t="shared" si="12"/>
        <v>Aarón Anselmino</v>
      </c>
      <c r="B281" t="s">
        <v>2442</v>
      </c>
      <c r="C281" t="s">
        <v>350</v>
      </c>
      <c r="D281">
        <v>7</v>
      </c>
      <c r="E281">
        <v>2</v>
      </c>
      <c r="F281">
        <v>40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f t="shared" si="13"/>
        <v>0</v>
      </c>
      <c r="Q281">
        <f t="shared" si="14"/>
        <v>0</v>
      </c>
    </row>
    <row r="282" spans="1:17" x14ac:dyDescent="0.25">
      <c r="A282" t="str">
        <f t="shared" si="12"/>
        <v>Cole Palmer</v>
      </c>
      <c r="B282" t="s">
        <v>317</v>
      </c>
      <c r="C282" t="s">
        <v>318</v>
      </c>
      <c r="D282">
        <v>7</v>
      </c>
      <c r="E282">
        <v>3</v>
      </c>
      <c r="F282">
        <v>103</v>
      </c>
      <c r="G282">
        <v>1954</v>
      </c>
      <c r="H282">
        <v>24</v>
      </c>
      <c r="I282">
        <v>10</v>
      </c>
      <c r="J282">
        <v>2</v>
      </c>
      <c r="K282">
        <v>10.55</v>
      </c>
      <c r="L282">
        <v>2.4900000000000002</v>
      </c>
      <c r="M282">
        <v>114</v>
      </c>
      <c r="N282">
        <v>430</v>
      </c>
      <c r="O282">
        <v>135</v>
      </c>
      <c r="P282">
        <f t="shared" si="13"/>
        <v>0.48592630501535311</v>
      </c>
      <c r="Q282">
        <f t="shared" si="14"/>
        <v>0.1146878198567042</v>
      </c>
    </row>
    <row r="283" spans="1:17" x14ac:dyDescent="0.25">
      <c r="A283" t="str">
        <f t="shared" si="12"/>
        <v>Pedro Lomba Neto</v>
      </c>
      <c r="B283" t="s">
        <v>321</v>
      </c>
      <c r="C283" t="s">
        <v>322</v>
      </c>
      <c r="D283">
        <v>7</v>
      </c>
      <c r="E283">
        <v>3</v>
      </c>
      <c r="F283">
        <v>70</v>
      </c>
      <c r="G283">
        <v>2629</v>
      </c>
      <c r="H283">
        <v>30</v>
      </c>
      <c r="I283">
        <v>5</v>
      </c>
      <c r="J283">
        <v>7</v>
      </c>
      <c r="K283">
        <v>4.59</v>
      </c>
      <c r="L283">
        <v>6.84</v>
      </c>
      <c r="M283">
        <v>125</v>
      </c>
      <c r="N283">
        <v>543</v>
      </c>
      <c r="O283">
        <v>122</v>
      </c>
      <c r="P283">
        <f t="shared" si="13"/>
        <v>0.15713198934956255</v>
      </c>
      <c r="Q283">
        <f t="shared" si="14"/>
        <v>0.23415747432483835</v>
      </c>
    </row>
    <row r="284" spans="1:17" x14ac:dyDescent="0.25">
      <c r="A284" t="str">
        <f t="shared" si="12"/>
        <v>Enzo Fernández</v>
      </c>
      <c r="B284" t="s">
        <v>319</v>
      </c>
      <c r="C284" t="s">
        <v>320</v>
      </c>
      <c r="D284">
        <v>7</v>
      </c>
      <c r="E284">
        <v>3</v>
      </c>
      <c r="F284">
        <v>65</v>
      </c>
      <c r="G284">
        <v>3114</v>
      </c>
      <c r="H284">
        <v>35</v>
      </c>
      <c r="I284">
        <v>10</v>
      </c>
      <c r="J284">
        <v>5</v>
      </c>
      <c r="K284">
        <v>11.26</v>
      </c>
      <c r="L284">
        <v>7.26</v>
      </c>
      <c r="M284">
        <v>157</v>
      </c>
      <c r="N284">
        <v>700</v>
      </c>
      <c r="O284">
        <v>244</v>
      </c>
      <c r="P284">
        <f t="shared" si="13"/>
        <v>0.32543352601156073</v>
      </c>
      <c r="Q284">
        <f t="shared" si="14"/>
        <v>0.20982658959537573</v>
      </c>
    </row>
    <row r="285" spans="1:17" x14ac:dyDescent="0.25">
      <c r="A285" t="str">
        <f t="shared" si="12"/>
        <v>Estêvão Almeida de Oliveira Gonçalves</v>
      </c>
      <c r="B285" t="s">
        <v>323</v>
      </c>
      <c r="C285" t="s">
        <v>324</v>
      </c>
      <c r="D285">
        <v>7</v>
      </c>
      <c r="E285">
        <v>3</v>
      </c>
      <c r="F285">
        <v>64</v>
      </c>
      <c r="G285">
        <v>839</v>
      </c>
      <c r="H285">
        <v>12</v>
      </c>
      <c r="I285">
        <v>2</v>
      </c>
      <c r="J285">
        <v>5</v>
      </c>
      <c r="K285">
        <v>2.91</v>
      </c>
      <c r="L285">
        <v>2.14</v>
      </c>
      <c r="M285">
        <v>58</v>
      </c>
      <c r="N285">
        <v>172</v>
      </c>
      <c r="O285">
        <v>56</v>
      </c>
      <c r="P285">
        <f t="shared" si="13"/>
        <v>0.3121573301549464</v>
      </c>
      <c r="Q285">
        <f t="shared" si="14"/>
        <v>0.22955899880810493</v>
      </c>
    </row>
    <row r="286" spans="1:17" x14ac:dyDescent="0.25">
      <c r="A286" t="str">
        <f t="shared" si="12"/>
        <v>Jamie Bynoe-Gittens</v>
      </c>
      <c r="B286" t="s">
        <v>325</v>
      </c>
      <c r="C286" t="s">
        <v>326</v>
      </c>
      <c r="D286">
        <v>7</v>
      </c>
      <c r="E286">
        <v>3</v>
      </c>
      <c r="F286">
        <v>60</v>
      </c>
      <c r="G286">
        <v>486</v>
      </c>
      <c r="H286">
        <v>5</v>
      </c>
      <c r="I286">
        <v>0</v>
      </c>
      <c r="J286">
        <v>2</v>
      </c>
      <c r="K286">
        <v>0.81</v>
      </c>
      <c r="L286">
        <v>0.94</v>
      </c>
      <c r="M286">
        <v>25</v>
      </c>
      <c r="N286">
        <v>99</v>
      </c>
      <c r="O286">
        <v>29</v>
      </c>
      <c r="P286">
        <f t="shared" si="13"/>
        <v>0.15000000000000002</v>
      </c>
      <c r="Q286">
        <f t="shared" si="14"/>
        <v>0.17407407407407408</v>
      </c>
    </row>
    <row r="287" spans="1:17" x14ac:dyDescent="0.25">
      <c r="A287" t="str">
        <f t="shared" si="12"/>
        <v>Christopher Nkunku</v>
      </c>
      <c r="B287" t="s">
        <v>1534</v>
      </c>
      <c r="C287" t="s">
        <v>1535</v>
      </c>
      <c r="D287">
        <v>7</v>
      </c>
      <c r="E287">
        <v>3</v>
      </c>
      <c r="F287">
        <v>59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f t="shared" si="13"/>
        <v>0</v>
      </c>
      <c r="Q287">
        <f t="shared" si="14"/>
        <v>0</v>
      </c>
    </row>
    <row r="288" spans="1:17" x14ac:dyDescent="0.25">
      <c r="A288" t="str">
        <f t="shared" si="12"/>
        <v>Moisés Caicedo Corozo</v>
      </c>
      <c r="B288" t="s">
        <v>327</v>
      </c>
      <c r="C288" t="s">
        <v>328</v>
      </c>
      <c r="D288">
        <v>7</v>
      </c>
      <c r="E288">
        <v>3</v>
      </c>
      <c r="F288">
        <v>57</v>
      </c>
      <c r="G288">
        <v>2796</v>
      </c>
      <c r="H288">
        <v>32</v>
      </c>
      <c r="I288">
        <v>3</v>
      </c>
      <c r="J288">
        <v>1</v>
      </c>
      <c r="K288">
        <v>1.45</v>
      </c>
      <c r="L288">
        <v>2.38</v>
      </c>
      <c r="M288">
        <v>110</v>
      </c>
      <c r="N288">
        <v>580</v>
      </c>
      <c r="O288">
        <v>366</v>
      </c>
      <c r="P288">
        <f t="shared" si="13"/>
        <v>4.667381974248927E-2</v>
      </c>
      <c r="Q288">
        <f t="shared" si="14"/>
        <v>7.6609442060085839E-2</v>
      </c>
    </row>
    <row r="289" spans="1:17" x14ac:dyDescent="0.25">
      <c r="A289" t="str">
        <f t="shared" si="12"/>
        <v>Roméo Lavia</v>
      </c>
      <c r="B289" t="s">
        <v>329</v>
      </c>
      <c r="C289" t="s">
        <v>330</v>
      </c>
      <c r="D289">
        <v>7</v>
      </c>
      <c r="E289">
        <v>3</v>
      </c>
      <c r="F289">
        <v>49</v>
      </c>
      <c r="G289">
        <v>374</v>
      </c>
      <c r="H289">
        <v>4</v>
      </c>
      <c r="I289">
        <v>0</v>
      </c>
      <c r="J289">
        <v>0</v>
      </c>
      <c r="K289">
        <v>0.21</v>
      </c>
      <c r="L289">
        <v>0.55000000000000004</v>
      </c>
      <c r="M289">
        <v>13</v>
      </c>
      <c r="N289">
        <v>81</v>
      </c>
      <c r="O289">
        <v>37</v>
      </c>
      <c r="P289">
        <f t="shared" si="13"/>
        <v>5.0534759358288765E-2</v>
      </c>
      <c r="Q289">
        <f t="shared" si="14"/>
        <v>0.13235294117647062</v>
      </c>
    </row>
    <row r="290" spans="1:17" x14ac:dyDescent="0.25">
      <c r="A290" t="str">
        <f t="shared" si="12"/>
        <v>Mykhailo Mudryk</v>
      </c>
      <c r="B290" t="s">
        <v>353</v>
      </c>
      <c r="C290" t="s">
        <v>354</v>
      </c>
      <c r="D290">
        <v>7</v>
      </c>
      <c r="E290">
        <v>3</v>
      </c>
      <c r="F290">
        <v>49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f t="shared" si="13"/>
        <v>0</v>
      </c>
      <c r="Q290">
        <f t="shared" si="14"/>
        <v>0</v>
      </c>
    </row>
    <row r="291" spans="1:17" x14ac:dyDescent="0.25">
      <c r="A291" t="str">
        <f t="shared" si="12"/>
        <v>Andrey Nascimento dos Santos</v>
      </c>
      <c r="B291" t="s">
        <v>797</v>
      </c>
      <c r="C291" t="s">
        <v>798</v>
      </c>
      <c r="D291">
        <v>7</v>
      </c>
      <c r="E291">
        <v>3</v>
      </c>
      <c r="F291">
        <v>44</v>
      </c>
      <c r="G291">
        <v>1247</v>
      </c>
      <c r="H291">
        <v>13</v>
      </c>
      <c r="I291">
        <v>1</v>
      </c>
      <c r="J291">
        <v>0</v>
      </c>
      <c r="K291">
        <v>2</v>
      </c>
      <c r="L291">
        <v>0.88</v>
      </c>
      <c r="M291">
        <v>47</v>
      </c>
      <c r="N291">
        <v>257</v>
      </c>
      <c r="O291">
        <v>129</v>
      </c>
      <c r="P291">
        <f t="shared" si="13"/>
        <v>0.14434643143544507</v>
      </c>
      <c r="Q291">
        <f t="shared" si="14"/>
        <v>6.3512429831595829E-2</v>
      </c>
    </row>
    <row r="292" spans="1:17" x14ac:dyDescent="0.25">
      <c r="A292" t="str">
        <f t="shared" si="12"/>
        <v>Dário Luís Essugo</v>
      </c>
      <c r="B292" t="s">
        <v>331</v>
      </c>
      <c r="C292" t="s">
        <v>332</v>
      </c>
      <c r="D292">
        <v>7</v>
      </c>
      <c r="E292">
        <v>3</v>
      </c>
      <c r="F292">
        <v>43</v>
      </c>
      <c r="G292">
        <v>26</v>
      </c>
      <c r="H292">
        <v>0</v>
      </c>
      <c r="I292">
        <v>0</v>
      </c>
      <c r="J292">
        <v>0</v>
      </c>
      <c r="K292">
        <v>0</v>
      </c>
      <c r="L292">
        <v>0.01</v>
      </c>
      <c r="M292">
        <v>1</v>
      </c>
      <c r="N292">
        <v>7</v>
      </c>
      <c r="O292">
        <v>8</v>
      </c>
      <c r="P292">
        <f t="shared" si="13"/>
        <v>0</v>
      </c>
      <c r="Q292">
        <f t="shared" si="14"/>
        <v>3.4615384615384617E-2</v>
      </c>
    </row>
    <row r="293" spans="1:17" x14ac:dyDescent="0.25">
      <c r="A293" t="str">
        <f t="shared" si="12"/>
        <v>Kendry Páez Andrade</v>
      </c>
      <c r="B293" t="s">
        <v>2443</v>
      </c>
      <c r="C293" t="s">
        <v>2444</v>
      </c>
      <c r="D293">
        <v>7</v>
      </c>
      <c r="E293">
        <v>3</v>
      </c>
      <c r="F293">
        <v>45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f t="shared" si="13"/>
        <v>0</v>
      </c>
      <c r="Q293">
        <f t="shared" si="14"/>
        <v>0</v>
      </c>
    </row>
    <row r="294" spans="1:17" x14ac:dyDescent="0.25">
      <c r="A294" t="str">
        <f t="shared" si="12"/>
        <v>João Pedro Junqueira de Jesus</v>
      </c>
      <c r="B294" t="s">
        <v>246</v>
      </c>
      <c r="C294" t="s">
        <v>335</v>
      </c>
      <c r="D294">
        <v>7</v>
      </c>
      <c r="E294">
        <v>4</v>
      </c>
      <c r="F294">
        <v>74</v>
      </c>
      <c r="G294">
        <v>2658</v>
      </c>
      <c r="H294">
        <v>31</v>
      </c>
      <c r="I294">
        <v>15</v>
      </c>
      <c r="J294">
        <v>9</v>
      </c>
      <c r="K294">
        <v>14.91</v>
      </c>
      <c r="L294">
        <v>1.96</v>
      </c>
      <c r="M294">
        <v>177</v>
      </c>
      <c r="N294">
        <v>715</v>
      </c>
      <c r="O294">
        <v>138</v>
      </c>
      <c r="P294">
        <f t="shared" si="13"/>
        <v>0.50485327313769757</v>
      </c>
      <c r="Q294">
        <f t="shared" si="14"/>
        <v>6.6365688487584645E-2</v>
      </c>
    </row>
    <row r="295" spans="1:17" x14ac:dyDescent="0.25">
      <c r="A295" t="str">
        <f t="shared" si="12"/>
        <v>Liam Delap</v>
      </c>
      <c r="B295" t="s">
        <v>338</v>
      </c>
      <c r="C295" t="s">
        <v>339</v>
      </c>
      <c r="D295">
        <v>7</v>
      </c>
      <c r="E295">
        <v>4</v>
      </c>
      <c r="F295">
        <v>62</v>
      </c>
      <c r="G295">
        <v>1092</v>
      </c>
      <c r="H295">
        <v>12</v>
      </c>
      <c r="I295">
        <v>1</v>
      </c>
      <c r="J295">
        <v>2</v>
      </c>
      <c r="K295">
        <v>4.54</v>
      </c>
      <c r="L295">
        <v>0.23</v>
      </c>
      <c r="M295">
        <v>45</v>
      </c>
      <c r="N295">
        <v>123</v>
      </c>
      <c r="O295">
        <v>42</v>
      </c>
      <c r="P295">
        <f t="shared" si="13"/>
        <v>0.37417582417582418</v>
      </c>
      <c r="Q295">
        <f t="shared" si="14"/>
        <v>1.8956043956043955E-2</v>
      </c>
    </row>
    <row r="296" spans="1:17" x14ac:dyDescent="0.25">
      <c r="A296" t="str">
        <f t="shared" si="12"/>
        <v>Nicolas Jackson</v>
      </c>
      <c r="B296" t="s">
        <v>336</v>
      </c>
      <c r="C296" t="s">
        <v>337</v>
      </c>
      <c r="D296">
        <v>7</v>
      </c>
      <c r="E296">
        <v>4</v>
      </c>
      <c r="F296">
        <v>65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f t="shared" si="13"/>
        <v>0</v>
      </c>
      <c r="Q296">
        <f t="shared" si="14"/>
        <v>0</v>
      </c>
    </row>
    <row r="297" spans="1:17" x14ac:dyDescent="0.25">
      <c r="A297" t="str">
        <f t="shared" si="12"/>
        <v>Marc Guiu Paz</v>
      </c>
      <c r="B297" t="s">
        <v>340</v>
      </c>
      <c r="C297" t="s">
        <v>341</v>
      </c>
      <c r="D297">
        <v>7</v>
      </c>
      <c r="E297">
        <v>4</v>
      </c>
      <c r="F297">
        <v>40</v>
      </c>
      <c r="G297">
        <v>265</v>
      </c>
      <c r="H297">
        <v>1</v>
      </c>
      <c r="I297">
        <v>0</v>
      </c>
      <c r="J297">
        <v>1</v>
      </c>
      <c r="K297">
        <v>1.54</v>
      </c>
      <c r="L297">
        <v>0.28999999999999998</v>
      </c>
      <c r="M297">
        <v>13</v>
      </c>
      <c r="N297">
        <v>19</v>
      </c>
      <c r="O297">
        <v>8</v>
      </c>
      <c r="P297">
        <f t="shared" si="13"/>
        <v>0.52301886792452834</v>
      </c>
      <c r="Q297">
        <f t="shared" si="14"/>
        <v>9.849056603773583E-2</v>
      </c>
    </row>
    <row r="298" spans="1:17" x14ac:dyDescent="0.25">
      <c r="A298" t="str">
        <f t="shared" si="12"/>
        <v>Alejandro Garnacho Ferreyra</v>
      </c>
      <c r="B298" t="s">
        <v>125</v>
      </c>
      <c r="C298" t="s">
        <v>126</v>
      </c>
      <c r="D298">
        <v>7</v>
      </c>
      <c r="E298">
        <v>3</v>
      </c>
      <c r="F298">
        <v>64</v>
      </c>
      <c r="G298">
        <v>1261</v>
      </c>
      <c r="H298">
        <v>14</v>
      </c>
      <c r="I298">
        <v>1</v>
      </c>
      <c r="J298">
        <v>4</v>
      </c>
      <c r="K298">
        <v>3.44</v>
      </c>
      <c r="L298">
        <v>3.68</v>
      </c>
      <c r="M298">
        <v>56</v>
      </c>
      <c r="N298">
        <v>222</v>
      </c>
      <c r="O298">
        <v>71</v>
      </c>
      <c r="P298">
        <f t="shared" si="13"/>
        <v>0.24551942902458368</v>
      </c>
      <c r="Q298">
        <f t="shared" si="14"/>
        <v>0.26264869151467091</v>
      </c>
    </row>
    <row r="299" spans="1:17" x14ac:dyDescent="0.25">
      <c r="A299" t="str">
        <f t="shared" si="12"/>
        <v>Jorrel Hato</v>
      </c>
      <c r="B299" t="s">
        <v>308</v>
      </c>
      <c r="C299" t="s">
        <v>309</v>
      </c>
      <c r="D299">
        <v>7</v>
      </c>
      <c r="E299">
        <v>2</v>
      </c>
      <c r="F299">
        <v>46</v>
      </c>
      <c r="G299">
        <v>1139</v>
      </c>
      <c r="H299">
        <v>12</v>
      </c>
      <c r="I299">
        <v>0</v>
      </c>
      <c r="J299">
        <v>0</v>
      </c>
      <c r="K299">
        <v>0.3</v>
      </c>
      <c r="L299">
        <v>0.61</v>
      </c>
      <c r="M299">
        <v>19</v>
      </c>
      <c r="N299">
        <v>93</v>
      </c>
      <c r="O299">
        <v>99</v>
      </c>
      <c r="P299">
        <f t="shared" si="13"/>
        <v>2.3705004389815626E-2</v>
      </c>
      <c r="Q299">
        <f t="shared" si="14"/>
        <v>4.8200175592625114E-2</v>
      </c>
    </row>
    <row r="300" spans="1:17" x14ac:dyDescent="0.25">
      <c r="A300" t="str">
        <f t="shared" si="12"/>
        <v>Landon Emenalo</v>
      </c>
      <c r="B300" t="s">
        <v>2445</v>
      </c>
      <c r="C300" t="s">
        <v>2446</v>
      </c>
      <c r="D300">
        <v>7</v>
      </c>
      <c r="E300">
        <v>3</v>
      </c>
      <c r="F300">
        <v>45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f t="shared" si="13"/>
        <v>0</v>
      </c>
      <c r="Q300">
        <f t="shared" si="14"/>
        <v>0</v>
      </c>
    </row>
    <row r="301" spans="1:17" x14ac:dyDescent="0.25">
      <c r="A301" t="str">
        <f t="shared" si="12"/>
        <v>Max Merrick</v>
      </c>
      <c r="B301" t="s">
        <v>57</v>
      </c>
      <c r="C301" t="s">
        <v>2447</v>
      </c>
      <c r="D301">
        <v>7</v>
      </c>
      <c r="E301">
        <v>1</v>
      </c>
      <c r="F301">
        <v>40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f t="shared" si="13"/>
        <v>0</v>
      </c>
      <c r="Q301">
        <f t="shared" si="14"/>
        <v>0</v>
      </c>
    </row>
    <row r="302" spans="1:17" x14ac:dyDescent="0.25">
      <c r="A302" t="str">
        <f t="shared" si="12"/>
        <v>Teddy Sharman-Lowe</v>
      </c>
      <c r="B302" t="s">
        <v>1568</v>
      </c>
      <c r="C302" t="s">
        <v>1569</v>
      </c>
      <c r="D302">
        <v>7</v>
      </c>
      <c r="E302">
        <v>1</v>
      </c>
      <c r="F302">
        <v>40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 t="shared" si="13"/>
        <v>0</v>
      </c>
      <c r="Q302">
        <f t="shared" si="14"/>
        <v>0</v>
      </c>
    </row>
    <row r="303" spans="1:17" x14ac:dyDescent="0.25">
      <c r="A303" t="str">
        <f t="shared" si="12"/>
        <v>Jesse Derry</v>
      </c>
      <c r="B303" t="s">
        <v>2448</v>
      </c>
      <c r="C303" t="s">
        <v>2449</v>
      </c>
      <c r="D303">
        <v>7</v>
      </c>
      <c r="E303">
        <v>3</v>
      </c>
      <c r="F303">
        <v>45</v>
      </c>
      <c r="G303">
        <v>45</v>
      </c>
      <c r="H303">
        <v>1</v>
      </c>
      <c r="I303">
        <v>0</v>
      </c>
      <c r="J303">
        <v>0</v>
      </c>
      <c r="K303">
        <v>0.1</v>
      </c>
      <c r="L303">
        <v>0.02</v>
      </c>
      <c r="M303">
        <v>1</v>
      </c>
      <c r="N303">
        <v>5</v>
      </c>
      <c r="O303">
        <v>3</v>
      </c>
      <c r="P303">
        <f t="shared" si="13"/>
        <v>0.2</v>
      </c>
      <c r="Q303">
        <f t="shared" si="14"/>
        <v>0.04</v>
      </c>
    </row>
    <row r="304" spans="1:17" x14ac:dyDescent="0.25">
      <c r="A304" t="str">
        <f t="shared" si="12"/>
        <v>Mathis Eboué</v>
      </c>
      <c r="B304" t="s">
        <v>2190</v>
      </c>
      <c r="C304" t="s">
        <v>2450</v>
      </c>
      <c r="D304">
        <v>7</v>
      </c>
      <c r="E304">
        <v>3</v>
      </c>
      <c r="F304">
        <v>45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f t="shared" si="13"/>
        <v>0</v>
      </c>
      <c r="Q304">
        <f t="shared" si="14"/>
        <v>0</v>
      </c>
    </row>
    <row r="305" spans="1:17" x14ac:dyDescent="0.25">
      <c r="A305" t="str">
        <f t="shared" si="12"/>
        <v>Ryan Kavuma-McQueen</v>
      </c>
      <c r="B305" t="s">
        <v>164</v>
      </c>
      <c r="C305" t="s">
        <v>2451</v>
      </c>
      <c r="D305">
        <v>7</v>
      </c>
      <c r="E305">
        <v>3</v>
      </c>
      <c r="F305">
        <v>45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f t="shared" si="13"/>
        <v>0</v>
      </c>
      <c r="Q305">
        <f t="shared" si="14"/>
        <v>0</v>
      </c>
    </row>
    <row r="306" spans="1:17" x14ac:dyDescent="0.25">
      <c r="A306" t="str">
        <f t="shared" si="12"/>
        <v>Shumaira Mheuka</v>
      </c>
      <c r="B306" t="s">
        <v>342</v>
      </c>
      <c r="C306" t="s">
        <v>343</v>
      </c>
      <c r="D306">
        <v>7</v>
      </c>
      <c r="E306">
        <v>4</v>
      </c>
      <c r="F306">
        <v>45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3</v>
      </c>
      <c r="O306">
        <v>1</v>
      </c>
      <c r="P306">
        <f t="shared" si="13"/>
        <v>0</v>
      </c>
      <c r="Q306">
        <f t="shared" si="14"/>
        <v>0</v>
      </c>
    </row>
    <row r="307" spans="1:17" x14ac:dyDescent="0.25">
      <c r="A307" t="str">
        <f t="shared" si="12"/>
        <v>Dean Henderson</v>
      </c>
      <c r="B307" t="s">
        <v>413</v>
      </c>
      <c r="C307" t="s">
        <v>290</v>
      </c>
      <c r="D307">
        <v>8</v>
      </c>
      <c r="E307">
        <v>1</v>
      </c>
      <c r="F307">
        <v>51</v>
      </c>
      <c r="G307">
        <v>3330</v>
      </c>
      <c r="H307">
        <v>37</v>
      </c>
      <c r="I307">
        <v>0</v>
      </c>
      <c r="J307">
        <v>0</v>
      </c>
      <c r="K307">
        <v>0</v>
      </c>
      <c r="L307">
        <v>0.11</v>
      </c>
      <c r="M307">
        <v>131</v>
      </c>
      <c r="N307">
        <v>538</v>
      </c>
      <c r="O307">
        <v>0</v>
      </c>
      <c r="P307">
        <f t="shared" si="13"/>
        <v>0</v>
      </c>
      <c r="Q307">
        <f t="shared" si="14"/>
        <v>2.972972972972973E-3</v>
      </c>
    </row>
    <row r="308" spans="1:17" x14ac:dyDescent="0.25">
      <c r="A308" t="str">
        <f t="shared" si="12"/>
        <v>Walter Benítez</v>
      </c>
      <c r="B308" t="s">
        <v>414</v>
      </c>
      <c r="C308" t="s">
        <v>415</v>
      </c>
      <c r="D308">
        <v>8</v>
      </c>
      <c r="E308">
        <v>1</v>
      </c>
      <c r="F308">
        <v>39</v>
      </c>
      <c r="G308">
        <v>90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7</v>
      </c>
      <c r="N308">
        <v>29</v>
      </c>
      <c r="O308">
        <v>0</v>
      </c>
      <c r="P308">
        <f t="shared" si="13"/>
        <v>0</v>
      </c>
      <c r="Q308">
        <f t="shared" si="14"/>
        <v>0</v>
      </c>
    </row>
    <row r="309" spans="1:17" x14ac:dyDescent="0.25">
      <c r="A309" t="str">
        <f t="shared" si="12"/>
        <v>Remi Matthews</v>
      </c>
      <c r="B309" t="s">
        <v>462</v>
      </c>
      <c r="C309" t="s">
        <v>463</v>
      </c>
      <c r="D309">
        <v>8</v>
      </c>
      <c r="E309">
        <v>1</v>
      </c>
      <c r="F309">
        <v>39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f t="shared" si="13"/>
        <v>0</v>
      </c>
      <c r="Q309">
        <f t="shared" si="14"/>
        <v>0</v>
      </c>
    </row>
    <row r="310" spans="1:17" x14ac:dyDescent="0.25">
      <c r="A310" t="str">
        <f t="shared" si="12"/>
        <v>Daniel Muñoz Mejía</v>
      </c>
      <c r="B310" t="s">
        <v>416</v>
      </c>
      <c r="C310" t="s">
        <v>417</v>
      </c>
      <c r="D310">
        <v>8</v>
      </c>
      <c r="E310">
        <v>2</v>
      </c>
      <c r="F310">
        <v>59</v>
      </c>
      <c r="G310">
        <v>2400</v>
      </c>
      <c r="H310">
        <v>29</v>
      </c>
      <c r="I310">
        <v>4</v>
      </c>
      <c r="J310">
        <v>4</v>
      </c>
      <c r="K310">
        <v>2.4500000000000002</v>
      </c>
      <c r="L310">
        <v>3.94</v>
      </c>
      <c r="M310">
        <v>136</v>
      </c>
      <c r="N310">
        <v>469</v>
      </c>
      <c r="O310">
        <v>196</v>
      </c>
      <c r="P310">
        <f t="shared" si="13"/>
        <v>9.1875000000000012E-2</v>
      </c>
      <c r="Q310">
        <f t="shared" si="14"/>
        <v>0.14774999999999999</v>
      </c>
    </row>
    <row r="311" spans="1:17" x14ac:dyDescent="0.25">
      <c r="A311" t="str">
        <f t="shared" si="12"/>
        <v>Maxence Lacroix</v>
      </c>
      <c r="B311" t="s">
        <v>346</v>
      </c>
      <c r="C311" t="s">
        <v>347</v>
      </c>
      <c r="D311">
        <v>8</v>
      </c>
      <c r="E311">
        <v>2</v>
      </c>
      <c r="F311">
        <v>52</v>
      </c>
      <c r="G311">
        <v>3085</v>
      </c>
      <c r="H311">
        <v>35</v>
      </c>
      <c r="I311">
        <v>1</v>
      </c>
      <c r="J311">
        <v>2</v>
      </c>
      <c r="K311">
        <v>2.4500000000000002</v>
      </c>
      <c r="L311">
        <v>0.83</v>
      </c>
      <c r="M311">
        <v>154</v>
      </c>
      <c r="N311">
        <v>529</v>
      </c>
      <c r="O311">
        <v>370</v>
      </c>
      <c r="P311">
        <f t="shared" si="13"/>
        <v>7.1474878444084289E-2</v>
      </c>
      <c r="Q311">
        <f t="shared" si="14"/>
        <v>2.4213938411669366E-2</v>
      </c>
    </row>
    <row r="312" spans="1:17" x14ac:dyDescent="0.25">
      <c r="A312" t="str">
        <f t="shared" si="12"/>
        <v>Tyrick Mitchell</v>
      </c>
      <c r="B312" t="s">
        <v>422</v>
      </c>
      <c r="C312" t="s">
        <v>423</v>
      </c>
      <c r="D312">
        <v>8</v>
      </c>
      <c r="E312">
        <v>2</v>
      </c>
      <c r="F312">
        <v>50</v>
      </c>
      <c r="G312">
        <v>3253</v>
      </c>
      <c r="H312">
        <v>36</v>
      </c>
      <c r="I312">
        <v>1</v>
      </c>
      <c r="J312">
        <v>3</v>
      </c>
      <c r="K312">
        <v>1.59</v>
      </c>
      <c r="L312">
        <v>2.5299999999999998</v>
      </c>
      <c r="M312">
        <v>135</v>
      </c>
      <c r="N312">
        <v>498</v>
      </c>
      <c r="O312">
        <v>245</v>
      </c>
      <c r="P312">
        <f t="shared" si="13"/>
        <v>4.3990162926529353E-2</v>
      </c>
      <c r="Q312">
        <f t="shared" si="14"/>
        <v>6.9996925914540417E-2</v>
      </c>
    </row>
    <row r="313" spans="1:17" x14ac:dyDescent="0.25">
      <c r="A313" t="str">
        <f t="shared" si="12"/>
        <v>Borna Sosa</v>
      </c>
      <c r="B313" t="s">
        <v>424</v>
      </c>
      <c r="C313" t="s">
        <v>425</v>
      </c>
      <c r="D313">
        <v>8</v>
      </c>
      <c r="E313">
        <v>2</v>
      </c>
      <c r="F313">
        <v>48</v>
      </c>
      <c r="G313">
        <v>99</v>
      </c>
      <c r="H313">
        <v>0</v>
      </c>
      <c r="I313">
        <v>0</v>
      </c>
      <c r="J313">
        <v>0</v>
      </c>
      <c r="K313">
        <v>0.04</v>
      </c>
      <c r="L313">
        <v>7.0000000000000007E-2</v>
      </c>
      <c r="M313">
        <v>6</v>
      </c>
      <c r="N313">
        <v>9</v>
      </c>
      <c r="O313">
        <v>9</v>
      </c>
      <c r="P313">
        <f t="shared" si="13"/>
        <v>3.6363636363636362E-2</v>
      </c>
      <c r="Q313">
        <f t="shared" si="14"/>
        <v>6.3636363636363644E-2</v>
      </c>
    </row>
    <row r="314" spans="1:17" x14ac:dyDescent="0.25">
      <c r="A314" t="str">
        <f t="shared" si="12"/>
        <v>Chris Richards</v>
      </c>
      <c r="B314" t="s">
        <v>418</v>
      </c>
      <c r="C314" t="s">
        <v>419</v>
      </c>
      <c r="D314">
        <v>8</v>
      </c>
      <c r="E314">
        <v>2</v>
      </c>
      <c r="F314">
        <v>44</v>
      </c>
      <c r="G314">
        <v>2825</v>
      </c>
      <c r="H314">
        <v>31</v>
      </c>
      <c r="I314">
        <v>1</v>
      </c>
      <c r="J314">
        <v>0</v>
      </c>
      <c r="K314">
        <v>2.42</v>
      </c>
      <c r="L314">
        <v>1.56</v>
      </c>
      <c r="M314">
        <v>128</v>
      </c>
      <c r="N314">
        <v>453</v>
      </c>
      <c r="O314">
        <v>311</v>
      </c>
      <c r="P314">
        <f t="shared" si="13"/>
        <v>7.709734513274337E-2</v>
      </c>
      <c r="Q314">
        <f t="shared" si="14"/>
        <v>4.9699115044247795E-2</v>
      </c>
    </row>
    <row r="315" spans="1:17" x14ac:dyDescent="0.25">
      <c r="A315" t="str">
        <f t="shared" si="12"/>
        <v>Chadi Riad Dnanou</v>
      </c>
      <c r="B315" t="s">
        <v>426</v>
      </c>
      <c r="C315" t="s">
        <v>427</v>
      </c>
      <c r="D315">
        <v>8</v>
      </c>
      <c r="E315">
        <v>2</v>
      </c>
      <c r="F315">
        <v>40</v>
      </c>
      <c r="G315">
        <v>550</v>
      </c>
      <c r="H315">
        <v>6</v>
      </c>
      <c r="I315">
        <v>0</v>
      </c>
      <c r="J315">
        <v>1</v>
      </c>
      <c r="K315">
        <v>0.33</v>
      </c>
      <c r="L315">
        <v>0.13</v>
      </c>
      <c r="M315">
        <v>20</v>
      </c>
      <c r="N315">
        <v>84</v>
      </c>
      <c r="O315">
        <v>45</v>
      </c>
      <c r="P315">
        <f t="shared" si="13"/>
        <v>5.4000000000000006E-2</v>
      </c>
      <c r="Q315">
        <f t="shared" si="14"/>
        <v>2.1272727272727273E-2</v>
      </c>
    </row>
    <row r="316" spans="1:17" x14ac:dyDescent="0.25">
      <c r="A316" t="str">
        <f t="shared" si="12"/>
        <v>Nathaniel Clyne</v>
      </c>
      <c r="B316" t="s">
        <v>1581</v>
      </c>
      <c r="C316" t="s">
        <v>1582</v>
      </c>
      <c r="D316">
        <v>8</v>
      </c>
      <c r="E316">
        <v>2</v>
      </c>
      <c r="F316">
        <v>38</v>
      </c>
      <c r="G316">
        <v>592</v>
      </c>
      <c r="H316">
        <v>7</v>
      </c>
      <c r="I316">
        <v>0</v>
      </c>
      <c r="J316">
        <v>1</v>
      </c>
      <c r="K316">
        <v>0.43</v>
      </c>
      <c r="L316">
        <v>0.6</v>
      </c>
      <c r="M316">
        <v>17</v>
      </c>
      <c r="N316">
        <v>50</v>
      </c>
      <c r="O316">
        <v>50</v>
      </c>
      <c r="P316">
        <f t="shared" si="13"/>
        <v>6.537162162162162E-2</v>
      </c>
      <c r="Q316">
        <f t="shared" si="14"/>
        <v>9.1216216216216228E-2</v>
      </c>
    </row>
    <row r="317" spans="1:17" x14ac:dyDescent="0.25">
      <c r="A317" t="str">
        <f t="shared" si="12"/>
        <v>Rob Holding</v>
      </c>
      <c r="B317" t="s">
        <v>1576</v>
      </c>
      <c r="C317" t="s">
        <v>1577</v>
      </c>
      <c r="D317">
        <v>8</v>
      </c>
      <c r="E317">
        <v>2</v>
      </c>
      <c r="F317">
        <v>40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f t="shared" si="13"/>
        <v>0</v>
      </c>
      <c r="Q317">
        <f t="shared" si="14"/>
        <v>0</v>
      </c>
    </row>
    <row r="318" spans="1:17" x14ac:dyDescent="0.25">
      <c r="A318" t="str">
        <f t="shared" si="12"/>
        <v>Caleb Kporha</v>
      </c>
      <c r="B318" t="s">
        <v>407</v>
      </c>
      <c r="C318" t="s">
        <v>2196</v>
      </c>
      <c r="D318">
        <v>8</v>
      </c>
      <c r="E318">
        <v>2</v>
      </c>
      <c r="F318">
        <v>40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f t="shared" si="13"/>
        <v>0</v>
      </c>
      <c r="Q318">
        <f t="shared" si="14"/>
        <v>0</v>
      </c>
    </row>
    <row r="319" spans="1:17" x14ac:dyDescent="0.25">
      <c r="A319" t="str">
        <f t="shared" si="12"/>
        <v>Ismaïla Sarr</v>
      </c>
      <c r="B319" t="s">
        <v>430</v>
      </c>
      <c r="C319" t="s">
        <v>312</v>
      </c>
      <c r="D319">
        <v>8</v>
      </c>
      <c r="E319">
        <v>3</v>
      </c>
      <c r="F319">
        <v>64</v>
      </c>
      <c r="G319">
        <v>2173</v>
      </c>
      <c r="H319">
        <v>24</v>
      </c>
      <c r="I319">
        <v>9</v>
      </c>
      <c r="J319">
        <v>2</v>
      </c>
      <c r="K319">
        <v>10.93</v>
      </c>
      <c r="L319">
        <v>1.17</v>
      </c>
      <c r="M319">
        <v>117</v>
      </c>
      <c r="N319">
        <v>359</v>
      </c>
      <c r="O319">
        <v>137</v>
      </c>
      <c r="P319">
        <f t="shared" si="13"/>
        <v>0.45269213069489178</v>
      </c>
      <c r="Q319">
        <f t="shared" si="14"/>
        <v>4.845835250805338E-2</v>
      </c>
    </row>
    <row r="320" spans="1:17" x14ac:dyDescent="0.25">
      <c r="A320" t="str">
        <f t="shared" si="12"/>
        <v>Cheick Doucouré</v>
      </c>
      <c r="B320" t="s">
        <v>444</v>
      </c>
      <c r="C320" t="s">
        <v>445</v>
      </c>
      <c r="D320">
        <v>8</v>
      </c>
      <c r="E320">
        <v>3</v>
      </c>
      <c r="F320">
        <v>49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f t="shared" si="13"/>
        <v>0</v>
      </c>
      <c r="Q320">
        <f t="shared" si="14"/>
        <v>0</v>
      </c>
    </row>
    <row r="321" spans="1:17" x14ac:dyDescent="0.25">
      <c r="A321" t="str">
        <f t="shared" si="12"/>
        <v>Romain Esse</v>
      </c>
      <c r="B321" t="s">
        <v>440</v>
      </c>
      <c r="C321" t="s">
        <v>441</v>
      </c>
      <c r="D321">
        <v>8</v>
      </c>
      <c r="E321">
        <v>3</v>
      </c>
      <c r="F321">
        <v>47</v>
      </c>
      <c r="G321">
        <v>40</v>
      </c>
      <c r="H321">
        <v>0</v>
      </c>
      <c r="I321">
        <v>0</v>
      </c>
      <c r="J321">
        <v>0</v>
      </c>
      <c r="K321">
        <v>0</v>
      </c>
      <c r="L321">
        <v>0.04</v>
      </c>
      <c r="M321">
        <v>4</v>
      </c>
      <c r="N321">
        <v>12</v>
      </c>
      <c r="O321">
        <v>5</v>
      </c>
      <c r="P321">
        <f t="shared" si="13"/>
        <v>0</v>
      </c>
      <c r="Q321">
        <f t="shared" si="14"/>
        <v>0.09</v>
      </c>
    </row>
    <row r="322" spans="1:17" x14ac:dyDescent="0.25">
      <c r="A322" t="str">
        <f t="shared" ref="A322:A385" si="15">_xlfn.CONCAT(B322, " ", C322)</f>
        <v>Will Hughes</v>
      </c>
      <c r="B322" t="s">
        <v>133</v>
      </c>
      <c r="C322" t="s">
        <v>434</v>
      </c>
      <c r="D322">
        <v>8</v>
      </c>
      <c r="E322">
        <v>3</v>
      </c>
      <c r="F322">
        <v>47</v>
      </c>
      <c r="G322">
        <v>1560</v>
      </c>
      <c r="H322">
        <v>19</v>
      </c>
      <c r="I322">
        <v>0</v>
      </c>
      <c r="J322">
        <v>1</v>
      </c>
      <c r="K322">
        <v>1.1100000000000001</v>
      </c>
      <c r="L322">
        <v>1.94</v>
      </c>
      <c r="M322">
        <v>45</v>
      </c>
      <c r="N322">
        <v>217</v>
      </c>
      <c r="O322">
        <v>148</v>
      </c>
      <c r="P322">
        <f t="shared" ref="P322:P385" si="16">IFERROR(K322/G322*90,0)</f>
        <v>6.4038461538461544E-2</v>
      </c>
      <c r="Q322">
        <f t="shared" ref="Q322:Q385" si="17">IFERROR(L322/G322*90,0)</f>
        <v>0.11192307692307693</v>
      </c>
    </row>
    <row r="323" spans="1:17" x14ac:dyDescent="0.25">
      <c r="A323" t="str">
        <f t="shared" si="15"/>
        <v>Daichi Kamada</v>
      </c>
      <c r="B323" t="s">
        <v>437</v>
      </c>
      <c r="C323" t="s">
        <v>438</v>
      </c>
      <c r="D323">
        <v>8</v>
      </c>
      <c r="E323">
        <v>3</v>
      </c>
      <c r="F323">
        <v>50</v>
      </c>
      <c r="G323">
        <v>1899</v>
      </c>
      <c r="H323">
        <v>22</v>
      </c>
      <c r="I323">
        <v>0</v>
      </c>
      <c r="J323">
        <v>2</v>
      </c>
      <c r="K323">
        <v>1.64</v>
      </c>
      <c r="L323">
        <v>3.24</v>
      </c>
      <c r="M323">
        <v>67</v>
      </c>
      <c r="N323">
        <v>331</v>
      </c>
      <c r="O323">
        <v>208</v>
      </c>
      <c r="P323">
        <f t="shared" si="16"/>
        <v>7.772511848341232E-2</v>
      </c>
      <c r="Q323">
        <f t="shared" si="17"/>
        <v>0.15355450236966825</v>
      </c>
    </row>
    <row r="324" spans="1:17" x14ac:dyDescent="0.25">
      <c r="A324" t="str">
        <f t="shared" si="15"/>
        <v>Jefferson Lerma Solís</v>
      </c>
      <c r="B324" t="s">
        <v>435</v>
      </c>
      <c r="C324" t="s">
        <v>436</v>
      </c>
      <c r="D324">
        <v>8</v>
      </c>
      <c r="E324">
        <v>3</v>
      </c>
      <c r="F324">
        <v>49</v>
      </c>
      <c r="G324">
        <v>1722</v>
      </c>
      <c r="H324">
        <v>18</v>
      </c>
      <c r="I324">
        <v>0</v>
      </c>
      <c r="J324">
        <v>5</v>
      </c>
      <c r="K324">
        <v>1.84</v>
      </c>
      <c r="L324">
        <v>1.48</v>
      </c>
      <c r="M324">
        <v>69</v>
      </c>
      <c r="N324">
        <v>296</v>
      </c>
      <c r="O324">
        <v>220</v>
      </c>
      <c r="P324">
        <f t="shared" si="16"/>
        <v>9.616724738675958E-2</v>
      </c>
      <c r="Q324">
        <f t="shared" si="17"/>
        <v>7.7351916376306618E-2</v>
      </c>
    </row>
    <row r="325" spans="1:17" x14ac:dyDescent="0.25">
      <c r="A325" t="str">
        <f t="shared" si="15"/>
        <v>Adam Wharton</v>
      </c>
      <c r="B325" t="s">
        <v>143</v>
      </c>
      <c r="C325" t="s">
        <v>431</v>
      </c>
      <c r="D325">
        <v>8</v>
      </c>
      <c r="E325">
        <v>3</v>
      </c>
      <c r="F325">
        <v>50</v>
      </c>
      <c r="G325">
        <v>2552</v>
      </c>
      <c r="H325">
        <v>29</v>
      </c>
      <c r="I325">
        <v>1</v>
      </c>
      <c r="J325">
        <v>6</v>
      </c>
      <c r="K325">
        <v>1.52</v>
      </c>
      <c r="L325">
        <v>7.47</v>
      </c>
      <c r="M325">
        <v>112</v>
      </c>
      <c r="N325">
        <v>511</v>
      </c>
      <c r="O325">
        <v>303</v>
      </c>
      <c r="P325">
        <f t="shared" si="16"/>
        <v>5.3605015673981196E-2</v>
      </c>
      <c r="Q325">
        <f t="shared" si="17"/>
        <v>0.26344043887147334</v>
      </c>
    </row>
    <row r="326" spans="1:17" x14ac:dyDescent="0.25">
      <c r="A326" t="str">
        <f t="shared" si="15"/>
        <v>Asher Agbinone</v>
      </c>
      <c r="B326" t="s">
        <v>2194</v>
      </c>
      <c r="C326" t="s">
        <v>2195</v>
      </c>
      <c r="D326">
        <v>8</v>
      </c>
      <c r="E326">
        <v>3</v>
      </c>
      <c r="F326">
        <v>43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f t="shared" si="16"/>
        <v>0</v>
      </c>
      <c r="Q326">
        <f t="shared" si="17"/>
        <v>0</v>
      </c>
    </row>
    <row r="327" spans="1:17" x14ac:dyDescent="0.25">
      <c r="A327" t="str">
        <f t="shared" si="15"/>
        <v>Naouirou Ahamada</v>
      </c>
      <c r="B327" t="s">
        <v>1578</v>
      </c>
      <c r="C327" t="s">
        <v>1579</v>
      </c>
      <c r="D327">
        <v>8</v>
      </c>
      <c r="E327">
        <v>3</v>
      </c>
      <c r="F327">
        <v>43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f t="shared" si="16"/>
        <v>0</v>
      </c>
      <c r="Q327">
        <f t="shared" si="17"/>
        <v>0</v>
      </c>
    </row>
    <row r="328" spans="1:17" x14ac:dyDescent="0.25">
      <c r="A328" t="str">
        <f t="shared" si="15"/>
        <v>Justin Devenny</v>
      </c>
      <c r="B328" t="s">
        <v>155</v>
      </c>
      <c r="C328" t="s">
        <v>439</v>
      </c>
      <c r="D328">
        <v>8</v>
      </c>
      <c r="E328">
        <v>3</v>
      </c>
      <c r="F328">
        <v>43</v>
      </c>
      <c r="G328">
        <v>785</v>
      </c>
      <c r="H328">
        <v>7</v>
      </c>
      <c r="I328">
        <v>1</v>
      </c>
      <c r="J328">
        <v>0</v>
      </c>
      <c r="K328">
        <v>2.38</v>
      </c>
      <c r="L328">
        <v>0.39</v>
      </c>
      <c r="M328">
        <v>36</v>
      </c>
      <c r="N328">
        <v>108</v>
      </c>
      <c r="O328">
        <v>72</v>
      </c>
      <c r="P328">
        <f t="shared" si="16"/>
        <v>0.27286624203821652</v>
      </c>
      <c r="Q328">
        <f t="shared" si="17"/>
        <v>4.4713375796178345E-2</v>
      </c>
    </row>
    <row r="329" spans="1:17" x14ac:dyDescent="0.25">
      <c r="A329" t="str">
        <f t="shared" si="15"/>
        <v>Malcolm Ebiowei</v>
      </c>
      <c r="B329" t="s">
        <v>1583</v>
      </c>
      <c r="C329" t="s">
        <v>1584</v>
      </c>
      <c r="D329">
        <v>8</v>
      </c>
      <c r="E329">
        <v>3</v>
      </c>
      <c r="F329">
        <v>45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f t="shared" si="16"/>
        <v>0</v>
      </c>
      <c r="Q329">
        <f t="shared" si="17"/>
        <v>0</v>
      </c>
    </row>
    <row r="330" spans="1:17" x14ac:dyDescent="0.25">
      <c r="A330" t="str">
        <f t="shared" si="15"/>
        <v>Jesurun Rak-Sakyi</v>
      </c>
      <c r="B330" t="s">
        <v>446</v>
      </c>
      <c r="C330" t="s">
        <v>447</v>
      </c>
      <c r="D330">
        <v>8</v>
      </c>
      <c r="E330">
        <v>3</v>
      </c>
      <c r="F330">
        <v>44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f t="shared" si="16"/>
        <v>0</v>
      </c>
      <c r="Q330">
        <f t="shared" si="17"/>
        <v>0</v>
      </c>
    </row>
    <row r="331" spans="1:17" x14ac:dyDescent="0.25">
      <c r="A331" t="str">
        <f t="shared" si="15"/>
        <v>Matheus França de Oliveira</v>
      </c>
      <c r="B331" t="s">
        <v>442</v>
      </c>
      <c r="C331" t="s">
        <v>443</v>
      </c>
      <c r="D331">
        <v>8</v>
      </c>
      <c r="E331">
        <v>3</v>
      </c>
      <c r="F331">
        <v>45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f t="shared" si="16"/>
        <v>0</v>
      </c>
      <c r="Q331">
        <f t="shared" si="17"/>
        <v>0</v>
      </c>
    </row>
    <row r="332" spans="1:17" x14ac:dyDescent="0.25">
      <c r="A332" t="str">
        <f t="shared" si="15"/>
        <v>David Ozoh</v>
      </c>
      <c r="B332" t="s">
        <v>20</v>
      </c>
      <c r="C332" t="s">
        <v>1603</v>
      </c>
      <c r="D332">
        <v>8</v>
      </c>
      <c r="E332">
        <v>3</v>
      </c>
      <c r="F332">
        <v>45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f t="shared" si="16"/>
        <v>0</v>
      </c>
      <c r="Q332">
        <f t="shared" si="17"/>
        <v>0</v>
      </c>
    </row>
    <row r="333" spans="1:17" x14ac:dyDescent="0.25">
      <c r="A333" t="str">
        <f t="shared" si="15"/>
        <v>Kaden Rodney</v>
      </c>
      <c r="B333" t="s">
        <v>1256</v>
      </c>
      <c r="C333" t="s">
        <v>1611</v>
      </c>
      <c r="D333">
        <v>8</v>
      </c>
      <c r="E333">
        <v>3</v>
      </c>
      <c r="F333">
        <v>44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0</v>
      </c>
      <c r="P333">
        <f t="shared" si="16"/>
        <v>0</v>
      </c>
      <c r="Q333">
        <f t="shared" si="17"/>
        <v>0</v>
      </c>
    </row>
    <row r="334" spans="1:17" x14ac:dyDescent="0.25">
      <c r="A334" t="str">
        <f t="shared" si="15"/>
        <v>Franco Umeh-Chibueze</v>
      </c>
      <c r="B334" t="s">
        <v>1609</v>
      </c>
      <c r="C334" t="s">
        <v>1610</v>
      </c>
      <c r="D334">
        <v>8</v>
      </c>
      <c r="E334">
        <v>3</v>
      </c>
      <c r="F334">
        <v>45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f t="shared" si="16"/>
        <v>0</v>
      </c>
      <c r="Q334">
        <f t="shared" si="17"/>
        <v>0</v>
      </c>
    </row>
    <row r="335" spans="1:17" x14ac:dyDescent="0.25">
      <c r="A335" t="str">
        <f t="shared" si="15"/>
        <v>Jean-Philippe Mateta</v>
      </c>
      <c r="B335" t="s">
        <v>454</v>
      </c>
      <c r="C335" t="s">
        <v>455</v>
      </c>
      <c r="D335">
        <v>8</v>
      </c>
      <c r="E335">
        <v>4</v>
      </c>
      <c r="F335">
        <v>76</v>
      </c>
      <c r="G335">
        <v>2210</v>
      </c>
      <c r="H335">
        <v>25</v>
      </c>
      <c r="I335">
        <v>12</v>
      </c>
      <c r="J335">
        <v>0</v>
      </c>
      <c r="K335">
        <v>14.42</v>
      </c>
      <c r="L335">
        <v>1.32</v>
      </c>
      <c r="M335">
        <v>114</v>
      </c>
      <c r="N335">
        <v>397</v>
      </c>
      <c r="O335">
        <v>125</v>
      </c>
      <c r="P335">
        <f t="shared" si="16"/>
        <v>0.58723981900452482</v>
      </c>
      <c r="Q335">
        <f t="shared" si="17"/>
        <v>5.375565610859729E-2</v>
      </c>
    </row>
    <row r="336" spans="1:17" x14ac:dyDescent="0.25">
      <c r="A336" t="str">
        <f t="shared" si="15"/>
        <v>Eddie Nketiah</v>
      </c>
      <c r="B336" t="s">
        <v>456</v>
      </c>
      <c r="C336" t="s">
        <v>457</v>
      </c>
      <c r="D336">
        <v>8</v>
      </c>
      <c r="E336">
        <v>4</v>
      </c>
      <c r="F336">
        <v>54</v>
      </c>
      <c r="G336">
        <v>414</v>
      </c>
      <c r="H336">
        <v>2</v>
      </c>
      <c r="I336">
        <v>2</v>
      </c>
      <c r="J336">
        <v>0</v>
      </c>
      <c r="K336">
        <v>1.77</v>
      </c>
      <c r="L336">
        <v>0.46</v>
      </c>
      <c r="M336">
        <v>23</v>
      </c>
      <c r="N336">
        <v>100</v>
      </c>
      <c r="O336">
        <v>38</v>
      </c>
      <c r="P336">
        <f t="shared" si="16"/>
        <v>0.38478260869565212</v>
      </c>
      <c r="Q336">
        <f t="shared" si="17"/>
        <v>0.1</v>
      </c>
    </row>
    <row r="337" spans="1:17" x14ac:dyDescent="0.25">
      <c r="A337" t="str">
        <f t="shared" si="15"/>
        <v>Odsonne Édouard</v>
      </c>
      <c r="B337" t="s">
        <v>1585</v>
      </c>
      <c r="C337" t="s">
        <v>2452</v>
      </c>
      <c r="D337">
        <v>8</v>
      </c>
      <c r="E337">
        <v>4</v>
      </c>
      <c r="F337">
        <v>50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6</v>
      </c>
      <c r="O337">
        <v>1</v>
      </c>
      <c r="P337">
        <f t="shared" si="16"/>
        <v>0</v>
      </c>
      <c r="Q337">
        <f t="shared" si="17"/>
        <v>0</v>
      </c>
    </row>
    <row r="338" spans="1:17" x14ac:dyDescent="0.25">
      <c r="A338" t="str">
        <f t="shared" si="15"/>
        <v>Zach Marsh</v>
      </c>
      <c r="B338" t="s">
        <v>901</v>
      </c>
      <c r="C338" t="s">
        <v>1955</v>
      </c>
      <c r="D338">
        <v>8</v>
      </c>
      <c r="E338">
        <v>4</v>
      </c>
      <c r="F338">
        <v>44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f t="shared" si="16"/>
        <v>0</v>
      </c>
      <c r="Q338">
        <f t="shared" si="17"/>
        <v>0</v>
      </c>
    </row>
    <row r="339" spans="1:17" x14ac:dyDescent="0.25">
      <c r="A339" t="str">
        <f t="shared" si="15"/>
        <v>Brennan Johnson</v>
      </c>
      <c r="B339" t="s">
        <v>470</v>
      </c>
      <c r="C339" t="s">
        <v>471</v>
      </c>
      <c r="D339">
        <v>8</v>
      </c>
      <c r="E339">
        <v>3</v>
      </c>
      <c r="F339">
        <v>65</v>
      </c>
      <c r="G339">
        <v>1710</v>
      </c>
      <c r="H339">
        <v>19</v>
      </c>
      <c r="I339">
        <v>2</v>
      </c>
      <c r="J339">
        <v>1</v>
      </c>
      <c r="K339">
        <v>2.4500000000000002</v>
      </c>
      <c r="L339">
        <v>1.31</v>
      </c>
      <c r="M339">
        <v>65</v>
      </c>
      <c r="N339">
        <v>217</v>
      </c>
      <c r="O339">
        <v>121</v>
      </c>
      <c r="P339">
        <f t="shared" si="16"/>
        <v>0.12894736842105264</v>
      </c>
      <c r="Q339">
        <f t="shared" si="17"/>
        <v>6.8947368421052632E-2</v>
      </c>
    </row>
    <row r="340" spans="1:17" x14ac:dyDescent="0.25">
      <c r="A340" t="str">
        <f t="shared" si="15"/>
        <v>Jørgen Strand Larsen</v>
      </c>
      <c r="B340" t="s">
        <v>452</v>
      </c>
      <c r="C340" t="s">
        <v>453</v>
      </c>
      <c r="D340">
        <v>8</v>
      </c>
      <c r="E340">
        <v>4</v>
      </c>
      <c r="F340">
        <v>58</v>
      </c>
      <c r="G340">
        <v>2301</v>
      </c>
      <c r="H340">
        <v>26</v>
      </c>
      <c r="I340">
        <v>4</v>
      </c>
      <c r="J340">
        <v>1</v>
      </c>
      <c r="K340">
        <v>5.3</v>
      </c>
      <c r="L340">
        <v>1.1200000000000001</v>
      </c>
      <c r="M340">
        <v>75</v>
      </c>
      <c r="N340">
        <v>215</v>
      </c>
      <c r="O340">
        <v>95</v>
      </c>
      <c r="P340">
        <f t="shared" si="16"/>
        <v>0.20730117340286833</v>
      </c>
      <c r="Q340">
        <f t="shared" si="17"/>
        <v>4.3807040417209911E-2</v>
      </c>
    </row>
    <row r="341" spans="1:17" x14ac:dyDescent="0.25">
      <c r="A341" t="str">
        <f t="shared" si="15"/>
        <v>Evann Guessand</v>
      </c>
      <c r="B341" t="s">
        <v>411</v>
      </c>
      <c r="C341" t="s">
        <v>412</v>
      </c>
      <c r="D341">
        <v>8</v>
      </c>
      <c r="E341">
        <v>3</v>
      </c>
      <c r="F341">
        <v>62</v>
      </c>
      <c r="G341">
        <v>909</v>
      </c>
      <c r="H341">
        <v>9</v>
      </c>
      <c r="I341">
        <v>1</v>
      </c>
      <c r="J341">
        <v>3</v>
      </c>
      <c r="K341">
        <v>1.56</v>
      </c>
      <c r="L341">
        <v>0.85</v>
      </c>
      <c r="M341">
        <v>44</v>
      </c>
      <c r="N341">
        <v>143</v>
      </c>
      <c r="O341">
        <v>83</v>
      </c>
      <c r="P341">
        <f t="shared" si="16"/>
        <v>0.15445544554455448</v>
      </c>
      <c r="Q341">
        <f t="shared" si="17"/>
        <v>8.415841584158415E-2</v>
      </c>
    </row>
    <row r="342" spans="1:17" x14ac:dyDescent="0.25">
      <c r="A342" t="str">
        <f t="shared" si="15"/>
        <v>Rio Cardines</v>
      </c>
      <c r="B342" t="s">
        <v>448</v>
      </c>
      <c r="C342" t="s">
        <v>449</v>
      </c>
      <c r="D342">
        <v>8</v>
      </c>
      <c r="E342">
        <v>3</v>
      </c>
      <c r="F342">
        <v>44</v>
      </c>
      <c r="G342">
        <v>90</v>
      </c>
      <c r="H342">
        <v>1</v>
      </c>
      <c r="I342">
        <v>0</v>
      </c>
      <c r="J342">
        <v>0</v>
      </c>
      <c r="K342">
        <v>0.02</v>
      </c>
      <c r="L342">
        <v>0.16</v>
      </c>
      <c r="M342">
        <v>2</v>
      </c>
      <c r="N342">
        <v>21</v>
      </c>
      <c r="O342">
        <v>7</v>
      </c>
      <c r="P342">
        <f t="shared" si="16"/>
        <v>0.02</v>
      </c>
      <c r="Q342">
        <f t="shared" si="17"/>
        <v>0.16</v>
      </c>
    </row>
    <row r="343" spans="1:17" x14ac:dyDescent="0.25">
      <c r="A343" t="str">
        <f t="shared" si="15"/>
        <v>Yéremy Pino Santos</v>
      </c>
      <c r="B343" t="s">
        <v>432</v>
      </c>
      <c r="C343" t="s">
        <v>433</v>
      </c>
      <c r="D343">
        <v>8</v>
      </c>
      <c r="E343">
        <v>3</v>
      </c>
      <c r="F343">
        <v>58</v>
      </c>
      <c r="G343">
        <v>2074</v>
      </c>
      <c r="H343">
        <v>26</v>
      </c>
      <c r="I343">
        <v>2</v>
      </c>
      <c r="J343">
        <v>2</v>
      </c>
      <c r="K343">
        <v>4.53</v>
      </c>
      <c r="L343">
        <v>6.12</v>
      </c>
      <c r="M343">
        <v>77</v>
      </c>
      <c r="N343">
        <v>331</v>
      </c>
      <c r="O343">
        <v>167</v>
      </c>
      <c r="P343">
        <f t="shared" si="16"/>
        <v>0.19657666345226618</v>
      </c>
      <c r="Q343">
        <f t="shared" si="17"/>
        <v>0.26557377049180325</v>
      </c>
    </row>
    <row r="344" spans="1:17" x14ac:dyDescent="0.25">
      <c r="A344" t="str">
        <f t="shared" si="15"/>
        <v>Jaydee Canvot</v>
      </c>
      <c r="B344" t="s">
        <v>420</v>
      </c>
      <c r="C344" t="s">
        <v>421</v>
      </c>
      <c r="D344">
        <v>8</v>
      </c>
      <c r="E344">
        <v>2</v>
      </c>
      <c r="F344">
        <v>45</v>
      </c>
      <c r="G344">
        <v>1331</v>
      </c>
      <c r="H344">
        <v>14</v>
      </c>
      <c r="I344">
        <v>0</v>
      </c>
      <c r="J344">
        <v>0</v>
      </c>
      <c r="K344">
        <v>1.48</v>
      </c>
      <c r="L344">
        <v>0.33</v>
      </c>
      <c r="M344">
        <v>72</v>
      </c>
      <c r="N344">
        <v>216</v>
      </c>
      <c r="O344">
        <v>169</v>
      </c>
      <c r="P344">
        <f t="shared" si="16"/>
        <v>0.10007513148009016</v>
      </c>
      <c r="Q344">
        <f t="shared" si="17"/>
        <v>2.2314049586776859E-2</v>
      </c>
    </row>
    <row r="345" spans="1:17" x14ac:dyDescent="0.25">
      <c r="A345" t="str">
        <f t="shared" si="15"/>
        <v>Christantus Uche</v>
      </c>
      <c r="B345" t="s">
        <v>458</v>
      </c>
      <c r="C345" t="s">
        <v>459</v>
      </c>
      <c r="D345">
        <v>8</v>
      </c>
      <c r="E345">
        <v>4</v>
      </c>
      <c r="F345">
        <v>55</v>
      </c>
      <c r="G345">
        <v>159</v>
      </c>
      <c r="H345">
        <v>0</v>
      </c>
      <c r="I345">
        <v>0</v>
      </c>
      <c r="J345">
        <v>1</v>
      </c>
      <c r="K345">
        <v>0.49</v>
      </c>
      <c r="L345">
        <v>0.01</v>
      </c>
      <c r="M345">
        <v>17</v>
      </c>
      <c r="N345">
        <v>42</v>
      </c>
      <c r="O345">
        <v>13</v>
      </c>
      <c r="P345">
        <f t="shared" si="16"/>
        <v>0.27735849056603773</v>
      </c>
      <c r="Q345">
        <f t="shared" si="17"/>
        <v>5.6603773584905656E-3</v>
      </c>
    </row>
    <row r="346" spans="1:17" x14ac:dyDescent="0.25">
      <c r="A346" t="str">
        <f t="shared" si="15"/>
        <v>Joél Drakes-Thomas</v>
      </c>
      <c r="B346" t="s">
        <v>450</v>
      </c>
      <c r="C346" t="s">
        <v>451</v>
      </c>
      <c r="D346">
        <v>8</v>
      </c>
      <c r="E346">
        <v>3</v>
      </c>
      <c r="F346">
        <v>45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6</v>
      </c>
      <c r="O346">
        <v>3</v>
      </c>
      <c r="P346">
        <f t="shared" si="16"/>
        <v>0</v>
      </c>
      <c r="Q346">
        <f t="shared" si="17"/>
        <v>0</v>
      </c>
    </row>
    <row r="347" spans="1:17" x14ac:dyDescent="0.25">
      <c r="A347" t="str">
        <f t="shared" si="15"/>
        <v>Dean Benamar</v>
      </c>
      <c r="B347" t="s">
        <v>413</v>
      </c>
      <c r="C347" t="s">
        <v>2453</v>
      </c>
      <c r="D347">
        <v>8</v>
      </c>
      <c r="E347">
        <v>2</v>
      </c>
      <c r="F347">
        <v>40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f t="shared" si="16"/>
        <v>0</v>
      </c>
      <c r="Q347">
        <f t="shared" si="17"/>
        <v>0</v>
      </c>
    </row>
    <row r="348" spans="1:17" x14ac:dyDescent="0.25">
      <c r="A348" t="str">
        <f t="shared" si="15"/>
        <v>Ben Casey</v>
      </c>
      <c r="B348" t="s">
        <v>159</v>
      </c>
      <c r="C348" t="s">
        <v>2052</v>
      </c>
      <c r="D348">
        <v>8</v>
      </c>
      <c r="E348">
        <v>4</v>
      </c>
      <c r="F348">
        <v>45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f t="shared" si="16"/>
        <v>0</v>
      </c>
      <c r="Q348">
        <f t="shared" si="17"/>
        <v>0</v>
      </c>
    </row>
    <row r="349" spans="1:17" x14ac:dyDescent="0.25">
      <c r="A349" t="str">
        <f t="shared" si="15"/>
        <v>George King</v>
      </c>
      <c r="B349" t="s">
        <v>113</v>
      </c>
      <c r="C349" t="s">
        <v>475</v>
      </c>
      <c r="D349">
        <v>8</v>
      </c>
      <c r="E349">
        <v>2</v>
      </c>
      <c r="F349">
        <v>40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f t="shared" si="16"/>
        <v>0</v>
      </c>
      <c r="Q349">
        <f t="shared" si="17"/>
        <v>0</v>
      </c>
    </row>
    <row r="350" spans="1:17" x14ac:dyDescent="0.25">
      <c r="A350" t="str">
        <f t="shared" si="15"/>
        <v>Danny Imray</v>
      </c>
      <c r="B350" t="s">
        <v>291</v>
      </c>
      <c r="C350" t="s">
        <v>2454</v>
      </c>
      <c r="D350">
        <v>8</v>
      </c>
      <c r="E350">
        <v>2</v>
      </c>
      <c r="F350">
        <v>40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f t="shared" si="16"/>
        <v>0</v>
      </c>
      <c r="Q350">
        <f t="shared" si="17"/>
        <v>0</v>
      </c>
    </row>
    <row r="351" spans="1:17" x14ac:dyDescent="0.25">
      <c r="A351" t="str">
        <f t="shared" si="15"/>
        <v>Kiernan Dewsbury-Hall</v>
      </c>
      <c r="B351" t="s">
        <v>484</v>
      </c>
      <c r="C351" t="s">
        <v>485</v>
      </c>
      <c r="D351">
        <v>9</v>
      </c>
      <c r="E351">
        <v>3</v>
      </c>
      <c r="F351">
        <v>53</v>
      </c>
      <c r="G351">
        <v>2629</v>
      </c>
      <c r="H351">
        <v>30</v>
      </c>
      <c r="I351">
        <v>8</v>
      </c>
      <c r="J351">
        <v>7</v>
      </c>
      <c r="K351">
        <v>4.3499999999999996</v>
      </c>
      <c r="L351">
        <v>5.34</v>
      </c>
      <c r="M351">
        <v>151</v>
      </c>
      <c r="N351">
        <v>598</v>
      </c>
      <c r="O351">
        <v>230</v>
      </c>
      <c r="P351">
        <f t="shared" si="16"/>
        <v>0.14891593761886648</v>
      </c>
      <c r="Q351">
        <f t="shared" si="17"/>
        <v>0.18280715100798783</v>
      </c>
    </row>
    <row r="352" spans="1:17" x14ac:dyDescent="0.25">
      <c r="A352" t="str">
        <f t="shared" si="15"/>
        <v>Tyrique George</v>
      </c>
      <c r="B352" t="s">
        <v>491</v>
      </c>
      <c r="C352" t="s">
        <v>113</v>
      </c>
      <c r="D352">
        <v>9</v>
      </c>
      <c r="E352">
        <v>3</v>
      </c>
      <c r="F352">
        <v>48</v>
      </c>
      <c r="G352">
        <v>351</v>
      </c>
      <c r="H352">
        <v>1</v>
      </c>
      <c r="I352">
        <v>0</v>
      </c>
      <c r="J352">
        <v>0</v>
      </c>
      <c r="K352">
        <v>0.64</v>
      </c>
      <c r="L352">
        <v>1.19</v>
      </c>
      <c r="M352">
        <v>16</v>
      </c>
      <c r="N352">
        <v>55</v>
      </c>
      <c r="O352">
        <v>23</v>
      </c>
      <c r="P352">
        <f t="shared" si="16"/>
        <v>0.1641025641025641</v>
      </c>
      <c r="Q352">
        <f t="shared" si="17"/>
        <v>0.3051282051282051</v>
      </c>
    </row>
    <row r="353" spans="1:17" x14ac:dyDescent="0.25">
      <c r="A353" t="str">
        <f t="shared" si="15"/>
        <v>Jordan Pickford</v>
      </c>
      <c r="B353" t="s">
        <v>289</v>
      </c>
      <c r="C353" t="s">
        <v>472</v>
      </c>
      <c r="D353">
        <v>9</v>
      </c>
      <c r="E353">
        <v>1</v>
      </c>
      <c r="F353">
        <v>56</v>
      </c>
      <c r="G353">
        <v>3420</v>
      </c>
      <c r="H353">
        <v>38</v>
      </c>
      <c r="I353">
        <v>0</v>
      </c>
      <c r="J353">
        <v>0</v>
      </c>
      <c r="K353">
        <v>0</v>
      </c>
      <c r="L353">
        <v>0.2</v>
      </c>
      <c r="M353">
        <v>135</v>
      </c>
      <c r="N353">
        <v>545</v>
      </c>
      <c r="O353">
        <v>0</v>
      </c>
      <c r="P353">
        <f t="shared" si="16"/>
        <v>0</v>
      </c>
      <c r="Q353">
        <f t="shared" si="17"/>
        <v>5.263157894736842E-3</v>
      </c>
    </row>
    <row r="354" spans="1:17" x14ac:dyDescent="0.25">
      <c r="A354" t="str">
        <f t="shared" si="15"/>
        <v>Mark Travers</v>
      </c>
      <c r="B354" t="s">
        <v>473</v>
      </c>
      <c r="C354" t="s">
        <v>474</v>
      </c>
      <c r="D354">
        <v>9</v>
      </c>
      <c r="E354">
        <v>1</v>
      </c>
      <c r="F354">
        <v>42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f t="shared" si="16"/>
        <v>0</v>
      </c>
      <c r="Q354">
        <f t="shared" si="17"/>
        <v>0</v>
      </c>
    </row>
    <row r="355" spans="1:17" x14ac:dyDescent="0.25">
      <c r="A355" t="str">
        <f t="shared" si="15"/>
        <v>Harry Tyrer</v>
      </c>
      <c r="B355" t="s">
        <v>270</v>
      </c>
      <c r="C355" t="s">
        <v>2455</v>
      </c>
      <c r="D355">
        <v>9</v>
      </c>
      <c r="E355">
        <v>1</v>
      </c>
      <c r="F355">
        <v>39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f t="shared" si="16"/>
        <v>0</v>
      </c>
      <c r="Q355">
        <f t="shared" si="17"/>
        <v>0</v>
      </c>
    </row>
    <row r="356" spans="1:17" x14ac:dyDescent="0.25">
      <c r="A356" t="str">
        <f t="shared" si="15"/>
        <v>Jarrad Branthwaite</v>
      </c>
      <c r="B356" t="s">
        <v>477</v>
      </c>
      <c r="C356" t="s">
        <v>478</v>
      </c>
      <c r="D356">
        <v>9</v>
      </c>
      <c r="E356">
        <v>2</v>
      </c>
      <c r="F356">
        <v>53</v>
      </c>
      <c r="G356">
        <v>678</v>
      </c>
      <c r="H356">
        <v>7</v>
      </c>
      <c r="I356">
        <v>1</v>
      </c>
      <c r="J356">
        <v>1</v>
      </c>
      <c r="K356">
        <v>0.34</v>
      </c>
      <c r="L356">
        <v>0.11</v>
      </c>
      <c r="M356">
        <v>32</v>
      </c>
      <c r="N356">
        <v>108</v>
      </c>
      <c r="O356">
        <v>67</v>
      </c>
      <c r="P356">
        <f t="shared" si="16"/>
        <v>4.5132743362831865E-2</v>
      </c>
      <c r="Q356">
        <f t="shared" si="17"/>
        <v>1.4601769911504426E-2</v>
      </c>
    </row>
    <row r="357" spans="1:17" x14ac:dyDescent="0.25">
      <c r="A357" t="str">
        <f t="shared" si="15"/>
        <v>James Tarkowski</v>
      </c>
      <c r="B357" t="s">
        <v>135</v>
      </c>
      <c r="C357" t="s">
        <v>476</v>
      </c>
      <c r="D357">
        <v>9</v>
      </c>
      <c r="E357">
        <v>2</v>
      </c>
      <c r="F357">
        <v>58</v>
      </c>
      <c r="G357">
        <v>3330</v>
      </c>
      <c r="H357">
        <v>37</v>
      </c>
      <c r="I357">
        <v>2</v>
      </c>
      <c r="J357">
        <v>3</v>
      </c>
      <c r="K357">
        <v>2.5299999999999998</v>
      </c>
      <c r="L357">
        <v>2.1</v>
      </c>
      <c r="M357">
        <v>170</v>
      </c>
      <c r="N357">
        <v>592</v>
      </c>
      <c r="O357">
        <v>376</v>
      </c>
      <c r="P357">
        <f t="shared" si="16"/>
        <v>6.8378378378378374E-2</v>
      </c>
      <c r="Q357">
        <f t="shared" si="17"/>
        <v>5.675675675675676E-2</v>
      </c>
    </row>
    <row r="358" spans="1:17" x14ac:dyDescent="0.25">
      <c r="A358" t="str">
        <f t="shared" si="15"/>
        <v>Vitalii Mykolenko</v>
      </c>
      <c r="B358" t="s">
        <v>480</v>
      </c>
      <c r="C358" t="s">
        <v>481</v>
      </c>
      <c r="D358">
        <v>9</v>
      </c>
      <c r="E358">
        <v>2</v>
      </c>
      <c r="F358">
        <v>49</v>
      </c>
      <c r="G358">
        <v>2959</v>
      </c>
      <c r="H358">
        <v>33</v>
      </c>
      <c r="I358">
        <v>0</v>
      </c>
      <c r="J358">
        <v>1</v>
      </c>
      <c r="K358">
        <v>0.28000000000000003</v>
      </c>
      <c r="L358">
        <v>2.46</v>
      </c>
      <c r="M358">
        <v>95</v>
      </c>
      <c r="N358">
        <v>350</v>
      </c>
      <c r="O358">
        <v>231</v>
      </c>
      <c r="P358">
        <f t="shared" si="16"/>
        <v>8.5163906725245035E-3</v>
      </c>
      <c r="Q358">
        <f t="shared" si="17"/>
        <v>7.4822575194322408E-2</v>
      </c>
    </row>
    <row r="359" spans="1:17" x14ac:dyDescent="0.25">
      <c r="A359" t="str">
        <f t="shared" si="15"/>
        <v>Jake O'Brien</v>
      </c>
      <c r="B359" t="s">
        <v>371</v>
      </c>
      <c r="C359" t="s">
        <v>479</v>
      </c>
      <c r="D359">
        <v>9</v>
      </c>
      <c r="E359">
        <v>2</v>
      </c>
      <c r="F359">
        <v>49</v>
      </c>
      <c r="G359">
        <v>3118</v>
      </c>
      <c r="H359">
        <v>35</v>
      </c>
      <c r="I359">
        <v>1</v>
      </c>
      <c r="J359">
        <v>3</v>
      </c>
      <c r="K359">
        <v>1.67</v>
      </c>
      <c r="L359">
        <v>1</v>
      </c>
      <c r="M359">
        <v>116</v>
      </c>
      <c r="N359">
        <v>368</v>
      </c>
      <c r="O359">
        <v>231</v>
      </c>
      <c r="P359">
        <f t="shared" si="16"/>
        <v>4.8203976908274535E-2</v>
      </c>
      <c r="Q359">
        <f t="shared" si="17"/>
        <v>2.8864656831302116E-2</v>
      </c>
    </row>
    <row r="360" spans="1:17" x14ac:dyDescent="0.25">
      <c r="A360" t="str">
        <f t="shared" si="15"/>
        <v>Séamus Coleman</v>
      </c>
      <c r="B360" t="s">
        <v>2198</v>
      </c>
      <c r="C360" t="s">
        <v>1617</v>
      </c>
      <c r="D360">
        <v>9</v>
      </c>
      <c r="E360">
        <v>2</v>
      </c>
      <c r="F360">
        <v>42</v>
      </c>
      <c r="G360">
        <v>19</v>
      </c>
      <c r="H360">
        <v>1</v>
      </c>
      <c r="I360">
        <v>0</v>
      </c>
      <c r="J360">
        <v>0</v>
      </c>
      <c r="K360">
        <v>0</v>
      </c>
      <c r="L360">
        <v>0.17</v>
      </c>
      <c r="M360">
        <v>5</v>
      </c>
      <c r="N360">
        <v>13</v>
      </c>
      <c r="O360">
        <v>2</v>
      </c>
      <c r="P360">
        <f t="shared" si="16"/>
        <v>0</v>
      </c>
      <c r="Q360">
        <f t="shared" si="17"/>
        <v>0.8052631578947369</v>
      </c>
    </row>
    <row r="361" spans="1:17" x14ac:dyDescent="0.25">
      <c r="A361" t="str">
        <f t="shared" si="15"/>
        <v>Michael Keane</v>
      </c>
      <c r="B361" t="s">
        <v>193</v>
      </c>
      <c r="C361" t="s">
        <v>189</v>
      </c>
      <c r="D361">
        <v>9</v>
      </c>
      <c r="E361">
        <v>2</v>
      </c>
      <c r="F361">
        <v>45</v>
      </c>
      <c r="G361">
        <v>2588</v>
      </c>
      <c r="H361">
        <v>29</v>
      </c>
      <c r="I361">
        <v>3</v>
      </c>
      <c r="J361">
        <v>1</v>
      </c>
      <c r="K361">
        <v>2.2999999999999998</v>
      </c>
      <c r="L361">
        <v>0.49</v>
      </c>
      <c r="M361">
        <v>131</v>
      </c>
      <c r="N361">
        <v>404</v>
      </c>
      <c r="O361">
        <v>302</v>
      </c>
      <c r="P361">
        <f t="shared" si="16"/>
        <v>7.9984544049459039E-2</v>
      </c>
      <c r="Q361">
        <f t="shared" si="17"/>
        <v>1.704018547140649E-2</v>
      </c>
    </row>
    <row r="362" spans="1:17" x14ac:dyDescent="0.25">
      <c r="A362" t="str">
        <f t="shared" si="15"/>
        <v>Nathan Patterson</v>
      </c>
      <c r="B362" t="s">
        <v>185</v>
      </c>
      <c r="C362" t="s">
        <v>482</v>
      </c>
      <c r="D362">
        <v>9</v>
      </c>
      <c r="E362">
        <v>2</v>
      </c>
      <c r="F362">
        <v>44</v>
      </c>
      <c r="G362">
        <v>238</v>
      </c>
      <c r="H362">
        <v>3</v>
      </c>
      <c r="I362">
        <v>0</v>
      </c>
      <c r="J362">
        <v>0</v>
      </c>
      <c r="K362">
        <v>0.03</v>
      </c>
      <c r="L362">
        <v>0.04</v>
      </c>
      <c r="M362">
        <v>22</v>
      </c>
      <c r="N362">
        <v>67</v>
      </c>
      <c r="O362">
        <v>31</v>
      </c>
      <c r="P362">
        <f t="shared" si="16"/>
        <v>1.134453781512605E-2</v>
      </c>
      <c r="Q362">
        <f t="shared" si="17"/>
        <v>1.5126050420168067E-2</v>
      </c>
    </row>
    <row r="363" spans="1:17" x14ac:dyDescent="0.25">
      <c r="A363" t="str">
        <f t="shared" si="15"/>
        <v>Roman Dixon</v>
      </c>
      <c r="B363" t="s">
        <v>2203</v>
      </c>
      <c r="C363" t="s">
        <v>2204</v>
      </c>
      <c r="D363">
        <v>9</v>
      </c>
      <c r="E363">
        <v>2</v>
      </c>
      <c r="F363">
        <v>38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f t="shared" si="16"/>
        <v>0</v>
      </c>
      <c r="Q363">
        <f t="shared" si="17"/>
        <v>0</v>
      </c>
    </row>
    <row r="364" spans="1:17" x14ac:dyDescent="0.25">
      <c r="A364" t="str">
        <f t="shared" si="15"/>
        <v>Reece Welch</v>
      </c>
      <c r="B364" t="s">
        <v>297</v>
      </c>
      <c r="C364" t="s">
        <v>2211</v>
      </c>
      <c r="D364">
        <v>9</v>
      </c>
      <c r="E364">
        <v>2</v>
      </c>
      <c r="F364">
        <v>38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f t="shared" si="16"/>
        <v>0</v>
      </c>
      <c r="Q364">
        <f t="shared" si="17"/>
        <v>0</v>
      </c>
    </row>
    <row r="365" spans="1:17" x14ac:dyDescent="0.25">
      <c r="A365" t="str">
        <f t="shared" si="15"/>
        <v>Iliman Ndiaye</v>
      </c>
      <c r="B365" t="s">
        <v>486</v>
      </c>
      <c r="C365" t="s">
        <v>487</v>
      </c>
      <c r="D365">
        <v>9</v>
      </c>
      <c r="E365">
        <v>3</v>
      </c>
      <c r="F365">
        <v>63</v>
      </c>
      <c r="G365">
        <v>2781</v>
      </c>
      <c r="H365">
        <v>32</v>
      </c>
      <c r="I365">
        <v>6</v>
      </c>
      <c r="J365">
        <v>3</v>
      </c>
      <c r="K365">
        <v>6.68</v>
      </c>
      <c r="L365">
        <v>4.41</v>
      </c>
      <c r="M365">
        <v>128</v>
      </c>
      <c r="N365">
        <v>540</v>
      </c>
      <c r="O365">
        <v>283</v>
      </c>
      <c r="P365">
        <f t="shared" si="16"/>
        <v>0.21618122977346277</v>
      </c>
      <c r="Q365">
        <f t="shared" si="17"/>
        <v>0.14271844660194175</v>
      </c>
    </row>
    <row r="366" spans="1:17" x14ac:dyDescent="0.25">
      <c r="A366" t="str">
        <f t="shared" si="15"/>
        <v>Dwight McNeil</v>
      </c>
      <c r="B366" t="s">
        <v>460</v>
      </c>
      <c r="C366" t="s">
        <v>461</v>
      </c>
      <c r="D366">
        <v>9</v>
      </c>
      <c r="E366">
        <v>3</v>
      </c>
      <c r="F366">
        <v>55</v>
      </c>
      <c r="G366">
        <v>1161</v>
      </c>
      <c r="H366">
        <v>14</v>
      </c>
      <c r="I366">
        <v>0</v>
      </c>
      <c r="J366">
        <v>3</v>
      </c>
      <c r="K366">
        <v>1.37</v>
      </c>
      <c r="L366">
        <v>1.91</v>
      </c>
      <c r="M366">
        <v>53</v>
      </c>
      <c r="N366">
        <v>186</v>
      </c>
      <c r="O366">
        <v>111</v>
      </c>
      <c r="P366">
        <f t="shared" si="16"/>
        <v>0.1062015503875969</v>
      </c>
      <c r="Q366">
        <f t="shared" si="17"/>
        <v>0.14806201550387596</v>
      </c>
    </row>
    <row r="367" spans="1:17" x14ac:dyDescent="0.25">
      <c r="A367" t="str">
        <f t="shared" si="15"/>
        <v>Carlos Alcaraz Durán</v>
      </c>
      <c r="B367" t="s">
        <v>268</v>
      </c>
      <c r="C367" t="s">
        <v>492</v>
      </c>
      <c r="D367">
        <v>9</v>
      </c>
      <c r="E367">
        <v>3</v>
      </c>
      <c r="F367">
        <v>52</v>
      </c>
      <c r="G367">
        <v>679</v>
      </c>
      <c r="H367">
        <v>6</v>
      </c>
      <c r="I367">
        <v>0</v>
      </c>
      <c r="J367">
        <v>1</v>
      </c>
      <c r="K367">
        <v>1.17</v>
      </c>
      <c r="L367">
        <v>0.54</v>
      </c>
      <c r="M367">
        <v>29</v>
      </c>
      <c r="N367">
        <v>121</v>
      </c>
      <c r="O367">
        <v>70</v>
      </c>
      <c r="P367">
        <f t="shared" si="16"/>
        <v>0.15508100147275403</v>
      </c>
      <c r="Q367">
        <f t="shared" si="17"/>
        <v>7.1575846833578802E-2</v>
      </c>
    </row>
    <row r="368" spans="1:17" x14ac:dyDescent="0.25">
      <c r="A368" t="str">
        <f t="shared" si="15"/>
        <v>Idrissa Gana Gueye</v>
      </c>
      <c r="B368" t="s">
        <v>2456</v>
      </c>
      <c r="C368" t="s">
        <v>1625</v>
      </c>
      <c r="D368">
        <v>9</v>
      </c>
      <c r="E368">
        <v>3</v>
      </c>
      <c r="F368">
        <v>54</v>
      </c>
      <c r="G368">
        <v>2094</v>
      </c>
      <c r="H368">
        <v>25</v>
      </c>
      <c r="I368">
        <v>2</v>
      </c>
      <c r="J368">
        <v>3</v>
      </c>
      <c r="K368">
        <v>1.99</v>
      </c>
      <c r="L368">
        <v>1.84</v>
      </c>
      <c r="M368">
        <v>83</v>
      </c>
      <c r="N368">
        <v>419</v>
      </c>
      <c r="O368">
        <v>218</v>
      </c>
      <c r="P368">
        <f t="shared" si="16"/>
        <v>8.5530085959885385E-2</v>
      </c>
      <c r="Q368">
        <f t="shared" si="17"/>
        <v>7.9083094555873923E-2</v>
      </c>
    </row>
    <row r="369" spans="1:17" x14ac:dyDescent="0.25">
      <c r="A369" t="str">
        <f t="shared" si="15"/>
        <v>James Garner</v>
      </c>
      <c r="B369" t="s">
        <v>135</v>
      </c>
      <c r="C369" t="s">
        <v>488</v>
      </c>
      <c r="D369">
        <v>9</v>
      </c>
      <c r="E369">
        <v>3</v>
      </c>
      <c r="F369">
        <v>52</v>
      </c>
      <c r="G369">
        <v>3413</v>
      </c>
      <c r="H369">
        <v>38</v>
      </c>
      <c r="I369">
        <v>2</v>
      </c>
      <c r="J369">
        <v>7</v>
      </c>
      <c r="K369">
        <v>2.1</v>
      </c>
      <c r="L369">
        <v>6.18</v>
      </c>
      <c r="M369">
        <v>159</v>
      </c>
      <c r="N369">
        <v>818</v>
      </c>
      <c r="O369">
        <v>458</v>
      </c>
      <c r="P369">
        <f t="shared" si="16"/>
        <v>5.5376501611485503E-2</v>
      </c>
      <c r="Q369">
        <f t="shared" si="17"/>
        <v>0.16296513331380016</v>
      </c>
    </row>
    <row r="370" spans="1:17" x14ac:dyDescent="0.25">
      <c r="A370" t="str">
        <f t="shared" si="15"/>
        <v>Tim Iroegbunam</v>
      </c>
      <c r="B370" t="s">
        <v>489</v>
      </c>
      <c r="C370" t="s">
        <v>490</v>
      </c>
      <c r="D370">
        <v>9</v>
      </c>
      <c r="E370">
        <v>3</v>
      </c>
      <c r="F370">
        <v>48</v>
      </c>
      <c r="G370">
        <v>1477</v>
      </c>
      <c r="H370">
        <v>17</v>
      </c>
      <c r="I370">
        <v>0</v>
      </c>
      <c r="J370">
        <v>3</v>
      </c>
      <c r="K370">
        <v>0.54</v>
      </c>
      <c r="L370">
        <v>0.71</v>
      </c>
      <c r="M370">
        <v>68</v>
      </c>
      <c r="N370">
        <v>225</v>
      </c>
      <c r="O370">
        <v>189</v>
      </c>
      <c r="P370">
        <f t="shared" si="16"/>
        <v>3.2904536222071769E-2</v>
      </c>
      <c r="Q370">
        <f t="shared" si="17"/>
        <v>4.3263371699390651E-2</v>
      </c>
    </row>
    <row r="371" spans="1:17" x14ac:dyDescent="0.25">
      <c r="A371" t="str">
        <f t="shared" si="15"/>
        <v>Harrison Armstrong</v>
      </c>
      <c r="B371" t="s">
        <v>493</v>
      </c>
      <c r="C371" t="s">
        <v>494</v>
      </c>
      <c r="D371">
        <v>9</v>
      </c>
      <c r="E371">
        <v>3</v>
      </c>
      <c r="F371">
        <v>45</v>
      </c>
      <c r="G371">
        <v>524</v>
      </c>
      <c r="H371">
        <v>6</v>
      </c>
      <c r="I371">
        <v>0</v>
      </c>
      <c r="J371">
        <v>0</v>
      </c>
      <c r="K371">
        <v>0.79</v>
      </c>
      <c r="L371">
        <v>0.22</v>
      </c>
      <c r="M371">
        <v>21</v>
      </c>
      <c r="N371">
        <v>84</v>
      </c>
      <c r="O371">
        <v>50</v>
      </c>
      <c r="P371">
        <f t="shared" si="16"/>
        <v>0.13568702290076337</v>
      </c>
      <c r="Q371">
        <f t="shared" si="17"/>
        <v>3.7786259541984731E-2</v>
      </c>
    </row>
    <row r="372" spans="1:17" x14ac:dyDescent="0.25">
      <c r="A372" t="str">
        <f t="shared" si="15"/>
        <v>Callum Bates</v>
      </c>
      <c r="B372" t="s">
        <v>227</v>
      </c>
      <c r="C372" t="s">
        <v>2205</v>
      </c>
      <c r="D372">
        <v>9</v>
      </c>
      <c r="E372">
        <v>3</v>
      </c>
      <c r="F372">
        <v>43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f t="shared" si="16"/>
        <v>0</v>
      </c>
      <c r="Q372">
        <f t="shared" si="17"/>
        <v>0</v>
      </c>
    </row>
    <row r="373" spans="1:17" x14ac:dyDescent="0.25">
      <c r="A373" t="str">
        <f t="shared" si="15"/>
        <v>Coby Ebere</v>
      </c>
      <c r="B373" t="s">
        <v>2209</v>
      </c>
      <c r="C373" t="s">
        <v>2210</v>
      </c>
      <c r="D373">
        <v>9</v>
      </c>
      <c r="E373">
        <v>3</v>
      </c>
      <c r="F373">
        <v>44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f t="shared" si="16"/>
        <v>0</v>
      </c>
      <c r="Q373">
        <f t="shared" si="17"/>
        <v>0</v>
      </c>
    </row>
    <row r="374" spans="1:17" x14ac:dyDescent="0.25">
      <c r="A374" t="str">
        <f t="shared" si="15"/>
        <v>Isaac Heath</v>
      </c>
      <c r="B374" t="s">
        <v>1845</v>
      </c>
      <c r="C374" t="s">
        <v>2208</v>
      </c>
      <c r="D374">
        <v>9</v>
      </c>
      <c r="E374">
        <v>3</v>
      </c>
      <c r="F374">
        <v>45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f t="shared" si="16"/>
        <v>0</v>
      </c>
      <c r="Q374">
        <f t="shared" si="17"/>
        <v>0</v>
      </c>
    </row>
    <row r="375" spans="1:17" x14ac:dyDescent="0.25">
      <c r="A375" t="str">
        <f t="shared" si="15"/>
        <v>Jenson Metcalfe</v>
      </c>
      <c r="B375" t="s">
        <v>997</v>
      </c>
      <c r="C375" t="s">
        <v>1639</v>
      </c>
      <c r="D375">
        <v>9</v>
      </c>
      <c r="E375">
        <v>3</v>
      </c>
      <c r="F375">
        <v>45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f t="shared" si="16"/>
        <v>0</v>
      </c>
      <c r="Q375">
        <f t="shared" si="17"/>
        <v>0</v>
      </c>
    </row>
    <row r="376" spans="1:17" x14ac:dyDescent="0.25">
      <c r="A376" t="str">
        <f t="shared" si="15"/>
        <v>Thierno Barry</v>
      </c>
      <c r="B376" t="s">
        <v>502</v>
      </c>
      <c r="C376" t="s">
        <v>503</v>
      </c>
      <c r="D376">
        <v>9</v>
      </c>
      <c r="E376">
        <v>4</v>
      </c>
      <c r="F376">
        <v>57</v>
      </c>
      <c r="G376">
        <v>1898</v>
      </c>
      <c r="H376">
        <v>21</v>
      </c>
      <c r="I376">
        <v>8</v>
      </c>
      <c r="J376">
        <v>0</v>
      </c>
      <c r="K376">
        <v>8.17</v>
      </c>
      <c r="L376">
        <v>0.44</v>
      </c>
      <c r="M376">
        <v>95</v>
      </c>
      <c r="N376">
        <v>295</v>
      </c>
      <c r="O376">
        <v>74</v>
      </c>
      <c r="P376">
        <f t="shared" si="16"/>
        <v>0.38740779768177025</v>
      </c>
      <c r="Q376">
        <f t="shared" si="17"/>
        <v>2.0864067439409908E-2</v>
      </c>
    </row>
    <row r="377" spans="1:17" x14ac:dyDescent="0.25">
      <c r="A377" t="str">
        <f t="shared" si="15"/>
        <v>Norberto Bercique Gomes Betuncal</v>
      </c>
      <c r="B377" t="s">
        <v>500</v>
      </c>
      <c r="C377" t="s">
        <v>501</v>
      </c>
      <c r="D377">
        <v>9</v>
      </c>
      <c r="E377">
        <v>4</v>
      </c>
      <c r="F377">
        <v>51</v>
      </c>
      <c r="G377">
        <v>1551</v>
      </c>
      <c r="H377">
        <v>17</v>
      </c>
      <c r="I377">
        <v>9</v>
      </c>
      <c r="J377">
        <v>1</v>
      </c>
      <c r="K377">
        <v>8.9</v>
      </c>
      <c r="L377">
        <v>0.23</v>
      </c>
      <c r="M377">
        <v>104</v>
      </c>
      <c r="N377">
        <v>343</v>
      </c>
      <c r="O377">
        <v>89</v>
      </c>
      <c r="P377">
        <f t="shared" si="16"/>
        <v>0.51644100580270791</v>
      </c>
      <c r="Q377">
        <f t="shared" si="17"/>
        <v>1.3346228239845262E-2</v>
      </c>
    </row>
    <row r="378" spans="1:17" x14ac:dyDescent="0.25">
      <c r="A378" t="str">
        <f t="shared" si="15"/>
        <v>Youssef Ramalho Chermiti</v>
      </c>
      <c r="B378" t="s">
        <v>1633</v>
      </c>
      <c r="C378" t="s">
        <v>1634</v>
      </c>
      <c r="D378">
        <v>9</v>
      </c>
      <c r="E378">
        <v>4</v>
      </c>
      <c r="F378">
        <v>49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f t="shared" si="16"/>
        <v>0</v>
      </c>
      <c r="Q378">
        <f t="shared" si="17"/>
        <v>0</v>
      </c>
    </row>
    <row r="379" spans="1:17" x14ac:dyDescent="0.25">
      <c r="A379" t="str">
        <f t="shared" si="15"/>
        <v>Martin Sherif</v>
      </c>
      <c r="B379" t="s">
        <v>48</v>
      </c>
      <c r="C379" t="s">
        <v>2206</v>
      </c>
      <c r="D379">
        <v>9</v>
      </c>
      <c r="E379">
        <v>4</v>
      </c>
      <c r="F379">
        <v>44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f t="shared" si="16"/>
        <v>0</v>
      </c>
      <c r="Q379">
        <f t="shared" si="17"/>
        <v>0</v>
      </c>
    </row>
    <row r="380" spans="1:17" x14ac:dyDescent="0.25">
      <c r="A380" t="str">
        <f t="shared" si="15"/>
        <v>Jack Grealish</v>
      </c>
      <c r="B380" t="s">
        <v>253</v>
      </c>
      <c r="C380" t="s">
        <v>748</v>
      </c>
      <c r="D380">
        <v>9</v>
      </c>
      <c r="E380">
        <v>3</v>
      </c>
      <c r="F380">
        <v>63</v>
      </c>
      <c r="G380">
        <v>1627</v>
      </c>
      <c r="H380">
        <v>18</v>
      </c>
      <c r="I380">
        <v>2</v>
      </c>
      <c r="J380">
        <v>6</v>
      </c>
      <c r="K380">
        <v>2.0499999999999998</v>
      </c>
      <c r="L380">
        <v>3.37</v>
      </c>
      <c r="M380">
        <v>79</v>
      </c>
      <c r="N380">
        <v>356</v>
      </c>
      <c r="O380">
        <v>135</v>
      </c>
      <c r="P380">
        <f t="shared" si="16"/>
        <v>0.11339889366933004</v>
      </c>
      <c r="Q380">
        <f t="shared" si="17"/>
        <v>0.18641671788567918</v>
      </c>
    </row>
    <row r="381" spans="1:17" x14ac:dyDescent="0.25">
      <c r="A381" t="str">
        <f t="shared" si="15"/>
        <v>Tom King</v>
      </c>
      <c r="B381" t="s">
        <v>272</v>
      </c>
      <c r="C381" t="s">
        <v>475</v>
      </c>
      <c r="D381">
        <v>9</v>
      </c>
      <c r="E381">
        <v>1</v>
      </c>
      <c r="F381">
        <v>39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f t="shared" si="16"/>
        <v>0</v>
      </c>
      <c r="Q381">
        <f t="shared" si="17"/>
        <v>0</v>
      </c>
    </row>
    <row r="382" spans="1:17" x14ac:dyDescent="0.25">
      <c r="A382" t="str">
        <f t="shared" si="15"/>
        <v>Adam Aznou</v>
      </c>
      <c r="B382" t="s">
        <v>143</v>
      </c>
      <c r="C382" t="s">
        <v>483</v>
      </c>
      <c r="D382">
        <v>9</v>
      </c>
      <c r="E382">
        <v>2</v>
      </c>
      <c r="F382">
        <v>42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f t="shared" si="16"/>
        <v>0</v>
      </c>
      <c r="Q382">
        <f t="shared" si="17"/>
        <v>0</v>
      </c>
    </row>
    <row r="383" spans="1:17" x14ac:dyDescent="0.25">
      <c r="A383" t="str">
        <f t="shared" si="15"/>
        <v>Tyler Onyango</v>
      </c>
      <c r="B383" t="s">
        <v>161</v>
      </c>
      <c r="C383" t="s">
        <v>1636</v>
      </c>
      <c r="D383">
        <v>9</v>
      </c>
      <c r="E383">
        <v>3</v>
      </c>
      <c r="F383">
        <v>45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f t="shared" si="16"/>
        <v>0</v>
      </c>
      <c r="Q383">
        <f t="shared" si="17"/>
        <v>0</v>
      </c>
    </row>
    <row r="384" spans="1:17" x14ac:dyDescent="0.25">
      <c r="A384" t="str">
        <f t="shared" si="15"/>
        <v>Elijah Campbell</v>
      </c>
      <c r="B384" t="s">
        <v>1640</v>
      </c>
      <c r="C384" t="s">
        <v>1641</v>
      </c>
      <c r="D384">
        <v>9</v>
      </c>
      <c r="E384">
        <v>2</v>
      </c>
      <c r="F384">
        <v>39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f t="shared" si="16"/>
        <v>0</v>
      </c>
      <c r="Q384">
        <f t="shared" si="17"/>
        <v>0</v>
      </c>
    </row>
    <row r="385" spans="1:17" x14ac:dyDescent="0.25">
      <c r="A385" t="str">
        <f t="shared" si="15"/>
        <v>Tyler Dibling</v>
      </c>
      <c r="B385" t="s">
        <v>161</v>
      </c>
      <c r="C385" t="s">
        <v>495</v>
      </c>
      <c r="D385">
        <v>9</v>
      </c>
      <c r="E385">
        <v>3</v>
      </c>
      <c r="F385">
        <v>53</v>
      </c>
      <c r="G385">
        <v>349</v>
      </c>
      <c r="H385">
        <v>4</v>
      </c>
      <c r="I385">
        <v>0</v>
      </c>
      <c r="J385">
        <v>0</v>
      </c>
      <c r="K385">
        <v>0.2</v>
      </c>
      <c r="L385">
        <v>0.14000000000000001</v>
      </c>
      <c r="M385">
        <v>18</v>
      </c>
      <c r="N385">
        <v>49</v>
      </c>
      <c r="O385">
        <v>40</v>
      </c>
      <c r="P385">
        <f t="shared" si="16"/>
        <v>5.1575931232091698E-2</v>
      </c>
      <c r="Q385">
        <f t="shared" si="17"/>
        <v>3.6103151862464183E-2</v>
      </c>
    </row>
    <row r="386" spans="1:17" x14ac:dyDescent="0.25">
      <c r="A386" t="str">
        <f t="shared" ref="A386:A449" si="18">_xlfn.CONCAT(B386, " ", C386)</f>
        <v>Merlin Röhl</v>
      </c>
      <c r="B386" t="s">
        <v>496</v>
      </c>
      <c r="C386" t="s">
        <v>497</v>
      </c>
      <c r="D386">
        <v>9</v>
      </c>
      <c r="E386">
        <v>3</v>
      </c>
      <c r="F386">
        <v>50</v>
      </c>
      <c r="G386">
        <v>675</v>
      </c>
      <c r="H386">
        <v>6</v>
      </c>
      <c r="I386">
        <v>1</v>
      </c>
      <c r="J386">
        <v>1</v>
      </c>
      <c r="K386">
        <v>0.67</v>
      </c>
      <c r="L386">
        <v>0.35</v>
      </c>
      <c r="M386">
        <v>36</v>
      </c>
      <c r="N386">
        <v>98</v>
      </c>
      <c r="O386">
        <v>68</v>
      </c>
      <c r="P386">
        <f t="shared" ref="P386:P449" si="19">IFERROR(K386/G386*90,0)</f>
        <v>8.9333333333333334E-2</v>
      </c>
      <c r="Q386">
        <f t="shared" ref="Q386:Q449" si="20">IFERROR(L386/G386*90,0)</f>
        <v>4.6666666666666669E-2</v>
      </c>
    </row>
    <row r="387" spans="1:17" x14ac:dyDescent="0.25">
      <c r="A387" t="str">
        <f t="shared" si="18"/>
        <v>Braiden Graham</v>
      </c>
      <c r="B387" t="s">
        <v>2457</v>
      </c>
      <c r="C387" t="s">
        <v>2375</v>
      </c>
      <c r="D387">
        <v>9</v>
      </c>
      <c r="E387">
        <v>4</v>
      </c>
      <c r="F387">
        <v>45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f t="shared" si="19"/>
        <v>0</v>
      </c>
      <c r="Q387">
        <f t="shared" si="20"/>
        <v>0</v>
      </c>
    </row>
    <row r="388" spans="1:17" x14ac:dyDescent="0.25">
      <c r="A388" t="str">
        <f t="shared" si="18"/>
        <v>Bernd Leno</v>
      </c>
      <c r="B388" t="s">
        <v>504</v>
      </c>
      <c r="C388" t="s">
        <v>505</v>
      </c>
      <c r="D388">
        <v>10</v>
      </c>
      <c r="E388">
        <v>1</v>
      </c>
      <c r="F388">
        <v>50</v>
      </c>
      <c r="G388">
        <v>3420</v>
      </c>
      <c r="H388">
        <v>38</v>
      </c>
      <c r="I388">
        <v>0</v>
      </c>
      <c r="J388">
        <v>0</v>
      </c>
      <c r="K388">
        <v>0</v>
      </c>
      <c r="L388">
        <v>0.02</v>
      </c>
      <c r="M388">
        <v>122</v>
      </c>
      <c r="N388">
        <v>556</v>
      </c>
      <c r="O388">
        <v>0</v>
      </c>
      <c r="P388">
        <f t="shared" si="19"/>
        <v>0</v>
      </c>
      <c r="Q388">
        <f t="shared" si="20"/>
        <v>5.263157894736842E-4</v>
      </c>
    </row>
    <row r="389" spans="1:17" x14ac:dyDescent="0.25">
      <c r="A389" t="str">
        <f t="shared" si="18"/>
        <v>Steven Benda</v>
      </c>
      <c r="B389" t="s">
        <v>927</v>
      </c>
      <c r="C389" t="s">
        <v>928</v>
      </c>
      <c r="D389">
        <v>10</v>
      </c>
      <c r="E389">
        <v>1</v>
      </c>
      <c r="F389">
        <v>40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f t="shared" si="19"/>
        <v>0</v>
      </c>
      <c r="Q389">
        <f t="shared" si="20"/>
        <v>0</v>
      </c>
    </row>
    <row r="390" spans="1:17" x14ac:dyDescent="0.25">
      <c r="A390" t="str">
        <f t="shared" si="18"/>
        <v>Antonee Robinson</v>
      </c>
      <c r="B390" t="s">
        <v>511</v>
      </c>
      <c r="C390" t="s">
        <v>512</v>
      </c>
      <c r="D390">
        <v>10</v>
      </c>
      <c r="E390">
        <v>2</v>
      </c>
      <c r="F390">
        <v>49</v>
      </c>
      <c r="G390">
        <v>1487</v>
      </c>
      <c r="H390">
        <v>17</v>
      </c>
      <c r="I390">
        <v>1</v>
      </c>
      <c r="J390">
        <v>0</v>
      </c>
      <c r="K390">
        <v>1.07</v>
      </c>
      <c r="L390">
        <v>1.58</v>
      </c>
      <c r="M390">
        <v>65</v>
      </c>
      <c r="N390">
        <v>280</v>
      </c>
      <c r="O390">
        <v>136</v>
      </c>
      <c r="P390">
        <f t="shared" si="19"/>
        <v>6.4761264290517817E-2</v>
      </c>
      <c r="Q390">
        <f t="shared" si="20"/>
        <v>9.5628782784129132E-2</v>
      </c>
    </row>
    <row r="391" spans="1:17" x14ac:dyDescent="0.25">
      <c r="A391" t="str">
        <f t="shared" si="18"/>
        <v>Joachim Andersen</v>
      </c>
      <c r="B391" t="s">
        <v>509</v>
      </c>
      <c r="C391" t="s">
        <v>510</v>
      </c>
      <c r="D391">
        <v>10</v>
      </c>
      <c r="E391">
        <v>2</v>
      </c>
      <c r="F391">
        <v>44</v>
      </c>
      <c r="G391">
        <v>2882</v>
      </c>
      <c r="H391">
        <v>33</v>
      </c>
      <c r="I391">
        <v>0</v>
      </c>
      <c r="J391">
        <v>1</v>
      </c>
      <c r="K391">
        <v>1.43</v>
      </c>
      <c r="L391">
        <v>1.83</v>
      </c>
      <c r="M391">
        <v>123</v>
      </c>
      <c r="N391">
        <v>424</v>
      </c>
      <c r="O391">
        <v>329</v>
      </c>
      <c r="P391">
        <f t="shared" si="19"/>
        <v>4.4656488549618317E-2</v>
      </c>
      <c r="Q391">
        <f t="shared" si="20"/>
        <v>5.7147814018043031E-2</v>
      </c>
    </row>
    <row r="392" spans="1:17" x14ac:dyDescent="0.25">
      <c r="A392" t="str">
        <f t="shared" si="18"/>
        <v>Calvin Bassey</v>
      </c>
      <c r="B392" t="s">
        <v>517</v>
      </c>
      <c r="C392" t="s">
        <v>518</v>
      </c>
      <c r="D392">
        <v>10</v>
      </c>
      <c r="E392">
        <v>2</v>
      </c>
      <c r="F392">
        <v>44</v>
      </c>
      <c r="G392">
        <v>2532</v>
      </c>
      <c r="H392">
        <v>28</v>
      </c>
      <c r="I392">
        <v>1</v>
      </c>
      <c r="J392">
        <v>1</v>
      </c>
      <c r="K392">
        <v>1.71</v>
      </c>
      <c r="L392">
        <v>0.35</v>
      </c>
      <c r="M392">
        <v>103</v>
      </c>
      <c r="N392">
        <v>392</v>
      </c>
      <c r="O392">
        <v>205</v>
      </c>
      <c r="P392">
        <f t="shared" si="19"/>
        <v>6.0781990521327017E-2</v>
      </c>
      <c r="Q392">
        <f t="shared" si="20"/>
        <v>1.2440758293838861E-2</v>
      </c>
    </row>
    <row r="393" spans="1:17" x14ac:dyDescent="0.25">
      <c r="A393" t="str">
        <f t="shared" si="18"/>
        <v>Timothy Castagne</v>
      </c>
      <c r="B393" t="s">
        <v>519</v>
      </c>
      <c r="C393" t="s">
        <v>520</v>
      </c>
      <c r="D393">
        <v>10</v>
      </c>
      <c r="E393">
        <v>2</v>
      </c>
      <c r="F393">
        <v>43</v>
      </c>
      <c r="G393">
        <v>1838</v>
      </c>
      <c r="H393">
        <v>20</v>
      </c>
      <c r="I393">
        <v>0</v>
      </c>
      <c r="J393">
        <v>2</v>
      </c>
      <c r="K393">
        <v>1.5</v>
      </c>
      <c r="L393">
        <v>1.47</v>
      </c>
      <c r="M393">
        <v>61</v>
      </c>
      <c r="N393">
        <v>294</v>
      </c>
      <c r="O393">
        <v>146</v>
      </c>
      <c r="P393">
        <f t="shared" si="19"/>
        <v>7.3449401523394992E-2</v>
      </c>
      <c r="Q393">
        <f t="shared" si="20"/>
        <v>7.1980413492927095E-2</v>
      </c>
    </row>
    <row r="394" spans="1:17" x14ac:dyDescent="0.25">
      <c r="A394" t="str">
        <f t="shared" si="18"/>
        <v>Issa Diop</v>
      </c>
      <c r="B394" t="s">
        <v>600</v>
      </c>
      <c r="C394" t="s">
        <v>601</v>
      </c>
      <c r="D394">
        <v>10</v>
      </c>
      <c r="E394">
        <v>2</v>
      </c>
      <c r="F394">
        <v>43</v>
      </c>
      <c r="G394">
        <v>812</v>
      </c>
      <c r="H394">
        <v>8</v>
      </c>
      <c r="I394">
        <v>1</v>
      </c>
      <c r="J394">
        <v>0</v>
      </c>
      <c r="K394">
        <v>0.8</v>
      </c>
      <c r="L394">
        <v>0.05</v>
      </c>
      <c r="M394">
        <v>31</v>
      </c>
      <c r="N394">
        <v>103</v>
      </c>
      <c r="O394">
        <v>61</v>
      </c>
      <c r="P394">
        <f t="shared" si="19"/>
        <v>8.8669950738916273E-2</v>
      </c>
      <c r="Q394">
        <f t="shared" si="20"/>
        <v>5.541871921182267E-3</v>
      </c>
    </row>
    <row r="395" spans="1:17" x14ac:dyDescent="0.25">
      <c r="A395" t="str">
        <f t="shared" si="18"/>
        <v>Jorge Cuenca Barreno</v>
      </c>
      <c r="B395" t="s">
        <v>513</v>
      </c>
      <c r="C395" t="s">
        <v>514</v>
      </c>
      <c r="D395">
        <v>10</v>
      </c>
      <c r="E395">
        <v>2</v>
      </c>
      <c r="F395">
        <v>43</v>
      </c>
      <c r="G395">
        <v>935</v>
      </c>
      <c r="H395">
        <v>11</v>
      </c>
      <c r="I395">
        <v>0</v>
      </c>
      <c r="J395">
        <v>0</v>
      </c>
      <c r="K395">
        <v>0.05</v>
      </c>
      <c r="L395">
        <v>0.53</v>
      </c>
      <c r="M395">
        <v>39</v>
      </c>
      <c r="N395">
        <v>155</v>
      </c>
      <c r="O395">
        <v>117</v>
      </c>
      <c r="P395">
        <f t="shared" si="19"/>
        <v>4.8128342245989308E-3</v>
      </c>
      <c r="Q395">
        <f t="shared" si="20"/>
        <v>5.1016042780748665E-2</v>
      </c>
    </row>
    <row r="396" spans="1:17" x14ac:dyDescent="0.25">
      <c r="A396" t="str">
        <f t="shared" si="18"/>
        <v>Kenny Tete</v>
      </c>
      <c r="B396" t="s">
        <v>515</v>
      </c>
      <c r="C396" t="s">
        <v>516</v>
      </c>
      <c r="D396">
        <v>10</v>
      </c>
      <c r="E396">
        <v>2</v>
      </c>
      <c r="F396">
        <v>45</v>
      </c>
      <c r="G396">
        <v>1791</v>
      </c>
      <c r="H396">
        <v>21</v>
      </c>
      <c r="I396">
        <v>1</v>
      </c>
      <c r="J396">
        <v>0</v>
      </c>
      <c r="K396">
        <v>0.92</v>
      </c>
      <c r="L396">
        <v>1.46</v>
      </c>
      <c r="M396">
        <v>81</v>
      </c>
      <c r="N396">
        <v>318</v>
      </c>
      <c r="O396">
        <v>165</v>
      </c>
      <c r="P396">
        <f t="shared" si="19"/>
        <v>4.6231155778894473E-2</v>
      </c>
      <c r="Q396">
        <f t="shared" si="20"/>
        <v>7.3366834170854267E-2</v>
      </c>
    </row>
    <row r="397" spans="1:17" x14ac:dyDescent="0.25">
      <c r="A397" t="str">
        <f t="shared" si="18"/>
        <v>Samuel Amissah</v>
      </c>
      <c r="B397" t="s">
        <v>109</v>
      </c>
      <c r="C397" t="s">
        <v>1935</v>
      </c>
      <c r="D397">
        <v>10</v>
      </c>
      <c r="E397">
        <v>2</v>
      </c>
      <c r="F397">
        <v>38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f t="shared" si="19"/>
        <v>0</v>
      </c>
      <c r="Q397">
        <f t="shared" si="20"/>
        <v>0</v>
      </c>
    </row>
    <row r="398" spans="1:17" x14ac:dyDescent="0.25">
      <c r="A398" t="str">
        <f t="shared" si="18"/>
        <v>Alex Iwobi</v>
      </c>
      <c r="B398" t="s">
        <v>153</v>
      </c>
      <c r="C398" t="s">
        <v>521</v>
      </c>
      <c r="D398">
        <v>10</v>
      </c>
      <c r="E398">
        <v>3</v>
      </c>
      <c r="F398">
        <v>61</v>
      </c>
      <c r="G398">
        <v>2420</v>
      </c>
      <c r="H398">
        <v>29</v>
      </c>
      <c r="I398">
        <v>4</v>
      </c>
      <c r="J398">
        <v>3</v>
      </c>
      <c r="K398">
        <v>1.91</v>
      </c>
      <c r="L398">
        <v>4.7</v>
      </c>
      <c r="M398">
        <v>103</v>
      </c>
      <c r="N398">
        <v>508</v>
      </c>
      <c r="O398">
        <v>188</v>
      </c>
      <c r="P398">
        <f t="shared" si="19"/>
        <v>7.1033057851239673E-2</v>
      </c>
      <c r="Q398">
        <f t="shared" si="20"/>
        <v>0.17479338842975206</v>
      </c>
    </row>
    <row r="399" spans="1:17" x14ac:dyDescent="0.25">
      <c r="A399" t="str">
        <f t="shared" si="18"/>
        <v>Emile Smith Rowe</v>
      </c>
      <c r="B399" t="s">
        <v>522</v>
      </c>
      <c r="C399" t="s">
        <v>523</v>
      </c>
      <c r="D399">
        <v>10</v>
      </c>
      <c r="E399">
        <v>3</v>
      </c>
      <c r="F399">
        <v>56</v>
      </c>
      <c r="G399">
        <v>1909</v>
      </c>
      <c r="H399">
        <v>22</v>
      </c>
      <c r="I399">
        <v>3</v>
      </c>
      <c r="J399">
        <v>1</v>
      </c>
      <c r="K399">
        <v>4.71</v>
      </c>
      <c r="L399">
        <v>1.1200000000000001</v>
      </c>
      <c r="M399">
        <v>80</v>
      </c>
      <c r="N399">
        <v>351</v>
      </c>
      <c r="O399">
        <v>148</v>
      </c>
      <c r="P399">
        <f t="shared" si="19"/>
        <v>0.22205343111576739</v>
      </c>
      <c r="Q399">
        <f t="shared" si="20"/>
        <v>5.2802514405447885E-2</v>
      </c>
    </row>
    <row r="400" spans="1:17" x14ac:dyDescent="0.25">
      <c r="A400" t="str">
        <f t="shared" si="18"/>
        <v>Andreas Hoelgebaum Pereira</v>
      </c>
      <c r="B400" t="s">
        <v>1646</v>
      </c>
      <c r="C400" t="s">
        <v>1647</v>
      </c>
      <c r="D400">
        <v>10</v>
      </c>
      <c r="E400">
        <v>3</v>
      </c>
      <c r="F400">
        <v>53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f t="shared" si="19"/>
        <v>0</v>
      </c>
      <c r="Q400">
        <f t="shared" si="20"/>
        <v>0</v>
      </c>
    </row>
    <row r="401" spans="1:17" x14ac:dyDescent="0.25">
      <c r="A401" t="str">
        <f t="shared" si="18"/>
        <v>Ryan Sessegnon</v>
      </c>
      <c r="B401" t="s">
        <v>164</v>
      </c>
      <c r="C401" t="s">
        <v>529</v>
      </c>
      <c r="D401">
        <v>10</v>
      </c>
      <c r="E401">
        <v>3</v>
      </c>
      <c r="F401">
        <v>54</v>
      </c>
      <c r="G401">
        <v>1816</v>
      </c>
      <c r="H401">
        <v>20</v>
      </c>
      <c r="I401">
        <v>3</v>
      </c>
      <c r="J401">
        <v>3</v>
      </c>
      <c r="K401">
        <v>1.6</v>
      </c>
      <c r="L401">
        <v>1.8</v>
      </c>
      <c r="M401">
        <v>95</v>
      </c>
      <c r="N401">
        <v>332</v>
      </c>
      <c r="O401">
        <v>218</v>
      </c>
      <c r="P401">
        <f t="shared" si="19"/>
        <v>7.9295154185022032E-2</v>
      </c>
      <c r="Q401">
        <f t="shared" si="20"/>
        <v>8.9207048458149779E-2</v>
      </c>
    </row>
    <row r="402" spans="1:17" x14ac:dyDescent="0.25">
      <c r="A402" t="str">
        <f t="shared" si="18"/>
        <v>Harry Wilson</v>
      </c>
      <c r="B402" t="s">
        <v>270</v>
      </c>
      <c r="C402" t="s">
        <v>228</v>
      </c>
      <c r="D402">
        <v>10</v>
      </c>
      <c r="E402">
        <v>3</v>
      </c>
      <c r="F402">
        <v>58</v>
      </c>
      <c r="G402">
        <v>2674</v>
      </c>
      <c r="H402">
        <v>32</v>
      </c>
      <c r="I402">
        <v>10</v>
      </c>
      <c r="J402">
        <v>9</v>
      </c>
      <c r="K402">
        <v>5.88</v>
      </c>
      <c r="L402">
        <v>4.7699999999999996</v>
      </c>
      <c r="M402">
        <v>168</v>
      </c>
      <c r="N402">
        <v>637</v>
      </c>
      <c r="O402">
        <v>177</v>
      </c>
      <c r="P402">
        <f t="shared" si="19"/>
        <v>0.19790575916230368</v>
      </c>
      <c r="Q402">
        <f t="shared" si="20"/>
        <v>0.16054599850411369</v>
      </c>
    </row>
    <row r="403" spans="1:17" x14ac:dyDescent="0.25">
      <c r="A403" t="str">
        <f t="shared" si="18"/>
        <v>Sander Berge</v>
      </c>
      <c r="B403" t="s">
        <v>526</v>
      </c>
      <c r="C403" t="s">
        <v>527</v>
      </c>
      <c r="D403">
        <v>10</v>
      </c>
      <c r="E403">
        <v>3</v>
      </c>
      <c r="F403">
        <v>49</v>
      </c>
      <c r="G403">
        <v>2904</v>
      </c>
      <c r="H403">
        <v>34</v>
      </c>
      <c r="I403">
        <v>0</v>
      </c>
      <c r="J403">
        <v>3</v>
      </c>
      <c r="K403">
        <v>1.54</v>
      </c>
      <c r="L403">
        <v>1.5</v>
      </c>
      <c r="M403">
        <v>91</v>
      </c>
      <c r="N403">
        <v>503</v>
      </c>
      <c r="O403">
        <v>280</v>
      </c>
      <c r="P403">
        <f t="shared" si="19"/>
        <v>4.7727272727272729E-2</v>
      </c>
      <c r="Q403">
        <f t="shared" si="20"/>
        <v>4.6487603305785122E-2</v>
      </c>
    </row>
    <row r="404" spans="1:17" x14ac:dyDescent="0.25">
      <c r="A404" t="str">
        <f t="shared" si="18"/>
        <v>Tom Cairney</v>
      </c>
      <c r="B404" t="s">
        <v>272</v>
      </c>
      <c r="C404" t="s">
        <v>528</v>
      </c>
      <c r="D404">
        <v>10</v>
      </c>
      <c r="E404">
        <v>3</v>
      </c>
      <c r="F404">
        <v>48</v>
      </c>
      <c r="G404">
        <v>756</v>
      </c>
      <c r="H404">
        <v>6</v>
      </c>
      <c r="I404">
        <v>2</v>
      </c>
      <c r="J404">
        <v>0</v>
      </c>
      <c r="K404">
        <v>1.21</v>
      </c>
      <c r="L404">
        <v>0.81</v>
      </c>
      <c r="M404">
        <v>41</v>
      </c>
      <c r="N404">
        <v>181</v>
      </c>
      <c r="O404">
        <v>61</v>
      </c>
      <c r="P404">
        <f t="shared" si="19"/>
        <v>0.14404761904761904</v>
      </c>
      <c r="Q404">
        <f t="shared" si="20"/>
        <v>9.6428571428571433E-2</v>
      </c>
    </row>
    <row r="405" spans="1:17" x14ac:dyDescent="0.25">
      <c r="A405" t="str">
        <f t="shared" si="18"/>
        <v>Saša Lukić</v>
      </c>
      <c r="B405" t="s">
        <v>602</v>
      </c>
      <c r="C405" t="s">
        <v>603</v>
      </c>
      <c r="D405">
        <v>10</v>
      </c>
      <c r="E405">
        <v>3</v>
      </c>
      <c r="F405">
        <v>49</v>
      </c>
      <c r="G405">
        <v>1730</v>
      </c>
      <c r="H405">
        <v>20</v>
      </c>
      <c r="I405">
        <v>1</v>
      </c>
      <c r="J405">
        <v>4</v>
      </c>
      <c r="K405">
        <v>2.23</v>
      </c>
      <c r="L405">
        <v>1.91</v>
      </c>
      <c r="M405">
        <v>67</v>
      </c>
      <c r="N405">
        <v>314</v>
      </c>
      <c r="O405">
        <v>183</v>
      </c>
      <c r="P405">
        <f t="shared" si="19"/>
        <v>0.11601156069364163</v>
      </c>
      <c r="Q405">
        <f t="shared" si="20"/>
        <v>9.9364161849710989E-2</v>
      </c>
    </row>
    <row r="406" spans="1:17" x14ac:dyDescent="0.25">
      <c r="A406" t="str">
        <f t="shared" si="18"/>
        <v>Martial Godo</v>
      </c>
      <c r="B406" t="s">
        <v>1811</v>
      </c>
      <c r="C406" t="s">
        <v>2212</v>
      </c>
      <c r="D406">
        <v>10</v>
      </c>
      <c r="E406">
        <v>3</v>
      </c>
      <c r="F406">
        <v>45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f t="shared" si="19"/>
        <v>0</v>
      </c>
      <c r="Q406">
        <f t="shared" si="20"/>
        <v>0</v>
      </c>
    </row>
    <row r="407" spans="1:17" x14ac:dyDescent="0.25">
      <c r="A407" t="str">
        <f t="shared" si="18"/>
        <v>Luke Harris</v>
      </c>
      <c r="B407" t="s">
        <v>375</v>
      </c>
      <c r="C407" t="s">
        <v>1671</v>
      </c>
      <c r="D407">
        <v>10</v>
      </c>
      <c r="E407">
        <v>3</v>
      </c>
      <c r="F407">
        <v>45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f t="shared" si="19"/>
        <v>0</v>
      </c>
      <c r="Q407">
        <f t="shared" si="20"/>
        <v>0</v>
      </c>
    </row>
    <row r="408" spans="1:17" x14ac:dyDescent="0.25">
      <c r="A408" t="str">
        <f t="shared" si="18"/>
        <v>Josh King</v>
      </c>
      <c r="B408" t="s">
        <v>219</v>
      </c>
      <c r="C408" t="s">
        <v>475</v>
      </c>
      <c r="D408">
        <v>10</v>
      </c>
      <c r="E408">
        <v>3</v>
      </c>
      <c r="F408">
        <v>44</v>
      </c>
      <c r="G408">
        <v>1290</v>
      </c>
      <c r="H408">
        <v>15</v>
      </c>
      <c r="I408">
        <v>1</v>
      </c>
      <c r="J408">
        <v>3</v>
      </c>
      <c r="K408">
        <v>2.4700000000000002</v>
      </c>
      <c r="L408">
        <v>0.66</v>
      </c>
      <c r="M408">
        <v>63</v>
      </c>
      <c r="N408">
        <v>225</v>
      </c>
      <c r="O408">
        <v>107</v>
      </c>
      <c r="P408">
        <f t="shared" si="19"/>
        <v>0.17232558139534884</v>
      </c>
      <c r="Q408">
        <f t="shared" si="20"/>
        <v>4.6046511627906982E-2</v>
      </c>
    </row>
    <row r="409" spans="1:17" x14ac:dyDescent="0.25">
      <c r="A409" t="str">
        <f t="shared" si="18"/>
        <v>Harrison Reed</v>
      </c>
      <c r="B409" t="s">
        <v>493</v>
      </c>
      <c r="C409" t="s">
        <v>530</v>
      </c>
      <c r="D409">
        <v>10</v>
      </c>
      <c r="E409">
        <v>3</v>
      </c>
      <c r="F409">
        <v>43</v>
      </c>
      <c r="G409">
        <v>89</v>
      </c>
      <c r="H409">
        <v>1</v>
      </c>
      <c r="I409">
        <v>1</v>
      </c>
      <c r="J409">
        <v>0</v>
      </c>
      <c r="K409">
        <v>0.13</v>
      </c>
      <c r="L409">
        <v>0.45</v>
      </c>
      <c r="M409">
        <v>15</v>
      </c>
      <c r="N409">
        <v>48</v>
      </c>
      <c r="O409">
        <v>6</v>
      </c>
      <c r="P409">
        <f t="shared" si="19"/>
        <v>0.13146067415730336</v>
      </c>
      <c r="Q409">
        <f t="shared" si="20"/>
        <v>0.45505617977528096</v>
      </c>
    </row>
    <row r="410" spans="1:17" x14ac:dyDescent="0.25">
      <c r="A410" t="str">
        <f t="shared" si="18"/>
        <v>Raúl Jiménez Rodríguez</v>
      </c>
      <c r="B410" t="s">
        <v>1664</v>
      </c>
      <c r="C410" t="s">
        <v>2458</v>
      </c>
      <c r="D410">
        <v>10</v>
      </c>
      <c r="E410">
        <v>4</v>
      </c>
      <c r="F410">
        <v>59</v>
      </c>
      <c r="G410">
        <v>2183</v>
      </c>
      <c r="H410">
        <v>27</v>
      </c>
      <c r="I410">
        <v>9</v>
      </c>
      <c r="J410">
        <v>5</v>
      </c>
      <c r="K410">
        <v>11.58</v>
      </c>
      <c r="L410">
        <v>0.9</v>
      </c>
      <c r="M410">
        <v>112</v>
      </c>
      <c r="N410">
        <v>410</v>
      </c>
      <c r="O410">
        <v>132</v>
      </c>
      <c r="P410">
        <f t="shared" si="19"/>
        <v>0.47741639945029779</v>
      </c>
      <c r="Q410">
        <f t="shared" si="20"/>
        <v>3.7104901511681172E-2</v>
      </c>
    </row>
    <row r="411" spans="1:17" x14ac:dyDescent="0.25">
      <c r="A411" t="str">
        <f t="shared" si="18"/>
        <v>Rodrigo Muniz Carvalho</v>
      </c>
      <c r="B411" t="s">
        <v>531</v>
      </c>
      <c r="C411" t="s">
        <v>532</v>
      </c>
      <c r="D411">
        <v>10</v>
      </c>
      <c r="E411">
        <v>4</v>
      </c>
      <c r="F411">
        <v>53</v>
      </c>
      <c r="G411">
        <v>987</v>
      </c>
      <c r="H411">
        <v>10</v>
      </c>
      <c r="I411">
        <v>1</v>
      </c>
      <c r="J411">
        <v>1</v>
      </c>
      <c r="K411">
        <v>3.3</v>
      </c>
      <c r="L411">
        <v>0.15</v>
      </c>
      <c r="M411">
        <v>36</v>
      </c>
      <c r="N411">
        <v>94</v>
      </c>
      <c r="O411">
        <v>52</v>
      </c>
      <c r="P411">
        <f t="shared" si="19"/>
        <v>0.30091185410334342</v>
      </c>
      <c r="Q411">
        <f t="shared" si="20"/>
        <v>1.3677811550151974E-2</v>
      </c>
    </row>
    <row r="412" spans="1:17" x14ac:dyDescent="0.25">
      <c r="A412" t="str">
        <f t="shared" si="18"/>
        <v>Oscar Bobb</v>
      </c>
      <c r="B412" t="s">
        <v>428</v>
      </c>
      <c r="C412" t="s">
        <v>525</v>
      </c>
      <c r="D412">
        <v>10</v>
      </c>
      <c r="E412">
        <v>3</v>
      </c>
      <c r="F412">
        <v>51</v>
      </c>
      <c r="G412">
        <v>1030</v>
      </c>
      <c r="H412">
        <v>11</v>
      </c>
      <c r="I412">
        <v>0</v>
      </c>
      <c r="J412">
        <v>2</v>
      </c>
      <c r="K412">
        <v>1.47</v>
      </c>
      <c r="L412">
        <v>2.1</v>
      </c>
      <c r="M412">
        <v>42</v>
      </c>
      <c r="N412">
        <v>182</v>
      </c>
      <c r="O412">
        <v>76</v>
      </c>
      <c r="P412">
        <f t="shared" si="19"/>
        <v>0.12844660194174756</v>
      </c>
      <c r="Q412">
        <f t="shared" si="20"/>
        <v>0.18349514563106795</v>
      </c>
    </row>
    <row r="413" spans="1:17" x14ac:dyDescent="0.25">
      <c r="A413" t="str">
        <f t="shared" si="18"/>
        <v>Benjamin Lecomte</v>
      </c>
      <c r="B413" t="s">
        <v>38</v>
      </c>
      <c r="C413" t="s">
        <v>506</v>
      </c>
      <c r="D413">
        <v>10</v>
      </c>
      <c r="E413">
        <v>1</v>
      </c>
      <c r="F413">
        <v>39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 t="shared" si="19"/>
        <v>0</v>
      </c>
      <c r="Q413">
        <f t="shared" si="20"/>
        <v>0</v>
      </c>
    </row>
    <row r="414" spans="1:17" x14ac:dyDescent="0.25">
      <c r="A414" t="str">
        <f t="shared" si="18"/>
        <v>Samuel Chukwueze</v>
      </c>
      <c r="B414" t="s">
        <v>109</v>
      </c>
      <c r="C414" t="s">
        <v>2459</v>
      </c>
      <c r="D414">
        <v>10</v>
      </c>
      <c r="E414">
        <v>3</v>
      </c>
      <c r="F414">
        <v>53</v>
      </c>
      <c r="G414">
        <v>1067</v>
      </c>
      <c r="H414">
        <v>10</v>
      </c>
      <c r="I414">
        <v>3</v>
      </c>
      <c r="J414">
        <v>4</v>
      </c>
      <c r="K414">
        <v>2.1</v>
      </c>
      <c r="L414">
        <v>3.36</v>
      </c>
      <c r="M414">
        <v>62</v>
      </c>
      <c r="N414">
        <v>242</v>
      </c>
      <c r="O414">
        <v>81</v>
      </c>
      <c r="P414">
        <f t="shared" si="19"/>
        <v>0.17713214620431117</v>
      </c>
      <c r="Q414">
        <f t="shared" si="20"/>
        <v>0.28341143392689783</v>
      </c>
    </row>
    <row r="415" spans="1:17" x14ac:dyDescent="0.25">
      <c r="A415" t="str">
        <f t="shared" si="18"/>
        <v>Kevin Santos Lopes de Macedo</v>
      </c>
      <c r="B415" t="s">
        <v>204</v>
      </c>
      <c r="C415" t="s">
        <v>524</v>
      </c>
      <c r="D415">
        <v>10</v>
      </c>
      <c r="E415">
        <v>3</v>
      </c>
      <c r="F415">
        <v>57</v>
      </c>
      <c r="G415">
        <v>1030</v>
      </c>
      <c r="H415">
        <v>9</v>
      </c>
      <c r="I415">
        <v>1</v>
      </c>
      <c r="J415">
        <v>3</v>
      </c>
      <c r="K415">
        <v>1.21</v>
      </c>
      <c r="L415">
        <v>1.47</v>
      </c>
      <c r="M415">
        <v>49</v>
      </c>
      <c r="N415">
        <v>183</v>
      </c>
      <c r="O415">
        <v>86</v>
      </c>
      <c r="P415">
        <f t="shared" si="19"/>
        <v>0.10572815533980583</v>
      </c>
      <c r="Q415">
        <f t="shared" si="20"/>
        <v>0.12844660194174756</v>
      </c>
    </row>
    <row r="416" spans="1:17" x14ac:dyDescent="0.25">
      <c r="A416" t="str">
        <f t="shared" si="18"/>
        <v>Jonah Kusi-Asare</v>
      </c>
      <c r="B416" t="s">
        <v>533</v>
      </c>
      <c r="C416" t="s">
        <v>534</v>
      </c>
      <c r="D416">
        <v>10</v>
      </c>
      <c r="E416">
        <v>4</v>
      </c>
      <c r="F416">
        <v>45</v>
      </c>
      <c r="G416">
        <v>49</v>
      </c>
      <c r="H416">
        <v>0</v>
      </c>
      <c r="I416">
        <v>0</v>
      </c>
      <c r="J416">
        <v>0</v>
      </c>
      <c r="K416">
        <v>0</v>
      </c>
      <c r="L416">
        <v>7.0000000000000007E-2</v>
      </c>
      <c r="M416">
        <v>6</v>
      </c>
      <c r="N416">
        <v>19</v>
      </c>
      <c r="O416">
        <v>5</v>
      </c>
      <c r="P416">
        <f t="shared" si="19"/>
        <v>0</v>
      </c>
      <c r="Q416">
        <f t="shared" si="20"/>
        <v>0.12857142857142859</v>
      </c>
    </row>
    <row r="417" spans="1:17" x14ac:dyDescent="0.25">
      <c r="A417" t="str">
        <f t="shared" si="18"/>
        <v>Seth Ridgeon</v>
      </c>
      <c r="B417" t="s">
        <v>2460</v>
      </c>
      <c r="C417" t="s">
        <v>2461</v>
      </c>
      <c r="D417">
        <v>10</v>
      </c>
      <c r="E417">
        <v>3</v>
      </c>
      <c r="F417">
        <v>45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f t="shared" si="19"/>
        <v>0</v>
      </c>
      <c r="Q417">
        <f t="shared" si="20"/>
        <v>0</v>
      </c>
    </row>
    <row r="418" spans="1:17" x14ac:dyDescent="0.25">
      <c r="A418" t="str">
        <f t="shared" si="18"/>
        <v>Alfie McNally</v>
      </c>
      <c r="B418" t="s">
        <v>507</v>
      </c>
      <c r="C418" t="s">
        <v>508</v>
      </c>
      <c r="D418">
        <v>10</v>
      </c>
      <c r="E418">
        <v>1</v>
      </c>
      <c r="F418">
        <v>40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f t="shared" si="19"/>
        <v>0</v>
      </c>
      <c r="Q418">
        <f t="shared" si="20"/>
        <v>0</v>
      </c>
    </row>
    <row r="419" spans="1:17" x14ac:dyDescent="0.25">
      <c r="A419" t="str">
        <f t="shared" si="18"/>
        <v>Facundo Buonanotte</v>
      </c>
      <c r="B419" t="s">
        <v>262</v>
      </c>
      <c r="C419" t="s">
        <v>263</v>
      </c>
      <c r="D419">
        <v>11</v>
      </c>
      <c r="E419">
        <v>3</v>
      </c>
      <c r="F419">
        <v>46</v>
      </c>
      <c r="G419">
        <v>81</v>
      </c>
      <c r="H419">
        <v>1</v>
      </c>
      <c r="I419">
        <v>0</v>
      </c>
      <c r="J419">
        <v>0</v>
      </c>
      <c r="K419">
        <v>0.06</v>
      </c>
      <c r="L419">
        <v>0.28000000000000003</v>
      </c>
      <c r="M419">
        <v>3</v>
      </c>
      <c r="N419">
        <v>9</v>
      </c>
      <c r="O419">
        <v>6</v>
      </c>
      <c r="P419">
        <f t="shared" si="19"/>
        <v>6.6666666666666666E-2</v>
      </c>
      <c r="Q419">
        <f t="shared" si="20"/>
        <v>0.31111111111111112</v>
      </c>
    </row>
    <row r="420" spans="1:17" x14ac:dyDescent="0.25">
      <c r="A420" t="str">
        <f t="shared" si="18"/>
        <v>Illan Meslier</v>
      </c>
      <c r="B420" t="s">
        <v>24</v>
      </c>
      <c r="C420" t="s">
        <v>25</v>
      </c>
      <c r="D420">
        <v>11</v>
      </c>
      <c r="E420">
        <v>1</v>
      </c>
      <c r="F420">
        <v>41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f t="shared" si="19"/>
        <v>0</v>
      </c>
      <c r="Q420">
        <f t="shared" si="20"/>
        <v>0</v>
      </c>
    </row>
    <row r="421" spans="1:17" x14ac:dyDescent="0.25">
      <c r="A421" t="str">
        <f t="shared" si="18"/>
        <v>Alex Cairns</v>
      </c>
      <c r="B421" t="s">
        <v>153</v>
      </c>
      <c r="C421" t="s">
        <v>1250</v>
      </c>
      <c r="D421">
        <v>11</v>
      </c>
      <c r="E421">
        <v>1</v>
      </c>
      <c r="F421">
        <v>39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 t="shared" si="19"/>
        <v>0</v>
      </c>
      <c r="Q421">
        <f t="shared" si="20"/>
        <v>0</v>
      </c>
    </row>
    <row r="422" spans="1:17" x14ac:dyDescent="0.25">
      <c r="A422" t="str">
        <f t="shared" si="18"/>
        <v>Karl Darlow</v>
      </c>
      <c r="B422" t="s">
        <v>799</v>
      </c>
      <c r="C422" t="s">
        <v>800</v>
      </c>
      <c r="D422">
        <v>11</v>
      </c>
      <c r="E422">
        <v>1</v>
      </c>
      <c r="F422">
        <v>40</v>
      </c>
      <c r="G422">
        <v>1980</v>
      </c>
      <c r="H422">
        <v>22</v>
      </c>
      <c r="I422">
        <v>0</v>
      </c>
      <c r="J422">
        <v>0</v>
      </c>
      <c r="K422">
        <v>0</v>
      </c>
      <c r="L422">
        <v>0.05</v>
      </c>
      <c r="M422">
        <v>71</v>
      </c>
      <c r="N422">
        <v>334</v>
      </c>
      <c r="O422">
        <v>0</v>
      </c>
      <c r="P422">
        <f t="shared" si="19"/>
        <v>0</v>
      </c>
      <c r="Q422">
        <f t="shared" si="20"/>
        <v>2.2727272727272726E-3</v>
      </c>
    </row>
    <row r="423" spans="1:17" x14ac:dyDescent="0.25">
      <c r="A423" t="str">
        <f t="shared" si="18"/>
        <v>Jayden Bogle</v>
      </c>
      <c r="B423" t="s">
        <v>659</v>
      </c>
      <c r="C423" t="s">
        <v>660</v>
      </c>
      <c r="D423">
        <v>11</v>
      </c>
      <c r="E423">
        <v>2</v>
      </c>
      <c r="F423">
        <v>44</v>
      </c>
      <c r="G423">
        <v>2795</v>
      </c>
      <c r="H423">
        <v>32</v>
      </c>
      <c r="I423">
        <v>1</v>
      </c>
      <c r="J423">
        <v>5</v>
      </c>
      <c r="K423">
        <v>2.08</v>
      </c>
      <c r="L423">
        <v>3.11</v>
      </c>
      <c r="M423">
        <v>96</v>
      </c>
      <c r="N423">
        <v>311</v>
      </c>
      <c r="O423">
        <v>178</v>
      </c>
      <c r="P423">
        <f t="shared" si="19"/>
        <v>6.6976744186046516E-2</v>
      </c>
      <c r="Q423">
        <f t="shared" si="20"/>
        <v>0.10014311270125223</v>
      </c>
    </row>
    <row r="424" spans="1:17" x14ac:dyDescent="0.25">
      <c r="A424" t="str">
        <f t="shared" si="18"/>
        <v>Pascal Struijk</v>
      </c>
      <c r="B424" t="s">
        <v>255</v>
      </c>
      <c r="C424" t="s">
        <v>284</v>
      </c>
      <c r="D424">
        <v>11</v>
      </c>
      <c r="E424">
        <v>2</v>
      </c>
      <c r="F424">
        <v>42</v>
      </c>
      <c r="G424">
        <v>2935</v>
      </c>
      <c r="H424">
        <v>33</v>
      </c>
      <c r="I424">
        <v>0</v>
      </c>
      <c r="J424">
        <v>1</v>
      </c>
      <c r="K424">
        <v>3.06</v>
      </c>
      <c r="L424">
        <v>0.76</v>
      </c>
      <c r="M424">
        <v>108</v>
      </c>
      <c r="N424">
        <v>412</v>
      </c>
      <c r="O424">
        <v>297</v>
      </c>
      <c r="P424">
        <f t="shared" si="19"/>
        <v>9.383304940374787E-2</v>
      </c>
      <c r="Q424">
        <f t="shared" si="20"/>
        <v>2.3304940374787055E-2</v>
      </c>
    </row>
    <row r="425" spans="1:17" x14ac:dyDescent="0.25">
      <c r="A425" t="str">
        <f t="shared" si="18"/>
        <v>Jaka Bijol</v>
      </c>
      <c r="B425" t="s">
        <v>656</v>
      </c>
      <c r="C425" t="s">
        <v>657</v>
      </c>
      <c r="D425">
        <v>11</v>
      </c>
      <c r="E425">
        <v>2</v>
      </c>
      <c r="F425">
        <v>39</v>
      </c>
      <c r="G425">
        <v>1888</v>
      </c>
      <c r="H425">
        <v>21</v>
      </c>
      <c r="I425">
        <v>1</v>
      </c>
      <c r="J425">
        <v>3</v>
      </c>
      <c r="K425">
        <v>0.9</v>
      </c>
      <c r="L425">
        <v>0.75</v>
      </c>
      <c r="M425">
        <v>99</v>
      </c>
      <c r="N425">
        <v>323</v>
      </c>
      <c r="O425">
        <v>219</v>
      </c>
      <c r="P425">
        <f t="shared" si="19"/>
        <v>4.290254237288136E-2</v>
      </c>
      <c r="Q425">
        <f t="shared" si="20"/>
        <v>3.5752118644067798E-2</v>
      </c>
    </row>
    <row r="426" spans="1:17" x14ac:dyDescent="0.25">
      <c r="A426" t="str">
        <f t="shared" si="18"/>
        <v>Sebastiaan Bornauw</v>
      </c>
      <c r="B426" t="s">
        <v>662</v>
      </c>
      <c r="C426" t="s">
        <v>663</v>
      </c>
      <c r="D426">
        <v>11</v>
      </c>
      <c r="E426">
        <v>2</v>
      </c>
      <c r="F426">
        <v>38</v>
      </c>
      <c r="G426">
        <v>429</v>
      </c>
      <c r="H426">
        <v>5</v>
      </c>
      <c r="I426">
        <v>0</v>
      </c>
      <c r="J426">
        <v>0</v>
      </c>
      <c r="K426">
        <v>0.2</v>
      </c>
      <c r="L426">
        <v>0.01</v>
      </c>
      <c r="M426">
        <v>25</v>
      </c>
      <c r="N426">
        <v>73</v>
      </c>
      <c r="O426">
        <v>49</v>
      </c>
      <c r="P426">
        <f t="shared" si="19"/>
        <v>4.195804195804196E-2</v>
      </c>
      <c r="Q426">
        <f t="shared" si="20"/>
        <v>2.0979020979020979E-3</v>
      </c>
    </row>
    <row r="427" spans="1:17" x14ac:dyDescent="0.25">
      <c r="A427" t="str">
        <f t="shared" si="18"/>
        <v>Sam Byram</v>
      </c>
      <c r="B427" t="s">
        <v>632</v>
      </c>
      <c r="C427" t="s">
        <v>2462</v>
      </c>
      <c r="D427">
        <v>11</v>
      </c>
      <c r="E427">
        <v>2</v>
      </c>
      <c r="F427">
        <v>37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1</v>
      </c>
      <c r="O427">
        <v>3</v>
      </c>
      <c r="P427">
        <f t="shared" si="19"/>
        <v>0</v>
      </c>
      <c r="Q427">
        <f t="shared" si="20"/>
        <v>0</v>
      </c>
    </row>
    <row r="428" spans="1:17" x14ac:dyDescent="0.25">
      <c r="A428" t="str">
        <f t="shared" si="18"/>
        <v>Gabriel Gudmundsson</v>
      </c>
      <c r="B428" t="s">
        <v>26</v>
      </c>
      <c r="C428" t="s">
        <v>661</v>
      </c>
      <c r="D428">
        <v>11</v>
      </c>
      <c r="E428">
        <v>2</v>
      </c>
      <c r="F428">
        <v>38</v>
      </c>
      <c r="G428">
        <v>2637</v>
      </c>
      <c r="H428">
        <v>31</v>
      </c>
      <c r="I428">
        <v>0</v>
      </c>
      <c r="J428">
        <v>0</v>
      </c>
      <c r="K428">
        <v>1.1000000000000001</v>
      </c>
      <c r="L428">
        <v>2.89</v>
      </c>
      <c r="M428">
        <v>68</v>
      </c>
      <c r="N428">
        <v>286</v>
      </c>
      <c r="O428">
        <v>184</v>
      </c>
      <c r="P428">
        <f t="shared" si="19"/>
        <v>3.7542662116040959E-2</v>
      </c>
      <c r="Q428">
        <f t="shared" si="20"/>
        <v>9.8634812286689424E-2</v>
      </c>
    </row>
    <row r="429" spans="1:17" x14ac:dyDescent="0.25">
      <c r="A429" t="str">
        <f t="shared" si="18"/>
        <v>Joe Rodon</v>
      </c>
      <c r="B429" t="s">
        <v>585</v>
      </c>
      <c r="C429" t="s">
        <v>658</v>
      </c>
      <c r="D429">
        <v>11</v>
      </c>
      <c r="E429">
        <v>2</v>
      </c>
      <c r="F429">
        <v>39</v>
      </c>
      <c r="G429">
        <v>2952</v>
      </c>
      <c r="H429">
        <v>33</v>
      </c>
      <c r="I429">
        <v>2</v>
      </c>
      <c r="J429">
        <v>0</v>
      </c>
      <c r="K429">
        <v>1.4</v>
      </c>
      <c r="L429">
        <v>0.56000000000000005</v>
      </c>
      <c r="M429">
        <v>109</v>
      </c>
      <c r="N429">
        <v>373</v>
      </c>
      <c r="O429">
        <v>274</v>
      </c>
      <c r="P429">
        <f t="shared" si="19"/>
        <v>4.2682926829268289E-2</v>
      </c>
      <c r="Q429">
        <f t="shared" si="20"/>
        <v>1.7073170731707318E-2</v>
      </c>
    </row>
    <row r="430" spans="1:17" x14ac:dyDescent="0.25">
      <c r="A430" t="str">
        <f t="shared" si="18"/>
        <v>Isaac Schmidt</v>
      </c>
      <c r="B430" t="s">
        <v>1845</v>
      </c>
      <c r="C430" t="s">
        <v>2463</v>
      </c>
      <c r="D430">
        <v>11</v>
      </c>
      <c r="E430">
        <v>2</v>
      </c>
      <c r="F430">
        <v>40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f t="shared" si="19"/>
        <v>0</v>
      </c>
      <c r="Q430">
        <f t="shared" si="20"/>
        <v>0</v>
      </c>
    </row>
    <row r="431" spans="1:17" x14ac:dyDescent="0.25">
      <c r="A431" t="str">
        <f t="shared" si="18"/>
        <v>Brenden Aaronson</v>
      </c>
      <c r="B431" t="s">
        <v>670</v>
      </c>
      <c r="C431" t="s">
        <v>671</v>
      </c>
      <c r="D431">
        <v>11</v>
      </c>
      <c r="E431">
        <v>3</v>
      </c>
      <c r="F431">
        <v>54</v>
      </c>
      <c r="G431">
        <v>2449</v>
      </c>
      <c r="H431">
        <v>30</v>
      </c>
      <c r="I431">
        <v>4</v>
      </c>
      <c r="J431">
        <v>8</v>
      </c>
      <c r="K431">
        <v>4.53</v>
      </c>
      <c r="L431">
        <v>3.6</v>
      </c>
      <c r="M431">
        <v>126</v>
      </c>
      <c r="N431">
        <v>446</v>
      </c>
      <c r="O431">
        <v>216</v>
      </c>
      <c r="P431">
        <f t="shared" si="19"/>
        <v>0.16647611269906085</v>
      </c>
      <c r="Q431">
        <f t="shared" si="20"/>
        <v>0.13229889750918741</v>
      </c>
    </row>
    <row r="432" spans="1:17" x14ac:dyDescent="0.25">
      <c r="A432" t="str">
        <f t="shared" si="18"/>
        <v>Wilfried Gnonto</v>
      </c>
      <c r="B432" t="s">
        <v>675</v>
      </c>
      <c r="C432" t="s">
        <v>676</v>
      </c>
      <c r="D432">
        <v>11</v>
      </c>
      <c r="E432">
        <v>3</v>
      </c>
      <c r="F432">
        <v>51</v>
      </c>
      <c r="G432">
        <v>521</v>
      </c>
      <c r="H432">
        <v>4</v>
      </c>
      <c r="I432">
        <v>0</v>
      </c>
      <c r="J432">
        <v>3</v>
      </c>
      <c r="K432">
        <v>0.4</v>
      </c>
      <c r="L432">
        <v>0.77</v>
      </c>
      <c r="M432">
        <v>32</v>
      </c>
      <c r="N432">
        <v>134</v>
      </c>
      <c r="O432">
        <v>59</v>
      </c>
      <c r="P432">
        <f t="shared" si="19"/>
        <v>6.9097888675623803E-2</v>
      </c>
      <c r="Q432">
        <f t="shared" si="20"/>
        <v>0.13301343570057581</v>
      </c>
    </row>
    <row r="433" spans="1:17" x14ac:dyDescent="0.25">
      <c r="A433" t="str">
        <f t="shared" si="18"/>
        <v>Jack Harrison</v>
      </c>
      <c r="B433" t="s">
        <v>253</v>
      </c>
      <c r="C433" t="s">
        <v>493</v>
      </c>
      <c r="D433">
        <v>11</v>
      </c>
      <c r="E433">
        <v>3</v>
      </c>
      <c r="F433">
        <v>51</v>
      </c>
      <c r="G433">
        <v>262</v>
      </c>
      <c r="H433">
        <v>1</v>
      </c>
      <c r="I433">
        <v>0</v>
      </c>
      <c r="J433">
        <v>0</v>
      </c>
      <c r="K433">
        <v>0.28000000000000003</v>
      </c>
      <c r="L433">
        <v>0.23</v>
      </c>
      <c r="M433">
        <v>12</v>
      </c>
      <c r="N433">
        <v>51</v>
      </c>
      <c r="O433">
        <v>24</v>
      </c>
      <c r="P433">
        <f t="shared" si="19"/>
        <v>9.6183206106870228E-2</v>
      </c>
      <c r="Q433">
        <f t="shared" si="20"/>
        <v>7.9007633587786272E-2</v>
      </c>
    </row>
    <row r="434" spans="1:17" x14ac:dyDescent="0.25">
      <c r="A434" t="str">
        <f t="shared" si="18"/>
        <v>Daniel James</v>
      </c>
      <c r="B434" t="s">
        <v>416</v>
      </c>
      <c r="C434" t="s">
        <v>135</v>
      </c>
      <c r="D434">
        <v>11</v>
      </c>
      <c r="E434">
        <v>3</v>
      </c>
      <c r="F434">
        <v>52</v>
      </c>
      <c r="G434">
        <v>547</v>
      </c>
      <c r="H434">
        <v>6</v>
      </c>
      <c r="I434">
        <v>0</v>
      </c>
      <c r="J434">
        <v>0</v>
      </c>
      <c r="K434">
        <v>0.91</v>
      </c>
      <c r="L434">
        <v>0.71</v>
      </c>
      <c r="M434">
        <v>23</v>
      </c>
      <c r="N434">
        <v>93</v>
      </c>
      <c r="O434">
        <v>35</v>
      </c>
      <c r="P434">
        <f t="shared" si="19"/>
        <v>0.14972577696526507</v>
      </c>
      <c r="Q434">
        <f t="shared" si="20"/>
        <v>0.11681901279707493</v>
      </c>
    </row>
    <row r="435" spans="1:17" x14ac:dyDescent="0.25">
      <c r="A435" t="str">
        <f t="shared" si="18"/>
        <v>Ethan Ampadu</v>
      </c>
      <c r="B435" t="s">
        <v>59</v>
      </c>
      <c r="C435" t="s">
        <v>672</v>
      </c>
      <c r="D435">
        <v>11</v>
      </c>
      <c r="E435">
        <v>3</v>
      </c>
      <c r="F435">
        <v>49</v>
      </c>
      <c r="G435">
        <v>3119</v>
      </c>
      <c r="H435">
        <v>35</v>
      </c>
      <c r="I435">
        <v>1</v>
      </c>
      <c r="J435">
        <v>4</v>
      </c>
      <c r="K435">
        <v>2.4700000000000002</v>
      </c>
      <c r="L435">
        <v>2.2000000000000002</v>
      </c>
      <c r="M435">
        <v>134</v>
      </c>
      <c r="N435">
        <v>586</v>
      </c>
      <c r="O435">
        <v>416</v>
      </c>
      <c r="P435">
        <f t="shared" si="19"/>
        <v>7.1272843860211613E-2</v>
      </c>
      <c r="Q435">
        <f t="shared" si="20"/>
        <v>6.3481885219621684E-2</v>
      </c>
    </row>
    <row r="436" spans="1:17" x14ac:dyDescent="0.25">
      <c r="A436" t="str">
        <f t="shared" si="18"/>
        <v>Sam Greenwood</v>
      </c>
      <c r="B436" t="s">
        <v>632</v>
      </c>
      <c r="C436" t="s">
        <v>1371</v>
      </c>
      <c r="D436">
        <v>11</v>
      </c>
      <c r="E436">
        <v>3</v>
      </c>
      <c r="F436">
        <v>49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f t="shared" si="19"/>
        <v>0</v>
      </c>
      <c r="Q436">
        <f t="shared" si="20"/>
        <v>0</v>
      </c>
    </row>
    <row r="437" spans="1:17" x14ac:dyDescent="0.25">
      <c r="A437" t="str">
        <f t="shared" si="18"/>
        <v>Ilia Gruev</v>
      </c>
      <c r="B437" t="s">
        <v>677</v>
      </c>
      <c r="C437" t="s">
        <v>678</v>
      </c>
      <c r="D437">
        <v>11</v>
      </c>
      <c r="E437">
        <v>3</v>
      </c>
      <c r="F437">
        <v>47</v>
      </c>
      <c r="G437">
        <v>1318</v>
      </c>
      <c r="H437">
        <v>15</v>
      </c>
      <c r="I437">
        <v>0</v>
      </c>
      <c r="J437">
        <v>4</v>
      </c>
      <c r="K437">
        <v>0.49</v>
      </c>
      <c r="L437">
        <v>0.86</v>
      </c>
      <c r="M437">
        <v>56</v>
      </c>
      <c r="N437">
        <v>245</v>
      </c>
      <c r="O437">
        <v>114</v>
      </c>
      <c r="P437">
        <f t="shared" si="19"/>
        <v>3.3459787556904402E-2</v>
      </c>
      <c r="Q437">
        <f t="shared" si="20"/>
        <v>5.8725341426403642E-2</v>
      </c>
    </row>
    <row r="438" spans="1:17" x14ac:dyDescent="0.25">
      <c r="A438" t="str">
        <f t="shared" si="18"/>
        <v>Largie Ramazani</v>
      </c>
      <c r="B438" t="s">
        <v>2464</v>
      </c>
      <c r="C438" t="s">
        <v>2465</v>
      </c>
      <c r="D438">
        <v>11</v>
      </c>
      <c r="E438">
        <v>3</v>
      </c>
      <c r="F438">
        <v>49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f t="shared" si="19"/>
        <v>0</v>
      </c>
      <c r="Q438">
        <f t="shared" si="20"/>
        <v>0</v>
      </c>
    </row>
    <row r="439" spans="1:17" x14ac:dyDescent="0.25">
      <c r="A439" t="str">
        <f t="shared" si="18"/>
        <v>Tanaka Ao</v>
      </c>
      <c r="B439" t="s">
        <v>679</v>
      </c>
      <c r="C439" t="s">
        <v>680</v>
      </c>
      <c r="D439">
        <v>11</v>
      </c>
      <c r="E439">
        <v>3</v>
      </c>
      <c r="F439">
        <v>48</v>
      </c>
      <c r="G439">
        <v>1307</v>
      </c>
      <c r="H439">
        <v>14</v>
      </c>
      <c r="I439">
        <v>2</v>
      </c>
      <c r="J439">
        <v>1</v>
      </c>
      <c r="K439">
        <v>1.44</v>
      </c>
      <c r="L439">
        <v>1.39</v>
      </c>
      <c r="M439">
        <v>67</v>
      </c>
      <c r="N439">
        <v>288</v>
      </c>
      <c r="O439">
        <v>147</v>
      </c>
      <c r="P439">
        <f t="shared" si="19"/>
        <v>9.9158377964804895E-2</v>
      </c>
      <c r="Q439">
        <f t="shared" si="20"/>
        <v>9.5715378729915826E-2</v>
      </c>
    </row>
    <row r="440" spans="1:17" x14ac:dyDescent="0.25">
      <c r="A440" t="str">
        <f t="shared" si="18"/>
        <v>Charlie Crew</v>
      </c>
      <c r="B440" t="s">
        <v>548</v>
      </c>
      <c r="C440" t="s">
        <v>2466</v>
      </c>
      <c r="D440">
        <v>11</v>
      </c>
      <c r="E440">
        <v>3</v>
      </c>
      <c r="F440">
        <v>45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f t="shared" si="19"/>
        <v>0</v>
      </c>
      <c r="Q440">
        <f t="shared" si="20"/>
        <v>0</v>
      </c>
    </row>
    <row r="441" spans="1:17" x14ac:dyDescent="0.25">
      <c r="A441" t="str">
        <f t="shared" si="18"/>
        <v>Joe Gelhardt</v>
      </c>
      <c r="B441" t="s">
        <v>585</v>
      </c>
      <c r="C441" t="s">
        <v>586</v>
      </c>
      <c r="D441">
        <v>11</v>
      </c>
      <c r="E441">
        <v>3</v>
      </c>
      <c r="F441">
        <v>45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f t="shared" si="19"/>
        <v>0</v>
      </c>
      <c r="Q441">
        <f t="shared" si="20"/>
        <v>0</v>
      </c>
    </row>
    <row r="442" spans="1:17" x14ac:dyDescent="0.25">
      <c r="A442" t="str">
        <f t="shared" si="18"/>
        <v>Darko Gyabi</v>
      </c>
      <c r="B442" t="s">
        <v>579</v>
      </c>
      <c r="C442" t="s">
        <v>580</v>
      </c>
      <c r="D442">
        <v>11</v>
      </c>
      <c r="E442">
        <v>3</v>
      </c>
      <c r="F442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f t="shared" si="19"/>
        <v>0</v>
      </c>
      <c r="Q442">
        <f t="shared" si="20"/>
        <v>0</v>
      </c>
    </row>
    <row r="443" spans="1:17" x14ac:dyDescent="0.25">
      <c r="A443" t="str">
        <f t="shared" si="18"/>
        <v>Joël Piroe</v>
      </c>
      <c r="B443" t="s">
        <v>685</v>
      </c>
      <c r="C443" t="s">
        <v>686</v>
      </c>
      <c r="D443">
        <v>11</v>
      </c>
      <c r="E443">
        <v>4</v>
      </c>
      <c r="F443">
        <v>49</v>
      </c>
      <c r="G443">
        <v>244</v>
      </c>
      <c r="H443">
        <v>2</v>
      </c>
      <c r="I443">
        <v>0</v>
      </c>
      <c r="J443">
        <v>0</v>
      </c>
      <c r="K443">
        <v>0.9</v>
      </c>
      <c r="L443">
        <v>0.13</v>
      </c>
      <c r="M443">
        <v>17</v>
      </c>
      <c r="N443">
        <v>42</v>
      </c>
      <c r="O443">
        <v>14</v>
      </c>
      <c r="P443">
        <f t="shared" si="19"/>
        <v>0.33196721311475413</v>
      </c>
      <c r="Q443">
        <f t="shared" si="20"/>
        <v>4.7950819672131155E-2</v>
      </c>
    </row>
    <row r="444" spans="1:17" x14ac:dyDescent="0.25">
      <c r="A444" t="str">
        <f t="shared" si="18"/>
        <v>Patrick Bamford</v>
      </c>
      <c r="B444" t="s">
        <v>806</v>
      </c>
      <c r="C444" t="s">
        <v>2467</v>
      </c>
      <c r="D444">
        <v>11</v>
      </c>
      <c r="E444">
        <v>4</v>
      </c>
      <c r="F444">
        <v>49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f t="shared" si="19"/>
        <v>0</v>
      </c>
      <c r="Q444">
        <f t="shared" si="20"/>
        <v>0</v>
      </c>
    </row>
    <row r="445" spans="1:17" x14ac:dyDescent="0.25">
      <c r="A445" t="str">
        <f t="shared" si="18"/>
        <v>Mateo Joseph Fernández-Regatillo</v>
      </c>
      <c r="B445" t="s">
        <v>687</v>
      </c>
      <c r="C445" t="s">
        <v>688</v>
      </c>
      <c r="D445">
        <v>11</v>
      </c>
      <c r="E445">
        <v>4</v>
      </c>
      <c r="F445">
        <v>50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f t="shared" si="19"/>
        <v>0</v>
      </c>
      <c r="Q445">
        <f t="shared" si="20"/>
        <v>0</v>
      </c>
    </row>
    <row r="446" spans="1:17" x14ac:dyDescent="0.25">
      <c r="A446" t="str">
        <f t="shared" si="18"/>
        <v>Lukas Nmecha</v>
      </c>
      <c r="B446" t="s">
        <v>683</v>
      </c>
      <c r="C446" t="s">
        <v>684</v>
      </c>
      <c r="D446">
        <v>11</v>
      </c>
      <c r="E446">
        <v>4</v>
      </c>
      <c r="F446">
        <v>50</v>
      </c>
      <c r="G446">
        <v>1065</v>
      </c>
      <c r="H446">
        <v>10</v>
      </c>
      <c r="I446">
        <v>6</v>
      </c>
      <c r="J446">
        <v>1</v>
      </c>
      <c r="K446">
        <v>7.25</v>
      </c>
      <c r="L446">
        <v>1.58</v>
      </c>
      <c r="M446">
        <v>73</v>
      </c>
      <c r="N446">
        <v>268</v>
      </c>
      <c r="O446">
        <v>57</v>
      </c>
      <c r="P446">
        <f t="shared" si="19"/>
        <v>0.61267605633802813</v>
      </c>
      <c r="Q446">
        <f t="shared" si="20"/>
        <v>0.13352112676056338</v>
      </c>
    </row>
    <row r="447" spans="1:17" x14ac:dyDescent="0.25">
      <c r="A447" t="str">
        <f t="shared" si="18"/>
        <v>Sean Longstaff</v>
      </c>
      <c r="B447" t="s">
        <v>673</v>
      </c>
      <c r="C447" t="s">
        <v>674</v>
      </c>
      <c r="D447">
        <v>11</v>
      </c>
      <c r="E447">
        <v>3</v>
      </c>
      <c r="F447">
        <v>48</v>
      </c>
      <c r="G447">
        <v>1003</v>
      </c>
      <c r="H447">
        <v>10</v>
      </c>
      <c r="I447">
        <v>2</v>
      </c>
      <c r="J447">
        <v>2</v>
      </c>
      <c r="K447">
        <v>1.23</v>
      </c>
      <c r="L447">
        <v>1.87</v>
      </c>
      <c r="M447">
        <v>56</v>
      </c>
      <c r="N447">
        <v>273</v>
      </c>
      <c r="O447">
        <v>110</v>
      </c>
      <c r="P447">
        <f t="shared" si="19"/>
        <v>0.11036889332003988</v>
      </c>
      <c r="Q447">
        <f t="shared" si="20"/>
        <v>0.16779661016949154</v>
      </c>
    </row>
    <row r="448" spans="1:17" x14ac:dyDescent="0.25">
      <c r="A448" t="str">
        <f t="shared" si="18"/>
        <v>Anton Stach</v>
      </c>
      <c r="B448" t="s">
        <v>666</v>
      </c>
      <c r="C448" t="s">
        <v>667</v>
      </c>
      <c r="D448">
        <v>11</v>
      </c>
      <c r="E448">
        <v>3</v>
      </c>
      <c r="F448">
        <v>48</v>
      </c>
      <c r="G448">
        <v>2369</v>
      </c>
      <c r="H448">
        <v>28</v>
      </c>
      <c r="I448">
        <v>5</v>
      </c>
      <c r="J448">
        <v>6</v>
      </c>
      <c r="K448">
        <v>2.88</v>
      </c>
      <c r="L448">
        <v>4.47</v>
      </c>
      <c r="M448">
        <v>137</v>
      </c>
      <c r="N448">
        <v>550</v>
      </c>
      <c r="O448">
        <v>266</v>
      </c>
      <c r="P448">
        <f t="shared" si="19"/>
        <v>0.10941325453777966</v>
      </c>
      <c r="Q448">
        <f t="shared" si="20"/>
        <v>0.16981848881384548</v>
      </c>
    </row>
    <row r="449" spans="1:17" x14ac:dyDescent="0.25">
      <c r="A449" t="str">
        <f t="shared" si="18"/>
        <v>Lucas Estella Perri</v>
      </c>
      <c r="B449" t="s">
        <v>654</v>
      </c>
      <c r="C449" t="s">
        <v>655</v>
      </c>
      <c r="D449">
        <v>11</v>
      </c>
      <c r="E449">
        <v>1</v>
      </c>
      <c r="F449">
        <v>44</v>
      </c>
      <c r="G449">
        <v>1440</v>
      </c>
      <c r="H449">
        <v>16</v>
      </c>
      <c r="I449">
        <v>0</v>
      </c>
      <c r="J449">
        <v>0</v>
      </c>
      <c r="K449">
        <v>0</v>
      </c>
      <c r="L449">
        <v>0</v>
      </c>
      <c r="M449">
        <v>43</v>
      </c>
      <c r="N449">
        <v>153</v>
      </c>
      <c r="O449">
        <v>0</v>
      </c>
      <c r="P449">
        <f t="shared" si="19"/>
        <v>0</v>
      </c>
      <c r="Q449">
        <f t="shared" si="20"/>
        <v>0</v>
      </c>
    </row>
    <row r="450" spans="1:17" x14ac:dyDescent="0.25">
      <c r="A450" t="str">
        <f t="shared" ref="A450:A513" si="21">_xlfn.CONCAT(B450, " ", C450)</f>
        <v>Dominic Calvert-Lewin</v>
      </c>
      <c r="B450" t="s">
        <v>681</v>
      </c>
      <c r="C450" t="s">
        <v>682</v>
      </c>
      <c r="D450">
        <v>11</v>
      </c>
      <c r="E450">
        <v>4</v>
      </c>
      <c r="F450">
        <v>58</v>
      </c>
      <c r="G450">
        <v>2721</v>
      </c>
      <c r="H450">
        <v>30</v>
      </c>
      <c r="I450">
        <v>14</v>
      </c>
      <c r="J450">
        <v>2</v>
      </c>
      <c r="K450">
        <v>15.57</v>
      </c>
      <c r="L450">
        <v>1.06</v>
      </c>
      <c r="M450">
        <v>142</v>
      </c>
      <c r="N450">
        <v>472</v>
      </c>
      <c r="O450">
        <v>105</v>
      </c>
      <c r="P450">
        <f t="shared" ref="P450:P513" si="22">IFERROR(K450/G450*90,0)</f>
        <v>0.51499448732083797</v>
      </c>
      <c r="Q450">
        <f t="shared" ref="Q450:Q513" si="23">IFERROR(L450/G450*90,0)</f>
        <v>3.5060639470782806E-2</v>
      </c>
    </row>
    <row r="451" spans="1:17" x14ac:dyDescent="0.25">
      <c r="A451" t="str">
        <f t="shared" si="21"/>
        <v>Noah Okafor</v>
      </c>
      <c r="B451" t="s">
        <v>668</v>
      </c>
      <c r="C451" t="s">
        <v>669</v>
      </c>
      <c r="D451">
        <v>11</v>
      </c>
      <c r="E451">
        <v>3</v>
      </c>
      <c r="F451">
        <v>55</v>
      </c>
      <c r="G451">
        <v>1553</v>
      </c>
      <c r="H451">
        <v>19</v>
      </c>
      <c r="I451">
        <v>8</v>
      </c>
      <c r="J451">
        <v>3</v>
      </c>
      <c r="K451">
        <v>5.25</v>
      </c>
      <c r="L451">
        <v>1.32</v>
      </c>
      <c r="M451">
        <v>109</v>
      </c>
      <c r="N451">
        <v>354</v>
      </c>
      <c r="O451">
        <v>113</v>
      </c>
      <c r="P451">
        <f t="shared" si="22"/>
        <v>0.30424983902124919</v>
      </c>
      <c r="Q451">
        <f t="shared" si="23"/>
        <v>7.6497102382485513E-2</v>
      </c>
    </row>
    <row r="452" spans="1:17" x14ac:dyDescent="0.25">
      <c r="A452" t="str">
        <f t="shared" si="21"/>
        <v>James Justin</v>
      </c>
      <c r="B452" t="s">
        <v>135</v>
      </c>
      <c r="C452" t="s">
        <v>155</v>
      </c>
      <c r="D452">
        <v>11</v>
      </c>
      <c r="E452">
        <v>2</v>
      </c>
      <c r="F452">
        <v>40</v>
      </c>
      <c r="G452">
        <v>1893</v>
      </c>
      <c r="H452">
        <v>21</v>
      </c>
      <c r="I452">
        <v>2</v>
      </c>
      <c r="J452">
        <v>1</v>
      </c>
      <c r="K452">
        <v>1.83</v>
      </c>
      <c r="L452">
        <v>1.1599999999999999</v>
      </c>
      <c r="M452">
        <v>94</v>
      </c>
      <c r="N452">
        <v>338</v>
      </c>
      <c r="O452">
        <v>183</v>
      </c>
      <c r="P452">
        <f t="shared" si="22"/>
        <v>8.7004754358161657E-2</v>
      </c>
      <c r="Q452">
        <f t="shared" si="23"/>
        <v>5.5150554675118861E-2</v>
      </c>
    </row>
    <row r="453" spans="1:17" x14ac:dyDescent="0.25">
      <c r="A453" t="str">
        <f t="shared" si="21"/>
        <v>Harry Gray</v>
      </c>
      <c r="B453" t="s">
        <v>270</v>
      </c>
      <c r="C453" t="s">
        <v>974</v>
      </c>
      <c r="D453">
        <v>11</v>
      </c>
      <c r="E453">
        <v>4</v>
      </c>
      <c r="F453">
        <v>45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f t="shared" si="22"/>
        <v>0</v>
      </c>
      <c r="Q453">
        <f t="shared" si="23"/>
        <v>0</v>
      </c>
    </row>
    <row r="454" spans="1:17" x14ac:dyDescent="0.25">
      <c r="A454" t="str">
        <f t="shared" si="21"/>
        <v>Sam Chambers</v>
      </c>
      <c r="B454" t="s">
        <v>632</v>
      </c>
      <c r="C454" t="s">
        <v>1303</v>
      </c>
      <c r="D454">
        <v>11</v>
      </c>
      <c r="E454">
        <v>3</v>
      </c>
      <c r="F454">
        <v>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f t="shared" si="22"/>
        <v>0</v>
      </c>
      <c r="Q454">
        <f t="shared" si="23"/>
        <v>0</v>
      </c>
    </row>
    <row r="455" spans="1:17" x14ac:dyDescent="0.25">
      <c r="A455" t="str">
        <f t="shared" si="21"/>
        <v>Jayden Lienou</v>
      </c>
      <c r="B455" t="s">
        <v>659</v>
      </c>
      <c r="C455" t="s">
        <v>1227</v>
      </c>
      <c r="D455">
        <v>11</v>
      </c>
      <c r="E455">
        <v>2</v>
      </c>
      <c r="F455">
        <v>40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f t="shared" si="22"/>
        <v>0</v>
      </c>
      <c r="Q455">
        <f t="shared" si="23"/>
        <v>0</v>
      </c>
    </row>
    <row r="456" spans="1:17" x14ac:dyDescent="0.25">
      <c r="A456" t="str">
        <f t="shared" si="21"/>
        <v>Rhys Chadwick</v>
      </c>
      <c r="B456" t="s">
        <v>1836</v>
      </c>
      <c r="C456" t="s">
        <v>2468</v>
      </c>
      <c r="D456">
        <v>11</v>
      </c>
      <c r="E456">
        <v>3</v>
      </c>
      <c r="F456">
        <v>45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f t="shared" si="22"/>
        <v>0</v>
      </c>
      <c r="Q456">
        <f t="shared" si="23"/>
        <v>0</v>
      </c>
    </row>
    <row r="457" spans="1:17" x14ac:dyDescent="0.25">
      <c r="A457" t="str">
        <f t="shared" si="21"/>
        <v>Alfie Cresswell</v>
      </c>
      <c r="B457" t="s">
        <v>507</v>
      </c>
      <c r="C457" t="s">
        <v>1228</v>
      </c>
      <c r="D457">
        <v>11</v>
      </c>
      <c r="E457">
        <v>3</v>
      </c>
      <c r="F457">
        <v>45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f t="shared" si="22"/>
        <v>0</v>
      </c>
      <c r="Q457">
        <f t="shared" si="23"/>
        <v>0</v>
      </c>
    </row>
    <row r="458" spans="1:17" x14ac:dyDescent="0.25">
      <c r="A458" t="str">
        <f t="shared" si="21"/>
        <v>Alisson Becker</v>
      </c>
      <c r="B458" t="s">
        <v>690</v>
      </c>
      <c r="C458" t="s">
        <v>691</v>
      </c>
      <c r="D458">
        <v>12</v>
      </c>
      <c r="E458">
        <v>1</v>
      </c>
      <c r="F458">
        <v>54</v>
      </c>
      <c r="G458">
        <v>2340</v>
      </c>
      <c r="H458">
        <v>26</v>
      </c>
      <c r="I458">
        <v>0</v>
      </c>
      <c r="J458">
        <v>0</v>
      </c>
      <c r="K458">
        <v>0</v>
      </c>
      <c r="L458">
        <v>0.03</v>
      </c>
      <c r="M458">
        <v>91</v>
      </c>
      <c r="N458">
        <v>389</v>
      </c>
      <c r="O458">
        <v>0</v>
      </c>
      <c r="P458">
        <f t="shared" si="22"/>
        <v>0</v>
      </c>
      <c r="Q458">
        <f t="shared" si="23"/>
        <v>1.1538461538461537E-3</v>
      </c>
    </row>
    <row r="459" spans="1:17" x14ac:dyDescent="0.25">
      <c r="A459" t="str">
        <f t="shared" si="21"/>
        <v>Giorgi Mamardashvili</v>
      </c>
      <c r="B459" t="s">
        <v>692</v>
      </c>
      <c r="C459" t="s">
        <v>693</v>
      </c>
      <c r="D459">
        <v>12</v>
      </c>
      <c r="E459">
        <v>1</v>
      </c>
      <c r="F459">
        <v>41</v>
      </c>
      <c r="G459">
        <v>867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34</v>
      </c>
      <c r="N459">
        <v>139</v>
      </c>
      <c r="O459">
        <v>0</v>
      </c>
      <c r="P459">
        <f t="shared" si="22"/>
        <v>0</v>
      </c>
      <c r="Q459">
        <f t="shared" si="23"/>
        <v>0</v>
      </c>
    </row>
    <row r="460" spans="1:17" x14ac:dyDescent="0.25">
      <c r="A460" t="str">
        <f t="shared" si="21"/>
        <v>Ármin Pécsi</v>
      </c>
      <c r="B460" t="s">
        <v>2469</v>
      </c>
      <c r="C460" t="s">
        <v>2470</v>
      </c>
      <c r="D460">
        <v>12</v>
      </c>
      <c r="E460">
        <v>1</v>
      </c>
      <c r="F460">
        <v>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 t="shared" si="22"/>
        <v>0</v>
      </c>
      <c r="Q460">
        <f t="shared" si="23"/>
        <v>0</v>
      </c>
    </row>
    <row r="461" spans="1:17" x14ac:dyDescent="0.25">
      <c r="A461" t="str">
        <f t="shared" si="21"/>
        <v>Freddie Woodman</v>
      </c>
      <c r="B461" t="s">
        <v>694</v>
      </c>
      <c r="C461" t="s">
        <v>695</v>
      </c>
      <c r="D461">
        <v>12</v>
      </c>
      <c r="E461">
        <v>1</v>
      </c>
      <c r="F461">
        <v>39</v>
      </c>
      <c r="G461">
        <v>212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6</v>
      </c>
      <c r="N461">
        <v>34</v>
      </c>
      <c r="O461">
        <v>0</v>
      </c>
      <c r="P461">
        <f t="shared" si="22"/>
        <v>0</v>
      </c>
      <c r="Q461">
        <f t="shared" si="23"/>
        <v>0</v>
      </c>
    </row>
    <row r="462" spans="1:17" x14ac:dyDescent="0.25">
      <c r="A462" t="str">
        <f t="shared" si="21"/>
        <v>Jeremie Frimpong</v>
      </c>
      <c r="B462" t="s">
        <v>703</v>
      </c>
      <c r="C462" t="s">
        <v>704</v>
      </c>
      <c r="D462">
        <v>12</v>
      </c>
      <c r="E462">
        <v>2</v>
      </c>
      <c r="F462">
        <v>57</v>
      </c>
      <c r="G462">
        <v>1032</v>
      </c>
      <c r="H462">
        <v>12</v>
      </c>
      <c r="I462">
        <v>0</v>
      </c>
      <c r="J462">
        <v>5</v>
      </c>
      <c r="K462">
        <v>0.5</v>
      </c>
      <c r="L462">
        <v>1.55</v>
      </c>
      <c r="M462">
        <v>63</v>
      </c>
      <c r="N462">
        <v>237</v>
      </c>
      <c r="O462">
        <v>30</v>
      </c>
      <c r="P462">
        <f t="shared" si="22"/>
        <v>4.3604651162790699E-2</v>
      </c>
      <c r="Q462">
        <f t="shared" si="23"/>
        <v>0.13517441860465115</v>
      </c>
    </row>
    <row r="463" spans="1:17" x14ac:dyDescent="0.25">
      <c r="A463" t="str">
        <f t="shared" si="21"/>
        <v>Milos Kerkez</v>
      </c>
      <c r="B463" t="s">
        <v>705</v>
      </c>
      <c r="C463" t="s">
        <v>706</v>
      </c>
      <c r="D463">
        <v>12</v>
      </c>
      <c r="E463">
        <v>2</v>
      </c>
      <c r="F463">
        <v>56</v>
      </c>
      <c r="G463">
        <v>2251</v>
      </c>
      <c r="H463">
        <v>27</v>
      </c>
      <c r="I463">
        <v>2</v>
      </c>
      <c r="J463">
        <v>1</v>
      </c>
      <c r="K463">
        <v>1.5</v>
      </c>
      <c r="L463">
        <v>0.69</v>
      </c>
      <c r="M463">
        <v>85</v>
      </c>
      <c r="N463">
        <v>357</v>
      </c>
      <c r="O463">
        <v>134</v>
      </c>
      <c r="P463">
        <f t="shared" si="22"/>
        <v>5.9973345179920041E-2</v>
      </c>
      <c r="Q463">
        <f t="shared" si="23"/>
        <v>2.7587738782763212E-2</v>
      </c>
    </row>
    <row r="464" spans="1:17" x14ac:dyDescent="0.25">
      <c r="A464" t="str">
        <f t="shared" si="21"/>
        <v>Andrew Robertson</v>
      </c>
      <c r="B464" t="s">
        <v>945</v>
      </c>
      <c r="C464" t="s">
        <v>946</v>
      </c>
      <c r="D464">
        <v>12</v>
      </c>
      <c r="E464">
        <v>2</v>
      </c>
      <c r="F464">
        <v>57</v>
      </c>
      <c r="G464">
        <v>1165</v>
      </c>
      <c r="H464">
        <v>11</v>
      </c>
      <c r="I464">
        <v>1</v>
      </c>
      <c r="J464">
        <v>0</v>
      </c>
      <c r="K464">
        <v>1.1000000000000001</v>
      </c>
      <c r="L464">
        <v>1.4</v>
      </c>
      <c r="M464">
        <v>55</v>
      </c>
      <c r="N464">
        <v>216</v>
      </c>
      <c r="O464">
        <v>55</v>
      </c>
      <c r="P464">
        <f t="shared" si="22"/>
        <v>8.4978540772532196E-2</v>
      </c>
      <c r="Q464">
        <f t="shared" si="23"/>
        <v>0.10815450643776824</v>
      </c>
    </row>
    <row r="465" spans="1:17" x14ac:dyDescent="0.25">
      <c r="A465" t="str">
        <f t="shared" si="21"/>
        <v>Virgil van Dijk</v>
      </c>
      <c r="B465" t="s">
        <v>701</v>
      </c>
      <c r="C465" t="s">
        <v>702</v>
      </c>
      <c r="D465">
        <v>12</v>
      </c>
      <c r="E465">
        <v>2</v>
      </c>
      <c r="F465">
        <v>61</v>
      </c>
      <c r="G465">
        <v>3420</v>
      </c>
      <c r="H465">
        <v>38</v>
      </c>
      <c r="I465">
        <v>6</v>
      </c>
      <c r="J465">
        <v>1</v>
      </c>
      <c r="K465">
        <v>3.77</v>
      </c>
      <c r="L465">
        <v>1.44</v>
      </c>
      <c r="M465">
        <v>175</v>
      </c>
      <c r="N465">
        <v>593</v>
      </c>
      <c r="O465">
        <v>352</v>
      </c>
      <c r="P465">
        <f t="shared" si="22"/>
        <v>9.9210526315789471E-2</v>
      </c>
      <c r="Q465">
        <f t="shared" si="23"/>
        <v>3.7894736842105259E-2</v>
      </c>
    </row>
    <row r="466" spans="1:17" x14ac:dyDescent="0.25">
      <c r="A466" t="str">
        <f t="shared" si="21"/>
        <v>Ibrahima Konaté</v>
      </c>
      <c r="B466" t="s">
        <v>1690</v>
      </c>
      <c r="C466" t="s">
        <v>1691</v>
      </c>
      <c r="D466">
        <v>12</v>
      </c>
      <c r="E466">
        <v>2</v>
      </c>
      <c r="F466">
        <v>54</v>
      </c>
      <c r="G466">
        <v>3090</v>
      </c>
      <c r="H466">
        <v>36</v>
      </c>
      <c r="I466">
        <v>1</v>
      </c>
      <c r="J466">
        <v>0</v>
      </c>
      <c r="K466">
        <v>1.19</v>
      </c>
      <c r="L466">
        <v>0.98</v>
      </c>
      <c r="M466">
        <v>129</v>
      </c>
      <c r="N466">
        <v>532</v>
      </c>
      <c r="O466">
        <v>293</v>
      </c>
      <c r="P466">
        <f t="shared" si="22"/>
        <v>3.4660194174757283E-2</v>
      </c>
      <c r="Q466">
        <f t="shared" si="23"/>
        <v>2.8543689320388348E-2</v>
      </c>
    </row>
    <row r="467" spans="1:17" x14ac:dyDescent="0.25">
      <c r="A467" t="str">
        <f t="shared" si="21"/>
        <v>Conor Bradley</v>
      </c>
      <c r="B467" t="s">
        <v>708</v>
      </c>
      <c r="C467" t="s">
        <v>111</v>
      </c>
      <c r="D467">
        <v>12</v>
      </c>
      <c r="E467">
        <v>2</v>
      </c>
      <c r="F467">
        <v>49</v>
      </c>
      <c r="G467">
        <v>928</v>
      </c>
      <c r="H467">
        <v>12</v>
      </c>
      <c r="I467">
        <v>0</v>
      </c>
      <c r="J467">
        <v>2</v>
      </c>
      <c r="K467">
        <v>0.18</v>
      </c>
      <c r="L467">
        <v>0.84</v>
      </c>
      <c r="M467">
        <v>42</v>
      </c>
      <c r="N467">
        <v>157</v>
      </c>
      <c r="O467">
        <v>65</v>
      </c>
      <c r="P467">
        <f t="shared" si="22"/>
        <v>1.7456896551724138E-2</v>
      </c>
      <c r="Q467">
        <f t="shared" si="23"/>
        <v>8.1465517241379307E-2</v>
      </c>
    </row>
    <row r="468" spans="1:17" x14ac:dyDescent="0.25">
      <c r="A468" t="str">
        <f t="shared" si="21"/>
        <v>Joe Gomez</v>
      </c>
      <c r="B468" t="s">
        <v>585</v>
      </c>
      <c r="C468" t="s">
        <v>707</v>
      </c>
      <c r="D468">
        <v>12</v>
      </c>
      <c r="E468">
        <v>2</v>
      </c>
      <c r="F468">
        <v>49</v>
      </c>
      <c r="G468">
        <v>594</v>
      </c>
      <c r="H468">
        <v>7</v>
      </c>
      <c r="I468">
        <v>0</v>
      </c>
      <c r="J468">
        <v>2</v>
      </c>
      <c r="K468">
        <v>0.28000000000000003</v>
      </c>
      <c r="L468">
        <v>0.64</v>
      </c>
      <c r="M468">
        <v>33</v>
      </c>
      <c r="N468">
        <v>94</v>
      </c>
      <c r="O468">
        <v>46</v>
      </c>
      <c r="P468">
        <f t="shared" si="22"/>
        <v>4.2424242424242427E-2</v>
      </c>
      <c r="Q468">
        <f t="shared" si="23"/>
        <v>9.696969696969697E-2</v>
      </c>
    </row>
    <row r="469" spans="1:17" x14ac:dyDescent="0.25">
      <c r="A469" t="str">
        <f t="shared" si="21"/>
        <v>Konstantinos Tsimikas</v>
      </c>
      <c r="B469" t="s">
        <v>590</v>
      </c>
      <c r="C469" t="s">
        <v>716</v>
      </c>
      <c r="D469">
        <v>12</v>
      </c>
      <c r="E469">
        <v>2</v>
      </c>
      <c r="F469">
        <v>48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f t="shared" si="22"/>
        <v>0</v>
      </c>
      <c r="Q469">
        <f t="shared" si="23"/>
        <v>0</v>
      </c>
    </row>
    <row r="470" spans="1:17" x14ac:dyDescent="0.25">
      <c r="A470" t="str">
        <f t="shared" si="21"/>
        <v>Amara Nallo</v>
      </c>
      <c r="B470" t="s">
        <v>1707</v>
      </c>
      <c r="C470" t="s">
        <v>1708</v>
      </c>
      <c r="D470">
        <v>12</v>
      </c>
      <c r="E470">
        <v>2</v>
      </c>
      <c r="F470">
        <v>37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f t="shared" si="22"/>
        <v>0</v>
      </c>
      <c r="Q470">
        <f t="shared" si="23"/>
        <v>0</v>
      </c>
    </row>
    <row r="471" spans="1:17" x14ac:dyDescent="0.25">
      <c r="A471" t="str">
        <f t="shared" si="21"/>
        <v>Rhys Williams</v>
      </c>
      <c r="B471" t="s">
        <v>1836</v>
      </c>
      <c r="C471" t="s">
        <v>888</v>
      </c>
      <c r="D471">
        <v>12</v>
      </c>
      <c r="E471">
        <v>2</v>
      </c>
      <c r="F471">
        <v>37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 t="shared" si="22"/>
        <v>0</v>
      </c>
      <c r="Q471">
        <f t="shared" si="23"/>
        <v>0</v>
      </c>
    </row>
    <row r="472" spans="1:17" x14ac:dyDescent="0.25">
      <c r="A472" t="str">
        <f t="shared" si="21"/>
        <v>Calvin Ramsay</v>
      </c>
      <c r="B472" t="s">
        <v>517</v>
      </c>
      <c r="C472" t="s">
        <v>717</v>
      </c>
      <c r="D472">
        <v>12</v>
      </c>
      <c r="E472">
        <v>2</v>
      </c>
      <c r="F472">
        <v>37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f t="shared" si="22"/>
        <v>0</v>
      </c>
      <c r="Q472">
        <f t="shared" si="23"/>
        <v>0</v>
      </c>
    </row>
    <row r="473" spans="1:17" x14ac:dyDescent="0.25">
      <c r="A473" t="str">
        <f t="shared" si="21"/>
        <v>Mohamed Salah</v>
      </c>
      <c r="B473" t="s">
        <v>561</v>
      </c>
      <c r="C473" t="s">
        <v>1694</v>
      </c>
      <c r="D473">
        <v>12</v>
      </c>
      <c r="E473">
        <v>3</v>
      </c>
      <c r="F473">
        <v>140</v>
      </c>
      <c r="G473">
        <v>2144</v>
      </c>
      <c r="H473">
        <v>23</v>
      </c>
      <c r="I473">
        <v>7</v>
      </c>
      <c r="J473">
        <v>7</v>
      </c>
      <c r="K473">
        <v>8.23</v>
      </c>
      <c r="L473">
        <v>5.44</v>
      </c>
      <c r="M473">
        <v>123</v>
      </c>
      <c r="N473">
        <v>392</v>
      </c>
      <c r="O473">
        <v>109</v>
      </c>
      <c r="P473">
        <f t="shared" si="22"/>
        <v>0.34547574626865674</v>
      </c>
      <c r="Q473">
        <f t="shared" si="23"/>
        <v>0.22835820895522391</v>
      </c>
    </row>
    <row r="474" spans="1:17" x14ac:dyDescent="0.25">
      <c r="A474" t="str">
        <f t="shared" si="21"/>
        <v>Florian Wirtz</v>
      </c>
      <c r="B474" t="s">
        <v>718</v>
      </c>
      <c r="C474" t="s">
        <v>719</v>
      </c>
      <c r="D474">
        <v>12</v>
      </c>
      <c r="E474">
        <v>3</v>
      </c>
      <c r="F474">
        <v>83</v>
      </c>
      <c r="G474">
        <v>2374</v>
      </c>
      <c r="H474">
        <v>27</v>
      </c>
      <c r="I474">
        <v>5</v>
      </c>
      <c r="J474">
        <v>4</v>
      </c>
      <c r="K474">
        <v>6.83</v>
      </c>
      <c r="L474">
        <v>5.14</v>
      </c>
      <c r="M474">
        <v>125</v>
      </c>
      <c r="N474">
        <v>521</v>
      </c>
      <c r="O474">
        <v>176</v>
      </c>
      <c r="P474">
        <f t="shared" si="22"/>
        <v>0.25893007582139849</v>
      </c>
      <c r="Q474">
        <f t="shared" si="23"/>
        <v>0.1948609941027801</v>
      </c>
    </row>
    <row r="475" spans="1:17" x14ac:dyDescent="0.25">
      <c r="A475" t="str">
        <f t="shared" si="21"/>
        <v>Luis Díaz Marulanda</v>
      </c>
      <c r="B475" t="s">
        <v>1373</v>
      </c>
      <c r="C475" t="s">
        <v>2471</v>
      </c>
      <c r="D475">
        <v>12</v>
      </c>
      <c r="E475">
        <v>3</v>
      </c>
      <c r="F475">
        <v>80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f t="shared" si="22"/>
        <v>0</v>
      </c>
      <c r="Q475">
        <f t="shared" si="23"/>
        <v>0</v>
      </c>
    </row>
    <row r="476" spans="1:17" x14ac:dyDescent="0.25">
      <c r="A476" t="str">
        <f t="shared" si="21"/>
        <v>Cody Gakpo</v>
      </c>
      <c r="B476" t="s">
        <v>553</v>
      </c>
      <c r="C476" t="s">
        <v>720</v>
      </c>
      <c r="D476">
        <v>12</v>
      </c>
      <c r="E476">
        <v>3</v>
      </c>
      <c r="F476">
        <v>73</v>
      </c>
      <c r="G476">
        <v>2736</v>
      </c>
      <c r="H476">
        <v>32</v>
      </c>
      <c r="I476">
        <v>7</v>
      </c>
      <c r="J476">
        <v>5</v>
      </c>
      <c r="K476">
        <v>8.35</v>
      </c>
      <c r="L476">
        <v>4.67</v>
      </c>
      <c r="M476">
        <v>131</v>
      </c>
      <c r="N476">
        <v>449</v>
      </c>
      <c r="O476">
        <v>152</v>
      </c>
      <c r="P476">
        <f t="shared" si="22"/>
        <v>0.27467105263157893</v>
      </c>
      <c r="Q476">
        <f t="shared" si="23"/>
        <v>0.15361842105263157</v>
      </c>
    </row>
    <row r="477" spans="1:17" x14ac:dyDescent="0.25">
      <c r="A477" t="str">
        <f t="shared" si="21"/>
        <v>Federico Chiesa</v>
      </c>
      <c r="B477" t="s">
        <v>724</v>
      </c>
      <c r="C477" t="s">
        <v>725</v>
      </c>
      <c r="D477">
        <v>12</v>
      </c>
      <c r="E477">
        <v>3</v>
      </c>
      <c r="F477">
        <v>63</v>
      </c>
      <c r="G477">
        <v>317</v>
      </c>
      <c r="H477">
        <v>1</v>
      </c>
      <c r="I477">
        <v>2</v>
      </c>
      <c r="J477">
        <v>1</v>
      </c>
      <c r="K477">
        <v>1.45</v>
      </c>
      <c r="L477">
        <v>0.61</v>
      </c>
      <c r="M477">
        <v>37</v>
      </c>
      <c r="N477">
        <v>135</v>
      </c>
      <c r="O477">
        <v>30</v>
      </c>
      <c r="P477">
        <f t="shared" si="22"/>
        <v>0.41167192429022076</v>
      </c>
      <c r="Q477">
        <f t="shared" si="23"/>
        <v>0.17318611987381705</v>
      </c>
    </row>
    <row r="478" spans="1:17" x14ac:dyDescent="0.25">
      <c r="A478" t="str">
        <f t="shared" si="21"/>
        <v>Alexis Mac Allister</v>
      </c>
      <c r="B478" t="s">
        <v>727</v>
      </c>
      <c r="C478" t="s">
        <v>728</v>
      </c>
      <c r="D478">
        <v>12</v>
      </c>
      <c r="E478">
        <v>3</v>
      </c>
      <c r="F478">
        <v>61</v>
      </c>
      <c r="G478">
        <v>2654</v>
      </c>
      <c r="H478">
        <v>31</v>
      </c>
      <c r="I478">
        <v>2</v>
      </c>
      <c r="J478">
        <v>5</v>
      </c>
      <c r="K478">
        <v>3.89</v>
      </c>
      <c r="L478">
        <v>1.69</v>
      </c>
      <c r="M478">
        <v>108</v>
      </c>
      <c r="N478">
        <v>490</v>
      </c>
      <c r="O478">
        <v>229</v>
      </c>
      <c r="P478">
        <f t="shared" si="22"/>
        <v>0.13191409193669934</v>
      </c>
      <c r="Q478">
        <f t="shared" si="23"/>
        <v>5.7309721175584021E-2</v>
      </c>
    </row>
    <row r="479" spans="1:17" x14ac:dyDescent="0.25">
      <c r="A479" t="str">
        <f t="shared" si="21"/>
        <v>Dominik Szoboszlai</v>
      </c>
      <c r="B479" t="s">
        <v>721</v>
      </c>
      <c r="C479" t="s">
        <v>722</v>
      </c>
      <c r="D479">
        <v>12</v>
      </c>
      <c r="E479">
        <v>3</v>
      </c>
      <c r="F479">
        <v>71</v>
      </c>
      <c r="G479">
        <v>3232</v>
      </c>
      <c r="H479">
        <v>36</v>
      </c>
      <c r="I479">
        <v>6</v>
      </c>
      <c r="J479">
        <v>7</v>
      </c>
      <c r="K479">
        <v>4.76</v>
      </c>
      <c r="L479">
        <v>6.83</v>
      </c>
      <c r="M479">
        <v>160</v>
      </c>
      <c r="N479">
        <v>780</v>
      </c>
      <c r="O479">
        <v>338</v>
      </c>
      <c r="P479">
        <f t="shared" si="22"/>
        <v>0.13254950495049506</v>
      </c>
      <c r="Q479">
        <f t="shared" si="23"/>
        <v>0.19019183168316833</v>
      </c>
    </row>
    <row r="480" spans="1:17" x14ac:dyDescent="0.25">
      <c r="A480" t="str">
        <f t="shared" si="21"/>
        <v>Curtis Jones</v>
      </c>
      <c r="B480" t="s">
        <v>729</v>
      </c>
      <c r="C480" t="s">
        <v>730</v>
      </c>
      <c r="D480">
        <v>12</v>
      </c>
      <c r="E480">
        <v>3</v>
      </c>
      <c r="F480">
        <v>54</v>
      </c>
      <c r="G480">
        <v>1923</v>
      </c>
      <c r="H480">
        <v>18</v>
      </c>
      <c r="I480">
        <v>1</v>
      </c>
      <c r="J480">
        <v>3</v>
      </c>
      <c r="K480">
        <v>2.21</v>
      </c>
      <c r="L480">
        <v>2.77</v>
      </c>
      <c r="M480">
        <v>81</v>
      </c>
      <c r="N480">
        <v>447</v>
      </c>
      <c r="O480">
        <v>237</v>
      </c>
      <c r="P480">
        <f t="shared" si="22"/>
        <v>0.10343213728549143</v>
      </c>
      <c r="Q480">
        <f t="shared" si="23"/>
        <v>0.12964118564742591</v>
      </c>
    </row>
    <row r="481" spans="1:17" x14ac:dyDescent="0.25">
      <c r="A481" t="str">
        <f t="shared" si="21"/>
        <v>Ryan Gravenberch</v>
      </c>
      <c r="B481" t="s">
        <v>164</v>
      </c>
      <c r="C481" t="s">
        <v>726</v>
      </c>
      <c r="D481">
        <v>12</v>
      </c>
      <c r="E481">
        <v>3</v>
      </c>
      <c r="F481">
        <v>54</v>
      </c>
      <c r="G481">
        <v>2991</v>
      </c>
      <c r="H481">
        <v>34</v>
      </c>
      <c r="I481">
        <v>5</v>
      </c>
      <c r="J481">
        <v>5</v>
      </c>
      <c r="K481">
        <v>1.89</v>
      </c>
      <c r="L481">
        <v>2.2599999999999998</v>
      </c>
      <c r="M481">
        <v>144</v>
      </c>
      <c r="N481">
        <v>671</v>
      </c>
      <c r="O481">
        <v>298</v>
      </c>
      <c r="P481">
        <f t="shared" si="22"/>
        <v>5.6870611835506513E-2</v>
      </c>
      <c r="Q481">
        <f t="shared" si="23"/>
        <v>6.8004012036108313E-2</v>
      </c>
    </row>
    <row r="482" spans="1:17" x14ac:dyDescent="0.25">
      <c r="A482" t="str">
        <f t="shared" si="21"/>
        <v>Endo Wataru</v>
      </c>
      <c r="B482" t="s">
        <v>731</v>
      </c>
      <c r="C482" t="s">
        <v>732</v>
      </c>
      <c r="D482">
        <v>12</v>
      </c>
      <c r="E482">
        <v>3</v>
      </c>
      <c r="F482">
        <v>49</v>
      </c>
      <c r="G482">
        <v>170</v>
      </c>
      <c r="H482">
        <v>1</v>
      </c>
      <c r="I482">
        <v>0</v>
      </c>
      <c r="J482">
        <v>1</v>
      </c>
      <c r="K482">
        <v>0.04</v>
      </c>
      <c r="L482">
        <v>0.05</v>
      </c>
      <c r="M482">
        <v>12</v>
      </c>
      <c r="N482">
        <v>49</v>
      </c>
      <c r="O482">
        <v>23</v>
      </c>
      <c r="P482">
        <f t="shared" si="22"/>
        <v>2.1176470588235293E-2</v>
      </c>
      <c r="Q482">
        <f t="shared" si="23"/>
        <v>2.6470588235294121E-2</v>
      </c>
    </row>
    <row r="483" spans="1:17" x14ac:dyDescent="0.25">
      <c r="A483" t="str">
        <f t="shared" si="21"/>
        <v>Stefan Bajčetić Maquieira</v>
      </c>
      <c r="B483" t="s">
        <v>735</v>
      </c>
      <c r="C483" t="s">
        <v>736</v>
      </c>
      <c r="D483">
        <v>12</v>
      </c>
      <c r="E483">
        <v>3</v>
      </c>
      <c r="F483">
        <v>42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 t="shared" si="22"/>
        <v>0</v>
      </c>
      <c r="Q483">
        <f t="shared" si="23"/>
        <v>0</v>
      </c>
    </row>
    <row r="484" spans="1:17" x14ac:dyDescent="0.25">
      <c r="A484" t="str">
        <f t="shared" si="21"/>
        <v>James McConnell</v>
      </c>
      <c r="B484" t="s">
        <v>135</v>
      </c>
      <c r="C484" t="s">
        <v>738</v>
      </c>
      <c r="D484">
        <v>12</v>
      </c>
      <c r="E484">
        <v>3</v>
      </c>
      <c r="F484">
        <v>44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 t="shared" si="22"/>
        <v>0</v>
      </c>
      <c r="Q484">
        <f t="shared" si="23"/>
        <v>0</v>
      </c>
    </row>
    <row r="485" spans="1:17" x14ac:dyDescent="0.25">
      <c r="A485" t="str">
        <f t="shared" si="21"/>
        <v>Tyler Morton</v>
      </c>
      <c r="B485" t="s">
        <v>161</v>
      </c>
      <c r="C485" t="s">
        <v>2272</v>
      </c>
      <c r="D485">
        <v>12</v>
      </c>
      <c r="E485">
        <v>3</v>
      </c>
      <c r="F485">
        <v>45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f t="shared" si="22"/>
        <v>0</v>
      </c>
      <c r="Q485">
        <f t="shared" si="23"/>
        <v>0</v>
      </c>
    </row>
    <row r="486" spans="1:17" x14ac:dyDescent="0.25">
      <c r="A486" t="str">
        <f t="shared" si="21"/>
        <v>Trey Nyoni</v>
      </c>
      <c r="B486" t="s">
        <v>733</v>
      </c>
      <c r="C486" t="s">
        <v>734</v>
      </c>
      <c r="D486">
        <v>12</v>
      </c>
      <c r="E486">
        <v>3</v>
      </c>
      <c r="F486">
        <v>43</v>
      </c>
      <c r="G486">
        <v>21</v>
      </c>
      <c r="H486">
        <v>0</v>
      </c>
      <c r="I486">
        <v>0</v>
      </c>
      <c r="J486">
        <v>0</v>
      </c>
      <c r="K486">
        <v>0.37</v>
      </c>
      <c r="L486">
        <v>0.02</v>
      </c>
      <c r="M486">
        <v>6</v>
      </c>
      <c r="N486">
        <v>11</v>
      </c>
      <c r="O486">
        <v>5</v>
      </c>
      <c r="P486">
        <f t="shared" si="22"/>
        <v>1.5857142857142856</v>
      </c>
      <c r="Q486">
        <f t="shared" si="23"/>
        <v>8.5714285714285715E-2</v>
      </c>
    </row>
    <row r="487" spans="1:17" x14ac:dyDescent="0.25">
      <c r="A487" t="str">
        <f t="shared" si="21"/>
        <v>Darwin Núñez Ribeiro</v>
      </c>
      <c r="B487" t="s">
        <v>1684</v>
      </c>
      <c r="C487" t="s">
        <v>1685</v>
      </c>
      <c r="D487">
        <v>12</v>
      </c>
      <c r="E487">
        <v>4</v>
      </c>
      <c r="F487">
        <v>65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f t="shared" si="22"/>
        <v>0</v>
      </c>
      <c r="Q487">
        <f t="shared" si="23"/>
        <v>0</v>
      </c>
    </row>
    <row r="488" spans="1:17" x14ac:dyDescent="0.25">
      <c r="A488" t="str">
        <f t="shared" si="21"/>
        <v>Jayden Danns</v>
      </c>
      <c r="B488" t="s">
        <v>659</v>
      </c>
      <c r="C488" t="s">
        <v>744</v>
      </c>
      <c r="D488">
        <v>12</v>
      </c>
      <c r="E488">
        <v>4</v>
      </c>
      <c r="F488">
        <v>43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f t="shared" si="22"/>
        <v>0</v>
      </c>
      <c r="Q488">
        <f t="shared" si="23"/>
        <v>0</v>
      </c>
    </row>
    <row r="489" spans="1:17" x14ac:dyDescent="0.25">
      <c r="A489" t="str">
        <f t="shared" si="21"/>
        <v>Alexander Isak</v>
      </c>
      <c r="B489" t="s">
        <v>739</v>
      </c>
      <c r="C489" t="s">
        <v>740</v>
      </c>
      <c r="D489">
        <v>12</v>
      </c>
      <c r="E489">
        <v>4</v>
      </c>
      <c r="F489">
        <v>103</v>
      </c>
      <c r="G489">
        <v>694</v>
      </c>
      <c r="H489">
        <v>8</v>
      </c>
      <c r="I489">
        <v>3</v>
      </c>
      <c r="J489">
        <v>1</v>
      </c>
      <c r="K489">
        <v>2.59</v>
      </c>
      <c r="L489">
        <v>0.08</v>
      </c>
      <c r="M489">
        <v>41</v>
      </c>
      <c r="N489">
        <v>140</v>
      </c>
      <c r="O489">
        <v>30</v>
      </c>
      <c r="P489">
        <f t="shared" si="22"/>
        <v>0.33587896253602306</v>
      </c>
      <c r="Q489">
        <f t="shared" si="23"/>
        <v>1.0374639769452449E-2</v>
      </c>
    </row>
    <row r="490" spans="1:17" x14ac:dyDescent="0.25">
      <c r="A490" t="str">
        <f t="shared" si="21"/>
        <v>Hugo Ekitiké</v>
      </c>
      <c r="B490" t="s">
        <v>741</v>
      </c>
      <c r="C490" t="s">
        <v>742</v>
      </c>
      <c r="D490">
        <v>12</v>
      </c>
      <c r="E490">
        <v>4</v>
      </c>
      <c r="F490">
        <v>90</v>
      </c>
      <c r="G490">
        <v>1797</v>
      </c>
      <c r="H490">
        <v>21</v>
      </c>
      <c r="I490">
        <v>11</v>
      </c>
      <c r="J490">
        <v>4</v>
      </c>
      <c r="K490">
        <v>10.1</v>
      </c>
      <c r="L490">
        <v>2.4500000000000002</v>
      </c>
      <c r="M490">
        <v>125</v>
      </c>
      <c r="N490">
        <v>433</v>
      </c>
      <c r="O490">
        <v>85</v>
      </c>
      <c r="P490">
        <f t="shared" si="22"/>
        <v>0.50584307178631049</v>
      </c>
      <c r="Q490">
        <f t="shared" si="23"/>
        <v>0.12270450751252088</v>
      </c>
    </row>
    <row r="491" spans="1:17" x14ac:dyDescent="0.25">
      <c r="A491" t="str">
        <f t="shared" si="21"/>
        <v>Rio Ngumoha</v>
      </c>
      <c r="B491" t="s">
        <v>448</v>
      </c>
      <c r="C491" t="s">
        <v>723</v>
      </c>
      <c r="D491">
        <v>12</v>
      </c>
      <c r="E491">
        <v>3</v>
      </c>
      <c r="F491">
        <v>43</v>
      </c>
      <c r="G491">
        <v>547</v>
      </c>
      <c r="H491">
        <v>5</v>
      </c>
      <c r="I491">
        <v>2</v>
      </c>
      <c r="J491">
        <v>1</v>
      </c>
      <c r="K491">
        <v>1.34</v>
      </c>
      <c r="L491">
        <v>2.0099999999999998</v>
      </c>
      <c r="M491">
        <v>43</v>
      </c>
      <c r="N491">
        <v>188</v>
      </c>
      <c r="O491">
        <v>30</v>
      </c>
      <c r="P491">
        <f t="shared" si="22"/>
        <v>0.22047531992687389</v>
      </c>
      <c r="Q491">
        <f t="shared" si="23"/>
        <v>0.33071297989031073</v>
      </c>
    </row>
    <row r="492" spans="1:17" x14ac:dyDescent="0.25">
      <c r="A492" t="str">
        <f t="shared" si="21"/>
        <v>Giovanni Leoni</v>
      </c>
      <c r="B492" t="s">
        <v>713</v>
      </c>
      <c r="C492" t="s">
        <v>714</v>
      </c>
      <c r="D492">
        <v>12</v>
      </c>
      <c r="E492">
        <v>2</v>
      </c>
      <c r="F492">
        <v>49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22"/>
        <v>0</v>
      </c>
      <c r="Q492">
        <f t="shared" si="23"/>
        <v>0</v>
      </c>
    </row>
    <row r="493" spans="1:17" x14ac:dyDescent="0.25">
      <c r="A493" t="str">
        <f t="shared" si="21"/>
        <v>Kieran Morrison</v>
      </c>
      <c r="B493" t="s">
        <v>564</v>
      </c>
      <c r="C493" t="s">
        <v>2472</v>
      </c>
      <c r="D493">
        <v>12</v>
      </c>
      <c r="E493">
        <v>3</v>
      </c>
      <c r="F493">
        <v>45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f t="shared" si="22"/>
        <v>0</v>
      </c>
      <c r="Q493">
        <f t="shared" si="23"/>
        <v>0</v>
      </c>
    </row>
    <row r="494" spans="1:17" x14ac:dyDescent="0.25">
      <c r="A494" t="str">
        <f t="shared" si="21"/>
        <v>Wellity Lucky</v>
      </c>
      <c r="B494" t="s">
        <v>709</v>
      </c>
      <c r="C494" t="s">
        <v>710</v>
      </c>
      <c r="D494">
        <v>12</v>
      </c>
      <c r="E494">
        <v>2</v>
      </c>
      <c r="F494">
        <v>40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f t="shared" si="22"/>
        <v>0</v>
      </c>
      <c r="Q494">
        <f t="shared" si="23"/>
        <v>0</v>
      </c>
    </row>
    <row r="495" spans="1:17" x14ac:dyDescent="0.25">
      <c r="A495" t="str">
        <f t="shared" si="21"/>
        <v>Will Wright</v>
      </c>
      <c r="B495" t="s">
        <v>133</v>
      </c>
      <c r="C495" t="s">
        <v>396</v>
      </c>
      <c r="D495">
        <v>12</v>
      </c>
      <c r="E495">
        <v>4</v>
      </c>
      <c r="F495">
        <v>45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22"/>
        <v>0</v>
      </c>
      <c r="Q495">
        <f t="shared" si="23"/>
        <v>0</v>
      </c>
    </row>
    <row r="496" spans="1:17" x14ac:dyDescent="0.25">
      <c r="A496" t="str">
        <f t="shared" si="21"/>
        <v>Talla Ndiaye</v>
      </c>
      <c r="B496" t="s">
        <v>2473</v>
      </c>
      <c r="C496" t="s">
        <v>487</v>
      </c>
      <c r="D496">
        <v>12</v>
      </c>
      <c r="E496">
        <v>2</v>
      </c>
      <c r="F496">
        <v>40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f t="shared" si="22"/>
        <v>0</v>
      </c>
      <c r="Q496">
        <f t="shared" si="23"/>
        <v>0</v>
      </c>
    </row>
    <row r="497" spans="1:17" x14ac:dyDescent="0.25">
      <c r="A497" t="str">
        <f t="shared" si="21"/>
        <v>Antoine Semenyo</v>
      </c>
      <c r="B497" t="s">
        <v>767</v>
      </c>
      <c r="C497" t="s">
        <v>768</v>
      </c>
      <c r="D497">
        <v>13</v>
      </c>
      <c r="E497">
        <v>3</v>
      </c>
      <c r="F497">
        <v>80</v>
      </c>
      <c r="G497">
        <v>3200</v>
      </c>
      <c r="H497">
        <v>37</v>
      </c>
      <c r="I497">
        <v>17</v>
      </c>
      <c r="J497">
        <v>6</v>
      </c>
      <c r="K497">
        <v>11.1</v>
      </c>
      <c r="L497">
        <v>3.12</v>
      </c>
      <c r="M497">
        <v>202</v>
      </c>
      <c r="N497">
        <v>678</v>
      </c>
      <c r="O497">
        <v>236</v>
      </c>
      <c r="P497">
        <f t="shared" si="22"/>
        <v>0.31218750000000001</v>
      </c>
      <c r="Q497">
        <f t="shared" si="23"/>
        <v>8.7750000000000009E-2</v>
      </c>
    </row>
    <row r="498" spans="1:17" x14ac:dyDescent="0.25">
      <c r="A498" t="str">
        <f t="shared" si="21"/>
        <v>James Trafford</v>
      </c>
      <c r="B498" t="s">
        <v>135</v>
      </c>
      <c r="C498" t="s">
        <v>689</v>
      </c>
      <c r="D498">
        <v>13</v>
      </c>
      <c r="E498">
        <v>1</v>
      </c>
      <c r="F498">
        <v>45</v>
      </c>
      <c r="G498">
        <v>360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13</v>
      </c>
      <c r="N498">
        <v>67</v>
      </c>
      <c r="O498">
        <v>0</v>
      </c>
      <c r="P498">
        <f t="shared" si="22"/>
        <v>0</v>
      </c>
      <c r="Q498">
        <f t="shared" si="23"/>
        <v>0</v>
      </c>
    </row>
    <row r="499" spans="1:17" x14ac:dyDescent="0.25">
      <c r="A499" t="str">
        <f t="shared" si="21"/>
        <v>Marc Guéhi</v>
      </c>
      <c r="B499" t="s">
        <v>340</v>
      </c>
      <c r="C499" t="s">
        <v>754</v>
      </c>
      <c r="D499">
        <v>13</v>
      </c>
      <c r="E499">
        <v>2</v>
      </c>
      <c r="F499">
        <v>51</v>
      </c>
      <c r="G499">
        <v>3150</v>
      </c>
      <c r="H499">
        <v>35</v>
      </c>
      <c r="I499">
        <v>3</v>
      </c>
      <c r="J499">
        <v>5</v>
      </c>
      <c r="K499">
        <v>4.05</v>
      </c>
      <c r="L499">
        <v>2.37</v>
      </c>
      <c r="M499">
        <v>179</v>
      </c>
      <c r="N499">
        <v>688</v>
      </c>
      <c r="O499">
        <v>278</v>
      </c>
      <c r="P499">
        <f t="shared" si="22"/>
        <v>0.11571428571428571</v>
      </c>
      <c r="Q499">
        <f t="shared" si="23"/>
        <v>6.7714285714285713E-2</v>
      </c>
    </row>
    <row r="500" spans="1:17" x14ac:dyDescent="0.25">
      <c r="A500" t="str">
        <f t="shared" si="21"/>
        <v>Ederson Santana de Moraes</v>
      </c>
      <c r="B500" t="s">
        <v>1774</v>
      </c>
      <c r="C500" t="s">
        <v>1775</v>
      </c>
      <c r="D500">
        <v>13</v>
      </c>
      <c r="E500">
        <v>1</v>
      </c>
      <c r="F500">
        <v>53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22"/>
        <v>0</v>
      </c>
      <c r="Q500">
        <f t="shared" si="23"/>
        <v>0</v>
      </c>
    </row>
    <row r="501" spans="1:17" x14ac:dyDescent="0.25">
      <c r="A501" t="str">
        <f t="shared" si="21"/>
        <v>Marcus Bettinelli</v>
      </c>
      <c r="B501" t="s">
        <v>151</v>
      </c>
      <c r="C501" t="s">
        <v>751</v>
      </c>
      <c r="D501">
        <v>13</v>
      </c>
      <c r="E501">
        <v>1</v>
      </c>
      <c r="F501">
        <v>38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f t="shared" si="22"/>
        <v>0</v>
      </c>
      <c r="Q501">
        <f t="shared" si="23"/>
        <v>0</v>
      </c>
    </row>
    <row r="502" spans="1:17" x14ac:dyDescent="0.25">
      <c r="A502" t="str">
        <f t="shared" si="21"/>
        <v>Rayan Aït-Nouri</v>
      </c>
      <c r="B502" t="s">
        <v>760</v>
      </c>
      <c r="C502" t="s">
        <v>761</v>
      </c>
      <c r="D502">
        <v>13</v>
      </c>
      <c r="E502">
        <v>2</v>
      </c>
      <c r="F502">
        <v>57</v>
      </c>
      <c r="G502">
        <v>971</v>
      </c>
      <c r="H502">
        <v>12</v>
      </c>
      <c r="I502">
        <v>0</v>
      </c>
      <c r="J502">
        <v>2</v>
      </c>
      <c r="K502">
        <v>0.53</v>
      </c>
      <c r="L502">
        <v>2.0099999999999998</v>
      </c>
      <c r="M502">
        <v>60</v>
      </c>
      <c r="N502">
        <v>237</v>
      </c>
      <c r="O502">
        <v>67</v>
      </c>
      <c r="P502">
        <f t="shared" si="22"/>
        <v>4.9124613800205975E-2</v>
      </c>
      <c r="Q502">
        <f t="shared" si="23"/>
        <v>0.18630278063851696</v>
      </c>
    </row>
    <row r="503" spans="1:17" x14ac:dyDescent="0.25">
      <c r="A503" t="str">
        <f t="shared" si="21"/>
        <v>Joško Gvardiol</v>
      </c>
      <c r="B503" t="s">
        <v>758</v>
      </c>
      <c r="C503" t="s">
        <v>759</v>
      </c>
      <c r="D503">
        <v>13</v>
      </c>
      <c r="E503">
        <v>2</v>
      </c>
      <c r="F503">
        <v>58</v>
      </c>
      <c r="G503">
        <v>1370</v>
      </c>
      <c r="H503">
        <v>16</v>
      </c>
      <c r="I503">
        <v>2</v>
      </c>
      <c r="J503">
        <v>2</v>
      </c>
      <c r="K503">
        <v>2.25</v>
      </c>
      <c r="L503">
        <v>0.7</v>
      </c>
      <c r="M503">
        <v>79</v>
      </c>
      <c r="N503">
        <v>303</v>
      </c>
      <c r="O503">
        <v>103</v>
      </c>
      <c r="P503">
        <f t="shared" si="22"/>
        <v>0.1478102189781022</v>
      </c>
      <c r="Q503">
        <f t="shared" si="23"/>
        <v>4.5985401459854011E-2</v>
      </c>
    </row>
    <row r="504" spans="1:17" x14ac:dyDescent="0.25">
      <c r="A504" t="str">
        <f t="shared" si="21"/>
        <v>Manuel Akanji</v>
      </c>
      <c r="B504" t="s">
        <v>834</v>
      </c>
      <c r="C504" t="s">
        <v>1765</v>
      </c>
      <c r="D504">
        <v>13</v>
      </c>
      <c r="E504">
        <v>2</v>
      </c>
      <c r="F504">
        <v>54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22"/>
        <v>0</v>
      </c>
      <c r="Q504">
        <f t="shared" si="23"/>
        <v>0</v>
      </c>
    </row>
    <row r="505" spans="1:17" x14ac:dyDescent="0.25">
      <c r="A505" t="str">
        <f t="shared" si="21"/>
        <v>Nathan Aké</v>
      </c>
      <c r="B505" t="s">
        <v>185</v>
      </c>
      <c r="C505" t="s">
        <v>1766</v>
      </c>
      <c r="D505">
        <v>13</v>
      </c>
      <c r="E505">
        <v>2</v>
      </c>
      <c r="F505">
        <v>52</v>
      </c>
      <c r="G505">
        <v>686</v>
      </c>
      <c r="H505">
        <v>6</v>
      </c>
      <c r="I505">
        <v>0</v>
      </c>
      <c r="J505">
        <v>0</v>
      </c>
      <c r="K505">
        <v>0.72</v>
      </c>
      <c r="L505">
        <v>0.53</v>
      </c>
      <c r="M505">
        <v>36</v>
      </c>
      <c r="N505">
        <v>151</v>
      </c>
      <c r="O505">
        <v>46</v>
      </c>
      <c r="P505">
        <f t="shared" si="22"/>
        <v>9.44606413994169E-2</v>
      </c>
      <c r="Q505">
        <f t="shared" si="23"/>
        <v>6.953352769679301E-2</v>
      </c>
    </row>
    <row r="506" spans="1:17" x14ac:dyDescent="0.25">
      <c r="A506" t="str">
        <f t="shared" si="21"/>
        <v>Abdukodir Khusanov</v>
      </c>
      <c r="B506" t="s">
        <v>762</v>
      </c>
      <c r="C506" t="s">
        <v>763</v>
      </c>
      <c r="D506">
        <v>13</v>
      </c>
      <c r="E506">
        <v>2</v>
      </c>
      <c r="F506">
        <v>54</v>
      </c>
      <c r="G506">
        <v>1427</v>
      </c>
      <c r="H506">
        <v>15</v>
      </c>
      <c r="I506">
        <v>0</v>
      </c>
      <c r="J506">
        <v>0</v>
      </c>
      <c r="K506">
        <v>0.65</v>
      </c>
      <c r="L506">
        <v>1.21</v>
      </c>
      <c r="M506">
        <v>67</v>
      </c>
      <c r="N506">
        <v>293</v>
      </c>
      <c r="O506">
        <v>123</v>
      </c>
      <c r="P506">
        <f t="shared" si="22"/>
        <v>4.0995094604064468E-2</v>
      </c>
      <c r="Q506">
        <f t="shared" si="23"/>
        <v>7.6313945339873859E-2</v>
      </c>
    </row>
    <row r="507" spans="1:17" x14ac:dyDescent="0.25">
      <c r="A507" t="str">
        <f t="shared" si="21"/>
        <v>Matheus Nunes</v>
      </c>
      <c r="B507" t="s">
        <v>442</v>
      </c>
      <c r="C507" t="s">
        <v>755</v>
      </c>
      <c r="D507">
        <v>13</v>
      </c>
      <c r="E507">
        <v>2</v>
      </c>
      <c r="F507">
        <v>53</v>
      </c>
      <c r="G507">
        <v>2861</v>
      </c>
      <c r="H507">
        <v>32</v>
      </c>
      <c r="I507">
        <v>1</v>
      </c>
      <c r="J507">
        <v>8</v>
      </c>
      <c r="K507">
        <v>0.34</v>
      </c>
      <c r="L507">
        <v>2.23</v>
      </c>
      <c r="M507">
        <v>154</v>
      </c>
      <c r="N507">
        <v>676</v>
      </c>
      <c r="O507">
        <v>195</v>
      </c>
      <c r="P507">
        <f t="shared" si="22"/>
        <v>1.0695560992659909E-2</v>
      </c>
      <c r="Q507">
        <f t="shared" si="23"/>
        <v>7.0150297098916459E-2</v>
      </c>
    </row>
    <row r="508" spans="1:17" x14ac:dyDescent="0.25">
      <c r="A508" t="str">
        <f t="shared" si="21"/>
        <v>Rúben dos Santos Gato Alves Dias</v>
      </c>
      <c r="B508" t="s">
        <v>756</v>
      </c>
      <c r="C508" t="s">
        <v>757</v>
      </c>
      <c r="D508">
        <v>13</v>
      </c>
      <c r="E508">
        <v>2</v>
      </c>
      <c r="F508">
        <v>55</v>
      </c>
      <c r="G508">
        <v>2139</v>
      </c>
      <c r="H508">
        <v>24</v>
      </c>
      <c r="I508">
        <v>2</v>
      </c>
      <c r="J508">
        <v>0</v>
      </c>
      <c r="K508">
        <v>0.56999999999999995</v>
      </c>
      <c r="L508">
        <v>0.65</v>
      </c>
      <c r="M508">
        <v>113</v>
      </c>
      <c r="N508">
        <v>453</v>
      </c>
      <c r="O508">
        <v>167</v>
      </c>
      <c r="P508">
        <f t="shared" si="22"/>
        <v>2.3983169705469841E-2</v>
      </c>
      <c r="Q508">
        <f t="shared" si="23"/>
        <v>2.7349228611500701E-2</v>
      </c>
    </row>
    <row r="509" spans="1:17" x14ac:dyDescent="0.25">
      <c r="A509" t="str">
        <f t="shared" si="21"/>
        <v>John Stones</v>
      </c>
      <c r="B509" t="s">
        <v>101</v>
      </c>
      <c r="C509" t="s">
        <v>1786</v>
      </c>
      <c r="D509">
        <v>13</v>
      </c>
      <c r="E509">
        <v>2</v>
      </c>
      <c r="F509">
        <v>54</v>
      </c>
      <c r="G509">
        <v>436</v>
      </c>
      <c r="H509">
        <v>5</v>
      </c>
      <c r="I509">
        <v>0</v>
      </c>
      <c r="J509">
        <v>0</v>
      </c>
      <c r="K509">
        <v>0</v>
      </c>
      <c r="L509">
        <v>0.09</v>
      </c>
      <c r="M509">
        <v>16</v>
      </c>
      <c r="N509">
        <v>55</v>
      </c>
      <c r="O509">
        <v>30</v>
      </c>
      <c r="P509">
        <f t="shared" si="22"/>
        <v>0</v>
      </c>
      <c r="Q509">
        <f t="shared" si="23"/>
        <v>1.8577981651376144E-2</v>
      </c>
    </row>
    <row r="510" spans="1:17" x14ac:dyDescent="0.25">
      <c r="A510" t="str">
        <f t="shared" si="21"/>
        <v>Rico Lewis</v>
      </c>
      <c r="B510" t="s">
        <v>195</v>
      </c>
      <c r="C510" t="s">
        <v>157</v>
      </c>
      <c r="D510">
        <v>13</v>
      </c>
      <c r="E510">
        <v>2</v>
      </c>
      <c r="F510">
        <v>46</v>
      </c>
      <c r="G510">
        <v>401</v>
      </c>
      <c r="H510">
        <v>4</v>
      </c>
      <c r="I510">
        <v>0</v>
      </c>
      <c r="J510">
        <v>1</v>
      </c>
      <c r="K510">
        <v>0.19</v>
      </c>
      <c r="L510">
        <v>1.39</v>
      </c>
      <c r="M510">
        <v>19</v>
      </c>
      <c r="N510">
        <v>72</v>
      </c>
      <c r="O510">
        <v>19</v>
      </c>
      <c r="P510">
        <f t="shared" si="22"/>
        <v>4.2643391521197005E-2</v>
      </c>
      <c r="Q510">
        <f t="shared" si="23"/>
        <v>0.31197007481296757</v>
      </c>
    </row>
    <row r="511" spans="1:17" x14ac:dyDescent="0.25">
      <c r="A511" t="str">
        <f t="shared" si="21"/>
        <v>Nico O'Reilly</v>
      </c>
      <c r="B511" t="s">
        <v>752</v>
      </c>
      <c r="C511" t="s">
        <v>753</v>
      </c>
      <c r="D511">
        <v>13</v>
      </c>
      <c r="E511">
        <v>2</v>
      </c>
      <c r="F511">
        <v>53</v>
      </c>
      <c r="G511">
        <v>2643</v>
      </c>
      <c r="H511">
        <v>29</v>
      </c>
      <c r="I511">
        <v>5</v>
      </c>
      <c r="J511">
        <v>4</v>
      </c>
      <c r="K511">
        <v>6.12</v>
      </c>
      <c r="L511">
        <v>2.67</v>
      </c>
      <c r="M511">
        <v>160</v>
      </c>
      <c r="N511">
        <v>567</v>
      </c>
      <c r="O511">
        <v>172</v>
      </c>
      <c r="P511">
        <f t="shared" si="22"/>
        <v>0.20839954597048807</v>
      </c>
      <c r="Q511">
        <f t="shared" si="23"/>
        <v>9.0919409761634498E-2</v>
      </c>
    </row>
    <row r="512" spans="1:17" x14ac:dyDescent="0.25">
      <c r="A512" t="str">
        <f t="shared" si="21"/>
        <v>Vitor de Oliveira Nunes dos Reis</v>
      </c>
      <c r="B512" t="s">
        <v>765</v>
      </c>
      <c r="C512" t="s">
        <v>766</v>
      </c>
      <c r="D512">
        <v>13</v>
      </c>
      <c r="E512">
        <v>2</v>
      </c>
      <c r="F512">
        <v>50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f t="shared" si="22"/>
        <v>0</v>
      </c>
      <c r="Q512">
        <f t="shared" si="23"/>
        <v>0</v>
      </c>
    </row>
    <row r="513" spans="1:17" x14ac:dyDescent="0.25">
      <c r="A513" t="str">
        <f t="shared" si="21"/>
        <v>Omar Marmoush</v>
      </c>
      <c r="B513" t="s">
        <v>774</v>
      </c>
      <c r="C513" t="s">
        <v>775</v>
      </c>
      <c r="D513">
        <v>13</v>
      </c>
      <c r="E513">
        <v>3</v>
      </c>
      <c r="F513">
        <v>83</v>
      </c>
      <c r="G513">
        <v>691</v>
      </c>
      <c r="H513">
        <v>8</v>
      </c>
      <c r="I513">
        <v>3</v>
      </c>
      <c r="J513">
        <v>3</v>
      </c>
      <c r="K513">
        <v>2.78</v>
      </c>
      <c r="L513">
        <v>0.77</v>
      </c>
      <c r="M513">
        <v>56</v>
      </c>
      <c r="N513">
        <v>182</v>
      </c>
      <c r="O513">
        <v>39</v>
      </c>
      <c r="P513">
        <f t="shared" si="22"/>
        <v>0.36208393632416785</v>
      </c>
      <c r="Q513">
        <f t="shared" si="23"/>
        <v>0.10028943560057887</v>
      </c>
    </row>
    <row r="514" spans="1:17" x14ac:dyDescent="0.25">
      <c r="A514" t="str">
        <f t="shared" ref="A514:A577" si="24">_xlfn.CONCAT(B514, " ", C514)</f>
        <v>Phil Foden</v>
      </c>
      <c r="B514" t="s">
        <v>769</v>
      </c>
      <c r="C514" t="s">
        <v>770</v>
      </c>
      <c r="D514">
        <v>13</v>
      </c>
      <c r="E514">
        <v>3</v>
      </c>
      <c r="F514">
        <v>80</v>
      </c>
      <c r="G514">
        <v>2078</v>
      </c>
      <c r="H514">
        <v>23</v>
      </c>
      <c r="I514">
        <v>7</v>
      </c>
      <c r="J514">
        <v>5</v>
      </c>
      <c r="K514">
        <v>6.03</v>
      </c>
      <c r="L514">
        <v>4.76</v>
      </c>
      <c r="M514">
        <v>131</v>
      </c>
      <c r="N514">
        <v>563</v>
      </c>
      <c r="O514">
        <v>160</v>
      </c>
      <c r="P514">
        <f t="shared" ref="P514:P577" si="25">IFERROR(K514/G514*90,0)</f>
        <v>0.2611645813282002</v>
      </c>
      <c r="Q514">
        <f t="shared" ref="Q514:Q577" si="26">IFERROR(L514/G514*90,0)</f>
        <v>0.20615976900866217</v>
      </c>
    </row>
    <row r="515" spans="1:17" x14ac:dyDescent="0.25">
      <c r="A515" t="str">
        <f t="shared" si="24"/>
        <v>Sávio Moreira de Oliveira</v>
      </c>
      <c r="B515" t="s">
        <v>778</v>
      </c>
      <c r="C515" t="s">
        <v>779</v>
      </c>
      <c r="D515">
        <v>13</v>
      </c>
      <c r="E515">
        <v>3</v>
      </c>
      <c r="F515">
        <v>69</v>
      </c>
      <c r="G515">
        <v>817</v>
      </c>
      <c r="H515">
        <v>7</v>
      </c>
      <c r="I515">
        <v>1</v>
      </c>
      <c r="J515">
        <v>2</v>
      </c>
      <c r="K515">
        <v>2.5</v>
      </c>
      <c r="L515">
        <v>1.59</v>
      </c>
      <c r="M515">
        <v>43</v>
      </c>
      <c r="N515">
        <v>140</v>
      </c>
      <c r="O515">
        <v>59</v>
      </c>
      <c r="P515">
        <f t="shared" si="25"/>
        <v>0.2753977968176255</v>
      </c>
      <c r="Q515">
        <f t="shared" si="26"/>
        <v>0.17515299877600979</v>
      </c>
    </row>
    <row r="516" spans="1:17" x14ac:dyDescent="0.25">
      <c r="A516" t="str">
        <f t="shared" si="24"/>
        <v>Bernardo Mota Veiga de Carvalho e Silva</v>
      </c>
      <c r="B516" t="s">
        <v>1768</v>
      </c>
      <c r="C516" t="s">
        <v>2474</v>
      </c>
      <c r="D516">
        <v>13</v>
      </c>
      <c r="E516">
        <v>3</v>
      </c>
      <c r="F516">
        <v>62</v>
      </c>
      <c r="G516">
        <v>2869</v>
      </c>
      <c r="H516">
        <v>34</v>
      </c>
      <c r="I516">
        <v>2</v>
      </c>
      <c r="J516">
        <v>4</v>
      </c>
      <c r="K516">
        <v>2.71</v>
      </c>
      <c r="L516">
        <v>4.1100000000000003</v>
      </c>
      <c r="M516">
        <v>102</v>
      </c>
      <c r="N516">
        <v>534</v>
      </c>
      <c r="O516">
        <v>262</v>
      </c>
      <c r="P516">
        <f t="shared" si="25"/>
        <v>8.5012199372603695E-2</v>
      </c>
      <c r="Q516">
        <f t="shared" si="26"/>
        <v>0.1289299407459045</v>
      </c>
    </row>
    <row r="517" spans="1:17" x14ac:dyDescent="0.25">
      <c r="A517" t="str">
        <f t="shared" si="24"/>
        <v>Rayan Cherki</v>
      </c>
      <c r="B517" t="s">
        <v>760</v>
      </c>
      <c r="C517" t="s">
        <v>771</v>
      </c>
      <c r="D517">
        <v>13</v>
      </c>
      <c r="E517">
        <v>3</v>
      </c>
      <c r="F517">
        <v>65</v>
      </c>
      <c r="G517">
        <v>1772</v>
      </c>
      <c r="H517">
        <v>19</v>
      </c>
      <c r="I517">
        <v>4</v>
      </c>
      <c r="J517">
        <v>13</v>
      </c>
      <c r="K517">
        <v>4.28</v>
      </c>
      <c r="L517">
        <v>8.8699999999999992</v>
      </c>
      <c r="M517">
        <v>135</v>
      </c>
      <c r="N517">
        <v>580</v>
      </c>
      <c r="O517">
        <v>135</v>
      </c>
      <c r="P517">
        <f t="shared" si="25"/>
        <v>0.21738148984198649</v>
      </c>
      <c r="Q517">
        <f t="shared" si="26"/>
        <v>0.45050790067720081</v>
      </c>
    </row>
    <row r="518" spans="1:17" x14ac:dyDescent="0.25">
      <c r="A518" t="str">
        <f t="shared" si="24"/>
        <v>Jérémy Doku</v>
      </c>
      <c r="B518" t="s">
        <v>772</v>
      </c>
      <c r="C518" t="s">
        <v>773</v>
      </c>
      <c r="D518">
        <v>13</v>
      </c>
      <c r="E518">
        <v>3</v>
      </c>
      <c r="F518">
        <v>65</v>
      </c>
      <c r="G518">
        <v>1773</v>
      </c>
      <c r="H518">
        <v>19</v>
      </c>
      <c r="I518">
        <v>5</v>
      </c>
      <c r="J518">
        <v>8</v>
      </c>
      <c r="K518">
        <v>2.87</v>
      </c>
      <c r="L518">
        <v>5.86</v>
      </c>
      <c r="M518">
        <v>120</v>
      </c>
      <c r="N518">
        <v>526</v>
      </c>
      <c r="O518">
        <v>126</v>
      </c>
      <c r="P518">
        <f t="shared" si="25"/>
        <v>0.14568527918781726</v>
      </c>
      <c r="Q518">
        <f t="shared" si="26"/>
        <v>0.29746192893401019</v>
      </c>
    </row>
    <row r="519" spans="1:17" x14ac:dyDescent="0.25">
      <c r="A519" t="str">
        <f t="shared" si="24"/>
        <v>İlkay Gündoğan</v>
      </c>
      <c r="B519" t="s">
        <v>2475</v>
      </c>
      <c r="C519" t="s">
        <v>2476</v>
      </c>
      <c r="D519">
        <v>13</v>
      </c>
      <c r="E519">
        <v>3</v>
      </c>
      <c r="F519">
        <v>63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f t="shared" si="25"/>
        <v>0</v>
      </c>
      <c r="Q519">
        <f t="shared" si="26"/>
        <v>0</v>
      </c>
    </row>
    <row r="520" spans="1:17" x14ac:dyDescent="0.25">
      <c r="A520" t="str">
        <f t="shared" si="24"/>
        <v>Rodrigo 'Rodri' Hernandez Cascante</v>
      </c>
      <c r="B520" t="s">
        <v>776</v>
      </c>
      <c r="C520" t="s">
        <v>777</v>
      </c>
      <c r="D520">
        <v>13</v>
      </c>
      <c r="E520">
        <v>3</v>
      </c>
      <c r="F520">
        <v>63</v>
      </c>
      <c r="G520">
        <v>1510</v>
      </c>
      <c r="H520">
        <v>17</v>
      </c>
      <c r="I520">
        <v>1</v>
      </c>
      <c r="J520">
        <v>1</v>
      </c>
      <c r="K520">
        <v>1.1499999999999999</v>
      </c>
      <c r="L520">
        <v>2.4500000000000002</v>
      </c>
      <c r="M520">
        <v>69</v>
      </c>
      <c r="N520">
        <v>350</v>
      </c>
      <c r="O520">
        <v>206</v>
      </c>
      <c r="P520">
        <f t="shared" si="25"/>
        <v>6.8543046357615878E-2</v>
      </c>
      <c r="Q520">
        <f t="shared" si="26"/>
        <v>0.14602649006622517</v>
      </c>
    </row>
    <row r="521" spans="1:17" x14ac:dyDescent="0.25">
      <c r="A521" t="str">
        <f t="shared" si="24"/>
        <v>Mateo Kovačić</v>
      </c>
      <c r="B521" t="s">
        <v>687</v>
      </c>
      <c r="C521" t="s">
        <v>783</v>
      </c>
      <c r="D521">
        <v>13</v>
      </c>
      <c r="E521">
        <v>3</v>
      </c>
      <c r="F521">
        <v>58</v>
      </c>
      <c r="G521">
        <v>125</v>
      </c>
      <c r="H521">
        <v>1</v>
      </c>
      <c r="I521">
        <v>0</v>
      </c>
      <c r="J521">
        <v>1</v>
      </c>
      <c r="K521">
        <v>0.13</v>
      </c>
      <c r="L521">
        <v>0.42</v>
      </c>
      <c r="M521">
        <v>9</v>
      </c>
      <c r="N521">
        <v>41</v>
      </c>
      <c r="O521">
        <v>18</v>
      </c>
      <c r="P521">
        <f t="shared" si="25"/>
        <v>9.3600000000000017E-2</v>
      </c>
      <c r="Q521">
        <f t="shared" si="26"/>
        <v>0.30239999999999995</v>
      </c>
    </row>
    <row r="522" spans="1:17" x14ac:dyDescent="0.25">
      <c r="A522" t="str">
        <f t="shared" si="24"/>
        <v>Nico González Iglesias</v>
      </c>
      <c r="B522" t="s">
        <v>752</v>
      </c>
      <c r="C522" t="s">
        <v>782</v>
      </c>
      <c r="D522">
        <v>13</v>
      </c>
      <c r="E522">
        <v>3</v>
      </c>
      <c r="F522">
        <v>59</v>
      </c>
      <c r="G522">
        <v>1561</v>
      </c>
      <c r="H522">
        <v>17</v>
      </c>
      <c r="I522">
        <v>1</v>
      </c>
      <c r="J522">
        <v>0</v>
      </c>
      <c r="K522">
        <v>0.68</v>
      </c>
      <c r="L522">
        <v>1.1200000000000001</v>
      </c>
      <c r="M522">
        <v>63</v>
      </c>
      <c r="N522">
        <v>337</v>
      </c>
      <c r="O522">
        <v>206</v>
      </c>
      <c r="P522">
        <f t="shared" si="25"/>
        <v>3.9205637411915441E-2</v>
      </c>
      <c r="Q522">
        <f t="shared" si="26"/>
        <v>6.4573991031390138E-2</v>
      </c>
    </row>
    <row r="523" spans="1:17" x14ac:dyDescent="0.25">
      <c r="A523" t="str">
        <f t="shared" si="24"/>
        <v>Claudio Echeverri</v>
      </c>
      <c r="B523" t="s">
        <v>784</v>
      </c>
      <c r="C523" t="s">
        <v>785</v>
      </c>
      <c r="D523">
        <v>13</v>
      </c>
      <c r="E523">
        <v>3</v>
      </c>
      <c r="F523">
        <v>54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25"/>
        <v>0</v>
      </c>
      <c r="Q523">
        <f t="shared" si="26"/>
        <v>0</v>
      </c>
    </row>
    <row r="524" spans="1:17" x14ac:dyDescent="0.25">
      <c r="A524" t="str">
        <f t="shared" si="24"/>
        <v>Tijjani Reijnders</v>
      </c>
      <c r="B524" t="s">
        <v>780</v>
      </c>
      <c r="C524" t="s">
        <v>781</v>
      </c>
      <c r="D524">
        <v>13</v>
      </c>
      <c r="E524">
        <v>3</v>
      </c>
      <c r="F524">
        <v>50</v>
      </c>
      <c r="G524">
        <v>1623</v>
      </c>
      <c r="H524">
        <v>19</v>
      </c>
      <c r="I524">
        <v>5</v>
      </c>
      <c r="J524">
        <v>3</v>
      </c>
      <c r="K524">
        <v>4.6100000000000003</v>
      </c>
      <c r="L524">
        <v>2.35</v>
      </c>
      <c r="M524">
        <v>92</v>
      </c>
      <c r="N524">
        <v>337</v>
      </c>
      <c r="O524">
        <v>100</v>
      </c>
      <c r="P524">
        <f t="shared" si="25"/>
        <v>0.25563770794824398</v>
      </c>
      <c r="Q524">
        <f t="shared" si="26"/>
        <v>0.13031423290203326</v>
      </c>
    </row>
    <row r="525" spans="1:17" x14ac:dyDescent="0.25">
      <c r="A525" t="str">
        <f t="shared" si="24"/>
        <v>Sverre Nypan</v>
      </c>
      <c r="B525" t="s">
        <v>2477</v>
      </c>
      <c r="C525" t="s">
        <v>2478</v>
      </c>
      <c r="D525">
        <v>13</v>
      </c>
      <c r="E525">
        <v>3</v>
      </c>
      <c r="F525">
        <v>50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f t="shared" si="25"/>
        <v>0</v>
      </c>
      <c r="Q525">
        <f t="shared" si="26"/>
        <v>0</v>
      </c>
    </row>
    <row r="526" spans="1:17" x14ac:dyDescent="0.25">
      <c r="A526" t="str">
        <f t="shared" si="24"/>
        <v>Kalvin Phillips</v>
      </c>
      <c r="B526" t="s">
        <v>786</v>
      </c>
      <c r="C526" t="s">
        <v>541</v>
      </c>
      <c r="D526">
        <v>13</v>
      </c>
      <c r="E526">
        <v>3</v>
      </c>
      <c r="F526">
        <v>47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f t="shared" si="25"/>
        <v>0</v>
      </c>
      <c r="Q526">
        <f t="shared" si="26"/>
        <v>0</v>
      </c>
    </row>
    <row r="527" spans="1:17" x14ac:dyDescent="0.25">
      <c r="A527" t="str">
        <f t="shared" si="24"/>
        <v>Erling Haaland</v>
      </c>
      <c r="B527" t="s">
        <v>790</v>
      </c>
      <c r="C527" t="s">
        <v>791</v>
      </c>
      <c r="D527">
        <v>13</v>
      </c>
      <c r="E527">
        <v>4</v>
      </c>
      <c r="F527">
        <v>147</v>
      </c>
      <c r="G527">
        <v>2953</v>
      </c>
      <c r="H527">
        <v>34</v>
      </c>
      <c r="I527">
        <v>27</v>
      </c>
      <c r="J527">
        <v>8</v>
      </c>
      <c r="K527">
        <v>25.5</v>
      </c>
      <c r="L527">
        <v>2.67</v>
      </c>
      <c r="M527">
        <v>239</v>
      </c>
      <c r="N527">
        <v>952</v>
      </c>
      <c r="O527">
        <v>104</v>
      </c>
      <c r="P527">
        <f t="shared" si="25"/>
        <v>0.77717575347104639</v>
      </c>
      <c r="Q527">
        <f t="shared" si="26"/>
        <v>8.1374873010497797E-2</v>
      </c>
    </row>
    <row r="528" spans="1:17" x14ac:dyDescent="0.25">
      <c r="A528" t="str">
        <f t="shared" si="24"/>
        <v>Gianluigi Donnarumma</v>
      </c>
      <c r="B528" t="s">
        <v>749</v>
      </c>
      <c r="C528" t="s">
        <v>750</v>
      </c>
      <c r="D528">
        <v>13</v>
      </c>
      <c r="E528">
        <v>1</v>
      </c>
      <c r="F528">
        <v>56</v>
      </c>
      <c r="G528">
        <v>3060</v>
      </c>
      <c r="H528">
        <v>34</v>
      </c>
      <c r="I528">
        <v>0</v>
      </c>
      <c r="J528">
        <v>0</v>
      </c>
      <c r="K528">
        <v>0</v>
      </c>
      <c r="L528">
        <v>0.13</v>
      </c>
      <c r="M528">
        <v>135</v>
      </c>
      <c r="N528">
        <v>567</v>
      </c>
      <c r="O528">
        <v>0</v>
      </c>
      <c r="P528">
        <f t="shared" si="25"/>
        <v>0</v>
      </c>
      <c r="Q528">
        <f t="shared" si="26"/>
        <v>3.8235294117647061E-3</v>
      </c>
    </row>
    <row r="529" spans="1:17" x14ac:dyDescent="0.25">
      <c r="A529" t="str">
        <f t="shared" si="24"/>
        <v>Divine Mukasa</v>
      </c>
      <c r="B529" t="s">
        <v>787</v>
      </c>
      <c r="C529" t="s">
        <v>788</v>
      </c>
      <c r="D529">
        <v>13</v>
      </c>
      <c r="E529">
        <v>3</v>
      </c>
      <c r="F529">
        <v>44</v>
      </c>
      <c r="G529">
        <v>25</v>
      </c>
      <c r="H529">
        <v>0</v>
      </c>
      <c r="I529">
        <v>0</v>
      </c>
      <c r="J529">
        <v>0</v>
      </c>
      <c r="K529">
        <v>0</v>
      </c>
      <c r="L529">
        <v>0.21</v>
      </c>
      <c r="M529">
        <v>2</v>
      </c>
      <c r="N529">
        <v>5</v>
      </c>
      <c r="O529">
        <v>1</v>
      </c>
      <c r="P529">
        <f t="shared" si="25"/>
        <v>0</v>
      </c>
      <c r="Q529">
        <f t="shared" si="26"/>
        <v>0.75600000000000001</v>
      </c>
    </row>
    <row r="530" spans="1:17" x14ac:dyDescent="0.25">
      <c r="A530" t="str">
        <f t="shared" si="24"/>
        <v>Stephen Mfuni</v>
      </c>
      <c r="B530" t="s">
        <v>2479</v>
      </c>
      <c r="C530" t="s">
        <v>2480</v>
      </c>
      <c r="D530">
        <v>13</v>
      </c>
      <c r="E530">
        <v>2</v>
      </c>
      <c r="F530">
        <v>39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f t="shared" si="25"/>
        <v>0</v>
      </c>
      <c r="Q530">
        <f t="shared" si="26"/>
        <v>0</v>
      </c>
    </row>
    <row r="531" spans="1:17" x14ac:dyDescent="0.25">
      <c r="A531" t="str">
        <f t="shared" si="24"/>
        <v>Ryan McAidoo</v>
      </c>
      <c r="B531" t="s">
        <v>164</v>
      </c>
      <c r="C531" t="s">
        <v>1255</v>
      </c>
      <c r="D531">
        <v>13</v>
      </c>
      <c r="E531">
        <v>3</v>
      </c>
      <c r="F531">
        <v>45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 t="shared" si="25"/>
        <v>0</v>
      </c>
      <c r="Q531">
        <f t="shared" si="26"/>
        <v>0</v>
      </c>
    </row>
    <row r="532" spans="1:17" x14ac:dyDescent="0.25">
      <c r="A532" t="str">
        <f t="shared" si="24"/>
        <v>Charlie Gray</v>
      </c>
      <c r="B532" t="s">
        <v>548</v>
      </c>
      <c r="C532" t="s">
        <v>974</v>
      </c>
      <c r="D532">
        <v>13</v>
      </c>
      <c r="E532">
        <v>3</v>
      </c>
      <c r="F532">
        <v>45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f t="shared" si="25"/>
        <v>0</v>
      </c>
      <c r="Q532">
        <f t="shared" si="26"/>
        <v>0</v>
      </c>
    </row>
    <row r="533" spans="1:17" x14ac:dyDescent="0.25">
      <c r="A533" t="str">
        <f t="shared" si="24"/>
        <v>Reigan Heskey</v>
      </c>
      <c r="B533" t="s">
        <v>2481</v>
      </c>
      <c r="C533" t="s">
        <v>2482</v>
      </c>
      <c r="D533">
        <v>13</v>
      </c>
      <c r="E533">
        <v>3</v>
      </c>
      <c r="F533">
        <v>45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f t="shared" si="25"/>
        <v>0</v>
      </c>
      <c r="Q533">
        <f t="shared" si="26"/>
        <v>0</v>
      </c>
    </row>
    <row r="534" spans="1:17" x14ac:dyDescent="0.25">
      <c r="A534" t="str">
        <f t="shared" si="24"/>
        <v>Max Alleyne</v>
      </c>
      <c r="B534" t="s">
        <v>57</v>
      </c>
      <c r="C534" t="s">
        <v>764</v>
      </c>
      <c r="D534">
        <v>13</v>
      </c>
      <c r="E534">
        <v>2</v>
      </c>
      <c r="F534">
        <v>39</v>
      </c>
      <c r="G534">
        <v>135</v>
      </c>
      <c r="H534">
        <v>2</v>
      </c>
      <c r="I534">
        <v>0</v>
      </c>
      <c r="J534">
        <v>0</v>
      </c>
      <c r="K534">
        <v>0.26</v>
      </c>
      <c r="L534">
        <v>0.06</v>
      </c>
      <c r="M534">
        <v>5</v>
      </c>
      <c r="N534">
        <v>27</v>
      </c>
      <c r="O534">
        <v>11</v>
      </c>
      <c r="P534">
        <f t="shared" si="25"/>
        <v>0.17333333333333334</v>
      </c>
      <c r="Q534">
        <f t="shared" si="26"/>
        <v>3.9999999999999994E-2</v>
      </c>
    </row>
    <row r="535" spans="1:17" x14ac:dyDescent="0.25">
      <c r="A535" t="str">
        <f t="shared" si="24"/>
        <v>Bryan Mbeumo</v>
      </c>
      <c r="B535" t="s">
        <v>825</v>
      </c>
      <c r="C535" t="s">
        <v>826</v>
      </c>
      <c r="D535">
        <v>14</v>
      </c>
      <c r="E535">
        <v>3</v>
      </c>
      <c r="F535">
        <v>83</v>
      </c>
      <c r="G535">
        <v>2611</v>
      </c>
      <c r="H535">
        <v>31</v>
      </c>
      <c r="I535">
        <v>11</v>
      </c>
      <c r="J535">
        <v>3</v>
      </c>
      <c r="K535">
        <v>11.98</v>
      </c>
      <c r="L535">
        <v>4.99</v>
      </c>
      <c r="M535">
        <v>148</v>
      </c>
      <c r="N535">
        <v>528</v>
      </c>
      <c r="O535">
        <v>139</v>
      </c>
      <c r="P535">
        <f t="shared" si="25"/>
        <v>0.41294523171198771</v>
      </c>
      <c r="Q535">
        <f t="shared" si="26"/>
        <v>0.17200306396016851</v>
      </c>
    </row>
    <row r="536" spans="1:17" x14ac:dyDescent="0.25">
      <c r="A536" t="str">
        <f t="shared" si="24"/>
        <v>Altay Bayındır</v>
      </c>
      <c r="B536" t="s">
        <v>803</v>
      </c>
      <c r="C536" t="s">
        <v>804</v>
      </c>
      <c r="D536">
        <v>14</v>
      </c>
      <c r="E536">
        <v>1</v>
      </c>
      <c r="F536">
        <v>47</v>
      </c>
      <c r="G536">
        <v>540</v>
      </c>
      <c r="H536">
        <v>6</v>
      </c>
      <c r="I536">
        <v>0</v>
      </c>
      <c r="J536">
        <v>0</v>
      </c>
      <c r="K536">
        <v>0</v>
      </c>
      <c r="L536">
        <v>0.05</v>
      </c>
      <c r="M536">
        <v>11</v>
      </c>
      <c r="N536">
        <v>49</v>
      </c>
      <c r="O536">
        <v>0</v>
      </c>
      <c r="P536">
        <f t="shared" si="25"/>
        <v>0</v>
      </c>
      <c r="Q536">
        <f t="shared" si="26"/>
        <v>8.333333333333335E-3</v>
      </c>
    </row>
    <row r="537" spans="1:17" x14ac:dyDescent="0.25">
      <c r="A537" t="str">
        <f t="shared" si="24"/>
        <v>André Onana</v>
      </c>
      <c r="B537" t="s">
        <v>1614</v>
      </c>
      <c r="C537" t="s">
        <v>108</v>
      </c>
      <c r="D537">
        <v>14</v>
      </c>
      <c r="E537">
        <v>1</v>
      </c>
      <c r="F537">
        <v>49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25"/>
        <v>0</v>
      </c>
      <c r="Q537">
        <f t="shared" si="26"/>
        <v>0</v>
      </c>
    </row>
    <row r="538" spans="1:17" x14ac:dyDescent="0.25">
      <c r="A538" t="str">
        <f t="shared" si="24"/>
        <v>Elyh Harrison</v>
      </c>
      <c r="B538" t="s">
        <v>2293</v>
      </c>
      <c r="C538" t="s">
        <v>493</v>
      </c>
      <c r="D538">
        <v>14</v>
      </c>
      <c r="E538">
        <v>1</v>
      </c>
      <c r="F538">
        <v>40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 t="shared" si="25"/>
        <v>0</v>
      </c>
      <c r="Q538">
        <f t="shared" si="26"/>
        <v>0</v>
      </c>
    </row>
    <row r="539" spans="1:17" x14ac:dyDescent="0.25">
      <c r="A539" t="str">
        <f t="shared" si="24"/>
        <v>Tom Heaton</v>
      </c>
      <c r="B539" t="s">
        <v>272</v>
      </c>
      <c r="C539" t="s">
        <v>805</v>
      </c>
      <c r="D539">
        <v>14</v>
      </c>
      <c r="E539">
        <v>1</v>
      </c>
      <c r="F539">
        <v>38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f t="shared" si="25"/>
        <v>0</v>
      </c>
      <c r="Q539">
        <f t="shared" si="26"/>
        <v>0</v>
      </c>
    </row>
    <row r="540" spans="1:17" x14ac:dyDescent="0.25">
      <c r="A540" t="str">
        <f t="shared" si="24"/>
        <v>Dermot Mee</v>
      </c>
      <c r="B540" t="s">
        <v>1840</v>
      </c>
      <c r="C540" t="s">
        <v>1396</v>
      </c>
      <c r="D540">
        <v>14</v>
      </c>
      <c r="E540">
        <v>1</v>
      </c>
      <c r="F540">
        <v>39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f t="shared" si="25"/>
        <v>0</v>
      </c>
      <c r="Q540">
        <f t="shared" si="26"/>
        <v>0</v>
      </c>
    </row>
    <row r="541" spans="1:17" x14ac:dyDescent="0.25">
      <c r="A541" t="str">
        <f t="shared" si="24"/>
        <v>Matthijs de Ligt</v>
      </c>
      <c r="B541" t="s">
        <v>808</v>
      </c>
      <c r="C541" t="s">
        <v>809</v>
      </c>
      <c r="D541">
        <v>14</v>
      </c>
      <c r="E541">
        <v>2</v>
      </c>
      <c r="F541">
        <v>49</v>
      </c>
      <c r="G541">
        <v>1170</v>
      </c>
      <c r="H541">
        <v>13</v>
      </c>
      <c r="I541">
        <v>1</v>
      </c>
      <c r="J541">
        <v>0</v>
      </c>
      <c r="K541">
        <v>1.38</v>
      </c>
      <c r="L541">
        <v>0.83</v>
      </c>
      <c r="M541">
        <v>43</v>
      </c>
      <c r="N541">
        <v>169</v>
      </c>
      <c r="O541">
        <v>107</v>
      </c>
      <c r="P541">
        <f t="shared" si="25"/>
        <v>0.10615384615384614</v>
      </c>
      <c r="Q541">
        <f t="shared" si="26"/>
        <v>6.3846153846153844E-2</v>
      </c>
    </row>
    <row r="542" spans="1:17" x14ac:dyDescent="0.25">
      <c r="A542" t="str">
        <f t="shared" si="24"/>
        <v>Lisandro Martínez</v>
      </c>
      <c r="B542" t="s">
        <v>813</v>
      </c>
      <c r="C542" t="s">
        <v>814</v>
      </c>
      <c r="D542">
        <v>14</v>
      </c>
      <c r="E542">
        <v>2</v>
      </c>
      <c r="F542">
        <v>48</v>
      </c>
      <c r="G542">
        <v>1229</v>
      </c>
      <c r="H542">
        <v>13</v>
      </c>
      <c r="I542">
        <v>0</v>
      </c>
      <c r="J542">
        <v>0</v>
      </c>
      <c r="K542">
        <v>0.15</v>
      </c>
      <c r="L542">
        <v>0.6</v>
      </c>
      <c r="M542">
        <v>51</v>
      </c>
      <c r="N542">
        <v>241</v>
      </c>
      <c r="O542">
        <v>105</v>
      </c>
      <c r="P542">
        <f t="shared" si="25"/>
        <v>1.0984540276647681E-2</v>
      </c>
      <c r="Q542">
        <f t="shared" si="26"/>
        <v>4.3938161106590726E-2</v>
      </c>
    </row>
    <row r="543" spans="1:17" x14ac:dyDescent="0.25">
      <c r="A543" t="str">
        <f t="shared" si="24"/>
        <v>Noussair Mazraoui</v>
      </c>
      <c r="B543" t="s">
        <v>819</v>
      </c>
      <c r="C543" t="s">
        <v>820</v>
      </c>
      <c r="D543">
        <v>14</v>
      </c>
      <c r="E543">
        <v>2</v>
      </c>
      <c r="F543">
        <v>49</v>
      </c>
      <c r="G543">
        <v>977</v>
      </c>
      <c r="H543">
        <v>11</v>
      </c>
      <c r="I543">
        <v>0</v>
      </c>
      <c r="J543">
        <v>0</v>
      </c>
      <c r="K543">
        <v>0.19</v>
      </c>
      <c r="L543">
        <v>0.35</v>
      </c>
      <c r="M543">
        <v>53</v>
      </c>
      <c r="N543">
        <v>233</v>
      </c>
      <c r="O543">
        <v>94</v>
      </c>
      <c r="P543">
        <f t="shared" si="25"/>
        <v>1.7502558853633571E-2</v>
      </c>
      <c r="Q543">
        <f t="shared" si="26"/>
        <v>3.2241555783009211E-2</v>
      </c>
    </row>
    <row r="544" spans="1:17" x14ac:dyDescent="0.25">
      <c r="A544" t="str">
        <f t="shared" si="24"/>
        <v>Diego León Blanco</v>
      </c>
      <c r="B544" t="s">
        <v>242</v>
      </c>
      <c r="C544" t="s">
        <v>2483</v>
      </c>
      <c r="D544">
        <v>14</v>
      </c>
      <c r="E544">
        <v>2</v>
      </c>
      <c r="F544">
        <v>41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f t="shared" si="25"/>
        <v>0</v>
      </c>
      <c r="Q544">
        <f t="shared" si="26"/>
        <v>0</v>
      </c>
    </row>
    <row r="545" spans="1:17" x14ac:dyDescent="0.25">
      <c r="A545" t="str">
        <f t="shared" si="24"/>
        <v>Diogo Dalot Teixeira</v>
      </c>
      <c r="B545" t="s">
        <v>810</v>
      </c>
      <c r="C545" t="s">
        <v>811</v>
      </c>
      <c r="D545">
        <v>14</v>
      </c>
      <c r="E545">
        <v>2</v>
      </c>
      <c r="F545">
        <v>45</v>
      </c>
      <c r="G545">
        <v>2609</v>
      </c>
      <c r="H545">
        <v>29</v>
      </c>
      <c r="I545">
        <v>1</v>
      </c>
      <c r="J545">
        <v>6</v>
      </c>
      <c r="K545">
        <v>1.93</v>
      </c>
      <c r="L545">
        <v>2.57</v>
      </c>
      <c r="M545">
        <v>111</v>
      </c>
      <c r="N545">
        <v>414</v>
      </c>
      <c r="O545">
        <v>180</v>
      </c>
      <c r="P545">
        <f t="shared" si="25"/>
        <v>6.6577232656190116E-2</v>
      </c>
      <c r="Q545">
        <f t="shared" si="26"/>
        <v>8.865465695668838E-2</v>
      </c>
    </row>
    <row r="546" spans="1:17" x14ac:dyDescent="0.25">
      <c r="A546" t="str">
        <f t="shared" si="24"/>
        <v>Patrick Dorgu</v>
      </c>
      <c r="B546" t="s">
        <v>806</v>
      </c>
      <c r="C546" t="s">
        <v>807</v>
      </c>
      <c r="D546">
        <v>14</v>
      </c>
      <c r="E546">
        <v>2</v>
      </c>
      <c r="F546">
        <v>41</v>
      </c>
      <c r="G546">
        <v>1440</v>
      </c>
      <c r="H546">
        <v>15</v>
      </c>
      <c r="I546">
        <v>4</v>
      </c>
      <c r="J546">
        <v>4</v>
      </c>
      <c r="K546">
        <v>2.39</v>
      </c>
      <c r="L546">
        <v>1.84</v>
      </c>
      <c r="M546">
        <v>95</v>
      </c>
      <c r="N546">
        <v>321</v>
      </c>
      <c r="O546">
        <v>98</v>
      </c>
      <c r="P546">
        <f t="shared" si="25"/>
        <v>0.14937500000000001</v>
      </c>
      <c r="Q546">
        <f t="shared" si="26"/>
        <v>0.115</v>
      </c>
    </row>
    <row r="547" spans="1:17" x14ac:dyDescent="0.25">
      <c r="A547" t="str">
        <f t="shared" si="24"/>
        <v>Harry Maguire</v>
      </c>
      <c r="B547" t="s">
        <v>270</v>
      </c>
      <c r="C547" t="s">
        <v>812</v>
      </c>
      <c r="D547">
        <v>14</v>
      </c>
      <c r="E547">
        <v>2</v>
      </c>
      <c r="F547">
        <v>44</v>
      </c>
      <c r="G547">
        <v>1649</v>
      </c>
      <c r="H547">
        <v>19</v>
      </c>
      <c r="I547">
        <v>1</v>
      </c>
      <c r="J547">
        <v>2</v>
      </c>
      <c r="K547">
        <v>1.1200000000000001</v>
      </c>
      <c r="L547">
        <v>0.5</v>
      </c>
      <c r="M547">
        <v>90</v>
      </c>
      <c r="N547">
        <v>315</v>
      </c>
      <c r="O547">
        <v>151</v>
      </c>
      <c r="P547">
        <f t="shared" si="25"/>
        <v>6.112795633717405E-2</v>
      </c>
      <c r="Q547">
        <f t="shared" si="26"/>
        <v>2.7289266221952699E-2</v>
      </c>
    </row>
    <row r="548" spans="1:17" x14ac:dyDescent="0.25">
      <c r="A548" t="str">
        <f t="shared" si="24"/>
        <v>Luke Shaw</v>
      </c>
      <c r="B548" t="s">
        <v>375</v>
      </c>
      <c r="C548" t="s">
        <v>821</v>
      </c>
      <c r="D548">
        <v>14</v>
      </c>
      <c r="E548">
        <v>2</v>
      </c>
      <c r="F548">
        <v>45</v>
      </c>
      <c r="G548">
        <v>3220</v>
      </c>
      <c r="H548">
        <v>38</v>
      </c>
      <c r="I548">
        <v>1</v>
      </c>
      <c r="J548">
        <v>1</v>
      </c>
      <c r="K548">
        <v>0.72</v>
      </c>
      <c r="L548">
        <v>1.98</v>
      </c>
      <c r="M548">
        <v>113</v>
      </c>
      <c r="N548">
        <v>449</v>
      </c>
      <c r="O548">
        <v>224</v>
      </c>
      <c r="P548">
        <f t="shared" si="25"/>
        <v>2.0124223602484472E-2</v>
      </c>
      <c r="Q548">
        <f t="shared" si="26"/>
        <v>5.5341614906832301E-2</v>
      </c>
    </row>
    <row r="549" spans="1:17" x14ac:dyDescent="0.25">
      <c r="A549" t="str">
        <f t="shared" si="24"/>
        <v>Leny Yoro</v>
      </c>
      <c r="B549" t="s">
        <v>815</v>
      </c>
      <c r="C549" t="s">
        <v>816</v>
      </c>
      <c r="D549">
        <v>14</v>
      </c>
      <c r="E549">
        <v>2</v>
      </c>
      <c r="F549">
        <v>41</v>
      </c>
      <c r="G549">
        <v>1730</v>
      </c>
      <c r="H549">
        <v>18</v>
      </c>
      <c r="I549">
        <v>0</v>
      </c>
      <c r="J549">
        <v>1</v>
      </c>
      <c r="K549">
        <v>1.34</v>
      </c>
      <c r="L549">
        <v>0.59</v>
      </c>
      <c r="M549">
        <v>56</v>
      </c>
      <c r="N549">
        <v>191</v>
      </c>
      <c r="O549">
        <v>156</v>
      </c>
      <c r="P549">
        <f t="shared" si="25"/>
        <v>6.9710982658959544E-2</v>
      </c>
      <c r="Q549">
        <f t="shared" si="26"/>
        <v>3.0693641618497108E-2</v>
      </c>
    </row>
    <row r="550" spans="1:17" x14ac:dyDescent="0.25">
      <c r="A550" t="str">
        <f t="shared" si="24"/>
        <v>Harry Amass</v>
      </c>
      <c r="B550" t="s">
        <v>270</v>
      </c>
      <c r="C550" t="s">
        <v>822</v>
      </c>
      <c r="D550">
        <v>14</v>
      </c>
      <c r="E550">
        <v>2</v>
      </c>
      <c r="F550">
        <v>40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f t="shared" si="25"/>
        <v>0</v>
      </c>
      <c r="Q550">
        <f t="shared" si="26"/>
        <v>0</v>
      </c>
    </row>
    <row r="551" spans="1:17" x14ac:dyDescent="0.25">
      <c r="A551" t="str">
        <f t="shared" si="24"/>
        <v>Tyler Fredricson</v>
      </c>
      <c r="B551" t="s">
        <v>161</v>
      </c>
      <c r="C551" t="s">
        <v>823</v>
      </c>
      <c r="D551">
        <v>14</v>
      </c>
      <c r="E551">
        <v>2</v>
      </c>
      <c r="F551">
        <v>37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4</v>
      </c>
      <c r="O551">
        <v>2</v>
      </c>
      <c r="P551">
        <f t="shared" si="25"/>
        <v>0</v>
      </c>
      <c r="Q551">
        <f t="shared" si="26"/>
        <v>0</v>
      </c>
    </row>
    <row r="552" spans="1:17" x14ac:dyDescent="0.25">
      <c r="A552" t="str">
        <f t="shared" si="24"/>
        <v>Ayden Heaven</v>
      </c>
      <c r="B552" t="s">
        <v>817</v>
      </c>
      <c r="C552" t="s">
        <v>818</v>
      </c>
      <c r="D552">
        <v>14</v>
      </c>
      <c r="E552">
        <v>2</v>
      </c>
      <c r="F552">
        <v>37</v>
      </c>
      <c r="G552">
        <v>920</v>
      </c>
      <c r="H552">
        <v>11</v>
      </c>
      <c r="I552">
        <v>0</v>
      </c>
      <c r="J552">
        <v>1</v>
      </c>
      <c r="K552">
        <v>0.34</v>
      </c>
      <c r="L552">
        <v>0.18</v>
      </c>
      <c r="M552">
        <v>42</v>
      </c>
      <c r="N552">
        <v>164</v>
      </c>
      <c r="O552">
        <v>93</v>
      </c>
      <c r="P552">
        <f t="shared" si="25"/>
        <v>3.3260869565217392E-2</v>
      </c>
      <c r="Q552">
        <f t="shared" si="26"/>
        <v>1.7608695652173913E-2</v>
      </c>
    </row>
    <row r="553" spans="1:17" x14ac:dyDescent="0.25">
      <c r="A553" t="str">
        <f t="shared" si="24"/>
        <v>Tyrell Malacia</v>
      </c>
      <c r="B553" t="s">
        <v>1809</v>
      </c>
      <c r="C553" t="s">
        <v>1810</v>
      </c>
      <c r="D553">
        <v>14</v>
      </c>
      <c r="E553">
        <v>2</v>
      </c>
      <c r="F553">
        <v>37</v>
      </c>
      <c r="G553">
        <v>15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3</v>
      </c>
      <c r="N553">
        <v>6</v>
      </c>
      <c r="O553">
        <v>4</v>
      </c>
      <c r="P553">
        <f t="shared" si="25"/>
        <v>0</v>
      </c>
      <c r="Q553">
        <f t="shared" si="26"/>
        <v>0</v>
      </c>
    </row>
    <row r="554" spans="1:17" x14ac:dyDescent="0.25">
      <c r="A554" t="str">
        <f t="shared" si="24"/>
        <v>Bruno Borges Fernandes</v>
      </c>
      <c r="B554" t="s">
        <v>70</v>
      </c>
      <c r="C554" t="s">
        <v>824</v>
      </c>
      <c r="D554">
        <v>14</v>
      </c>
      <c r="E554">
        <v>3</v>
      </c>
      <c r="F554">
        <v>104</v>
      </c>
      <c r="G554">
        <v>3065</v>
      </c>
      <c r="H554">
        <v>35</v>
      </c>
      <c r="I554">
        <v>9</v>
      </c>
      <c r="J554">
        <v>24</v>
      </c>
      <c r="K554">
        <v>10.79</v>
      </c>
      <c r="L554">
        <v>12.28</v>
      </c>
      <c r="M554">
        <v>235</v>
      </c>
      <c r="N554">
        <v>1008</v>
      </c>
      <c r="O554">
        <v>287</v>
      </c>
      <c r="P554">
        <f t="shared" si="25"/>
        <v>0.31683523654159867</v>
      </c>
      <c r="Q554">
        <f t="shared" si="26"/>
        <v>0.36058727569331156</v>
      </c>
    </row>
    <row r="555" spans="1:17" x14ac:dyDescent="0.25">
      <c r="A555" t="str">
        <f t="shared" si="24"/>
        <v>Matheus Santos Carneiro da Cunha</v>
      </c>
      <c r="B555" t="s">
        <v>442</v>
      </c>
      <c r="C555" t="s">
        <v>827</v>
      </c>
      <c r="D555">
        <v>14</v>
      </c>
      <c r="E555">
        <v>3</v>
      </c>
      <c r="F555">
        <v>81</v>
      </c>
      <c r="G555">
        <v>2493</v>
      </c>
      <c r="H555">
        <v>29</v>
      </c>
      <c r="I555">
        <v>10</v>
      </c>
      <c r="J555">
        <v>4</v>
      </c>
      <c r="K555">
        <v>6.9</v>
      </c>
      <c r="L555">
        <v>3.36</v>
      </c>
      <c r="M555">
        <v>143</v>
      </c>
      <c r="N555">
        <v>591</v>
      </c>
      <c r="O555">
        <v>211</v>
      </c>
      <c r="P555">
        <f t="shared" si="25"/>
        <v>0.24909747292418771</v>
      </c>
      <c r="Q555">
        <f t="shared" si="26"/>
        <v>0.12129963898916968</v>
      </c>
    </row>
    <row r="556" spans="1:17" x14ac:dyDescent="0.25">
      <c r="A556" t="str">
        <f t="shared" si="24"/>
        <v>Marcus Rashford</v>
      </c>
      <c r="B556" t="s">
        <v>151</v>
      </c>
      <c r="C556" t="s">
        <v>828</v>
      </c>
      <c r="D556">
        <v>14</v>
      </c>
      <c r="E556">
        <v>3</v>
      </c>
      <c r="F556">
        <v>70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f t="shared" si="25"/>
        <v>0</v>
      </c>
      <c r="Q556">
        <f t="shared" si="26"/>
        <v>0</v>
      </c>
    </row>
    <row r="557" spans="1:17" x14ac:dyDescent="0.25">
      <c r="A557" t="str">
        <f t="shared" si="24"/>
        <v>Amad Diallo</v>
      </c>
      <c r="B557" t="s">
        <v>830</v>
      </c>
      <c r="C557" t="s">
        <v>831</v>
      </c>
      <c r="D557">
        <v>14</v>
      </c>
      <c r="E557">
        <v>3</v>
      </c>
      <c r="F557">
        <v>62</v>
      </c>
      <c r="G557">
        <v>2339</v>
      </c>
      <c r="H557">
        <v>27</v>
      </c>
      <c r="I557">
        <v>2</v>
      </c>
      <c r="J557">
        <v>5</v>
      </c>
      <c r="K557">
        <v>5.46</v>
      </c>
      <c r="L557">
        <v>4.74</v>
      </c>
      <c r="M557">
        <v>91</v>
      </c>
      <c r="N557">
        <v>463</v>
      </c>
      <c r="O557">
        <v>198</v>
      </c>
      <c r="P557">
        <f t="shared" si="25"/>
        <v>0.21008978195810174</v>
      </c>
      <c r="Q557">
        <f t="shared" si="26"/>
        <v>0.18238563488670373</v>
      </c>
    </row>
    <row r="558" spans="1:17" x14ac:dyDescent="0.25">
      <c r="A558" t="str">
        <f t="shared" si="24"/>
        <v>Antony dos Santos</v>
      </c>
      <c r="B558" t="s">
        <v>1797</v>
      </c>
      <c r="C558" t="s">
        <v>1796</v>
      </c>
      <c r="D558">
        <v>14</v>
      </c>
      <c r="E558">
        <v>3</v>
      </c>
      <c r="F558">
        <v>59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f t="shared" si="25"/>
        <v>0</v>
      </c>
      <c r="Q558">
        <f t="shared" si="26"/>
        <v>0</v>
      </c>
    </row>
    <row r="559" spans="1:17" x14ac:dyDescent="0.25">
      <c r="A559" t="str">
        <f t="shared" si="24"/>
        <v>Mason Mount</v>
      </c>
      <c r="B559" t="s">
        <v>583</v>
      </c>
      <c r="C559" t="s">
        <v>829</v>
      </c>
      <c r="D559">
        <v>14</v>
      </c>
      <c r="E559">
        <v>3</v>
      </c>
      <c r="F559">
        <v>59</v>
      </c>
      <c r="G559">
        <v>1010</v>
      </c>
      <c r="H559">
        <v>12</v>
      </c>
      <c r="I559">
        <v>3</v>
      </c>
      <c r="J559">
        <v>0</v>
      </c>
      <c r="K559">
        <v>1.56</v>
      </c>
      <c r="L559">
        <v>1.62</v>
      </c>
      <c r="M559">
        <v>58</v>
      </c>
      <c r="N559">
        <v>201</v>
      </c>
      <c r="O559">
        <v>102</v>
      </c>
      <c r="P559">
        <f t="shared" si="25"/>
        <v>0.13900990099009902</v>
      </c>
      <c r="Q559">
        <f t="shared" si="26"/>
        <v>0.14435643564356437</v>
      </c>
    </row>
    <row r="560" spans="1:17" x14ac:dyDescent="0.25">
      <c r="A560" t="str">
        <f t="shared" si="24"/>
        <v>Carlos Henrique Casimiro</v>
      </c>
      <c r="B560" t="s">
        <v>1800</v>
      </c>
      <c r="C560" t="s">
        <v>1801</v>
      </c>
      <c r="D560">
        <v>14</v>
      </c>
      <c r="E560">
        <v>3</v>
      </c>
      <c r="F560">
        <v>58</v>
      </c>
      <c r="G560">
        <v>2575</v>
      </c>
      <c r="H560">
        <v>33</v>
      </c>
      <c r="I560">
        <v>9</v>
      </c>
      <c r="J560">
        <v>4</v>
      </c>
      <c r="K560">
        <v>5.44</v>
      </c>
      <c r="L560">
        <v>3.17</v>
      </c>
      <c r="M560">
        <v>165</v>
      </c>
      <c r="N560">
        <v>636</v>
      </c>
      <c r="O560">
        <v>355</v>
      </c>
      <c r="P560">
        <f t="shared" si="25"/>
        <v>0.1901359223300971</v>
      </c>
      <c r="Q560">
        <f t="shared" si="26"/>
        <v>0.11079611650485437</v>
      </c>
    </row>
    <row r="561" spans="1:17" x14ac:dyDescent="0.25">
      <c r="A561" t="str">
        <f t="shared" si="24"/>
        <v>Kobbie Mainoo</v>
      </c>
      <c r="B561" t="s">
        <v>832</v>
      </c>
      <c r="C561" t="s">
        <v>833</v>
      </c>
      <c r="D561">
        <v>14</v>
      </c>
      <c r="E561">
        <v>3</v>
      </c>
      <c r="F561">
        <v>47</v>
      </c>
      <c r="G561">
        <v>1653</v>
      </c>
      <c r="H561">
        <v>16</v>
      </c>
      <c r="I561">
        <v>1</v>
      </c>
      <c r="J561">
        <v>2</v>
      </c>
      <c r="K561">
        <v>0.48</v>
      </c>
      <c r="L561">
        <v>1.27</v>
      </c>
      <c r="M561">
        <v>73</v>
      </c>
      <c r="N561">
        <v>340</v>
      </c>
      <c r="O561">
        <v>187</v>
      </c>
      <c r="P561">
        <f t="shared" si="25"/>
        <v>2.613430127041742E-2</v>
      </c>
      <c r="Q561">
        <f t="shared" si="26"/>
        <v>6.9147005444646095E-2</v>
      </c>
    </row>
    <row r="562" spans="1:17" x14ac:dyDescent="0.25">
      <c r="A562" t="str">
        <f t="shared" si="24"/>
        <v>Manuel Ugarte Ribeiro</v>
      </c>
      <c r="B562" t="s">
        <v>834</v>
      </c>
      <c r="C562" t="s">
        <v>835</v>
      </c>
      <c r="D562">
        <v>14</v>
      </c>
      <c r="E562">
        <v>3</v>
      </c>
      <c r="F562">
        <v>47</v>
      </c>
      <c r="G562">
        <v>876</v>
      </c>
      <c r="H562">
        <v>8</v>
      </c>
      <c r="I562">
        <v>0</v>
      </c>
      <c r="J562">
        <v>0</v>
      </c>
      <c r="K562">
        <v>0.72</v>
      </c>
      <c r="L562">
        <v>0.16</v>
      </c>
      <c r="M562">
        <v>38</v>
      </c>
      <c r="N562">
        <v>183</v>
      </c>
      <c r="O562">
        <v>142</v>
      </c>
      <c r="P562">
        <f t="shared" si="25"/>
        <v>7.3972602739726029E-2</v>
      </c>
      <c r="Q562">
        <f t="shared" si="26"/>
        <v>1.6438356164383564E-2</v>
      </c>
    </row>
    <row r="563" spans="1:17" x14ac:dyDescent="0.25">
      <c r="A563" t="str">
        <f t="shared" si="24"/>
        <v>Toby Collyer</v>
      </c>
      <c r="B563" t="s">
        <v>838</v>
      </c>
      <c r="C563" t="s">
        <v>839</v>
      </c>
      <c r="D563">
        <v>14</v>
      </c>
      <c r="E563">
        <v>3</v>
      </c>
      <c r="F563">
        <v>45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f t="shared" si="25"/>
        <v>0</v>
      </c>
      <c r="Q563">
        <f t="shared" si="26"/>
        <v>0</v>
      </c>
    </row>
    <row r="564" spans="1:17" x14ac:dyDescent="0.25">
      <c r="A564" t="str">
        <f t="shared" si="24"/>
        <v>Jayce Fitzgerald</v>
      </c>
      <c r="B564" t="s">
        <v>2287</v>
      </c>
      <c r="C564" t="s">
        <v>2288</v>
      </c>
      <c r="D564">
        <v>14</v>
      </c>
      <c r="E564">
        <v>3</v>
      </c>
      <c r="F564">
        <v>43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f t="shared" si="25"/>
        <v>0</v>
      </c>
      <c r="Q564">
        <f t="shared" si="26"/>
        <v>0</v>
      </c>
    </row>
    <row r="565" spans="1:17" x14ac:dyDescent="0.25">
      <c r="A565" t="str">
        <f t="shared" si="24"/>
        <v>Jack Fletcher</v>
      </c>
      <c r="B565" t="s">
        <v>253</v>
      </c>
      <c r="C565" t="s">
        <v>836</v>
      </c>
      <c r="D565">
        <v>14</v>
      </c>
      <c r="E565">
        <v>3</v>
      </c>
      <c r="F565">
        <v>43</v>
      </c>
      <c r="G565">
        <v>107</v>
      </c>
      <c r="H565">
        <v>0</v>
      </c>
      <c r="I565">
        <v>0</v>
      </c>
      <c r="J565">
        <v>0</v>
      </c>
      <c r="K565">
        <v>0.03</v>
      </c>
      <c r="L565">
        <v>0.02</v>
      </c>
      <c r="M565">
        <v>3</v>
      </c>
      <c r="N565">
        <v>10</v>
      </c>
      <c r="O565">
        <v>11</v>
      </c>
      <c r="P565">
        <f t="shared" si="25"/>
        <v>2.5233644859813085E-2</v>
      </c>
      <c r="Q565">
        <f t="shared" si="26"/>
        <v>1.6822429906542057E-2</v>
      </c>
    </row>
    <row r="566" spans="1:17" x14ac:dyDescent="0.25">
      <c r="A566" t="str">
        <f t="shared" si="24"/>
        <v>Sékou Koné</v>
      </c>
      <c r="B566" t="s">
        <v>2296</v>
      </c>
      <c r="C566" t="s">
        <v>2297</v>
      </c>
      <c r="D566">
        <v>14</v>
      </c>
      <c r="E566">
        <v>3</v>
      </c>
      <c r="F566">
        <v>43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f t="shared" si="25"/>
        <v>0</v>
      </c>
      <c r="Q566">
        <f t="shared" si="26"/>
        <v>0</v>
      </c>
    </row>
    <row r="567" spans="1:17" x14ac:dyDescent="0.25">
      <c r="A567" t="str">
        <f t="shared" si="24"/>
        <v>Jack Moorhouse</v>
      </c>
      <c r="B567" t="s">
        <v>253</v>
      </c>
      <c r="C567" t="s">
        <v>2295</v>
      </c>
      <c r="D567">
        <v>14</v>
      </c>
      <c r="E567">
        <v>3</v>
      </c>
      <c r="F567">
        <v>45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f t="shared" si="25"/>
        <v>0</v>
      </c>
      <c r="Q567">
        <f t="shared" si="26"/>
        <v>0</v>
      </c>
    </row>
    <row r="568" spans="1:17" x14ac:dyDescent="0.25">
      <c r="A568" t="str">
        <f t="shared" si="24"/>
        <v>Rasmus Højlund</v>
      </c>
      <c r="B568" t="s">
        <v>1822</v>
      </c>
      <c r="C568" t="s">
        <v>1823</v>
      </c>
      <c r="D568">
        <v>14</v>
      </c>
      <c r="E568">
        <v>4</v>
      </c>
      <c r="F568">
        <v>63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 t="shared" si="25"/>
        <v>0</v>
      </c>
      <c r="Q568">
        <f t="shared" si="26"/>
        <v>0</v>
      </c>
    </row>
    <row r="569" spans="1:17" x14ac:dyDescent="0.25">
      <c r="A569" t="str">
        <f t="shared" si="24"/>
        <v>Joshua Zirkzee</v>
      </c>
      <c r="B569" t="s">
        <v>843</v>
      </c>
      <c r="C569" t="s">
        <v>844</v>
      </c>
      <c r="D569">
        <v>14</v>
      </c>
      <c r="E569">
        <v>4</v>
      </c>
      <c r="F569">
        <v>58</v>
      </c>
      <c r="G569">
        <v>607</v>
      </c>
      <c r="H569">
        <v>5</v>
      </c>
      <c r="I569">
        <v>2</v>
      </c>
      <c r="J569">
        <v>1</v>
      </c>
      <c r="K569">
        <v>2.74</v>
      </c>
      <c r="L569">
        <v>0.34</v>
      </c>
      <c r="M569">
        <v>42</v>
      </c>
      <c r="N569">
        <v>146</v>
      </c>
      <c r="O569">
        <v>44</v>
      </c>
      <c r="P569">
        <f t="shared" si="25"/>
        <v>0.4062602965403625</v>
      </c>
      <c r="Q569">
        <f t="shared" si="26"/>
        <v>5.0411861614497532E-2</v>
      </c>
    </row>
    <row r="570" spans="1:17" x14ac:dyDescent="0.25">
      <c r="A570" t="str">
        <f t="shared" si="24"/>
        <v>Chido Obi</v>
      </c>
      <c r="B570" t="s">
        <v>845</v>
      </c>
      <c r="C570" t="s">
        <v>846</v>
      </c>
      <c r="D570">
        <v>14</v>
      </c>
      <c r="E570">
        <v>4</v>
      </c>
      <c r="F570">
        <v>42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f t="shared" si="25"/>
        <v>0</v>
      </c>
      <c r="Q570">
        <f t="shared" si="26"/>
        <v>0</v>
      </c>
    </row>
    <row r="571" spans="1:17" x14ac:dyDescent="0.25">
      <c r="A571" t="str">
        <f t="shared" si="24"/>
        <v>Ethan Wheatley</v>
      </c>
      <c r="B571" t="s">
        <v>59</v>
      </c>
      <c r="C571" t="s">
        <v>1841</v>
      </c>
      <c r="D571">
        <v>14</v>
      </c>
      <c r="E571">
        <v>4</v>
      </c>
      <c r="F571">
        <v>45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f t="shared" si="25"/>
        <v>0</v>
      </c>
      <c r="Q571">
        <f t="shared" si="26"/>
        <v>0</v>
      </c>
    </row>
    <row r="572" spans="1:17" x14ac:dyDescent="0.25">
      <c r="A572" t="str">
        <f t="shared" si="24"/>
        <v>Benjamin Sesko</v>
      </c>
      <c r="B572" t="s">
        <v>38</v>
      </c>
      <c r="C572" t="s">
        <v>842</v>
      </c>
      <c r="D572">
        <v>14</v>
      </c>
      <c r="E572">
        <v>4</v>
      </c>
      <c r="F572">
        <v>72</v>
      </c>
      <c r="G572">
        <v>1630</v>
      </c>
      <c r="H572">
        <v>17</v>
      </c>
      <c r="I572">
        <v>11</v>
      </c>
      <c r="J572">
        <v>2</v>
      </c>
      <c r="K572">
        <v>9.2100000000000009</v>
      </c>
      <c r="L572">
        <v>0.28000000000000003</v>
      </c>
      <c r="M572">
        <v>111</v>
      </c>
      <c r="N572">
        <v>405</v>
      </c>
      <c r="O572">
        <v>64</v>
      </c>
      <c r="P572">
        <f t="shared" si="25"/>
        <v>0.50852760736196323</v>
      </c>
      <c r="Q572">
        <f t="shared" si="26"/>
        <v>1.5460122699386505E-2</v>
      </c>
    </row>
    <row r="573" spans="1:17" x14ac:dyDescent="0.25">
      <c r="A573" t="str">
        <f t="shared" si="24"/>
        <v>Senne Lammens</v>
      </c>
      <c r="B573" t="s">
        <v>801</v>
      </c>
      <c r="C573" t="s">
        <v>802</v>
      </c>
      <c r="D573">
        <v>14</v>
      </c>
      <c r="E573">
        <v>1</v>
      </c>
      <c r="F573">
        <v>51</v>
      </c>
      <c r="G573">
        <v>2880</v>
      </c>
      <c r="H573">
        <v>32</v>
      </c>
      <c r="I573">
        <v>0</v>
      </c>
      <c r="J573">
        <v>0</v>
      </c>
      <c r="K573">
        <v>0</v>
      </c>
      <c r="L573">
        <v>0</v>
      </c>
      <c r="M573">
        <v>109</v>
      </c>
      <c r="N573">
        <v>413</v>
      </c>
      <c r="O573">
        <v>0</v>
      </c>
      <c r="P573">
        <f t="shared" si="25"/>
        <v>0</v>
      </c>
      <c r="Q573">
        <f t="shared" si="26"/>
        <v>0</v>
      </c>
    </row>
    <row r="574" spans="1:17" x14ac:dyDescent="0.25">
      <c r="A574" t="str">
        <f t="shared" si="24"/>
        <v>Shea Lacey</v>
      </c>
      <c r="B574" t="s">
        <v>538</v>
      </c>
      <c r="C574" t="s">
        <v>837</v>
      </c>
      <c r="D574">
        <v>14</v>
      </c>
      <c r="E574">
        <v>3</v>
      </c>
      <c r="F574">
        <v>45</v>
      </c>
      <c r="G574">
        <v>40</v>
      </c>
      <c r="H574">
        <v>0</v>
      </c>
      <c r="I574">
        <v>0</v>
      </c>
      <c r="J574">
        <v>0</v>
      </c>
      <c r="K574">
        <v>0.1</v>
      </c>
      <c r="L574">
        <v>0.01</v>
      </c>
      <c r="M574">
        <v>3</v>
      </c>
      <c r="N574">
        <v>9</v>
      </c>
      <c r="O574">
        <v>3</v>
      </c>
      <c r="P574">
        <f t="shared" si="25"/>
        <v>0.22500000000000001</v>
      </c>
      <c r="Q574">
        <f t="shared" si="26"/>
        <v>2.2499999999999999E-2</v>
      </c>
    </row>
    <row r="575" spans="1:17" x14ac:dyDescent="0.25">
      <c r="A575" t="str">
        <f t="shared" si="24"/>
        <v>Bendito Mantato</v>
      </c>
      <c r="B575" t="s">
        <v>840</v>
      </c>
      <c r="C575" t="s">
        <v>841</v>
      </c>
      <c r="D575">
        <v>14</v>
      </c>
      <c r="E575">
        <v>3</v>
      </c>
      <c r="F575">
        <v>45</v>
      </c>
      <c r="G575">
        <v>15</v>
      </c>
      <c r="H575">
        <v>0</v>
      </c>
      <c r="I575">
        <v>0</v>
      </c>
      <c r="J575">
        <v>0</v>
      </c>
      <c r="K575">
        <v>0</v>
      </c>
      <c r="L575">
        <v>0.01</v>
      </c>
      <c r="M575">
        <v>1</v>
      </c>
      <c r="N575">
        <v>3</v>
      </c>
      <c r="O575">
        <v>0</v>
      </c>
      <c r="P575">
        <f t="shared" si="25"/>
        <v>0</v>
      </c>
      <c r="Q575">
        <f t="shared" si="26"/>
        <v>0.06</v>
      </c>
    </row>
    <row r="576" spans="1:17" x14ac:dyDescent="0.25">
      <c r="A576" t="str">
        <f t="shared" si="24"/>
        <v>Tyler Fletcher</v>
      </c>
      <c r="B576" t="s">
        <v>161</v>
      </c>
      <c r="C576" t="s">
        <v>836</v>
      </c>
      <c r="D576">
        <v>14</v>
      </c>
      <c r="E576">
        <v>3</v>
      </c>
      <c r="F576">
        <v>44</v>
      </c>
      <c r="G576">
        <v>17</v>
      </c>
      <c r="H576">
        <v>0</v>
      </c>
      <c r="I576">
        <v>0</v>
      </c>
      <c r="J576">
        <v>0</v>
      </c>
      <c r="K576">
        <v>0</v>
      </c>
      <c r="L576">
        <v>0.01</v>
      </c>
      <c r="M576">
        <v>2</v>
      </c>
      <c r="N576">
        <v>6</v>
      </c>
      <c r="O576">
        <v>2</v>
      </c>
      <c r="P576">
        <f t="shared" si="25"/>
        <v>0</v>
      </c>
      <c r="Q576">
        <f t="shared" si="26"/>
        <v>5.2941176470588241E-2</v>
      </c>
    </row>
    <row r="577" spans="1:17" x14ac:dyDescent="0.25">
      <c r="A577" t="str">
        <f t="shared" si="24"/>
        <v>Godwill Kukonki</v>
      </c>
      <c r="B577" t="s">
        <v>2289</v>
      </c>
      <c r="C577" t="s">
        <v>2290</v>
      </c>
      <c r="D577">
        <v>14</v>
      </c>
      <c r="E577">
        <v>2</v>
      </c>
      <c r="F577">
        <v>40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f t="shared" si="25"/>
        <v>0</v>
      </c>
      <c r="Q577">
        <f t="shared" si="26"/>
        <v>0</v>
      </c>
    </row>
    <row r="578" spans="1:17" x14ac:dyDescent="0.25">
      <c r="A578" t="str">
        <f t="shared" ref="A578:A641" si="27">_xlfn.CONCAT(B578, " ", C578)</f>
        <v>Jim Thwaites</v>
      </c>
      <c r="B578" t="s">
        <v>2484</v>
      </c>
      <c r="C578" t="s">
        <v>2485</v>
      </c>
      <c r="D578">
        <v>14</v>
      </c>
      <c r="E578">
        <v>3</v>
      </c>
      <c r="F578">
        <v>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f t="shared" ref="P578:P641" si="28">IFERROR(K578/G578*90,0)</f>
        <v>0</v>
      </c>
      <c r="Q578">
        <f t="shared" ref="Q578:Q641" si="29">IFERROR(L578/G578*90,0)</f>
        <v>0</v>
      </c>
    </row>
    <row r="579" spans="1:17" x14ac:dyDescent="0.25">
      <c r="A579" t="str">
        <f t="shared" si="27"/>
        <v>Jacob Ramsey</v>
      </c>
      <c r="B579" t="s">
        <v>556</v>
      </c>
      <c r="C579" t="s">
        <v>866</v>
      </c>
      <c r="D579">
        <v>15</v>
      </c>
      <c r="E579">
        <v>3</v>
      </c>
      <c r="F579">
        <v>53</v>
      </c>
      <c r="G579">
        <v>1441</v>
      </c>
      <c r="H579">
        <v>15</v>
      </c>
      <c r="I579">
        <v>2</v>
      </c>
      <c r="J579">
        <v>3</v>
      </c>
      <c r="K579">
        <v>1.2</v>
      </c>
      <c r="L579">
        <v>1.45</v>
      </c>
      <c r="M579">
        <v>62</v>
      </c>
      <c r="N579">
        <v>303</v>
      </c>
      <c r="O579">
        <v>149</v>
      </c>
      <c r="P579">
        <f t="shared" si="28"/>
        <v>7.4947952810548238E-2</v>
      </c>
      <c r="Q579">
        <f t="shared" si="29"/>
        <v>9.0562109646079109E-2</v>
      </c>
    </row>
    <row r="580" spans="1:17" x14ac:dyDescent="0.25">
      <c r="A580" t="str">
        <f t="shared" si="27"/>
        <v>Yoane Wissa</v>
      </c>
      <c r="B580" t="s">
        <v>875</v>
      </c>
      <c r="C580" t="s">
        <v>876</v>
      </c>
      <c r="D580">
        <v>15</v>
      </c>
      <c r="E580">
        <v>4</v>
      </c>
      <c r="F580">
        <v>73</v>
      </c>
      <c r="G580">
        <v>517</v>
      </c>
      <c r="H580">
        <v>4</v>
      </c>
      <c r="I580">
        <v>1</v>
      </c>
      <c r="J580">
        <v>1</v>
      </c>
      <c r="K580">
        <v>3.13</v>
      </c>
      <c r="L580">
        <v>0.54</v>
      </c>
      <c r="M580">
        <v>27</v>
      </c>
      <c r="N580">
        <v>70</v>
      </c>
      <c r="O580">
        <v>22</v>
      </c>
      <c r="P580">
        <f t="shared" si="28"/>
        <v>0.54487427466150873</v>
      </c>
      <c r="Q580">
        <f t="shared" si="29"/>
        <v>9.4003868471953592E-2</v>
      </c>
    </row>
    <row r="581" spans="1:17" x14ac:dyDescent="0.25">
      <c r="A581" t="str">
        <f t="shared" si="27"/>
        <v>Nick Pope</v>
      </c>
      <c r="B581" t="s">
        <v>847</v>
      </c>
      <c r="C581" t="s">
        <v>848</v>
      </c>
      <c r="D581">
        <v>15</v>
      </c>
      <c r="E581">
        <v>1</v>
      </c>
      <c r="F581">
        <v>50</v>
      </c>
      <c r="G581">
        <v>2416</v>
      </c>
      <c r="H581">
        <v>27</v>
      </c>
      <c r="I581">
        <v>0</v>
      </c>
      <c r="J581">
        <v>1</v>
      </c>
      <c r="K581">
        <v>0.16</v>
      </c>
      <c r="L581">
        <v>0</v>
      </c>
      <c r="M581">
        <v>96</v>
      </c>
      <c r="N581">
        <v>414</v>
      </c>
      <c r="O581">
        <v>0</v>
      </c>
      <c r="P581">
        <f t="shared" si="28"/>
        <v>5.9602649006622512E-3</v>
      </c>
      <c r="Q581">
        <f t="shared" si="29"/>
        <v>0</v>
      </c>
    </row>
    <row r="582" spans="1:17" x14ac:dyDescent="0.25">
      <c r="A582" t="str">
        <f t="shared" si="27"/>
        <v>Mark Gillespie</v>
      </c>
      <c r="B582" t="s">
        <v>473</v>
      </c>
      <c r="C582" t="s">
        <v>849</v>
      </c>
      <c r="D582">
        <v>15</v>
      </c>
      <c r="E582">
        <v>1</v>
      </c>
      <c r="F582">
        <v>39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f t="shared" si="28"/>
        <v>0</v>
      </c>
      <c r="Q582">
        <f t="shared" si="29"/>
        <v>0</v>
      </c>
    </row>
    <row r="583" spans="1:17" x14ac:dyDescent="0.25">
      <c r="A583" t="str">
        <f t="shared" si="27"/>
        <v>Odysseas Vlachodimos</v>
      </c>
      <c r="B583" t="s">
        <v>1918</v>
      </c>
      <c r="C583" t="s">
        <v>1919</v>
      </c>
      <c r="D583">
        <v>15</v>
      </c>
      <c r="E583">
        <v>1</v>
      </c>
      <c r="F583">
        <v>40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f t="shared" si="28"/>
        <v>0</v>
      </c>
      <c r="Q583">
        <f t="shared" si="29"/>
        <v>0</v>
      </c>
    </row>
    <row r="584" spans="1:17" x14ac:dyDescent="0.25">
      <c r="A584" t="str">
        <f t="shared" si="27"/>
        <v>Lewis Hall</v>
      </c>
      <c r="B584" t="s">
        <v>157</v>
      </c>
      <c r="C584" t="s">
        <v>860</v>
      </c>
      <c r="D584">
        <v>15</v>
      </c>
      <c r="E584">
        <v>2</v>
      </c>
      <c r="F584">
        <v>53</v>
      </c>
      <c r="G584">
        <v>2176</v>
      </c>
      <c r="H584">
        <v>24</v>
      </c>
      <c r="I584">
        <v>1</v>
      </c>
      <c r="J584">
        <v>2</v>
      </c>
      <c r="K584">
        <v>1.01</v>
      </c>
      <c r="L584">
        <v>2.78</v>
      </c>
      <c r="M584">
        <v>79</v>
      </c>
      <c r="N584">
        <v>347</v>
      </c>
      <c r="O584">
        <v>173</v>
      </c>
      <c r="P584">
        <f t="shared" si="28"/>
        <v>4.1773897058823527E-2</v>
      </c>
      <c r="Q584">
        <f t="shared" si="29"/>
        <v>0.11498161764705882</v>
      </c>
    </row>
    <row r="585" spans="1:17" x14ac:dyDescent="0.25">
      <c r="A585" t="str">
        <f t="shared" si="27"/>
        <v>Fabian Schär</v>
      </c>
      <c r="B585" t="s">
        <v>854</v>
      </c>
      <c r="C585" t="s">
        <v>855</v>
      </c>
      <c r="D585">
        <v>15</v>
      </c>
      <c r="E585">
        <v>2</v>
      </c>
      <c r="F585">
        <v>52</v>
      </c>
      <c r="G585">
        <v>1089</v>
      </c>
      <c r="H585">
        <v>11</v>
      </c>
      <c r="I585">
        <v>0</v>
      </c>
      <c r="J585">
        <v>0</v>
      </c>
      <c r="K585">
        <v>0.97</v>
      </c>
      <c r="L585">
        <v>0.6</v>
      </c>
      <c r="M585">
        <v>51</v>
      </c>
      <c r="N585">
        <v>186</v>
      </c>
      <c r="O585">
        <v>115</v>
      </c>
      <c r="P585">
        <f t="shared" si="28"/>
        <v>8.0165289256198355E-2</v>
      </c>
      <c r="Q585">
        <f t="shared" si="29"/>
        <v>4.9586776859504127E-2</v>
      </c>
    </row>
    <row r="586" spans="1:17" x14ac:dyDescent="0.25">
      <c r="A586" t="str">
        <f t="shared" si="27"/>
        <v>Sven Botman</v>
      </c>
      <c r="B586" t="s">
        <v>856</v>
      </c>
      <c r="C586" t="s">
        <v>857</v>
      </c>
      <c r="D586">
        <v>15</v>
      </c>
      <c r="E586">
        <v>2</v>
      </c>
      <c r="F586">
        <v>49</v>
      </c>
      <c r="G586">
        <v>1834</v>
      </c>
      <c r="H586">
        <v>21</v>
      </c>
      <c r="I586">
        <v>1</v>
      </c>
      <c r="J586">
        <v>1</v>
      </c>
      <c r="K586">
        <v>1.73</v>
      </c>
      <c r="L586">
        <v>0.86</v>
      </c>
      <c r="M586">
        <v>89</v>
      </c>
      <c r="N586">
        <v>332</v>
      </c>
      <c r="O586">
        <v>216</v>
      </c>
      <c r="P586">
        <f t="shared" si="28"/>
        <v>8.4896401308615047E-2</v>
      </c>
      <c r="Q586">
        <f t="shared" si="29"/>
        <v>4.2202835332606325E-2</v>
      </c>
    </row>
    <row r="587" spans="1:17" x14ac:dyDescent="0.25">
      <c r="A587" t="str">
        <f t="shared" si="27"/>
        <v>Dan Burn</v>
      </c>
      <c r="B587" t="s">
        <v>858</v>
      </c>
      <c r="C587" t="s">
        <v>859</v>
      </c>
      <c r="D587">
        <v>15</v>
      </c>
      <c r="E587">
        <v>2</v>
      </c>
      <c r="F587">
        <v>50</v>
      </c>
      <c r="G587">
        <v>2195</v>
      </c>
      <c r="H587">
        <v>25</v>
      </c>
      <c r="I587">
        <v>1</v>
      </c>
      <c r="J587">
        <v>3</v>
      </c>
      <c r="K587">
        <v>1.08</v>
      </c>
      <c r="L587">
        <v>0.36</v>
      </c>
      <c r="M587">
        <v>93</v>
      </c>
      <c r="N587">
        <v>286</v>
      </c>
      <c r="O587">
        <v>225</v>
      </c>
      <c r="P587">
        <f t="shared" si="28"/>
        <v>4.4282460136674265E-2</v>
      </c>
      <c r="Q587">
        <f t="shared" si="29"/>
        <v>1.4760820045558084E-2</v>
      </c>
    </row>
    <row r="588" spans="1:17" x14ac:dyDescent="0.25">
      <c r="A588" t="str">
        <f t="shared" si="27"/>
        <v>Tino Livramento</v>
      </c>
      <c r="B588" t="s">
        <v>861</v>
      </c>
      <c r="C588" t="s">
        <v>862</v>
      </c>
      <c r="D588">
        <v>15</v>
      </c>
      <c r="E588">
        <v>2</v>
      </c>
      <c r="F588">
        <v>49</v>
      </c>
      <c r="G588">
        <v>1326</v>
      </c>
      <c r="H588">
        <v>14</v>
      </c>
      <c r="I588">
        <v>0</v>
      </c>
      <c r="J588">
        <v>1</v>
      </c>
      <c r="K588">
        <v>0.13</v>
      </c>
      <c r="L588">
        <v>0.89</v>
      </c>
      <c r="M588">
        <v>59</v>
      </c>
      <c r="N588">
        <v>252</v>
      </c>
      <c r="O588">
        <v>68</v>
      </c>
      <c r="P588">
        <f t="shared" si="28"/>
        <v>8.8235294117647075E-3</v>
      </c>
      <c r="Q588">
        <f t="shared" si="29"/>
        <v>6.0407239819004532E-2</v>
      </c>
    </row>
    <row r="589" spans="1:17" x14ac:dyDescent="0.25">
      <c r="A589" t="str">
        <f t="shared" si="27"/>
        <v>Kieran Trippier</v>
      </c>
      <c r="B589" t="s">
        <v>564</v>
      </c>
      <c r="C589" t="s">
        <v>1858</v>
      </c>
      <c r="D589">
        <v>15</v>
      </c>
      <c r="E589">
        <v>2</v>
      </c>
      <c r="F589">
        <v>49</v>
      </c>
      <c r="G589">
        <v>1586</v>
      </c>
      <c r="H589">
        <v>18</v>
      </c>
      <c r="I589">
        <v>0</v>
      </c>
      <c r="J589">
        <v>1</v>
      </c>
      <c r="K589">
        <v>0.08</v>
      </c>
      <c r="L589">
        <v>2.06</v>
      </c>
      <c r="M589">
        <v>54</v>
      </c>
      <c r="N589">
        <v>225</v>
      </c>
      <c r="O589">
        <v>82</v>
      </c>
      <c r="P589">
        <f t="shared" si="28"/>
        <v>4.5397225725094578E-3</v>
      </c>
      <c r="Q589">
        <f t="shared" si="29"/>
        <v>0.11689785624211854</v>
      </c>
    </row>
    <row r="590" spans="1:17" x14ac:dyDescent="0.25">
      <c r="A590" t="str">
        <f t="shared" si="27"/>
        <v>Emil Krafth</v>
      </c>
      <c r="B590" t="s">
        <v>1848</v>
      </c>
      <c r="C590" t="s">
        <v>1849</v>
      </c>
      <c r="D590">
        <v>15</v>
      </c>
      <c r="E590">
        <v>2</v>
      </c>
      <c r="F590">
        <v>43</v>
      </c>
      <c r="G590">
        <v>45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-8</v>
      </c>
      <c r="O590">
        <v>1</v>
      </c>
      <c r="P590">
        <f t="shared" si="28"/>
        <v>0</v>
      </c>
      <c r="Q590">
        <f t="shared" si="29"/>
        <v>0</v>
      </c>
    </row>
    <row r="591" spans="1:17" x14ac:dyDescent="0.25">
      <c r="A591" t="str">
        <f t="shared" si="27"/>
        <v>Jamaal Lascelles</v>
      </c>
      <c r="B591" t="s">
        <v>1852</v>
      </c>
      <c r="C591" t="s">
        <v>1853</v>
      </c>
      <c r="D591">
        <v>15</v>
      </c>
      <c r="E591">
        <v>2</v>
      </c>
      <c r="F591">
        <v>43</v>
      </c>
      <c r="G591">
        <v>19</v>
      </c>
      <c r="H591">
        <v>0</v>
      </c>
      <c r="I591">
        <v>0</v>
      </c>
      <c r="J591">
        <v>0</v>
      </c>
      <c r="K591">
        <v>0.04</v>
      </c>
      <c r="L591">
        <v>0</v>
      </c>
      <c r="M591">
        <v>1</v>
      </c>
      <c r="N591">
        <v>0</v>
      </c>
      <c r="O591">
        <v>5</v>
      </c>
      <c r="P591">
        <f t="shared" si="28"/>
        <v>0.18947368421052632</v>
      </c>
      <c r="Q591">
        <f t="shared" si="29"/>
        <v>0</v>
      </c>
    </row>
    <row r="592" spans="1:17" x14ac:dyDescent="0.25">
      <c r="A592" t="str">
        <f t="shared" si="27"/>
        <v>Alex Murphy</v>
      </c>
      <c r="B592" t="s">
        <v>153</v>
      </c>
      <c r="C592" t="s">
        <v>863</v>
      </c>
      <c r="D592">
        <v>15</v>
      </c>
      <c r="E592">
        <v>2</v>
      </c>
      <c r="F592">
        <v>38</v>
      </c>
      <c r="G592">
        <v>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3</v>
      </c>
      <c r="O592">
        <v>4</v>
      </c>
      <c r="P592">
        <f t="shared" si="28"/>
        <v>0</v>
      </c>
      <c r="Q592">
        <f t="shared" si="29"/>
        <v>0</v>
      </c>
    </row>
    <row r="593" spans="1:17" x14ac:dyDescent="0.25">
      <c r="A593" t="str">
        <f t="shared" si="27"/>
        <v>Harrison Ashby</v>
      </c>
      <c r="B593" t="s">
        <v>493</v>
      </c>
      <c r="C593" t="s">
        <v>1844</v>
      </c>
      <c r="D593">
        <v>15</v>
      </c>
      <c r="E593">
        <v>2</v>
      </c>
      <c r="F593">
        <v>39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f t="shared" si="28"/>
        <v>0</v>
      </c>
      <c r="Q593">
        <f t="shared" si="29"/>
        <v>0</v>
      </c>
    </row>
    <row r="594" spans="1:17" x14ac:dyDescent="0.25">
      <c r="A594" t="str">
        <f t="shared" si="27"/>
        <v>Miodrag Pivaš</v>
      </c>
      <c r="B594" t="s">
        <v>2302</v>
      </c>
      <c r="C594" t="s">
        <v>2303</v>
      </c>
      <c r="D594">
        <v>15</v>
      </c>
      <c r="E594">
        <v>2</v>
      </c>
      <c r="F594">
        <v>38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f t="shared" si="28"/>
        <v>0</v>
      </c>
      <c r="Q594">
        <f t="shared" si="29"/>
        <v>0</v>
      </c>
    </row>
    <row r="595" spans="1:17" x14ac:dyDescent="0.25">
      <c r="A595" t="str">
        <f t="shared" si="27"/>
        <v>Matt Targett</v>
      </c>
      <c r="B595" t="s">
        <v>259</v>
      </c>
      <c r="C595" t="s">
        <v>587</v>
      </c>
      <c r="D595">
        <v>15</v>
      </c>
      <c r="E595">
        <v>2</v>
      </c>
      <c r="F595">
        <v>40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f t="shared" si="28"/>
        <v>0</v>
      </c>
      <c r="Q595">
        <f t="shared" si="29"/>
        <v>0</v>
      </c>
    </row>
    <row r="596" spans="1:17" x14ac:dyDescent="0.25">
      <c r="A596" t="str">
        <f t="shared" si="27"/>
        <v>Anthony Gordon</v>
      </c>
      <c r="B596" t="s">
        <v>222</v>
      </c>
      <c r="C596" t="s">
        <v>1600</v>
      </c>
      <c r="D596">
        <v>15</v>
      </c>
      <c r="E596">
        <v>3</v>
      </c>
      <c r="F596">
        <v>72</v>
      </c>
      <c r="G596">
        <v>1798</v>
      </c>
      <c r="H596">
        <v>24</v>
      </c>
      <c r="I596">
        <v>6</v>
      </c>
      <c r="J596">
        <v>4</v>
      </c>
      <c r="K596">
        <v>8.77</v>
      </c>
      <c r="L596">
        <v>3.38</v>
      </c>
      <c r="M596">
        <v>101</v>
      </c>
      <c r="N596">
        <v>352</v>
      </c>
      <c r="O596">
        <v>91</v>
      </c>
      <c r="P596">
        <f t="shared" si="28"/>
        <v>0.43898776418242491</v>
      </c>
      <c r="Q596">
        <f t="shared" si="29"/>
        <v>0.16918798665183538</v>
      </c>
    </row>
    <row r="597" spans="1:17" x14ac:dyDescent="0.25">
      <c r="A597" t="str">
        <f t="shared" si="27"/>
        <v>Anthony Elanga</v>
      </c>
      <c r="B597" t="s">
        <v>222</v>
      </c>
      <c r="C597" t="s">
        <v>865</v>
      </c>
      <c r="D597">
        <v>15</v>
      </c>
      <c r="E597">
        <v>3</v>
      </c>
      <c r="F597">
        <v>65</v>
      </c>
      <c r="G597">
        <v>1302</v>
      </c>
      <c r="H597">
        <v>14</v>
      </c>
      <c r="I597">
        <v>0</v>
      </c>
      <c r="J597">
        <v>1</v>
      </c>
      <c r="K597">
        <v>1.65</v>
      </c>
      <c r="L597">
        <v>1.74</v>
      </c>
      <c r="M597">
        <v>48</v>
      </c>
      <c r="N597">
        <v>179</v>
      </c>
      <c r="O597">
        <v>55</v>
      </c>
      <c r="P597">
        <f t="shared" si="28"/>
        <v>0.1140552995391705</v>
      </c>
      <c r="Q597">
        <f t="shared" si="29"/>
        <v>0.12027649769585254</v>
      </c>
    </row>
    <row r="598" spans="1:17" x14ac:dyDescent="0.25">
      <c r="A598" t="str">
        <f t="shared" si="27"/>
        <v>Harvey Barnes</v>
      </c>
      <c r="B598" t="s">
        <v>543</v>
      </c>
      <c r="C598" t="s">
        <v>864</v>
      </c>
      <c r="D598">
        <v>15</v>
      </c>
      <c r="E598">
        <v>3</v>
      </c>
      <c r="F598">
        <v>61</v>
      </c>
      <c r="G598">
        <v>1951</v>
      </c>
      <c r="H598">
        <v>19</v>
      </c>
      <c r="I598">
        <v>7</v>
      </c>
      <c r="J598">
        <v>1</v>
      </c>
      <c r="K598">
        <v>6.84</v>
      </c>
      <c r="L598">
        <v>2.72</v>
      </c>
      <c r="M598">
        <v>106</v>
      </c>
      <c r="N598">
        <v>349</v>
      </c>
      <c r="O598">
        <v>100</v>
      </c>
      <c r="P598">
        <f t="shared" si="28"/>
        <v>0.31553049718093285</v>
      </c>
      <c r="Q598">
        <f t="shared" si="29"/>
        <v>0.12547411583803178</v>
      </c>
    </row>
    <row r="599" spans="1:17" x14ac:dyDescent="0.25">
      <c r="A599" t="str">
        <f t="shared" si="27"/>
        <v>Bruno Guimarães Rodriguez Moura</v>
      </c>
      <c r="B599" t="s">
        <v>70</v>
      </c>
      <c r="C599" t="s">
        <v>71</v>
      </c>
      <c r="D599">
        <v>15</v>
      </c>
      <c r="E599">
        <v>3</v>
      </c>
      <c r="F599">
        <v>69</v>
      </c>
      <c r="G599">
        <v>2456</v>
      </c>
      <c r="H599">
        <v>27</v>
      </c>
      <c r="I599">
        <v>9</v>
      </c>
      <c r="J599">
        <v>7</v>
      </c>
      <c r="K599">
        <v>5.59</v>
      </c>
      <c r="L599">
        <v>4.96</v>
      </c>
      <c r="M599">
        <v>154</v>
      </c>
      <c r="N599">
        <v>681</v>
      </c>
      <c r="O599">
        <v>251</v>
      </c>
      <c r="P599">
        <f t="shared" si="28"/>
        <v>0.20484527687296417</v>
      </c>
      <c r="Q599">
        <f t="shared" si="29"/>
        <v>0.18175895765472314</v>
      </c>
    </row>
    <row r="600" spans="1:17" x14ac:dyDescent="0.25">
      <c r="A600" t="str">
        <f t="shared" si="27"/>
        <v>Jacob Murphy</v>
      </c>
      <c r="B600" t="s">
        <v>556</v>
      </c>
      <c r="C600" t="s">
        <v>863</v>
      </c>
      <c r="D600">
        <v>15</v>
      </c>
      <c r="E600">
        <v>3</v>
      </c>
      <c r="F600">
        <v>59</v>
      </c>
      <c r="G600">
        <v>1606</v>
      </c>
      <c r="H600">
        <v>19</v>
      </c>
      <c r="I600">
        <v>3</v>
      </c>
      <c r="J600">
        <v>2</v>
      </c>
      <c r="K600">
        <v>3.07</v>
      </c>
      <c r="L600">
        <v>2.66</v>
      </c>
      <c r="M600">
        <v>82</v>
      </c>
      <c r="N600">
        <v>314</v>
      </c>
      <c r="O600">
        <v>90</v>
      </c>
      <c r="P600">
        <f t="shared" si="28"/>
        <v>0.17204234122042339</v>
      </c>
      <c r="Q600">
        <f t="shared" si="29"/>
        <v>0.14906600249066004</v>
      </c>
    </row>
    <row r="601" spans="1:17" x14ac:dyDescent="0.25">
      <c r="A601" t="str">
        <f t="shared" si="27"/>
        <v>Joelinton Cássio Apolinário de Lira</v>
      </c>
      <c r="B601" t="s">
        <v>867</v>
      </c>
      <c r="C601" t="s">
        <v>868</v>
      </c>
      <c r="D601">
        <v>15</v>
      </c>
      <c r="E601">
        <v>3</v>
      </c>
      <c r="F601">
        <v>59</v>
      </c>
      <c r="G601">
        <v>1950</v>
      </c>
      <c r="H601">
        <v>23</v>
      </c>
      <c r="I601">
        <v>2</v>
      </c>
      <c r="J601">
        <v>1</v>
      </c>
      <c r="K601">
        <v>2.36</v>
      </c>
      <c r="L601">
        <v>1.35</v>
      </c>
      <c r="M601">
        <v>73</v>
      </c>
      <c r="N601">
        <v>304</v>
      </c>
      <c r="O601">
        <v>238</v>
      </c>
      <c r="P601">
        <f t="shared" si="28"/>
        <v>0.10892307692307693</v>
      </c>
      <c r="Q601">
        <f t="shared" si="29"/>
        <v>6.2307692307692314E-2</v>
      </c>
    </row>
    <row r="602" spans="1:17" x14ac:dyDescent="0.25">
      <c r="A602" t="str">
        <f t="shared" si="27"/>
        <v>Sandro Tonali</v>
      </c>
      <c r="B602" t="s">
        <v>931</v>
      </c>
      <c r="C602" t="s">
        <v>932</v>
      </c>
      <c r="D602">
        <v>15</v>
      </c>
      <c r="E602">
        <v>3</v>
      </c>
      <c r="F602">
        <v>53</v>
      </c>
      <c r="G602">
        <v>2534</v>
      </c>
      <c r="H602">
        <v>31</v>
      </c>
      <c r="I602">
        <v>0</v>
      </c>
      <c r="J602">
        <v>2</v>
      </c>
      <c r="K602">
        <v>1.75</v>
      </c>
      <c r="L602">
        <v>2.87</v>
      </c>
      <c r="M602">
        <v>81</v>
      </c>
      <c r="N602">
        <v>477</v>
      </c>
      <c r="O602">
        <v>257</v>
      </c>
      <c r="P602">
        <f t="shared" si="28"/>
        <v>6.2154696132596679E-2</v>
      </c>
      <c r="Q602">
        <f t="shared" si="29"/>
        <v>0.10193370165745858</v>
      </c>
    </row>
    <row r="603" spans="1:17" x14ac:dyDescent="0.25">
      <c r="A603" t="str">
        <f t="shared" si="27"/>
        <v>Antoñito Cordero Campillo</v>
      </c>
      <c r="B603" t="s">
        <v>2486</v>
      </c>
      <c r="C603" t="s">
        <v>2487</v>
      </c>
      <c r="D603">
        <v>15</v>
      </c>
      <c r="E603">
        <v>3</v>
      </c>
      <c r="F603">
        <v>49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 t="shared" si="28"/>
        <v>0</v>
      </c>
      <c r="Q603">
        <f t="shared" si="29"/>
        <v>0</v>
      </c>
    </row>
    <row r="604" spans="1:17" x14ac:dyDescent="0.25">
      <c r="A604" t="str">
        <f t="shared" si="27"/>
        <v>Joe Willock</v>
      </c>
      <c r="B604" t="s">
        <v>585</v>
      </c>
      <c r="C604" t="s">
        <v>870</v>
      </c>
      <c r="D604">
        <v>15</v>
      </c>
      <c r="E604">
        <v>3</v>
      </c>
      <c r="F604">
        <v>50</v>
      </c>
      <c r="G604">
        <v>972</v>
      </c>
      <c r="H604">
        <v>10</v>
      </c>
      <c r="I604">
        <v>0</v>
      </c>
      <c r="J604">
        <v>2</v>
      </c>
      <c r="K604">
        <v>1.26</v>
      </c>
      <c r="L604">
        <v>1.07</v>
      </c>
      <c r="M604">
        <v>38</v>
      </c>
      <c r="N604">
        <v>166</v>
      </c>
      <c r="O604">
        <v>89</v>
      </c>
      <c r="P604">
        <f t="shared" si="28"/>
        <v>0.11666666666666667</v>
      </c>
      <c r="Q604">
        <f t="shared" si="29"/>
        <v>9.9074074074074078E-2</v>
      </c>
    </row>
    <row r="605" spans="1:17" x14ac:dyDescent="0.25">
      <c r="A605" t="str">
        <f t="shared" si="27"/>
        <v>Isaac Hayden</v>
      </c>
      <c r="B605" t="s">
        <v>1845</v>
      </c>
      <c r="C605" t="s">
        <v>498</v>
      </c>
      <c r="D605">
        <v>15</v>
      </c>
      <c r="E605">
        <v>3</v>
      </c>
      <c r="F605">
        <v>45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f t="shared" si="28"/>
        <v>0</v>
      </c>
      <c r="Q605">
        <f t="shared" si="29"/>
        <v>0</v>
      </c>
    </row>
    <row r="606" spans="1:17" x14ac:dyDescent="0.25">
      <c r="A606" t="str">
        <f t="shared" si="27"/>
        <v>Garang Kuol</v>
      </c>
      <c r="B606" t="s">
        <v>1850</v>
      </c>
      <c r="C606" t="s">
        <v>1851</v>
      </c>
      <c r="D606">
        <v>15</v>
      </c>
      <c r="E606">
        <v>3</v>
      </c>
      <c r="F606">
        <v>44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f t="shared" si="28"/>
        <v>0</v>
      </c>
      <c r="Q606">
        <f t="shared" si="29"/>
        <v>0</v>
      </c>
    </row>
    <row r="607" spans="1:17" x14ac:dyDescent="0.25">
      <c r="A607" t="str">
        <f t="shared" si="27"/>
        <v>Lewis Miley</v>
      </c>
      <c r="B607" t="s">
        <v>157</v>
      </c>
      <c r="C607" t="s">
        <v>869</v>
      </c>
      <c r="D607">
        <v>15</v>
      </c>
      <c r="E607">
        <v>3</v>
      </c>
      <c r="F607">
        <v>44</v>
      </c>
      <c r="G607">
        <v>1493</v>
      </c>
      <c r="H607">
        <v>15</v>
      </c>
      <c r="I607">
        <v>1</v>
      </c>
      <c r="J607">
        <v>4</v>
      </c>
      <c r="K607">
        <v>1.36</v>
      </c>
      <c r="L607">
        <v>2.1</v>
      </c>
      <c r="M607">
        <v>72</v>
      </c>
      <c r="N607">
        <v>334</v>
      </c>
      <c r="O607">
        <v>155</v>
      </c>
      <c r="P607">
        <f t="shared" si="28"/>
        <v>8.1982585398526459E-2</v>
      </c>
      <c r="Q607">
        <f t="shared" si="29"/>
        <v>0.12659075686537175</v>
      </c>
    </row>
    <row r="608" spans="1:17" x14ac:dyDescent="0.25">
      <c r="A608" t="str">
        <f t="shared" si="27"/>
        <v>Joe White</v>
      </c>
      <c r="B608" t="s">
        <v>585</v>
      </c>
      <c r="C608" t="s">
        <v>39</v>
      </c>
      <c r="D608">
        <v>15</v>
      </c>
      <c r="E608">
        <v>3</v>
      </c>
      <c r="F608">
        <v>45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f t="shared" si="28"/>
        <v>0</v>
      </c>
      <c r="Q608">
        <f t="shared" si="29"/>
        <v>0</v>
      </c>
    </row>
    <row r="609" spans="1:17" x14ac:dyDescent="0.25">
      <c r="A609" t="str">
        <f t="shared" si="27"/>
        <v>William Osula</v>
      </c>
      <c r="B609" t="s">
        <v>30</v>
      </c>
      <c r="C609" t="s">
        <v>877</v>
      </c>
      <c r="D609">
        <v>15</v>
      </c>
      <c r="E609">
        <v>4</v>
      </c>
      <c r="F609">
        <v>55</v>
      </c>
      <c r="G609">
        <v>805</v>
      </c>
      <c r="H609">
        <v>8</v>
      </c>
      <c r="I609">
        <v>7</v>
      </c>
      <c r="J609">
        <v>1</v>
      </c>
      <c r="K609">
        <v>4.28</v>
      </c>
      <c r="L609">
        <v>0.62</v>
      </c>
      <c r="M609">
        <v>76</v>
      </c>
      <c r="N609">
        <v>284</v>
      </c>
      <c r="O609">
        <v>31</v>
      </c>
      <c r="P609">
        <f t="shared" si="28"/>
        <v>0.47850931677018638</v>
      </c>
      <c r="Q609">
        <f t="shared" si="29"/>
        <v>6.9316770186335405E-2</v>
      </c>
    </row>
    <row r="610" spans="1:17" x14ac:dyDescent="0.25">
      <c r="A610" t="str">
        <f t="shared" si="27"/>
        <v>Sean Neave</v>
      </c>
      <c r="B610" t="s">
        <v>673</v>
      </c>
      <c r="C610" t="s">
        <v>878</v>
      </c>
      <c r="D610">
        <v>15</v>
      </c>
      <c r="E610">
        <v>4</v>
      </c>
      <c r="F610">
        <v>43</v>
      </c>
      <c r="G610">
        <v>13</v>
      </c>
      <c r="H610">
        <v>0</v>
      </c>
      <c r="I610">
        <v>0</v>
      </c>
      <c r="J610">
        <v>0</v>
      </c>
      <c r="K610">
        <v>0.03</v>
      </c>
      <c r="L610">
        <v>0</v>
      </c>
      <c r="M610">
        <v>1</v>
      </c>
      <c r="N610">
        <v>2</v>
      </c>
      <c r="O610">
        <v>0</v>
      </c>
      <c r="P610">
        <f t="shared" si="28"/>
        <v>0.20769230769230768</v>
      </c>
      <c r="Q610">
        <f t="shared" si="29"/>
        <v>0</v>
      </c>
    </row>
    <row r="611" spans="1:17" x14ac:dyDescent="0.25">
      <c r="A611" t="str">
        <f t="shared" si="27"/>
        <v>Aaron Ramsdale</v>
      </c>
      <c r="B611" t="s">
        <v>197</v>
      </c>
      <c r="C611" t="s">
        <v>1284</v>
      </c>
      <c r="D611">
        <v>15</v>
      </c>
      <c r="E611">
        <v>1</v>
      </c>
      <c r="F611">
        <v>48</v>
      </c>
      <c r="G611">
        <v>1003</v>
      </c>
      <c r="H611">
        <v>11</v>
      </c>
      <c r="I611">
        <v>0</v>
      </c>
      <c r="J611">
        <v>0</v>
      </c>
      <c r="K611">
        <v>0</v>
      </c>
      <c r="L611">
        <v>0</v>
      </c>
      <c r="M611">
        <v>25</v>
      </c>
      <c r="N611">
        <v>107</v>
      </c>
      <c r="O611">
        <v>0</v>
      </c>
      <c r="P611">
        <f t="shared" si="28"/>
        <v>0</v>
      </c>
      <c r="Q611">
        <f t="shared" si="29"/>
        <v>0</v>
      </c>
    </row>
    <row r="612" spans="1:17" x14ac:dyDescent="0.25">
      <c r="A612" t="str">
        <f t="shared" si="27"/>
        <v>Malick Thiaw</v>
      </c>
      <c r="B612" t="s">
        <v>852</v>
      </c>
      <c r="C612" t="s">
        <v>853</v>
      </c>
      <c r="D612">
        <v>15</v>
      </c>
      <c r="E612">
        <v>2</v>
      </c>
      <c r="F612">
        <v>49</v>
      </c>
      <c r="G612">
        <v>2963</v>
      </c>
      <c r="H612">
        <v>33</v>
      </c>
      <c r="I612">
        <v>4</v>
      </c>
      <c r="J612">
        <v>0</v>
      </c>
      <c r="K612">
        <v>4.8</v>
      </c>
      <c r="L612">
        <v>0.96</v>
      </c>
      <c r="M612">
        <v>126</v>
      </c>
      <c r="N612">
        <v>436</v>
      </c>
      <c r="O612">
        <v>292</v>
      </c>
      <c r="P612">
        <f t="shared" si="28"/>
        <v>0.14579817752278096</v>
      </c>
      <c r="Q612">
        <f t="shared" si="29"/>
        <v>2.9159635504556192E-2</v>
      </c>
    </row>
    <row r="613" spans="1:17" x14ac:dyDescent="0.25">
      <c r="A613" t="str">
        <f t="shared" si="27"/>
        <v>Seung-Soo Park</v>
      </c>
      <c r="B613" t="s">
        <v>2488</v>
      </c>
      <c r="C613" t="s">
        <v>2489</v>
      </c>
      <c r="D613">
        <v>15</v>
      </c>
      <c r="E613">
        <v>3</v>
      </c>
      <c r="F613">
        <v>43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f t="shared" si="28"/>
        <v>0</v>
      </c>
      <c r="Q613">
        <f t="shared" si="29"/>
        <v>0</v>
      </c>
    </row>
    <row r="614" spans="1:17" x14ac:dyDescent="0.25">
      <c r="A614" t="str">
        <f t="shared" si="27"/>
        <v>Nick Woltemade</v>
      </c>
      <c r="B614" t="s">
        <v>847</v>
      </c>
      <c r="C614" t="s">
        <v>874</v>
      </c>
      <c r="D614">
        <v>15</v>
      </c>
      <c r="E614">
        <v>4</v>
      </c>
      <c r="F614">
        <v>67</v>
      </c>
      <c r="G614">
        <v>1896</v>
      </c>
      <c r="H614">
        <v>24</v>
      </c>
      <c r="I614">
        <v>8</v>
      </c>
      <c r="J614">
        <v>4</v>
      </c>
      <c r="K614">
        <v>6.59</v>
      </c>
      <c r="L614">
        <v>1.53</v>
      </c>
      <c r="M614">
        <v>108</v>
      </c>
      <c r="N614">
        <v>399</v>
      </c>
      <c r="O614">
        <v>105</v>
      </c>
      <c r="P614">
        <f t="shared" si="28"/>
        <v>0.31281645569620253</v>
      </c>
      <c r="Q614">
        <f t="shared" si="29"/>
        <v>7.2626582278481011E-2</v>
      </c>
    </row>
    <row r="615" spans="1:17" x14ac:dyDescent="0.25">
      <c r="A615" t="str">
        <f t="shared" si="27"/>
        <v>John Ruddy</v>
      </c>
      <c r="B615" t="s">
        <v>101</v>
      </c>
      <c r="C615" t="s">
        <v>2301</v>
      </c>
      <c r="D615">
        <v>15</v>
      </c>
      <c r="E615">
        <v>1</v>
      </c>
      <c r="F615">
        <v>40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f t="shared" si="28"/>
        <v>0</v>
      </c>
      <c r="Q615">
        <f t="shared" si="29"/>
        <v>0</v>
      </c>
    </row>
    <row r="616" spans="1:17" x14ac:dyDescent="0.25">
      <c r="A616" t="str">
        <f t="shared" si="27"/>
        <v>Leo Shahar</v>
      </c>
      <c r="B616" t="s">
        <v>1229</v>
      </c>
      <c r="C616" t="s">
        <v>1230</v>
      </c>
      <c r="D616">
        <v>15</v>
      </c>
      <c r="E616">
        <v>2</v>
      </c>
      <c r="F616">
        <v>40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 t="shared" si="28"/>
        <v>0</v>
      </c>
      <c r="Q616">
        <f t="shared" si="29"/>
        <v>0</v>
      </c>
    </row>
    <row r="617" spans="1:17" x14ac:dyDescent="0.25">
      <c r="A617" t="str">
        <f t="shared" si="27"/>
        <v>Sam Alabi</v>
      </c>
      <c r="B617" t="s">
        <v>632</v>
      </c>
      <c r="C617" t="s">
        <v>2490</v>
      </c>
      <c r="D617">
        <v>15</v>
      </c>
      <c r="E617">
        <v>3</v>
      </c>
      <c r="F617">
        <v>45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f t="shared" si="28"/>
        <v>0</v>
      </c>
      <c r="Q617">
        <f t="shared" si="29"/>
        <v>0</v>
      </c>
    </row>
    <row r="618" spans="1:17" x14ac:dyDescent="0.25">
      <c r="A618" t="str">
        <f t="shared" si="27"/>
        <v>Oleksandr Zinchenko</v>
      </c>
      <c r="B618" t="s">
        <v>1290</v>
      </c>
      <c r="C618" t="s">
        <v>1291</v>
      </c>
      <c r="D618">
        <v>16</v>
      </c>
      <c r="E618">
        <v>2</v>
      </c>
      <c r="F618">
        <v>49</v>
      </c>
      <c r="G618">
        <v>352</v>
      </c>
      <c r="H618">
        <v>4</v>
      </c>
      <c r="I618">
        <v>0</v>
      </c>
      <c r="J618">
        <v>0</v>
      </c>
      <c r="K618">
        <v>7.0000000000000007E-2</v>
      </c>
      <c r="L618">
        <v>0.36</v>
      </c>
      <c r="M618">
        <v>7</v>
      </c>
      <c r="N618">
        <v>56</v>
      </c>
      <c r="O618">
        <v>24</v>
      </c>
      <c r="P618">
        <f t="shared" si="28"/>
        <v>1.7897727272727273E-2</v>
      </c>
      <c r="Q618">
        <f t="shared" si="29"/>
        <v>9.2045454545454528E-2</v>
      </c>
    </row>
    <row r="619" spans="1:17" x14ac:dyDescent="0.25">
      <c r="A619" t="str">
        <f t="shared" si="27"/>
        <v>Stefan Ortega Moreno</v>
      </c>
      <c r="B619" t="s">
        <v>735</v>
      </c>
      <c r="C619" t="s">
        <v>1780</v>
      </c>
      <c r="D619">
        <v>16</v>
      </c>
      <c r="E619">
        <v>1</v>
      </c>
      <c r="F619">
        <v>47</v>
      </c>
      <c r="G619">
        <v>270</v>
      </c>
      <c r="H619">
        <v>3</v>
      </c>
      <c r="I619">
        <v>0</v>
      </c>
      <c r="J619">
        <v>0</v>
      </c>
      <c r="K619">
        <v>0</v>
      </c>
      <c r="L619">
        <v>0.01</v>
      </c>
      <c r="M619">
        <v>11</v>
      </c>
      <c r="N619">
        <v>38</v>
      </c>
      <c r="O619">
        <v>0</v>
      </c>
      <c r="P619">
        <f t="shared" si="28"/>
        <v>0</v>
      </c>
      <c r="Q619">
        <f t="shared" si="29"/>
        <v>3.3333333333333331E-3</v>
      </c>
    </row>
    <row r="620" spans="1:17" x14ac:dyDescent="0.25">
      <c r="A620" t="str">
        <f t="shared" si="27"/>
        <v>James McAtee</v>
      </c>
      <c r="B620" t="s">
        <v>135</v>
      </c>
      <c r="C620" t="s">
        <v>913</v>
      </c>
      <c r="D620">
        <v>16</v>
      </c>
      <c r="E620">
        <v>3</v>
      </c>
      <c r="F620">
        <v>50</v>
      </c>
      <c r="G620">
        <v>288</v>
      </c>
      <c r="H620">
        <v>2</v>
      </c>
      <c r="I620">
        <v>0</v>
      </c>
      <c r="J620">
        <v>1</v>
      </c>
      <c r="K620">
        <v>0.18</v>
      </c>
      <c r="L620">
        <v>0.37</v>
      </c>
      <c r="M620">
        <v>17</v>
      </c>
      <c r="N620">
        <v>60</v>
      </c>
      <c r="O620">
        <v>32</v>
      </c>
      <c r="P620">
        <f t="shared" si="28"/>
        <v>5.6250000000000001E-2</v>
      </c>
      <c r="Q620">
        <f t="shared" si="29"/>
        <v>0.11562500000000001</v>
      </c>
    </row>
    <row r="621" spans="1:17" x14ac:dyDescent="0.25">
      <c r="A621" t="str">
        <f t="shared" si="27"/>
        <v>Matz Sels</v>
      </c>
      <c r="B621" t="s">
        <v>883</v>
      </c>
      <c r="C621" t="s">
        <v>884</v>
      </c>
      <c r="D621">
        <v>16</v>
      </c>
      <c r="E621">
        <v>1</v>
      </c>
      <c r="F621">
        <v>46</v>
      </c>
      <c r="G621">
        <v>2667</v>
      </c>
      <c r="H621">
        <v>30</v>
      </c>
      <c r="I621">
        <v>0</v>
      </c>
      <c r="J621">
        <v>0</v>
      </c>
      <c r="K621">
        <v>0</v>
      </c>
      <c r="L621">
        <v>0.06</v>
      </c>
      <c r="M621">
        <v>105</v>
      </c>
      <c r="N621">
        <v>431</v>
      </c>
      <c r="O621">
        <v>0</v>
      </c>
      <c r="P621">
        <f t="shared" si="28"/>
        <v>0</v>
      </c>
      <c r="Q621">
        <f t="shared" si="29"/>
        <v>2.0247469066366703E-3</v>
      </c>
    </row>
    <row r="622" spans="1:17" x14ac:dyDescent="0.25">
      <c r="A622" t="str">
        <f t="shared" si="27"/>
        <v>Carlos Miguel dos Santos Pereira</v>
      </c>
      <c r="B622" t="s">
        <v>2306</v>
      </c>
      <c r="C622" t="s">
        <v>2307</v>
      </c>
      <c r="D622">
        <v>16</v>
      </c>
      <c r="E622">
        <v>1</v>
      </c>
      <c r="F622">
        <v>40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f t="shared" si="28"/>
        <v>0</v>
      </c>
      <c r="Q622">
        <f t="shared" si="29"/>
        <v>0</v>
      </c>
    </row>
    <row r="623" spans="1:17" x14ac:dyDescent="0.25">
      <c r="A623" t="str">
        <f t="shared" si="27"/>
        <v>Matt Turner</v>
      </c>
      <c r="B623" t="s">
        <v>259</v>
      </c>
      <c r="C623" t="s">
        <v>1871</v>
      </c>
      <c r="D623">
        <v>16</v>
      </c>
      <c r="E623">
        <v>1</v>
      </c>
      <c r="F623">
        <v>40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f t="shared" si="28"/>
        <v>0</v>
      </c>
      <c r="Q623">
        <f t="shared" si="29"/>
        <v>0</v>
      </c>
    </row>
    <row r="624" spans="1:17" x14ac:dyDescent="0.25">
      <c r="A624" t="str">
        <f t="shared" si="27"/>
        <v>Nikola Milenković</v>
      </c>
      <c r="B624" t="s">
        <v>891</v>
      </c>
      <c r="C624" t="s">
        <v>892</v>
      </c>
      <c r="D624">
        <v>16</v>
      </c>
      <c r="E624">
        <v>2</v>
      </c>
      <c r="F624">
        <v>51</v>
      </c>
      <c r="G624">
        <v>3375</v>
      </c>
      <c r="H624">
        <v>37</v>
      </c>
      <c r="I624">
        <v>0</v>
      </c>
      <c r="J624">
        <v>1</v>
      </c>
      <c r="K624">
        <v>0.83</v>
      </c>
      <c r="L624">
        <v>0.68</v>
      </c>
      <c r="M624">
        <v>119</v>
      </c>
      <c r="N624">
        <v>401</v>
      </c>
      <c r="O624">
        <v>311</v>
      </c>
      <c r="P624">
        <f t="shared" si="28"/>
        <v>2.2133333333333331E-2</v>
      </c>
      <c r="Q624">
        <f t="shared" si="29"/>
        <v>1.8133333333333335E-2</v>
      </c>
    </row>
    <row r="625" spans="1:17" x14ac:dyDescent="0.25">
      <c r="A625" t="str">
        <f t="shared" si="27"/>
        <v>Murillo Costa dos Santos</v>
      </c>
      <c r="B625" t="s">
        <v>893</v>
      </c>
      <c r="C625" t="s">
        <v>894</v>
      </c>
      <c r="D625">
        <v>16</v>
      </c>
      <c r="E625">
        <v>2</v>
      </c>
      <c r="F625">
        <v>52</v>
      </c>
      <c r="G625">
        <v>2130</v>
      </c>
      <c r="H625">
        <v>25</v>
      </c>
      <c r="I625">
        <v>1</v>
      </c>
      <c r="J625">
        <v>0</v>
      </c>
      <c r="K625">
        <v>0.73</v>
      </c>
      <c r="L625">
        <v>0.47</v>
      </c>
      <c r="M625">
        <v>83</v>
      </c>
      <c r="N625">
        <v>333</v>
      </c>
      <c r="O625">
        <v>223</v>
      </c>
      <c r="P625">
        <f t="shared" si="28"/>
        <v>3.084507042253521E-2</v>
      </c>
      <c r="Q625">
        <f t="shared" si="29"/>
        <v>1.9859154929577464E-2</v>
      </c>
    </row>
    <row r="626" spans="1:17" x14ac:dyDescent="0.25">
      <c r="A626" t="str">
        <f t="shared" si="27"/>
        <v>Ola Aina</v>
      </c>
      <c r="B626" t="s">
        <v>895</v>
      </c>
      <c r="C626" t="s">
        <v>896</v>
      </c>
      <c r="D626">
        <v>16</v>
      </c>
      <c r="E626">
        <v>2</v>
      </c>
      <c r="F626">
        <v>47</v>
      </c>
      <c r="G626">
        <v>1587</v>
      </c>
      <c r="H626">
        <v>18</v>
      </c>
      <c r="I626">
        <v>0</v>
      </c>
      <c r="J626">
        <v>2</v>
      </c>
      <c r="K626">
        <v>0.41</v>
      </c>
      <c r="L626">
        <v>0.84</v>
      </c>
      <c r="M626">
        <v>67</v>
      </c>
      <c r="N626">
        <v>264</v>
      </c>
      <c r="O626">
        <v>130</v>
      </c>
      <c r="P626">
        <f t="shared" si="28"/>
        <v>2.3251417769376177E-2</v>
      </c>
      <c r="Q626">
        <f t="shared" si="29"/>
        <v>4.7637051039697537E-2</v>
      </c>
    </row>
    <row r="627" spans="1:17" x14ac:dyDescent="0.25">
      <c r="A627" t="str">
        <f t="shared" si="27"/>
        <v>Neco Williams</v>
      </c>
      <c r="B627" t="s">
        <v>887</v>
      </c>
      <c r="C627" t="s">
        <v>888</v>
      </c>
      <c r="D627">
        <v>16</v>
      </c>
      <c r="E627">
        <v>2</v>
      </c>
      <c r="F627">
        <v>48</v>
      </c>
      <c r="G627">
        <v>3203</v>
      </c>
      <c r="H627">
        <v>36</v>
      </c>
      <c r="I627">
        <v>2</v>
      </c>
      <c r="J627">
        <v>3</v>
      </c>
      <c r="K627">
        <v>2.0099999999999998</v>
      </c>
      <c r="L627">
        <v>3.97</v>
      </c>
      <c r="M627">
        <v>128</v>
      </c>
      <c r="N627">
        <v>531</v>
      </c>
      <c r="O627">
        <v>247</v>
      </c>
      <c r="P627">
        <f t="shared" si="28"/>
        <v>5.6478301592257259E-2</v>
      </c>
      <c r="Q627">
        <f t="shared" si="29"/>
        <v>0.11155167030908525</v>
      </c>
    </row>
    <row r="628" spans="1:17" x14ac:dyDescent="0.25">
      <c r="A628" t="str">
        <f t="shared" si="27"/>
        <v>David Mota Veiga Teixeira do Carmo</v>
      </c>
      <c r="B628" t="s">
        <v>20</v>
      </c>
      <c r="C628" t="s">
        <v>2491</v>
      </c>
      <c r="D628">
        <v>16</v>
      </c>
      <c r="E628">
        <v>2</v>
      </c>
      <c r="F628">
        <v>45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f t="shared" si="28"/>
        <v>0</v>
      </c>
      <c r="Q628">
        <f t="shared" si="29"/>
        <v>0</v>
      </c>
    </row>
    <row r="629" spans="1:17" x14ac:dyDescent="0.25">
      <c r="A629" t="str">
        <f t="shared" si="27"/>
        <v>Jair Paula da Cunha Filho</v>
      </c>
      <c r="B629" t="s">
        <v>897</v>
      </c>
      <c r="C629" t="s">
        <v>898</v>
      </c>
      <c r="D629">
        <v>16</v>
      </c>
      <c r="E629">
        <v>2</v>
      </c>
      <c r="F629">
        <v>42</v>
      </c>
      <c r="G629">
        <v>514</v>
      </c>
      <c r="H629">
        <v>6</v>
      </c>
      <c r="I629">
        <v>0</v>
      </c>
      <c r="J629">
        <v>0</v>
      </c>
      <c r="K629">
        <v>0.27</v>
      </c>
      <c r="L629">
        <v>0.06</v>
      </c>
      <c r="M629">
        <v>13</v>
      </c>
      <c r="N629">
        <v>48</v>
      </c>
      <c r="O629">
        <v>47</v>
      </c>
      <c r="P629">
        <f t="shared" si="28"/>
        <v>4.7276264591439694E-2</v>
      </c>
      <c r="Q629">
        <f t="shared" si="29"/>
        <v>1.0505836575875485E-2</v>
      </c>
    </row>
    <row r="630" spans="1:17" x14ac:dyDescent="0.25">
      <c r="A630" t="str">
        <f t="shared" si="27"/>
        <v>Felipe Rodrigues da Silva</v>
      </c>
      <c r="B630" t="s">
        <v>889</v>
      </c>
      <c r="C630" t="s">
        <v>890</v>
      </c>
      <c r="D630">
        <v>16</v>
      </c>
      <c r="E630">
        <v>2</v>
      </c>
      <c r="F630">
        <v>43</v>
      </c>
      <c r="G630">
        <v>1340</v>
      </c>
      <c r="H630">
        <v>14</v>
      </c>
      <c r="I630">
        <v>1</v>
      </c>
      <c r="J630">
        <v>0</v>
      </c>
      <c r="K630">
        <v>1.32</v>
      </c>
      <c r="L630">
        <v>0.15</v>
      </c>
      <c r="M630">
        <v>53</v>
      </c>
      <c r="N630">
        <v>190</v>
      </c>
      <c r="O630">
        <v>144</v>
      </c>
      <c r="P630">
        <f t="shared" si="28"/>
        <v>8.8656716417910453E-2</v>
      </c>
      <c r="Q630">
        <f t="shared" si="29"/>
        <v>1.0074626865671642E-2</v>
      </c>
    </row>
    <row r="631" spans="1:17" x14ac:dyDescent="0.25">
      <c r="A631" t="str">
        <f t="shared" si="27"/>
        <v>Omar Richards</v>
      </c>
      <c r="B631" t="s">
        <v>774</v>
      </c>
      <c r="C631" t="s">
        <v>419</v>
      </c>
      <c r="D631">
        <v>16</v>
      </c>
      <c r="E631">
        <v>2</v>
      </c>
      <c r="F631">
        <v>45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f t="shared" si="28"/>
        <v>0</v>
      </c>
      <c r="Q631">
        <f t="shared" si="29"/>
        <v>0</v>
      </c>
    </row>
    <row r="632" spans="1:17" x14ac:dyDescent="0.25">
      <c r="A632" t="str">
        <f t="shared" si="27"/>
        <v>Zach Abbott</v>
      </c>
      <c r="B632" t="s">
        <v>901</v>
      </c>
      <c r="C632" t="s">
        <v>902</v>
      </c>
      <c r="D632">
        <v>16</v>
      </c>
      <c r="E632">
        <v>2</v>
      </c>
      <c r="F632">
        <v>38</v>
      </c>
      <c r="G632">
        <v>165</v>
      </c>
      <c r="H632">
        <v>2</v>
      </c>
      <c r="I632">
        <v>0</v>
      </c>
      <c r="J632">
        <v>0</v>
      </c>
      <c r="K632">
        <v>0</v>
      </c>
      <c r="L632">
        <v>0.01</v>
      </c>
      <c r="M632">
        <v>3</v>
      </c>
      <c r="N632">
        <v>3</v>
      </c>
      <c r="O632">
        <v>13</v>
      </c>
      <c r="P632">
        <f t="shared" si="28"/>
        <v>0</v>
      </c>
      <c r="Q632">
        <f t="shared" si="29"/>
        <v>5.4545454545454541E-3</v>
      </c>
    </row>
    <row r="633" spans="1:17" x14ac:dyDescent="0.25">
      <c r="A633" t="str">
        <f t="shared" si="27"/>
        <v>Willy Boly</v>
      </c>
      <c r="B633" t="s">
        <v>1834</v>
      </c>
      <c r="C633" t="s">
        <v>1878</v>
      </c>
      <c r="D633">
        <v>16</v>
      </c>
      <c r="E633">
        <v>2</v>
      </c>
      <c r="F633">
        <v>38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f t="shared" si="28"/>
        <v>0</v>
      </c>
      <c r="Q633">
        <f t="shared" si="29"/>
        <v>0</v>
      </c>
    </row>
    <row r="634" spans="1:17" x14ac:dyDescent="0.25">
      <c r="A634" t="str">
        <f t="shared" si="27"/>
        <v>Morgan Gibbs-White</v>
      </c>
      <c r="B634" t="s">
        <v>287</v>
      </c>
      <c r="C634" t="s">
        <v>906</v>
      </c>
      <c r="D634">
        <v>16</v>
      </c>
      <c r="E634">
        <v>3</v>
      </c>
      <c r="F634">
        <v>76</v>
      </c>
      <c r="G634">
        <v>3101</v>
      </c>
      <c r="H634">
        <v>35</v>
      </c>
      <c r="I634">
        <v>15</v>
      </c>
      <c r="J634">
        <v>4</v>
      </c>
      <c r="K634">
        <v>10.81</v>
      </c>
      <c r="L634">
        <v>2.91</v>
      </c>
      <c r="M634">
        <v>188</v>
      </c>
      <c r="N634">
        <v>712</v>
      </c>
      <c r="O634">
        <v>178</v>
      </c>
      <c r="P634">
        <f t="shared" si="28"/>
        <v>0.31373750403095779</v>
      </c>
      <c r="Q634">
        <f t="shared" si="29"/>
        <v>8.4456626894550149E-2</v>
      </c>
    </row>
    <row r="635" spans="1:17" x14ac:dyDescent="0.25">
      <c r="A635" t="str">
        <f t="shared" si="27"/>
        <v>Callum Hudson-Odoi</v>
      </c>
      <c r="B635" t="s">
        <v>227</v>
      </c>
      <c r="C635" t="s">
        <v>907</v>
      </c>
      <c r="D635">
        <v>16</v>
      </c>
      <c r="E635">
        <v>3</v>
      </c>
      <c r="F635">
        <v>57</v>
      </c>
      <c r="G635">
        <v>1838</v>
      </c>
      <c r="H635">
        <v>21</v>
      </c>
      <c r="I635">
        <v>3</v>
      </c>
      <c r="J635">
        <v>4</v>
      </c>
      <c r="K635">
        <v>2.77</v>
      </c>
      <c r="L635">
        <v>3.02</v>
      </c>
      <c r="M635">
        <v>88</v>
      </c>
      <c r="N635">
        <v>358</v>
      </c>
      <c r="O635">
        <v>106</v>
      </c>
      <c r="P635">
        <f t="shared" si="28"/>
        <v>0.13563656147986944</v>
      </c>
      <c r="Q635">
        <f t="shared" si="29"/>
        <v>0.14787812840043524</v>
      </c>
    </row>
    <row r="636" spans="1:17" x14ac:dyDescent="0.25">
      <c r="A636" t="str">
        <f t="shared" si="27"/>
        <v>Elliot Anderson</v>
      </c>
      <c r="B636" t="s">
        <v>594</v>
      </c>
      <c r="C636" t="s">
        <v>792</v>
      </c>
      <c r="D636">
        <v>16</v>
      </c>
      <c r="E636">
        <v>3</v>
      </c>
      <c r="F636">
        <v>57</v>
      </c>
      <c r="G636">
        <v>3332</v>
      </c>
      <c r="H636">
        <v>37</v>
      </c>
      <c r="I636">
        <v>4</v>
      </c>
      <c r="J636">
        <v>5</v>
      </c>
      <c r="K636">
        <v>2.94</v>
      </c>
      <c r="L636">
        <v>4.79</v>
      </c>
      <c r="M636">
        <v>180</v>
      </c>
      <c r="N636">
        <v>795</v>
      </c>
      <c r="O636">
        <v>515</v>
      </c>
      <c r="P636">
        <f t="shared" si="28"/>
        <v>7.9411764705882362E-2</v>
      </c>
      <c r="Q636">
        <f t="shared" si="29"/>
        <v>0.12938175270108043</v>
      </c>
    </row>
    <row r="637" spans="1:17" x14ac:dyDescent="0.25">
      <c r="A637" t="str">
        <f t="shared" si="27"/>
        <v>João Pedro Ferreira da Silva</v>
      </c>
      <c r="B637" t="s">
        <v>246</v>
      </c>
      <c r="C637" t="s">
        <v>2492</v>
      </c>
      <c r="D637">
        <v>16</v>
      </c>
      <c r="E637">
        <v>3</v>
      </c>
      <c r="F637">
        <v>54</v>
      </c>
      <c r="G637">
        <v>11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6</v>
      </c>
      <c r="O637">
        <v>3</v>
      </c>
      <c r="P637">
        <f t="shared" si="28"/>
        <v>0</v>
      </c>
      <c r="Q637">
        <f t="shared" si="29"/>
        <v>0</v>
      </c>
    </row>
    <row r="638" spans="1:17" x14ac:dyDescent="0.25">
      <c r="A638" t="str">
        <f t="shared" si="27"/>
        <v>Nicolás Domínguez</v>
      </c>
      <c r="B638" t="s">
        <v>914</v>
      </c>
      <c r="C638" t="s">
        <v>915</v>
      </c>
      <c r="D638">
        <v>16</v>
      </c>
      <c r="E638">
        <v>3</v>
      </c>
      <c r="F638">
        <v>50</v>
      </c>
      <c r="G638">
        <v>1168</v>
      </c>
      <c r="H638">
        <v>17</v>
      </c>
      <c r="I638">
        <v>1</v>
      </c>
      <c r="J638">
        <v>1</v>
      </c>
      <c r="K638">
        <v>1.47</v>
      </c>
      <c r="L638">
        <v>0.77</v>
      </c>
      <c r="M638">
        <v>48</v>
      </c>
      <c r="N638">
        <v>229</v>
      </c>
      <c r="O638">
        <v>143</v>
      </c>
      <c r="P638">
        <f t="shared" si="28"/>
        <v>0.11327054794520547</v>
      </c>
      <c r="Q638">
        <f t="shared" si="29"/>
        <v>5.933219178082192E-2</v>
      </c>
    </row>
    <row r="639" spans="1:17" x14ac:dyDescent="0.25">
      <c r="A639" t="str">
        <f t="shared" si="27"/>
        <v>Lewis O'Brien</v>
      </c>
      <c r="B639" t="s">
        <v>157</v>
      </c>
      <c r="C639" t="s">
        <v>479</v>
      </c>
      <c r="D639">
        <v>16</v>
      </c>
      <c r="E639">
        <v>3</v>
      </c>
      <c r="F639">
        <v>50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f t="shared" si="28"/>
        <v>0</v>
      </c>
      <c r="Q639">
        <f t="shared" si="29"/>
        <v>0</v>
      </c>
    </row>
    <row r="640" spans="1:17" x14ac:dyDescent="0.25">
      <c r="A640" t="str">
        <f t="shared" si="27"/>
        <v>Ibrahim Sangaré</v>
      </c>
      <c r="B640" t="s">
        <v>916</v>
      </c>
      <c r="C640" t="s">
        <v>230</v>
      </c>
      <c r="D640">
        <v>16</v>
      </c>
      <c r="E640">
        <v>3</v>
      </c>
      <c r="F640">
        <v>49</v>
      </c>
      <c r="G640">
        <v>2073</v>
      </c>
      <c r="H640">
        <v>25</v>
      </c>
      <c r="I640">
        <v>2</v>
      </c>
      <c r="J640">
        <v>2</v>
      </c>
      <c r="K640">
        <v>1.1599999999999999</v>
      </c>
      <c r="L640">
        <v>1.8</v>
      </c>
      <c r="M640">
        <v>89</v>
      </c>
      <c r="N640">
        <v>366</v>
      </c>
      <c r="O640">
        <v>267</v>
      </c>
      <c r="P640">
        <f t="shared" si="28"/>
        <v>5.0361794500723582E-2</v>
      </c>
      <c r="Q640">
        <f t="shared" si="29"/>
        <v>7.8147612156295232E-2</v>
      </c>
    </row>
    <row r="641" spans="1:17" x14ac:dyDescent="0.25">
      <c r="A641" t="str">
        <f t="shared" si="27"/>
        <v>Ryan Yates</v>
      </c>
      <c r="B641" t="s">
        <v>164</v>
      </c>
      <c r="C641" t="s">
        <v>917</v>
      </c>
      <c r="D641">
        <v>16</v>
      </c>
      <c r="E641">
        <v>3</v>
      </c>
      <c r="F641">
        <v>47</v>
      </c>
      <c r="G641">
        <v>602</v>
      </c>
      <c r="H641">
        <v>2</v>
      </c>
      <c r="I641">
        <v>0</v>
      </c>
      <c r="J641">
        <v>2</v>
      </c>
      <c r="K641">
        <v>0.49</v>
      </c>
      <c r="L641">
        <v>0.37</v>
      </c>
      <c r="M641">
        <v>30</v>
      </c>
      <c r="N641">
        <v>123</v>
      </c>
      <c r="O641">
        <v>69</v>
      </c>
      <c r="P641">
        <f t="shared" si="28"/>
        <v>7.3255813953488375E-2</v>
      </c>
      <c r="Q641">
        <f t="shared" si="29"/>
        <v>5.5315614617940198E-2</v>
      </c>
    </row>
    <row r="642" spans="1:17" x14ac:dyDescent="0.25">
      <c r="A642" t="str">
        <f t="shared" ref="A642:A705" si="30">_xlfn.CONCAT(B642, " ", C642)</f>
        <v>Eric da Silva Moreira</v>
      </c>
      <c r="B642" t="s">
        <v>1798</v>
      </c>
      <c r="C642" t="s">
        <v>1555</v>
      </c>
      <c r="D642">
        <v>16</v>
      </c>
      <c r="E642">
        <v>3</v>
      </c>
      <c r="F642">
        <v>45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f t="shared" ref="P642:P705" si="31">IFERROR(K642/G642*90,0)</f>
        <v>0</v>
      </c>
      <c r="Q642">
        <f t="shared" ref="Q642:Q705" si="32">IFERROR(L642/G642*90,0)</f>
        <v>0</v>
      </c>
    </row>
    <row r="643" spans="1:17" x14ac:dyDescent="0.25">
      <c r="A643" t="str">
        <f t="shared" si="30"/>
        <v>Marko Stamenić</v>
      </c>
      <c r="B643" t="s">
        <v>2493</v>
      </c>
      <c r="C643" t="s">
        <v>2494</v>
      </c>
      <c r="D643">
        <v>16</v>
      </c>
      <c r="E643">
        <v>3</v>
      </c>
      <c r="F643">
        <v>45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f t="shared" si="31"/>
        <v>0</v>
      </c>
      <c r="Q643">
        <f t="shared" si="32"/>
        <v>0</v>
      </c>
    </row>
    <row r="644" spans="1:17" x14ac:dyDescent="0.25">
      <c r="A644" t="str">
        <f t="shared" si="30"/>
        <v>Chris Wood</v>
      </c>
      <c r="B644" t="s">
        <v>418</v>
      </c>
      <c r="C644" t="s">
        <v>918</v>
      </c>
      <c r="D644">
        <v>16</v>
      </c>
      <c r="E644">
        <v>4</v>
      </c>
      <c r="F644">
        <v>71</v>
      </c>
      <c r="G644">
        <v>896</v>
      </c>
      <c r="H644">
        <v>11</v>
      </c>
      <c r="I644">
        <v>3</v>
      </c>
      <c r="J644">
        <v>0</v>
      </c>
      <c r="K644">
        <v>4.29</v>
      </c>
      <c r="L644">
        <v>0.32</v>
      </c>
      <c r="M644">
        <v>41</v>
      </c>
      <c r="N644">
        <v>145</v>
      </c>
      <c r="O644">
        <v>29</v>
      </c>
      <c r="P644">
        <f t="shared" si="31"/>
        <v>0.43091517857142858</v>
      </c>
      <c r="Q644">
        <f t="shared" si="32"/>
        <v>3.214285714285714E-2</v>
      </c>
    </row>
    <row r="645" spans="1:17" x14ac:dyDescent="0.25">
      <c r="A645" t="str">
        <f t="shared" si="30"/>
        <v>Igor Jesus Maciel da Cruz</v>
      </c>
      <c r="B645" t="s">
        <v>919</v>
      </c>
      <c r="C645" t="s">
        <v>920</v>
      </c>
      <c r="D645">
        <v>16</v>
      </c>
      <c r="E645">
        <v>4</v>
      </c>
      <c r="F645">
        <v>59</v>
      </c>
      <c r="G645">
        <v>2293</v>
      </c>
      <c r="H645">
        <v>28</v>
      </c>
      <c r="I645">
        <v>6</v>
      </c>
      <c r="J645">
        <v>6</v>
      </c>
      <c r="K645">
        <v>6.48</v>
      </c>
      <c r="L645">
        <v>1.26</v>
      </c>
      <c r="M645">
        <v>114</v>
      </c>
      <c r="N645">
        <v>407</v>
      </c>
      <c r="O645">
        <v>123</v>
      </c>
      <c r="P645">
        <f t="shared" si="31"/>
        <v>0.25433929350196249</v>
      </c>
      <c r="Q645">
        <f t="shared" si="32"/>
        <v>4.9454862625381596E-2</v>
      </c>
    </row>
    <row r="646" spans="1:17" x14ac:dyDescent="0.25">
      <c r="A646" t="str">
        <f t="shared" si="30"/>
        <v>Taiwo Awoniyi</v>
      </c>
      <c r="B646" t="s">
        <v>405</v>
      </c>
      <c r="C646" t="s">
        <v>406</v>
      </c>
      <c r="D646">
        <v>16</v>
      </c>
      <c r="E646">
        <v>4</v>
      </c>
      <c r="F646">
        <v>52</v>
      </c>
      <c r="G646">
        <v>480</v>
      </c>
      <c r="H646">
        <v>3</v>
      </c>
      <c r="I646">
        <v>4</v>
      </c>
      <c r="J646">
        <v>2</v>
      </c>
      <c r="K646">
        <v>3.68</v>
      </c>
      <c r="L646">
        <v>0.77</v>
      </c>
      <c r="M646">
        <v>43</v>
      </c>
      <c r="N646">
        <v>170</v>
      </c>
      <c r="O646">
        <v>26</v>
      </c>
      <c r="P646">
        <f t="shared" si="31"/>
        <v>0.69000000000000006</v>
      </c>
      <c r="Q646">
        <f t="shared" si="32"/>
        <v>0.144375</v>
      </c>
    </row>
    <row r="647" spans="1:17" x14ac:dyDescent="0.25">
      <c r="A647" t="str">
        <f t="shared" si="30"/>
        <v>Dan Ndoye</v>
      </c>
      <c r="B647" t="s">
        <v>858</v>
      </c>
      <c r="C647" t="s">
        <v>908</v>
      </c>
      <c r="D647">
        <v>16</v>
      </c>
      <c r="E647">
        <v>3</v>
      </c>
      <c r="F647">
        <v>55</v>
      </c>
      <c r="G647">
        <v>1167</v>
      </c>
      <c r="H647">
        <v>14</v>
      </c>
      <c r="I647">
        <v>1</v>
      </c>
      <c r="J647">
        <v>2</v>
      </c>
      <c r="K647">
        <v>1.05</v>
      </c>
      <c r="L647">
        <v>1.51</v>
      </c>
      <c r="M647">
        <v>50</v>
      </c>
      <c r="N647">
        <v>178</v>
      </c>
      <c r="O647">
        <v>96</v>
      </c>
      <c r="P647">
        <f t="shared" si="31"/>
        <v>8.0976863753213377E-2</v>
      </c>
      <c r="Q647">
        <f t="shared" si="32"/>
        <v>0.11645244215938304</v>
      </c>
    </row>
    <row r="648" spans="1:17" x14ac:dyDescent="0.25">
      <c r="A648" t="str">
        <f t="shared" si="30"/>
        <v>Angus Gunn</v>
      </c>
      <c r="B648" t="s">
        <v>2495</v>
      </c>
      <c r="C648" t="s">
        <v>2496</v>
      </c>
      <c r="D648">
        <v>16</v>
      </c>
      <c r="E648">
        <v>1</v>
      </c>
      <c r="F648">
        <v>40</v>
      </c>
      <c r="G648">
        <v>45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4</v>
      </c>
      <c r="O648">
        <v>0</v>
      </c>
      <c r="P648">
        <f t="shared" si="31"/>
        <v>0</v>
      </c>
      <c r="Q648">
        <f t="shared" si="32"/>
        <v>0</v>
      </c>
    </row>
    <row r="649" spans="1:17" x14ac:dyDescent="0.25">
      <c r="A649" t="str">
        <f t="shared" si="30"/>
        <v>Omari Hutchinson</v>
      </c>
      <c r="B649" t="s">
        <v>909</v>
      </c>
      <c r="C649" t="s">
        <v>910</v>
      </c>
      <c r="D649">
        <v>16</v>
      </c>
      <c r="E649">
        <v>3</v>
      </c>
      <c r="F649">
        <v>54</v>
      </c>
      <c r="G649">
        <v>1676</v>
      </c>
      <c r="H649">
        <v>17</v>
      </c>
      <c r="I649">
        <v>1</v>
      </c>
      <c r="J649">
        <v>7</v>
      </c>
      <c r="K649">
        <v>2.0099999999999998</v>
      </c>
      <c r="L649">
        <v>3.87</v>
      </c>
      <c r="M649">
        <v>82</v>
      </c>
      <c r="N649">
        <v>329</v>
      </c>
      <c r="O649">
        <v>129</v>
      </c>
      <c r="P649">
        <f t="shared" si="31"/>
        <v>0.10793556085918853</v>
      </c>
      <c r="Q649">
        <f t="shared" si="32"/>
        <v>0.20781622911694508</v>
      </c>
    </row>
    <row r="650" spans="1:17" x14ac:dyDescent="0.25">
      <c r="A650" t="str">
        <f t="shared" si="30"/>
        <v>Arnaud Kalimuendo</v>
      </c>
      <c r="B650" t="s">
        <v>921</v>
      </c>
      <c r="C650" t="s">
        <v>922</v>
      </c>
      <c r="D650">
        <v>16</v>
      </c>
      <c r="E650">
        <v>4</v>
      </c>
      <c r="F650">
        <v>60</v>
      </c>
      <c r="G650">
        <v>89</v>
      </c>
      <c r="H650">
        <v>0</v>
      </c>
      <c r="I650">
        <v>0</v>
      </c>
      <c r="J650">
        <v>0</v>
      </c>
      <c r="K650">
        <v>0.44</v>
      </c>
      <c r="L650">
        <v>0.02</v>
      </c>
      <c r="M650">
        <v>9</v>
      </c>
      <c r="N650">
        <v>24</v>
      </c>
      <c r="O650">
        <v>6</v>
      </c>
      <c r="P650">
        <f t="shared" si="31"/>
        <v>0.44494382022471907</v>
      </c>
      <c r="Q650">
        <f t="shared" si="32"/>
        <v>2.0224719101123598E-2</v>
      </c>
    </row>
    <row r="651" spans="1:17" x14ac:dyDescent="0.25">
      <c r="A651" t="str">
        <f t="shared" si="30"/>
        <v>John Victor Maciel Furtado</v>
      </c>
      <c r="B651" t="s">
        <v>885</v>
      </c>
      <c r="C651" t="s">
        <v>886</v>
      </c>
      <c r="D651">
        <v>16</v>
      </c>
      <c r="E651">
        <v>1</v>
      </c>
      <c r="F651">
        <v>40</v>
      </c>
      <c r="G651">
        <v>437</v>
      </c>
      <c r="H651">
        <v>5</v>
      </c>
      <c r="I651">
        <v>0</v>
      </c>
      <c r="J651">
        <v>0</v>
      </c>
      <c r="K651">
        <v>0</v>
      </c>
      <c r="L651">
        <v>0</v>
      </c>
      <c r="M651">
        <v>11</v>
      </c>
      <c r="N651">
        <v>32</v>
      </c>
      <c r="O651">
        <v>0</v>
      </c>
      <c r="P651">
        <f t="shared" si="31"/>
        <v>0</v>
      </c>
      <c r="Q651">
        <f t="shared" si="32"/>
        <v>0</v>
      </c>
    </row>
    <row r="652" spans="1:17" x14ac:dyDescent="0.25">
      <c r="A652" t="str">
        <f t="shared" si="30"/>
        <v>Nicolò Savona</v>
      </c>
      <c r="B652" t="s">
        <v>899</v>
      </c>
      <c r="C652" t="s">
        <v>900</v>
      </c>
      <c r="D652">
        <v>16</v>
      </c>
      <c r="E652">
        <v>2</v>
      </c>
      <c r="F652">
        <v>45</v>
      </c>
      <c r="G652">
        <v>1025</v>
      </c>
      <c r="H652">
        <v>11</v>
      </c>
      <c r="I652">
        <v>2</v>
      </c>
      <c r="J652">
        <v>0</v>
      </c>
      <c r="K652">
        <v>1.34</v>
      </c>
      <c r="L652">
        <v>0.45</v>
      </c>
      <c r="M652">
        <v>39</v>
      </c>
      <c r="N652">
        <v>131</v>
      </c>
      <c r="O652">
        <v>57</v>
      </c>
      <c r="P652">
        <f t="shared" si="31"/>
        <v>0.11765853658536586</v>
      </c>
      <c r="Q652">
        <f t="shared" si="32"/>
        <v>3.951219512195122E-2</v>
      </c>
    </row>
    <row r="653" spans="1:17" x14ac:dyDescent="0.25">
      <c r="A653" t="str">
        <f t="shared" si="30"/>
        <v>Luis Eduardo Soares da Silva</v>
      </c>
      <c r="B653" t="s">
        <v>2497</v>
      </c>
      <c r="C653" t="s">
        <v>2498</v>
      </c>
      <c r="D653">
        <v>16</v>
      </c>
      <c r="E653">
        <v>2</v>
      </c>
      <c r="F653">
        <v>45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 t="shared" si="31"/>
        <v>0</v>
      </c>
      <c r="Q653">
        <f t="shared" si="32"/>
        <v>0</v>
      </c>
    </row>
    <row r="654" spans="1:17" x14ac:dyDescent="0.25">
      <c r="A654" t="str">
        <f t="shared" si="30"/>
        <v>Dilane Bakwa</v>
      </c>
      <c r="B654" t="s">
        <v>911</v>
      </c>
      <c r="C654" t="s">
        <v>912</v>
      </c>
      <c r="D654">
        <v>16</v>
      </c>
      <c r="E654">
        <v>3</v>
      </c>
      <c r="F654">
        <v>59</v>
      </c>
      <c r="G654">
        <v>549</v>
      </c>
      <c r="H654">
        <v>6</v>
      </c>
      <c r="I654">
        <v>0</v>
      </c>
      <c r="J654">
        <v>2</v>
      </c>
      <c r="K654">
        <v>0.54</v>
      </c>
      <c r="L654">
        <v>1.01</v>
      </c>
      <c r="M654">
        <v>26</v>
      </c>
      <c r="N654">
        <v>100</v>
      </c>
      <c r="O654">
        <v>35</v>
      </c>
      <c r="P654">
        <f t="shared" si="31"/>
        <v>8.8524590163934422E-2</v>
      </c>
      <c r="Q654">
        <f t="shared" si="32"/>
        <v>0.16557377049180327</v>
      </c>
    </row>
    <row r="655" spans="1:17" x14ac:dyDescent="0.25">
      <c r="A655" t="str">
        <f t="shared" si="30"/>
        <v>Lorenzo Lucca</v>
      </c>
      <c r="B655" t="s">
        <v>2499</v>
      </c>
      <c r="C655" t="s">
        <v>2500</v>
      </c>
      <c r="D655">
        <v>16</v>
      </c>
      <c r="E655">
        <v>4</v>
      </c>
      <c r="F655">
        <v>53</v>
      </c>
      <c r="G655">
        <v>126</v>
      </c>
      <c r="H655">
        <v>1</v>
      </c>
      <c r="I655">
        <v>1</v>
      </c>
      <c r="J655">
        <v>0</v>
      </c>
      <c r="K655">
        <v>0.79</v>
      </c>
      <c r="L655">
        <v>0.01</v>
      </c>
      <c r="M655">
        <v>9</v>
      </c>
      <c r="N655">
        <v>33</v>
      </c>
      <c r="O655">
        <v>7</v>
      </c>
      <c r="P655">
        <f t="shared" si="31"/>
        <v>0.56428571428571428</v>
      </c>
      <c r="Q655">
        <f t="shared" si="32"/>
        <v>7.1428571428571426E-3</v>
      </c>
    </row>
    <row r="656" spans="1:17" x14ac:dyDescent="0.25">
      <c r="A656" t="str">
        <f t="shared" si="30"/>
        <v>Luca Netz</v>
      </c>
      <c r="B656" t="s">
        <v>903</v>
      </c>
      <c r="C656" t="s">
        <v>904</v>
      </c>
      <c r="D656">
        <v>16</v>
      </c>
      <c r="E656">
        <v>2</v>
      </c>
      <c r="F656">
        <v>45</v>
      </c>
      <c r="G656">
        <v>353</v>
      </c>
      <c r="H656">
        <v>3</v>
      </c>
      <c r="I656">
        <v>0</v>
      </c>
      <c r="J656">
        <v>0</v>
      </c>
      <c r="K656">
        <v>0</v>
      </c>
      <c r="L656">
        <v>0.41</v>
      </c>
      <c r="M656">
        <v>11</v>
      </c>
      <c r="N656">
        <v>33</v>
      </c>
      <c r="O656">
        <v>27</v>
      </c>
      <c r="P656">
        <f t="shared" si="31"/>
        <v>0</v>
      </c>
      <c r="Q656">
        <f t="shared" si="32"/>
        <v>0.10453257790368271</v>
      </c>
    </row>
    <row r="657" spans="1:17" x14ac:dyDescent="0.25">
      <c r="A657" t="str">
        <f t="shared" si="30"/>
        <v>Archie Whitehall</v>
      </c>
      <c r="B657" t="s">
        <v>973</v>
      </c>
      <c r="C657" t="s">
        <v>2501</v>
      </c>
      <c r="D657">
        <v>16</v>
      </c>
      <c r="E657">
        <v>3</v>
      </c>
      <c r="F657">
        <v>45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f t="shared" si="31"/>
        <v>0</v>
      </c>
      <c r="Q657">
        <f t="shared" si="32"/>
        <v>0</v>
      </c>
    </row>
    <row r="658" spans="1:17" x14ac:dyDescent="0.25">
      <c r="A658" t="str">
        <f t="shared" si="30"/>
        <v>Jimmy Sinclair</v>
      </c>
      <c r="B658" t="s">
        <v>2502</v>
      </c>
      <c r="C658" t="s">
        <v>2503</v>
      </c>
      <c r="D658">
        <v>16</v>
      </c>
      <c r="E658">
        <v>3</v>
      </c>
      <c r="F658">
        <v>45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f t="shared" si="31"/>
        <v>0</v>
      </c>
      <c r="Q658">
        <f t="shared" si="32"/>
        <v>0</v>
      </c>
    </row>
    <row r="659" spans="1:17" x14ac:dyDescent="0.25">
      <c r="A659" t="str">
        <f t="shared" si="30"/>
        <v>Lamin Sillah</v>
      </c>
      <c r="B659" t="s">
        <v>2504</v>
      </c>
      <c r="C659" t="s">
        <v>2505</v>
      </c>
      <c r="D659">
        <v>16</v>
      </c>
      <c r="E659">
        <v>4</v>
      </c>
      <c r="F659">
        <v>45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31"/>
        <v>0</v>
      </c>
      <c r="Q659">
        <f t="shared" si="32"/>
        <v>0</v>
      </c>
    </row>
    <row r="660" spans="1:17" x14ac:dyDescent="0.25">
      <c r="A660" t="str">
        <f t="shared" si="30"/>
        <v>Anthony Patterson</v>
      </c>
      <c r="B660" t="s">
        <v>222</v>
      </c>
      <c r="C660" t="s">
        <v>482</v>
      </c>
      <c r="D660">
        <v>17</v>
      </c>
      <c r="E660">
        <v>1</v>
      </c>
      <c r="F660">
        <v>42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31"/>
        <v>0</v>
      </c>
      <c r="Q660">
        <f t="shared" si="32"/>
        <v>0</v>
      </c>
    </row>
    <row r="661" spans="1:17" x14ac:dyDescent="0.25">
      <c r="A661" t="str">
        <f t="shared" si="30"/>
        <v>Simon Moore</v>
      </c>
      <c r="B661" t="s">
        <v>1011</v>
      </c>
      <c r="C661" t="s">
        <v>976</v>
      </c>
      <c r="D661">
        <v>17</v>
      </c>
      <c r="E661">
        <v>1</v>
      </c>
      <c r="F661">
        <v>39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31"/>
        <v>0</v>
      </c>
      <c r="Q661">
        <f t="shared" si="32"/>
        <v>0</v>
      </c>
    </row>
    <row r="662" spans="1:17" x14ac:dyDescent="0.25">
      <c r="A662" t="str">
        <f t="shared" si="30"/>
        <v>Blondy Nna Noukeu</v>
      </c>
      <c r="B662" t="s">
        <v>2506</v>
      </c>
      <c r="C662" t="s">
        <v>2507</v>
      </c>
      <c r="D662">
        <v>17</v>
      </c>
      <c r="E662">
        <v>1</v>
      </c>
      <c r="F662">
        <v>39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31"/>
        <v>0</v>
      </c>
      <c r="Q662">
        <f t="shared" si="32"/>
        <v>0</v>
      </c>
    </row>
    <row r="663" spans="1:17" x14ac:dyDescent="0.25">
      <c r="A663" t="str">
        <f t="shared" si="30"/>
        <v>Daniel Ballard</v>
      </c>
      <c r="B663" t="s">
        <v>416</v>
      </c>
      <c r="C663" t="s">
        <v>989</v>
      </c>
      <c r="D663">
        <v>17</v>
      </c>
      <c r="E663">
        <v>2</v>
      </c>
      <c r="F663">
        <v>46</v>
      </c>
      <c r="G663">
        <v>2144</v>
      </c>
      <c r="H663">
        <v>24</v>
      </c>
      <c r="I663">
        <v>2</v>
      </c>
      <c r="J663">
        <v>2</v>
      </c>
      <c r="K663">
        <v>2.46</v>
      </c>
      <c r="L663">
        <v>0.63</v>
      </c>
      <c r="M663">
        <v>116</v>
      </c>
      <c r="N663">
        <v>340</v>
      </c>
      <c r="O663">
        <v>264</v>
      </c>
      <c r="P663">
        <f t="shared" si="31"/>
        <v>0.10326492537313432</v>
      </c>
      <c r="Q663">
        <f t="shared" si="32"/>
        <v>2.644589552238806E-2</v>
      </c>
    </row>
    <row r="664" spans="1:17" x14ac:dyDescent="0.25">
      <c r="A664" t="str">
        <f t="shared" si="30"/>
        <v>Trai Hume</v>
      </c>
      <c r="B664" t="s">
        <v>992</v>
      </c>
      <c r="C664" t="s">
        <v>993</v>
      </c>
      <c r="D664">
        <v>17</v>
      </c>
      <c r="E664">
        <v>2</v>
      </c>
      <c r="F664">
        <v>45</v>
      </c>
      <c r="G664">
        <v>3032</v>
      </c>
      <c r="H664">
        <v>34</v>
      </c>
      <c r="I664">
        <v>2</v>
      </c>
      <c r="J664">
        <v>1</v>
      </c>
      <c r="K664">
        <v>2.27</v>
      </c>
      <c r="L664">
        <v>2.0499999999999998</v>
      </c>
      <c r="M664">
        <v>110</v>
      </c>
      <c r="N664">
        <v>383</v>
      </c>
      <c r="O664">
        <v>203</v>
      </c>
      <c r="P664">
        <f t="shared" si="31"/>
        <v>6.7381266490765174E-2</v>
      </c>
      <c r="Q664">
        <f t="shared" si="32"/>
        <v>6.0850923482849602E-2</v>
      </c>
    </row>
    <row r="665" spans="1:17" x14ac:dyDescent="0.25">
      <c r="A665" t="str">
        <f t="shared" si="30"/>
        <v>Aji Alese</v>
      </c>
      <c r="B665" t="s">
        <v>2508</v>
      </c>
      <c r="C665" t="s">
        <v>2509</v>
      </c>
      <c r="D665">
        <v>17</v>
      </c>
      <c r="E665">
        <v>2</v>
      </c>
      <c r="F665">
        <v>40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31"/>
        <v>0</v>
      </c>
      <c r="Q665">
        <f t="shared" si="32"/>
        <v>0</v>
      </c>
    </row>
    <row r="666" spans="1:17" x14ac:dyDescent="0.25">
      <c r="A666" t="str">
        <f t="shared" si="30"/>
        <v>Joe Anderson</v>
      </c>
      <c r="B666" t="s">
        <v>585</v>
      </c>
      <c r="C666" t="s">
        <v>792</v>
      </c>
      <c r="D666">
        <v>17</v>
      </c>
      <c r="E666">
        <v>2</v>
      </c>
      <c r="F666">
        <v>38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31"/>
        <v>0</v>
      </c>
      <c r="Q666">
        <f t="shared" si="32"/>
        <v>0</v>
      </c>
    </row>
    <row r="667" spans="1:17" x14ac:dyDescent="0.25">
      <c r="A667" t="str">
        <f t="shared" si="30"/>
        <v>Dennis Cirkin</v>
      </c>
      <c r="B667" t="s">
        <v>134</v>
      </c>
      <c r="C667" t="s">
        <v>2510</v>
      </c>
      <c r="D667">
        <v>17</v>
      </c>
      <c r="E667">
        <v>2</v>
      </c>
      <c r="F667">
        <v>40</v>
      </c>
      <c r="G667">
        <v>319</v>
      </c>
      <c r="H667">
        <v>3</v>
      </c>
      <c r="I667">
        <v>0</v>
      </c>
      <c r="J667">
        <v>0</v>
      </c>
      <c r="K667">
        <v>0.08</v>
      </c>
      <c r="L667">
        <v>0.02</v>
      </c>
      <c r="M667">
        <v>14</v>
      </c>
      <c r="N667">
        <v>43</v>
      </c>
      <c r="O667">
        <v>28</v>
      </c>
      <c r="P667">
        <f t="shared" si="31"/>
        <v>2.2570532915360503E-2</v>
      </c>
      <c r="Q667">
        <f t="shared" si="32"/>
        <v>5.6426332288401259E-3</v>
      </c>
    </row>
    <row r="668" spans="1:17" x14ac:dyDescent="0.25">
      <c r="A668" t="str">
        <f t="shared" si="30"/>
        <v>Leo Fuhr Hjelde</v>
      </c>
      <c r="B668" t="s">
        <v>999</v>
      </c>
      <c r="C668" t="s">
        <v>1000</v>
      </c>
      <c r="D668">
        <v>17</v>
      </c>
      <c r="E668">
        <v>2</v>
      </c>
      <c r="F668">
        <v>40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f t="shared" si="31"/>
        <v>0</v>
      </c>
      <c r="Q668">
        <f t="shared" si="32"/>
        <v>0</v>
      </c>
    </row>
    <row r="669" spans="1:17" x14ac:dyDescent="0.25">
      <c r="A669" t="str">
        <f t="shared" si="30"/>
        <v>Niall Huggins</v>
      </c>
      <c r="B669" t="s">
        <v>2511</v>
      </c>
      <c r="C669" t="s">
        <v>2512</v>
      </c>
      <c r="D669">
        <v>17</v>
      </c>
      <c r="E669">
        <v>2</v>
      </c>
      <c r="F669">
        <v>40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31"/>
        <v>0</v>
      </c>
      <c r="Q669">
        <f t="shared" si="32"/>
        <v>0</v>
      </c>
    </row>
    <row r="670" spans="1:17" x14ac:dyDescent="0.25">
      <c r="A670" t="str">
        <f t="shared" si="30"/>
        <v>Zak Johnson</v>
      </c>
      <c r="B670" t="s">
        <v>1574</v>
      </c>
      <c r="C670" t="s">
        <v>471</v>
      </c>
      <c r="D670">
        <v>17</v>
      </c>
      <c r="E670">
        <v>2</v>
      </c>
      <c r="F670">
        <v>38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f t="shared" si="31"/>
        <v>0</v>
      </c>
      <c r="Q670">
        <f t="shared" si="32"/>
        <v>0</v>
      </c>
    </row>
    <row r="671" spans="1:17" x14ac:dyDescent="0.25">
      <c r="A671" t="str">
        <f t="shared" si="30"/>
        <v>Luke O'Nien</v>
      </c>
      <c r="B671" t="s">
        <v>375</v>
      </c>
      <c r="C671" t="s">
        <v>1001</v>
      </c>
      <c r="D671">
        <v>17</v>
      </c>
      <c r="E671">
        <v>2</v>
      </c>
      <c r="F671">
        <v>40</v>
      </c>
      <c r="G671">
        <v>565</v>
      </c>
      <c r="H671">
        <v>5</v>
      </c>
      <c r="I671">
        <v>0</v>
      </c>
      <c r="J671">
        <v>1</v>
      </c>
      <c r="K671">
        <v>0.15</v>
      </c>
      <c r="L671">
        <v>0.13</v>
      </c>
      <c r="M671">
        <v>26</v>
      </c>
      <c r="N671">
        <v>90</v>
      </c>
      <c r="O671">
        <v>43</v>
      </c>
      <c r="P671">
        <f t="shared" si="31"/>
        <v>2.3893805309734509E-2</v>
      </c>
      <c r="Q671">
        <f t="shared" si="32"/>
        <v>2.0707964601769914E-2</v>
      </c>
    </row>
    <row r="672" spans="1:17" x14ac:dyDescent="0.25">
      <c r="A672" t="str">
        <f t="shared" si="30"/>
        <v>Timothée Pembélé</v>
      </c>
      <c r="B672" t="s">
        <v>2513</v>
      </c>
      <c r="C672" t="s">
        <v>2514</v>
      </c>
      <c r="D672">
        <v>17</v>
      </c>
      <c r="E672">
        <v>2</v>
      </c>
      <c r="F672">
        <v>39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31"/>
        <v>0</v>
      </c>
      <c r="Q672">
        <f t="shared" si="32"/>
        <v>0</v>
      </c>
    </row>
    <row r="673" spans="1:17" x14ac:dyDescent="0.25">
      <c r="A673" t="str">
        <f t="shared" si="30"/>
        <v>Reinildo Mandava</v>
      </c>
      <c r="B673" t="s">
        <v>995</v>
      </c>
      <c r="C673" t="s">
        <v>996</v>
      </c>
      <c r="D673">
        <v>17</v>
      </c>
      <c r="E673">
        <v>2</v>
      </c>
      <c r="F673">
        <v>38</v>
      </c>
      <c r="G673">
        <v>1966</v>
      </c>
      <c r="H673">
        <v>23</v>
      </c>
      <c r="I673">
        <v>0</v>
      </c>
      <c r="J673">
        <v>2</v>
      </c>
      <c r="K673">
        <v>0.13</v>
      </c>
      <c r="L673">
        <v>0.62</v>
      </c>
      <c r="M673">
        <v>74</v>
      </c>
      <c r="N673">
        <v>281</v>
      </c>
      <c r="O673">
        <v>164</v>
      </c>
      <c r="P673">
        <f t="shared" si="31"/>
        <v>5.9511698880976606E-3</v>
      </c>
      <c r="Q673">
        <f t="shared" si="32"/>
        <v>2.8382502543234996E-2</v>
      </c>
    </row>
    <row r="674" spans="1:17" x14ac:dyDescent="0.25">
      <c r="A674" t="str">
        <f t="shared" si="30"/>
        <v>Jenson Seelt</v>
      </c>
      <c r="B674" t="s">
        <v>997</v>
      </c>
      <c r="C674" t="s">
        <v>998</v>
      </c>
      <c r="D674">
        <v>17</v>
      </c>
      <c r="E674">
        <v>2</v>
      </c>
      <c r="F674">
        <v>40</v>
      </c>
      <c r="G674">
        <v>133</v>
      </c>
      <c r="H674">
        <v>1</v>
      </c>
      <c r="I674">
        <v>0</v>
      </c>
      <c r="J674">
        <v>0</v>
      </c>
      <c r="K674">
        <v>0</v>
      </c>
      <c r="L674">
        <v>0.01</v>
      </c>
      <c r="M674">
        <v>2</v>
      </c>
      <c r="N674">
        <v>11</v>
      </c>
      <c r="O674">
        <v>12</v>
      </c>
      <c r="P674">
        <f t="shared" si="31"/>
        <v>0</v>
      </c>
      <c r="Q674">
        <f t="shared" si="32"/>
        <v>6.7669172932330827E-3</v>
      </c>
    </row>
    <row r="675" spans="1:17" x14ac:dyDescent="0.25">
      <c r="A675" t="str">
        <f t="shared" si="30"/>
        <v>Simon Adingra</v>
      </c>
      <c r="B675" t="s">
        <v>1011</v>
      </c>
      <c r="C675" t="s">
        <v>1012</v>
      </c>
      <c r="D675">
        <v>17</v>
      </c>
      <c r="E675">
        <v>3</v>
      </c>
      <c r="F675">
        <v>49</v>
      </c>
      <c r="G675">
        <v>649</v>
      </c>
      <c r="H675">
        <v>9</v>
      </c>
      <c r="I675">
        <v>1</v>
      </c>
      <c r="J675">
        <v>1</v>
      </c>
      <c r="K675">
        <v>0.35</v>
      </c>
      <c r="L675">
        <v>0.62</v>
      </c>
      <c r="M675">
        <v>34</v>
      </c>
      <c r="N675">
        <v>81</v>
      </c>
      <c r="O675">
        <v>45</v>
      </c>
      <c r="P675">
        <f t="shared" si="31"/>
        <v>4.8536209553158703E-2</v>
      </c>
      <c r="Q675">
        <f t="shared" si="32"/>
        <v>8.5978428351309713E-2</v>
      </c>
    </row>
    <row r="676" spans="1:17" x14ac:dyDescent="0.25">
      <c r="A676" t="str">
        <f t="shared" si="30"/>
        <v>Habib Diarra</v>
      </c>
      <c r="B676" t="s">
        <v>1006</v>
      </c>
      <c r="C676" t="s">
        <v>1007</v>
      </c>
      <c r="D676">
        <v>17</v>
      </c>
      <c r="E676">
        <v>3</v>
      </c>
      <c r="F676">
        <v>53</v>
      </c>
      <c r="G676">
        <v>1403</v>
      </c>
      <c r="H676">
        <v>15</v>
      </c>
      <c r="I676">
        <v>2</v>
      </c>
      <c r="J676">
        <v>6</v>
      </c>
      <c r="K676">
        <v>3.27</v>
      </c>
      <c r="L676">
        <v>0.85</v>
      </c>
      <c r="M676">
        <v>65</v>
      </c>
      <c r="N676">
        <v>209</v>
      </c>
      <c r="O676">
        <v>79</v>
      </c>
      <c r="P676">
        <f t="shared" si="31"/>
        <v>0.20976478973627941</v>
      </c>
      <c r="Q676">
        <f t="shared" si="32"/>
        <v>5.4526015680684242E-2</v>
      </c>
    </row>
    <row r="677" spans="1:17" x14ac:dyDescent="0.25">
      <c r="A677" t="str">
        <f t="shared" si="30"/>
        <v>Patrick Roberts</v>
      </c>
      <c r="B677" t="s">
        <v>806</v>
      </c>
      <c r="C677" t="s">
        <v>1492</v>
      </c>
      <c r="D677">
        <v>17</v>
      </c>
      <c r="E677">
        <v>3</v>
      </c>
      <c r="F677">
        <v>54</v>
      </c>
      <c r="G677">
        <v>27</v>
      </c>
      <c r="H677">
        <v>0</v>
      </c>
      <c r="I677">
        <v>0</v>
      </c>
      <c r="J677">
        <v>0</v>
      </c>
      <c r="K677">
        <v>0.03</v>
      </c>
      <c r="L677">
        <v>0.02</v>
      </c>
      <c r="M677">
        <v>1</v>
      </c>
      <c r="N677">
        <v>4</v>
      </c>
      <c r="O677">
        <v>1</v>
      </c>
      <c r="P677">
        <f t="shared" si="31"/>
        <v>0.1</v>
      </c>
      <c r="Q677">
        <f t="shared" si="32"/>
        <v>6.6666666666666666E-2</v>
      </c>
    </row>
    <row r="678" spans="1:17" x14ac:dyDescent="0.25">
      <c r="A678" t="str">
        <f t="shared" si="30"/>
        <v>Milan Aleksić</v>
      </c>
      <c r="B678" t="s">
        <v>366</v>
      </c>
      <c r="C678" t="s">
        <v>2515</v>
      </c>
      <c r="D678">
        <v>17</v>
      </c>
      <c r="E678">
        <v>3</v>
      </c>
      <c r="F678">
        <v>49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31"/>
        <v>0</v>
      </c>
      <c r="Q678">
        <f t="shared" si="32"/>
        <v>0</v>
      </c>
    </row>
    <row r="679" spans="1:17" x14ac:dyDescent="0.25">
      <c r="A679" t="str">
        <f t="shared" si="30"/>
        <v>Enzo Le Fée</v>
      </c>
      <c r="B679" t="s">
        <v>319</v>
      </c>
      <c r="C679" t="s">
        <v>1005</v>
      </c>
      <c r="D679">
        <v>17</v>
      </c>
      <c r="E679">
        <v>3</v>
      </c>
      <c r="F679">
        <v>48</v>
      </c>
      <c r="G679">
        <v>2930</v>
      </c>
      <c r="H679">
        <v>33</v>
      </c>
      <c r="I679">
        <v>5</v>
      </c>
      <c r="J679">
        <v>6</v>
      </c>
      <c r="K679">
        <v>5.22</v>
      </c>
      <c r="L679">
        <v>5.95</v>
      </c>
      <c r="M679">
        <v>147</v>
      </c>
      <c r="N679">
        <v>621</v>
      </c>
      <c r="O679">
        <v>319</v>
      </c>
      <c r="P679">
        <f t="shared" si="31"/>
        <v>0.16034129692832763</v>
      </c>
      <c r="Q679">
        <f t="shared" si="32"/>
        <v>0.18276450511945394</v>
      </c>
    </row>
    <row r="680" spans="1:17" x14ac:dyDescent="0.25">
      <c r="A680" t="str">
        <f t="shared" si="30"/>
        <v>Romaine Mundle</v>
      </c>
      <c r="B680" t="s">
        <v>1013</v>
      </c>
      <c r="C680" t="s">
        <v>1014</v>
      </c>
      <c r="D680">
        <v>17</v>
      </c>
      <c r="E680">
        <v>3</v>
      </c>
      <c r="F680">
        <v>49</v>
      </c>
      <c r="G680">
        <v>399</v>
      </c>
      <c r="H680">
        <v>2</v>
      </c>
      <c r="I680">
        <v>0</v>
      </c>
      <c r="J680">
        <v>0</v>
      </c>
      <c r="K680">
        <v>0.87</v>
      </c>
      <c r="L680">
        <v>0.48</v>
      </c>
      <c r="M680">
        <v>14</v>
      </c>
      <c r="N680">
        <v>42</v>
      </c>
      <c r="O680">
        <v>33</v>
      </c>
      <c r="P680">
        <f t="shared" si="31"/>
        <v>0.19624060150375938</v>
      </c>
      <c r="Q680">
        <f t="shared" si="32"/>
        <v>0.10827067669172932</v>
      </c>
    </row>
    <row r="681" spans="1:17" x14ac:dyDescent="0.25">
      <c r="A681" t="str">
        <f t="shared" si="30"/>
        <v>Dan Neil</v>
      </c>
      <c r="B681" t="s">
        <v>858</v>
      </c>
      <c r="C681" t="s">
        <v>2516</v>
      </c>
      <c r="D681">
        <v>17</v>
      </c>
      <c r="E681">
        <v>3</v>
      </c>
      <c r="F681">
        <v>48</v>
      </c>
      <c r="G681">
        <v>13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</v>
      </c>
      <c r="N681">
        <v>10</v>
      </c>
      <c r="O681">
        <v>2</v>
      </c>
      <c r="P681">
        <f t="shared" si="31"/>
        <v>0</v>
      </c>
      <c r="Q681">
        <f t="shared" si="32"/>
        <v>0</v>
      </c>
    </row>
    <row r="682" spans="1:17" x14ac:dyDescent="0.25">
      <c r="A682" t="str">
        <f t="shared" si="30"/>
        <v>Ian Poveda-Ocampo</v>
      </c>
      <c r="B682" t="s">
        <v>90</v>
      </c>
      <c r="C682" t="s">
        <v>2517</v>
      </c>
      <c r="D682">
        <v>17</v>
      </c>
      <c r="E682">
        <v>3</v>
      </c>
      <c r="F682">
        <v>47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f t="shared" si="31"/>
        <v>0</v>
      </c>
      <c r="Q682">
        <f t="shared" si="32"/>
        <v>0</v>
      </c>
    </row>
    <row r="683" spans="1:17" x14ac:dyDescent="0.25">
      <c r="A683" t="str">
        <f t="shared" si="30"/>
        <v>Chris Rigg</v>
      </c>
      <c r="B683" t="s">
        <v>418</v>
      </c>
      <c r="C683" t="s">
        <v>1015</v>
      </c>
      <c r="D683">
        <v>17</v>
      </c>
      <c r="E683">
        <v>3</v>
      </c>
      <c r="F683">
        <v>47</v>
      </c>
      <c r="G683">
        <v>758</v>
      </c>
      <c r="H683">
        <v>11</v>
      </c>
      <c r="I683">
        <v>1</v>
      </c>
      <c r="J683">
        <v>1</v>
      </c>
      <c r="K683">
        <v>0.86</v>
      </c>
      <c r="L683">
        <v>0.93</v>
      </c>
      <c r="M683">
        <v>36</v>
      </c>
      <c r="N683">
        <v>136</v>
      </c>
      <c r="O683">
        <v>57</v>
      </c>
      <c r="P683">
        <f t="shared" si="31"/>
        <v>0.10211081794195251</v>
      </c>
      <c r="Q683">
        <f t="shared" si="32"/>
        <v>0.11042216358839049</v>
      </c>
    </row>
    <row r="684" spans="1:17" x14ac:dyDescent="0.25">
      <c r="A684" t="str">
        <f t="shared" si="30"/>
        <v>Noah Sadiki</v>
      </c>
      <c r="B684" t="s">
        <v>668</v>
      </c>
      <c r="C684" t="s">
        <v>1010</v>
      </c>
      <c r="D684">
        <v>17</v>
      </c>
      <c r="E684">
        <v>3</v>
      </c>
      <c r="F684">
        <v>49</v>
      </c>
      <c r="G684">
        <v>2891</v>
      </c>
      <c r="H684">
        <v>33</v>
      </c>
      <c r="I684">
        <v>0</v>
      </c>
      <c r="J684">
        <v>2</v>
      </c>
      <c r="K684">
        <v>1.43</v>
      </c>
      <c r="L684">
        <v>1.46</v>
      </c>
      <c r="M684">
        <v>80</v>
      </c>
      <c r="N684">
        <v>410</v>
      </c>
      <c r="O684">
        <v>248</v>
      </c>
      <c r="P684">
        <f t="shared" si="31"/>
        <v>4.4517468004150816E-2</v>
      </c>
      <c r="Q684">
        <f t="shared" si="32"/>
        <v>4.5451400899342791E-2</v>
      </c>
    </row>
    <row r="685" spans="1:17" x14ac:dyDescent="0.25">
      <c r="A685" t="str">
        <f t="shared" si="30"/>
        <v>Chemsdine Talbi</v>
      </c>
      <c r="B685" t="s">
        <v>1016</v>
      </c>
      <c r="C685" t="s">
        <v>1017</v>
      </c>
      <c r="D685">
        <v>17</v>
      </c>
      <c r="E685">
        <v>3</v>
      </c>
      <c r="F685">
        <v>49</v>
      </c>
      <c r="G685">
        <v>1553</v>
      </c>
      <c r="H685">
        <v>16</v>
      </c>
      <c r="I685">
        <v>4</v>
      </c>
      <c r="J685">
        <v>2</v>
      </c>
      <c r="K685">
        <v>2.13</v>
      </c>
      <c r="L685">
        <v>1.18</v>
      </c>
      <c r="M685">
        <v>83</v>
      </c>
      <c r="N685">
        <v>248</v>
      </c>
      <c r="O685">
        <v>92</v>
      </c>
      <c r="P685">
        <f t="shared" si="31"/>
        <v>0.12343850611719252</v>
      </c>
      <c r="Q685">
        <f t="shared" si="32"/>
        <v>6.8383773341918863E-2</v>
      </c>
    </row>
    <row r="686" spans="1:17" x14ac:dyDescent="0.25">
      <c r="A686" t="str">
        <f t="shared" si="30"/>
        <v>Abdoullah Ba</v>
      </c>
      <c r="B686" t="s">
        <v>2518</v>
      </c>
      <c r="C686" t="s">
        <v>2519</v>
      </c>
      <c r="D686">
        <v>17</v>
      </c>
      <c r="E686">
        <v>3</v>
      </c>
      <c r="F686">
        <v>43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f t="shared" si="31"/>
        <v>0</v>
      </c>
      <c r="Q686">
        <f t="shared" si="32"/>
        <v>0</v>
      </c>
    </row>
    <row r="687" spans="1:17" x14ac:dyDescent="0.25">
      <c r="A687" t="str">
        <f t="shared" si="30"/>
        <v>Alan Browne</v>
      </c>
      <c r="B687" t="s">
        <v>2520</v>
      </c>
      <c r="C687" t="s">
        <v>2521</v>
      </c>
      <c r="D687">
        <v>17</v>
      </c>
      <c r="E687">
        <v>3</v>
      </c>
      <c r="F687">
        <v>45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31"/>
        <v>0</v>
      </c>
      <c r="Q687">
        <f t="shared" si="32"/>
        <v>0</v>
      </c>
    </row>
    <row r="688" spans="1:17" x14ac:dyDescent="0.25">
      <c r="A688" t="str">
        <f t="shared" si="30"/>
        <v>Pierre Ekwah Elimby</v>
      </c>
      <c r="B688" t="s">
        <v>2522</v>
      </c>
      <c r="C688" t="s">
        <v>2523</v>
      </c>
      <c r="D688">
        <v>17</v>
      </c>
      <c r="E688">
        <v>3</v>
      </c>
      <c r="F688">
        <v>45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f t="shared" si="31"/>
        <v>0</v>
      </c>
      <c r="Q688">
        <f t="shared" si="32"/>
        <v>0</v>
      </c>
    </row>
    <row r="689" spans="1:17" x14ac:dyDescent="0.25">
      <c r="A689" t="str">
        <f t="shared" si="30"/>
        <v>Harrison Jones</v>
      </c>
      <c r="B689" t="s">
        <v>493</v>
      </c>
      <c r="C689" t="s">
        <v>730</v>
      </c>
      <c r="D689">
        <v>17</v>
      </c>
      <c r="E689">
        <v>3</v>
      </c>
      <c r="F689">
        <v>43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31"/>
        <v>0</v>
      </c>
      <c r="Q689">
        <f t="shared" si="32"/>
        <v>0</v>
      </c>
    </row>
    <row r="690" spans="1:17" x14ac:dyDescent="0.25">
      <c r="A690" t="str">
        <f t="shared" si="30"/>
        <v>Jay Matete</v>
      </c>
      <c r="B690" t="s">
        <v>368</v>
      </c>
      <c r="C690" t="s">
        <v>2524</v>
      </c>
      <c r="D690">
        <v>17</v>
      </c>
      <c r="E690">
        <v>3</v>
      </c>
      <c r="F690">
        <v>43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31"/>
        <v>0</v>
      </c>
      <c r="Q690">
        <f t="shared" si="32"/>
        <v>0</v>
      </c>
    </row>
    <row r="691" spans="1:17" x14ac:dyDescent="0.25">
      <c r="A691" t="str">
        <f t="shared" si="30"/>
        <v>Nectarios Triantis</v>
      </c>
      <c r="B691" t="s">
        <v>2525</v>
      </c>
      <c r="C691" t="s">
        <v>2526</v>
      </c>
      <c r="D691">
        <v>17</v>
      </c>
      <c r="E691">
        <v>3</v>
      </c>
      <c r="F691">
        <v>44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 t="shared" si="31"/>
        <v>0</v>
      </c>
      <c r="Q691">
        <f t="shared" si="32"/>
        <v>0</v>
      </c>
    </row>
    <row r="692" spans="1:17" x14ac:dyDescent="0.25">
      <c r="A692" t="str">
        <f t="shared" si="30"/>
        <v>Wilson Isidor</v>
      </c>
      <c r="B692" t="s">
        <v>228</v>
      </c>
      <c r="C692" t="s">
        <v>1023</v>
      </c>
      <c r="D692">
        <v>17</v>
      </c>
      <c r="E692">
        <v>4</v>
      </c>
      <c r="F692">
        <v>50</v>
      </c>
      <c r="G692">
        <v>1148</v>
      </c>
      <c r="H692">
        <v>11</v>
      </c>
      <c r="I692">
        <v>6</v>
      </c>
      <c r="J692">
        <v>1</v>
      </c>
      <c r="K692">
        <v>4.7</v>
      </c>
      <c r="L692">
        <v>0.38</v>
      </c>
      <c r="M692">
        <v>74</v>
      </c>
      <c r="N692">
        <v>266</v>
      </c>
      <c r="O692">
        <v>51</v>
      </c>
      <c r="P692">
        <f t="shared" si="31"/>
        <v>0.36846689895470386</v>
      </c>
      <c r="Q692">
        <f t="shared" si="32"/>
        <v>2.9790940766550523E-2</v>
      </c>
    </row>
    <row r="693" spans="1:17" x14ac:dyDescent="0.25">
      <c r="A693" t="str">
        <f t="shared" si="30"/>
        <v>Eliezer Mayenda Dossou</v>
      </c>
      <c r="B693" t="s">
        <v>2527</v>
      </c>
      <c r="C693" t="s">
        <v>2528</v>
      </c>
      <c r="D693">
        <v>17</v>
      </c>
      <c r="E693">
        <v>4</v>
      </c>
      <c r="F693">
        <v>51</v>
      </c>
      <c r="G693">
        <v>751</v>
      </c>
      <c r="H693">
        <v>8</v>
      </c>
      <c r="I693">
        <v>2</v>
      </c>
      <c r="J693">
        <v>0</v>
      </c>
      <c r="K693">
        <v>2.13</v>
      </c>
      <c r="L693">
        <v>0.22</v>
      </c>
      <c r="M693">
        <v>40</v>
      </c>
      <c r="N693">
        <v>124</v>
      </c>
      <c r="O693">
        <v>26</v>
      </c>
      <c r="P693">
        <f t="shared" si="31"/>
        <v>0.25525965379494009</v>
      </c>
      <c r="Q693">
        <f t="shared" si="32"/>
        <v>2.6364846870838884E-2</v>
      </c>
    </row>
    <row r="694" spans="1:17" x14ac:dyDescent="0.25">
      <c r="A694" t="str">
        <f t="shared" si="30"/>
        <v>Ahmed Abdullahi</v>
      </c>
      <c r="B694" t="s">
        <v>2529</v>
      </c>
      <c r="C694" t="s">
        <v>2530</v>
      </c>
      <c r="D694">
        <v>17</v>
      </c>
      <c r="E694">
        <v>4</v>
      </c>
      <c r="F694">
        <v>42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 t="shared" si="31"/>
        <v>0</v>
      </c>
      <c r="Q694">
        <f t="shared" si="32"/>
        <v>0</v>
      </c>
    </row>
    <row r="695" spans="1:17" x14ac:dyDescent="0.25">
      <c r="A695" t="str">
        <f t="shared" si="30"/>
        <v>Luís Hemir Silva Semedo</v>
      </c>
      <c r="B695" t="s">
        <v>2531</v>
      </c>
      <c r="C695" t="s">
        <v>2532</v>
      </c>
      <c r="D695">
        <v>17</v>
      </c>
      <c r="E695">
        <v>4</v>
      </c>
      <c r="F695">
        <v>44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31"/>
        <v>0</v>
      </c>
      <c r="Q695">
        <f t="shared" si="32"/>
        <v>0</v>
      </c>
    </row>
    <row r="696" spans="1:17" x14ac:dyDescent="0.25">
      <c r="A696" t="str">
        <f t="shared" si="30"/>
        <v>Nazarii Rusyn</v>
      </c>
      <c r="B696" t="s">
        <v>2533</v>
      </c>
      <c r="C696" t="s">
        <v>2534</v>
      </c>
      <c r="D696">
        <v>17</v>
      </c>
      <c r="E696">
        <v>4</v>
      </c>
      <c r="F696">
        <v>44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 t="shared" si="31"/>
        <v>0</v>
      </c>
      <c r="Q696">
        <f t="shared" si="32"/>
        <v>0</v>
      </c>
    </row>
    <row r="697" spans="1:17" x14ac:dyDescent="0.25">
      <c r="A697" t="str">
        <f t="shared" si="30"/>
        <v>Granit Xhaka</v>
      </c>
      <c r="B697" t="s">
        <v>1008</v>
      </c>
      <c r="C697" t="s">
        <v>1009</v>
      </c>
      <c r="D697">
        <v>17</v>
      </c>
      <c r="E697">
        <v>3</v>
      </c>
      <c r="F697">
        <v>51</v>
      </c>
      <c r="G697">
        <v>2901</v>
      </c>
      <c r="H697">
        <v>32</v>
      </c>
      <c r="I697">
        <v>1</v>
      </c>
      <c r="J697">
        <v>6</v>
      </c>
      <c r="K697">
        <v>1.01</v>
      </c>
      <c r="L697">
        <v>3.73</v>
      </c>
      <c r="M697">
        <v>124</v>
      </c>
      <c r="N697">
        <v>603</v>
      </c>
      <c r="O697">
        <v>362</v>
      </c>
      <c r="P697">
        <f t="shared" si="31"/>
        <v>3.1334022750775598E-2</v>
      </c>
      <c r="Q697">
        <f t="shared" si="32"/>
        <v>0.11571871768355739</v>
      </c>
    </row>
    <row r="698" spans="1:17" x14ac:dyDescent="0.25">
      <c r="A698" t="str">
        <f t="shared" si="30"/>
        <v>Robin Roefs</v>
      </c>
      <c r="B698" t="s">
        <v>985</v>
      </c>
      <c r="C698" t="s">
        <v>986</v>
      </c>
      <c r="D698">
        <v>17</v>
      </c>
      <c r="E698">
        <v>1</v>
      </c>
      <c r="F698">
        <v>48</v>
      </c>
      <c r="G698">
        <v>3150</v>
      </c>
      <c r="H698">
        <v>35</v>
      </c>
      <c r="I698">
        <v>0</v>
      </c>
      <c r="J698">
        <v>0</v>
      </c>
      <c r="K698">
        <v>0</v>
      </c>
      <c r="L698">
        <v>0.1</v>
      </c>
      <c r="M698">
        <v>136</v>
      </c>
      <c r="N698">
        <v>573</v>
      </c>
      <c r="O698">
        <v>0</v>
      </c>
      <c r="P698">
        <f t="shared" si="31"/>
        <v>0</v>
      </c>
      <c r="Q698">
        <f t="shared" si="32"/>
        <v>2.8571428571428571E-3</v>
      </c>
    </row>
    <row r="699" spans="1:17" x14ac:dyDescent="0.25">
      <c r="A699" t="str">
        <f t="shared" si="30"/>
        <v>Arthur Masuaku</v>
      </c>
      <c r="B699" t="s">
        <v>1002</v>
      </c>
      <c r="C699" t="s">
        <v>1003</v>
      </c>
      <c r="D699">
        <v>17</v>
      </c>
      <c r="E699">
        <v>2</v>
      </c>
      <c r="F699">
        <v>39</v>
      </c>
      <c r="G699">
        <v>125</v>
      </c>
      <c r="H699">
        <v>2</v>
      </c>
      <c r="I699">
        <v>0</v>
      </c>
      <c r="J699">
        <v>0</v>
      </c>
      <c r="K699">
        <v>7.0000000000000007E-2</v>
      </c>
      <c r="L699">
        <v>0.08</v>
      </c>
      <c r="M699">
        <v>1</v>
      </c>
      <c r="N699">
        <v>4</v>
      </c>
      <c r="O699">
        <v>10</v>
      </c>
      <c r="P699">
        <f t="shared" si="31"/>
        <v>5.0400000000000007E-2</v>
      </c>
      <c r="Q699">
        <f t="shared" si="32"/>
        <v>5.7600000000000005E-2</v>
      </c>
    </row>
    <row r="700" spans="1:17" x14ac:dyDescent="0.25">
      <c r="A700" t="str">
        <f t="shared" si="30"/>
        <v>Omar Alderete</v>
      </c>
      <c r="B700" t="s">
        <v>774</v>
      </c>
      <c r="C700" t="s">
        <v>994</v>
      </c>
      <c r="D700">
        <v>17</v>
      </c>
      <c r="E700">
        <v>2</v>
      </c>
      <c r="F700">
        <v>41</v>
      </c>
      <c r="G700">
        <v>2797</v>
      </c>
      <c r="H700">
        <v>32</v>
      </c>
      <c r="I700">
        <v>1</v>
      </c>
      <c r="J700">
        <v>1</v>
      </c>
      <c r="K700">
        <v>1.62</v>
      </c>
      <c r="L700">
        <v>0.91</v>
      </c>
      <c r="M700">
        <v>125</v>
      </c>
      <c r="N700">
        <v>400</v>
      </c>
      <c r="O700">
        <v>312</v>
      </c>
      <c r="P700">
        <f t="shared" si="31"/>
        <v>5.2127279227744017E-2</v>
      </c>
      <c r="Q700">
        <f t="shared" si="32"/>
        <v>2.9281372899535214E-2</v>
      </c>
    </row>
    <row r="701" spans="1:17" x14ac:dyDescent="0.25">
      <c r="A701" t="str">
        <f t="shared" si="30"/>
        <v>Nordi Mukiele</v>
      </c>
      <c r="B701" t="s">
        <v>990</v>
      </c>
      <c r="C701" t="s">
        <v>991</v>
      </c>
      <c r="D701">
        <v>17</v>
      </c>
      <c r="E701">
        <v>2</v>
      </c>
      <c r="F701">
        <v>46</v>
      </c>
      <c r="G701">
        <v>2784</v>
      </c>
      <c r="H701">
        <v>32</v>
      </c>
      <c r="I701">
        <v>3</v>
      </c>
      <c r="J701">
        <v>5</v>
      </c>
      <c r="K701">
        <v>1.62</v>
      </c>
      <c r="L701">
        <v>2.65</v>
      </c>
      <c r="M701">
        <v>151</v>
      </c>
      <c r="N701">
        <v>489</v>
      </c>
      <c r="O701">
        <v>273</v>
      </c>
      <c r="P701">
        <f t="shared" si="31"/>
        <v>5.2370689655172421E-2</v>
      </c>
      <c r="Q701">
        <f t="shared" si="32"/>
        <v>8.5668103448275856E-2</v>
      </c>
    </row>
    <row r="702" spans="1:17" x14ac:dyDescent="0.25">
      <c r="A702" t="str">
        <f t="shared" si="30"/>
        <v>Lutsharel Geertruida</v>
      </c>
      <c r="B702" t="s">
        <v>2535</v>
      </c>
      <c r="C702" t="s">
        <v>2536</v>
      </c>
      <c r="D702">
        <v>17</v>
      </c>
      <c r="E702">
        <v>2</v>
      </c>
      <c r="F702">
        <v>45</v>
      </c>
      <c r="G702">
        <v>1681</v>
      </c>
      <c r="H702">
        <v>17</v>
      </c>
      <c r="I702">
        <v>0</v>
      </c>
      <c r="J702">
        <v>0</v>
      </c>
      <c r="K702">
        <v>0.79</v>
      </c>
      <c r="L702">
        <v>0.85</v>
      </c>
      <c r="M702">
        <v>55</v>
      </c>
      <c r="N702">
        <v>231</v>
      </c>
      <c r="O702">
        <v>113</v>
      </c>
      <c r="P702">
        <f t="shared" si="31"/>
        <v>4.2296252230814992E-2</v>
      </c>
      <c r="Q702">
        <f t="shared" si="32"/>
        <v>4.5508625817965498E-2</v>
      </c>
    </row>
    <row r="703" spans="1:17" x14ac:dyDescent="0.25">
      <c r="A703" t="str">
        <f t="shared" si="30"/>
        <v>Brian Brobbey</v>
      </c>
      <c r="B703" t="s">
        <v>127</v>
      </c>
      <c r="C703" t="s">
        <v>1022</v>
      </c>
      <c r="D703">
        <v>17</v>
      </c>
      <c r="E703">
        <v>4</v>
      </c>
      <c r="F703">
        <v>53</v>
      </c>
      <c r="G703">
        <v>1920</v>
      </c>
      <c r="H703">
        <v>22</v>
      </c>
      <c r="I703">
        <v>7</v>
      </c>
      <c r="J703">
        <v>2</v>
      </c>
      <c r="K703">
        <v>6.02</v>
      </c>
      <c r="L703">
        <v>0.67</v>
      </c>
      <c r="M703">
        <v>92</v>
      </c>
      <c r="N703">
        <v>309</v>
      </c>
      <c r="O703">
        <v>74</v>
      </c>
      <c r="P703">
        <f t="shared" si="31"/>
        <v>0.28218749999999998</v>
      </c>
      <c r="Q703">
        <f t="shared" si="32"/>
        <v>3.1406250000000004E-2</v>
      </c>
    </row>
    <row r="704" spans="1:17" x14ac:dyDescent="0.25">
      <c r="A704" t="str">
        <f t="shared" si="30"/>
        <v>Bertrand Traoré</v>
      </c>
      <c r="B704" t="s">
        <v>1322</v>
      </c>
      <c r="C704" t="s">
        <v>1323</v>
      </c>
      <c r="D704">
        <v>17</v>
      </c>
      <c r="E704">
        <v>3</v>
      </c>
      <c r="F704">
        <v>55</v>
      </c>
      <c r="G704">
        <v>634</v>
      </c>
      <c r="H704">
        <v>9</v>
      </c>
      <c r="I704">
        <v>1</v>
      </c>
      <c r="J704">
        <v>1</v>
      </c>
      <c r="K704">
        <v>0.48</v>
      </c>
      <c r="L704">
        <v>0.25</v>
      </c>
      <c r="M704">
        <v>30</v>
      </c>
      <c r="N704">
        <v>118</v>
      </c>
      <c r="O704">
        <v>40</v>
      </c>
      <c r="P704">
        <f t="shared" si="31"/>
        <v>6.8138801261829654E-2</v>
      </c>
      <c r="Q704">
        <f t="shared" si="32"/>
        <v>3.5488958990536279E-2</v>
      </c>
    </row>
    <row r="705" spans="1:17" x14ac:dyDescent="0.25">
      <c r="A705" t="str">
        <f t="shared" si="30"/>
        <v>Jenson Jones</v>
      </c>
      <c r="B705" t="s">
        <v>997</v>
      </c>
      <c r="C705" t="s">
        <v>730</v>
      </c>
      <c r="D705">
        <v>17</v>
      </c>
      <c r="E705">
        <v>2</v>
      </c>
      <c r="F705">
        <v>40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f t="shared" si="31"/>
        <v>0</v>
      </c>
      <c r="Q705">
        <f t="shared" si="32"/>
        <v>0</v>
      </c>
    </row>
    <row r="706" spans="1:17" x14ac:dyDescent="0.25">
      <c r="A706" t="str">
        <f t="shared" ref="A706:A769" si="33">_xlfn.CONCAT(B706, " ", C706)</f>
        <v>Tymur Tutierov</v>
      </c>
      <c r="B706" t="s">
        <v>2537</v>
      </c>
      <c r="C706" t="s">
        <v>2538</v>
      </c>
      <c r="D706">
        <v>17</v>
      </c>
      <c r="E706">
        <v>3</v>
      </c>
      <c r="F706">
        <v>45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ref="P706:P769" si="34">IFERROR(K706/G706*90,0)</f>
        <v>0</v>
      </c>
      <c r="Q706">
        <f t="shared" ref="Q706:Q769" si="35">IFERROR(L706/G706*90,0)</f>
        <v>0</v>
      </c>
    </row>
    <row r="707" spans="1:17" x14ac:dyDescent="0.25">
      <c r="A707" t="str">
        <f t="shared" si="33"/>
        <v>Djiamgone Jocelin Ta Bi</v>
      </c>
      <c r="B707" t="s">
        <v>1018</v>
      </c>
      <c r="C707" t="s">
        <v>1019</v>
      </c>
      <c r="D707">
        <v>17</v>
      </c>
      <c r="E707">
        <v>3</v>
      </c>
      <c r="F707">
        <v>49</v>
      </c>
      <c r="G707">
        <v>38</v>
      </c>
      <c r="H707">
        <v>1</v>
      </c>
      <c r="I707">
        <v>0</v>
      </c>
      <c r="J707">
        <v>0</v>
      </c>
      <c r="K707">
        <v>0</v>
      </c>
      <c r="L707">
        <v>0.04</v>
      </c>
      <c r="M707">
        <v>1</v>
      </c>
      <c r="N707">
        <v>4</v>
      </c>
      <c r="O707">
        <v>3</v>
      </c>
      <c r="P707">
        <f t="shared" si="34"/>
        <v>0</v>
      </c>
      <c r="Q707">
        <f t="shared" si="35"/>
        <v>9.4736842105263161E-2</v>
      </c>
    </row>
    <row r="708" spans="1:17" x14ac:dyDescent="0.25">
      <c r="A708" t="str">
        <f t="shared" si="33"/>
        <v>Melker Ellborg</v>
      </c>
      <c r="B708" t="s">
        <v>987</v>
      </c>
      <c r="C708" t="s">
        <v>988</v>
      </c>
      <c r="D708">
        <v>17</v>
      </c>
      <c r="E708">
        <v>1</v>
      </c>
      <c r="F708">
        <v>40</v>
      </c>
      <c r="G708">
        <v>270</v>
      </c>
      <c r="H708">
        <v>3</v>
      </c>
      <c r="I708">
        <v>0</v>
      </c>
      <c r="J708">
        <v>0</v>
      </c>
      <c r="K708">
        <v>0</v>
      </c>
      <c r="L708">
        <v>0.02</v>
      </c>
      <c r="M708">
        <v>16</v>
      </c>
      <c r="N708">
        <v>62</v>
      </c>
      <c r="O708">
        <v>0</v>
      </c>
      <c r="P708">
        <f t="shared" si="34"/>
        <v>0</v>
      </c>
      <c r="Q708">
        <f t="shared" si="35"/>
        <v>6.6666666666666662E-3</v>
      </c>
    </row>
    <row r="709" spans="1:17" x14ac:dyDescent="0.25">
      <c r="A709" t="str">
        <f t="shared" si="33"/>
        <v>Nilson Angulo</v>
      </c>
      <c r="B709" t="s">
        <v>1020</v>
      </c>
      <c r="C709" t="s">
        <v>1021</v>
      </c>
      <c r="D709">
        <v>17</v>
      </c>
      <c r="E709">
        <v>3</v>
      </c>
      <c r="F709">
        <v>50</v>
      </c>
      <c r="G709">
        <v>401</v>
      </c>
      <c r="H709">
        <v>5</v>
      </c>
      <c r="I709">
        <v>0</v>
      </c>
      <c r="J709">
        <v>0</v>
      </c>
      <c r="K709">
        <v>0.77</v>
      </c>
      <c r="L709">
        <v>0.12</v>
      </c>
      <c r="M709">
        <v>13</v>
      </c>
      <c r="N709">
        <v>43</v>
      </c>
      <c r="O709">
        <v>35</v>
      </c>
      <c r="P709">
        <f t="shared" si="34"/>
        <v>0.17281795511221945</v>
      </c>
      <c r="Q709">
        <f t="shared" si="35"/>
        <v>2.6932668329177057E-2</v>
      </c>
    </row>
    <row r="710" spans="1:17" x14ac:dyDescent="0.25">
      <c r="A710" t="str">
        <f t="shared" si="33"/>
        <v>Jack Whittaker</v>
      </c>
      <c r="B710" t="s">
        <v>253</v>
      </c>
      <c r="C710" t="s">
        <v>2539</v>
      </c>
      <c r="D710">
        <v>17</v>
      </c>
      <c r="E710">
        <v>3</v>
      </c>
      <c r="F710">
        <v>45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34"/>
        <v>0</v>
      </c>
      <c r="Q710">
        <f t="shared" si="35"/>
        <v>0</v>
      </c>
    </row>
    <row r="711" spans="1:17" x14ac:dyDescent="0.25">
      <c r="A711" t="str">
        <f t="shared" si="33"/>
        <v>Jaydon Jones</v>
      </c>
      <c r="B711" t="s">
        <v>2416</v>
      </c>
      <c r="C711" t="s">
        <v>730</v>
      </c>
      <c r="D711">
        <v>17</v>
      </c>
      <c r="E711">
        <v>3</v>
      </c>
      <c r="F711">
        <v>45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34"/>
        <v>0</v>
      </c>
      <c r="Q711">
        <f t="shared" si="35"/>
        <v>0</v>
      </c>
    </row>
    <row r="712" spans="1:17" x14ac:dyDescent="0.25">
      <c r="A712" t="str">
        <f t="shared" si="33"/>
        <v>Guglielmo Vicario</v>
      </c>
      <c r="B712" t="s">
        <v>933</v>
      </c>
      <c r="C712" t="s">
        <v>934</v>
      </c>
      <c r="D712">
        <v>18</v>
      </c>
      <c r="E712">
        <v>1</v>
      </c>
      <c r="F712">
        <v>47</v>
      </c>
      <c r="G712">
        <v>2790</v>
      </c>
      <c r="H712">
        <v>31</v>
      </c>
      <c r="I712">
        <v>0</v>
      </c>
      <c r="J712">
        <v>0</v>
      </c>
      <c r="K712">
        <v>0</v>
      </c>
      <c r="L712">
        <v>0.04</v>
      </c>
      <c r="M712">
        <v>90</v>
      </c>
      <c r="N712">
        <v>412</v>
      </c>
      <c r="O712">
        <v>0</v>
      </c>
      <c r="P712">
        <f t="shared" si="34"/>
        <v>0</v>
      </c>
      <c r="Q712">
        <f t="shared" si="35"/>
        <v>1.2903225806451613E-3</v>
      </c>
    </row>
    <row r="713" spans="1:17" x14ac:dyDescent="0.25">
      <c r="A713" t="str">
        <f t="shared" si="33"/>
        <v>Brandon Austin</v>
      </c>
      <c r="B713" t="s">
        <v>397</v>
      </c>
      <c r="C713" t="s">
        <v>935</v>
      </c>
      <c r="D713">
        <v>18</v>
      </c>
      <c r="E713">
        <v>1</v>
      </c>
      <c r="F713">
        <v>39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34"/>
        <v>0</v>
      </c>
      <c r="Q713">
        <f t="shared" si="35"/>
        <v>0</v>
      </c>
    </row>
    <row r="714" spans="1:17" x14ac:dyDescent="0.25">
      <c r="A714" t="str">
        <f t="shared" si="33"/>
        <v>Antonín Kinský</v>
      </c>
      <c r="B714" t="s">
        <v>936</v>
      </c>
      <c r="C714" t="s">
        <v>937</v>
      </c>
      <c r="D714">
        <v>18</v>
      </c>
      <c r="E714">
        <v>1</v>
      </c>
      <c r="F714">
        <v>39</v>
      </c>
      <c r="G714">
        <v>630</v>
      </c>
      <c r="H714">
        <v>7</v>
      </c>
      <c r="I714">
        <v>0</v>
      </c>
      <c r="J714">
        <v>0</v>
      </c>
      <c r="K714">
        <v>0</v>
      </c>
      <c r="L714">
        <v>0</v>
      </c>
      <c r="M714">
        <v>20</v>
      </c>
      <c r="N714">
        <v>76</v>
      </c>
      <c r="O714">
        <v>0</v>
      </c>
      <c r="P714">
        <f t="shared" si="34"/>
        <v>0</v>
      </c>
      <c r="Q714">
        <f t="shared" si="35"/>
        <v>0</v>
      </c>
    </row>
    <row r="715" spans="1:17" x14ac:dyDescent="0.25">
      <c r="A715" t="str">
        <f t="shared" si="33"/>
        <v>Pedro Porro Sauceda</v>
      </c>
      <c r="B715" t="s">
        <v>321</v>
      </c>
      <c r="C715" t="s">
        <v>941</v>
      </c>
      <c r="D715">
        <v>18</v>
      </c>
      <c r="E715">
        <v>2</v>
      </c>
      <c r="F715">
        <v>52</v>
      </c>
      <c r="G715">
        <v>2793</v>
      </c>
      <c r="H715">
        <v>32</v>
      </c>
      <c r="I715">
        <v>1</v>
      </c>
      <c r="J715">
        <v>3</v>
      </c>
      <c r="K715">
        <v>1.05</v>
      </c>
      <c r="L715">
        <v>4.37</v>
      </c>
      <c r="M715">
        <v>117</v>
      </c>
      <c r="N715">
        <v>502</v>
      </c>
      <c r="O715">
        <v>218</v>
      </c>
      <c r="P715">
        <f t="shared" si="34"/>
        <v>3.3834586466165419E-2</v>
      </c>
      <c r="Q715">
        <f t="shared" si="35"/>
        <v>0.14081632653061224</v>
      </c>
    </row>
    <row r="716" spans="1:17" x14ac:dyDescent="0.25">
      <c r="A716" t="str">
        <f t="shared" si="33"/>
        <v>Cristian Romero</v>
      </c>
      <c r="B716" t="s">
        <v>942</v>
      </c>
      <c r="C716" t="s">
        <v>943</v>
      </c>
      <c r="D716">
        <v>18</v>
      </c>
      <c r="E716">
        <v>2</v>
      </c>
      <c r="F716">
        <v>50</v>
      </c>
      <c r="G716">
        <v>1869</v>
      </c>
      <c r="H716">
        <v>22</v>
      </c>
      <c r="I716">
        <v>4</v>
      </c>
      <c r="J716">
        <v>1</v>
      </c>
      <c r="K716">
        <v>1.39</v>
      </c>
      <c r="L716">
        <v>1.25</v>
      </c>
      <c r="M716">
        <v>91</v>
      </c>
      <c r="N716">
        <v>305</v>
      </c>
      <c r="O716">
        <v>197</v>
      </c>
      <c r="P716">
        <f t="shared" si="34"/>
        <v>6.6934189406099506E-2</v>
      </c>
      <c r="Q716">
        <f t="shared" si="35"/>
        <v>6.019261637239165E-2</v>
      </c>
    </row>
    <row r="717" spans="1:17" x14ac:dyDescent="0.25">
      <c r="A717" t="str">
        <f t="shared" si="33"/>
        <v>Kevin Danso</v>
      </c>
      <c r="B717" t="s">
        <v>204</v>
      </c>
      <c r="C717" t="s">
        <v>944</v>
      </c>
      <c r="D717">
        <v>18</v>
      </c>
      <c r="E717">
        <v>2</v>
      </c>
      <c r="F717">
        <v>42</v>
      </c>
      <c r="G717">
        <v>1489</v>
      </c>
      <c r="H717">
        <v>17</v>
      </c>
      <c r="I717">
        <v>0</v>
      </c>
      <c r="J717">
        <v>0</v>
      </c>
      <c r="K717">
        <v>0.62</v>
      </c>
      <c r="L717">
        <v>0.28000000000000003</v>
      </c>
      <c r="M717">
        <v>63</v>
      </c>
      <c r="N717">
        <v>219</v>
      </c>
      <c r="O717">
        <v>192</v>
      </c>
      <c r="P717">
        <f t="shared" si="34"/>
        <v>3.7474815312290126E-2</v>
      </c>
      <c r="Q717">
        <f t="shared" si="35"/>
        <v>1.6924110141034253E-2</v>
      </c>
    </row>
    <row r="718" spans="1:17" x14ac:dyDescent="0.25">
      <c r="A718" t="str">
        <f t="shared" si="33"/>
        <v>Ben Davies</v>
      </c>
      <c r="B718" t="s">
        <v>159</v>
      </c>
      <c r="C718" t="s">
        <v>700</v>
      </c>
      <c r="D718">
        <v>18</v>
      </c>
      <c r="E718">
        <v>2</v>
      </c>
      <c r="F718">
        <v>43</v>
      </c>
      <c r="G718">
        <v>136</v>
      </c>
      <c r="H718">
        <v>2</v>
      </c>
      <c r="I718">
        <v>1</v>
      </c>
      <c r="J718">
        <v>0</v>
      </c>
      <c r="K718">
        <v>0.49</v>
      </c>
      <c r="L718">
        <v>7.0000000000000007E-2</v>
      </c>
      <c r="M718">
        <v>10</v>
      </c>
      <c r="N718">
        <v>29</v>
      </c>
      <c r="O718">
        <v>14</v>
      </c>
      <c r="P718">
        <f t="shared" si="34"/>
        <v>0.32426470588235295</v>
      </c>
      <c r="Q718">
        <f t="shared" si="35"/>
        <v>4.6323529411764708E-2</v>
      </c>
    </row>
    <row r="719" spans="1:17" x14ac:dyDescent="0.25">
      <c r="A719" t="str">
        <f t="shared" si="33"/>
        <v>Radu Drăgușin</v>
      </c>
      <c r="B719" t="s">
        <v>1370</v>
      </c>
      <c r="C719" t="s">
        <v>2007</v>
      </c>
      <c r="D719">
        <v>18</v>
      </c>
      <c r="E719">
        <v>2</v>
      </c>
      <c r="F719">
        <v>45</v>
      </c>
      <c r="G719">
        <v>515</v>
      </c>
      <c r="H719">
        <v>5</v>
      </c>
      <c r="I719">
        <v>0</v>
      </c>
      <c r="J719">
        <v>0</v>
      </c>
      <c r="K719">
        <v>0.31</v>
      </c>
      <c r="L719">
        <v>0.01</v>
      </c>
      <c r="M719">
        <v>17</v>
      </c>
      <c r="N719">
        <v>34</v>
      </c>
      <c r="O719">
        <v>75</v>
      </c>
      <c r="P719">
        <f t="shared" si="34"/>
        <v>5.4174757281553396E-2</v>
      </c>
      <c r="Q719">
        <f t="shared" si="35"/>
        <v>1.7475728155339806E-3</v>
      </c>
    </row>
    <row r="720" spans="1:17" x14ac:dyDescent="0.25">
      <c r="A720" t="str">
        <f t="shared" si="33"/>
        <v>Djed Spence</v>
      </c>
      <c r="B720" t="s">
        <v>949</v>
      </c>
      <c r="C720" t="s">
        <v>950</v>
      </c>
      <c r="D720">
        <v>18</v>
      </c>
      <c r="E720">
        <v>2</v>
      </c>
      <c r="F720">
        <v>41</v>
      </c>
      <c r="G720">
        <v>2049</v>
      </c>
      <c r="H720">
        <v>23</v>
      </c>
      <c r="I720">
        <v>0</v>
      </c>
      <c r="J720">
        <v>0</v>
      </c>
      <c r="K720">
        <v>0.9</v>
      </c>
      <c r="L720">
        <v>1.77</v>
      </c>
      <c r="M720">
        <v>78</v>
      </c>
      <c r="N720">
        <v>271</v>
      </c>
      <c r="O720">
        <v>116</v>
      </c>
      <c r="P720">
        <f t="shared" si="34"/>
        <v>3.9531478770131773E-2</v>
      </c>
      <c r="Q720">
        <f t="shared" si="35"/>
        <v>7.7745241581259159E-2</v>
      </c>
    </row>
    <row r="721" spans="1:17" x14ac:dyDescent="0.25">
      <c r="A721" t="str">
        <f t="shared" si="33"/>
        <v>Destiny Udogie</v>
      </c>
      <c r="B721" t="s">
        <v>951</v>
      </c>
      <c r="C721" t="s">
        <v>952</v>
      </c>
      <c r="D721">
        <v>18</v>
      </c>
      <c r="E721">
        <v>2</v>
      </c>
      <c r="F721">
        <v>43</v>
      </c>
      <c r="G721">
        <v>1335</v>
      </c>
      <c r="H721">
        <v>14</v>
      </c>
      <c r="I721">
        <v>0</v>
      </c>
      <c r="J721">
        <v>1</v>
      </c>
      <c r="K721">
        <v>0.18</v>
      </c>
      <c r="L721">
        <v>0.72</v>
      </c>
      <c r="M721">
        <v>29</v>
      </c>
      <c r="N721">
        <v>121</v>
      </c>
      <c r="O721">
        <v>68</v>
      </c>
      <c r="P721">
        <f t="shared" si="34"/>
        <v>1.2134831460674156E-2</v>
      </c>
      <c r="Q721">
        <f t="shared" si="35"/>
        <v>4.8539325842696622E-2</v>
      </c>
    </row>
    <row r="722" spans="1:17" x14ac:dyDescent="0.25">
      <c r="A722" t="str">
        <f t="shared" si="33"/>
        <v>Micky van de Ven</v>
      </c>
      <c r="B722" t="s">
        <v>947</v>
      </c>
      <c r="C722" t="s">
        <v>948</v>
      </c>
      <c r="D722">
        <v>18</v>
      </c>
      <c r="E722">
        <v>2</v>
      </c>
      <c r="F722">
        <v>44</v>
      </c>
      <c r="G722">
        <v>3041</v>
      </c>
      <c r="H722">
        <v>35</v>
      </c>
      <c r="I722">
        <v>4</v>
      </c>
      <c r="J722">
        <v>1</v>
      </c>
      <c r="K722">
        <v>2.82</v>
      </c>
      <c r="L722">
        <v>0.38</v>
      </c>
      <c r="M722">
        <v>116</v>
      </c>
      <c r="N722">
        <v>431</v>
      </c>
      <c r="O722">
        <v>212</v>
      </c>
      <c r="P722">
        <f t="shared" si="34"/>
        <v>8.345938835909239E-2</v>
      </c>
      <c r="Q722">
        <f t="shared" si="35"/>
        <v>1.1246300559026636E-2</v>
      </c>
    </row>
    <row r="723" spans="1:17" x14ac:dyDescent="0.25">
      <c r="A723" t="str">
        <f t="shared" si="33"/>
        <v>Ashley Phillips</v>
      </c>
      <c r="B723" t="s">
        <v>953</v>
      </c>
      <c r="C723" t="s">
        <v>541</v>
      </c>
      <c r="D723">
        <v>18</v>
      </c>
      <c r="E723">
        <v>2</v>
      </c>
      <c r="F723">
        <v>40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34"/>
        <v>0</v>
      </c>
      <c r="Q723">
        <f t="shared" si="35"/>
        <v>0</v>
      </c>
    </row>
    <row r="724" spans="1:17" x14ac:dyDescent="0.25">
      <c r="A724" t="str">
        <f t="shared" si="33"/>
        <v>Takai Kōta</v>
      </c>
      <c r="B724" t="s">
        <v>2540</v>
      </c>
      <c r="C724" t="s">
        <v>2541</v>
      </c>
      <c r="D724">
        <v>18</v>
      </c>
      <c r="E724">
        <v>2</v>
      </c>
      <c r="F724">
        <v>40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34"/>
        <v>0</v>
      </c>
      <c r="Q724">
        <f t="shared" si="35"/>
        <v>0</v>
      </c>
    </row>
    <row r="725" spans="1:17" x14ac:dyDescent="0.25">
      <c r="A725" t="str">
        <f t="shared" si="33"/>
        <v>Luka Vušković</v>
      </c>
      <c r="B725" t="s">
        <v>285</v>
      </c>
      <c r="C725" t="s">
        <v>286</v>
      </c>
      <c r="D725">
        <v>18</v>
      </c>
      <c r="E725">
        <v>2</v>
      </c>
      <c r="F725">
        <v>39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f t="shared" si="34"/>
        <v>0</v>
      </c>
      <c r="Q725">
        <f t="shared" si="35"/>
        <v>0</v>
      </c>
    </row>
    <row r="726" spans="1:17" x14ac:dyDescent="0.25">
      <c r="A726" t="str">
        <f t="shared" si="33"/>
        <v>Son Heung-min</v>
      </c>
      <c r="B726" t="s">
        <v>1991</v>
      </c>
      <c r="C726" t="s">
        <v>1992</v>
      </c>
      <c r="D726">
        <v>18</v>
      </c>
      <c r="E726">
        <v>3</v>
      </c>
      <c r="F726">
        <v>85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34"/>
        <v>0</v>
      </c>
      <c r="Q726">
        <f t="shared" si="35"/>
        <v>0</v>
      </c>
    </row>
    <row r="727" spans="1:17" x14ac:dyDescent="0.25">
      <c r="A727" t="str">
        <f t="shared" si="33"/>
        <v>James Maddison</v>
      </c>
      <c r="B727" t="s">
        <v>135</v>
      </c>
      <c r="C727" t="s">
        <v>965</v>
      </c>
      <c r="D727">
        <v>18</v>
      </c>
      <c r="E727">
        <v>3</v>
      </c>
      <c r="F727">
        <v>68</v>
      </c>
      <c r="G727">
        <v>34</v>
      </c>
      <c r="H727">
        <v>0</v>
      </c>
      <c r="I727">
        <v>0</v>
      </c>
      <c r="J727">
        <v>0</v>
      </c>
      <c r="K727">
        <v>0.21</v>
      </c>
      <c r="L727">
        <v>0.06</v>
      </c>
      <c r="M727">
        <v>3</v>
      </c>
      <c r="N727">
        <v>5</v>
      </c>
      <c r="O727">
        <v>5</v>
      </c>
      <c r="P727">
        <f t="shared" si="34"/>
        <v>0.55588235294117638</v>
      </c>
      <c r="Q727">
        <f t="shared" si="35"/>
        <v>0.1588235294117647</v>
      </c>
    </row>
    <row r="728" spans="1:17" x14ac:dyDescent="0.25">
      <c r="A728" t="str">
        <f t="shared" si="33"/>
        <v>Mohammed Kudus</v>
      </c>
      <c r="B728" t="s">
        <v>959</v>
      </c>
      <c r="C728" t="s">
        <v>960</v>
      </c>
      <c r="D728">
        <v>18</v>
      </c>
      <c r="E728">
        <v>3</v>
      </c>
      <c r="F728">
        <v>64</v>
      </c>
      <c r="G728">
        <v>1535</v>
      </c>
      <c r="H728">
        <v>19</v>
      </c>
      <c r="I728">
        <v>2</v>
      </c>
      <c r="J728">
        <v>6</v>
      </c>
      <c r="K728">
        <v>1.92</v>
      </c>
      <c r="L728">
        <v>2.41</v>
      </c>
      <c r="M728">
        <v>75</v>
      </c>
      <c r="N728">
        <v>257</v>
      </c>
      <c r="O728">
        <v>133</v>
      </c>
      <c r="P728">
        <f t="shared" si="34"/>
        <v>0.11257328990228013</v>
      </c>
      <c r="Q728">
        <f t="shared" si="35"/>
        <v>0.14130293159609122</v>
      </c>
    </row>
    <row r="729" spans="1:17" x14ac:dyDescent="0.25">
      <c r="A729" t="str">
        <f t="shared" si="33"/>
        <v>Dejan Kulusevski</v>
      </c>
      <c r="B729" t="s">
        <v>971</v>
      </c>
      <c r="C729" t="s">
        <v>972</v>
      </c>
      <c r="D729">
        <v>18</v>
      </c>
      <c r="E729">
        <v>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34"/>
        <v>0</v>
      </c>
      <c r="Q729">
        <f t="shared" si="35"/>
        <v>0</v>
      </c>
    </row>
    <row r="730" spans="1:17" x14ac:dyDescent="0.25">
      <c r="A730" t="str">
        <f t="shared" si="33"/>
        <v>Mathys Tel</v>
      </c>
      <c r="B730" t="s">
        <v>963</v>
      </c>
      <c r="C730" t="s">
        <v>964</v>
      </c>
      <c r="D730">
        <v>18</v>
      </c>
      <c r="E730">
        <v>3</v>
      </c>
      <c r="F730">
        <v>62</v>
      </c>
      <c r="G730">
        <v>1334</v>
      </c>
      <c r="H730">
        <v>13</v>
      </c>
      <c r="I730">
        <v>4</v>
      </c>
      <c r="J730">
        <v>2</v>
      </c>
      <c r="K730">
        <v>2.4700000000000002</v>
      </c>
      <c r="L730">
        <v>2.4300000000000002</v>
      </c>
      <c r="M730">
        <v>78</v>
      </c>
      <c r="N730">
        <v>266</v>
      </c>
      <c r="O730">
        <v>111</v>
      </c>
      <c r="P730">
        <f t="shared" si="34"/>
        <v>0.1666416791604198</v>
      </c>
      <c r="Q730">
        <f t="shared" si="35"/>
        <v>0.16394302848575715</v>
      </c>
    </row>
    <row r="731" spans="1:17" x14ac:dyDescent="0.25">
      <c r="A731" t="str">
        <f t="shared" si="33"/>
        <v>Rodrigo Bentancur</v>
      </c>
      <c r="B731" t="s">
        <v>531</v>
      </c>
      <c r="C731" t="s">
        <v>966</v>
      </c>
      <c r="D731">
        <v>18</v>
      </c>
      <c r="E731">
        <v>3</v>
      </c>
      <c r="F731">
        <v>52</v>
      </c>
      <c r="G731">
        <v>1880</v>
      </c>
      <c r="H731">
        <v>23</v>
      </c>
      <c r="I731">
        <v>1</v>
      </c>
      <c r="J731">
        <v>1</v>
      </c>
      <c r="K731">
        <v>0.72</v>
      </c>
      <c r="L731">
        <v>0.84</v>
      </c>
      <c r="M731">
        <v>86</v>
      </c>
      <c r="N731">
        <v>366</v>
      </c>
      <c r="O731">
        <v>278</v>
      </c>
      <c r="P731">
        <f t="shared" si="34"/>
        <v>3.4468085106382974E-2</v>
      </c>
      <c r="Q731">
        <f t="shared" si="35"/>
        <v>4.0212765957446807E-2</v>
      </c>
    </row>
    <row r="732" spans="1:17" x14ac:dyDescent="0.25">
      <c r="A732" t="str">
        <f t="shared" si="33"/>
        <v>Lucas Bergvall</v>
      </c>
      <c r="B732" t="s">
        <v>78</v>
      </c>
      <c r="C732" t="s">
        <v>970</v>
      </c>
      <c r="D732">
        <v>18</v>
      </c>
      <c r="E732">
        <v>3</v>
      </c>
      <c r="F732">
        <v>52</v>
      </c>
      <c r="G732">
        <v>955</v>
      </c>
      <c r="H732">
        <v>11</v>
      </c>
      <c r="I732">
        <v>1</v>
      </c>
      <c r="J732">
        <v>3</v>
      </c>
      <c r="K732">
        <v>1.23</v>
      </c>
      <c r="L732">
        <v>0.43</v>
      </c>
      <c r="M732">
        <v>49</v>
      </c>
      <c r="N732">
        <v>163</v>
      </c>
      <c r="O732">
        <v>79</v>
      </c>
      <c r="P732">
        <f t="shared" si="34"/>
        <v>0.11591623036649214</v>
      </c>
      <c r="Q732">
        <f t="shared" si="35"/>
        <v>4.0523560209424082E-2</v>
      </c>
    </row>
    <row r="733" spans="1:17" x14ac:dyDescent="0.25">
      <c r="A733" t="str">
        <f t="shared" si="33"/>
        <v>Yves Bissouma</v>
      </c>
      <c r="B733" t="s">
        <v>1973</v>
      </c>
      <c r="C733" t="s">
        <v>1974</v>
      </c>
      <c r="D733">
        <v>18</v>
      </c>
      <c r="E733">
        <v>3</v>
      </c>
      <c r="F733">
        <v>52</v>
      </c>
      <c r="G733">
        <v>600</v>
      </c>
      <c r="H733">
        <v>7</v>
      </c>
      <c r="I733">
        <v>0</v>
      </c>
      <c r="J733">
        <v>0</v>
      </c>
      <c r="K733">
        <v>0.36</v>
      </c>
      <c r="L733">
        <v>0.1</v>
      </c>
      <c r="M733">
        <v>17</v>
      </c>
      <c r="N733">
        <v>99</v>
      </c>
      <c r="O733">
        <v>74</v>
      </c>
      <c r="P733">
        <f t="shared" si="34"/>
        <v>5.3999999999999992E-2</v>
      </c>
      <c r="Q733">
        <f t="shared" si="35"/>
        <v>1.5000000000000001E-2</v>
      </c>
    </row>
    <row r="734" spans="1:17" x14ac:dyDescent="0.25">
      <c r="A734" t="str">
        <f t="shared" si="33"/>
        <v>Wilson Odobert</v>
      </c>
      <c r="B734" t="s">
        <v>228</v>
      </c>
      <c r="C734" t="s">
        <v>967</v>
      </c>
      <c r="D734">
        <v>18</v>
      </c>
      <c r="E734">
        <v>3</v>
      </c>
      <c r="F734">
        <v>53</v>
      </c>
      <c r="G734">
        <v>972</v>
      </c>
      <c r="H734">
        <v>10</v>
      </c>
      <c r="I734">
        <v>0</v>
      </c>
      <c r="J734">
        <v>2</v>
      </c>
      <c r="K734">
        <v>1.92</v>
      </c>
      <c r="L734">
        <v>1.21</v>
      </c>
      <c r="M734">
        <v>46</v>
      </c>
      <c r="N734">
        <v>176</v>
      </c>
      <c r="O734">
        <v>77</v>
      </c>
      <c r="P734">
        <f t="shared" si="34"/>
        <v>0.17777777777777778</v>
      </c>
      <c r="Q734">
        <f t="shared" si="35"/>
        <v>0.11203703703703703</v>
      </c>
    </row>
    <row r="735" spans="1:17" x14ac:dyDescent="0.25">
      <c r="A735" t="str">
        <f t="shared" si="33"/>
        <v>Manor Solomon</v>
      </c>
      <c r="B735" t="s">
        <v>1996</v>
      </c>
      <c r="C735" t="s">
        <v>1997</v>
      </c>
      <c r="D735">
        <v>18</v>
      </c>
      <c r="E735">
        <v>3</v>
      </c>
      <c r="F735">
        <v>54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34"/>
        <v>0</v>
      </c>
      <c r="Q735">
        <f t="shared" si="35"/>
        <v>0</v>
      </c>
    </row>
    <row r="736" spans="1:17" x14ac:dyDescent="0.25">
      <c r="A736" t="str">
        <f t="shared" si="33"/>
        <v>Bryan Gil Salvatierra</v>
      </c>
      <c r="B736" t="s">
        <v>825</v>
      </c>
      <c r="C736" t="s">
        <v>1975</v>
      </c>
      <c r="D736">
        <v>18</v>
      </c>
      <c r="E736">
        <v>3</v>
      </c>
      <c r="F736">
        <v>49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f t="shared" si="34"/>
        <v>0</v>
      </c>
      <c r="Q736">
        <f t="shared" si="35"/>
        <v>0</v>
      </c>
    </row>
    <row r="737" spans="1:17" x14ac:dyDescent="0.25">
      <c r="A737" t="str">
        <f t="shared" si="33"/>
        <v>Archie Gray</v>
      </c>
      <c r="B737" t="s">
        <v>973</v>
      </c>
      <c r="C737" t="s">
        <v>974</v>
      </c>
      <c r="D737">
        <v>18</v>
      </c>
      <c r="E737">
        <v>3</v>
      </c>
      <c r="F737">
        <v>48</v>
      </c>
      <c r="G737">
        <v>1471</v>
      </c>
      <c r="H737">
        <v>18</v>
      </c>
      <c r="I737">
        <v>2</v>
      </c>
      <c r="J737">
        <v>2</v>
      </c>
      <c r="K737">
        <v>1.5</v>
      </c>
      <c r="L737">
        <v>1.29</v>
      </c>
      <c r="M737">
        <v>61</v>
      </c>
      <c r="N737">
        <v>237</v>
      </c>
      <c r="O737">
        <v>132</v>
      </c>
      <c r="P737">
        <f t="shared" si="34"/>
        <v>9.1774303195105378E-2</v>
      </c>
      <c r="Q737">
        <f t="shared" si="35"/>
        <v>7.8925900747790614E-2</v>
      </c>
    </row>
    <row r="738" spans="1:17" x14ac:dyDescent="0.25">
      <c r="A738" t="str">
        <f t="shared" si="33"/>
        <v>Mikey Moore</v>
      </c>
      <c r="B738" t="s">
        <v>975</v>
      </c>
      <c r="C738" t="s">
        <v>976</v>
      </c>
      <c r="D738">
        <v>18</v>
      </c>
      <c r="E738">
        <v>3</v>
      </c>
      <c r="F738">
        <v>50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34"/>
        <v>0</v>
      </c>
      <c r="Q738">
        <f t="shared" si="35"/>
        <v>0</v>
      </c>
    </row>
    <row r="739" spans="1:17" x14ac:dyDescent="0.25">
      <c r="A739" t="str">
        <f t="shared" si="33"/>
        <v>Pape Matar Sarr</v>
      </c>
      <c r="B739" t="s">
        <v>968</v>
      </c>
      <c r="C739" t="s">
        <v>312</v>
      </c>
      <c r="D739">
        <v>18</v>
      </c>
      <c r="E739">
        <v>3</v>
      </c>
      <c r="F739">
        <v>45</v>
      </c>
      <c r="G739">
        <v>1388</v>
      </c>
      <c r="H739">
        <v>13</v>
      </c>
      <c r="I739">
        <v>2</v>
      </c>
      <c r="J739">
        <v>4</v>
      </c>
      <c r="K739">
        <v>1.63</v>
      </c>
      <c r="L739">
        <v>1.1100000000000001</v>
      </c>
      <c r="M739">
        <v>71</v>
      </c>
      <c r="N739">
        <v>313</v>
      </c>
      <c r="O739">
        <v>183</v>
      </c>
      <c r="P739">
        <f t="shared" si="34"/>
        <v>0.10569164265129682</v>
      </c>
      <c r="Q739">
        <f t="shared" si="35"/>
        <v>7.1974063400576369E-2</v>
      </c>
    </row>
    <row r="740" spans="1:17" x14ac:dyDescent="0.25">
      <c r="A740" t="str">
        <f t="shared" si="33"/>
        <v>Yang Min-hyeok</v>
      </c>
      <c r="B740" t="s">
        <v>2355</v>
      </c>
      <c r="C740" t="s">
        <v>2542</v>
      </c>
      <c r="D740">
        <v>18</v>
      </c>
      <c r="E740">
        <v>3</v>
      </c>
      <c r="F740">
        <v>45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34"/>
        <v>0</v>
      </c>
      <c r="Q740">
        <f t="shared" si="35"/>
        <v>0</v>
      </c>
    </row>
    <row r="741" spans="1:17" x14ac:dyDescent="0.25">
      <c r="A741" t="str">
        <f t="shared" si="33"/>
        <v>Callum Olusesi</v>
      </c>
      <c r="B741" t="s">
        <v>227</v>
      </c>
      <c r="C741" t="s">
        <v>977</v>
      </c>
      <c r="D741">
        <v>18</v>
      </c>
      <c r="E741">
        <v>3</v>
      </c>
      <c r="F741">
        <v>43</v>
      </c>
      <c r="G741">
        <v>14</v>
      </c>
      <c r="H741">
        <v>0</v>
      </c>
      <c r="I741">
        <v>0</v>
      </c>
      <c r="J741">
        <v>0</v>
      </c>
      <c r="K741">
        <v>0</v>
      </c>
      <c r="L741">
        <v>0.01</v>
      </c>
      <c r="M741">
        <v>1</v>
      </c>
      <c r="N741">
        <v>3</v>
      </c>
      <c r="O741">
        <v>2</v>
      </c>
      <c r="P741">
        <f t="shared" si="34"/>
        <v>0</v>
      </c>
      <c r="Q741">
        <f t="shared" si="35"/>
        <v>6.4285714285714279E-2</v>
      </c>
    </row>
    <row r="742" spans="1:17" x14ac:dyDescent="0.25">
      <c r="A742" t="str">
        <f t="shared" si="33"/>
        <v>Dominic Solanke-Mitchell</v>
      </c>
      <c r="B742" t="s">
        <v>681</v>
      </c>
      <c r="C742" t="s">
        <v>980</v>
      </c>
      <c r="D742">
        <v>18</v>
      </c>
      <c r="E742">
        <v>4</v>
      </c>
      <c r="F742">
        <v>71</v>
      </c>
      <c r="G742">
        <v>997</v>
      </c>
      <c r="H742">
        <v>11</v>
      </c>
      <c r="I742">
        <v>3</v>
      </c>
      <c r="J742">
        <v>0</v>
      </c>
      <c r="K742">
        <v>2.97</v>
      </c>
      <c r="L742">
        <v>0.34</v>
      </c>
      <c r="M742">
        <v>40</v>
      </c>
      <c r="N742">
        <v>187</v>
      </c>
      <c r="O742">
        <v>71</v>
      </c>
      <c r="P742">
        <f t="shared" si="34"/>
        <v>0.26810431293881648</v>
      </c>
      <c r="Q742">
        <f t="shared" si="35"/>
        <v>3.0692076228686062E-2</v>
      </c>
    </row>
    <row r="743" spans="1:17" x14ac:dyDescent="0.25">
      <c r="A743" t="str">
        <f t="shared" si="33"/>
        <v>Richarlison de Andrade</v>
      </c>
      <c r="B743" t="s">
        <v>981</v>
      </c>
      <c r="C743" t="s">
        <v>982</v>
      </c>
      <c r="D743">
        <v>18</v>
      </c>
      <c r="E743">
        <v>4</v>
      </c>
      <c r="F743">
        <v>65</v>
      </c>
      <c r="G743">
        <v>1954</v>
      </c>
      <c r="H743">
        <v>20</v>
      </c>
      <c r="I743">
        <v>11</v>
      </c>
      <c r="J743">
        <v>4</v>
      </c>
      <c r="K743">
        <v>8.64</v>
      </c>
      <c r="L743">
        <v>1.46</v>
      </c>
      <c r="M743">
        <v>119</v>
      </c>
      <c r="N743">
        <v>505</v>
      </c>
      <c r="O743">
        <v>147</v>
      </c>
      <c r="P743">
        <f t="shared" si="34"/>
        <v>0.39795291709314229</v>
      </c>
      <c r="Q743">
        <f t="shared" si="35"/>
        <v>6.7246673490276354E-2</v>
      </c>
    </row>
    <row r="744" spans="1:17" x14ac:dyDescent="0.25">
      <c r="A744" t="str">
        <f t="shared" si="33"/>
        <v>Will Lankshear</v>
      </c>
      <c r="B744" t="s">
        <v>133</v>
      </c>
      <c r="C744" t="s">
        <v>2349</v>
      </c>
      <c r="D744">
        <v>18</v>
      </c>
      <c r="E744">
        <v>4</v>
      </c>
      <c r="F744">
        <v>45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34"/>
        <v>0</v>
      </c>
      <c r="Q744">
        <f t="shared" si="35"/>
        <v>0</v>
      </c>
    </row>
    <row r="745" spans="1:17" x14ac:dyDescent="0.25">
      <c r="A745" t="str">
        <f t="shared" si="33"/>
        <v>Dane Scarlett</v>
      </c>
      <c r="B745" t="s">
        <v>983</v>
      </c>
      <c r="C745" t="s">
        <v>984</v>
      </c>
      <c r="D745">
        <v>18</v>
      </c>
      <c r="E745">
        <v>4</v>
      </c>
      <c r="F745">
        <v>43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0.01</v>
      </c>
      <c r="M745">
        <v>2</v>
      </c>
      <c r="N745">
        <v>5</v>
      </c>
      <c r="O745">
        <v>1</v>
      </c>
      <c r="P745">
        <f t="shared" si="34"/>
        <v>0</v>
      </c>
      <c r="Q745">
        <f t="shared" si="35"/>
        <v>0.12857142857142856</v>
      </c>
    </row>
    <row r="746" spans="1:17" x14ac:dyDescent="0.25">
      <c r="A746" t="str">
        <f t="shared" si="33"/>
        <v>João Maria Lobo Alves Palhares Costa Palhinha Gonçalves</v>
      </c>
      <c r="B746" t="s">
        <v>2543</v>
      </c>
      <c r="C746" t="s">
        <v>2544</v>
      </c>
      <c r="D746">
        <v>18</v>
      </c>
      <c r="E746">
        <v>3</v>
      </c>
      <c r="F746">
        <v>55</v>
      </c>
      <c r="G746">
        <v>2192</v>
      </c>
      <c r="H746">
        <v>23</v>
      </c>
      <c r="I746">
        <v>5</v>
      </c>
      <c r="J746">
        <v>3</v>
      </c>
      <c r="K746">
        <v>2.72</v>
      </c>
      <c r="L746">
        <v>0.65</v>
      </c>
      <c r="M746">
        <v>126</v>
      </c>
      <c r="N746">
        <v>518</v>
      </c>
      <c r="O746">
        <v>302</v>
      </c>
      <c r="P746">
        <f t="shared" si="34"/>
        <v>0.11167883211678833</v>
      </c>
      <c r="Q746">
        <f t="shared" si="35"/>
        <v>2.6687956204379561E-2</v>
      </c>
    </row>
    <row r="747" spans="1:17" x14ac:dyDescent="0.25">
      <c r="A747" t="str">
        <f t="shared" si="33"/>
        <v>Xavi Simons</v>
      </c>
      <c r="B747" t="s">
        <v>961</v>
      </c>
      <c r="C747" t="s">
        <v>962</v>
      </c>
      <c r="D747">
        <v>18</v>
      </c>
      <c r="E747">
        <v>3</v>
      </c>
      <c r="F747">
        <v>63</v>
      </c>
      <c r="G747">
        <v>1747</v>
      </c>
      <c r="H747">
        <v>19</v>
      </c>
      <c r="I747">
        <v>2</v>
      </c>
      <c r="J747">
        <v>5</v>
      </c>
      <c r="K747">
        <v>3.06</v>
      </c>
      <c r="L747">
        <v>3.85</v>
      </c>
      <c r="M747">
        <v>80</v>
      </c>
      <c r="N747">
        <v>345</v>
      </c>
      <c r="O747">
        <v>149</v>
      </c>
      <c r="P747">
        <f t="shared" si="34"/>
        <v>0.1576416714367487</v>
      </c>
      <c r="Q747">
        <f t="shared" si="35"/>
        <v>0.19834001144819691</v>
      </c>
    </row>
    <row r="748" spans="1:17" x14ac:dyDescent="0.25">
      <c r="A748" t="str">
        <f t="shared" si="33"/>
        <v>Randal Kolo Muani</v>
      </c>
      <c r="B748" t="s">
        <v>2545</v>
      </c>
      <c r="C748" t="s">
        <v>2546</v>
      </c>
      <c r="D748">
        <v>18</v>
      </c>
      <c r="E748">
        <v>4</v>
      </c>
      <c r="F748">
        <v>69</v>
      </c>
      <c r="G748">
        <v>1655</v>
      </c>
      <c r="H748">
        <v>21</v>
      </c>
      <c r="I748">
        <v>1</v>
      </c>
      <c r="J748">
        <v>1</v>
      </c>
      <c r="K748">
        <v>2.0699999999999998</v>
      </c>
      <c r="L748">
        <v>1.63</v>
      </c>
      <c r="M748">
        <v>52</v>
      </c>
      <c r="N748">
        <v>150</v>
      </c>
      <c r="O748">
        <v>114</v>
      </c>
      <c r="P748">
        <f t="shared" si="34"/>
        <v>0.11256797583081569</v>
      </c>
      <c r="Q748">
        <f t="shared" si="35"/>
        <v>8.8640483383685797E-2</v>
      </c>
    </row>
    <row r="749" spans="1:17" x14ac:dyDescent="0.25">
      <c r="A749" t="str">
        <f t="shared" si="33"/>
        <v>Jun'ai Byfield</v>
      </c>
      <c r="B749" t="s">
        <v>954</v>
      </c>
      <c r="C749" t="s">
        <v>955</v>
      </c>
      <c r="D749">
        <v>18</v>
      </c>
      <c r="E749">
        <v>2</v>
      </c>
      <c r="F749">
        <v>40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3</v>
      </c>
      <c r="O749">
        <v>0</v>
      </c>
      <c r="P749">
        <f t="shared" si="34"/>
        <v>0</v>
      </c>
      <c r="Q749">
        <f t="shared" si="35"/>
        <v>0</v>
      </c>
    </row>
    <row r="750" spans="1:17" x14ac:dyDescent="0.25">
      <c r="A750" t="str">
        <f t="shared" si="33"/>
        <v>James Rowswell</v>
      </c>
      <c r="B750" t="s">
        <v>135</v>
      </c>
      <c r="C750" t="s">
        <v>956</v>
      </c>
      <c r="D750">
        <v>18</v>
      </c>
      <c r="E750">
        <v>2</v>
      </c>
      <c r="F750">
        <v>40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3</v>
      </c>
      <c r="O750">
        <v>0</v>
      </c>
      <c r="P750">
        <f t="shared" si="34"/>
        <v>0</v>
      </c>
      <c r="Q750">
        <f t="shared" si="35"/>
        <v>0</v>
      </c>
    </row>
    <row r="751" spans="1:17" x14ac:dyDescent="0.25">
      <c r="A751" t="str">
        <f t="shared" si="33"/>
        <v>Yusuf Akhamrich</v>
      </c>
      <c r="B751" t="s">
        <v>2547</v>
      </c>
      <c r="C751" t="s">
        <v>2548</v>
      </c>
      <c r="D751">
        <v>18</v>
      </c>
      <c r="E751">
        <v>3</v>
      </c>
      <c r="F751">
        <v>45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f t="shared" si="34"/>
        <v>0</v>
      </c>
      <c r="Q751">
        <f t="shared" si="35"/>
        <v>0</v>
      </c>
    </row>
    <row r="752" spans="1:17" x14ac:dyDescent="0.25">
      <c r="A752" t="str">
        <f t="shared" si="33"/>
        <v>Lucá Williams-Barnett</v>
      </c>
      <c r="B752" t="s">
        <v>2549</v>
      </c>
      <c r="C752" t="s">
        <v>1231</v>
      </c>
      <c r="D752">
        <v>18</v>
      </c>
      <c r="E752">
        <v>3</v>
      </c>
      <c r="F752">
        <v>45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f t="shared" si="34"/>
        <v>0</v>
      </c>
      <c r="Q752">
        <f t="shared" si="35"/>
        <v>0</v>
      </c>
    </row>
    <row r="753" spans="1:17" x14ac:dyDescent="0.25">
      <c r="A753" t="str">
        <f t="shared" si="33"/>
        <v>Conor Gallagher</v>
      </c>
      <c r="B753" t="s">
        <v>708</v>
      </c>
      <c r="C753" t="s">
        <v>969</v>
      </c>
      <c r="D753">
        <v>18</v>
      </c>
      <c r="E753">
        <v>3</v>
      </c>
      <c r="F753">
        <v>50</v>
      </c>
      <c r="G753">
        <v>1183</v>
      </c>
      <c r="H753">
        <v>14</v>
      </c>
      <c r="I753">
        <v>1</v>
      </c>
      <c r="J753">
        <v>1</v>
      </c>
      <c r="K753">
        <v>1.23</v>
      </c>
      <c r="L753">
        <v>0.7</v>
      </c>
      <c r="M753">
        <v>44</v>
      </c>
      <c r="N753">
        <v>211</v>
      </c>
      <c r="O753">
        <v>124</v>
      </c>
      <c r="P753">
        <f t="shared" si="34"/>
        <v>9.3575655114116654E-2</v>
      </c>
      <c r="Q753">
        <f t="shared" si="35"/>
        <v>5.3254437869822487E-2</v>
      </c>
    </row>
    <row r="754" spans="1:17" x14ac:dyDescent="0.25">
      <c r="A754" t="str">
        <f t="shared" si="33"/>
        <v>João Victor de Souza Menezes</v>
      </c>
      <c r="B754" t="s">
        <v>957</v>
      </c>
      <c r="C754" t="s">
        <v>958</v>
      </c>
      <c r="D754">
        <v>18</v>
      </c>
      <c r="E754">
        <v>2</v>
      </c>
      <c r="F754">
        <v>40</v>
      </c>
      <c r="G754">
        <v>142</v>
      </c>
      <c r="H754">
        <v>2</v>
      </c>
      <c r="I754">
        <v>0</v>
      </c>
      <c r="J754">
        <v>0</v>
      </c>
      <c r="K754">
        <v>0.02</v>
      </c>
      <c r="L754">
        <v>0.03</v>
      </c>
      <c r="M754">
        <v>3</v>
      </c>
      <c r="N754">
        <v>0</v>
      </c>
      <c r="O754">
        <v>6</v>
      </c>
      <c r="P754">
        <f t="shared" si="34"/>
        <v>1.2676056338028169E-2</v>
      </c>
      <c r="Q754">
        <f t="shared" si="35"/>
        <v>1.9014084507042252E-2</v>
      </c>
    </row>
    <row r="755" spans="1:17" x14ac:dyDescent="0.25">
      <c r="A755" t="str">
        <f t="shared" si="33"/>
        <v>Rio Kyerematen</v>
      </c>
      <c r="B755" t="s">
        <v>448</v>
      </c>
      <c r="C755" t="s">
        <v>2550</v>
      </c>
      <c r="D755">
        <v>18</v>
      </c>
      <c r="E755">
        <v>3</v>
      </c>
      <c r="F755">
        <v>45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f t="shared" si="34"/>
        <v>0</v>
      </c>
      <c r="Q755">
        <f t="shared" si="35"/>
        <v>0</v>
      </c>
    </row>
    <row r="756" spans="1:17" x14ac:dyDescent="0.25">
      <c r="A756" t="str">
        <f t="shared" si="33"/>
        <v>James Wilson</v>
      </c>
      <c r="B756" t="s">
        <v>135</v>
      </c>
      <c r="C756" t="s">
        <v>228</v>
      </c>
      <c r="D756">
        <v>18</v>
      </c>
      <c r="E756">
        <v>4</v>
      </c>
      <c r="F756">
        <v>45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f t="shared" si="34"/>
        <v>0</v>
      </c>
      <c r="Q756">
        <f t="shared" si="35"/>
        <v>0</v>
      </c>
    </row>
    <row r="757" spans="1:17" x14ac:dyDescent="0.25">
      <c r="A757" t="str">
        <f t="shared" si="33"/>
        <v>Adama Traoré Diarra</v>
      </c>
      <c r="B757" t="s">
        <v>1670</v>
      </c>
      <c r="C757" t="s">
        <v>2551</v>
      </c>
      <c r="D757">
        <v>19</v>
      </c>
      <c r="E757">
        <v>3</v>
      </c>
      <c r="F757">
        <v>51</v>
      </c>
      <c r="G757">
        <v>376</v>
      </c>
      <c r="H757">
        <v>1</v>
      </c>
      <c r="I757">
        <v>0</v>
      </c>
      <c r="J757">
        <v>0</v>
      </c>
      <c r="K757">
        <v>0.69</v>
      </c>
      <c r="L757">
        <v>0.56999999999999995</v>
      </c>
      <c r="M757">
        <v>25</v>
      </c>
      <c r="N757">
        <v>74</v>
      </c>
      <c r="O757">
        <v>18</v>
      </c>
      <c r="P757">
        <f t="shared" si="34"/>
        <v>0.1651595744680851</v>
      </c>
      <c r="Q757">
        <f t="shared" si="35"/>
        <v>0.13643617021276597</v>
      </c>
    </row>
    <row r="758" spans="1:17" x14ac:dyDescent="0.25">
      <c r="A758" t="str">
        <f t="shared" si="33"/>
        <v>Alphonse Areola</v>
      </c>
      <c r="B758" t="s">
        <v>2012</v>
      </c>
      <c r="C758" t="s">
        <v>2013</v>
      </c>
      <c r="D758">
        <v>19</v>
      </c>
      <c r="E758">
        <v>1</v>
      </c>
      <c r="F758">
        <v>42</v>
      </c>
      <c r="G758">
        <v>1800</v>
      </c>
      <c r="H758">
        <v>20</v>
      </c>
      <c r="I758">
        <v>0</v>
      </c>
      <c r="J758">
        <v>1</v>
      </c>
      <c r="K758">
        <v>0</v>
      </c>
      <c r="L758">
        <v>0</v>
      </c>
      <c r="M758">
        <v>51</v>
      </c>
      <c r="N758">
        <v>220</v>
      </c>
      <c r="O758">
        <v>0</v>
      </c>
      <c r="P758">
        <f t="shared" si="34"/>
        <v>0</v>
      </c>
      <c r="Q758">
        <f t="shared" si="35"/>
        <v>0</v>
      </c>
    </row>
    <row r="759" spans="1:17" x14ac:dyDescent="0.25">
      <c r="A759" t="str">
        <f t="shared" si="33"/>
        <v>Wes Foderingham</v>
      </c>
      <c r="B759" t="s">
        <v>619</v>
      </c>
      <c r="C759" t="s">
        <v>1943</v>
      </c>
      <c r="D759">
        <v>19</v>
      </c>
      <c r="E759">
        <v>1</v>
      </c>
      <c r="F759">
        <v>40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f t="shared" si="34"/>
        <v>0</v>
      </c>
      <c r="Q759">
        <f t="shared" si="35"/>
        <v>0</v>
      </c>
    </row>
    <row r="760" spans="1:17" x14ac:dyDescent="0.25">
      <c r="A760" t="str">
        <f t="shared" si="33"/>
        <v>Krisztián Hegyi</v>
      </c>
      <c r="B760" t="s">
        <v>2552</v>
      </c>
      <c r="C760" t="s">
        <v>2553</v>
      </c>
      <c r="D760">
        <v>19</v>
      </c>
      <c r="E760">
        <v>1</v>
      </c>
      <c r="F760">
        <v>39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f t="shared" si="34"/>
        <v>0</v>
      </c>
      <c r="Q760">
        <f t="shared" si="35"/>
        <v>0</v>
      </c>
    </row>
    <row r="761" spans="1:17" x14ac:dyDescent="0.25">
      <c r="A761" t="str">
        <f t="shared" si="33"/>
        <v>El Hadji Malick Diouf</v>
      </c>
      <c r="B761" t="s">
        <v>1240</v>
      </c>
      <c r="C761" t="s">
        <v>1241</v>
      </c>
      <c r="D761">
        <v>19</v>
      </c>
      <c r="E761">
        <v>2</v>
      </c>
      <c r="F761">
        <v>41</v>
      </c>
      <c r="G761">
        <v>2706</v>
      </c>
      <c r="H761">
        <v>30</v>
      </c>
      <c r="I761">
        <v>0</v>
      </c>
      <c r="J761">
        <v>6</v>
      </c>
      <c r="K761">
        <v>0.56999999999999995</v>
      </c>
      <c r="L761">
        <v>2.5099999999999998</v>
      </c>
      <c r="M761">
        <v>104</v>
      </c>
      <c r="N761">
        <v>381</v>
      </c>
      <c r="O761">
        <v>205</v>
      </c>
      <c r="P761">
        <f t="shared" si="34"/>
        <v>1.8957871396895785E-2</v>
      </c>
      <c r="Q761">
        <f t="shared" si="35"/>
        <v>8.3481152993348101E-2</v>
      </c>
    </row>
    <row r="762" spans="1:17" x14ac:dyDescent="0.25">
      <c r="A762" t="str">
        <f t="shared" si="33"/>
        <v>Emerson Palmieri dos Santos</v>
      </c>
      <c r="B762" t="s">
        <v>1977</v>
      </c>
      <c r="C762" t="s">
        <v>2025</v>
      </c>
      <c r="D762">
        <v>19</v>
      </c>
      <c r="E762">
        <v>2</v>
      </c>
      <c r="F762">
        <v>44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f t="shared" si="34"/>
        <v>0</v>
      </c>
      <c r="Q762">
        <f t="shared" si="35"/>
        <v>0</v>
      </c>
    </row>
    <row r="763" spans="1:17" x14ac:dyDescent="0.25">
      <c r="A763" t="str">
        <f t="shared" si="33"/>
        <v>Maximilian Kilman</v>
      </c>
      <c r="B763" t="s">
        <v>2554</v>
      </c>
      <c r="C763" t="s">
        <v>2079</v>
      </c>
      <c r="D763">
        <v>19</v>
      </c>
      <c r="E763">
        <v>2</v>
      </c>
      <c r="F763">
        <v>40</v>
      </c>
      <c r="G763">
        <v>1559</v>
      </c>
      <c r="H763">
        <v>17</v>
      </c>
      <c r="I763">
        <v>0</v>
      </c>
      <c r="J763">
        <v>0</v>
      </c>
      <c r="K763">
        <v>0.56000000000000005</v>
      </c>
      <c r="L763">
        <v>0.25</v>
      </c>
      <c r="M763">
        <v>36</v>
      </c>
      <c r="N763">
        <v>80</v>
      </c>
      <c r="O763">
        <v>160</v>
      </c>
      <c r="P763">
        <f t="shared" si="34"/>
        <v>3.2328415651058373E-2</v>
      </c>
      <c r="Q763">
        <f t="shared" si="35"/>
        <v>1.4432328415651058E-2</v>
      </c>
    </row>
    <row r="764" spans="1:17" x14ac:dyDescent="0.25">
      <c r="A764" t="str">
        <f t="shared" si="33"/>
        <v>Konstantinos Mavropanos</v>
      </c>
      <c r="B764" t="s">
        <v>590</v>
      </c>
      <c r="C764" t="s">
        <v>2049</v>
      </c>
      <c r="D764">
        <v>19</v>
      </c>
      <c r="E764">
        <v>2</v>
      </c>
      <c r="F764">
        <v>45</v>
      </c>
      <c r="G764">
        <v>2532</v>
      </c>
      <c r="H764">
        <v>27</v>
      </c>
      <c r="I764">
        <v>3</v>
      </c>
      <c r="J764">
        <v>0</v>
      </c>
      <c r="K764">
        <v>2.4700000000000002</v>
      </c>
      <c r="L764">
        <v>0.7</v>
      </c>
      <c r="M764">
        <v>122</v>
      </c>
      <c r="N764">
        <v>386</v>
      </c>
      <c r="O764">
        <v>313</v>
      </c>
      <c r="P764">
        <f t="shared" si="34"/>
        <v>8.7796208530805692E-2</v>
      </c>
      <c r="Q764">
        <f t="shared" si="35"/>
        <v>2.4881516587677722E-2</v>
      </c>
    </row>
    <row r="765" spans="1:17" x14ac:dyDescent="0.25">
      <c r="A765" t="str">
        <f t="shared" si="33"/>
        <v>Nayef Aguerd</v>
      </c>
      <c r="B765" t="s">
        <v>2008</v>
      </c>
      <c r="C765" t="s">
        <v>2009</v>
      </c>
      <c r="D765">
        <v>19</v>
      </c>
      <c r="E765">
        <v>2</v>
      </c>
      <c r="F765">
        <v>44</v>
      </c>
      <c r="G765">
        <v>180</v>
      </c>
      <c r="H765">
        <v>2</v>
      </c>
      <c r="I765">
        <v>0</v>
      </c>
      <c r="J765">
        <v>0</v>
      </c>
      <c r="K765">
        <v>0.1</v>
      </c>
      <c r="L765">
        <v>0.03</v>
      </c>
      <c r="M765">
        <v>3</v>
      </c>
      <c r="N765">
        <v>-1</v>
      </c>
      <c r="O765">
        <v>15</v>
      </c>
      <c r="P765">
        <f t="shared" si="34"/>
        <v>0.05</v>
      </c>
      <c r="Q765">
        <f t="shared" si="35"/>
        <v>1.4999999999999999E-2</v>
      </c>
    </row>
    <row r="766" spans="1:17" x14ac:dyDescent="0.25">
      <c r="A766" t="str">
        <f t="shared" si="33"/>
        <v>Ollie Scarles</v>
      </c>
      <c r="B766" t="s">
        <v>121</v>
      </c>
      <c r="C766" t="s">
        <v>2053</v>
      </c>
      <c r="D766">
        <v>19</v>
      </c>
      <c r="E766">
        <v>2</v>
      </c>
      <c r="F766">
        <v>43</v>
      </c>
      <c r="G766">
        <v>656</v>
      </c>
      <c r="H766">
        <v>9</v>
      </c>
      <c r="I766">
        <v>0</v>
      </c>
      <c r="J766">
        <v>1</v>
      </c>
      <c r="K766">
        <v>0.18</v>
      </c>
      <c r="L766">
        <v>0.32</v>
      </c>
      <c r="M766">
        <v>21</v>
      </c>
      <c r="N766">
        <v>88</v>
      </c>
      <c r="O766">
        <v>74</v>
      </c>
      <c r="P766">
        <f t="shared" si="34"/>
        <v>2.469512195121951E-2</v>
      </c>
      <c r="Q766">
        <f t="shared" si="35"/>
        <v>4.3902439024390241E-2</v>
      </c>
    </row>
    <row r="767" spans="1:17" x14ac:dyDescent="0.25">
      <c r="A767" t="str">
        <f t="shared" si="33"/>
        <v>Jean-Clair Todibo</v>
      </c>
      <c r="B767" t="s">
        <v>2371</v>
      </c>
      <c r="C767" t="s">
        <v>2372</v>
      </c>
      <c r="D767">
        <v>19</v>
      </c>
      <c r="E767">
        <v>2</v>
      </c>
      <c r="F767">
        <v>43</v>
      </c>
      <c r="G767">
        <v>1817</v>
      </c>
      <c r="H767">
        <v>22</v>
      </c>
      <c r="I767">
        <v>0</v>
      </c>
      <c r="J767">
        <v>1</v>
      </c>
      <c r="K767">
        <v>0.25</v>
      </c>
      <c r="L767">
        <v>0.32</v>
      </c>
      <c r="M767">
        <v>46</v>
      </c>
      <c r="N767">
        <v>160</v>
      </c>
      <c r="O767">
        <v>165</v>
      </c>
      <c r="P767">
        <f t="shared" si="34"/>
        <v>1.2383048981838195E-2</v>
      </c>
      <c r="Q767">
        <f t="shared" si="35"/>
        <v>1.5850302696752888E-2</v>
      </c>
    </row>
    <row r="768" spans="1:17" x14ac:dyDescent="0.25">
      <c r="A768" t="str">
        <f t="shared" si="33"/>
        <v>Aaron Wan-Bissaka</v>
      </c>
      <c r="B768" t="s">
        <v>197</v>
      </c>
      <c r="C768" t="s">
        <v>1219</v>
      </c>
      <c r="D768">
        <v>19</v>
      </c>
      <c r="E768">
        <v>2</v>
      </c>
      <c r="F768">
        <v>41</v>
      </c>
      <c r="G768">
        <v>2080</v>
      </c>
      <c r="H768">
        <v>23</v>
      </c>
      <c r="I768">
        <v>0</v>
      </c>
      <c r="J768">
        <v>3</v>
      </c>
      <c r="K768">
        <v>0</v>
      </c>
      <c r="L768">
        <v>1</v>
      </c>
      <c r="M768">
        <v>67</v>
      </c>
      <c r="N768">
        <v>203</v>
      </c>
      <c r="O768">
        <v>174</v>
      </c>
      <c r="P768">
        <f t="shared" si="34"/>
        <v>0</v>
      </c>
      <c r="Q768">
        <f t="shared" si="35"/>
        <v>4.3269230769230768E-2</v>
      </c>
    </row>
    <row r="769" spans="1:17" x14ac:dyDescent="0.25">
      <c r="A769" t="str">
        <f t="shared" si="33"/>
        <v>Kaelan Casey</v>
      </c>
      <c r="B769" t="s">
        <v>2051</v>
      </c>
      <c r="C769" t="s">
        <v>2052</v>
      </c>
      <c r="D769">
        <v>19</v>
      </c>
      <c r="E769">
        <v>2</v>
      </c>
      <c r="F769">
        <v>40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f t="shared" si="34"/>
        <v>0</v>
      </c>
      <c r="Q769">
        <f t="shared" si="35"/>
        <v>0</v>
      </c>
    </row>
    <row r="770" spans="1:17" x14ac:dyDescent="0.25">
      <c r="A770" t="str">
        <f t="shared" ref="A770:A833" si="36">_xlfn.CONCAT(B770, " ", C770)</f>
        <v>Lucas Tolentino Coelho de Lima</v>
      </c>
      <c r="B770" t="s">
        <v>78</v>
      </c>
      <c r="C770" t="s">
        <v>2035</v>
      </c>
      <c r="D770">
        <v>19</v>
      </c>
      <c r="E770">
        <v>3</v>
      </c>
      <c r="F770">
        <v>59</v>
      </c>
      <c r="G770">
        <v>1513</v>
      </c>
      <c r="H770">
        <v>18</v>
      </c>
      <c r="I770">
        <v>4</v>
      </c>
      <c r="J770">
        <v>2</v>
      </c>
      <c r="K770">
        <v>2.85</v>
      </c>
      <c r="L770">
        <v>2</v>
      </c>
      <c r="M770">
        <v>69</v>
      </c>
      <c r="N770">
        <v>291</v>
      </c>
      <c r="O770">
        <v>146</v>
      </c>
      <c r="P770">
        <f t="shared" ref="P770:P833" si="37">IFERROR(K770/G770*90,0)</f>
        <v>0.16953073364177132</v>
      </c>
      <c r="Q770">
        <f t="shared" ref="Q770:Q833" si="38">IFERROR(L770/G770*90,0)</f>
        <v>0.11896893588896232</v>
      </c>
    </row>
    <row r="771" spans="1:17" x14ac:dyDescent="0.25">
      <c r="A771" t="str">
        <f t="shared" si="36"/>
        <v>Tomáš Souček</v>
      </c>
      <c r="B771" t="s">
        <v>2038</v>
      </c>
      <c r="C771" t="s">
        <v>2039</v>
      </c>
      <c r="D771">
        <v>19</v>
      </c>
      <c r="E771">
        <v>3</v>
      </c>
      <c r="F771">
        <v>57</v>
      </c>
      <c r="G771">
        <v>2190</v>
      </c>
      <c r="H771">
        <v>24</v>
      </c>
      <c r="I771">
        <v>5</v>
      </c>
      <c r="J771">
        <v>2</v>
      </c>
      <c r="K771">
        <v>5.73</v>
      </c>
      <c r="L771">
        <v>0.52</v>
      </c>
      <c r="M771">
        <v>103</v>
      </c>
      <c r="N771">
        <v>428</v>
      </c>
      <c r="O771">
        <v>224</v>
      </c>
      <c r="P771">
        <f t="shared" si="37"/>
        <v>0.23547945205479454</v>
      </c>
      <c r="Q771">
        <f t="shared" si="38"/>
        <v>2.1369863013698632E-2</v>
      </c>
    </row>
    <row r="772" spans="1:17" x14ac:dyDescent="0.25">
      <c r="A772" t="str">
        <f t="shared" si="36"/>
        <v>Crysencio Summerville</v>
      </c>
      <c r="B772" t="s">
        <v>2366</v>
      </c>
      <c r="C772" t="s">
        <v>2367</v>
      </c>
      <c r="D772">
        <v>19</v>
      </c>
      <c r="E772">
        <v>3</v>
      </c>
      <c r="F772">
        <v>54</v>
      </c>
      <c r="G772">
        <v>2470</v>
      </c>
      <c r="H772">
        <v>29</v>
      </c>
      <c r="I772">
        <v>5</v>
      </c>
      <c r="J772">
        <v>4</v>
      </c>
      <c r="K772">
        <v>5.43</v>
      </c>
      <c r="L772">
        <v>3.35</v>
      </c>
      <c r="M772">
        <v>110</v>
      </c>
      <c r="N772">
        <v>412</v>
      </c>
      <c r="O772">
        <v>215</v>
      </c>
      <c r="P772">
        <f t="shared" si="37"/>
        <v>0.19785425101214574</v>
      </c>
      <c r="Q772">
        <f t="shared" si="38"/>
        <v>0.12206477732793522</v>
      </c>
    </row>
    <row r="773" spans="1:17" x14ac:dyDescent="0.25">
      <c r="A773" t="str">
        <f t="shared" si="36"/>
        <v>Edson Álvarez Velázquez</v>
      </c>
      <c r="B773" t="s">
        <v>2045</v>
      </c>
      <c r="C773" t="s">
        <v>2046</v>
      </c>
      <c r="D773">
        <v>19</v>
      </c>
      <c r="E773">
        <v>3</v>
      </c>
      <c r="F773">
        <v>49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f t="shared" si="37"/>
        <v>0</v>
      </c>
      <c r="Q773">
        <f t="shared" si="38"/>
        <v>0</v>
      </c>
    </row>
    <row r="774" spans="1:17" x14ac:dyDescent="0.25">
      <c r="A774" t="str">
        <f t="shared" si="36"/>
        <v>Maxwel Cornet</v>
      </c>
      <c r="B774" t="s">
        <v>2018</v>
      </c>
      <c r="C774" t="s">
        <v>2019</v>
      </c>
      <c r="D774">
        <v>19</v>
      </c>
      <c r="E774">
        <v>3</v>
      </c>
      <c r="F774">
        <v>49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f t="shared" si="37"/>
        <v>0</v>
      </c>
      <c r="Q774">
        <f t="shared" si="38"/>
        <v>0</v>
      </c>
    </row>
    <row r="775" spans="1:17" x14ac:dyDescent="0.25">
      <c r="A775" t="str">
        <f t="shared" si="36"/>
        <v>Guido Rodríguez</v>
      </c>
      <c r="B775" t="s">
        <v>2368</v>
      </c>
      <c r="C775" t="s">
        <v>176</v>
      </c>
      <c r="D775">
        <v>19</v>
      </c>
      <c r="E775">
        <v>3</v>
      </c>
      <c r="F775">
        <v>48</v>
      </c>
      <c r="G775">
        <v>175</v>
      </c>
      <c r="H775">
        <v>2</v>
      </c>
      <c r="I775">
        <v>0</v>
      </c>
      <c r="J775">
        <v>0</v>
      </c>
      <c r="K775">
        <v>0.03</v>
      </c>
      <c r="L775">
        <v>0.04</v>
      </c>
      <c r="M775">
        <v>8</v>
      </c>
      <c r="N775">
        <v>30</v>
      </c>
      <c r="O775">
        <v>15</v>
      </c>
      <c r="P775">
        <f t="shared" si="37"/>
        <v>1.5428571428571429E-2</v>
      </c>
      <c r="Q775">
        <f t="shared" si="38"/>
        <v>2.057142857142857E-2</v>
      </c>
    </row>
    <row r="776" spans="1:17" x14ac:dyDescent="0.25">
      <c r="A776" t="str">
        <f t="shared" si="36"/>
        <v>Luis Guilherme Lira dos Santos</v>
      </c>
      <c r="B776" t="s">
        <v>2363</v>
      </c>
      <c r="C776" t="s">
        <v>2364</v>
      </c>
      <c r="D776">
        <v>19</v>
      </c>
      <c r="E776">
        <v>3</v>
      </c>
      <c r="F776">
        <v>49</v>
      </c>
      <c r="G776">
        <v>121</v>
      </c>
      <c r="H776">
        <v>1</v>
      </c>
      <c r="I776">
        <v>0</v>
      </c>
      <c r="J776">
        <v>0</v>
      </c>
      <c r="K776">
        <v>7.0000000000000007E-2</v>
      </c>
      <c r="L776">
        <v>0.03</v>
      </c>
      <c r="M776">
        <v>5</v>
      </c>
      <c r="N776">
        <v>11</v>
      </c>
      <c r="O776">
        <v>11</v>
      </c>
      <c r="P776">
        <f t="shared" si="37"/>
        <v>5.2066115702479342E-2</v>
      </c>
      <c r="Q776">
        <f t="shared" si="38"/>
        <v>2.2314049586776859E-2</v>
      </c>
    </row>
    <row r="777" spans="1:17" x14ac:dyDescent="0.25">
      <c r="A777" t="str">
        <f t="shared" si="36"/>
        <v>George Earthy</v>
      </c>
      <c r="B777" t="s">
        <v>113</v>
      </c>
      <c r="C777" t="s">
        <v>2055</v>
      </c>
      <c r="D777">
        <v>19</v>
      </c>
      <c r="E777">
        <v>3</v>
      </c>
      <c r="F777">
        <v>45</v>
      </c>
      <c r="G777">
        <v>8</v>
      </c>
      <c r="H777">
        <v>0</v>
      </c>
      <c r="I777">
        <v>0</v>
      </c>
      <c r="J777">
        <v>0</v>
      </c>
      <c r="K777">
        <v>0</v>
      </c>
      <c r="L777">
        <v>0.01</v>
      </c>
      <c r="M777">
        <v>1</v>
      </c>
      <c r="N777">
        <v>3</v>
      </c>
      <c r="O777">
        <v>0</v>
      </c>
      <c r="P777">
        <f t="shared" si="37"/>
        <v>0</v>
      </c>
      <c r="Q777">
        <f t="shared" si="38"/>
        <v>0.1125</v>
      </c>
    </row>
    <row r="778" spans="1:17" x14ac:dyDescent="0.25">
      <c r="A778" t="str">
        <f t="shared" si="36"/>
        <v>Andy Irving</v>
      </c>
      <c r="B778" t="s">
        <v>1628</v>
      </c>
      <c r="C778" t="s">
        <v>2365</v>
      </c>
      <c r="D778">
        <v>19</v>
      </c>
      <c r="E778">
        <v>3</v>
      </c>
      <c r="F778">
        <v>43</v>
      </c>
      <c r="G778">
        <v>156</v>
      </c>
      <c r="H778">
        <v>2</v>
      </c>
      <c r="I778">
        <v>0</v>
      </c>
      <c r="J778">
        <v>0</v>
      </c>
      <c r="K778">
        <v>0</v>
      </c>
      <c r="L778">
        <v>0.17</v>
      </c>
      <c r="M778">
        <v>9</v>
      </c>
      <c r="N778">
        <v>49</v>
      </c>
      <c r="O778">
        <v>22</v>
      </c>
      <c r="P778">
        <f t="shared" si="37"/>
        <v>0</v>
      </c>
      <c r="Q778">
        <f t="shared" si="38"/>
        <v>9.8076923076923089E-2</v>
      </c>
    </row>
    <row r="779" spans="1:17" x14ac:dyDescent="0.25">
      <c r="A779" t="str">
        <f t="shared" si="36"/>
        <v>Lewis Orford</v>
      </c>
      <c r="B779" t="s">
        <v>157</v>
      </c>
      <c r="C779" t="s">
        <v>2050</v>
      </c>
      <c r="D779">
        <v>19</v>
      </c>
      <c r="E779">
        <v>3</v>
      </c>
      <c r="F779">
        <v>44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f t="shared" si="37"/>
        <v>0</v>
      </c>
      <c r="Q779">
        <f t="shared" si="38"/>
        <v>0</v>
      </c>
    </row>
    <row r="780" spans="1:17" x14ac:dyDescent="0.25">
      <c r="A780" t="str">
        <f t="shared" si="36"/>
        <v>Freddie Potts</v>
      </c>
      <c r="B780" t="s">
        <v>694</v>
      </c>
      <c r="C780" t="s">
        <v>1734</v>
      </c>
      <c r="D780">
        <v>19</v>
      </c>
      <c r="E780">
        <v>3</v>
      </c>
      <c r="F780">
        <v>43</v>
      </c>
      <c r="G780">
        <v>1162</v>
      </c>
      <c r="H780">
        <v>12</v>
      </c>
      <c r="I780">
        <v>0</v>
      </c>
      <c r="J780">
        <v>1</v>
      </c>
      <c r="K780">
        <v>0.21</v>
      </c>
      <c r="L780">
        <v>1.06</v>
      </c>
      <c r="M780">
        <v>37</v>
      </c>
      <c r="N780">
        <v>215</v>
      </c>
      <c r="O780">
        <v>119</v>
      </c>
      <c r="P780">
        <f t="shared" si="37"/>
        <v>1.6265060240963854E-2</v>
      </c>
      <c r="Q780">
        <f t="shared" si="38"/>
        <v>8.2099827882960413E-2</v>
      </c>
    </row>
    <row r="781" spans="1:17" x14ac:dyDescent="0.25">
      <c r="A781" t="str">
        <f t="shared" si="36"/>
        <v>Jarrod Bowen</v>
      </c>
      <c r="B781" t="s">
        <v>2016</v>
      </c>
      <c r="C781" t="s">
        <v>2017</v>
      </c>
      <c r="D781">
        <v>19</v>
      </c>
      <c r="E781">
        <v>4</v>
      </c>
      <c r="F781">
        <v>78</v>
      </c>
      <c r="G781">
        <v>3406</v>
      </c>
      <c r="H781">
        <v>38</v>
      </c>
      <c r="I781">
        <v>9</v>
      </c>
      <c r="J781">
        <v>13</v>
      </c>
      <c r="K781">
        <v>7.22</v>
      </c>
      <c r="L781">
        <v>5.21</v>
      </c>
      <c r="M781">
        <v>187</v>
      </c>
      <c r="N781">
        <v>731</v>
      </c>
      <c r="O781">
        <v>281</v>
      </c>
      <c r="P781">
        <f t="shared" si="37"/>
        <v>0.1907809747504404</v>
      </c>
      <c r="Q781">
        <f t="shared" si="38"/>
        <v>0.13766881972988843</v>
      </c>
    </row>
    <row r="782" spans="1:17" x14ac:dyDescent="0.25">
      <c r="A782" t="str">
        <f t="shared" si="36"/>
        <v>Niclas Füllkrug</v>
      </c>
      <c r="B782" t="s">
        <v>2369</v>
      </c>
      <c r="C782" t="s">
        <v>2370</v>
      </c>
      <c r="D782">
        <v>19</v>
      </c>
      <c r="E782">
        <v>4</v>
      </c>
      <c r="F782">
        <v>56</v>
      </c>
      <c r="G782">
        <v>407</v>
      </c>
      <c r="H782">
        <v>5</v>
      </c>
      <c r="I782">
        <v>0</v>
      </c>
      <c r="J782">
        <v>0</v>
      </c>
      <c r="K782">
        <v>0.93</v>
      </c>
      <c r="L782">
        <v>0.21</v>
      </c>
      <c r="M782">
        <v>12</v>
      </c>
      <c r="N782">
        <v>28</v>
      </c>
      <c r="O782">
        <v>19</v>
      </c>
      <c r="P782">
        <f t="shared" si="37"/>
        <v>0.20565110565110564</v>
      </c>
      <c r="Q782">
        <f t="shared" si="38"/>
        <v>4.6437346437346434E-2</v>
      </c>
    </row>
    <row r="783" spans="1:17" x14ac:dyDescent="0.25">
      <c r="A783" t="str">
        <f t="shared" si="36"/>
        <v>Callum Marshall</v>
      </c>
      <c r="B783" t="s">
        <v>227</v>
      </c>
      <c r="C783" t="s">
        <v>2054</v>
      </c>
      <c r="D783">
        <v>19</v>
      </c>
      <c r="E783">
        <v>4</v>
      </c>
      <c r="F783">
        <v>43</v>
      </c>
      <c r="G783">
        <v>58</v>
      </c>
      <c r="H783">
        <v>0</v>
      </c>
      <c r="I783">
        <v>0</v>
      </c>
      <c r="J783">
        <v>0</v>
      </c>
      <c r="K783">
        <v>0.13</v>
      </c>
      <c r="L783">
        <v>0</v>
      </c>
      <c r="M783">
        <v>2</v>
      </c>
      <c r="N783">
        <v>0</v>
      </c>
      <c r="O783">
        <v>3</v>
      </c>
      <c r="P783">
        <f t="shared" si="37"/>
        <v>0.20172413793103447</v>
      </c>
      <c r="Q783">
        <f t="shared" si="38"/>
        <v>0</v>
      </c>
    </row>
    <row r="784" spans="1:17" x14ac:dyDescent="0.25">
      <c r="A784" t="str">
        <f t="shared" si="36"/>
        <v>Kyle Walker-Peters</v>
      </c>
      <c r="B784" t="s">
        <v>1787</v>
      </c>
      <c r="C784" t="s">
        <v>2338</v>
      </c>
      <c r="D784">
        <v>19</v>
      </c>
      <c r="E784">
        <v>2</v>
      </c>
      <c r="F784">
        <v>42</v>
      </c>
      <c r="G784">
        <v>1378</v>
      </c>
      <c r="H784">
        <v>15</v>
      </c>
      <c r="I784">
        <v>1</v>
      </c>
      <c r="J784">
        <v>0</v>
      </c>
      <c r="K784">
        <v>1.1299999999999999</v>
      </c>
      <c r="L784">
        <v>0.37</v>
      </c>
      <c r="M784">
        <v>53</v>
      </c>
      <c r="N784">
        <v>219</v>
      </c>
      <c r="O784">
        <v>93</v>
      </c>
      <c r="P784">
        <f t="shared" si="37"/>
        <v>7.3802612481857752E-2</v>
      </c>
      <c r="Q784">
        <f t="shared" si="38"/>
        <v>2.4165457184325105E-2</v>
      </c>
    </row>
    <row r="785" spans="1:17" x14ac:dyDescent="0.25">
      <c r="A785" t="str">
        <f t="shared" si="36"/>
        <v>Callum Wilson</v>
      </c>
      <c r="B785" t="s">
        <v>227</v>
      </c>
      <c r="C785" t="s">
        <v>228</v>
      </c>
      <c r="D785">
        <v>19</v>
      </c>
      <c r="E785">
        <v>4</v>
      </c>
      <c r="F785">
        <v>58</v>
      </c>
      <c r="G785">
        <v>1234</v>
      </c>
      <c r="H785">
        <v>11</v>
      </c>
      <c r="I785">
        <v>7</v>
      </c>
      <c r="J785">
        <v>2</v>
      </c>
      <c r="K785">
        <v>7.6</v>
      </c>
      <c r="L785">
        <v>0.54</v>
      </c>
      <c r="M785">
        <v>80</v>
      </c>
      <c r="N785">
        <v>296</v>
      </c>
      <c r="O785">
        <v>41</v>
      </c>
      <c r="P785">
        <f t="shared" si="37"/>
        <v>0.5542949756888168</v>
      </c>
      <c r="Q785">
        <f t="shared" si="38"/>
        <v>3.9384116693679097E-2</v>
      </c>
    </row>
    <row r="786" spans="1:17" x14ac:dyDescent="0.25">
      <c r="A786" t="str">
        <f t="shared" si="36"/>
        <v>Mads Hermansen</v>
      </c>
      <c r="B786" t="s">
        <v>1385</v>
      </c>
      <c r="C786" t="s">
        <v>2244</v>
      </c>
      <c r="D786">
        <v>19</v>
      </c>
      <c r="E786">
        <v>1</v>
      </c>
      <c r="F786">
        <v>42</v>
      </c>
      <c r="G786">
        <v>1620</v>
      </c>
      <c r="H786">
        <v>18</v>
      </c>
      <c r="I786">
        <v>0</v>
      </c>
      <c r="J786">
        <v>1</v>
      </c>
      <c r="K786">
        <v>0</v>
      </c>
      <c r="L786">
        <v>0.01</v>
      </c>
      <c r="M786">
        <v>76</v>
      </c>
      <c r="N786">
        <v>282</v>
      </c>
      <c r="O786">
        <v>0</v>
      </c>
      <c r="P786">
        <f t="shared" si="37"/>
        <v>0</v>
      </c>
      <c r="Q786">
        <f t="shared" si="38"/>
        <v>5.5555555555555556E-4</v>
      </c>
    </row>
    <row r="787" spans="1:17" x14ac:dyDescent="0.25">
      <c r="A787" t="str">
        <f t="shared" si="36"/>
        <v>Mateus Gonçalo Espanha Fernandes</v>
      </c>
      <c r="B787" t="s">
        <v>2340</v>
      </c>
      <c r="C787" t="s">
        <v>2341</v>
      </c>
      <c r="D787">
        <v>19</v>
      </c>
      <c r="E787">
        <v>3</v>
      </c>
      <c r="F787">
        <v>55</v>
      </c>
      <c r="G787">
        <v>3017</v>
      </c>
      <c r="H787">
        <v>35</v>
      </c>
      <c r="I787">
        <v>3</v>
      </c>
      <c r="J787">
        <v>4</v>
      </c>
      <c r="K787">
        <v>1.99</v>
      </c>
      <c r="L787">
        <v>2.96</v>
      </c>
      <c r="M787">
        <v>135</v>
      </c>
      <c r="N787">
        <v>659</v>
      </c>
      <c r="O787">
        <v>369</v>
      </c>
      <c r="P787">
        <f t="shared" si="37"/>
        <v>5.9363606231355649E-2</v>
      </c>
      <c r="Q787">
        <f t="shared" si="38"/>
        <v>8.8299635399403387E-2</v>
      </c>
    </row>
    <row r="788" spans="1:17" x14ac:dyDescent="0.25">
      <c r="A788" t="str">
        <f t="shared" si="36"/>
        <v>Soungoutou Magassa</v>
      </c>
      <c r="B788" t="s">
        <v>2555</v>
      </c>
      <c r="C788" t="s">
        <v>2556</v>
      </c>
      <c r="D788">
        <v>19</v>
      </c>
      <c r="E788">
        <v>3</v>
      </c>
      <c r="F788">
        <v>50</v>
      </c>
      <c r="G788">
        <v>971</v>
      </c>
      <c r="H788">
        <v>11</v>
      </c>
      <c r="I788">
        <v>1</v>
      </c>
      <c r="J788">
        <v>0</v>
      </c>
      <c r="K788">
        <v>0.44</v>
      </c>
      <c r="L788">
        <v>0.32</v>
      </c>
      <c r="M788">
        <v>42</v>
      </c>
      <c r="N788">
        <v>185</v>
      </c>
      <c r="O788">
        <v>127</v>
      </c>
      <c r="P788">
        <f t="shared" si="37"/>
        <v>4.0782698249227603E-2</v>
      </c>
      <c r="Q788">
        <f t="shared" si="38"/>
        <v>2.966014418125644E-2</v>
      </c>
    </row>
    <row r="789" spans="1:17" x14ac:dyDescent="0.25">
      <c r="A789" t="str">
        <f t="shared" si="36"/>
        <v>Lukasz Fabianski</v>
      </c>
      <c r="B789" t="s">
        <v>2026</v>
      </c>
      <c r="C789" t="s">
        <v>2027</v>
      </c>
      <c r="D789">
        <v>19</v>
      </c>
      <c r="E789">
        <v>1</v>
      </c>
      <c r="F789">
        <v>45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37"/>
        <v>0</v>
      </c>
      <c r="Q789">
        <f t="shared" si="38"/>
        <v>0</v>
      </c>
    </row>
    <row r="790" spans="1:17" x14ac:dyDescent="0.25">
      <c r="A790" t="str">
        <f t="shared" si="36"/>
        <v>Ezra Mayers</v>
      </c>
      <c r="B790" t="s">
        <v>2373</v>
      </c>
      <c r="C790" t="s">
        <v>2374</v>
      </c>
      <c r="D790">
        <v>19</v>
      </c>
      <c r="E790">
        <v>2</v>
      </c>
      <c r="F790">
        <v>40</v>
      </c>
      <c r="G790">
        <v>113</v>
      </c>
      <c r="H790">
        <v>0</v>
      </c>
      <c r="I790">
        <v>0</v>
      </c>
      <c r="J790">
        <v>0</v>
      </c>
      <c r="K790">
        <v>0.12</v>
      </c>
      <c r="L790">
        <v>0.49</v>
      </c>
      <c r="M790">
        <v>6</v>
      </c>
      <c r="N790">
        <v>18</v>
      </c>
      <c r="O790">
        <v>5</v>
      </c>
      <c r="P790">
        <f t="shared" si="37"/>
        <v>9.5575221238938038E-2</v>
      </c>
      <c r="Q790">
        <f t="shared" si="38"/>
        <v>0.39026548672566375</v>
      </c>
    </row>
    <row r="791" spans="1:17" x14ac:dyDescent="0.25">
      <c r="A791" t="str">
        <f t="shared" si="36"/>
        <v>Airidas Golambeckis</v>
      </c>
      <c r="B791" t="s">
        <v>2557</v>
      </c>
      <c r="C791" t="s">
        <v>2558</v>
      </c>
      <c r="D791">
        <v>19</v>
      </c>
      <c r="E791">
        <v>2</v>
      </c>
      <c r="F791">
        <v>40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37"/>
        <v>0</v>
      </c>
      <c r="Q791">
        <f t="shared" si="38"/>
        <v>0</v>
      </c>
    </row>
    <row r="792" spans="1:17" x14ac:dyDescent="0.25">
      <c r="A792" t="str">
        <f t="shared" si="36"/>
        <v>Mohamadou Kanté</v>
      </c>
      <c r="B792" t="s">
        <v>2559</v>
      </c>
      <c r="C792" t="s">
        <v>2560</v>
      </c>
      <c r="D792">
        <v>19</v>
      </c>
      <c r="E792">
        <v>3</v>
      </c>
      <c r="F792">
        <v>45</v>
      </c>
      <c r="G792">
        <v>67</v>
      </c>
      <c r="H792">
        <v>0</v>
      </c>
      <c r="I792">
        <v>0</v>
      </c>
      <c r="J792">
        <v>0</v>
      </c>
      <c r="K792">
        <v>7.0000000000000007E-2</v>
      </c>
      <c r="L792">
        <v>0.04</v>
      </c>
      <c r="M792">
        <v>9</v>
      </c>
      <c r="N792">
        <v>29</v>
      </c>
      <c r="O792">
        <v>16</v>
      </c>
      <c r="P792">
        <f t="shared" si="37"/>
        <v>9.402985074626867E-2</v>
      </c>
      <c r="Q792">
        <f t="shared" si="38"/>
        <v>5.3731343283582089E-2</v>
      </c>
    </row>
    <row r="793" spans="1:17" x14ac:dyDescent="0.25">
      <c r="A793" t="str">
        <f t="shared" si="36"/>
        <v>Pablo Felipe Pereira de Jesus</v>
      </c>
      <c r="B793" t="s">
        <v>2561</v>
      </c>
      <c r="C793" t="s">
        <v>2562</v>
      </c>
      <c r="D793">
        <v>19</v>
      </c>
      <c r="E793">
        <v>4</v>
      </c>
      <c r="F793">
        <v>54</v>
      </c>
      <c r="G793">
        <v>819</v>
      </c>
      <c r="H793">
        <v>10</v>
      </c>
      <c r="I793">
        <v>0</v>
      </c>
      <c r="J793">
        <v>1</v>
      </c>
      <c r="K793">
        <v>1.05</v>
      </c>
      <c r="L793">
        <v>1.1100000000000001</v>
      </c>
      <c r="M793">
        <v>26</v>
      </c>
      <c r="N793">
        <v>102</v>
      </c>
      <c r="O793">
        <v>72</v>
      </c>
      <c r="P793">
        <f t="shared" si="37"/>
        <v>0.11538461538461539</v>
      </c>
      <c r="Q793">
        <f t="shared" si="38"/>
        <v>0.121978021978022</v>
      </c>
    </row>
    <row r="794" spans="1:17" x14ac:dyDescent="0.25">
      <c r="A794" t="str">
        <f t="shared" si="36"/>
        <v>Valentín Castellanos</v>
      </c>
      <c r="B794" t="s">
        <v>351</v>
      </c>
      <c r="C794" t="s">
        <v>2563</v>
      </c>
      <c r="D794">
        <v>19</v>
      </c>
      <c r="E794">
        <v>4</v>
      </c>
      <c r="F794">
        <v>55</v>
      </c>
      <c r="G794">
        <v>1384</v>
      </c>
      <c r="H794">
        <v>17</v>
      </c>
      <c r="I794">
        <v>6</v>
      </c>
      <c r="J794">
        <v>1</v>
      </c>
      <c r="K794">
        <v>5.75</v>
      </c>
      <c r="L794">
        <v>0.81</v>
      </c>
      <c r="M794">
        <v>61</v>
      </c>
      <c r="N794">
        <v>243</v>
      </c>
      <c r="O794">
        <v>71</v>
      </c>
      <c r="P794">
        <f t="shared" si="37"/>
        <v>0.37391618497109824</v>
      </c>
      <c r="Q794">
        <f t="shared" si="38"/>
        <v>5.2673410404624282E-2</v>
      </c>
    </row>
    <row r="795" spans="1:17" x14ac:dyDescent="0.25">
      <c r="A795" t="str">
        <f t="shared" si="36"/>
        <v>Keiber Lamadrid</v>
      </c>
      <c r="B795" t="s">
        <v>2564</v>
      </c>
      <c r="C795" t="s">
        <v>2565</v>
      </c>
      <c r="D795">
        <v>19</v>
      </c>
      <c r="E795">
        <v>3</v>
      </c>
      <c r="F795">
        <v>50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f t="shared" si="37"/>
        <v>0</v>
      </c>
      <c r="Q795">
        <f t="shared" si="38"/>
        <v>0</v>
      </c>
    </row>
    <row r="796" spans="1:17" x14ac:dyDescent="0.25">
      <c r="A796" t="str">
        <f t="shared" si="36"/>
        <v>Axel Disasi</v>
      </c>
      <c r="B796" t="s">
        <v>315</v>
      </c>
      <c r="C796" t="s">
        <v>316</v>
      </c>
      <c r="D796">
        <v>19</v>
      </c>
      <c r="E796">
        <v>2</v>
      </c>
      <c r="F796">
        <v>45</v>
      </c>
      <c r="G796">
        <v>1254</v>
      </c>
      <c r="H796">
        <v>14</v>
      </c>
      <c r="I796">
        <v>0</v>
      </c>
      <c r="J796">
        <v>0</v>
      </c>
      <c r="K796">
        <v>1.1000000000000001</v>
      </c>
      <c r="L796">
        <v>0.03</v>
      </c>
      <c r="M796">
        <v>49</v>
      </c>
      <c r="N796">
        <v>186</v>
      </c>
      <c r="O796">
        <v>88</v>
      </c>
      <c r="P796">
        <f t="shared" si="37"/>
        <v>7.8947368421052641E-2</v>
      </c>
      <c r="Q796">
        <f t="shared" si="38"/>
        <v>2.1531100478468898E-3</v>
      </c>
    </row>
    <row r="797" spans="1:17" x14ac:dyDescent="0.25">
      <c r="A797" t="str">
        <f t="shared" si="36"/>
        <v>Finlay Herrick</v>
      </c>
      <c r="B797" t="s">
        <v>2566</v>
      </c>
      <c r="C797" t="s">
        <v>2567</v>
      </c>
      <c r="D797">
        <v>19</v>
      </c>
      <c r="E797">
        <v>1</v>
      </c>
      <c r="F797">
        <v>40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f t="shared" si="37"/>
        <v>0</v>
      </c>
      <c r="Q797">
        <f t="shared" si="38"/>
        <v>0</v>
      </c>
    </row>
    <row r="798" spans="1:17" x14ac:dyDescent="0.25">
      <c r="A798" t="str">
        <f t="shared" si="36"/>
        <v>Sam Johnstone</v>
      </c>
      <c r="B798" t="s">
        <v>632</v>
      </c>
      <c r="C798" t="s">
        <v>1589</v>
      </c>
      <c r="D798">
        <v>20</v>
      </c>
      <c r="E798">
        <v>1</v>
      </c>
      <c r="F798">
        <v>44</v>
      </c>
      <c r="G798">
        <v>1080</v>
      </c>
      <c r="H798">
        <v>12</v>
      </c>
      <c r="I798">
        <v>0</v>
      </c>
      <c r="J798">
        <v>0</v>
      </c>
      <c r="K798">
        <v>0</v>
      </c>
      <c r="L798">
        <v>0.02</v>
      </c>
      <c r="M798">
        <v>21</v>
      </c>
      <c r="N798">
        <v>117</v>
      </c>
      <c r="O798">
        <v>0</v>
      </c>
      <c r="P798">
        <f t="shared" si="37"/>
        <v>0</v>
      </c>
      <c r="Q798">
        <f t="shared" si="38"/>
        <v>1.6666666666666666E-3</v>
      </c>
    </row>
    <row r="799" spans="1:17" x14ac:dyDescent="0.25">
      <c r="A799" t="str">
        <f t="shared" si="36"/>
        <v>José Malheiro de Sá</v>
      </c>
      <c r="B799" t="s">
        <v>2083</v>
      </c>
      <c r="C799" t="s">
        <v>2084</v>
      </c>
      <c r="D799">
        <v>20</v>
      </c>
      <c r="E799">
        <v>1</v>
      </c>
      <c r="F799">
        <v>42</v>
      </c>
      <c r="G799">
        <v>2070</v>
      </c>
      <c r="H799">
        <v>23</v>
      </c>
      <c r="I799">
        <v>0</v>
      </c>
      <c r="J799">
        <v>0</v>
      </c>
      <c r="K799">
        <v>0</v>
      </c>
      <c r="L799">
        <v>0.04</v>
      </c>
      <c r="M799">
        <v>68</v>
      </c>
      <c r="N799">
        <v>303</v>
      </c>
      <c r="O799">
        <v>0</v>
      </c>
      <c r="P799">
        <f t="shared" si="37"/>
        <v>0</v>
      </c>
      <c r="Q799">
        <f t="shared" si="38"/>
        <v>1.7391304347826088E-3</v>
      </c>
    </row>
    <row r="800" spans="1:17" x14ac:dyDescent="0.25">
      <c r="A800" t="str">
        <f t="shared" si="36"/>
        <v>Daniel Bentley</v>
      </c>
      <c r="B800" t="s">
        <v>416</v>
      </c>
      <c r="C800" t="s">
        <v>1244</v>
      </c>
      <c r="D800">
        <v>20</v>
      </c>
      <c r="E800">
        <v>1</v>
      </c>
      <c r="F800">
        <v>39</v>
      </c>
      <c r="G800">
        <v>270</v>
      </c>
      <c r="H800">
        <v>3</v>
      </c>
      <c r="I800">
        <v>0</v>
      </c>
      <c r="J800">
        <v>0</v>
      </c>
      <c r="K800">
        <v>0</v>
      </c>
      <c r="L800">
        <v>0</v>
      </c>
      <c r="M800">
        <v>6</v>
      </c>
      <c r="N800">
        <v>24</v>
      </c>
      <c r="O800">
        <v>0</v>
      </c>
      <c r="P800">
        <f t="shared" si="37"/>
        <v>0</v>
      </c>
      <c r="Q800">
        <f t="shared" si="38"/>
        <v>0</v>
      </c>
    </row>
    <row r="801" spans="1:17" x14ac:dyDescent="0.25">
      <c r="A801" t="str">
        <f t="shared" si="36"/>
        <v>Emmanuel Agbadou</v>
      </c>
      <c r="B801" t="s">
        <v>344</v>
      </c>
      <c r="C801" t="s">
        <v>2384</v>
      </c>
      <c r="D801">
        <v>20</v>
      </c>
      <c r="E801">
        <v>2</v>
      </c>
      <c r="F801">
        <v>42</v>
      </c>
      <c r="G801">
        <v>1100</v>
      </c>
      <c r="H801">
        <v>12</v>
      </c>
      <c r="I801">
        <v>0</v>
      </c>
      <c r="J801">
        <v>0</v>
      </c>
      <c r="K801">
        <v>0.56999999999999995</v>
      </c>
      <c r="L801">
        <v>0.4</v>
      </c>
      <c r="M801">
        <v>23</v>
      </c>
      <c r="N801">
        <v>86</v>
      </c>
      <c r="O801">
        <v>125</v>
      </c>
      <c r="P801">
        <f t="shared" si="37"/>
        <v>4.6636363636363629E-2</v>
      </c>
      <c r="Q801">
        <f t="shared" si="38"/>
        <v>3.272727272727273E-2</v>
      </c>
    </row>
    <row r="802" spans="1:17" x14ac:dyDescent="0.25">
      <c r="A802" t="str">
        <f t="shared" si="36"/>
        <v>Matt Doherty</v>
      </c>
      <c r="B802" t="s">
        <v>259</v>
      </c>
      <c r="C802" t="s">
        <v>2093</v>
      </c>
      <c r="D802">
        <v>20</v>
      </c>
      <c r="E802">
        <v>2</v>
      </c>
      <c r="F802">
        <v>44</v>
      </c>
      <c r="G802">
        <v>786</v>
      </c>
      <c r="H802">
        <v>11</v>
      </c>
      <c r="I802">
        <v>0</v>
      </c>
      <c r="J802">
        <v>0</v>
      </c>
      <c r="K802">
        <v>0.09</v>
      </c>
      <c r="L802">
        <v>0.19</v>
      </c>
      <c r="M802">
        <v>14</v>
      </c>
      <c r="N802">
        <v>59</v>
      </c>
      <c r="O802">
        <v>66</v>
      </c>
      <c r="P802">
        <f t="shared" si="37"/>
        <v>1.0305343511450382E-2</v>
      </c>
      <c r="Q802">
        <f t="shared" si="38"/>
        <v>2.1755725190839695E-2</v>
      </c>
    </row>
    <row r="803" spans="1:17" x14ac:dyDescent="0.25">
      <c r="A803" t="str">
        <f t="shared" si="36"/>
        <v>Hugo Bueno López</v>
      </c>
      <c r="B803" t="s">
        <v>741</v>
      </c>
      <c r="C803" t="s">
        <v>2060</v>
      </c>
      <c r="D803">
        <v>20</v>
      </c>
      <c r="E803">
        <v>2</v>
      </c>
      <c r="F803">
        <v>43</v>
      </c>
      <c r="G803">
        <v>2359</v>
      </c>
      <c r="H803">
        <v>26</v>
      </c>
      <c r="I803">
        <v>1</v>
      </c>
      <c r="J803">
        <v>3</v>
      </c>
      <c r="K803">
        <v>0.86</v>
      </c>
      <c r="L803">
        <v>3.49</v>
      </c>
      <c r="M803">
        <v>83</v>
      </c>
      <c r="N803">
        <v>325</v>
      </c>
      <c r="O803">
        <v>172</v>
      </c>
      <c r="P803">
        <f t="shared" si="37"/>
        <v>3.2810512929207288E-2</v>
      </c>
      <c r="Q803">
        <f t="shared" si="38"/>
        <v>0.13314963967782961</v>
      </c>
    </row>
    <row r="804" spans="1:17" x14ac:dyDescent="0.25">
      <c r="A804" t="str">
        <f t="shared" si="36"/>
        <v>Yerson Mosquera Valdelamar</v>
      </c>
      <c r="B804" t="s">
        <v>2108</v>
      </c>
      <c r="C804" t="s">
        <v>2568</v>
      </c>
      <c r="D804">
        <v>20</v>
      </c>
      <c r="E804">
        <v>2</v>
      </c>
      <c r="F804">
        <v>43</v>
      </c>
      <c r="G804">
        <v>2137</v>
      </c>
      <c r="H804">
        <v>24</v>
      </c>
      <c r="I804">
        <v>0</v>
      </c>
      <c r="J804">
        <v>0</v>
      </c>
      <c r="K804">
        <v>2.5099999999999998</v>
      </c>
      <c r="L804">
        <v>0.62</v>
      </c>
      <c r="M804">
        <v>61</v>
      </c>
      <c r="N804">
        <v>209</v>
      </c>
      <c r="O804">
        <v>219</v>
      </c>
      <c r="P804">
        <f t="shared" si="37"/>
        <v>0.10570893776321946</v>
      </c>
      <c r="Q804">
        <f t="shared" si="38"/>
        <v>2.6111371080954609E-2</v>
      </c>
    </row>
    <row r="805" spans="1:17" x14ac:dyDescent="0.25">
      <c r="A805" t="str">
        <f t="shared" si="36"/>
        <v>Rodrigo Martins Gomes</v>
      </c>
      <c r="B805" t="s">
        <v>531</v>
      </c>
      <c r="C805" t="s">
        <v>2378</v>
      </c>
      <c r="D805">
        <v>20</v>
      </c>
      <c r="E805">
        <v>2</v>
      </c>
      <c r="F805">
        <v>44</v>
      </c>
      <c r="G805">
        <v>954</v>
      </c>
      <c r="H805">
        <v>9</v>
      </c>
      <c r="I805">
        <v>3</v>
      </c>
      <c r="J805">
        <v>0</v>
      </c>
      <c r="K805">
        <v>2.13</v>
      </c>
      <c r="L805">
        <v>0.39</v>
      </c>
      <c r="M805">
        <v>48</v>
      </c>
      <c r="N805">
        <v>100</v>
      </c>
      <c r="O805">
        <v>45</v>
      </c>
      <c r="P805">
        <f t="shared" si="37"/>
        <v>0.20094339622641511</v>
      </c>
      <c r="Q805">
        <f t="shared" si="38"/>
        <v>3.6792452830188678E-2</v>
      </c>
    </row>
    <row r="806" spans="1:17" x14ac:dyDescent="0.25">
      <c r="A806" t="str">
        <f t="shared" si="36"/>
        <v>Santiago Ignacio Bueno</v>
      </c>
      <c r="B806" t="s">
        <v>2094</v>
      </c>
      <c r="C806" t="s">
        <v>2569</v>
      </c>
      <c r="D806">
        <v>20</v>
      </c>
      <c r="E806">
        <v>2</v>
      </c>
      <c r="F806">
        <v>44</v>
      </c>
      <c r="G806">
        <v>2552</v>
      </c>
      <c r="H806">
        <v>28</v>
      </c>
      <c r="I806">
        <v>3</v>
      </c>
      <c r="J806">
        <v>2</v>
      </c>
      <c r="K806">
        <v>2.2799999999999998</v>
      </c>
      <c r="L806">
        <v>1.45</v>
      </c>
      <c r="M806">
        <v>92</v>
      </c>
      <c r="N806">
        <v>310</v>
      </c>
      <c r="O806">
        <v>216</v>
      </c>
      <c r="P806">
        <f t="shared" si="37"/>
        <v>8.0407523510971773E-2</v>
      </c>
      <c r="Q806">
        <f t="shared" si="38"/>
        <v>5.1136363636363633E-2</v>
      </c>
    </row>
    <row r="807" spans="1:17" x14ac:dyDescent="0.25">
      <c r="A807" t="str">
        <f t="shared" si="36"/>
        <v>Toti Gomes</v>
      </c>
      <c r="B807" t="s">
        <v>2091</v>
      </c>
      <c r="C807" t="s">
        <v>120</v>
      </c>
      <c r="D807">
        <v>20</v>
      </c>
      <c r="E807">
        <v>2</v>
      </c>
      <c r="F807">
        <v>42</v>
      </c>
      <c r="G807">
        <v>1423</v>
      </c>
      <c r="H807">
        <v>17</v>
      </c>
      <c r="I807">
        <v>0</v>
      </c>
      <c r="J807">
        <v>0</v>
      </c>
      <c r="K807">
        <v>0.53</v>
      </c>
      <c r="L807">
        <v>0.28999999999999998</v>
      </c>
      <c r="M807">
        <v>41</v>
      </c>
      <c r="N807">
        <v>140</v>
      </c>
      <c r="O807">
        <v>143</v>
      </c>
      <c r="P807">
        <f t="shared" si="37"/>
        <v>3.3520730850316233E-2</v>
      </c>
      <c r="Q807">
        <f t="shared" si="38"/>
        <v>1.8341531974701335E-2</v>
      </c>
    </row>
    <row r="808" spans="1:17" x14ac:dyDescent="0.25">
      <c r="A808" t="str">
        <f t="shared" si="36"/>
        <v>Ki-Jana Hoever</v>
      </c>
      <c r="B808" t="s">
        <v>2070</v>
      </c>
      <c r="C808" t="s">
        <v>2071</v>
      </c>
      <c r="D808">
        <v>20</v>
      </c>
      <c r="E808">
        <v>2</v>
      </c>
      <c r="F808">
        <v>38</v>
      </c>
      <c r="G808">
        <v>423</v>
      </c>
      <c r="H808">
        <v>6</v>
      </c>
      <c r="I808">
        <v>0</v>
      </c>
      <c r="J808">
        <v>0</v>
      </c>
      <c r="K808">
        <v>0.02</v>
      </c>
      <c r="L808">
        <v>0.36</v>
      </c>
      <c r="M808">
        <v>10</v>
      </c>
      <c r="N808">
        <v>38</v>
      </c>
      <c r="O808">
        <v>40</v>
      </c>
      <c r="P808">
        <f t="shared" si="37"/>
        <v>4.2553191489361703E-3</v>
      </c>
      <c r="Q808">
        <f t="shared" si="38"/>
        <v>7.6595744680851063E-2</v>
      </c>
    </row>
    <row r="809" spans="1:17" x14ac:dyDescent="0.25">
      <c r="A809" t="str">
        <f t="shared" si="36"/>
        <v>Bastien Meupiyou Menadjou</v>
      </c>
      <c r="B809" t="s">
        <v>1469</v>
      </c>
      <c r="C809" t="s">
        <v>2570</v>
      </c>
      <c r="D809">
        <v>20</v>
      </c>
      <c r="E809">
        <v>2</v>
      </c>
      <c r="F809">
        <v>40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37"/>
        <v>0</v>
      </c>
      <c r="Q809">
        <f t="shared" si="38"/>
        <v>0</v>
      </c>
    </row>
    <row r="810" spans="1:17" x14ac:dyDescent="0.25">
      <c r="A810" t="str">
        <f t="shared" si="36"/>
        <v>Pedro Cardoso de Lima</v>
      </c>
      <c r="B810" t="s">
        <v>321</v>
      </c>
      <c r="C810" t="s">
        <v>2377</v>
      </c>
      <c r="D810">
        <v>20</v>
      </c>
      <c r="E810">
        <v>2</v>
      </c>
      <c r="F810">
        <v>40</v>
      </c>
      <c r="G810">
        <v>257</v>
      </c>
      <c r="H810">
        <v>3</v>
      </c>
      <c r="I810">
        <v>0</v>
      </c>
      <c r="J810">
        <v>0</v>
      </c>
      <c r="K810">
        <v>0.35</v>
      </c>
      <c r="L810">
        <v>0.37</v>
      </c>
      <c r="M810">
        <v>10</v>
      </c>
      <c r="N810">
        <v>18</v>
      </c>
      <c r="O810">
        <v>19</v>
      </c>
      <c r="P810">
        <f t="shared" si="37"/>
        <v>0.122568093385214</v>
      </c>
      <c r="Q810">
        <f t="shared" si="38"/>
        <v>0.12957198443579768</v>
      </c>
    </row>
    <row r="811" spans="1:17" x14ac:dyDescent="0.25">
      <c r="A811" t="str">
        <f t="shared" si="36"/>
        <v>Alfie Pond</v>
      </c>
      <c r="B811" t="s">
        <v>507</v>
      </c>
      <c r="C811" t="s">
        <v>2383</v>
      </c>
      <c r="D811">
        <v>20</v>
      </c>
      <c r="E811">
        <v>2</v>
      </c>
      <c r="F811">
        <v>39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f t="shared" si="37"/>
        <v>0</v>
      </c>
      <c r="Q811">
        <f t="shared" si="38"/>
        <v>0</v>
      </c>
    </row>
    <row r="812" spans="1:17" x14ac:dyDescent="0.25">
      <c r="A812" t="str">
        <f t="shared" si="36"/>
        <v>Hwang Hee-chan</v>
      </c>
      <c r="B812" t="s">
        <v>1911</v>
      </c>
      <c r="C812" t="s">
        <v>2072</v>
      </c>
      <c r="D812">
        <v>20</v>
      </c>
      <c r="E812">
        <v>3</v>
      </c>
      <c r="F812">
        <v>56</v>
      </c>
      <c r="G812">
        <v>1439</v>
      </c>
      <c r="H812">
        <v>18</v>
      </c>
      <c r="I812">
        <v>2</v>
      </c>
      <c r="J812">
        <v>2</v>
      </c>
      <c r="K812">
        <v>2.37</v>
      </c>
      <c r="L812">
        <v>1.57</v>
      </c>
      <c r="M812">
        <v>54</v>
      </c>
      <c r="N812">
        <v>165</v>
      </c>
      <c r="O812">
        <v>96</v>
      </c>
      <c r="P812">
        <f t="shared" si="37"/>
        <v>0.148227936066713</v>
      </c>
      <c r="Q812">
        <f t="shared" si="38"/>
        <v>9.8193189715079912E-2</v>
      </c>
    </row>
    <row r="813" spans="1:17" x14ac:dyDescent="0.25">
      <c r="A813" t="str">
        <f t="shared" si="36"/>
        <v>André Trindade da Costa Neto</v>
      </c>
      <c r="B813" t="s">
        <v>1614</v>
      </c>
      <c r="C813" t="s">
        <v>2380</v>
      </c>
      <c r="D813">
        <v>20</v>
      </c>
      <c r="E813">
        <v>3</v>
      </c>
      <c r="F813">
        <v>52</v>
      </c>
      <c r="G813">
        <v>2760</v>
      </c>
      <c r="H813">
        <v>30</v>
      </c>
      <c r="I813">
        <v>1</v>
      </c>
      <c r="J813">
        <v>0</v>
      </c>
      <c r="K813">
        <v>0.52</v>
      </c>
      <c r="L813">
        <v>0.99</v>
      </c>
      <c r="M813">
        <v>96</v>
      </c>
      <c r="N813">
        <v>473</v>
      </c>
      <c r="O813">
        <v>383</v>
      </c>
      <c r="P813">
        <f t="shared" si="37"/>
        <v>1.6956521739130436E-2</v>
      </c>
      <c r="Q813">
        <f t="shared" si="38"/>
        <v>3.2282608695652172E-2</v>
      </c>
    </row>
    <row r="814" spans="1:17" x14ac:dyDescent="0.25">
      <c r="A814" t="str">
        <f t="shared" si="36"/>
        <v>Jean-Ricner Bellegarde</v>
      </c>
      <c r="B814" t="s">
        <v>2098</v>
      </c>
      <c r="C814" t="s">
        <v>2099</v>
      </c>
      <c r="D814">
        <v>20</v>
      </c>
      <c r="E814">
        <v>3</v>
      </c>
      <c r="F814">
        <v>51</v>
      </c>
      <c r="G814">
        <v>1239</v>
      </c>
      <c r="H814">
        <v>15</v>
      </c>
      <c r="I814">
        <v>1</v>
      </c>
      <c r="J814">
        <v>1</v>
      </c>
      <c r="K814">
        <v>1.04</v>
      </c>
      <c r="L814">
        <v>1.06</v>
      </c>
      <c r="M814">
        <v>44</v>
      </c>
      <c r="N814">
        <v>208</v>
      </c>
      <c r="O814">
        <v>105</v>
      </c>
      <c r="P814">
        <f t="shared" si="37"/>
        <v>7.5544794188861994E-2</v>
      </c>
      <c r="Q814">
        <f t="shared" si="38"/>
        <v>7.6997578692493948E-2</v>
      </c>
    </row>
    <row r="815" spans="1:17" x14ac:dyDescent="0.25">
      <c r="A815" t="str">
        <f t="shared" si="36"/>
        <v>Fer López González</v>
      </c>
      <c r="B815" t="s">
        <v>2571</v>
      </c>
      <c r="C815" t="s">
        <v>2572</v>
      </c>
      <c r="D815">
        <v>20</v>
      </c>
      <c r="E815">
        <v>3</v>
      </c>
      <c r="F815">
        <v>51</v>
      </c>
      <c r="G815">
        <v>228</v>
      </c>
      <c r="H815">
        <v>2</v>
      </c>
      <c r="I815">
        <v>0</v>
      </c>
      <c r="J815">
        <v>1</v>
      </c>
      <c r="K815">
        <v>0.16</v>
      </c>
      <c r="L815">
        <v>0.61</v>
      </c>
      <c r="M815">
        <v>12</v>
      </c>
      <c r="N815">
        <v>38</v>
      </c>
      <c r="O815">
        <v>12</v>
      </c>
      <c r="P815">
        <f t="shared" si="37"/>
        <v>6.3157894736842107E-2</v>
      </c>
      <c r="Q815">
        <f t="shared" si="38"/>
        <v>0.24078947368421053</v>
      </c>
    </row>
    <row r="816" spans="1:17" x14ac:dyDescent="0.25">
      <c r="A816" t="str">
        <f t="shared" si="36"/>
        <v>João Victor Gomes da Silva</v>
      </c>
      <c r="B816" t="s">
        <v>957</v>
      </c>
      <c r="C816" t="s">
        <v>2073</v>
      </c>
      <c r="D816">
        <v>20</v>
      </c>
      <c r="E816">
        <v>3</v>
      </c>
      <c r="F816">
        <v>53</v>
      </c>
      <c r="G816">
        <v>2829</v>
      </c>
      <c r="H816">
        <v>32</v>
      </c>
      <c r="I816">
        <v>1</v>
      </c>
      <c r="J816">
        <v>2</v>
      </c>
      <c r="K816">
        <v>1.29</v>
      </c>
      <c r="L816">
        <v>2.09</v>
      </c>
      <c r="M816">
        <v>107</v>
      </c>
      <c r="N816">
        <v>529</v>
      </c>
      <c r="O816">
        <v>387</v>
      </c>
      <c r="P816">
        <f t="shared" si="37"/>
        <v>4.1039236479321312E-2</v>
      </c>
      <c r="Q816">
        <f t="shared" si="38"/>
        <v>6.64899257688229E-2</v>
      </c>
    </row>
    <row r="817" spans="1:17" x14ac:dyDescent="0.25">
      <c r="A817" t="str">
        <f t="shared" si="36"/>
        <v>Gonçalo Manuel Ganchinho Guedes</v>
      </c>
      <c r="B817" t="s">
        <v>2067</v>
      </c>
      <c r="C817" t="s">
        <v>2068</v>
      </c>
      <c r="D817">
        <v>20</v>
      </c>
      <c r="E817">
        <v>3</v>
      </c>
      <c r="F817">
        <v>55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f t="shared" si="37"/>
        <v>0</v>
      </c>
      <c r="Q817">
        <f t="shared" si="38"/>
        <v>0</v>
      </c>
    </row>
    <row r="818" spans="1:17" x14ac:dyDescent="0.25">
      <c r="A818" t="str">
        <f t="shared" si="36"/>
        <v>Marshall Munetsi</v>
      </c>
      <c r="B818" t="s">
        <v>2054</v>
      </c>
      <c r="C818" t="s">
        <v>2389</v>
      </c>
      <c r="D818">
        <v>20</v>
      </c>
      <c r="E818">
        <v>3</v>
      </c>
      <c r="F818">
        <v>53</v>
      </c>
      <c r="G818">
        <v>872</v>
      </c>
      <c r="H818">
        <v>9</v>
      </c>
      <c r="I818">
        <v>1</v>
      </c>
      <c r="J818">
        <v>2</v>
      </c>
      <c r="K818">
        <v>1.64</v>
      </c>
      <c r="L818">
        <v>0.38</v>
      </c>
      <c r="M818">
        <v>38</v>
      </c>
      <c r="N818">
        <v>131</v>
      </c>
      <c r="O818">
        <v>80</v>
      </c>
      <c r="P818">
        <f t="shared" si="37"/>
        <v>0.16926605504587156</v>
      </c>
      <c r="Q818">
        <f t="shared" si="38"/>
        <v>3.9220183486238534E-2</v>
      </c>
    </row>
    <row r="819" spans="1:17" x14ac:dyDescent="0.25">
      <c r="A819" t="str">
        <f t="shared" si="36"/>
        <v>Boubacar Traoré</v>
      </c>
      <c r="B819" t="s">
        <v>105</v>
      </c>
      <c r="C819" t="s">
        <v>1323</v>
      </c>
      <c r="D819">
        <v>20</v>
      </c>
      <c r="E819">
        <v>3</v>
      </c>
      <c r="F819">
        <v>50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f t="shared" si="37"/>
        <v>0</v>
      </c>
      <c r="Q819">
        <f t="shared" si="38"/>
        <v>0</v>
      </c>
    </row>
    <row r="820" spans="1:17" x14ac:dyDescent="0.25">
      <c r="A820" t="str">
        <f t="shared" si="36"/>
        <v>Tawanda Chirewa</v>
      </c>
      <c r="B820" t="s">
        <v>2101</v>
      </c>
      <c r="C820" t="s">
        <v>2102</v>
      </c>
      <c r="D820">
        <v>20</v>
      </c>
      <c r="E820">
        <v>3</v>
      </c>
      <c r="F820">
        <v>43</v>
      </c>
      <c r="G820">
        <v>25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</v>
      </c>
      <c r="N820">
        <v>4</v>
      </c>
      <c r="O820">
        <v>4</v>
      </c>
      <c r="P820">
        <f t="shared" si="37"/>
        <v>0</v>
      </c>
      <c r="Q820">
        <f t="shared" si="38"/>
        <v>0</v>
      </c>
    </row>
    <row r="821" spans="1:17" x14ac:dyDescent="0.25">
      <c r="A821" t="str">
        <f t="shared" si="36"/>
        <v>Tom Edozie</v>
      </c>
      <c r="B821" t="s">
        <v>272</v>
      </c>
      <c r="C821" t="s">
        <v>2320</v>
      </c>
      <c r="D821">
        <v>20</v>
      </c>
      <c r="E821">
        <v>3</v>
      </c>
      <c r="F821">
        <v>43</v>
      </c>
      <c r="G821">
        <v>12</v>
      </c>
      <c r="H821">
        <v>0</v>
      </c>
      <c r="I821">
        <v>1</v>
      </c>
      <c r="J821">
        <v>0</v>
      </c>
      <c r="K821">
        <v>0.23</v>
      </c>
      <c r="L821">
        <v>0</v>
      </c>
      <c r="M821">
        <v>8</v>
      </c>
      <c r="N821">
        <v>27</v>
      </c>
      <c r="O821">
        <v>1</v>
      </c>
      <c r="P821">
        <f t="shared" si="37"/>
        <v>1.7250000000000001</v>
      </c>
      <c r="Q821">
        <f t="shared" si="38"/>
        <v>0</v>
      </c>
    </row>
    <row r="822" spans="1:17" x14ac:dyDescent="0.25">
      <c r="A822" t="str">
        <f t="shared" si="36"/>
        <v>Enso González Medina</v>
      </c>
      <c r="B822" t="s">
        <v>2096</v>
      </c>
      <c r="C822" t="s">
        <v>2573</v>
      </c>
      <c r="D822">
        <v>20</v>
      </c>
      <c r="E822">
        <v>3</v>
      </c>
      <c r="F822">
        <v>43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f t="shared" si="37"/>
        <v>0</v>
      </c>
      <c r="Q822">
        <f t="shared" si="38"/>
        <v>0</v>
      </c>
    </row>
    <row r="823" spans="1:17" x14ac:dyDescent="0.25">
      <c r="A823" t="str">
        <f t="shared" si="36"/>
        <v>Joe Hodge</v>
      </c>
      <c r="B823" t="s">
        <v>585</v>
      </c>
      <c r="C823" t="s">
        <v>2069</v>
      </c>
      <c r="D823">
        <v>20</v>
      </c>
      <c r="E823">
        <v>3</v>
      </c>
      <c r="F823">
        <v>45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37"/>
        <v>0</v>
      </c>
      <c r="Q823">
        <f t="shared" si="38"/>
        <v>0</v>
      </c>
    </row>
    <row r="824" spans="1:17" x14ac:dyDescent="0.25">
      <c r="A824" t="str">
        <f t="shared" si="36"/>
        <v>Fábio Soares Silva</v>
      </c>
      <c r="B824" t="s">
        <v>61</v>
      </c>
      <c r="C824" t="s">
        <v>2574</v>
      </c>
      <c r="D824">
        <v>20</v>
      </c>
      <c r="E824">
        <v>4</v>
      </c>
      <c r="F824">
        <v>49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f t="shared" si="37"/>
        <v>0</v>
      </c>
      <c r="Q824">
        <f t="shared" si="38"/>
        <v>0</v>
      </c>
    </row>
    <row r="825" spans="1:17" x14ac:dyDescent="0.25">
      <c r="A825" t="str">
        <f t="shared" si="36"/>
        <v>Saša Kalajdžić</v>
      </c>
      <c r="B825" t="s">
        <v>602</v>
      </c>
      <c r="C825" t="s">
        <v>2078</v>
      </c>
      <c r="D825">
        <v>20</v>
      </c>
      <c r="E825">
        <v>4</v>
      </c>
      <c r="F825">
        <v>49</v>
      </c>
      <c r="G825">
        <v>14</v>
      </c>
      <c r="H825">
        <v>0</v>
      </c>
      <c r="I825">
        <v>0</v>
      </c>
      <c r="J825">
        <v>0</v>
      </c>
      <c r="K825">
        <v>0</v>
      </c>
      <c r="L825">
        <v>0.01</v>
      </c>
      <c r="M825">
        <v>1</v>
      </c>
      <c r="N825">
        <v>1</v>
      </c>
      <c r="O825">
        <v>2</v>
      </c>
      <c r="P825">
        <f t="shared" si="37"/>
        <v>0</v>
      </c>
      <c r="Q825">
        <f t="shared" si="38"/>
        <v>6.4285714285714279E-2</v>
      </c>
    </row>
    <row r="826" spans="1:17" x14ac:dyDescent="0.25">
      <c r="A826" t="str">
        <f t="shared" si="36"/>
        <v>Leon Chiwome</v>
      </c>
      <c r="B826" t="s">
        <v>99</v>
      </c>
      <c r="C826" t="s">
        <v>2111</v>
      </c>
      <c r="D826">
        <v>20</v>
      </c>
      <c r="E826">
        <v>4</v>
      </c>
      <c r="F826">
        <v>44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f t="shared" si="37"/>
        <v>0</v>
      </c>
      <c r="Q826">
        <f t="shared" si="38"/>
        <v>0</v>
      </c>
    </row>
    <row r="827" spans="1:17" x14ac:dyDescent="0.25">
      <c r="A827" t="str">
        <f t="shared" si="36"/>
        <v>Nathan Fraser</v>
      </c>
      <c r="B827" t="s">
        <v>185</v>
      </c>
      <c r="C827" t="s">
        <v>131</v>
      </c>
      <c r="D827">
        <v>20</v>
      </c>
      <c r="E827">
        <v>4</v>
      </c>
      <c r="F827">
        <v>42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37"/>
        <v>0</v>
      </c>
      <c r="Q827">
        <f t="shared" si="38"/>
        <v>0</v>
      </c>
    </row>
    <row r="828" spans="1:17" x14ac:dyDescent="0.25">
      <c r="A828" t="str">
        <f t="shared" si="36"/>
        <v>Jhon Arias</v>
      </c>
      <c r="B828" t="s">
        <v>1313</v>
      </c>
      <c r="C828" t="s">
        <v>2575</v>
      </c>
      <c r="D828">
        <v>20</v>
      </c>
      <c r="E828">
        <v>3</v>
      </c>
      <c r="F828">
        <v>49</v>
      </c>
      <c r="G828">
        <v>1117</v>
      </c>
      <c r="H828">
        <v>14</v>
      </c>
      <c r="I828">
        <v>1</v>
      </c>
      <c r="J828">
        <v>0</v>
      </c>
      <c r="K828">
        <v>3.38</v>
      </c>
      <c r="L828">
        <v>0.62</v>
      </c>
      <c r="M828">
        <v>45</v>
      </c>
      <c r="N828">
        <v>175</v>
      </c>
      <c r="O828">
        <v>125</v>
      </c>
      <c r="P828">
        <f t="shared" si="37"/>
        <v>0.27233661593554165</v>
      </c>
      <c r="Q828">
        <f t="shared" si="38"/>
        <v>4.9955237242614144E-2</v>
      </c>
    </row>
    <row r="829" spans="1:17" x14ac:dyDescent="0.25">
      <c r="A829" t="str">
        <f t="shared" si="36"/>
        <v>David Møller Wolfe</v>
      </c>
      <c r="B829" t="s">
        <v>20</v>
      </c>
      <c r="C829" t="s">
        <v>2576</v>
      </c>
      <c r="D829">
        <v>20</v>
      </c>
      <c r="E829">
        <v>2</v>
      </c>
      <c r="F829">
        <v>42</v>
      </c>
      <c r="G829">
        <v>1042</v>
      </c>
      <c r="H829">
        <v>11</v>
      </c>
      <c r="I829">
        <v>0</v>
      </c>
      <c r="J829">
        <v>2</v>
      </c>
      <c r="K829">
        <v>0.13</v>
      </c>
      <c r="L829">
        <v>1.0900000000000001</v>
      </c>
      <c r="M829">
        <v>35</v>
      </c>
      <c r="N829">
        <v>78</v>
      </c>
      <c r="O829">
        <v>50</v>
      </c>
      <c r="P829">
        <f t="shared" si="37"/>
        <v>1.1228406909788869E-2</v>
      </c>
      <c r="Q829">
        <f t="shared" si="38"/>
        <v>9.4145873320537449E-2</v>
      </c>
    </row>
    <row r="830" spans="1:17" x14ac:dyDescent="0.25">
      <c r="A830" t="str">
        <f t="shared" si="36"/>
        <v>Jackson Tchatchoua</v>
      </c>
      <c r="B830" t="s">
        <v>337</v>
      </c>
      <c r="C830" t="s">
        <v>2577</v>
      </c>
      <c r="D830">
        <v>20</v>
      </c>
      <c r="E830">
        <v>2</v>
      </c>
      <c r="F830">
        <v>44</v>
      </c>
      <c r="G830">
        <v>1834</v>
      </c>
      <c r="H830">
        <v>19</v>
      </c>
      <c r="I830">
        <v>0</v>
      </c>
      <c r="J830">
        <v>1</v>
      </c>
      <c r="K830">
        <v>0.33</v>
      </c>
      <c r="L830">
        <v>1.6</v>
      </c>
      <c r="M830">
        <v>52</v>
      </c>
      <c r="N830">
        <v>156</v>
      </c>
      <c r="O830">
        <v>108</v>
      </c>
      <c r="P830">
        <f t="shared" si="37"/>
        <v>1.6194111232279172E-2</v>
      </c>
      <c r="Q830">
        <f t="shared" si="38"/>
        <v>7.8516902944383862E-2</v>
      </c>
    </row>
    <row r="831" spans="1:17" x14ac:dyDescent="0.25">
      <c r="A831" t="str">
        <f t="shared" si="36"/>
        <v>Ladislav Krejcí</v>
      </c>
      <c r="B831" t="s">
        <v>2578</v>
      </c>
      <c r="C831" t="s">
        <v>2579</v>
      </c>
      <c r="D831">
        <v>20</v>
      </c>
      <c r="E831">
        <v>2</v>
      </c>
      <c r="F831">
        <v>45</v>
      </c>
      <c r="G831">
        <v>2356</v>
      </c>
      <c r="H831">
        <v>27</v>
      </c>
      <c r="I831">
        <v>2</v>
      </c>
      <c r="J831">
        <v>2</v>
      </c>
      <c r="K831">
        <v>2.23</v>
      </c>
      <c r="L831">
        <v>1.49</v>
      </c>
      <c r="M831">
        <v>68</v>
      </c>
      <c r="N831">
        <v>235</v>
      </c>
      <c r="O831">
        <v>197</v>
      </c>
      <c r="P831">
        <f t="shared" si="37"/>
        <v>8.5186757215619691E-2</v>
      </c>
      <c r="Q831">
        <f t="shared" si="38"/>
        <v>5.6918505942275044E-2</v>
      </c>
    </row>
    <row r="832" spans="1:17" x14ac:dyDescent="0.25">
      <c r="A832" t="str">
        <f t="shared" si="36"/>
        <v>Tolu Arokodare</v>
      </c>
      <c r="B832" t="s">
        <v>2580</v>
      </c>
      <c r="C832" t="s">
        <v>2581</v>
      </c>
      <c r="D832">
        <v>20</v>
      </c>
      <c r="E832">
        <v>4</v>
      </c>
      <c r="F832">
        <v>51</v>
      </c>
      <c r="G832">
        <v>1402</v>
      </c>
      <c r="H832">
        <v>13</v>
      </c>
      <c r="I832">
        <v>3</v>
      </c>
      <c r="J832">
        <v>2</v>
      </c>
      <c r="K832">
        <v>5.49</v>
      </c>
      <c r="L832">
        <v>0.39</v>
      </c>
      <c r="M832">
        <v>66</v>
      </c>
      <c r="N832">
        <v>221</v>
      </c>
      <c r="O832">
        <v>83</v>
      </c>
      <c r="P832">
        <f t="shared" si="37"/>
        <v>0.35242510699001428</v>
      </c>
      <c r="Q832">
        <f t="shared" si="38"/>
        <v>2.5035663338088446E-2</v>
      </c>
    </row>
    <row r="833" spans="1:17" x14ac:dyDescent="0.25">
      <c r="A833" t="str">
        <f t="shared" si="36"/>
        <v>Mateus Mané</v>
      </c>
      <c r="B833" t="s">
        <v>978</v>
      </c>
      <c r="C833" t="s">
        <v>2390</v>
      </c>
      <c r="D833">
        <v>20</v>
      </c>
      <c r="E833">
        <v>4</v>
      </c>
      <c r="F833">
        <v>42</v>
      </c>
      <c r="G833">
        <v>1787</v>
      </c>
      <c r="H833">
        <v>19</v>
      </c>
      <c r="I833">
        <v>3</v>
      </c>
      <c r="J833">
        <v>2</v>
      </c>
      <c r="K833">
        <v>2.0099999999999998</v>
      </c>
      <c r="L833">
        <v>3.69</v>
      </c>
      <c r="M833">
        <v>74</v>
      </c>
      <c r="N833">
        <v>314</v>
      </c>
      <c r="O833">
        <v>137</v>
      </c>
      <c r="P833">
        <f t="shared" si="37"/>
        <v>0.10123111359820929</v>
      </c>
      <c r="Q833">
        <f t="shared" si="38"/>
        <v>0.18584219362059315</v>
      </c>
    </row>
    <row r="834" spans="1:17" x14ac:dyDescent="0.25">
      <c r="A834" t="str">
        <f t="shared" ref="A834:A897" si="39">_xlfn.CONCAT(B834, " ", C834)</f>
        <v>Saheed Olagunju</v>
      </c>
      <c r="B834" t="s">
        <v>2582</v>
      </c>
      <c r="C834" t="s">
        <v>2583</v>
      </c>
      <c r="D834">
        <v>20</v>
      </c>
      <c r="E834">
        <v>2</v>
      </c>
      <c r="F834">
        <v>40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f t="shared" ref="P834:P842" si="40">IFERROR(K834/G834*90,0)</f>
        <v>0</v>
      </c>
      <c r="Q834">
        <f t="shared" ref="Q834:Q842" si="41">IFERROR(L834/G834*90,0)</f>
        <v>0</v>
      </c>
    </row>
    <row r="835" spans="1:17" x14ac:dyDescent="0.25">
      <c r="A835" t="str">
        <f t="shared" si="39"/>
        <v>Luke Rawlings</v>
      </c>
      <c r="B835" t="s">
        <v>375</v>
      </c>
      <c r="C835" t="s">
        <v>2584</v>
      </c>
      <c r="D835">
        <v>20</v>
      </c>
      <c r="E835">
        <v>3</v>
      </c>
      <c r="F835">
        <v>45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si="40"/>
        <v>0</v>
      </c>
      <c r="Q835">
        <f t="shared" si="41"/>
        <v>0</v>
      </c>
    </row>
    <row r="836" spans="1:17" x14ac:dyDescent="0.25">
      <c r="A836" t="str">
        <f t="shared" si="39"/>
        <v>Temple Ojinnaka</v>
      </c>
      <c r="B836" t="s">
        <v>2113</v>
      </c>
      <c r="C836" t="s">
        <v>2114</v>
      </c>
      <c r="D836">
        <v>20</v>
      </c>
      <c r="E836">
        <v>3</v>
      </c>
      <c r="F836">
        <v>45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40"/>
        <v>0</v>
      </c>
      <c r="Q836">
        <f t="shared" si="41"/>
        <v>0</v>
      </c>
    </row>
    <row r="837" spans="1:17" x14ac:dyDescent="0.25">
      <c r="A837" t="str">
        <f t="shared" si="39"/>
        <v>Ethan Sutherland</v>
      </c>
      <c r="B837" t="s">
        <v>59</v>
      </c>
      <c r="C837" t="s">
        <v>2585</v>
      </c>
      <c r="D837">
        <v>20</v>
      </c>
      <c r="E837">
        <v>3</v>
      </c>
      <c r="F837">
        <v>45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40"/>
        <v>0</v>
      </c>
      <c r="Q837">
        <f t="shared" si="41"/>
        <v>0</v>
      </c>
    </row>
    <row r="838" spans="1:17" x14ac:dyDescent="0.25">
      <c r="A838" t="str">
        <f t="shared" si="39"/>
        <v>Jerome Abbey</v>
      </c>
      <c r="B838" t="s">
        <v>2586</v>
      </c>
      <c r="C838" t="s">
        <v>2587</v>
      </c>
      <c r="D838">
        <v>20</v>
      </c>
      <c r="E838">
        <v>3</v>
      </c>
      <c r="F838">
        <v>45</v>
      </c>
      <c r="G838">
        <v>16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2</v>
      </c>
      <c r="O838">
        <v>2</v>
      </c>
      <c r="P838">
        <f t="shared" si="40"/>
        <v>0</v>
      </c>
      <c r="Q838">
        <f t="shared" si="41"/>
        <v>0</v>
      </c>
    </row>
    <row r="839" spans="1:17" x14ac:dyDescent="0.25">
      <c r="A839" t="str">
        <f t="shared" si="39"/>
        <v>Angel Gomes</v>
      </c>
      <c r="B839" t="s">
        <v>2588</v>
      </c>
      <c r="C839" t="s">
        <v>120</v>
      </c>
      <c r="D839">
        <v>20</v>
      </c>
      <c r="E839">
        <v>3</v>
      </c>
      <c r="F839">
        <v>46</v>
      </c>
      <c r="G839">
        <v>457</v>
      </c>
      <c r="H839">
        <v>7</v>
      </c>
      <c r="I839">
        <v>0</v>
      </c>
      <c r="J839">
        <v>0</v>
      </c>
      <c r="K839">
        <v>0.25</v>
      </c>
      <c r="L839">
        <v>0.28000000000000003</v>
      </c>
      <c r="M839">
        <v>16</v>
      </c>
      <c r="N839">
        <v>78</v>
      </c>
      <c r="O839">
        <v>33</v>
      </c>
      <c r="P839">
        <f t="shared" si="40"/>
        <v>4.923413566739606E-2</v>
      </c>
      <c r="Q839">
        <f t="shared" si="41"/>
        <v>5.5142231947483598E-2</v>
      </c>
    </row>
    <row r="840" spans="1:17" x14ac:dyDescent="0.25">
      <c r="A840" t="str">
        <f t="shared" si="39"/>
        <v>Adam Armstrong</v>
      </c>
      <c r="B840" t="s">
        <v>143</v>
      </c>
      <c r="C840" t="s">
        <v>494</v>
      </c>
      <c r="D840">
        <v>20</v>
      </c>
      <c r="E840">
        <v>4</v>
      </c>
      <c r="F840">
        <v>51</v>
      </c>
      <c r="G840">
        <v>1141</v>
      </c>
      <c r="H840">
        <v>14</v>
      </c>
      <c r="I840">
        <v>2</v>
      </c>
      <c r="J840">
        <v>2</v>
      </c>
      <c r="K840">
        <v>2.77</v>
      </c>
      <c r="L840">
        <v>0.85</v>
      </c>
      <c r="M840">
        <v>39</v>
      </c>
      <c r="N840">
        <v>129</v>
      </c>
      <c r="O840">
        <v>37</v>
      </c>
      <c r="P840">
        <f t="shared" si="40"/>
        <v>0.21849255039439089</v>
      </c>
      <c r="Q840">
        <f t="shared" si="41"/>
        <v>6.7046450482033296E-2</v>
      </c>
    </row>
    <row r="841" spans="1:17" x14ac:dyDescent="0.25">
      <c r="A841" t="str">
        <f t="shared" si="39"/>
        <v>Alfie Brooks</v>
      </c>
      <c r="B841" t="s">
        <v>507</v>
      </c>
      <c r="C841" t="s">
        <v>163</v>
      </c>
      <c r="D841">
        <v>20</v>
      </c>
      <c r="E841">
        <v>1</v>
      </c>
      <c r="F841">
        <v>40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f t="shared" si="40"/>
        <v>0</v>
      </c>
      <c r="Q841">
        <f t="shared" si="41"/>
        <v>0</v>
      </c>
    </row>
    <row r="842" spans="1:17" x14ac:dyDescent="0.25">
      <c r="A842" t="str">
        <f t="shared" si="39"/>
        <v>Josh Gracey</v>
      </c>
      <c r="B842" t="s">
        <v>219</v>
      </c>
      <c r="C842" t="s">
        <v>2589</v>
      </c>
      <c r="D842">
        <v>20</v>
      </c>
      <c r="E842">
        <v>1</v>
      </c>
      <c r="F842">
        <v>40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40"/>
        <v>0</v>
      </c>
      <c r="Q842">
        <f t="shared" si="41"/>
        <v>0</v>
      </c>
    </row>
    <row r="843" spans="1:17" x14ac:dyDescent="0.25">
      <c r="A843" t="str">
        <f t="shared" ref="A843:A866" si="42">_xlfn.CONCAT(B843, " ", C843)</f>
        <v xml:space="preserve"> </v>
      </c>
    </row>
    <row r="844" spans="1:17" x14ac:dyDescent="0.25">
      <c r="A844" t="str">
        <f t="shared" si="42"/>
        <v xml:space="preserve"> </v>
      </c>
    </row>
    <row r="845" spans="1:17" x14ac:dyDescent="0.25">
      <c r="A845" t="str">
        <f t="shared" si="42"/>
        <v xml:space="preserve"> </v>
      </c>
    </row>
    <row r="846" spans="1:17" x14ac:dyDescent="0.25">
      <c r="A846" t="str">
        <f t="shared" si="42"/>
        <v xml:space="preserve"> </v>
      </c>
    </row>
    <row r="847" spans="1:17" x14ac:dyDescent="0.25">
      <c r="A847" t="str">
        <f t="shared" si="42"/>
        <v xml:space="preserve"> </v>
      </c>
    </row>
    <row r="848" spans="1:17" x14ac:dyDescent="0.25">
      <c r="A848" t="str">
        <f t="shared" si="42"/>
        <v xml:space="preserve"> </v>
      </c>
    </row>
    <row r="849" spans="1:1" x14ac:dyDescent="0.25">
      <c r="A849" t="str">
        <f t="shared" si="42"/>
        <v xml:space="preserve"> </v>
      </c>
    </row>
    <row r="850" spans="1:1" x14ac:dyDescent="0.25">
      <c r="A850" t="str">
        <f t="shared" si="42"/>
        <v xml:space="preserve"> </v>
      </c>
    </row>
    <row r="851" spans="1:1" x14ac:dyDescent="0.25">
      <c r="A851" t="str">
        <f t="shared" si="42"/>
        <v xml:space="preserve"> </v>
      </c>
    </row>
    <row r="852" spans="1:1" x14ac:dyDescent="0.25">
      <c r="A852" t="str">
        <f t="shared" si="42"/>
        <v xml:space="preserve"> </v>
      </c>
    </row>
    <row r="853" spans="1:1" x14ac:dyDescent="0.25">
      <c r="A853" t="str">
        <f t="shared" si="42"/>
        <v xml:space="preserve"> </v>
      </c>
    </row>
    <row r="854" spans="1:1" x14ac:dyDescent="0.25">
      <c r="A854" t="str">
        <f t="shared" si="42"/>
        <v xml:space="preserve"> </v>
      </c>
    </row>
    <row r="855" spans="1:1" x14ac:dyDescent="0.25">
      <c r="A855" t="str">
        <f t="shared" si="42"/>
        <v xml:space="preserve"> </v>
      </c>
    </row>
    <row r="856" spans="1:1" x14ac:dyDescent="0.25">
      <c r="A856" t="str">
        <f t="shared" si="42"/>
        <v xml:space="preserve"> </v>
      </c>
    </row>
    <row r="857" spans="1:1" x14ac:dyDescent="0.25">
      <c r="A857" t="str">
        <f t="shared" si="42"/>
        <v xml:space="preserve"> </v>
      </c>
    </row>
    <row r="858" spans="1:1" x14ac:dyDescent="0.25">
      <c r="A858" t="str">
        <f t="shared" si="42"/>
        <v xml:space="preserve"> </v>
      </c>
    </row>
    <row r="859" spans="1:1" x14ac:dyDescent="0.25">
      <c r="A859" t="str">
        <f t="shared" si="42"/>
        <v xml:space="preserve"> </v>
      </c>
    </row>
    <row r="860" spans="1:1" x14ac:dyDescent="0.25">
      <c r="A860" t="str">
        <f t="shared" si="42"/>
        <v xml:space="preserve"> </v>
      </c>
    </row>
    <row r="861" spans="1:1" x14ac:dyDescent="0.25">
      <c r="A861" t="str">
        <f t="shared" si="42"/>
        <v xml:space="preserve"> </v>
      </c>
    </row>
    <row r="862" spans="1:1" x14ac:dyDescent="0.25">
      <c r="A862" t="str">
        <f t="shared" si="42"/>
        <v xml:space="preserve"> </v>
      </c>
    </row>
    <row r="863" spans="1:1" x14ac:dyDescent="0.25">
      <c r="A863" t="str">
        <f t="shared" si="42"/>
        <v xml:space="preserve"> </v>
      </c>
    </row>
    <row r="864" spans="1:1" x14ac:dyDescent="0.25">
      <c r="A864" t="str">
        <f t="shared" si="42"/>
        <v xml:space="preserve"> </v>
      </c>
    </row>
    <row r="865" spans="1:1" x14ac:dyDescent="0.25">
      <c r="A865" t="str">
        <f t="shared" si="42"/>
        <v xml:space="preserve"> </v>
      </c>
    </row>
    <row r="866" spans="1:1" x14ac:dyDescent="0.25">
      <c r="A866" t="str">
        <f t="shared" si="42"/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8C4B-EAE1-41D6-8349-52C75D30A560}">
  <dimension ref="A1:B8"/>
  <sheetViews>
    <sheetView workbookViewId="0">
      <selection activeCell="D12" sqref="D12"/>
    </sheetView>
  </sheetViews>
  <sheetFormatPr defaultRowHeight="15" x14ac:dyDescent="0.25"/>
  <cols>
    <col min="1" max="1" width="28.5703125" bestFit="1" customWidth="1"/>
  </cols>
  <sheetData>
    <row r="1" spans="1:2" x14ac:dyDescent="0.25">
      <c r="A1" s="11" t="s">
        <v>1265</v>
      </c>
      <c r="B1" s="18">
        <v>0.15</v>
      </c>
    </row>
    <row r="2" spans="1:2" x14ac:dyDescent="0.25">
      <c r="A2" s="11" t="s">
        <v>1266</v>
      </c>
      <c r="B2" s="18">
        <v>0.1</v>
      </c>
    </row>
    <row r="3" spans="1:2" x14ac:dyDescent="0.25">
      <c r="A3" s="11" t="s">
        <v>1267</v>
      </c>
      <c r="B3" s="18">
        <v>4</v>
      </c>
    </row>
    <row r="4" spans="1:2" x14ac:dyDescent="0.25">
      <c r="A4" s="11" t="s">
        <v>1268</v>
      </c>
      <c r="B4" s="18">
        <v>60</v>
      </c>
    </row>
    <row r="5" spans="1:2" x14ac:dyDescent="0.25">
      <c r="A5" s="11" t="s">
        <v>1269</v>
      </c>
      <c r="B5" s="18">
        <v>1.5</v>
      </c>
    </row>
    <row r="6" spans="1:2" x14ac:dyDescent="0.25">
      <c r="A6" s="11" t="s">
        <v>1270</v>
      </c>
      <c r="B6" s="18">
        <v>1</v>
      </c>
    </row>
    <row r="7" spans="1:2" x14ac:dyDescent="0.25">
      <c r="A7" s="11" t="s">
        <v>1271</v>
      </c>
      <c r="B7" s="18">
        <v>0.2</v>
      </c>
    </row>
    <row r="8" spans="1:2" x14ac:dyDescent="0.25">
      <c r="A8" s="11" t="s">
        <v>1272</v>
      </c>
      <c r="B8" s="18">
        <v>0.8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5EB8-6D63-4AA0-942C-21DAA38A06ED}">
  <dimension ref="A1:Z21"/>
  <sheetViews>
    <sheetView topLeftCell="L1" workbookViewId="0">
      <selection activeCell="AD9" sqref="AD9"/>
    </sheetView>
  </sheetViews>
  <sheetFormatPr defaultRowHeight="15" x14ac:dyDescent="0.25"/>
  <cols>
    <col min="1" max="1" width="10.28515625" customWidth="1"/>
    <col min="2" max="2" width="13" customWidth="1"/>
    <col min="3" max="3" width="13.7109375" customWidth="1"/>
    <col min="4" max="4" width="15.7109375" customWidth="1"/>
    <col min="5" max="5" width="14.5703125" customWidth="1"/>
    <col min="6" max="6" width="17.42578125" customWidth="1"/>
    <col min="7" max="7" width="16.7109375" bestFit="1" customWidth="1"/>
    <col min="8" max="8" width="26.42578125" bestFit="1" customWidth="1"/>
    <col min="9" max="9" width="14.28515625" customWidth="1"/>
    <col min="10" max="10" width="16.7109375" bestFit="1" customWidth="1"/>
    <col min="11" max="11" width="19.28515625" bestFit="1" customWidth="1"/>
    <col min="12" max="12" width="20" bestFit="1" customWidth="1"/>
    <col min="13" max="13" width="22.85546875" bestFit="1" customWidth="1"/>
    <col min="14" max="14" width="13.42578125" bestFit="1" customWidth="1"/>
    <col min="15" max="15" width="20" bestFit="1" customWidth="1"/>
    <col min="16" max="16" width="22.42578125" hidden="1" customWidth="1"/>
    <col min="17" max="17" width="22" hidden="1" customWidth="1"/>
    <col min="18" max="18" width="21.28515625" hidden="1" customWidth="1"/>
    <col min="19" max="19" width="20.85546875" hidden="1" customWidth="1"/>
    <col min="20" max="20" width="26.42578125" hidden="1" customWidth="1"/>
    <col min="21" max="21" width="28.28515625" hidden="1" customWidth="1"/>
    <col min="22" max="22" width="27.28515625" hidden="1" customWidth="1"/>
    <col min="23" max="23" width="26.7109375" bestFit="1" customWidth="1"/>
    <col min="24" max="24" width="36.28515625" bestFit="1" customWidth="1"/>
    <col min="25" max="25" width="19.28515625" bestFit="1" customWidth="1"/>
    <col min="26" max="26" width="22.85546875" bestFit="1" customWidth="1"/>
  </cols>
  <sheetData>
    <row r="1" spans="1:26" ht="30" x14ac:dyDescent="0.25">
      <c r="A1" s="1" t="s">
        <v>1149</v>
      </c>
      <c r="B1" s="1" t="s">
        <v>1120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 t="s">
        <v>1140</v>
      </c>
      <c r="J1" s="1" t="s">
        <v>1159</v>
      </c>
      <c r="K1" s="1" t="s">
        <v>1156</v>
      </c>
      <c r="L1" s="1" t="s">
        <v>1157</v>
      </c>
      <c r="M1" s="1" t="s">
        <v>1158</v>
      </c>
      <c r="N1" s="9" t="s">
        <v>1168</v>
      </c>
      <c r="O1" s="1" t="s">
        <v>1169</v>
      </c>
      <c r="P1" s="1" t="s">
        <v>1170</v>
      </c>
      <c r="Q1" s="1" t="s">
        <v>1171</v>
      </c>
      <c r="R1" s="1" t="s">
        <v>1172</v>
      </c>
      <c r="S1" s="1" t="s">
        <v>1173</v>
      </c>
      <c r="T1" s="1" t="s">
        <v>1174</v>
      </c>
      <c r="U1" s="1" t="s">
        <v>1175</v>
      </c>
      <c r="V1" s="1" t="s">
        <v>1176</v>
      </c>
      <c r="W1" s="1" t="s">
        <v>2818</v>
      </c>
      <c r="X1" s="1" t="s">
        <v>2819</v>
      </c>
      <c r="Y1" s="1" t="s">
        <v>2820</v>
      </c>
      <c r="Z1" s="1" t="s">
        <v>2821</v>
      </c>
    </row>
    <row r="2" spans="1:26" x14ac:dyDescent="0.25">
      <c r="A2">
        <f>Raw_Teams!B2</f>
        <v>1</v>
      </c>
      <c r="B2" t="str">
        <f>INDEX(Raw_Teams!$D:$D,MATCH(A2,Raw_Teams!$B:$B,0))</f>
        <v>ARS</v>
      </c>
      <c r="C2" t="str">
        <f>INDEX(Raw_Teams!$C:$C,MATCH(A2,Raw_Teams!$B:$B,0))</f>
        <v>Arsenal</v>
      </c>
      <c r="D2">
        <f>COUNTIFS(Fixture_Raw!$B:$B,TRUE,Fixture_Raw!$E:$E,$A2)+COUNTIFS(Fixture_Raw!$B:$B,TRUE,Fixture_Raw!$G:$G,$A2)</f>
        <v>3</v>
      </c>
      <c r="E2">
        <f>SUMIFS(Fixture_Raw!$H:$H,Fixture_Raw!$B:$B,TRUE,Fixture_Raw!$G:$G,$A2)+SUMIFS(Fixture_Raw!$F:$F,Fixture_Raw!$B:$B,TRUE,Fixture_Raw!$E:$E,$A2)</f>
        <v>6</v>
      </c>
      <c r="F2">
        <f>SUMIFS(Fixture_Raw!$F:$F,Fixture_Raw!$B:$B,TRUE,Fixture_Raw!$G:$G,$A2)+SUMIFS(Fixture_Raw!$H:$H,Fixture_Raw!$B:$B,TRUE,Fixture_Raw!$E:$E,$A2)</f>
        <v>1</v>
      </c>
      <c r="G2">
        <f t="shared" ref="G2:G21" si="0">IFERROR(E2/D2,0)</f>
        <v>2</v>
      </c>
      <c r="H2">
        <f t="shared" ref="H2:H21" si="1">IFERROR(F2/D2,0)</f>
        <v>0.33333333333333331</v>
      </c>
      <c r="I2">
        <f>COUNTIFS(Fixture_Raw!$B:$B,TRUE,Fixture_Raw!$G:$G,$A2,Fixture_Raw!$F:$F,0)+COUNTIFS(Fixture_Raw!$B:$B,TRUE,Fixture_Raw!$E:$E,$A2,Fixture_Raw!$H:$H,0)</f>
        <v>2</v>
      </c>
      <c r="J2">
        <f t="shared" ref="J2:J21" si="2">IFERROR(I2/D2,0)</f>
        <v>0.66666666666666663</v>
      </c>
      <c r="K2">
        <f t="shared" ref="K2:K21" si="3">IFERROR(G2/MAX($G$2:$G$21)*100,0)</f>
        <v>75</v>
      </c>
      <c r="L2">
        <f t="shared" ref="L2:L21" si="4">IFERROR(MIN($H$2:$H$21)/H2*100,0)</f>
        <v>0</v>
      </c>
      <c r="M2">
        <f t="shared" ref="M2:M21" si="5">K2*50%+L2*50%</f>
        <v>37.5</v>
      </c>
      <c r="N2" s="9">
        <f>IFERROR(INDEX(Raw_Teams!$E:$E,MATCH($A2,Raw_Teams!$A:$A,0)),0)</f>
        <v>0</v>
      </c>
      <c r="O2" s="9" t="str">
        <f>IFERROR(INDEX(Raw_Teams!$D:$D,MATCH($D2,Raw_Teams!$A:$A,0)),0)</f>
        <v>ARS</v>
      </c>
      <c r="P2">
        <f>IFERROR(INDEX(Raw_Teams!$G:$G,MATCH($A2,Raw_Teams!$A:$A,0)),0)</f>
        <v>0</v>
      </c>
      <c r="W2">
        <f t="shared" ref="W2:W21" si="6">IFERROR((E2+AVERAGE($E$2:$E$21))/(D2+1),AVERAGE($E$2:$E$21))</f>
        <v>2.5625</v>
      </c>
      <c r="X2">
        <f>IFERROR((F2+AVERAGE($F$2:$F$21))/(D2+1),AVERAGE($F$2:$F$21))</f>
        <v>1.3125</v>
      </c>
      <c r="Y2">
        <f t="shared" ref="Y2:Y21" si="7">IFERROR(W2/AVERAGE($W$2:$W$21),1)</f>
        <v>1.2058823529411764</v>
      </c>
      <c r="Z2">
        <f t="shared" ref="Z2:Z21" si="8">IFERROR(X2/AVERAGE($X$2:$X$21),1)</f>
        <v>0.61764705882352944</v>
      </c>
    </row>
    <row r="3" spans="1:26" x14ac:dyDescent="0.25">
      <c r="A3">
        <f>Raw_Teams!B3</f>
        <v>2</v>
      </c>
      <c r="B3" t="str">
        <f>INDEX(Raw_Teams!$D:$D,MATCH(A3,Raw_Teams!$B:$B,0))</f>
        <v>AVL</v>
      </c>
      <c r="C3" t="str">
        <f>INDEX(Raw_Teams!$C:$C,MATCH(A3,Raw_Teams!$B:$B,0))</f>
        <v>Aston Villa</v>
      </c>
      <c r="D3">
        <f>COUNTIFS(Fixture_Raw!$B:$B,TRUE,Fixture_Raw!$E:$E,$A3)+COUNTIFS(Fixture_Raw!$B:$B,TRUE,Fixture_Raw!$G:$G,$A3)</f>
        <v>3</v>
      </c>
      <c r="E3">
        <f>SUMIFS(Fixture_Raw!$H:$H,Fixture_Raw!$B:$B,TRUE,Fixture_Raw!$G:$G,$A3)+SUMIFS(Fixture_Raw!$F:$F,Fixture_Raw!$B:$B,TRUE,Fixture_Raw!$E:$E,$A3)</f>
        <v>0</v>
      </c>
      <c r="F3">
        <f>SUMIFS(Fixture_Raw!$F:$F,Fixture_Raw!$B:$B,TRUE,Fixture_Raw!$G:$G,$A3)+SUMIFS(Fixture_Raw!$H:$H,Fixture_Raw!$B:$B,TRUE,Fixture_Raw!$E:$E,$A3)</f>
        <v>5</v>
      </c>
      <c r="G3">
        <f t="shared" si="0"/>
        <v>0</v>
      </c>
      <c r="H3">
        <f t="shared" si="1"/>
        <v>1.6666666666666667</v>
      </c>
      <c r="I3">
        <f>COUNTIFS(Fixture_Raw!$B:$B,TRUE,Fixture_Raw!$G:$G,$A3,Fixture_Raw!$F:$F,0)+COUNTIFS(Fixture_Raw!$B:$B,TRUE,Fixture_Raw!$E:$E,$A3,Fixture_Raw!$H:$H,0)</f>
        <v>1</v>
      </c>
      <c r="J3">
        <f t="shared" si="2"/>
        <v>0.33333333333333331</v>
      </c>
      <c r="K3">
        <f t="shared" si="3"/>
        <v>0</v>
      </c>
      <c r="L3">
        <f t="shared" si="4"/>
        <v>0</v>
      </c>
      <c r="M3">
        <f t="shared" si="5"/>
        <v>0</v>
      </c>
      <c r="N3">
        <f>IFERROR(INDEX(Raw_Teams!$E:$E,MATCH($A3,Raw_Teams!$A:$A,0)),0)</f>
        <v>0</v>
      </c>
      <c r="O3" t="str">
        <f>IFERROR(INDEX(Raw_Teams!$D:$D,MATCH($D3,Raw_Teams!$A:$A,0)),0)</f>
        <v>ARS</v>
      </c>
      <c r="P3">
        <f>IFERROR(INDEX(Raw_Teams!$G:$G,MATCH($A3,Raw_Teams!$A:$A,0)),0)</f>
        <v>0</v>
      </c>
      <c r="W3">
        <f t="shared" si="6"/>
        <v>1.0625</v>
      </c>
      <c r="X3">
        <f t="shared" ref="X3:X21" si="9">IFERROR((F3+AVERAGE($F$2:$F$21))/(D3+1),AVERAGE($F$2:$F$21))</f>
        <v>2.3125</v>
      </c>
      <c r="Y3">
        <f t="shared" si="7"/>
        <v>0.5</v>
      </c>
      <c r="Z3">
        <f t="shared" si="8"/>
        <v>1.088235294117647</v>
      </c>
    </row>
    <row r="4" spans="1:26" x14ac:dyDescent="0.25">
      <c r="A4">
        <f>Raw_Teams!B4</f>
        <v>3</v>
      </c>
      <c r="B4" t="str">
        <f>INDEX(Raw_Teams!$D:$D,MATCH(A4,Raw_Teams!$B:$B,0))</f>
        <v>BOU</v>
      </c>
      <c r="C4" t="str">
        <f>INDEX(Raw_Teams!$C:$C,MATCH(A4,Raw_Teams!$B:$B,0))</f>
        <v>Bournemouth</v>
      </c>
      <c r="D4">
        <f>COUNTIFS(Fixture_Raw!$B:$B,TRUE,Fixture_Raw!$E:$E,$A4)+COUNTIFS(Fixture_Raw!$B:$B,TRUE,Fixture_Raw!$G:$G,$A4)</f>
        <v>3</v>
      </c>
      <c r="E4">
        <f>SUMIFS(Fixture_Raw!$H:$H,Fixture_Raw!$B:$B,TRUE,Fixture_Raw!$G:$G,$A4)+SUMIFS(Fixture_Raw!$F:$F,Fixture_Raw!$B:$B,TRUE,Fixture_Raw!$E:$E,$A4)</f>
        <v>4</v>
      </c>
      <c r="F4">
        <f>SUMIFS(Fixture_Raw!$F:$F,Fixture_Raw!$B:$B,TRUE,Fixture_Raw!$G:$G,$A4)+SUMIFS(Fixture_Raw!$H:$H,Fixture_Raw!$B:$B,TRUE,Fixture_Raw!$E:$E,$A4)</f>
        <v>5</v>
      </c>
      <c r="G4">
        <f t="shared" si="0"/>
        <v>1.3333333333333333</v>
      </c>
      <c r="H4">
        <f t="shared" si="1"/>
        <v>1.6666666666666667</v>
      </c>
      <c r="I4">
        <f>COUNTIFS(Fixture_Raw!$B:$B,TRUE,Fixture_Raw!$G:$G,$A4,Fixture_Raw!$F:$F,0)+COUNTIFS(Fixture_Raw!$B:$B,TRUE,Fixture_Raw!$E:$E,$A4,Fixture_Raw!$H:$H,0)</f>
        <v>0</v>
      </c>
      <c r="J4">
        <f t="shared" si="2"/>
        <v>0</v>
      </c>
      <c r="K4">
        <f t="shared" si="3"/>
        <v>50</v>
      </c>
      <c r="L4">
        <f t="shared" si="4"/>
        <v>0</v>
      </c>
      <c r="M4">
        <f t="shared" si="5"/>
        <v>25</v>
      </c>
      <c r="N4">
        <f>IFERROR(INDEX(Raw_Teams!$E:$E,MATCH($A4,Raw_Teams!$A:$A,0)),0)</f>
        <v>0</v>
      </c>
      <c r="O4" t="str">
        <f>IFERROR(INDEX(Raw_Teams!$D:$D,MATCH($D4,Raw_Teams!$A:$A,0)),0)</f>
        <v>ARS</v>
      </c>
      <c r="P4">
        <f>IFERROR(INDEX(Raw_Teams!$G:$G,MATCH($A4,Raw_Teams!$A:$A,0)),0)</f>
        <v>0</v>
      </c>
      <c r="W4">
        <f t="shared" si="6"/>
        <v>2.0625</v>
      </c>
      <c r="X4">
        <f t="shared" si="9"/>
        <v>2.3125</v>
      </c>
      <c r="Y4">
        <f t="shared" si="7"/>
        <v>0.97058823529411764</v>
      </c>
      <c r="Z4">
        <f t="shared" si="8"/>
        <v>1.088235294117647</v>
      </c>
    </row>
    <row r="5" spans="1:26" x14ac:dyDescent="0.25">
      <c r="A5">
        <f>Raw_Teams!B5</f>
        <v>4</v>
      </c>
      <c r="B5" t="str">
        <f>INDEX(Raw_Teams!$D:$D,MATCH(A5,Raw_Teams!$B:$B,0))</f>
        <v>BRE</v>
      </c>
      <c r="C5" t="str">
        <f>INDEX(Raw_Teams!$C:$C,MATCH(A5,Raw_Teams!$B:$B,0))</f>
        <v>Brentford</v>
      </c>
      <c r="D5">
        <f>COUNTIFS(Fixture_Raw!$B:$B,TRUE,Fixture_Raw!$E:$E,$A5)+COUNTIFS(Fixture_Raw!$B:$B,TRUE,Fixture_Raw!$G:$G,$A5)</f>
        <v>3</v>
      </c>
      <c r="E5">
        <f>SUMIFS(Fixture_Raw!$H:$H,Fixture_Raw!$B:$B,TRUE,Fixture_Raw!$G:$G,$A5)+SUMIFS(Fixture_Raw!$F:$F,Fixture_Raw!$B:$B,TRUE,Fixture_Raw!$E:$E,$A5)</f>
        <v>5</v>
      </c>
      <c r="F5">
        <f>SUMIFS(Fixture_Raw!$F:$F,Fixture_Raw!$B:$B,TRUE,Fixture_Raw!$G:$G,$A5)+SUMIFS(Fixture_Raw!$H:$H,Fixture_Raw!$B:$B,TRUE,Fixture_Raw!$E:$E,$A5)</f>
        <v>2</v>
      </c>
      <c r="G5">
        <f t="shared" si="0"/>
        <v>1.6666666666666667</v>
      </c>
      <c r="H5">
        <f t="shared" si="1"/>
        <v>0.66666666666666663</v>
      </c>
      <c r="I5">
        <f>COUNTIFS(Fixture_Raw!$B:$B,TRUE,Fixture_Raw!$G:$G,$A5,Fixture_Raw!$F:$F,0)+COUNTIFS(Fixture_Raw!$B:$B,TRUE,Fixture_Raw!$E:$E,$A5,Fixture_Raw!$H:$H,0)</f>
        <v>1</v>
      </c>
      <c r="J5">
        <f t="shared" si="2"/>
        <v>0.33333333333333331</v>
      </c>
      <c r="K5">
        <f t="shared" si="3"/>
        <v>62.500000000000014</v>
      </c>
      <c r="L5">
        <f t="shared" si="4"/>
        <v>0</v>
      </c>
      <c r="M5">
        <f t="shared" si="5"/>
        <v>31.250000000000007</v>
      </c>
      <c r="N5">
        <f>IFERROR(INDEX(Raw_Teams!$E:$E,MATCH($A5,Raw_Teams!$A:$A,0)),0)</f>
        <v>0</v>
      </c>
      <c r="O5" t="str">
        <f>IFERROR(INDEX(Raw_Teams!$D:$D,MATCH($D5,Raw_Teams!$A:$A,0)),0)</f>
        <v>ARS</v>
      </c>
      <c r="P5">
        <f>IFERROR(INDEX(Raw_Teams!$G:$G,MATCH($A5,Raw_Teams!$A:$A,0)),0)</f>
        <v>0</v>
      </c>
      <c r="W5">
        <f t="shared" si="6"/>
        <v>2.3125</v>
      </c>
      <c r="X5">
        <f t="shared" si="9"/>
        <v>1.5625</v>
      </c>
      <c r="Y5">
        <f t="shared" si="7"/>
        <v>1.088235294117647</v>
      </c>
      <c r="Z5">
        <f t="shared" si="8"/>
        <v>0.73529411764705888</v>
      </c>
    </row>
    <row r="6" spans="1:26" x14ac:dyDescent="0.25">
      <c r="A6">
        <f>Raw_Teams!B6</f>
        <v>5</v>
      </c>
      <c r="B6" t="str">
        <f>INDEX(Raw_Teams!$D:$D,MATCH(A6,Raw_Teams!$B:$B,0))</f>
        <v>BHA</v>
      </c>
      <c r="C6" t="str">
        <f>INDEX(Raw_Teams!$C:$C,MATCH(A6,Raw_Teams!$B:$B,0))</f>
        <v>Brighton</v>
      </c>
      <c r="D6">
        <f>COUNTIFS(Fixture_Raw!$B:$B,TRUE,Fixture_Raw!$E:$E,$A6)+COUNTIFS(Fixture_Raw!$B:$B,TRUE,Fixture_Raw!$G:$G,$A6)</f>
        <v>3</v>
      </c>
      <c r="E6">
        <f>SUMIFS(Fixture_Raw!$H:$H,Fixture_Raw!$B:$B,TRUE,Fixture_Raw!$G:$G,$A6)+SUMIFS(Fixture_Raw!$F:$F,Fixture_Raw!$B:$B,TRUE,Fixture_Raw!$E:$E,$A6)</f>
        <v>8</v>
      </c>
      <c r="F6">
        <f>SUMIFS(Fixture_Raw!$F:$F,Fixture_Raw!$B:$B,TRUE,Fixture_Raw!$G:$G,$A6)+SUMIFS(Fixture_Raw!$H:$H,Fixture_Raw!$B:$B,TRUE,Fixture_Raw!$E:$E,$A6)</f>
        <v>5</v>
      </c>
      <c r="G6">
        <f t="shared" si="0"/>
        <v>2.6666666666666665</v>
      </c>
      <c r="H6">
        <f t="shared" si="1"/>
        <v>1.6666666666666667</v>
      </c>
      <c r="I6">
        <f>COUNTIFS(Fixture_Raw!$B:$B,TRUE,Fixture_Raw!$G:$G,$A6,Fixture_Raw!$F:$F,0)+COUNTIFS(Fixture_Raw!$B:$B,TRUE,Fixture_Raw!$E:$E,$A6,Fixture_Raw!$H:$H,0)</f>
        <v>1</v>
      </c>
      <c r="J6">
        <f t="shared" si="2"/>
        <v>0.33333333333333331</v>
      </c>
      <c r="K6">
        <f t="shared" si="3"/>
        <v>100</v>
      </c>
      <c r="L6">
        <f t="shared" si="4"/>
        <v>0</v>
      </c>
      <c r="M6">
        <f t="shared" si="5"/>
        <v>50</v>
      </c>
      <c r="N6">
        <f>IFERROR(INDEX(Raw_Teams!$E:$E,MATCH($A6,Raw_Teams!$A:$A,0)),0)</f>
        <v>0</v>
      </c>
      <c r="O6" t="str">
        <f>IFERROR(INDEX(Raw_Teams!$D:$D,MATCH($D6,Raw_Teams!$A:$A,0)),0)</f>
        <v>ARS</v>
      </c>
      <c r="P6">
        <f>IFERROR(INDEX(Raw_Teams!$G:$G,MATCH($A6,Raw_Teams!$A:$A,0)),0)</f>
        <v>0</v>
      </c>
      <c r="W6">
        <f t="shared" si="6"/>
        <v>3.0625</v>
      </c>
      <c r="X6">
        <f t="shared" si="9"/>
        <v>2.3125</v>
      </c>
      <c r="Y6">
        <f t="shared" si="7"/>
        <v>1.4411764705882353</v>
      </c>
      <c r="Z6">
        <f t="shared" si="8"/>
        <v>1.088235294117647</v>
      </c>
    </row>
    <row r="7" spans="1:26" x14ac:dyDescent="0.25">
      <c r="A7">
        <f>Raw_Teams!B7</f>
        <v>6</v>
      </c>
      <c r="B7" t="str">
        <f>INDEX(Raw_Teams!$D:$D,MATCH(A7,Raw_Teams!$B:$B,0))</f>
        <v>CHE</v>
      </c>
      <c r="C7" t="str">
        <f>INDEX(Raw_Teams!$C:$C,MATCH(A7,Raw_Teams!$B:$B,0))</f>
        <v>Chelsea</v>
      </c>
      <c r="D7">
        <f>COUNTIFS(Fixture_Raw!$B:$B,TRUE,Fixture_Raw!$E:$E,$A7)+COUNTIFS(Fixture_Raw!$B:$B,TRUE,Fixture_Raw!$G:$G,$A7)</f>
        <v>3</v>
      </c>
      <c r="E7">
        <f>SUMIFS(Fixture_Raw!$H:$H,Fixture_Raw!$B:$B,TRUE,Fixture_Raw!$G:$G,$A7)+SUMIFS(Fixture_Raw!$F:$F,Fixture_Raw!$B:$B,TRUE,Fixture_Raw!$E:$E,$A7)</f>
        <v>8</v>
      </c>
      <c r="F7">
        <f>SUMIFS(Fixture_Raw!$F:$F,Fixture_Raw!$B:$B,TRUE,Fixture_Raw!$G:$G,$A7)+SUMIFS(Fixture_Raw!$H:$H,Fixture_Raw!$B:$B,TRUE,Fixture_Raw!$E:$E,$A7)</f>
        <v>7</v>
      </c>
      <c r="G7">
        <f t="shared" si="0"/>
        <v>2.6666666666666665</v>
      </c>
      <c r="H7">
        <f t="shared" si="1"/>
        <v>2.3333333333333335</v>
      </c>
      <c r="I7">
        <f>COUNTIFS(Fixture_Raw!$B:$B,TRUE,Fixture_Raw!$G:$G,$A7,Fixture_Raw!$F:$F,0)+COUNTIFS(Fixture_Raw!$B:$B,TRUE,Fixture_Raw!$E:$E,$A7,Fixture_Raw!$H:$H,0)</f>
        <v>0</v>
      </c>
      <c r="J7">
        <f t="shared" si="2"/>
        <v>0</v>
      </c>
      <c r="K7">
        <f t="shared" si="3"/>
        <v>100</v>
      </c>
      <c r="L7">
        <f t="shared" si="4"/>
        <v>0</v>
      </c>
      <c r="M7">
        <f t="shared" si="5"/>
        <v>50</v>
      </c>
      <c r="N7">
        <f>IFERROR(INDEX(Raw_Teams!$E:$E,MATCH($A7,Raw_Teams!$A:$A,0)),0)</f>
        <v>0</v>
      </c>
      <c r="O7" t="str">
        <f>IFERROR(INDEX(Raw_Teams!$D:$D,MATCH($D7,Raw_Teams!$A:$A,0)),0)</f>
        <v>ARS</v>
      </c>
      <c r="P7">
        <f>IFERROR(INDEX(Raw_Teams!$G:$G,MATCH($A7,Raw_Teams!$A:$A,0)),0)</f>
        <v>0</v>
      </c>
      <c r="W7">
        <f t="shared" si="6"/>
        <v>3.0625</v>
      </c>
      <c r="X7">
        <f t="shared" si="9"/>
        <v>2.8125</v>
      </c>
      <c r="Y7">
        <f t="shared" si="7"/>
        <v>1.4411764705882353</v>
      </c>
      <c r="Z7">
        <f t="shared" si="8"/>
        <v>1.3235294117647058</v>
      </c>
    </row>
    <row r="8" spans="1:26" x14ac:dyDescent="0.25">
      <c r="A8">
        <f>Raw_Teams!B8</f>
        <v>7</v>
      </c>
      <c r="B8" t="str">
        <f>INDEX(Raw_Teams!$D:$D,MATCH(A8,Raw_Teams!$B:$B,0))</f>
        <v>COV</v>
      </c>
      <c r="C8" t="str">
        <f>INDEX(Raw_Teams!$C:$C,MATCH(A8,Raw_Teams!$B:$B,0))</f>
        <v>Coventry City</v>
      </c>
      <c r="D8">
        <f>COUNTIFS(Fixture_Raw!$B:$B,TRUE,Fixture_Raw!$E:$E,$A8)+COUNTIFS(Fixture_Raw!$B:$B,TRUE,Fixture_Raw!$G:$G,$A8)</f>
        <v>3</v>
      </c>
      <c r="E8">
        <f>SUMIFS(Fixture_Raw!$H:$H,Fixture_Raw!$B:$B,TRUE,Fixture_Raw!$G:$G,$A8)+SUMIFS(Fixture_Raw!$F:$F,Fixture_Raw!$B:$B,TRUE,Fixture_Raw!$E:$E,$A8)</f>
        <v>0</v>
      </c>
      <c r="F8">
        <f>SUMIFS(Fixture_Raw!$F:$F,Fixture_Raw!$B:$B,TRUE,Fixture_Raw!$G:$G,$A8)+SUMIFS(Fixture_Raw!$H:$H,Fixture_Raw!$B:$B,TRUE,Fixture_Raw!$E:$E,$A8)</f>
        <v>5</v>
      </c>
      <c r="G8">
        <f t="shared" si="0"/>
        <v>0</v>
      </c>
      <c r="H8">
        <f t="shared" si="1"/>
        <v>1.6666666666666667</v>
      </c>
      <c r="I8">
        <f>COUNTIFS(Fixture_Raw!$B:$B,TRUE,Fixture_Raw!$G:$G,$A8,Fixture_Raw!$F:$F,0)+COUNTIFS(Fixture_Raw!$B:$B,TRUE,Fixture_Raw!$E:$E,$A8,Fixture_Raw!$H:$H,0)</f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>IFERROR(INDEX(Raw_Teams!$E:$E,MATCH($A8,Raw_Teams!$A:$A,0)),0)</f>
        <v>0</v>
      </c>
      <c r="O8" t="str">
        <f>IFERROR(INDEX(Raw_Teams!$D:$D,MATCH($D8,Raw_Teams!$A:$A,0)),0)</f>
        <v>ARS</v>
      </c>
      <c r="P8">
        <f>IFERROR(INDEX(Raw_Teams!$G:$G,MATCH($A8,Raw_Teams!$A:$A,0)),0)</f>
        <v>0</v>
      </c>
      <c r="W8">
        <f t="shared" si="6"/>
        <v>1.0625</v>
      </c>
      <c r="X8">
        <f t="shared" si="9"/>
        <v>2.3125</v>
      </c>
      <c r="Y8">
        <f t="shared" si="7"/>
        <v>0.5</v>
      </c>
      <c r="Z8">
        <f t="shared" si="8"/>
        <v>1.088235294117647</v>
      </c>
    </row>
    <row r="9" spans="1:26" x14ac:dyDescent="0.25">
      <c r="A9">
        <f>Raw_Teams!B9</f>
        <v>8</v>
      </c>
      <c r="B9" t="str">
        <f>INDEX(Raw_Teams!$D:$D,MATCH(A9,Raw_Teams!$B:$B,0))</f>
        <v>CRY</v>
      </c>
      <c r="C9" t="str">
        <f>INDEX(Raw_Teams!$C:$C,MATCH(A9,Raw_Teams!$B:$B,0))</f>
        <v>Crystal Palace</v>
      </c>
      <c r="D9">
        <f>COUNTIFS(Fixture_Raw!$B:$B,TRUE,Fixture_Raw!$E:$E,$A9)+COUNTIFS(Fixture_Raw!$B:$B,TRUE,Fixture_Raw!$G:$G,$A9)</f>
        <v>3</v>
      </c>
      <c r="E9">
        <f>SUMIFS(Fixture_Raw!$H:$H,Fixture_Raw!$B:$B,TRUE,Fixture_Raw!$G:$G,$A9)+SUMIFS(Fixture_Raw!$F:$F,Fixture_Raw!$B:$B,TRUE,Fixture_Raw!$E:$E,$A9)</f>
        <v>4</v>
      </c>
      <c r="F9">
        <f>SUMIFS(Fixture_Raw!$F:$F,Fixture_Raw!$B:$B,TRUE,Fixture_Raw!$G:$G,$A9)+SUMIFS(Fixture_Raw!$H:$H,Fixture_Raw!$B:$B,TRUE,Fixture_Raw!$E:$E,$A9)</f>
        <v>8</v>
      </c>
      <c r="G9">
        <f t="shared" si="0"/>
        <v>1.3333333333333333</v>
      </c>
      <c r="H9">
        <f t="shared" si="1"/>
        <v>2.6666666666666665</v>
      </c>
      <c r="I9">
        <f>COUNTIFS(Fixture_Raw!$B:$B,TRUE,Fixture_Raw!$G:$G,$A9,Fixture_Raw!$F:$F,0)+COUNTIFS(Fixture_Raw!$B:$B,TRUE,Fixture_Raw!$E:$E,$A9,Fixture_Raw!$H:$H,0)</f>
        <v>0</v>
      </c>
      <c r="J9">
        <f t="shared" si="2"/>
        <v>0</v>
      </c>
      <c r="K9">
        <f t="shared" si="3"/>
        <v>50</v>
      </c>
      <c r="L9">
        <f t="shared" si="4"/>
        <v>0</v>
      </c>
      <c r="M9">
        <f t="shared" si="5"/>
        <v>25</v>
      </c>
      <c r="N9">
        <f>IFERROR(INDEX(Raw_Teams!$E:$E,MATCH($A9,Raw_Teams!$A:$A,0)),0)</f>
        <v>0</v>
      </c>
      <c r="O9" t="str">
        <f>IFERROR(INDEX(Raw_Teams!$D:$D,MATCH($D9,Raw_Teams!$A:$A,0)),0)</f>
        <v>ARS</v>
      </c>
      <c r="P9">
        <f>IFERROR(INDEX(Raw_Teams!$G:$G,MATCH($A9,Raw_Teams!$A:$A,0)),0)</f>
        <v>0</v>
      </c>
      <c r="W9">
        <f t="shared" si="6"/>
        <v>2.0625</v>
      </c>
      <c r="X9">
        <f t="shared" si="9"/>
        <v>3.0625</v>
      </c>
      <c r="Y9">
        <f t="shared" si="7"/>
        <v>0.97058823529411764</v>
      </c>
      <c r="Z9">
        <f t="shared" si="8"/>
        <v>1.4411764705882353</v>
      </c>
    </row>
    <row r="10" spans="1:26" x14ac:dyDescent="0.25">
      <c r="A10">
        <f>Raw_Teams!B10</f>
        <v>9</v>
      </c>
      <c r="B10" t="str">
        <f>INDEX(Raw_Teams!$D:$D,MATCH(A10,Raw_Teams!$B:$B,0))</f>
        <v>EVE</v>
      </c>
      <c r="C10" t="str">
        <f>INDEX(Raw_Teams!$C:$C,MATCH(A10,Raw_Teams!$B:$B,0))</f>
        <v>Everton</v>
      </c>
      <c r="D10">
        <f>COUNTIFS(Fixture_Raw!$B:$B,TRUE,Fixture_Raw!$E:$E,$A10)+COUNTIFS(Fixture_Raw!$B:$B,TRUE,Fixture_Raw!$G:$G,$A10)</f>
        <v>3</v>
      </c>
      <c r="E10">
        <f>SUMIFS(Fixture_Raw!$H:$H,Fixture_Raw!$B:$B,TRUE,Fixture_Raw!$G:$G,$A10)+SUMIFS(Fixture_Raw!$F:$F,Fixture_Raw!$B:$B,TRUE,Fixture_Raw!$E:$E,$A10)</f>
        <v>5</v>
      </c>
      <c r="F10">
        <f>SUMIFS(Fixture_Raw!$F:$F,Fixture_Raw!$B:$B,TRUE,Fixture_Raw!$G:$G,$A10)+SUMIFS(Fixture_Raw!$H:$H,Fixture_Raw!$B:$B,TRUE,Fixture_Raw!$E:$E,$A10)</f>
        <v>3</v>
      </c>
      <c r="G10">
        <f t="shared" si="0"/>
        <v>1.6666666666666667</v>
      </c>
      <c r="H10">
        <f t="shared" si="1"/>
        <v>1</v>
      </c>
      <c r="I10">
        <f>COUNTIFS(Fixture_Raw!$B:$B,TRUE,Fixture_Raw!$G:$G,$A10,Fixture_Raw!$F:$F,0)+COUNTIFS(Fixture_Raw!$B:$B,TRUE,Fixture_Raw!$E:$E,$A10,Fixture_Raw!$H:$H,0)</f>
        <v>1</v>
      </c>
      <c r="J10">
        <f t="shared" si="2"/>
        <v>0.33333333333333331</v>
      </c>
      <c r="K10">
        <f t="shared" si="3"/>
        <v>62.500000000000014</v>
      </c>
      <c r="L10">
        <f t="shared" si="4"/>
        <v>0</v>
      </c>
      <c r="M10">
        <f t="shared" si="5"/>
        <v>31.250000000000007</v>
      </c>
      <c r="N10">
        <f>IFERROR(INDEX(Raw_Teams!$E:$E,MATCH($A10,Raw_Teams!$A:$A,0)),0)</f>
        <v>0</v>
      </c>
      <c r="O10" t="str">
        <f>IFERROR(INDEX(Raw_Teams!$D:$D,MATCH($D10,Raw_Teams!$A:$A,0)),0)</f>
        <v>ARS</v>
      </c>
      <c r="P10">
        <f>IFERROR(INDEX(Raw_Teams!$G:$G,MATCH($A10,Raw_Teams!$A:$A,0)),0)</f>
        <v>0</v>
      </c>
      <c r="W10">
        <f t="shared" si="6"/>
        <v>2.3125</v>
      </c>
      <c r="X10">
        <f t="shared" si="9"/>
        <v>1.8125</v>
      </c>
      <c r="Y10">
        <f t="shared" si="7"/>
        <v>1.088235294117647</v>
      </c>
      <c r="Z10">
        <f t="shared" si="8"/>
        <v>0.8529411764705882</v>
      </c>
    </row>
    <row r="11" spans="1:26" x14ac:dyDescent="0.25">
      <c r="A11">
        <f>Raw_Teams!B11</f>
        <v>10</v>
      </c>
      <c r="B11" t="str">
        <f>INDEX(Raw_Teams!$D:$D,MATCH(A11,Raw_Teams!$B:$B,0))</f>
        <v>FUL</v>
      </c>
      <c r="C11" t="str">
        <f>INDEX(Raw_Teams!$C:$C,MATCH(A11,Raw_Teams!$B:$B,0))</f>
        <v>Fulham</v>
      </c>
      <c r="D11">
        <f>COUNTIFS(Fixture_Raw!$B:$B,TRUE,Fixture_Raw!$E:$E,$A11)+COUNTIFS(Fixture_Raw!$B:$B,TRUE,Fixture_Raw!$G:$G,$A11)</f>
        <v>3</v>
      </c>
      <c r="E11">
        <f>SUMIFS(Fixture_Raw!$H:$H,Fixture_Raw!$B:$B,TRUE,Fixture_Raw!$G:$G,$A11)+SUMIFS(Fixture_Raw!$F:$F,Fixture_Raw!$B:$B,TRUE,Fixture_Raw!$E:$E,$A11)</f>
        <v>4</v>
      </c>
      <c r="F11">
        <f>SUMIFS(Fixture_Raw!$F:$F,Fixture_Raw!$B:$B,TRUE,Fixture_Raw!$G:$G,$A11)+SUMIFS(Fixture_Raw!$H:$H,Fixture_Raw!$B:$B,TRUE,Fixture_Raw!$E:$E,$A11)</f>
        <v>7</v>
      </c>
      <c r="G11">
        <f t="shared" si="0"/>
        <v>1.3333333333333333</v>
      </c>
      <c r="H11">
        <f t="shared" si="1"/>
        <v>2.3333333333333335</v>
      </c>
      <c r="I11">
        <f>COUNTIFS(Fixture_Raw!$B:$B,TRUE,Fixture_Raw!$G:$G,$A11,Fixture_Raw!$F:$F,0)+COUNTIFS(Fixture_Raw!$B:$B,TRUE,Fixture_Raw!$E:$E,$A11,Fixture_Raw!$H:$H,0)</f>
        <v>0</v>
      </c>
      <c r="J11">
        <f t="shared" si="2"/>
        <v>0</v>
      </c>
      <c r="K11">
        <f t="shared" si="3"/>
        <v>50</v>
      </c>
      <c r="L11">
        <f t="shared" si="4"/>
        <v>0</v>
      </c>
      <c r="M11">
        <f t="shared" si="5"/>
        <v>25</v>
      </c>
      <c r="N11">
        <f>IFERROR(INDEX(Raw_Teams!$E:$E,MATCH($A11,Raw_Teams!$A:$A,0)),0)</f>
        <v>0</v>
      </c>
      <c r="O11" t="str">
        <f>IFERROR(INDEX(Raw_Teams!$D:$D,MATCH($D11,Raw_Teams!$A:$A,0)),0)</f>
        <v>ARS</v>
      </c>
      <c r="P11">
        <f>IFERROR(INDEX(Raw_Teams!$G:$G,MATCH($A11,Raw_Teams!$A:$A,0)),0)</f>
        <v>0</v>
      </c>
      <c r="W11">
        <f t="shared" si="6"/>
        <v>2.0625</v>
      </c>
      <c r="X11">
        <f t="shared" si="9"/>
        <v>2.8125</v>
      </c>
      <c r="Y11">
        <f t="shared" si="7"/>
        <v>0.97058823529411764</v>
      </c>
      <c r="Z11">
        <f t="shared" si="8"/>
        <v>1.3235294117647058</v>
      </c>
    </row>
    <row r="12" spans="1:26" x14ac:dyDescent="0.25">
      <c r="A12">
        <f>Raw_Teams!B12</f>
        <v>11</v>
      </c>
      <c r="B12" t="str">
        <f>INDEX(Raw_Teams!$D:$D,MATCH(A12,Raw_Teams!$B:$B,0))</f>
        <v>HUL</v>
      </c>
      <c r="C12" t="str">
        <f>INDEX(Raw_Teams!$C:$C,MATCH(A12,Raw_Teams!$B:$B,0))</f>
        <v>Hull City</v>
      </c>
      <c r="D12">
        <f>COUNTIFS(Fixture_Raw!$B:$B,TRUE,Fixture_Raw!$E:$E,$A12)+COUNTIFS(Fixture_Raw!$B:$B,TRUE,Fixture_Raw!$G:$G,$A12)</f>
        <v>3</v>
      </c>
      <c r="E12">
        <f>SUMIFS(Fixture_Raw!$H:$H,Fixture_Raw!$B:$B,TRUE,Fixture_Raw!$G:$G,$A12)+SUMIFS(Fixture_Raw!$F:$F,Fixture_Raw!$B:$B,TRUE,Fixture_Raw!$E:$E,$A12)</f>
        <v>3</v>
      </c>
      <c r="F12">
        <f>SUMIFS(Fixture_Raw!$F:$F,Fixture_Raw!$B:$B,TRUE,Fixture_Raw!$G:$G,$A12)+SUMIFS(Fixture_Raw!$H:$H,Fixture_Raw!$B:$B,TRUE,Fixture_Raw!$E:$E,$A12)</f>
        <v>0</v>
      </c>
      <c r="G12">
        <f t="shared" si="0"/>
        <v>1</v>
      </c>
      <c r="H12">
        <f t="shared" si="1"/>
        <v>0</v>
      </c>
      <c r="I12">
        <f>COUNTIFS(Fixture_Raw!$B:$B,TRUE,Fixture_Raw!$G:$G,$A12,Fixture_Raw!$F:$F,0)+COUNTIFS(Fixture_Raw!$B:$B,TRUE,Fixture_Raw!$E:$E,$A12,Fixture_Raw!$H:$H,0)</f>
        <v>3</v>
      </c>
      <c r="J12">
        <f t="shared" si="2"/>
        <v>1</v>
      </c>
      <c r="K12">
        <f t="shared" si="3"/>
        <v>37.5</v>
      </c>
      <c r="L12">
        <f t="shared" si="4"/>
        <v>0</v>
      </c>
      <c r="M12">
        <f t="shared" si="5"/>
        <v>18.75</v>
      </c>
      <c r="N12">
        <f>IFERROR(INDEX(Raw_Teams!$E:$E,MATCH($A12,Raw_Teams!$A:$A,0)),0)</f>
        <v>0</v>
      </c>
      <c r="O12" t="str">
        <f>IFERROR(INDEX(Raw_Teams!$D:$D,MATCH($D12,Raw_Teams!$A:$A,0)),0)</f>
        <v>ARS</v>
      </c>
      <c r="P12">
        <f>IFERROR(INDEX(Raw_Teams!$G:$G,MATCH($A12,Raw_Teams!$A:$A,0)),0)</f>
        <v>0</v>
      </c>
      <c r="W12">
        <f t="shared" si="6"/>
        <v>1.8125</v>
      </c>
      <c r="X12">
        <f t="shared" si="9"/>
        <v>1.0625</v>
      </c>
      <c r="Y12">
        <f t="shared" si="7"/>
        <v>0.8529411764705882</v>
      </c>
      <c r="Z12">
        <f t="shared" si="8"/>
        <v>0.5</v>
      </c>
    </row>
    <row r="13" spans="1:26" x14ac:dyDescent="0.25">
      <c r="A13">
        <f>Raw_Teams!B13</f>
        <v>12</v>
      </c>
      <c r="B13" t="str">
        <f>INDEX(Raw_Teams!$D:$D,MATCH(A13,Raw_Teams!$B:$B,0))</f>
        <v>IPS</v>
      </c>
      <c r="C13" t="str">
        <f>INDEX(Raw_Teams!$C:$C,MATCH(A13,Raw_Teams!$B:$B,0))</f>
        <v>Ipswich Town</v>
      </c>
      <c r="D13">
        <f>COUNTIFS(Fixture_Raw!$B:$B,TRUE,Fixture_Raw!$E:$E,$A13)+COUNTIFS(Fixture_Raw!$B:$B,TRUE,Fixture_Raw!$G:$G,$A13)</f>
        <v>3</v>
      </c>
      <c r="E13">
        <f>SUMIFS(Fixture_Raw!$H:$H,Fixture_Raw!$B:$B,TRUE,Fixture_Raw!$G:$G,$A13)+SUMIFS(Fixture_Raw!$F:$F,Fixture_Raw!$B:$B,TRUE,Fixture_Raw!$E:$E,$A13)</f>
        <v>4</v>
      </c>
      <c r="F13">
        <f>SUMIFS(Fixture_Raw!$F:$F,Fixture_Raw!$B:$B,TRUE,Fixture_Raw!$G:$G,$A13)+SUMIFS(Fixture_Raw!$H:$H,Fixture_Raw!$B:$B,TRUE,Fixture_Raw!$E:$E,$A13)</f>
        <v>8</v>
      </c>
      <c r="G13">
        <f t="shared" si="0"/>
        <v>1.3333333333333333</v>
      </c>
      <c r="H13">
        <f t="shared" si="1"/>
        <v>2.6666666666666665</v>
      </c>
      <c r="I13">
        <f>COUNTIFS(Fixture_Raw!$B:$B,TRUE,Fixture_Raw!$G:$G,$A13,Fixture_Raw!$F:$F,0)+COUNTIFS(Fixture_Raw!$B:$B,TRUE,Fixture_Raw!$E:$E,$A13,Fixture_Raw!$H:$H,0)</f>
        <v>0</v>
      </c>
      <c r="J13">
        <f t="shared" si="2"/>
        <v>0</v>
      </c>
      <c r="K13">
        <f t="shared" si="3"/>
        <v>50</v>
      </c>
      <c r="L13">
        <f t="shared" si="4"/>
        <v>0</v>
      </c>
      <c r="M13">
        <f t="shared" si="5"/>
        <v>25</v>
      </c>
      <c r="N13">
        <f>IFERROR(INDEX(Raw_Teams!$E:$E,MATCH($A13,Raw_Teams!$A:$A,0)),0)</f>
        <v>0</v>
      </c>
      <c r="O13" t="str">
        <f>IFERROR(INDEX(Raw_Teams!$D:$D,MATCH($D13,Raw_Teams!$A:$A,0)),0)</f>
        <v>ARS</v>
      </c>
      <c r="P13">
        <f>IFERROR(INDEX(Raw_Teams!$G:$G,MATCH($A13,Raw_Teams!$A:$A,0)),0)</f>
        <v>0</v>
      </c>
      <c r="W13">
        <f t="shared" si="6"/>
        <v>2.0625</v>
      </c>
      <c r="X13">
        <f t="shared" si="9"/>
        <v>3.0625</v>
      </c>
      <c r="Y13">
        <f t="shared" si="7"/>
        <v>0.97058823529411764</v>
      </c>
      <c r="Z13">
        <f t="shared" si="8"/>
        <v>1.4411764705882353</v>
      </c>
    </row>
    <row r="14" spans="1:26" x14ac:dyDescent="0.25">
      <c r="A14">
        <f>Raw_Teams!B14</f>
        <v>13</v>
      </c>
      <c r="B14" t="str">
        <f>INDEX(Raw_Teams!$D:$D,MATCH(A14,Raw_Teams!$B:$B,0))</f>
        <v>LEE</v>
      </c>
      <c r="C14" t="str">
        <f>INDEX(Raw_Teams!$C:$C,MATCH(A14,Raw_Teams!$B:$B,0))</f>
        <v>Leeds</v>
      </c>
      <c r="D14">
        <f>COUNTIFS(Fixture_Raw!$B:$B,TRUE,Fixture_Raw!$E:$E,$A14)+COUNTIFS(Fixture_Raw!$B:$B,TRUE,Fixture_Raw!$G:$G,$A14)</f>
        <v>3</v>
      </c>
      <c r="E14">
        <f>SUMIFS(Fixture_Raw!$H:$H,Fixture_Raw!$B:$B,TRUE,Fixture_Raw!$G:$G,$A14)+SUMIFS(Fixture_Raw!$F:$F,Fixture_Raw!$B:$B,TRUE,Fixture_Raw!$E:$E,$A14)</f>
        <v>3</v>
      </c>
      <c r="F14">
        <f>SUMIFS(Fixture_Raw!$F:$F,Fixture_Raw!$B:$B,TRUE,Fixture_Raw!$G:$G,$A14)+SUMIFS(Fixture_Raw!$H:$H,Fixture_Raw!$B:$B,TRUE,Fixture_Raw!$E:$E,$A14)</f>
        <v>2</v>
      </c>
      <c r="G14">
        <f t="shared" si="0"/>
        <v>1</v>
      </c>
      <c r="H14">
        <f t="shared" si="1"/>
        <v>0.66666666666666663</v>
      </c>
      <c r="I14">
        <f>COUNTIFS(Fixture_Raw!$B:$B,TRUE,Fixture_Raw!$G:$G,$A14,Fixture_Raw!$F:$F,0)+COUNTIFS(Fixture_Raw!$B:$B,TRUE,Fixture_Raw!$E:$E,$A14,Fixture_Raw!$H:$H,0)</f>
        <v>1</v>
      </c>
      <c r="J14">
        <f t="shared" si="2"/>
        <v>0.33333333333333331</v>
      </c>
      <c r="K14">
        <f t="shared" si="3"/>
        <v>37.5</v>
      </c>
      <c r="L14">
        <f t="shared" si="4"/>
        <v>0</v>
      </c>
      <c r="M14">
        <f t="shared" si="5"/>
        <v>18.75</v>
      </c>
      <c r="N14">
        <f>IFERROR(INDEX(Raw_Teams!$E:$E,MATCH($A14,Raw_Teams!$A:$A,0)),0)</f>
        <v>0</v>
      </c>
      <c r="O14" t="str">
        <f>IFERROR(INDEX(Raw_Teams!$D:$D,MATCH($D14,Raw_Teams!$A:$A,0)),0)</f>
        <v>ARS</v>
      </c>
      <c r="P14">
        <f>IFERROR(INDEX(Raw_Teams!$G:$G,MATCH($A14,Raw_Teams!$A:$A,0)),0)</f>
        <v>0</v>
      </c>
      <c r="W14">
        <f t="shared" si="6"/>
        <v>1.8125</v>
      </c>
      <c r="X14">
        <f t="shared" si="9"/>
        <v>1.5625</v>
      </c>
      <c r="Y14">
        <f t="shared" si="7"/>
        <v>0.8529411764705882</v>
      </c>
      <c r="Z14">
        <f t="shared" si="8"/>
        <v>0.73529411764705888</v>
      </c>
    </row>
    <row r="15" spans="1:26" x14ac:dyDescent="0.25">
      <c r="A15">
        <f>Raw_Teams!B15</f>
        <v>14</v>
      </c>
      <c r="B15" t="str">
        <f>INDEX(Raw_Teams!$D:$D,MATCH(A15,Raw_Teams!$B:$B,0))</f>
        <v>LIV</v>
      </c>
      <c r="C15" t="str">
        <f>INDEX(Raw_Teams!$C:$C,MATCH(A15,Raw_Teams!$B:$B,0))</f>
        <v>Liverpool</v>
      </c>
      <c r="D15">
        <f>COUNTIFS(Fixture_Raw!$B:$B,TRUE,Fixture_Raw!$E:$E,$A15)+COUNTIFS(Fixture_Raw!$B:$B,TRUE,Fixture_Raw!$G:$G,$A15)</f>
        <v>3</v>
      </c>
      <c r="E15">
        <f>SUMIFS(Fixture_Raw!$H:$H,Fixture_Raw!$B:$B,TRUE,Fixture_Raw!$G:$G,$A15)+SUMIFS(Fixture_Raw!$F:$F,Fixture_Raw!$B:$B,TRUE,Fixture_Raw!$E:$E,$A15)</f>
        <v>6</v>
      </c>
      <c r="F15">
        <f>SUMIFS(Fixture_Raw!$F:$F,Fixture_Raw!$B:$B,TRUE,Fixture_Raw!$G:$G,$A15)+SUMIFS(Fixture_Raw!$H:$H,Fixture_Raw!$B:$B,TRUE,Fixture_Raw!$E:$E,$A15)</f>
        <v>4</v>
      </c>
      <c r="G15">
        <f t="shared" si="0"/>
        <v>2</v>
      </c>
      <c r="H15">
        <f t="shared" si="1"/>
        <v>1.3333333333333333</v>
      </c>
      <c r="I15">
        <f>COUNTIFS(Fixture_Raw!$B:$B,TRUE,Fixture_Raw!$G:$G,$A15,Fixture_Raw!$F:$F,0)+COUNTIFS(Fixture_Raw!$B:$B,TRUE,Fixture_Raw!$E:$E,$A15,Fixture_Raw!$H:$H,0)</f>
        <v>1</v>
      </c>
      <c r="J15">
        <f t="shared" si="2"/>
        <v>0.33333333333333331</v>
      </c>
      <c r="K15">
        <f t="shared" si="3"/>
        <v>75</v>
      </c>
      <c r="L15">
        <f t="shared" si="4"/>
        <v>0</v>
      </c>
      <c r="M15">
        <f t="shared" si="5"/>
        <v>37.5</v>
      </c>
      <c r="N15">
        <f>IFERROR(INDEX(Raw_Teams!$E:$E,MATCH($A15,Raw_Teams!$A:$A,0)),0)</f>
        <v>0</v>
      </c>
      <c r="O15" t="str">
        <f>IFERROR(INDEX(Raw_Teams!$D:$D,MATCH($D15,Raw_Teams!$A:$A,0)),0)</f>
        <v>ARS</v>
      </c>
      <c r="P15">
        <f>IFERROR(INDEX(Raw_Teams!$G:$G,MATCH($A15,Raw_Teams!$A:$A,0)),0)</f>
        <v>0</v>
      </c>
      <c r="W15">
        <f t="shared" si="6"/>
        <v>2.5625</v>
      </c>
      <c r="X15">
        <f t="shared" si="9"/>
        <v>2.0625</v>
      </c>
      <c r="Y15">
        <f t="shared" si="7"/>
        <v>1.2058823529411764</v>
      </c>
      <c r="Z15">
        <f t="shared" si="8"/>
        <v>0.97058823529411764</v>
      </c>
    </row>
    <row r="16" spans="1:26" x14ac:dyDescent="0.25">
      <c r="A16">
        <f>Raw_Teams!B16</f>
        <v>15</v>
      </c>
      <c r="B16" t="str">
        <f>INDEX(Raw_Teams!$D:$D,MATCH(A16,Raw_Teams!$B:$B,0))</f>
        <v>MCI</v>
      </c>
      <c r="C16" t="str">
        <f>INDEX(Raw_Teams!$C:$C,MATCH(A16,Raw_Teams!$B:$B,0))</f>
        <v>Man City</v>
      </c>
      <c r="D16">
        <f>COUNTIFS(Fixture_Raw!$B:$B,TRUE,Fixture_Raw!$E:$E,$A16)+COUNTIFS(Fixture_Raw!$B:$B,TRUE,Fixture_Raw!$G:$G,$A16)</f>
        <v>3</v>
      </c>
      <c r="E16">
        <f>SUMIFS(Fixture_Raw!$H:$H,Fixture_Raw!$B:$B,TRUE,Fixture_Raw!$G:$G,$A16)+SUMIFS(Fixture_Raw!$F:$F,Fixture_Raw!$B:$B,TRUE,Fixture_Raw!$E:$E,$A16)</f>
        <v>7</v>
      </c>
      <c r="F16">
        <f>SUMIFS(Fixture_Raw!$F:$F,Fixture_Raw!$B:$B,TRUE,Fixture_Raw!$G:$G,$A16)+SUMIFS(Fixture_Raw!$H:$H,Fixture_Raw!$B:$B,TRUE,Fixture_Raw!$E:$E,$A16)</f>
        <v>2</v>
      </c>
      <c r="G16">
        <f t="shared" si="0"/>
        <v>2.3333333333333335</v>
      </c>
      <c r="H16">
        <f t="shared" si="1"/>
        <v>0.66666666666666663</v>
      </c>
      <c r="I16">
        <f>COUNTIFS(Fixture_Raw!$B:$B,TRUE,Fixture_Raw!$G:$G,$A16,Fixture_Raw!$F:$F,0)+COUNTIFS(Fixture_Raw!$B:$B,TRUE,Fixture_Raw!$E:$E,$A16,Fixture_Raw!$H:$H,0)</f>
        <v>1</v>
      </c>
      <c r="J16">
        <f t="shared" si="2"/>
        <v>0.33333333333333331</v>
      </c>
      <c r="K16">
        <f t="shared" si="3"/>
        <v>87.500000000000014</v>
      </c>
      <c r="L16">
        <f t="shared" si="4"/>
        <v>0</v>
      </c>
      <c r="M16">
        <f t="shared" si="5"/>
        <v>43.750000000000007</v>
      </c>
      <c r="N16">
        <f>IFERROR(INDEX(Raw_Teams!$E:$E,MATCH($A16,Raw_Teams!$A:$A,0)),0)</f>
        <v>0</v>
      </c>
      <c r="O16" t="str">
        <f>IFERROR(INDEX(Raw_Teams!$D:$D,MATCH($D16,Raw_Teams!$A:$A,0)),0)</f>
        <v>ARS</v>
      </c>
      <c r="P16">
        <f>IFERROR(INDEX(Raw_Teams!$G:$G,MATCH($A16,Raw_Teams!$A:$A,0)),0)</f>
        <v>0</v>
      </c>
      <c r="W16">
        <f t="shared" si="6"/>
        <v>2.8125</v>
      </c>
      <c r="X16">
        <f t="shared" si="9"/>
        <v>1.5625</v>
      </c>
      <c r="Y16">
        <f t="shared" si="7"/>
        <v>1.3235294117647058</v>
      </c>
      <c r="Z16">
        <f t="shared" si="8"/>
        <v>0.73529411764705888</v>
      </c>
    </row>
    <row r="17" spans="1:26" x14ac:dyDescent="0.25">
      <c r="A17">
        <f>Raw_Teams!B17</f>
        <v>16</v>
      </c>
      <c r="B17" t="str">
        <f>INDEX(Raw_Teams!$D:$D,MATCH(A17,Raw_Teams!$B:$B,0))</f>
        <v>MUN</v>
      </c>
      <c r="C17" t="str">
        <f>INDEX(Raw_Teams!$C:$C,MATCH(A17,Raw_Teams!$B:$B,0))</f>
        <v>Man Utd</v>
      </c>
      <c r="D17">
        <f>COUNTIFS(Fixture_Raw!$B:$B,TRUE,Fixture_Raw!$E:$E,$A17)+COUNTIFS(Fixture_Raw!$B:$B,TRUE,Fixture_Raw!$G:$G,$A17)</f>
        <v>3</v>
      </c>
      <c r="E17">
        <f>SUMIFS(Fixture_Raw!$H:$H,Fixture_Raw!$B:$B,TRUE,Fixture_Raw!$G:$G,$A17)+SUMIFS(Fixture_Raw!$F:$F,Fixture_Raw!$B:$B,TRUE,Fixture_Raw!$E:$E,$A17)</f>
        <v>7</v>
      </c>
      <c r="F17">
        <f>SUMIFS(Fixture_Raw!$F:$F,Fixture_Raw!$B:$B,TRUE,Fixture_Raw!$G:$G,$A17)+SUMIFS(Fixture_Raw!$H:$H,Fixture_Raw!$B:$B,TRUE,Fixture_Raw!$E:$E,$A17)</f>
        <v>6</v>
      </c>
      <c r="G17">
        <f t="shared" si="0"/>
        <v>2.3333333333333335</v>
      </c>
      <c r="H17">
        <f t="shared" si="1"/>
        <v>2</v>
      </c>
      <c r="I17">
        <f>COUNTIFS(Fixture_Raw!$B:$B,TRUE,Fixture_Raw!$G:$G,$A17,Fixture_Raw!$F:$F,0)+COUNTIFS(Fixture_Raw!$B:$B,TRUE,Fixture_Raw!$E:$E,$A17,Fixture_Raw!$H:$H,0)</f>
        <v>0</v>
      </c>
      <c r="J17">
        <f t="shared" si="2"/>
        <v>0</v>
      </c>
      <c r="K17">
        <f t="shared" si="3"/>
        <v>87.500000000000014</v>
      </c>
      <c r="L17">
        <f t="shared" si="4"/>
        <v>0</v>
      </c>
      <c r="M17">
        <f t="shared" si="5"/>
        <v>43.750000000000007</v>
      </c>
      <c r="N17">
        <f>IFERROR(INDEX(Raw_Teams!$E:$E,MATCH($A17,Raw_Teams!$A:$A,0)),0)</f>
        <v>0</v>
      </c>
      <c r="O17" t="str">
        <f>IFERROR(INDEX(Raw_Teams!$D:$D,MATCH($D17,Raw_Teams!$A:$A,0)),0)</f>
        <v>ARS</v>
      </c>
      <c r="P17">
        <f>IFERROR(INDEX(Raw_Teams!$G:$G,MATCH($A17,Raw_Teams!$A:$A,0)),0)</f>
        <v>0</v>
      </c>
      <c r="W17">
        <f t="shared" si="6"/>
        <v>2.8125</v>
      </c>
      <c r="X17">
        <f t="shared" si="9"/>
        <v>2.5625</v>
      </c>
      <c r="Y17">
        <f t="shared" si="7"/>
        <v>1.3235294117647058</v>
      </c>
      <c r="Z17">
        <f t="shared" si="8"/>
        <v>1.2058823529411764</v>
      </c>
    </row>
    <row r="18" spans="1:26" x14ac:dyDescent="0.25">
      <c r="A18">
        <f>Raw_Teams!B18</f>
        <v>17</v>
      </c>
      <c r="B18" t="str">
        <f>INDEX(Raw_Teams!$D:$D,MATCH(A18,Raw_Teams!$B:$B,0))</f>
        <v>NEW</v>
      </c>
      <c r="C18" t="str">
        <f>INDEX(Raw_Teams!$C:$C,MATCH(A18,Raw_Teams!$B:$B,0))</f>
        <v>Newcastle</v>
      </c>
      <c r="D18">
        <f>COUNTIFS(Fixture_Raw!$B:$B,TRUE,Fixture_Raw!$E:$E,$A18)+COUNTIFS(Fixture_Raw!$B:$B,TRUE,Fixture_Raw!$G:$G,$A18)</f>
        <v>3</v>
      </c>
      <c r="E18">
        <f>SUMIFS(Fixture_Raw!$H:$H,Fixture_Raw!$B:$B,TRUE,Fixture_Raw!$G:$G,$A18)+SUMIFS(Fixture_Raw!$F:$F,Fixture_Raw!$B:$B,TRUE,Fixture_Raw!$E:$E,$A18)</f>
        <v>6</v>
      </c>
      <c r="F18">
        <f>SUMIFS(Fixture_Raw!$F:$F,Fixture_Raw!$B:$B,TRUE,Fixture_Raw!$G:$G,$A18)+SUMIFS(Fixture_Raw!$H:$H,Fixture_Raw!$B:$B,TRUE,Fixture_Raw!$E:$E,$A18)</f>
        <v>4</v>
      </c>
      <c r="G18">
        <f t="shared" si="0"/>
        <v>2</v>
      </c>
      <c r="H18">
        <f t="shared" si="1"/>
        <v>1.3333333333333333</v>
      </c>
      <c r="I18">
        <f>COUNTIFS(Fixture_Raw!$B:$B,TRUE,Fixture_Raw!$G:$G,$A18,Fixture_Raw!$F:$F,0)+COUNTIFS(Fixture_Raw!$B:$B,TRUE,Fixture_Raw!$E:$E,$A18,Fixture_Raw!$H:$H,0)</f>
        <v>1</v>
      </c>
      <c r="J18">
        <f t="shared" si="2"/>
        <v>0.33333333333333331</v>
      </c>
      <c r="K18">
        <f t="shared" si="3"/>
        <v>75</v>
      </c>
      <c r="L18">
        <f t="shared" si="4"/>
        <v>0</v>
      </c>
      <c r="M18">
        <f t="shared" si="5"/>
        <v>37.5</v>
      </c>
      <c r="N18">
        <f>IFERROR(INDEX(Raw_Teams!$E:$E,MATCH($A18,Raw_Teams!$A:$A,0)),0)</f>
        <v>0</v>
      </c>
      <c r="O18" t="str">
        <f>IFERROR(INDEX(Raw_Teams!$D:$D,MATCH($D18,Raw_Teams!$A:$A,0)),0)</f>
        <v>ARS</v>
      </c>
      <c r="P18">
        <f>IFERROR(INDEX(Raw_Teams!$G:$G,MATCH($A18,Raw_Teams!$A:$A,0)),0)</f>
        <v>0</v>
      </c>
      <c r="W18">
        <f t="shared" si="6"/>
        <v>2.5625</v>
      </c>
      <c r="X18">
        <f t="shared" si="9"/>
        <v>2.0625</v>
      </c>
      <c r="Y18">
        <f t="shared" si="7"/>
        <v>1.2058823529411764</v>
      </c>
      <c r="Z18">
        <f t="shared" si="8"/>
        <v>0.97058823529411764</v>
      </c>
    </row>
    <row r="19" spans="1:26" x14ac:dyDescent="0.25">
      <c r="A19">
        <f>Raw_Teams!B19</f>
        <v>18</v>
      </c>
      <c r="B19" t="str">
        <f>INDEX(Raw_Teams!$D:$D,MATCH(A19,Raw_Teams!$B:$B,0))</f>
        <v>NFO</v>
      </c>
      <c r="C19" t="str">
        <f>INDEX(Raw_Teams!$C:$C,MATCH(A19,Raw_Teams!$B:$B,0))</f>
        <v>Nott'm Forest</v>
      </c>
      <c r="D19">
        <f>COUNTIFS(Fixture_Raw!$B:$B,TRUE,Fixture_Raw!$E:$E,$A19)+COUNTIFS(Fixture_Raw!$B:$B,TRUE,Fixture_Raw!$G:$G,$A19)</f>
        <v>3</v>
      </c>
      <c r="E19">
        <f>SUMIFS(Fixture_Raw!$H:$H,Fixture_Raw!$B:$B,TRUE,Fixture_Raw!$G:$G,$A19)+SUMIFS(Fixture_Raw!$F:$F,Fixture_Raw!$B:$B,TRUE,Fixture_Raw!$E:$E,$A19)</f>
        <v>2</v>
      </c>
      <c r="F19">
        <f>SUMIFS(Fixture_Raw!$F:$F,Fixture_Raw!$B:$B,TRUE,Fixture_Raw!$G:$G,$A19)+SUMIFS(Fixture_Raw!$H:$H,Fixture_Raw!$B:$B,TRUE,Fixture_Raw!$E:$E,$A19)</f>
        <v>3</v>
      </c>
      <c r="G19">
        <f t="shared" si="0"/>
        <v>0.66666666666666663</v>
      </c>
      <c r="H19">
        <f t="shared" si="1"/>
        <v>1</v>
      </c>
      <c r="I19">
        <f>COUNTIFS(Fixture_Raw!$B:$B,TRUE,Fixture_Raw!$G:$G,$A19,Fixture_Raw!$F:$F,0)+COUNTIFS(Fixture_Raw!$B:$B,TRUE,Fixture_Raw!$E:$E,$A19,Fixture_Raw!$H:$H,0)</f>
        <v>1</v>
      </c>
      <c r="J19">
        <f t="shared" si="2"/>
        <v>0.33333333333333331</v>
      </c>
      <c r="K19">
        <f t="shared" si="3"/>
        <v>25</v>
      </c>
      <c r="L19">
        <f t="shared" si="4"/>
        <v>0</v>
      </c>
      <c r="M19">
        <f t="shared" si="5"/>
        <v>12.5</v>
      </c>
      <c r="N19">
        <f>IFERROR(INDEX(Raw_Teams!$E:$E,MATCH($A19,Raw_Teams!$A:$A,0)),0)</f>
        <v>0</v>
      </c>
      <c r="O19" t="str">
        <f>IFERROR(INDEX(Raw_Teams!$D:$D,MATCH($D19,Raw_Teams!$A:$A,0)),0)</f>
        <v>ARS</v>
      </c>
      <c r="P19">
        <f>IFERROR(INDEX(Raw_Teams!$G:$G,MATCH($A19,Raw_Teams!$A:$A,0)),0)</f>
        <v>0</v>
      </c>
      <c r="W19">
        <f t="shared" si="6"/>
        <v>1.5625</v>
      </c>
      <c r="X19">
        <f t="shared" si="9"/>
        <v>1.8125</v>
      </c>
      <c r="Y19">
        <f t="shared" si="7"/>
        <v>0.73529411764705888</v>
      </c>
      <c r="Z19">
        <f t="shared" si="8"/>
        <v>0.8529411764705882</v>
      </c>
    </row>
    <row r="20" spans="1:26" x14ac:dyDescent="0.25">
      <c r="A20">
        <f>Raw_Teams!B20</f>
        <v>19</v>
      </c>
      <c r="B20" t="str">
        <f>INDEX(Raw_Teams!$D:$D,MATCH(A20,Raw_Teams!$B:$B,0))</f>
        <v>TOT</v>
      </c>
      <c r="C20" t="str">
        <f>INDEX(Raw_Teams!$C:$C,MATCH(A20,Raw_Teams!$B:$B,0))</f>
        <v>Spurs</v>
      </c>
      <c r="D20">
        <f>COUNTIFS(Fixture_Raw!$B:$B,TRUE,Fixture_Raw!$E:$E,$A20)+COUNTIFS(Fixture_Raw!$B:$B,TRUE,Fixture_Raw!$G:$G,$A20)</f>
        <v>3</v>
      </c>
      <c r="E20">
        <f>SUMIFS(Fixture_Raw!$H:$H,Fixture_Raw!$B:$B,TRUE,Fixture_Raw!$G:$G,$A20)+SUMIFS(Fixture_Raw!$F:$F,Fixture_Raw!$B:$B,TRUE,Fixture_Raw!$E:$E,$A20)</f>
        <v>0</v>
      </c>
      <c r="F20">
        <f>SUMIFS(Fixture_Raw!$F:$F,Fixture_Raw!$B:$B,TRUE,Fixture_Raw!$G:$G,$A20)+SUMIFS(Fixture_Raw!$H:$H,Fixture_Raw!$B:$B,TRUE,Fixture_Raw!$E:$E,$A20)</f>
        <v>5</v>
      </c>
      <c r="G20">
        <f t="shared" si="0"/>
        <v>0</v>
      </c>
      <c r="H20">
        <f t="shared" si="1"/>
        <v>1.6666666666666667</v>
      </c>
      <c r="I20">
        <f>COUNTIFS(Fixture_Raw!$B:$B,TRUE,Fixture_Raw!$G:$G,$A20,Fixture_Raw!$F:$F,0)+COUNTIFS(Fixture_Raw!$B:$B,TRUE,Fixture_Raw!$E:$E,$A20,Fixture_Raw!$H:$H,0)</f>
        <v>1</v>
      </c>
      <c r="J20">
        <f t="shared" si="2"/>
        <v>0.33333333333333331</v>
      </c>
      <c r="K20">
        <f t="shared" si="3"/>
        <v>0</v>
      </c>
      <c r="L20">
        <f t="shared" si="4"/>
        <v>0</v>
      </c>
      <c r="M20">
        <f t="shared" si="5"/>
        <v>0</v>
      </c>
      <c r="N20">
        <f>IFERROR(INDEX(Raw_Teams!$E:$E,MATCH($A20,Raw_Teams!$A:$A,0)),0)</f>
        <v>0</v>
      </c>
      <c r="O20" t="str">
        <f>IFERROR(INDEX(Raw_Teams!$D:$D,MATCH($D20,Raw_Teams!$A:$A,0)),0)</f>
        <v>ARS</v>
      </c>
      <c r="P20">
        <f>IFERROR(INDEX(Raw_Teams!$G:$G,MATCH($A20,Raw_Teams!$A:$A,0)),0)</f>
        <v>0</v>
      </c>
      <c r="W20">
        <f t="shared" si="6"/>
        <v>1.0625</v>
      </c>
      <c r="X20">
        <f t="shared" si="9"/>
        <v>2.3125</v>
      </c>
      <c r="Y20">
        <f t="shared" si="7"/>
        <v>0.5</v>
      </c>
      <c r="Z20">
        <f t="shared" si="8"/>
        <v>1.088235294117647</v>
      </c>
    </row>
    <row r="21" spans="1:26" x14ac:dyDescent="0.25">
      <c r="A21">
        <f>Raw_Teams!B21</f>
        <v>20</v>
      </c>
      <c r="B21" t="str">
        <f>INDEX(Raw_Teams!$D:$D,MATCH(A21,Raw_Teams!$B:$B,0))</f>
        <v>SUN</v>
      </c>
      <c r="C21" t="str">
        <f>INDEX(Raw_Teams!$C:$C,MATCH(A21,Raw_Teams!$B:$B,0))</f>
        <v>Sunderland</v>
      </c>
      <c r="D21">
        <f>COUNTIFS(Fixture_Raw!$B:$B,TRUE,Fixture_Raw!$E:$E,$A21)+COUNTIFS(Fixture_Raw!$B:$B,TRUE,Fixture_Raw!$G:$G,$A21)</f>
        <v>3</v>
      </c>
      <c r="E21">
        <f>SUMIFS(Fixture_Raw!$H:$H,Fixture_Raw!$B:$B,TRUE,Fixture_Raw!$G:$G,$A21)+SUMIFS(Fixture_Raw!$F:$F,Fixture_Raw!$B:$B,TRUE,Fixture_Raw!$E:$E,$A21)</f>
        <v>3</v>
      </c>
      <c r="F21">
        <f>SUMIFS(Fixture_Raw!$F:$F,Fixture_Raw!$B:$B,TRUE,Fixture_Raw!$G:$G,$A21)+SUMIFS(Fixture_Raw!$H:$H,Fixture_Raw!$B:$B,TRUE,Fixture_Raw!$E:$E,$A21)</f>
        <v>3</v>
      </c>
      <c r="G21">
        <f t="shared" si="0"/>
        <v>1</v>
      </c>
      <c r="H21">
        <f t="shared" si="1"/>
        <v>1</v>
      </c>
      <c r="I21">
        <f>COUNTIFS(Fixture_Raw!$B:$B,TRUE,Fixture_Raw!$G:$G,$A21,Fixture_Raw!$F:$F,0)+COUNTIFS(Fixture_Raw!$B:$B,TRUE,Fixture_Raw!$E:$E,$A21,Fixture_Raw!$H:$H,0)</f>
        <v>1</v>
      </c>
      <c r="J21">
        <f t="shared" si="2"/>
        <v>0.33333333333333331</v>
      </c>
      <c r="K21">
        <f t="shared" si="3"/>
        <v>37.5</v>
      </c>
      <c r="L21">
        <f t="shared" si="4"/>
        <v>0</v>
      </c>
      <c r="M21">
        <f t="shared" si="5"/>
        <v>18.75</v>
      </c>
      <c r="N21">
        <f>IFERROR(INDEX(Raw_Teams!$E:$E,MATCH($A21,Raw_Teams!$A:$A,0)),0)</f>
        <v>0</v>
      </c>
      <c r="O21" t="str">
        <f>IFERROR(INDEX(Raw_Teams!$D:$D,MATCH($D21,Raw_Teams!$A:$A,0)),0)</f>
        <v>ARS</v>
      </c>
      <c r="P21">
        <f>IFERROR(INDEX(Raw_Teams!$G:$G,MATCH($A21,Raw_Teams!$A:$A,0)),0)</f>
        <v>0</v>
      </c>
      <c r="W21">
        <f t="shared" si="6"/>
        <v>1.8125</v>
      </c>
      <c r="X21">
        <f t="shared" si="9"/>
        <v>1.8125</v>
      </c>
      <c r="Y21">
        <f t="shared" si="7"/>
        <v>0.8529411764705882</v>
      </c>
      <c r="Z21">
        <f t="shared" si="8"/>
        <v>0.8529411764705882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9DDD-0FF6-400B-9EFE-BA430548F5ED}">
  <dimension ref="A1:J381"/>
  <sheetViews>
    <sheetView workbookViewId="0">
      <selection activeCell="F8" sqref="F8"/>
    </sheetView>
  </sheetViews>
  <sheetFormatPr defaultRowHeight="15" x14ac:dyDescent="0.25"/>
  <cols>
    <col min="1" max="1" width="17" bestFit="1" customWidth="1"/>
    <col min="2" max="2" width="19.140625" bestFit="1" customWidth="1"/>
    <col min="3" max="3" width="23.140625" bestFit="1" customWidth="1"/>
    <col min="4" max="4" width="18.140625" bestFit="1" customWidth="1"/>
    <col min="5" max="5" width="18.42578125" bestFit="1" customWidth="1"/>
    <col min="6" max="6" width="24.42578125" bestFit="1" customWidth="1"/>
    <col min="7" max="7" width="18.5703125" bestFit="1" customWidth="1"/>
    <col min="8" max="8" width="24.5703125" bestFit="1" customWidth="1"/>
    <col min="9" max="9" width="28" bestFit="1" customWidth="1"/>
    <col min="10" max="10" width="27.85546875" customWidth="1"/>
    <col min="11" max="11" width="16" bestFit="1" customWidth="1"/>
    <col min="12" max="12" width="28" bestFit="1" customWidth="1"/>
    <col min="13" max="13" width="27.85546875" bestFit="1" customWidth="1"/>
  </cols>
  <sheetData>
    <row r="1" spans="1:10" x14ac:dyDescent="0.25">
      <c r="A1" t="s">
        <v>1056</v>
      </c>
      <c r="B1" t="s">
        <v>1057</v>
      </c>
      <c r="C1" t="s">
        <v>1058</v>
      </c>
      <c r="D1" t="s">
        <v>1063</v>
      </c>
      <c r="E1" t="s">
        <v>1052</v>
      </c>
      <c r="F1" t="s">
        <v>1064</v>
      </c>
      <c r="G1" t="s">
        <v>1053</v>
      </c>
      <c r="H1" t="s">
        <v>1065</v>
      </c>
      <c r="I1" t="s">
        <v>1054</v>
      </c>
      <c r="J1" t="s">
        <v>1055</v>
      </c>
    </row>
    <row r="2" spans="1:10" x14ac:dyDescent="0.25">
      <c r="A2">
        <v>1</v>
      </c>
      <c r="B2" t="b">
        <v>1</v>
      </c>
      <c r="C2" s="6">
        <v>46255.833333333336</v>
      </c>
      <c r="D2" t="b">
        <v>1</v>
      </c>
      <c r="E2">
        <v>7</v>
      </c>
      <c r="F2">
        <v>0</v>
      </c>
      <c r="G2">
        <v>1</v>
      </c>
      <c r="H2">
        <v>3</v>
      </c>
      <c r="I2">
        <v>2</v>
      </c>
      <c r="J2">
        <v>5</v>
      </c>
    </row>
    <row r="3" spans="1:10" x14ac:dyDescent="0.25">
      <c r="A3">
        <v>1</v>
      </c>
      <c r="B3" t="b">
        <v>1</v>
      </c>
      <c r="C3" s="6">
        <v>46256.520833333336</v>
      </c>
      <c r="D3" t="b">
        <v>1</v>
      </c>
      <c r="E3">
        <v>16</v>
      </c>
      <c r="F3">
        <v>0</v>
      </c>
      <c r="G3">
        <v>11</v>
      </c>
      <c r="H3">
        <v>2</v>
      </c>
      <c r="I3">
        <v>4</v>
      </c>
      <c r="J3">
        <v>2</v>
      </c>
    </row>
    <row r="4" spans="1:10" x14ac:dyDescent="0.25">
      <c r="A4">
        <v>1</v>
      </c>
      <c r="B4" t="b">
        <v>1</v>
      </c>
      <c r="C4" s="6">
        <v>46256.625</v>
      </c>
      <c r="D4" t="b">
        <v>1</v>
      </c>
      <c r="E4">
        <v>8</v>
      </c>
      <c r="F4">
        <v>0</v>
      </c>
      <c r="G4">
        <v>9</v>
      </c>
      <c r="H4">
        <v>2</v>
      </c>
      <c r="I4">
        <v>3</v>
      </c>
      <c r="J4">
        <v>3</v>
      </c>
    </row>
    <row r="5" spans="1:10" x14ac:dyDescent="0.25">
      <c r="A5">
        <v>1</v>
      </c>
      <c r="B5" t="b">
        <v>1</v>
      </c>
      <c r="C5" s="6">
        <v>46256.625</v>
      </c>
      <c r="D5" t="b">
        <v>1</v>
      </c>
      <c r="E5">
        <v>20</v>
      </c>
      <c r="F5">
        <v>1</v>
      </c>
      <c r="G5">
        <v>12</v>
      </c>
      <c r="H5">
        <v>2</v>
      </c>
      <c r="I5">
        <v>2</v>
      </c>
      <c r="J5">
        <v>2</v>
      </c>
    </row>
    <row r="6" spans="1:10" x14ac:dyDescent="0.25">
      <c r="A6">
        <v>1</v>
      </c>
      <c r="B6" t="b">
        <v>1</v>
      </c>
      <c r="C6" s="6">
        <v>46256.625</v>
      </c>
      <c r="D6" t="b">
        <v>1</v>
      </c>
      <c r="E6">
        <v>13</v>
      </c>
      <c r="F6">
        <v>1</v>
      </c>
      <c r="G6">
        <v>18</v>
      </c>
      <c r="H6">
        <v>0</v>
      </c>
      <c r="I6">
        <v>2</v>
      </c>
      <c r="J6">
        <v>3</v>
      </c>
    </row>
    <row r="7" spans="1:10" x14ac:dyDescent="0.25">
      <c r="A7">
        <v>1</v>
      </c>
      <c r="B7" t="b">
        <v>1</v>
      </c>
      <c r="C7" s="6">
        <v>46256.729166666664</v>
      </c>
      <c r="D7" t="b">
        <v>1</v>
      </c>
      <c r="E7">
        <v>19</v>
      </c>
      <c r="F7">
        <v>0</v>
      </c>
      <c r="G7">
        <v>4</v>
      </c>
      <c r="H7">
        <v>3</v>
      </c>
      <c r="I7">
        <v>3</v>
      </c>
      <c r="J7">
        <v>3</v>
      </c>
    </row>
    <row r="8" spans="1:10" x14ac:dyDescent="0.25">
      <c r="A8">
        <v>1</v>
      </c>
      <c r="B8" t="b">
        <v>1</v>
      </c>
      <c r="C8" s="6">
        <v>46257.583333333336</v>
      </c>
      <c r="D8" t="b">
        <v>1</v>
      </c>
      <c r="E8">
        <v>2</v>
      </c>
      <c r="F8">
        <v>0</v>
      </c>
      <c r="G8">
        <v>5</v>
      </c>
      <c r="H8">
        <v>4</v>
      </c>
      <c r="I8">
        <v>3</v>
      </c>
      <c r="J8">
        <v>3</v>
      </c>
    </row>
    <row r="9" spans="1:10" x14ac:dyDescent="0.25">
      <c r="A9">
        <v>1</v>
      </c>
      <c r="B9" t="b">
        <v>1</v>
      </c>
      <c r="C9" s="6">
        <v>46257.583333333336</v>
      </c>
      <c r="D9" t="b">
        <v>1</v>
      </c>
      <c r="E9">
        <v>3</v>
      </c>
      <c r="F9">
        <v>1</v>
      </c>
      <c r="G9">
        <v>15</v>
      </c>
      <c r="H9">
        <v>2</v>
      </c>
      <c r="I9">
        <v>3</v>
      </c>
      <c r="J9">
        <v>5</v>
      </c>
    </row>
    <row r="10" spans="1:10" x14ac:dyDescent="0.25">
      <c r="A10">
        <v>1</v>
      </c>
      <c r="B10" t="b">
        <v>1</v>
      </c>
      <c r="C10" s="6">
        <v>46257.6875</v>
      </c>
      <c r="D10" t="b">
        <v>1</v>
      </c>
      <c r="E10">
        <v>14</v>
      </c>
      <c r="F10">
        <v>2</v>
      </c>
      <c r="G10">
        <v>17</v>
      </c>
      <c r="H10">
        <v>2</v>
      </c>
      <c r="I10">
        <v>4</v>
      </c>
      <c r="J10">
        <v>3</v>
      </c>
    </row>
    <row r="11" spans="1:10" x14ac:dyDescent="0.25">
      <c r="A11">
        <v>1</v>
      </c>
      <c r="B11" t="b">
        <v>1</v>
      </c>
      <c r="C11" s="6">
        <v>46258.833333333336</v>
      </c>
      <c r="D11" t="b">
        <v>1</v>
      </c>
      <c r="E11">
        <v>6</v>
      </c>
      <c r="F11">
        <v>3</v>
      </c>
      <c r="G11">
        <v>10</v>
      </c>
      <c r="H11">
        <v>2</v>
      </c>
      <c r="I11">
        <v>4</v>
      </c>
      <c r="J11">
        <v>3</v>
      </c>
    </row>
    <row r="12" spans="1:10" x14ac:dyDescent="0.25">
      <c r="A12">
        <v>2</v>
      </c>
      <c r="B12" t="b">
        <v>1</v>
      </c>
      <c r="C12" s="6">
        <v>46262.833333333336</v>
      </c>
      <c r="D12" t="b">
        <v>1</v>
      </c>
      <c r="E12">
        <v>15</v>
      </c>
      <c r="F12">
        <v>4</v>
      </c>
      <c r="G12">
        <v>8</v>
      </c>
      <c r="H12">
        <v>1</v>
      </c>
      <c r="I12">
        <v>4</v>
      </c>
      <c r="J12">
        <v>3</v>
      </c>
    </row>
    <row r="13" spans="1:10" x14ac:dyDescent="0.25">
      <c r="A13">
        <v>2</v>
      </c>
      <c r="B13" t="b">
        <v>1</v>
      </c>
      <c r="C13" s="6">
        <v>46263.520833333336</v>
      </c>
      <c r="D13" t="b">
        <v>1</v>
      </c>
      <c r="E13">
        <v>18</v>
      </c>
      <c r="F13">
        <v>2</v>
      </c>
      <c r="G13">
        <v>14</v>
      </c>
      <c r="H13">
        <v>2</v>
      </c>
      <c r="I13">
        <v>3</v>
      </c>
      <c r="J13">
        <v>4</v>
      </c>
    </row>
    <row r="14" spans="1:10" x14ac:dyDescent="0.25">
      <c r="A14">
        <v>2</v>
      </c>
      <c r="B14" t="b">
        <v>1</v>
      </c>
      <c r="C14" s="6">
        <v>46263.625</v>
      </c>
      <c r="D14" t="b">
        <v>1</v>
      </c>
      <c r="E14">
        <v>9</v>
      </c>
      <c r="F14">
        <v>1</v>
      </c>
      <c r="G14">
        <v>3</v>
      </c>
      <c r="H14">
        <v>1</v>
      </c>
      <c r="I14">
        <v>3</v>
      </c>
      <c r="J14">
        <v>3</v>
      </c>
    </row>
    <row r="15" spans="1:10" x14ac:dyDescent="0.25">
      <c r="A15">
        <v>2</v>
      </c>
      <c r="B15" t="b">
        <v>1</v>
      </c>
      <c r="C15" s="6">
        <v>46263.625</v>
      </c>
      <c r="D15" t="b">
        <v>1</v>
      </c>
      <c r="E15">
        <v>11</v>
      </c>
      <c r="F15">
        <v>1</v>
      </c>
      <c r="G15">
        <v>7</v>
      </c>
      <c r="H15">
        <v>0</v>
      </c>
      <c r="I15">
        <v>2</v>
      </c>
      <c r="J15">
        <v>2</v>
      </c>
    </row>
    <row r="16" spans="1:10" x14ac:dyDescent="0.25">
      <c r="A16">
        <v>2</v>
      </c>
      <c r="B16" t="b">
        <v>1</v>
      </c>
      <c r="C16" s="6">
        <v>46263.729166666664</v>
      </c>
      <c r="D16" t="b">
        <v>1</v>
      </c>
      <c r="E16">
        <v>17</v>
      </c>
      <c r="F16">
        <v>2</v>
      </c>
      <c r="G16">
        <v>19</v>
      </c>
      <c r="H16">
        <v>0</v>
      </c>
      <c r="I16">
        <v>2</v>
      </c>
      <c r="J16">
        <v>3</v>
      </c>
    </row>
    <row r="17" spans="1:10" x14ac:dyDescent="0.25">
      <c r="A17">
        <v>2</v>
      </c>
      <c r="B17" t="b">
        <v>1</v>
      </c>
      <c r="C17" s="6">
        <v>46264.583333333336</v>
      </c>
      <c r="D17" t="b">
        <v>1</v>
      </c>
      <c r="E17">
        <v>5</v>
      </c>
      <c r="F17">
        <v>3</v>
      </c>
      <c r="G17">
        <v>6</v>
      </c>
      <c r="H17">
        <v>4</v>
      </c>
      <c r="I17">
        <v>2</v>
      </c>
      <c r="J17">
        <v>4</v>
      </c>
    </row>
    <row r="18" spans="1:10" x14ac:dyDescent="0.25">
      <c r="A18">
        <v>2</v>
      </c>
      <c r="B18" t="b">
        <v>1</v>
      </c>
      <c r="C18" s="6">
        <v>46264.583333333336</v>
      </c>
      <c r="D18" t="b">
        <v>1</v>
      </c>
      <c r="E18">
        <v>4</v>
      </c>
      <c r="F18">
        <v>1</v>
      </c>
      <c r="G18">
        <v>13</v>
      </c>
      <c r="H18">
        <v>1</v>
      </c>
      <c r="I18">
        <v>3</v>
      </c>
      <c r="J18">
        <v>3</v>
      </c>
    </row>
    <row r="19" spans="1:10" x14ac:dyDescent="0.25">
      <c r="A19">
        <v>2</v>
      </c>
      <c r="B19" t="b">
        <v>1</v>
      </c>
      <c r="C19" s="6">
        <v>46264.583333333336</v>
      </c>
      <c r="D19" t="b">
        <v>1</v>
      </c>
      <c r="E19">
        <v>10</v>
      </c>
      <c r="F19">
        <v>0</v>
      </c>
      <c r="G19">
        <v>20</v>
      </c>
      <c r="H19">
        <v>1</v>
      </c>
      <c r="I19">
        <v>2</v>
      </c>
      <c r="J19">
        <v>3</v>
      </c>
    </row>
    <row r="20" spans="1:10" x14ac:dyDescent="0.25">
      <c r="A20">
        <v>2</v>
      </c>
      <c r="B20" t="b">
        <v>1</v>
      </c>
      <c r="C20" s="6">
        <v>46264.6875</v>
      </c>
      <c r="D20" t="b">
        <v>1</v>
      </c>
      <c r="E20">
        <v>12</v>
      </c>
      <c r="F20">
        <v>2</v>
      </c>
      <c r="G20">
        <v>16</v>
      </c>
      <c r="H20">
        <v>5</v>
      </c>
      <c r="I20">
        <v>2</v>
      </c>
      <c r="J20">
        <v>4</v>
      </c>
    </row>
    <row r="21" spans="1:10" x14ac:dyDescent="0.25">
      <c r="A21">
        <v>2</v>
      </c>
      <c r="B21" t="b">
        <v>1</v>
      </c>
      <c r="C21" s="6">
        <v>46265.833333333336</v>
      </c>
      <c r="D21" t="b">
        <v>1</v>
      </c>
      <c r="E21">
        <v>1</v>
      </c>
      <c r="F21">
        <v>1</v>
      </c>
      <c r="G21">
        <v>2</v>
      </c>
      <c r="H21">
        <v>0</v>
      </c>
      <c r="I21">
        <v>4</v>
      </c>
      <c r="J21">
        <v>4</v>
      </c>
    </row>
    <row r="22" spans="1:10" x14ac:dyDescent="0.25">
      <c r="A22">
        <v>3</v>
      </c>
      <c r="B22" t="b">
        <v>1</v>
      </c>
      <c r="C22" s="6">
        <v>46269.833333333336</v>
      </c>
      <c r="D22" t="b">
        <v>1</v>
      </c>
      <c r="E22">
        <v>14</v>
      </c>
      <c r="F22">
        <v>2</v>
      </c>
      <c r="G22">
        <v>12</v>
      </c>
      <c r="H22">
        <v>0</v>
      </c>
      <c r="I22">
        <v>4</v>
      </c>
      <c r="J22">
        <v>2</v>
      </c>
    </row>
    <row r="23" spans="1:10" x14ac:dyDescent="0.25">
      <c r="A23">
        <v>3</v>
      </c>
      <c r="B23" t="b">
        <v>1</v>
      </c>
      <c r="C23" s="6">
        <v>46270.520833333336</v>
      </c>
      <c r="D23" t="b">
        <v>1</v>
      </c>
      <c r="E23">
        <v>3</v>
      </c>
      <c r="F23">
        <v>2</v>
      </c>
      <c r="G23">
        <v>17</v>
      </c>
      <c r="H23">
        <v>2</v>
      </c>
      <c r="I23">
        <v>3</v>
      </c>
      <c r="J23">
        <v>3</v>
      </c>
    </row>
    <row r="24" spans="1:10" x14ac:dyDescent="0.25">
      <c r="A24">
        <v>3</v>
      </c>
      <c r="B24" t="b">
        <v>1</v>
      </c>
      <c r="C24" s="6">
        <v>46270.625</v>
      </c>
      <c r="D24" t="b">
        <v>1</v>
      </c>
      <c r="E24">
        <v>20</v>
      </c>
      <c r="F24">
        <v>1</v>
      </c>
      <c r="G24">
        <v>4</v>
      </c>
      <c r="H24">
        <v>1</v>
      </c>
      <c r="I24">
        <v>2</v>
      </c>
      <c r="J24">
        <v>3</v>
      </c>
    </row>
    <row r="25" spans="1:10" x14ac:dyDescent="0.25">
      <c r="A25">
        <v>3</v>
      </c>
      <c r="B25" t="b">
        <v>1</v>
      </c>
      <c r="C25" s="6">
        <v>46270.625</v>
      </c>
      <c r="D25" t="b">
        <v>1</v>
      </c>
      <c r="E25">
        <v>13</v>
      </c>
      <c r="F25">
        <v>1</v>
      </c>
      <c r="G25">
        <v>5</v>
      </c>
      <c r="H25">
        <v>1</v>
      </c>
      <c r="I25">
        <v>2</v>
      </c>
      <c r="J25">
        <v>3</v>
      </c>
    </row>
    <row r="26" spans="1:10" x14ac:dyDescent="0.25">
      <c r="A26">
        <v>3</v>
      </c>
      <c r="B26" t="b">
        <v>1</v>
      </c>
      <c r="C26" s="6">
        <v>46270.625</v>
      </c>
      <c r="D26" t="b">
        <v>1</v>
      </c>
      <c r="E26">
        <v>8</v>
      </c>
      <c r="F26">
        <v>3</v>
      </c>
      <c r="G26">
        <v>10</v>
      </c>
      <c r="H26">
        <v>2</v>
      </c>
      <c r="I26">
        <v>3</v>
      </c>
      <c r="J26">
        <v>3</v>
      </c>
    </row>
    <row r="27" spans="1:10" x14ac:dyDescent="0.25">
      <c r="A27">
        <v>3</v>
      </c>
      <c r="B27" t="b">
        <v>1</v>
      </c>
      <c r="C27" s="6">
        <v>46270.625</v>
      </c>
      <c r="D27" t="b">
        <v>1</v>
      </c>
      <c r="E27">
        <v>7</v>
      </c>
      <c r="F27">
        <v>0</v>
      </c>
      <c r="G27">
        <v>15</v>
      </c>
      <c r="H27">
        <v>1</v>
      </c>
      <c r="I27">
        <v>2</v>
      </c>
      <c r="J27">
        <v>5</v>
      </c>
    </row>
    <row r="28" spans="1:10" x14ac:dyDescent="0.25">
      <c r="A28">
        <v>3</v>
      </c>
      <c r="B28" t="b">
        <v>1</v>
      </c>
      <c r="C28" s="6">
        <v>46270.625</v>
      </c>
      <c r="D28" t="b">
        <v>1</v>
      </c>
      <c r="E28">
        <v>19</v>
      </c>
      <c r="F28">
        <v>0</v>
      </c>
      <c r="G28">
        <v>18</v>
      </c>
      <c r="H28">
        <v>0</v>
      </c>
      <c r="I28">
        <v>3</v>
      </c>
      <c r="J28">
        <v>3</v>
      </c>
    </row>
    <row r="29" spans="1:10" x14ac:dyDescent="0.25">
      <c r="A29">
        <v>3</v>
      </c>
      <c r="B29" t="b">
        <v>1</v>
      </c>
      <c r="C29" s="6">
        <v>46270.729166666664</v>
      </c>
      <c r="D29" t="b">
        <v>1</v>
      </c>
      <c r="E29">
        <v>2</v>
      </c>
      <c r="F29">
        <v>0</v>
      </c>
      <c r="G29">
        <v>11</v>
      </c>
      <c r="H29">
        <v>0</v>
      </c>
      <c r="I29">
        <v>3</v>
      </c>
      <c r="J29">
        <v>2</v>
      </c>
    </row>
    <row r="30" spans="1:10" x14ac:dyDescent="0.25">
      <c r="A30">
        <v>3</v>
      </c>
      <c r="B30" t="b">
        <v>1</v>
      </c>
      <c r="C30" s="6">
        <v>46271.583333333336</v>
      </c>
      <c r="D30" t="b">
        <v>1</v>
      </c>
      <c r="E30">
        <v>16</v>
      </c>
      <c r="F30">
        <v>2</v>
      </c>
      <c r="G30">
        <v>9</v>
      </c>
      <c r="H30">
        <v>2</v>
      </c>
      <c r="I30">
        <v>4</v>
      </c>
      <c r="J30">
        <v>3</v>
      </c>
    </row>
    <row r="31" spans="1:10" x14ac:dyDescent="0.25">
      <c r="A31">
        <v>3</v>
      </c>
      <c r="B31" t="b">
        <v>1</v>
      </c>
      <c r="C31" s="6">
        <v>46271.6875</v>
      </c>
      <c r="D31" t="b">
        <v>1</v>
      </c>
      <c r="E31">
        <v>6</v>
      </c>
      <c r="F31">
        <v>1</v>
      </c>
      <c r="G31">
        <v>1</v>
      </c>
      <c r="H31">
        <v>2</v>
      </c>
      <c r="I31">
        <v>4</v>
      </c>
      <c r="J31">
        <v>5</v>
      </c>
    </row>
    <row r="32" spans="1:10" x14ac:dyDescent="0.25">
      <c r="A32">
        <v>4</v>
      </c>
      <c r="B32" t="b">
        <v>0</v>
      </c>
      <c r="C32" s="6">
        <v>46277.625</v>
      </c>
      <c r="D32" t="b">
        <v>0</v>
      </c>
      <c r="E32">
        <v>18</v>
      </c>
      <c r="G32">
        <v>2</v>
      </c>
      <c r="I32">
        <v>3</v>
      </c>
      <c r="J32">
        <v>4</v>
      </c>
    </row>
    <row r="33" spans="1:10" x14ac:dyDescent="0.25">
      <c r="A33">
        <v>4</v>
      </c>
      <c r="B33" t="b">
        <v>0</v>
      </c>
      <c r="C33" s="6">
        <v>46277.625</v>
      </c>
      <c r="D33" t="b">
        <v>0</v>
      </c>
      <c r="E33">
        <v>4</v>
      </c>
      <c r="G33">
        <v>3</v>
      </c>
      <c r="I33">
        <v>3</v>
      </c>
      <c r="J33">
        <v>3</v>
      </c>
    </row>
    <row r="34" spans="1:10" x14ac:dyDescent="0.25">
      <c r="A34">
        <v>4</v>
      </c>
      <c r="B34" t="b">
        <v>0</v>
      </c>
      <c r="C34" s="6">
        <v>46277.625</v>
      </c>
      <c r="D34" t="b">
        <v>0</v>
      </c>
      <c r="E34">
        <v>11</v>
      </c>
      <c r="G34">
        <v>6</v>
      </c>
      <c r="I34">
        <v>2</v>
      </c>
      <c r="J34">
        <v>4</v>
      </c>
    </row>
    <row r="35" spans="1:10" x14ac:dyDescent="0.25">
      <c r="A35">
        <v>4</v>
      </c>
      <c r="B35" t="b">
        <v>0</v>
      </c>
      <c r="C35" s="6">
        <v>46277.625</v>
      </c>
      <c r="D35" t="b">
        <v>0</v>
      </c>
      <c r="E35">
        <v>12</v>
      </c>
      <c r="G35">
        <v>8</v>
      </c>
      <c r="I35">
        <v>2</v>
      </c>
      <c r="J35">
        <v>3</v>
      </c>
    </row>
    <row r="36" spans="1:10" x14ac:dyDescent="0.25">
      <c r="A36">
        <v>4</v>
      </c>
      <c r="B36" t="b">
        <v>0</v>
      </c>
      <c r="C36" s="6">
        <v>46277.625</v>
      </c>
      <c r="D36" t="b">
        <v>0</v>
      </c>
      <c r="E36">
        <v>10</v>
      </c>
      <c r="G36">
        <v>14</v>
      </c>
      <c r="I36">
        <v>2</v>
      </c>
      <c r="J36">
        <v>4</v>
      </c>
    </row>
    <row r="37" spans="1:10" x14ac:dyDescent="0.25">
      <c r="A37">
        <v>4</v>
      </c>
      <c r="B37" t="b">
        <v>0</v>
      </c>
      <c r="C37" s="6">
        <v>46277.729166666664</v>
      </c>
      <c r="D37" t="b">
        <v>0</v>
      </c>
      <c r="E37">
        <v>9</v>
      </c>
      <c r="G37">
        <v>19</v>
      </c>
      <c r="I37">
        <v>3</v>
      </c>
      <c r="J37">
        <v>3</v>
      </c>
    </row>
    <row r="38" spans="1:10" x14ac:dyDescent="0.25">
      <c r="A38">
        <v>4</v>
      </c>
      <c r="B38" t="b">
        <v>0</v>
      </c>
      <c r="C38" s="6">
        <v>46277.833333333336</v>
      </c>
      <c r="D38" t="b">
        <v>0</v>
      </c>
      <c r="E38">
        <v>1</v>
      </c>
      <c r="G38">
        <v>20</v>
      </c>
      <c r="I38">
        <v>4</v>
      </c>
      <c r="J38">
        <v>3</v>
      </c>
    </row>
    <row r="39" spans="1:10" x14ac:dyDescent="0.25">
      <c r="A39">
        <v>4</v>
      </c>
      <c r="B39" t="b">
        <v>0</v>
      </c>
      <c r="C39" s="6">
        <v>46278.583333333336</v>
      </c>
      <c r="D39" t="b">
        <v>0</v>
      </c>
      <c r="E39">
        <v>5</v>
      </c>
      <c r="G39">
        <v>7</v>
      </c>
      <c r="I39">
        <v>2</v>
      </c>
      <c r="J39">
        <v>2</v>
      </c>
    </row>
    <row r="40" spans="1:10" x14ac:dyDescent="0.25">
      <c r="A40">
        <v>4</v>
      </c>
      <c r="B40" t="b">
        <v>0</v>
      </c>
      <c r="C40" s="6">
        <v>46278.6875</v>
      </c>
      <c r="D40" t="b">
        <v>0</v>
      </c>
      <c r="E40">
        <v>15</v>
      </c>
      <c r="G40">
        <v>16</v>
      </c>
      <c r="I40">
        <v>4</v>
      </c>
      <c r="J40">
        <v>4</v>
      </c>
    </row>
    <row r="41" spans="1:10" x14ac:dyDescent="0.25">
      <c r="A41">
        <v>4</v>
      </c>
      <c r="B41" t="b">
        <v>0</v>
      </c>
      <c r="C41" s="6">
        <v>46279.833333333336</v>
      </c>
      <c r="D41" t="b">
        <v>0</v>
      </c>
      <c r="E41">
        <v>17</v>
      </c>
      <c r="G41">
        <v>13</v>
      </c>
      <c r="I41">
        <v>2</v>
      </c>
      <c r="J41">
        <v>3</v>
      </c>
    </row>
    <row r="42" spans="1:10" x14ac:dyDescent="0.25">
      <c r="A42">
        <v>5</v>
      </c>
      <c r="B42" t="b">
        <v>0</v>
      </c>
      <c r="C42" s="6">
        <v>46283.833333333336</v>
      </c>
      <c r="D42" t="b">
        <v>0</v>
      </c>
      <c r="E42">
        <v>6</v>
      </c>
      <c r="G42">
        <v>4</v>
      </c>
      <c r="I42">
        <v>4</v>
      </c>
      <c r="J42">
        <v>3</v>
      </c>
    </row>
    <row r="43" spans="1:10" x14ac:dyDescent="0.25">
      <c r="A43">
        <v>5</v>
      </c>
      <c r="B43" t="b">
        <v>0</v>
      </c>
      <c r="C43" s="6">
        <v>46284.520833333336</v>
      </c>
      <c r="D43" t="b">
        <v>0</v>
      </c>
      <c r="E43">
        <v>2</v>
      </c>
      <c r="G43">
        <v>19</v>
      </c>
      <c r="I43">
        <v>3</v>
      </c>
      <c r="J43">
        <v>3</v>
      </c>
    </row>
    <row r="44" spans="1:10" x14ac:dyDescent="0.25">
      <c r="A44">
        <v>5</v>
      </c>
      <c r="B44" t="b">
        <v>0</v>
      </c>
      <c r="C44" s="6">
        <v>46284.625</v>
      </c>
      <c r="D44" t="b">
        <v>0</v>
      </c>
      <c r="E44">
        <v>1</v>
      </c>
      <c r="G44">
        <v>5</v>
      </c>
      <c r="I44">
        <v>4</v>
      </c>
      <c r="J44">
        <v>3</v>
      </c>
    </row>
    <row r="45" spans="1:10" x14ac:dyDescent="0.25">
      <c r="A45">
        <v>5</v>
      </c>
      <c r="B45" t="b">
        <v>0</v>
      </c>
      <c r="C45" s="6">
        <v>46284.625</v>
      </c>
      <c r="D45" t="b">
        <v>0</v>
      </c>
      <c r="E45">
        <v>12</v>
      </c>
      <c r="G45">
        <v>9</v>
      </c>
      <c r="I45">
        <v>2</v>
      </c>
      <c r="J45">
        <v>3</v>
      </c>
    </row>
    <row r="46" spans="1:10" x14ac:dyDescent="0.25">
      <c r="A46">
        <v>5</v>
      </c>
      <c r="B46" t="b">
        <v>0</v>
      </c>
      <c r="C46" s="6">
        <v>46284.625</v>
      </c>
      <c r="D46" t="b">
        <v>0</v>
      </c>
      <c r="E46">
        <v>11</v>
      </c>
      <c r="G46">
        <v>17</v>
      </c>
      <c r="I46">
        <v>2</v>
      </c>
      <c r="J46">
        <v>3</v>
      </c>
    </row>
    <row r="47" spans="1:10" x14ac:dyDescent="0.25">
      <c r="A47">
        <v>5</v>
      </c>
      <c r="B47" t="b">
        <v>0</v>
      </c>
      <c r="C47" s="6">
        <v>46284.729166666664</v>
      </c>
      <c r="D47" t="b">
        <v>0</v>
      </c>
      <c r="E47">
        <v>7</v>
      </c>
      <c r="G47">
        <v>18</v>
      </c>
      <c r="I47">
        <v>2</v>
      </c>
      <c r="J47">
        <v>3</v>
      </c>
    </row>
    <row r="48" spans="1:10" x14ac:dyDescent="0.25">
      <c r="A48">
        <v>5</v>
      </c>
      <c r="B48" t="b">
        <v>0</v>
      </c>
      <c r="C48" s="6">
        <v>46285.583333333336</v>
      </c>
      <c r="D48" t="b">
        <v>0</v>
      </c>
      <c r="E48">
        <v>14</v>
      </c>
      <c r="G48">
        <v>3</v>
      </c>
      <c r="I48">
        <v>4</v>
      </c>
      <c r="J48">
        <v>3</v>
      </c>
    </row>
    <row r="49" spans="1:10" x14ac:dyDescent="0.25">
      <c r="A49">
        <v>5</v>
      </c>
      <c r="B49" t="b">
        <v>0</v>
      </c>
      <c r="C49" s="6">
        <v>46285.583333333336</v>
      </c>
      <c r="D49" t="b">
        <v>0</v>
      </c>
      <c r="E49">
        <v>8</v>
      </c>
      <c r="G49">
        <v>13</v>
      </c>
      <c r="I49">
        <v>3</v>
      </c>
      <c r="J49">
        <v>3</v>
      </c>
    </row>
    <row r="50" spans="1:10" x14ac:dyDescent="0.25">
      <c r="A50">
        <v>5</v>
      </c>
      <c r="B50" t="b">
        <v>0</v>
      </c>
      <c r="C50" s="6">
        <v>46285.583333333336</v>
      </c>
      <c r="D50" t="b">
        <v>0</v>
      </c>
      <c r="E50">
        <v>20</v>
      </c>
      <c r="G50">
        <v>15</v>
      </c>
      <c r="I50">
        <v>2</v>
      </c>
      <c r="J50">
        <v>5</v>
      </c>
    </row>
    <row r="51" spans="1:10" x14ac:dyDescent="0.25">
      <c r="A51">
        <v>5</v>
      </c>
      <c r="B51" t="b">
        <v>0</v>
      </c>
      <c r="C51" s="6">
        <v>46285.6875</v>
      </c>
      <c r="D51" t="b">
        <v>0</v>
      </c>
      <c r="E51">
        <v>16</v>
      </c>
      <c r="G51">
        <v>10</v>
      </c>
      <c r="I51">
        <v>4</v>
      </c>
      <c r="J51">
        <v>3</v>
      </c>
    </row>
    <row r="52" spans="1:10" x14ac:dyDescent="0.25">
      <c r="A52">
        <v>6</v>
      </c>
      <c r="B52" t="b">
        <v>0</v>
      </c>
      <c r="C52" s="6">
        <v>46305.520833333336</v>
      </c>
      <c r="D52" t="b">
        <v>0</v>
      </c>
      <c r="E52">
        <v>13</v>
      </c>
      <c r="G52">
        <v>1</v>
      </c>
      <c r="I52">
        <v>2</v>
      </c>
      <c r="J52">
        <v>5</v>
      </c>
    </row>
    <row r="53" spans="1:10" x14ac:dyDescent="0.25">
      <c r="A53">
        <v>6</v>
      </c>
      <c r="B53" t="b">
        <v>0</v>
      </c>
      <c r="C53" s="6">
        <v>46305.625</v>
      </c>
      <c r="D53" t="b">
        <v>0</v>
      </c>
      <c r="E53">
        <v>4</v>
      </c>
      <c r="G53">
        <v>2</v>
      </c>
      <c r="I53">
        <v>3</v>
      </c>
      <c r="J53">
        <v>4</v>
      </c>
    </row>
    <row r="54" spans="1:10" x14ac:dyDescent="0.25">
      <c r="A54">
        <v>6</v>
      </c>
      <c r="B54" t="b">
        <v>0</v>
      </c>
      <c r="C54" s="6">
        <v>46305.625</v>
      </c>
      <c r="D54" t="b">
        <v>0</v>
      </c>
      <c r="E54">
        <v>3</v>
      </c>
      <c r="G54">
        <v>6</v>
      </c>
      <c r="I54">
        <v>3</v>
      </c>
      <c r="J54">
        <v>4</v>
      </c>
    </row>
    <row r="55" spans="1:10" x14ac:dyDescent="0.25">
      <c r="A55">
        <v>6</v>
      </c>
      <c r="B55" t="b">
        <v>0</v>
      </c>
      <c r="C55" s="6">
        <v>46305.625</v>
      </c>
      <c r="D55" t="b">
        <v>0</v>
      </c>
      <c r="E55">
        <v>10</v>
      </c>
      <c r="G55">
        <v>12</v>
      </c>
      <c r="I55">
        <v>2</v>
      </c>
      <c r="J55">
        <v>2</v>
      </c>
    </row>
    <row r="56" spans="1:10" x14ac:dyDescent="0.25">
      <c r="A56">
        <v>6</v>
      </c>
      <c r="B56" t="b">
        <v>0</v>
      </c>
      <c r="C56" s="6">
        <v>46305.625</v>
      </c>
      <c r="D56" t="b">
        <v>0</v>
      </c>
      <c r="E56">
        <v>5</v>
      </c>
      <c r="G56">
        <v>20</v>
      </c>
      <c r="I56">
        <v>2</v>
      </c>
      <c r="J56">
        <v>3</v>
      </c>
    </row>
    <row r="57" spans="1:10" x14ac:dyDescent="0.25">
      <c r="A57">
        <v>6</v>
      </c>
      <c r="B57" t="b">
        <v>0</v>
      </c>
      <c r="C57" s="6">
        <v>46305.729166666664</v>
      </c>
      <c r="D57" t="b">
        <v>0</v>
      </c>
      <c r="E57">
        <v>19</v>
      </c>
      <c r="G57">
        <v>16</v>
      </c>
      <c r="I57">
        <v>3</v>
      </c>
      <c r="J57">
        <v>4</v>
      </c>
    </row>
    <row r="58" spans="1:10" x14ac:dyDescent="0.25">
      <c r="A58">
        <v>6</v>
      </c>
      <c r="B58" t="b">
        <v>0</v>
      </c>
      <c r="C58" s="6">
        <v>46306.583333333336</v>
      </c>
      <c r="D58" t="b">
        <v>0</v>
      </c>
      <c r="E58">
        <v>18</v>
      </c>
      <c r="G58">
        <v>8</v>
      </c>
      <c r="I58">
        <v>3</v>
      </c>
      <c r="J58">
        <v>3</v>
      </c>
    </row>
    <row r="59" spans="1:10" x14ac:dyDescent="0.25">
      <c r="A59">
        <v>6</v>
      </c>
      <c r="B59" t="b">
        <v>0</v>
      </c>
      <c r="C59" s="6">
        <v>46306.583333333336</v>
      </c>
      <c r="D59" t="b">
        <v>0</v>
      </c>
      <c r="E59">
        <v>9</v>
      </c>
      <c r="G59">
        <v>11</v>
      </c>
      <c r="I59">
        <v>3</v>
      </c>
      <c r="J59">
        <v>2</v>
      </c>
    </row>
    <row r="60" spans="1:10" x14ac:dyDescent="0.25">
      <c r="A60">
        <v>6</v>
      </c>
      <c r="B60" t="b">
        <v>0</v>
      </c>
      <c r="C60" s="6">
        <v>46306.6875</v>
      </c>
      <c r="D60" t="b">
        <v>0</v>
      </c>
      <c r="E60">
        <v>15</v>
      </c>
      <c r="G60">
        <v>14</v>
      </c>
      <c r="I60">
        <v>4</v>
      </c>
      <c r="J60">
        <v>4</v>
      </c>
    </row>
    <row r="61" spans="1:10" x14ac:dyDescent="0.25">
      <c r="A61">
        <v>6</v>
      </c>
      <c r="B61" t="b">
        <v>0</v>
      </c>
      <c r="C61" s="6">
        <v>46307.833333333336</v>
      </c>
      <c r="D61" t="b">
        <v>0</v>
      </c>
      <c r="E61">
        <v>17</v>
      </c>
      <c r="G61">
        <v>7</v>
      </c>
      <c r="I61">
        <v>2</v>
      </c>
      <c r="J61">
        <v>2</v>
      </c>
    </row>
    <row r="62" spans="1:10" x14ac:dyDescent="0.25">
      <c r="A62">
        <v>7</v>
      </c>
      <c r="B62" t="b">
        <v>0</v>
      </c>
      <c r="C62" s="6">
        <v>46312.520833333336</v>
      </c>
      <c r="D62" t="b">
        <v>0</v>
      </c>
      <c r="E62">
        <v>6</v>
      </c>
      <c r="G62">
        <v>9</v>
      </c>
      <c r="I62">
        <v>4</v>
      </c>
      <c r="J62">
        <v>3</v>
      </c>
    </row>
    <row r="63" spans="1:10" x14ac:dyDescent="0.25">
      <c r="A63">
        <v>7</v>
      </c>
      <c r="B63" t="b">
        <v>0</v>
      </c>
      <c r="C63" s="6">
        <v>46312.625</v>
      </c>
      <c r="D63" t="b">
        <v>0</v>
      </c>
      <c r="E63">
        <v>14</v>
      </c>
      <c r="G63">
        <v>4</v>
      </c>
      <c r="I63">
        <v>4</v>
      </c>
      <c r="J63">
        <v>3</v>
      </c>
    </row>
    <row r="64" spans="1:10" x14ac:dyDescent="0.25">
      <c r="A64">
        <v>7</v>
      </c>
      <c r="B64" t="b">
        <v>0</v>
      </c>
      <c r="C64" s="6">
        <v>46312.625</v>
      </c>
      <c r="D64" t="b">
        <v>0</v>
      </c>
      <c r="E64">
        <v>11</v>
      </c>
      <c r="G64">
        <v>10</v>
      </c>
      <c r="I64">
        <v>2</v>
      </c>
      <c r="J64">
        <v>3</v>
      </c>
    </row>
    <row r="65" spans="1:10" x14ac:dyDescent="0.25">
      <c r="A65">
        <v>7</v>
      </c>
      <c r="B65" t="b">
        <v>0</v>
      </c>
      <c r="C65" s="6">
        <v>46312.625</v>
      </c>
      <c r="D65" t="b">
        <v>0</v>
      </c>
      <c r="E65">
        <v>12</v>
      </c>
      <c r="G65">
        <v>15</v>
      </c>
      <c r="I65">
        <v>2</v>
      </c>
      <c r="J65">
        <v>5</v>
      </c>
    </row>
    <row r="66" spans="1:10" x14ac:dyDescent="0.25">
      <c r="A66">
        <v>7</v>
      </c>
      <c r="B66" t="b">
        <v>0</v>
      </c>
      <c r="C66" s="6">
        <v>46312.729166666664</v>
      </c>
      <c r="D66" t="b">
        <v>0</v>
      </c>
      <c r="E66">
        <v>2</v>
      </c>
      <c r="G66">
        <v>17</v>
      </c>
      <c r="I66">
        <v>3</v>
      </c>
      <c r="J66">
        <v>3</v>
      </c>
    </row>
    <row r="67" spans="1:10" x14ac:dyDescent="0.25">
      <c r="A67">
        <v>7</v>
      </c>
      <c r="B67" t="b">
        <v>0</v>
      </c>
      <c r="C67" s="6">
        <v>46313.583333333336</v>
      </c>
      <c r="D67" t="b">
        <v>0</v>
      </c>
      <c r="E67">
        <v>20</v>
      </c>
      <c r="G67">
        <v>3</v>
      </c>
      <c r="I67">
        <v>2</v>
      </c>
      <c r="J67">
        <v>3</v>
      </c>
    </row>
    <row r="68" spans="1:10" x14ac:dyDescent="0.25">
      <c r="A68">
        <v>7</v>
      </c>
      <c r="B68" t="b">
        <v>0</v>
      </c>
      <c r="C68" s="6">
        <v>46313.583333333336</v>
      </c>
      <c r="D68" t="b">
        <v>0</v>
      </c>
      <c r="E68">
        <v>8</v>
      </c>
      <c r="G68">
        <v>5</v>
      </c>
      <c r="I68">
        <v>3</v>
      </c>
      <c r="J68">
        <v>3</v>
      </c>
    </row>
    <row r="69" spans="1:10" x14ac:dyDescent="0.25">
      <c r="A69">
        <v>7</v>
      </c>
      <c r="B69" t="b">
        <v>0</v>
      </c>
      <c r="C69" s="6">
        <v>46313.583333333336</v>
      </c>
      <c r="D69" t="b">
        <v>0</v>
      </c>
      <c r="E69">
        <v>16</v>
      </c>
      <c r="G69">
        <v>13</v>
      </c>
      <c r="I69">
        <v>4</v>
      </c>
      <c r="J69">
        <v>3</v>
      </c>
    </row>
    <row r="70" spans="1:10" x14ac:dyDescent="0.25">
      <c r="A70">
        <v>7</v>
      </c>
      <c r="B70" t="b">
        <v>0</v>
      </c>
      <c r="C70" s="6">
        <v>46313.6875</v>
      </c>
      <c r="D70" t="b">
        <v>0</v>
      </c>
      <c r="E70">
        <v>1</v>
      </c>
      <c r="G70">
        <v>18</v>
      </c>
      <c r="I70">
        <v>4</v>
      </c>
      <c r="J70">
        <v>3</v>
      </c>
    </row>
    <row r="71" spans="1:10" x14ac:dyDescent="0.25">
      <c r="A71">
        <v>7</v>
      </c>
      <c r="B71" t="b">
        <v>0</v>
      </c>
      <c r="C71" s="6">
        <v>46314.833333333336</v>
      </c>
      <c r="D71" t="b">
        <v>0</v>
      </c>
      <c r="E71">
        <v>7</v>
      </c>
      <c r="G71">
        <v>19</v>
      </c>
      <c r="I71">
        <v>2</v>
      </c>
      <c r="J71">
        <v>3</v>
      </c>
    </row>
    <row r="72" spans="1:10" x14ac:dyDescent="0.25">
      <c r="A72">
        <v>8</v>
      </c>
      <c r="B72" t="b">
        <v>0</v>
      </c>
      <c r="C72" s="6">
        <v>46318.833333333336</v>
      </c>
      <c r="D72" t="b">
        <v>0</v>
      </c>
      <c r="E72">
        <v>18</v>
      </c>
      <c r="G72">
        <v>12</v>
      </c>
      <c r="I72">
        <v>3</v>
      </c>
      <c r="J72">
        <v>2</v>
      </c>
    </row>
    <row r="73" spans="1:10" x14ac:dyDescent="0.25">
      <c r="A73">
        <v>8</v>
      </c>
      <c r="B73" t="b">
        <v>0</v>
      </c>
      <c r="C73" s="6">
        <v>46319.520833333336</v>
      </c>
      <c r="D73" t="b">
        <v>0</v>
      </c>
      <c r="E73">
        <v>15</v>
      </c>
      <c r="G73">
        <v>2</v>
      </c>
      <c r="I73">
        <v>4</v>
      </c>
      <c r="J73">
        <v>4</v>
      </c>
    </row>
    <row r="74" spans="1:10" x14ac:dyDescent="0.25">
      <c r="A74">
        <v>8</v>
      </c>
      <c r="B74" t="b">
        <v>0</v>
      </c>
      <c r="C74" s="6">
        <v>46319.625</v>
      </c>
      <c r="D74" t="b">
        <v>0</v>
      </c>
      <c r="E74">
        <v>9</v>
      </c>
      <c r="G74">
        <v>1</v>
      </c>
      <c r="I74">
        <v>3</v>
      </c>
      <c r="J74">
        <v>5</v>
      </c>
    </row>
    <row r="75" spans="1:10" x14ac:dyDescent="0.25">
      <c r="A75">
        <v>8</v>
      </c>
      <c r="B75" t="b">
        <v>0</v>
      </c>
      <c r="C75" s="6">
        <v>46319.625</v>
      </c>
      <c r="D75" t="b">
        <v>0</v>
      </c>
      <c r="E75">
        <v>10</v>
      </c>
      <c r="G75">
        <v>7</v>
      </c>
      <c r="I75">
        <v>2</v>
      </c>
      <c r="J75">
        <v>2</v>
      </c>
    </row>
    <row r="76" spans="1:10" x14ac:dyDescent="0.25">
      <c r="A76">
        <v>8</v>
      </c>
      <c r="B76" t="b">
        <v>0</v>
      </c>
      <c r="C76" s="6">
        <v>46319.729166666664</v>
      </c>
      <c r="D76" t="b">
        <v>0</v>
      </c>
      <c r="E76">
        <v>19</v>
      </c>
      <c r="G76">
        <v>6</v>
      </c>
      <c r="I76">
        <v>3</v>
      </c>
      <c r="J76">
        <v>4</v>
      </c>
    </row>
    <row r="77" spans="1:10" x14ac:dyDescent="0.25">
      <c r="A77">
        <v>8</v>
      </c>
      <c r="B77" t="b">
        <v>0</v>
      </c>
      <c r="C77" s="6">
        <v>46320.583333333336</v>
      </c>
      <c r="D77" t="b">
        <v>0</v>
      </c>
      <c r="E77">
        <v>17</v>
      </c>
      <c r="G77">
        <v>8</v>
      </c>
      <c r="I77">
        <v>2</v>
      </c>
      <c r="J77">
        <v>3</v>
      </c>
    </row>
    <row r="78" spans="1:10" x14ac:dyDescent="0.25">
      <c r="A78">
        <v>8</v>
      </c>
      <c r="B78" t="b">
        <v>0</v>
      </c>
      <c r="C78" s="6">
        <v>46320.583333333336</v>
      </c>
      <c r="D78" t="b">
        <v>0</v>
      </c>
      <c r="E78">
        <v>4</v>
      </c>
      <c r="G78">
        <v>11</v>
      </c>
      <c r="I78">
        <v>3</v>
      </c>
      <c r="J78">
        <v>2</v>
      </c>
    </row>
    <row r="79" spans="1:10" x14ac:dyDescent="0.25">
      <c r="A79">
        <v>8</v>
      </c>
      <c r="B79" t="b">
        <v>0</v>
      </c>
      <c r="C79" s="6">
        <v>46320.583333333336</v>
      </c>
      <c r="D79" t="b">
        <v>0</v>
      </c>
      <c r="E79">
        <v>5</v>
      </c>
      <c r="G79">
        <v>14</v>
      </c>
      <c r="I79">
        <v>2</v>
      </c>
      <c r="J79">
        <v>4</v>
      </c>
    </row>
    <row r="80" spans="1:10" x14ac:dyDescent="0.25">
      <c r="A80">
        <v>8</v>
      </c>
      <c r="B80" t="b">
        <v>0</v>
      </c>
      <c r="C80" s="6">
        <v>46320.583333333336</v>
      </c>
      <c r="D80" t="b">
        <v>0</v>
      </c>
      <c r="E80">
        <v>3</v>
      </c>
      <c r="G80">
        <v>16</v>
      </c>
      <c r="I80">
        <v>3</v>
      </c>
      <c r="J80">
        <v>4</v>
      </c>
    </row>
    <row r="81" spans="1:10" x14ac:dyDescent="0.25">
      <c r="A81">
        <v>8</v>
      </c>
      <c r="B81" t="b">
        <v>0</v>
      </c>
      <c r="C81" s="6">
        <v>46320.6875</v>
      </c>
      <c r="D81" t="b">
        <v>0</v>
      </c>
      <c r="E81">
        <v>13</v>
      </c>
      <c r="G81">
        <v>20</v>
      </c>
      <c r="I81">
        <v>2</v>
      </c>
      <c r="J81">
        <v>3</v>
      </c>
    </row>
    <row r="82" spans="1:10" x14ac:dyDescent="0.25">
      <c r="A82">
        <v>9</v>
      </c>
      <c r="B82" t="b">
        <v>0</v>
      </c>
      <c r="C82" s="6">
        <v>46326.520833333336</v>
      </c>
      <c r="D82" t="b">
        <v>0</v>
      </c>
      <c r="E82">
        <v>16</v>
      </c>
      <c r="G82">
        <v>6</v>
      </c>
      <c r="I82">
        <v>4</v>
      </c>
      <c r="J82">
        <v>4</v>
      </c>
    </row>
    <row r="83" spans="1:10" x14ac:dyDescent="0.25">
      <c r="A83">
        <v>9</v>
      </c>
      <c r="B83" t="b">
        <v>0</v>
      </c>
      <c r="C83" s="6">
        <v>46326.625</v>
      </c>
      <c r="D83" t="b">
        <v>0</v>
      </c>
      <c r="E83">
        <v>13</v>
      </c>
      <c r="G83">
        <v>3</v>
      </c>
      <c r="I83">
        <v>2</v>
      </c>
      <c r="J83">
        <v>3</v>
      </c>
    </row>
    <row r="84" spans="1:10" x14ac:dyDescent="0.25">
      <c r="A84">
        <v>9</v>
      </c>
      <c r="B84" t="b">
        <v>0</v>
      </c>
      <c r="C84" s="6">
        <v>46326.625</v>
      </c>
      <c r="D84" t="b">
        <v>0</v>
      </c>
      <c r="E84">
        <v>18</v>
      </c>
      <c r="G84">
        <v>4</v>
      </c>
      <c r="I84">
        <v>3</v>
      </c>
      <c r="J84">
        <v>3</v>
      </c>
    </row>
    <row r="85" spans="1:10" x14ac:dyDescent="0.25">
      <c r="A85">
        <v>9</v>
      </c>
      <c r="B85" t="b">
        <v>0</v>
      </c>
      <c r="C85" s="6">
        <v>46326.625</v>
      </c>
      <c r="D85" t="b">
        <v>0</v>
      </c>
      <c r="E85">
        <v>20</v>
      </c>
      <c r="G85">
        <v>7</v>
      </c>
      <c r="I85">
        <v>2</v>
      </c>
      <c r="J85">
        <v>2</v>
      </c>
    </row>
    <row r="86" spans="1:10" x14ac:dyDescent="0.25">
      <c r="A86">
        <v>9</v>
      </c>
      <c r="B86" t="b">
        <v>0</v>
      </c>
      <c r="C86" s="6">
        <v>46326.625</v>
      </c>
      <c r="D86" t="b">
        <v>0</v>
      </c>
      <c r="E86">
        <v>12</v>
      </c>
      <c r="G86">
        <v>11</v>
      </c>
      <c r="I86">
        <v>2</v>
      </c>
      <c r="J86">
        <v>2</v>
      </c>
    </row>
    <row r="87" spans="1:10" x14ac:dyDescent="0.25">
      <c r="A87">
        <v>9</v>
      </c>
      <c r="B87" t="b">
        <v>0</v>
      </c>
      <c r="C87" s="6">
        <v>46326.625</v>
      </c>
      <c r="D87" t="b">
        <v>0</v>
      </c>
      <c r="E87">
        <v>5</v>
      </c>
      <c r="G87">
        <v>15</v>
      </c>
      <c r="I87">
        <v>2</v>
      </c>
      <c r="J87">
        <v>5</v>
      </c>
    </row>
    <row r="88" spans="1:10" x14ac:dyDescent="0.25">
      <c r="A88">
        <v>9</v>
      </c>
      <c r="B88" t="b">
        <v>0</v>
      </c>
      <c r="C88" s="6">
        <v>46326.729166666664</v>
      </c>
      <c r="D88" t="b">
        <v>0</v>
      </c>
      <c r="E88">
        <v>8</v>
      </c>
      <c r="G88">
        <v>19</v>
      </c>
      <c r="I88">
        <v>3</v>
      </c>
      <c r="J88">
        <v>3</v>
      </c>
    </row>
    <row r="89" spans="1:10" x14ac:dyDescent="0.25">
      <c r="A89">
        <v>9</v>
      </c>
      <c r="B89" t="b">
        <v>0</v>
      </c>
      <c r="C89" s="6">
        <v>46326.833333333336</v>
      </c>
      <c r="D89" t="b">
        <v>0</v>
      </c>
      <c r="E89">
        <v>10</v>
      </c>
      <c r="G89">
        <v>2</v>
      </c>
      <c r="I89">
        <v>2</v>
      </c>
      <c r="J89">
        <v>4</v>
      </c>
    </row>
    <row r="90" spans="1:10" x14ac:dyDescent="0.25">
      <c r="A90">
        <v>9</v>
      </c>
      <c r="B90" t="b">
        <v>0</v>
      </c>
      <c r="C90" s="6">
        <v>46327.6875</v>
      </c>
      <c r="D90" t="b">
        <v>0</v>
      </c>
      <c r="E90">
        <v>1</v>
      </c>
      <c r="G90">
        <v>14</v>
      </c>
      <c r="I90">
        <v>4</v>
      </c>
      <c r="J90">
        <v>4</v>
      </c>
    </row>
    <row r="91" spans="1:10" x14ac:dyDescent="0.25">
      <c r="A91">
        <v>9</v>
      </c>
      <c r="B91" t="b">
        <v>0</v>
      </c>
      <c r="C91" s="6">
        <v>46328.833333333336</v>
      </c>
      <c r="D91" t="b">
        <v>0</v>
      </c>
      <c r="E91">
        <v>9</v>
      </c>
      <c r="G91">
        <v>17</v>
      </c>
      <c r="I91">
        <v>3</v>
      </c>
      <c r="J91">
        <v>3</v>
      </c>
    </row>
    <row r="92" spans="1:10" x14ac:dyDescent="0.25">
      <c r="A92">
        <v>10</v>
      </c>
      <c r="B92" t="b">
        <v>0</v>
      </c>
      <c r="C92" s="6">
        <v>46333.625</v>
      </c>
      <c r="D92" t="b">
        <v>0</v>
      </c>
      <c r="E92">
        <v>11</v>
      </c>
      <c r="G92">
        <v>1</v>
      </c>
      <c r="I92">
        <v>2</v>
      </c>
      <c r="J92">
        <v>5</v>
      </c>
    </row>
    <row r="93" spans="1:10" x14ac:dyDescent="0.25">
      <c r="A93">
        <v>10</v>
      </c>
      <c r="B93" t="b">
        <v>0</v>
      </c>
      <c r="C93" s="6">
        <v>46333.625</v>
      </c>
      <c r="D93" t="b">
        <v>0</v>
      </c>
      <c r="E93">
        <v>4</v>
      </c>
      <c r="G93">
        <v>5</v>
      </c>
      <c r="I93">
        <v>3</v>
      </c>
      <c r="J93">
        <v>3</v>
      </c>
    </row>
    <row r="94" spans="1:10" x14ac:dyDescent="0.25">
      <c r="A94">
        <v>10</v>
      </c>
      <c r="B94" t="b">
        <v>0</v>
      </c>
      <c r="C94" s="6">
        <v>46333.625</v>
      </c>
      <c r="D94" t="b">
        <v>0</v>
      </c>
      <c r="E94">
        <v>14</v>
      </c>
      <c r="G94">
        <v>8</v>
      </c>
      <c r="I94">
        <v>4</v>
      </c>
      <c r="J94">
        <v>3</v>
      </c>
    </row>
    <row r="95" spans="1:10" x14ac:dyDescent="0.25">
      <c r="A95">
        <v>10</v>
      </c>
      <c r="B95" t="b">
        <v>0</v>
      </c>
      <c r="C95" s="6">
        <v>46333.625</v>
      </c>
      <c r="D95" t="b">
        <v>0</v>
      </c>
      <c r="E95">
        <v>7</v>
      </c>
      <c r="G95">
        <v>9</v>
      </c>
      <c r="I95">
        <v>2</v>
      </c>
      <c r="J95">
        <v>3</v>
      </c>
    </row>
    <row r="96" spans="1:10" x14ac:dyDescent="0.25">
      <c r="A96">
        <v>10</v>
      </c>
      <c r="B96" t="b">
        <v>0</v>
      </c>
      <c r="C96" s="6">
        <v>46333.625</v>
      </c>
      <c r="D96" t="b">
        <v>0</v>
      </c>
      <c r="E96">
        <v>17</v>
      </c>
      <c r="G96">
        <v>10</v>
      </c>
      <c r="I96">
        <v>2</v>
      </c>
      <c r="J96">
        <v>3</v>
      </c>
    </row>
    <row r="97" spans="1:10" x14ac:dyDescent="0.25">
      <c r="A97">
        <v>10</v>
      </c>
      <c r="B97" t="b">
        <v>0</v>
      </c>
      <c r="C97" s="6">
        <v>46333.625</v>
      </c>
      <c r="D97" t="b">
        <v>0</v>
      </c>
      <c r="E97">
        <v>3</v>
      </c>
      <c r="G97">
        <v>12</v>
      </c>
      <c r="I97">
        <v>3</v>
      </c>
      <c r="J97">
        <v>2</v>
      </c>
    </row>
    <row r="98" spans="1:10" x14ac:dyDescent="0.25">
      <c r="A98">
        <v>10</v>
      </c>
      <c r="B98" t="b">
        <v>0</v>
      </c>
      <c r="C98" s="6">
        <v>46333.625</v>
      </c>
      <c r="D98" t="b">
        <v>0</v>
      </c>
      <c r="E98">
        <v>19</v>
      </c>
      <c r="G98">
        <v>13</v>
      </c>
      <c r="I98">
        <v>3</v>
      </c>
      <c r="J98">
        <v>3</v>
      </c>
    </row>
    <row r="99" spans="1:10" x14ac:dyDescent="0.25">
      <c r="A99">
        <v>10</v>
      </c>
      <c r="B99" t="b">
        <v>0</v>
      </c>
      <c r="C99" s="6">
        <v>46333.625</v>
      </c>
      <c r="D99" t="b">
        <v>0</v>
      </c>
      <c r="E99">
        <v>2</v>
      </c>
      <c r="G99">
        <v>16</v>
      </c>
      <c r="I99">
        <v>3</v>
      </c>
      <c r="J99">
        <v>4</v>
      </c>
    </row>
    <row r="100" spans="1:10" x14ac:dyDescent="0.25">
      <c r="A100">
        <v>10</v>
      </c>
      <c r="B100" t="b">
        <v>0</v>
      </c>
      <c r="C100" s="6">
        <v>46333.625</v>
      </c>
      <c r="D100" t="b">
        <v>0</v>
      </c>
      <c r="E100">
        <v>15</v>
      </c>
      <c r="G100">
        <v>18</v>
      </c>
      <c r="I100">
        <v>4</v>
      </c>
      <c r="J100">
        <v>3</v>
      </c>
    </row>
    <row r="101" spans="1:10" x14ac:dyDescent="0.25">
      <c r="A101">
        <v>10</v>
      </c>
      <c r="B101" t="b">
        <v>0</v>
      </c>
      <c r="C101" s="6">
        <v>46333.625</v>
      </c>
      <c r="D101" t="b">
        <v>0</v>
      </c>
      <c r="E101">
        <v>6</v>
      </c>
      <c r="G101">
        <v>20</v>
      </c>
      <c r="I101">
        <v>4</v>
      </c>
      <c r="J101">
        <v>3</v>
      </c>
    </row>
    <row r="102" spans="1:10" x14ac:dyDescent="0.25">
      <c r="A102">
        <v>11</v>
      </c>
      <c r="B102" t="b">
        <v>0</v>
      </c>
      <c r="C102" s="6">
        <v>46347.625</v>
      </c>
      <c r="D102" t="b">
        <v>0</v>
      </c>
      <c r="E102">
        <v>20</v>
      </c>
      <c r="G102">
        <v>2</v>
      </c>
      <c r="I102">
        <v>2</v>
      </c>
      <c r="J102">
        <v>4</v>
      </c>
    </row>
    <row r="103" spans="1:10" x14ac:dyDescent="0.25">
      <c r="A103">
        <v>11</v>
      </c>
      <c r="B103" t="b">
        <v>0</v>
      </c>
      <c r="C103" s="6">
        <v>46347.625</v>
      </c>
      <c r="D103" t="b">
        <v>0</v>
      </c>
      <c r="E103">
        <v>18</v>
      </c>
      <c r="G103">
        <v>3</v>
      </c>
      <c r="I103">
        <v>3</v>
      </c>
      <c r="J103">
        <v>3</v>
      </c>
    </row>
    <row r="104" spans="1:10" x14ac:dyDescent="0.25">
      <c r="A104">
        <v>11</v>
      </c>
      <c r="B104" t="b">
        <v>0</v>
      </c>
      <c r="C104" s="6">
        <v>46347.625</v>
      </c>
      <c r="D104" t="b">
        <v>0</v>
      </c>
      <c r="E104">
        <v>9</v>
      </c>
      <c r="G104">
        <v>4</v>
      </c>
      <c r="I104">
        <v>3</v>
      </c>
      <c r="J104">
        <v>3</v>
      </c>
    </row>
    <row r="105" spans="1:10" x14ac:dyDescent="0.25">
      <c r="A105">
        <v>11</v>
      </c>
      <c r="B105" t="b">
        <v>0</v>
      </c>
      <c r="C105" s="6">
        <v>46347.625</v>
      </c>
      <c r="D105" t="b">
        <v>0</v>
      </c>
      <c r="E105">
        <v>13</v>
      </c>
      <c r="G105">
        <v>6</v>
      </c>
      <c r="I105">
        <v>2</v>
      </c>
      <c r="J105">
        <v>4</v>
      </c>
    </row>
    <row r="106" spans="1:10" x14ac:dyDescent="0.25">
      <c r="A106">
        <v>11</v>
      </c>
      <c r="B106" t="b">
        <v>0</v>
      </c>
      <c r="C106" s="6">
        <v>46347.625</v>
      </c>
      <c r="D106" t="b">
        <v>0</v>
      </c>
      <c r="E106">
        <v>8</v>
      </c>
      <c r="G106">
        <v>7</v>
      </c>
      <c r="I106">
        <v>3</v>
      </c>
      <c r="J106">
        <v>2</v>
      </c>
    </row>
    <row r="107" spans="1:10" x14ac:dyDescent="0.25">
      <c r="A107">
        <v>11</v>
      </c>
      <c r="B107" t="b">
        <v>0</v>
      </c>
      <c r="C107" s="6">
        <v>46347.625</v>
      </c>
      <c r="D107" t="b">
        <v>0</v>
      </c>
      <c r="E107">
        <v>5</v>
      </c>
      <c r="G107">
        <v>11</v>
      </c>
      <c r="I107">
        <v>2</v>
      </c>
      <c r="J107">
        <v>2</v>
      </c>
    </row>
    <row r="108" spans="1:10" x14ac:dyDescent="0.25">
      <c r="A108">
        <v>11</v>
      </c>
      <c r="B108" t="b">
        <v>0</v>
      </c>
      <c r="C108" s="6">
        <v>46347.625</v>
      </c>
      <c r="D108" t="b">
        <v>0</v>
      </c>
      <c r="E108">
        <v>16</v>
      </c>
      <c r="G108">
        <v>14</v>
      </c>
      <c r="I108">
        <v>4</v>
      </c>
      <c r="J108">
        <v>4</v>
      </c>
    </row>
    <row r="109" spans="1:10" x14ac:dyDescent="0.25">
      <c r="A109">
        <v>11</v>
      </c>
      <c r="B109" t="b">
        <v>0</v>
      </c>
      <c r="C109" s="6">
        <v>46347.625</v>
      </c>
      <c r="D109" t="b">
        <v>0</v>
      </c>
      <c r="E109">
        <v>10</v>
      </c>
      <c r="G109">
        <v>15</v>
      </c>
      <c r="I109">
        <v>2</v>
      </c>
      <c r="J109">
        <v>5</v>
      </c>
    </row>
    <row r="110" spans="1:10" x14ac:dyDescent="0.25">
      <c r="A110">
        <v>11</v>
      </c>
      <c r="B110" t="b">
        <v>0</v>
      </c>
      <c r="C110" s="6">
        <v>46347.625</v>
      </c>
      <c r="D110" t="b">
        <v>0</v>
      </c>
      <c r="E110">
        <v>1</v>
      </c>
      <c r="G110">
        <v>17</v>
      </c>
      <c r="I110">
        <v>4</v>
      </c>
      <c r="J110">
        <v>3</v>
      </c>
    </row>
    <row r="111" spans="1:10" x14ac:dyDescent="0.25">
      <c r="A111">
        <v>11</v>
      </c>
      <c r="B111" t="b">
        <v>0</v>
      </c>
      <c r="C111" s="6">
        <v>46347.625</v>
      </c>
      <c r="D111" t="b">
        <v>0</v>
      </c>
      <c r="E111">
        <v>12</v>
      </c>
      <c r="G111">
        <v>19</v>
      </c>
      <c r="I111">
        <v>2</v>
      </c>
      <c r="J111">
        <v>3</v>
      </c>
    </row>
    <row r="112" spans="1:10" x14ac:dyDescent="0.25">
      <c r="A112">
        <v>12</v>
      </c>
      <c r="B112" t="b">
        <v>0</v>
      </c>
      <c r="C112" s="6">
        <v>46354.625</v>
      </c>
      <c r="D112" t="b">
        <v>0</v>
      </c>
      <c r="E112">
        <v>15</v>
      </c>
      <c r="G112">
        <v>1</v>
      </c>
      <c r="I112">
        <v>4</v>
      </c>
      <c r="J112">
        <v>5</v>
      </c>
    </row>
    <row r="113" spans="1:10" x14ac:dyDescent="0.25">
      <c r="A113">
        <v>12</v>
      </c>
      <c r="B113" t="b">
        <v>0</v>
      </c>
      <c r="C113" s="6">
        <v>46354.625</v>
      </c>
      <c r="D113" t="b">
        <v>0</v>
      </c>
      <c r="E113">
        <v>17</v>
      </c>
      <c r="G113">
        <v>5</v>
      </c>
      <c r="I113">
        <v>2</v>
      </c>
      <c r="J113">
        <v>3</v>
      </c>
    </row>
    <row r="114" spans="1:10" x14ac:dyDescent="0.25">
      <c r="A114">
        <v>12</v>
      </c>
      <c r="B114" t="b">
        <v>0</v>
      </c>
      <c r="C114" s="6">
        <v>46354.625</v>
      </c>
      <c r="D114" t="b">
        <v>0</v>
      </c>
      <c r="E114">
        <v>11</v>
      </c>
      <c r="G114">
        <v>8</v>
      </c>
      <c r="I114">
        <v>2</v>
      </c>
      <c r="J114">
        <v>3</v>
      </c>
    </row>
    <row r="115" spans="1:10" x14ac:dyDescent="0.25">
      <c r="A115">
        <v>12</v>
      </c>
      <c r="B115" t="b">
        <v>0</v>
      </c>
      <c r="C115" s="6">
        <v>46354.625</v>
      </c>
      <c r="D115" t="b">
        <v>0</v>
      </c>
      <c r="E115">
        <v>14</v>
      </c>
      <c r="G115">
        <v>9</v>
      </c>
      <c r="I115">
        <v>4</v>
      </c>
      <c r="J115">
        <v>3</v>
      </c>
    </row>
    <row r="116" spans="1:10" x14ac:dyDescent="0.25">
      <c r="A116">
        <v>12</v>
      </c>
      <c r="B116" t="b">
        <v>0</v>
      </c>
      <c r="C116" s="6">
        <v>46354.625</v>
      </c>
      <c r="D116" t="b">
        <v>0</v>
      </c>
      <c r="E116">
        <v>3</v>
      </c>
      <c r="G116">
        <v>10</v>
      </c>
      <c r="I116">
        <v>3</v>
      </c>
      <c r="J116">
        <v>3</v>
      </c>
    </row>
    <row r="117" spans="1:10" x14ac:dyDescent="0.25">
      <c r="A117">
        <v>12</v>
      </c>
      <c r="B117" t="b">
        <v>0</v>
      </c>
      <c r="C117" s="6">
        <v>46354.625</v>
      </c>
      <c r="D117" t="b">
        <v>0</v>
      </c>
      <c r="E117">
        <v>2</v>
      </c>
      <c r="G117">
        <v>12</v>
      </c>
      <c r="I117">
        <v>3</v>
      </c>
      <c r="J117">
        <v>2</v>
      </c>
    </row>
    <row r="118" spans="1:10" x14ac:dyDescent="0.25">
      <c r="A118">
        <v>12</v>
      </c>
      <c r="B118" t="b">
        <v>0</v>
      </c>
      <c r="C118" s="6">
        <v>46354.625</v>
      </c>
      <c r="D118" t="b">
        <v>0</v>
      </c>
      <c r="E118">
        <v>7</v>
      </c>
      <c r="G118">
        <v>13</v>
      </c>
      <c r="I118">
        <v>2</v>
      </c>
      <c r="J118">
        <v>3</v>
      </c>
    </row>
    <row r="119" spans="1:10" x14ac:dyDescent="0.25">
      <c r="A119">
        <v>12</v>
      </c>
      <c r="B119" t="b">
        <v>0</v>
      </c>
      <c r="C119" s="6">
        <v>46354.625</v>
      </c>
      <c r="D119" t="b">
        <v>0</v>
      </c>
      <c r="E119">
        <v>4</v>
      </c>
      <c r="G119">
        <v>16</v>
      </c>
      <c r="I119">
        <v>3</v>
      </c>
      <c r="J119">
        <v>4</v>
      </c>
    </row>
    <row r="120" spans="1:10" x14ac:dyDescent="0.25">
      <c r="A120">
        <v>12</v>
      </c>
      <c r="B120" t="b">
        <v>0</v>
      </c>
      <c r="C120" s="6">
        <v>46354.625</v>
      </c>
      <c r="D120" t="b">
        <v>0</v>
      </c>
      <c r="E120">
        <v>6</v>
      </c>
      <c r="G120">
        <v>18</v>
      </c>
      <c r="I120">
        <v>4</v>
      </c>
      <c r="J120">
        <v>3</v>
      </c>
    </row>
    <row r="121" spans="1:10" x14ac:dyDescent="0.25">
      <c r="A121">
        <v>12</v>
      </c>
      <c r="B121" t="b">
        <v>0</v>
      </c>
      <c r="C121" s="6">
        <v>46354.625</v>
      </c>
      <c r="D121" t="b">
        <v>0</v>
      </c>
      <c r="E121">
        <v>19</v>
      </c>
      <c r="G121">
        <v>20</v>
      </c>
      <c r="I121">
        <v>3</v>
      </c>
      <c r="J121">
        <v>3</v>
      </c>
    </row>
    <row r="122" spans="1:10" x14ac:dyDescent="0.25">
      <c r="A122">
        <v>13</v>
      </c>
      <c r="B122" t="b">
        <v>0</v>
      </c>
      <c r="C122" s="6">
        <v>46358.833333333336</v>
      </c>
      <c r="D122" t="b">
        <v>0</v>
      </c>
      <c r="E122">
        <v>9</v>
      </c>
      <c r="G122">
        <v>2</v>
      </c>
      <c r="I122">
        <v>3</v>
      </c>
      <c r="J122">
        <v>4</v>
      </c>
    </row>
    <row r="123" spans="1:10" x14ac:dyDescent="0.25">
      <c r="A123">
        <v>13</v>
      </c>
      <c r="B123" t="b">
        <v>0</v>
      </c>
      <c r="C123" s="6">
        <v>46358.833333333336</v>
      </c>
      <c r="D123" t="b">
        <v>0</v>
      </c>
      <c r="E123">
        <v>5</v>
      </c>
      <c r="G123">
        <v>3</v>
      </c>
      <c r="I123">
        <v>2</v>
      </c>
      <c r="J123">
        <v>3</v>
      </c>
    </row>
    <row r="124" spans="1:10" x14ac:dyDescent="0.25">
      <c r="A124">
        <v>13</v>
      </c>
      <c r="B124" t="b">
        <v>0</v>
      </c>
      <c r="C124" s="6">
        <v>46358.833333333336</v>
      </c>
      <c r="D124" t="b">
        <v>0</v>
      </c>
      <c r="E124">
        <v>1</v>
      </c>
      <c r="G124">
        <v>4</v>
      </c>
      <c r="I124">
        <v>4</v>
      </c>
      <c r="J124">
        <v>3</v>
      </c>
    </row>
    <row r="125" spans="1:10" x14ac:dyDescent="0.25">
      <c r="A125">
        <v>13</v>
      </c>
      <c r="B125" t="b">
        <v>0</v>
      </c>
      <c r="C125" s="6">
        <v>46358.833333333336</v>
      </c>
      <c r="D125" t="b">
        <v>0</v>
      </c>
      <c r="E125">
        <v>8</v>
      </c>
      <c r="G125">
        <v>6</v>
      </c>
      <c r="I125">
        <v>3</v>
      </c>
      <c r="J125">
        <v>4</v>
      </c>
    </row>
    <row r="126" spans="1:10" x14ac:dyDescent="0.25">
      <c r="A126">
        <v>13</v>
      </c>
      <c r="B126" t="b">
        <v>0</v>
      </c>
      <c r="C126" s="6">
        <v>46358.833333333336</v>
      </c>
      <c r="D126" t="b">
        <v>0</v>
      </c>
      <c r="E126">
        <v>12</v>
      </c>
      <c r="G126">
        <v>7</v>
      </c>
      <c r="I126">
        <v>2</v>
      </c>
      <c r="J126">
        <v>2</v>
      </c>
    </row>
    <row r="127" spans="1:10" x14ac:dyDescent="0.25">
      <c r="A127">
        <v>13</v>
      </c>
      <c r="B127" t="b">
        <v>0</v>
      </c>
      <c r="C127" s="6">
        <v>46358.833333333336</v>
      </c>
      <c r="D127" t="b">
        <v>0</v>
      </c>
      <c r="E127">
        <v>18</v>
      </c>
      <c r="G127">
        <v>11</v>
      </c>
      <c r="I127">
        <v>3</v>
      </c>
      <c r="J127">
        <v>2</v>
      </c>
    </row>
    <row r="128" spans="1:10" x14ac:dyDescent="0.25">
      <c r="A128">
        <v>13</v>
      </c>
      <c r="B128" t="b">
        <v>0</v>
      </c>
      <c r="C128" s="6">
        <v>46358.833333333336</v>
      </c>
      <c r="D128" t="b">
        <v>0</v>
      </c>
      <c r="E128">
        <v>20</v>
      </c>
      <c r="G128">
        <v>14</v>
      </c>
      <c r="I128">
        <v>2</v>
      </c>
      <c r="J128">
        <v>4</v>
      </c>
    </row>
    <row r="129" spans="1:10" x14ac:dyDescent="0.25">
      <c r="A129">
        <v>13</v>
      </c>
      <c r="B129" t="b">
        <v>0</v>
      </c>
      <c r="C129" s="6">
        <v>46358.833333333336</v>
      </c>
      <c r="D129" t="b">
        <v>0</v>
      </c>
      <c r="E129">
        <v>13</v>
      </c>
      <c r="G129">
        <v>15</v>
      </c>
      <c r="I129">
        <v>2</v>
      </c>
      <c r="J129">
        <v>5</v>
      </c>
    </row>
    <row r="130" spans="1:10" x14ac:dyDescent="0.25">
      <c r="A130">
        <v>13</v>
      </c>
      <c r="B130" t="b">
        <v>0</v>
      </c>
      <c r="C130" s="6">
        <v>46358.833333333336</v>
      </c>
      <c r="D130" t="b">
        <v>0</v>
      </c>
      <c r="E130">
        <v>16</v>
      </c>
      <c r="G130">
        <v>17</v>
      </c>
      <c r="I130">
        <v>4</v>
      </c>
      <c r="J130">
        <v>3</v>
      </c>
    </row>
    <row r="131" spans="1:10" x14ac:dyDescent="0.25">
      <c r="A131">
        <v>13</v>
      </c>
      <c r="B131" t="b">
        <v>0</v>
      </c>
      <c r="C131" s="6">
        <v>46358.833333333336</v>
      </c>
      <c r="D131" t="b">
        <v>0</v>
      </c>
      <c r="E131">
        <v>10</v>
      </c>
      <c r="G131">
        <v>19</v>
      </c>
      <c r="I131">
        <v>2</v>
      </c>
      <c r="J131">
        <v>3</v>
      </c>
    </row>
    <row r="132" spans="1:10" x14ac:dyDescent="0.25">
      <c r="A132">
        <v>14</v>
      </c>
      <c r="B132" t="b">
        <v>0</v>
      </c>
      <c r="C132" s="6">
        <v>46361.625</v>
      </c>
      <c r="D132" t="b">
        <v>0</v>
      </c>
      <c r="E132">
        <v>8</v>
      </c>
      <c r="G132">
        <v>2</v>
      </c>
      <c r="I132">
        <v>3</v>
      </c>
      <c r="J132">
        <v>4</v>
      </c>
    </row>
    <row r="133" spans="1:10" x14ac:dyDescent="0.25">
      <c r="A133">
        <v>14</v>
      </c>
      <c r="B133" t="b">
        <v>0</v>
      </c>
      <c r="C133" s="6">
        <v>46361.625</v>
      </c>
      <c r="D133" t="b">
        <v>0</v>
      </c>
      <c r="E133">
        <v>11</v>
      </c>
      <c r="G133">
        <v>3</v>
      </c>
      <c r="I133">
        <v>2</v>
      </c>
      <c r="J133">
        <v>3</v>
      </c>
    </row>
    <row r="134" spans="1:10" x14ac:dyDescent="0.25">
      <c r="A134">
        <v>14</v>
      </c>
      <c r="B134" t="b">
        <v>0</v>
      </c>
      <c r="C134" s="6">
        <v>46361.625</v>
      </c>
      <c r="D134" t="b">
        <v>0</v>
      </c>
      <c r="E134">
        <v>15</v>
      </c>
      <c r="G134">
        <v>4</v>
      </c>
      <c r="I134">
        <v>4</v>
      </c>
      <c r="J134">
        <v>3</v>
      </c>
    </row>
    <row r="135" spans="1:10" x14ac:dyDescent="0.25">
      <c r="A135">
        <v>14</v>
      </c>
      <c r="B135" t="b">
        <v>0</v>
      </c>
      <c r="C135" s="6">
        <v>46361.625</v>
      </c>
      <c r="D135" t="b">
        <v>0</v>
      </c>
      <c r="E135">
        <v>14</v>
      </c>
      <c r="G135">
        <v>6</v>
      </c>
      <c r="I135">
        <v>4</v>
      </c>
      <c r="J135">
        <v>4</v>
      </c>
    </row>
    <row r="136" spans="1:10" x14ac:dyDescent="0.25">
      <c r="A136">
        <v>14</v>
      </c>
      <c r="B136" t="b">
        <v>0</v>
      </c>
      <c r="C136" s="6">
        <v>46361.625</v>
      </c>
      <c r="D136" t="b">
        <v>0</v>
      </c>
      <c r="E136">
        <v>10</v>
      </c>
      <c r="G136">
        <v>9</v>
      </c>
      <c r="I136">
        <v>2</v>
      </c>
      <c r="J136">
        <v>3</v>
      </c>
    </row>
    <row r="137" spans="1:10" x14ac:dyDescent="0.25">
      <c r="A137">
        <v>14</v>
      </c>
      <c r="B137" t="b">
        <v>0</v>
      </c>
      <c r="C137" s="6">
        <v>46361.625</v>
      </c>
      <c r="D137" t="b">
        <v>0</v>
      </c>
      <c r="E137">
        <v>12</v>
      </c>
      <c r="G137">
        <v>13</v>
      </c>
      <c r="I137">
        <v>2</v>
      </c>
      <c r="J137">
        <v>3</v>
      </c>
    </row>
    <row r="138" spans="1:10" x14ac:dyDescent="0.25">
      <c r="A138">
        <v>14</v>
      </c>
      <c r="B138" t="b">
        <v>0</v>
      </c>
      <c r="C138" s="6">
        <v>46361.625</v>
      </c>
      <c r="D138" t="b">
        <v>0</v>
      </c>
      <c r="E138">
        <v>7</v>
      </c>
      <c r="G138">
        <v>16</v>
      </c>
      <c r="I138">
        <v>2</v>
      </c>
      <c r="J138">
        <v>4</v>
      </c>
    </row>
    <row r="139" spans="1:10" x14ac:dyDescent="0.25">
      <c r="A139">
        <v>14</v>
      </c>
      <c r="B139" t="b">
        <v>0</v>
      </c>
      <c r="C139" s="6">
        <v>46361.625</v>
      </c>
      <c r="D139" t="b">
        <v>0</v>
      </c>
      <c r="E139">
        <v>20</v>
      </c>
      <c r="G139">
        <v>17</v>
      </c>
      <c r="I139">
        <v>2</v>
      </c>
      <c r="J139">
        <v>3</v>
      </c>
    </row>
    <row r="140" spans="1:10" x14ac:dyDescent="0.25">
      <c r="A140">
        <v>14</v>
      </c>
      <c r="B140" t="b">
        <v>0</v>
      </c>
      <c r="C140" s="6">
        <v>46361.625</v>
      </c>
      <c r="D140" t="b">
        <v>0</v>
      </c>
      <c r="E140">
        <v>5</v>
      </c>
      <c r="G140">
        <v>18</v>
      </c>
      <c r="I140">
        <v>2</v>
      </c>
      <c r="J140">
        <v>3</v>
      </c>
    </row>
    <row r="141" spans="1:10" x14ac:dyDescent="0.25">
      <c r="A141">
        <v>14</v>
      </c>
      <c r="B141" t="b">
        <v>0</v>
      </c>
      <c r="C141" s="6">
        <v>46361.625</v>
      </c>
      <c r="D141" t="b">
        <v>0</v>
      </c>
      <c r="E141">
        <v>1</v>
      </c>
      <c r="G141">
        <v>19</v>
      </c>
      <c r="I141">
        <v>4</v>
      </c>
      <c r="J141">
        <v>3</v>
      </c>
    </row>
    <row r="142" spans="1:10" x14ac:dyDescent="0.25">
      <c r="A142">
        <v>15</v>
      </c>
      <c r="B142" t="b">
        <v>0</v>
      </c>
      <c r="C142" s="6">
        <v>46368.625</v>
      </c>
      <c r="D142" t="b">
        <v>0</v>
      </c>
      <c r="E142">
        <v>3</v>
      </c>
      <c r="G142">
        <v>1</v>
      </c>
      <c r="I142">
        <v>3</v>
      </c>
      <c r="J142">
        <v>5</v>
      </c>
    </row>
    <row r="143" spans="1:10" x14ac:dyDescent="0.25">
      <c r="A143">
        <v>15</v>
      </c>
      <c r="B143" t="b">
        <v>0</v>
      </c>
      <c r="C143" s="6">
        <v>46368.625</v>
      </c>
      <c r="D143" t="b">
        <v>0</v>
      </c>
      <c r="E143">
        <v>9</v>
      </c>
      <c r="G143">
        <v>5</v>
      </c>
      <c r="I143">
        <v>3</v>
      </c>
      <c r="J143">
        <v>3</v>
      </c>
    </row>
    <row r="144" spans="1:10" x14ac:dyDescent="0.25">
      <c r="A144">
        <v>15</v>
      </c>
      <c r="B144" t="b">
        <v>0</v>
      </c>
      <c r="C144" s="6">
        <v>46368.625</v>
      </c>
      <c r="D144" t="b">
        <v>0</v>
      </c>
      <c r="E144">
        <v>2</v>
      </c>
      <c r="G144">
        <v>7</v>
      </c>
      <c r="I144">
        <v>3</v>
      </c>
      <c r="J144">
        <v>2</v>
      </c>
    </row>
    <row r="145" spans="1:10" x14ac:dyDescent="0.25">
      <c r="A145">
        <v>15</v>
      </c>
      <c r="B145" t="b">
        <v>0</v>
      </c>
      <c r="C145" s="6">
        <v>46368.625</v>
      </c>
      <c r="D145" t="b">
        <v>0</v>
      </c>
      <c r="E145">
        <v>16</v>
      </c>
      <c r="G145">
        <v>8</v>
      </c>
      <c r="I145">
        <v>4</v>
      </c>
      <c r="J145">
        <v>3</v>
      </c>
    </row>
    <row r="146" spans="1:10" x14ac:dyDescent="0.25">
      <c r="A146">
        <v>15</v>
      </c>
      <c r="B146" t="b">
        <v>0</v>
      </c>
      <c r="C146" s="6">
        <v>46368.625</v>
      </c>
      <c r="D146" t="b">
        <v>0</v>
      </c>
      <c r="E146">
        <v>4</v>
      </c>
      <c r="G146">
        <v>10</v>
      </c>
      <c r="I146">
        <v>3</v>
      </c>
      <c r="J146">
        <v>3</v>
      </c>
    </row>
    <row r="147" spans="1:10" x14ac:dyDescent="0.25">
      <c r="A147">
        <v>15</v>
      </c>
      <c r="B147" t="b">
        <v>0</v>
      </c>
      <c r="C147" s="6">
        <v>46368.625</v>
      </c>
      <c r="D147" t="b">
        <v>0</v>
      </c>
      <c r="E147">
        <v>19</v>
      </c>
      <c r="G147">
        <v>11</v>
      </c>
      <c r="I147">
        <v>3</v>
      </c>
      <c r="J147">
        <v>2</v>
      </c>
    </row>
    <row r="148" spans="1:10" x14ac:dyDescent="0.25">
      <c r="A148">
        <v>15</v>
      </c>
      <c r="B148" t="b">
        <v>0</v>
      </c>
      <c r="C148" s="6">
        <v>46368.625</v>
      </c>
      <c r="D148" t="b">
        <v>0</v>
      </c>
      <c r="E148">
        <v>17</v>
      </c>
      <c r="G148">
        <v>12</v>
      </c>
      <c r="I148">
        <v>2</v>
      </c>
      <c r="J148">
        <v>2</v>
      </c>
    </row>
    <row r="149" spans="1:10" x14ac:dyDescent="0.25">
      <c r="A149">
        <v>15</v>
      </c>
      <c r="B149" t="b">
        <v>0</v>
      </c>
      <c r="C149" s="6">
        <v>46368.625</v>
      </c>
      <c r="D149" t="b">
        <v>0</v>
      </c>
      <c r="E149">
        <v>13</v>
      </c>
      <c r="G149">
        <v>14</v>
      </c>
      <c r="I149">
        <v>2</v>
      </c>
      <c r="J149">
        <v>4</v>
      </c>
    </row>
    <row r="150" spans="1:10" x14ac:dyDescent="0.25">
      <c r="A150">
        <v>15</v>
      </c>
      <c r="B150" t="b">
        <v>0</v>
      </c>
      <c r="C150" s="6">
        <v>46368.625</v>
      </c>
      <c r="D150" t="b">
        <v>0</v>
      </c>
      <c r="E150">
        <v>6</v>
      </c>
      <c r="G150">
        <v>15</v>
      </c>
      <c r="I150">
        <v>4</v>
      </c>
      <c r="J150">
        <v>5</v>
      </c>
    </row>
    <row r="151" spans="1:10" x14ac:dyDescent="0.25">
      <c r="A151">
        <v>15</v>
      </c>
      <c r="B151" t="b">
        <v>0</v>
      </c>
      <c r="C151" s="6">
        <v>46368.625</v>
      </c>
      <c r="D151" t="b">
        <v>0</v>
      </c>
      <c r="E151">
        <v>18</v>
      </c>
      <c r="G151">
        <v>20</v>
      </c>
      <c r="I151">
        <v>3</v>
      </c>
      <c r="J151">
        <v>3</v>
      </c>
    </row>
    <row r="152" spans="1:10" x14ac:dyDescent="0.25">
      <c r="A152">
        <v>16</v>
      </c>
      <c r="B152" t="b">
        <v>0</v>
      </c>
      <c r="C152" s="6">
        <v>46375.625</v>
      </c>
      <c r="D152" t="b">
        <v>0</v>
      </c>
      <c r="E152">
        <v>16</v>
      </c>
      <c r="G152">
        <v>1</v>
      </c>
      <c r="I152">
        <v>4</v>
      </c>
      <c r="J152">
        <v>5</v>
      </c>
    </row>
    <row r="153" spans="1:10" x14ac:dyDescent="0.25">
      <c r="A153">
        <v>16</v>
      </c>
      <c r="B153" t="b">
        <v>0</v>
      </c>
      <c r="C153" s="6">
        <v>46375.625</v>
      </c>
      <c r="D153" t="b">
        <v>0</v>
      </c>
      <c r="E153">
        <v>7</v>
      </c>
      <c r="G153">
        <v>3</v>
      </c>
      <c r="I153">
        <v>2</v>
      </c>
      <c r="J153">
        <v>3</v>
      </c>
    </row>
    <row r="154" spans="1:10" x14ac:dyDescent="0.25">
      <c r="A154">
        <v>16</v>
      </c>
      <c r="B154" t="b">
        <v>0</v>
      </c>
      <c r="C154" s="6">
        <v>46375.625</v>
      </c>
      <c r="D154" t="b">
        <v>0</v>
      </c>
      <c r="E154">
        <v>17</v>
      </c>
      <c r="G154">
        <v>4</v>
      </c>
      <c r="I154">
        <v>2</v>
      </c>
      <c r="J154">
        <v>3</v>
      </c>
    </row>
    <row r="155" spans="1:10" x14ac:dyDescent="0.25">
      <c r="A155">
        <v>16</v>
      </c>
      <c r="B155" t="b">
        <v>0</v>
      </c>
      <c r="C155" s="6">
        <v>46375.625</v>
      </c>
      <c r="D155" t="b">
        <v>0</v>
      </c>
      <c r="E155">
        <v>12</v>
      </c>
      <c r="G155">
        <v>5</v>
      </c>
      <c r="I155">
        <v>2</v>
      </c>
      <c r="J155">
        <v>3</v>
      </c>
    </row>
    <row r="156" spans="1:10" x14ac:dyDescent="0.25">
      <c r="A156">
        <v>16</v>
      </c>
      <c r="B156" t="b">
        <v>0</v>
      </c>
      <c r="C156" s="6">
        <v>46375.625</v>
      </c>
      <c r="D156" t="b">
        <v>0</v>
      </c>
      <c r="E156">
        <v>2</v>
      </c>
      <c r="G156">
        <v>6</v>
      </c>
      <c r="I156">
        <v>3</v>
      </c>
      <c r="J156">
        <v>4</v>
      </c>
    </row>
    <row r="157" spans="1:10" x14ac:dyDescent="0.25">
      <c r="A157">
        <v>16</v>
      </c>
      <c r="B157" t="b">
        <v>0</v>
      </c>
      <c r="C157" s="6">
        <v>46375.625</v>
      </c>
      <c r="D157" t="b">
        <v>0</v>
      </c>
      <c r="E157">
        <v>10</v>
      </c>
      <c r="G157">
        <v>13</v>
      </c>
      <c r="I157">
        <v>2</v>
      </c>
      <c r="J157">
        <v>3</v>
      </c>
    </row>
    <row r="158" spans="1:10" x14ac:dyDescent="0.25">
      <c r="A158">
        <v>16</v>
      </c>
      <c r="B158" t="b">
        <v>0</v>
      </c>
      <c r="C158" s="6">
        <v>46375.625</v>
      </c>
      <c r="D158" t="b">
        <v>0</v>
      </c>
      <c r="E158">
        <v>19</v>
      </c>
      <c r="G158">
        <v>14</v>
      </c>
      <c r="I158">
        <v>3</v>
      </c>
      <c r="J158">
        <v>4</v>
      </c>
    </row>
    <row r="159" spans="1:10" x14ac:dyDescent="0.25">
      <c r="A159">
        <v>16</v>
      </c>
      <c r="B159" t="b">
        <v>0</v>
      </c>
      <c r="C159" s="6">
        <v>46375.625</v>
      </c>
      <c r="D159" t="b">
        <v>0</v>
      </c>
      <c r="E159">
        <v>11</v>
      </c>
      <c r="G159">
        <v>15</v>
      </c>
      <c r="I159">
        <v>2</v>
      </c>
      <c r="J159">
        <v>5</v>
      </c>
    </row>
    <row r="160" spans="1:10" x14ac:dyDescent="0.25">
      <c r="A160">
        <v>16</v>
      </c>
      <c r="B160" t="b">
        <v>0</v>
      </c>
      <c r="C160" s="6">
        <v>46375.625</v>
      </c>
      <c r="D160" t="b">
        <v>0</v>
      </c>
      <c r="E160">
        <v>9</v>
      </c>
      <c r="G160">
        <v>18</v>
      </c>
      <c r="I160">
        <v>3</v>
      </c>
      <c r="J160">
        <v>3</v>
      </c>
    </row>
    <row r="161" spans="1:10" x14ac:dyDescent="0.25">
      <c r="A161">
        <v>16</v>
      </c>
      <c r="B161" t="b">
        <v>0</v>
      </c>
      <c r="C161" s="6">
        <v>46375.625</v>
      </c>
      <c r="D161" t="b">
        <v>0</v>
      </c>
      <c r="E161">
        <v>8</v>
      </c>
      <c r="G161">
        <v>20</v>
      </c>
      <c r="I161">
        <v>3</v>
      </c>
      <c r="J161">
        <v>3</v>
      </c>
    </row>
    <row r="162" spans="1:10" x14ac:dyDescent="0.25">
      <c r="A162">
        <v>17</v>
      </c>
      <c r="B162" t="b">
        <v>0</v>
      </c>
      <c r="C162" s="6">
        <v>46382.625</v>
      </c>
      <c r="D162" t="b">
        <v>0</v>
      </c>
      <c r="E162">
        <v>13</v>
      </c>
      <c r="G162">
        <v>2</v>
      </c>
      <c r="I162">
        <v>2</v>
      </c>
      <c r="J162">
        <v>4</v>
      </c>
    </row>
    <row r="163" spans="1:10" x14ac:dyDescent="0.25">
      <c r="A163">
        <v>17</v>
      </c>
      <c r="B163" t="b">
        <v>0</v>
      </c>
      <c r="C163" s="6">
        <v>46382.625</v>
      </c>
      <c r="D163" t="b">
        <v>0</v>
      </c>
      <c r="E163">
        <v>6</v>
      </c>
      <c r="G163">
        <v>7</v>
      </c>
      <c r="I163">
        <v>4</v>
      </c>
      <c r="J163">
        <v>2</v>
      </c>
    </row>
    <row r="164" spans="1:10" x14ac:dyDescent="0.25">
      <c r="A164">
        <v>17</v>
      </c>
      <c r="B164" t="b">
        <v>0</v>
      </c>
      <c r="C164" s="6">
        <v>46382.625</v>
      </c>
      <c r="D164" t="b">
        <v>0</v>
      </c>
      <c r="E164">
        <v>1</v>
      </c>
      <c r="G164">
        <v>8</v>
      </c>
      <c r="I164">
        <v>4</v>
      </c>
      <c r="J164">
        <v>3</v>
      </c>
    </row>
    <row r="165" spans="1:10" x14ac:dyDescent="0.25">
      <c r="A165">
        <v>17</v>
      </c>
      <c r="B165" t="b">
        <v>0</v>
      </c>
      <c r="C165" s="6">
        <v>46382.625</v>
      </c>
      <c r="D165" t="b">
        <v>0</v>
      </c>
      <c r="E165">
        <v>20</v>
      </c>
      <c r="G165">
        <v>9</v>
      </c>
      <c r="I165">
        <v>2</v>
      </c>
      <c r="J165">
        <v>3</v>
      </c>
    </row>
    <row r="166" spans="1:10" x14ac:dyDescent="0.25">
      <c r="A166">
        <v>17</v>
      </c>
      <c r="B166" t="b">
        <v>0</v>
      </c>
      <c r="C166" s="6">
        <v>46382.625</v>
      </c>
      <c r="D166" t="b">
        <v>0</v>
      </c>
      <c r="E166">
        <v>5</v>
      </c>
      <c r="G166">
        <v>10</v>
      </c>
      <c r="I166">
        <v>2</v>
      </c>
      <c r="J166">
        <v>3</v>
      </c>
    </row>
    <row r="167" spans="1:10" x14ac:dyDescent="0.25">
      <c r="A167">
        <v>17</v>
      </c>
      <c r="B167" t="b">
        <v>0</v>
      </c>
      <c r="C167" s="6">
        <v>46382.625</v>
      </c>
      <c r="D167" t="b">
        <v>0</v>
      </c>
      <c r="E167">
        <v>14</v>
      </c>
      <c r="G167">
        <v>11</v>
      </c>
      <c r="I167">
        <v>4</v>
      </c>
      <c r="J167">
        <v>2</v>
      </c>
    </row>
    <row r="168" spans="1:10" x14ac:dyDescent="0.25">
      <c r="A168">
        <v>17</v>
      </c>
      <c r="B168" t="b">
        <v>0</v>
      </c>
      <c r="C168" s="6">
        <v>46382.625</v>
      </c>
      <c r="D168" t="b">
        <v>0</v>
      </c>
      <c r="E168">
        <v>4</v>
      </c>
      <c r="G168">
        <v>12</v>
      </c>
      <c r="I168">
        <v>3</v>
      </c>
      <c r="J168">
        <v>2</v>
      </c>
    </row>
    <row r="169" spans="1:10" x14ac:dyDescent="0.25">
      <c r="A169">
        <v>17</v>
      </c>
      <c r="B169" t="b">
        <v>0</v>
      </c>
      <c r="C169" s="6">
        <v>46382.625</v>
      </c>
      <c r="D169" t="b">
        <v>0</v>
      </c>
      <c r="E169">
        <v>18</v>
      </c>
      <c r="G169">
        <v>16</v>
      </c>
      <c r="I169">
        <v>3</v>
      </c>
      <c r="J169">
        <v>4</v>
      </c>
    </row>
    <row r="170" spans="1:10" x14ac:dyDescent="0.25">
      <c r="A170">
        <v>17</v>
      </c>
      <c r="B170" t="b">
        <v>0</v>
      </c>
      <c r="C170" s="6">
        <v>46382.625</v>
      </c>
      <c r="D170" t="b">
        <v>0</v>
      </c>
      <c r="E170">
        <v>15</v>
      </c>
      <c r="G170">
        <v>17</v>
      </c>
      <c r="I170">
        <v>4</v>
      </c>
      <c r="J170">
        <v>3</v>
      </c>
    </row>
    <row r="171" spans="1:10" x14ac:dyDescent="0.25">
      <c r="A171">
        <v>17</v>
      </c>
      <c r="B171" t="b">
        <v>0</v>
      </c>
      <c r="C171" s="6">
        <v>46382.625</v>
      </c>
      <c r="D171" t="b">
        <v>0</v>
      </c>
      <c r="E171">
        <v>3</v>
      </c>
      <c r="G171">
        <v>19</v>
      </c>
      <c r="I171">
        <v>3</v>
      </c>
      <c r="J171">
        <v>3</v>
      </c>
    </row>
    <row r="172" spans="1:10" x14ac:dyDescent="0.25">
      <c r="A172">
        <v>18</v>
      </c>
      <c r="B172" t="b">
        <v>0</v>
      </c>
      <c r="C172" s="6">
        <v>46386.833333333336</v>
      </c>
      <c r="D172" t="b">
        <v>0</v>
      </c>
      <c r="E172">
        <v>14</v>
      </c>
      <c r="G172">
        <v>2</v>
      </c>
      <c r="I172">
        <v>4</v>
      </c>
      <c r="J172">
        <v>4</v>
      </c>
    </row>
    <row r="173" spans="1:10" x14ac:dyDescent="0.25">
      <c r="A173">
        <v>18</v>
      </c>
      <c r="B173" t="b">
        <v>0</v>
      </c>
      <c r="C173" s="6">
        <v>46386.833333333336</v>
      </c>
      <c r="D173" t="b">
        <v>0</v>
      </c>
      <c r="E173">
        <v>4</v>
      </c>
      <c r="G173">
        <v>7</v>
      </c>
      <c r="I173">
        <v>3</v>
      </c>
      <c r="J173">
        <v>2</v>
      </c>
    </row>
    <row r="174" spans="1:10" x14ac:dyDescent="0.25">
      <c r="A174">
        <v>18</v>
      </c>
      <c r="B174" t="b">
        <v>0</v>
      </c>
      <c r="C174" s="6">
        <v>46386.833333333336</v>
      </c>
      <c r="D174" t="b">
        <v>0</v>
      </c>
      <c r="E174">
        <v>3</v>
      </c>
      <c r="G174">
        <v>8</v>
      </c>
      <c r="I174">
        <v>3</v>
      </c>
      <c r="J174">
        <v>3</v>
      </c>
    </row>
    <row r="175" spans="1:10" x14ac:dyDescent="0.25">
      <c r="A175">
        <v>18</v>
      </c>
      <c r="B175" t="b">
        <v>0</v>
      </c>
      <c r="C175" s="6">
        <v>46386.833333333336</v>
      </c>
      <c r="D175" t="b">
        <v>0</v>
      </c>
      <c r="E175">
        <v>15</v>
      </c>
      <c r="G175">
        <v>9</v>
      </c>
      <c r="I175">
        <v>4</v>
      </c>
      <c r="J175">
        <v>3</v>
      </c>
    </row>
    <row r="176" spans="1:10" x14ac:dyDescent="0.25">
      <c r="A176">
        <v>18</v>
      </c>
      <c r="B176" t="b">
        <v>0</v>
      </c>
      <c r="C176" s="6">
        <v>46386.833333333336</v>
      </c>
      <c r="D176" t="b">
        <v>0</v>
      </c>
      <c r="E176">
        <v>1</v>
      </c>
      <c r="G176">
        <v>10</v>
      </c>
      <c r="I176">
        <v>4</v>
      </c>
      <c r="J176">
        <v>3</v>
      </c>
    </row>
    <row r="177" spans="1:10" x14ac:dyDescent="0.25">
      <c r="A177">
        <v>18</v>
      </c>
      <c r="B177" t="b">
        <v>0</v>
      </c>
      <c r="C177" s="6">
        <v>46386.833333333336</v>
      </c>
      <c r="D177" t="b">
        <v>0</v>
      </c>
      <c r="E177">
        <v>13</v>
      </c>
      <c r="G177">
        <v>11</v>
      </c>
      <c r="I177">
        <v>2</v>
      </c>
      <c r="J177">
        <v>2</v>
      </c>
    </row>
    <row r="178" spans="1:10" x14ac:dyDescent="0.25">
      <c r="A178">
        <v>18</v>
      </c>
      <c r="B178" t="b">
        <v>0</v>
      </c>
      <c r="C178" s="6">
        <v>46386.833333333336</v>
      </c>
      <c r="D178" t="b">
        <v>0</v>
      </c>
      <c r="E178">
        <v>6</v>
      </c>
      <c r="G178">
        <v>12</v>
      </c>
      <c r="I178">
        <v>4</v>
      </c>
      <c r="J178">
        <v>2</v>
      </c>
    </row>
    <row r="179" spans="1:10" x14ac:dyDescent="0.25">
      <c r="A179">
        <v>18</v>
      </c>
      <c r="B179" t="b">
        <v>0</v>
      </c>
      <c r="C179" s="6">
        <v>46386.833333333336</v>
      </c>
      <c r="D179" t="b">
        <v>0</v>
      </c>
      <c r="E179">
        <v>20</v>
      </c>
      <c r="G179">
        <v>16</v>
      </c>
      <c r="I179">
        <v>2</v>
      </c>
      <c r="J179">
        <v>4</v>
      </c>
    </row>
    <row r="180" spans="1:10" x14ac:dyDescent="0.25">
      <c r="A180">
        <v>18</v>
      </c>
      <c r="B180" t="b">
        <v>0</v>
      </c>
      <c r="C180" s="6">
        <v>46386.833333333336</v>
      </c>
      <c r="D180" t="b">
        <v>0</v>
      </c>
      <c r="E180">
        <v>18</v>
      </c>
      <c r="G180">
        <v>17</v>
      </c>
      <c r="I180">
        <v>3</v>
      </c>
      <c r="J180">
        <v>3</v>
      </c>
    </row>
    <row r="181" spans="1:10" x14ac:dyDescent="0.25">
      <c r="A181">
        <v>18</v>
      </c>
      <c r="B181" t="b">
        <v>0</v>
      </c>
      <c r="C181" s="6">
        <v>46386.833333333336</v>
      </c>
      <c r="D181" t="b">
        <v>0</v>
      </c>
      <c r="E181">
        <v>5</v>
      </c>
      <c r="G181">
        <v>19</v>
      </c>
      <c r="I181">
        <v>2</v>
      </c>
      <c r="J181">
        <v>3</v>
      </c>
    </row>
    <row r="182" spans="1:10" x14ac:dyDescent="0.25">
      <c r="A182">
        <v>19</v>
      </c>
      <c r="B182" t="b">
        <v>0</v>
      </c>
      <c r="C182" s="6">
        <v>46389.625</v>
      </c>
      <c r="D182" t="b">
        <v>0</v>
      </c>
      <c r="E182">
        <v>12</v>
      </c>
      <c r="G182">
        <v>1</v>
      </c>
      <c r="I182">
        <v>2</v>
      </c>
      <c r="J182">
        <v>5</v>
      </c>
    </row>
    <row r="183" spans="1:10" x14ac:dyDescent="0.25">
      <c r="A183">
        <v>19</v>
      </c>
      <c r="B183" t="b">
        <v>0</v>
      </c>
      <c r="C183" s="6">
        <v>46389.625</v>
      </c>
      <c r="D183" t="b">
        <v>0</v>
      </c>
      <c r="E183">
        <v>2</v>
      </c>
      <c r="G183">
        <v>3</v>
      </c>
      <c r="I183">
        <v>3</v>
      </c>
      <c r="J183">
        <v>3</v>
      </c>
    </row>
    <row r="184" spans="1:10" x14ac:dyDescent="0.25">
      <c r="A184">
        <v>19</v>
      </c>
      <c r="B184" t="b">
        <v>0</v>
      </c>
      <c r="C184" s="6">
        <v>46389.625</v>
      </c>
      <c r="D184" t="b">
        <v>0</v>
      </c>
      <c r="E184">
        <v>8</v>
      </c>
      <c r="G184">
        <v>4</v>
      </c>
      <c r="I184">
        <v>3</v>
      </c>
      <c r="J184">
        <v>3</v>
      </c>
    </row>
    <row r="185" spans="1:10" x14ac:dyDescent="0.25">
      <c r="A185">
        <v>19</v>
      </c>
      <c r="B185" t="b">
        <v>0</v>
      </c>
      <c r="C185" s="6">
        <v>46389.625</v>
      </c>
      <c r="D185" t="b">
        <v>0</v>
      </c>
      <c r="E185">
        <v>16</v>
      </c>
      <c r="G185">
        <v>5</v>
      </c>
      <c r="I185">
        <v>4</v>
      </c>
      <c r="J185">
        <v>3</v>
      </c>
    </row>
    <row r="186" spans="1:10" x14ac:dyDescent="0.25">
      <c r="A186">
        <v>19</v>
      </c>
      <c r="B186" t="b">
        <v>0</v>
      </c>
      <c r="C186" s="6">
        <v>46389.625</v>
      </c>
      <c r="D186" t="b">
        <v>0</v>
      </c>
      <c r="E186">
        <v>17</v>
      </c>
      <c r="G186">
        <v>6</v>
      </c>
      <c r="I186">
        <v>2</v>
      </c>
      <c r="J186">
        <v>4</v>
      </c>
    </row>
    <row r="187" spans="1:10" x14ac:dyDescent="0.25">
      <c r="A187">
        <v>19</v>
      </c>
      <c r="B187" t="b">
        <v>0</v>
      </c>
      <c r="C187" s="6">
        <v>46389.625</v>
      </c>
      <c r="D187" t="b">
        <v>0</v>
      </c>
      <c r="E187">
        <v>9</v>
      </c>
      <c r="G187">
        <v>13</v>
      </c>
      <c r="I187">
        <v>3</v>
      </c>
      <c r="J187">
        <v>3</v>
      </c>
    </row>
    <row r="188" spans="1:10" x14ac:dyDescent="0.25">
      <c r="A188">
        <v>19</v>
      </c>
      <c r="B188" t="b">
        <v>0</v>
      </c>
      <c r="C188" s="6">
        <v>46389.625</v>
      </c>
      <c r="D188" t="b">
        <v>0</v>
      </c>
      <c r="E188">
        <v>7</v>
      </c>
      <c r="G188">
        <v>14</v>
      </c>
      <c r="I188">
        <v>2</v>
      </c>
      <c r="J188">
        <v>4</v>
      </c>
    </row>
    <row r="189" spans="1:10" x14ac:dyDescent="0.25">
      <c r="A189">
        <v>19</v>
      </c>
      <c r="B189" t="b">
        <v>0</v>
      </c>
      <c r="C189" s="6">
        <v>46389.625</v>
      </c>
      <c r="D189" t="b">
        <v>0</v>
      </c>
      <c r="E189">
        <v>19</v>
      </c>
      <c r="G189">
        <v>15</v>
      </c>
      <c r="I189">
        <v>3</v>
      </c>
      <c r="J189">
        <v>5</v>
      </c>
    </row>
    <row r="190" spans="1:10" x14ac:dyDescent="0.25">
      <c r="A190">
        <v>19</v>
      </c>
      <c r="B190" t="b">
        <v>0</v>
      </c>
      <c r="C190" s="6">
        <v>46389.625</v>
      </c>
      <c r="D190" t="b">
        <v>0</v>
      </c>
      <c r="E190">
        <v>10</v>
      </c>
      <c r="G190">
        <v>18</v>
      </c>
      <c r="I190">
        <v>2</v>
      </c>
      <c r="J190">
        <v>3</v>
      </c>
    </row>
    <row r="191" spans="1:10" x14ac:dyDescent="0.25">
      <c r="A191">
        <v>19</v>
      </c>
      <c r="B191" t="b">
        <v>0</v>
      </c>
      <c r="C191" s="6">
        <v>46389.625</v>
      </c>
      <c r="D191" t="b">
        <v>0</v>
      </c>
      <c r="E191">
        <v>11</v>
      </c>
      <c r="G191">
        <v>20</v>
      </c>
      <c r="I191">
        <v>2</v>
      </c>
      <c r="J191">
        <v>3</v>
      </c>
    </row>
    <row r="192" spans="1:10" x14ac:dyDescent="0.25">
      <c r="A192">
        <v>20</v>
      </c>
      <c r="B192" t="b">
        <v>0</v>
      </c>
      <c r="C192" s="6">
        <v>46393.833333333336</v>
      </c>
      <c r="D192" t="b">
        <v>0</v>
      </c>
      <c r="E192">
        <v>4</v>
      </c>
      <c r="G192">
        <v>1</v>
      </c>
      <c r="I192">
        <v>3</v>
      </c>
      <c r="J192">
        <v>5</v>
      </c>
    </row>
    <row r="193" spans="1:10" x14ac:dyDescent="0.25">
      <c r="A193">
        <v>20</v>
      </c>
      <c r="B193" t="b">
        <v>0</v>
      </c>
      <c r="C193" s="6">
        <v>46393.833333333336</v>
      </c>
      <c r="D193" t="b">
        <v>0</v>
      </c>
      <c r="E193">
        <v>3</v>
      </c>
      <c r="G193">
        <v>5</v>
      </c>
      <c r="I193">
        <v>3</v>
      </c>
      <c r="J193">
        <v>3</v>
      </c>
    </row>
    <row r="194" spans="1:10" x14ac:dyDescent="0.25">
      <c r="A194">
        <v>20</v>
      </c>
      <c r="B194" t="b">
        <v>0</v>
      </c>
      <c r="C194" s="6">
        <v>46393.833333333336</v>
      </c>
      <c r="D194" t="b">
        <v>0</v>
      </c>
      <c r="E194">
        <v>6</v>
      </c>
      <c r="G194">
        <v>8</v>
      </c>
      <c r="I194">
        <v>4</v>
      </c>
      <c r="J194">
        <v>3</v>
      </c>
    </row>
    <row r="195" spans="1:10" x14ac:dyDescent="0.25">
      <c r="A195">
        <v>20</v>
      </c>
      <c r="B195" t="b">
        <v>0</v>
      </c>
      <c r="C195" s="6">
        <v>46393.833333333336</v>
      </c>
      <c r="D195" t="b">
        <v>0</v>
      </c>
      <c r="E195">
        <v>2</v>
      </c>
      <c r="G195">
        <v>9</v>
      </c>
      <c r="I195">
        <v>3</v>
      </c>
      <c r="J195">
        <v>3</v>
      </c>
    </row>
    <row r="196" spans="1:10" x14ac:dyDescent="0.25">
      <c r="A196">
        <v>20</v>
      </c>
      <c r="B196" t="b">
        <v>0</v>
      </c>
      <c r="C196" s="6">
        <v>46393.833333333336</v>
      </c>
      <c r="D196" t="b">
        <v>0</v>
      </c>
      <c r="E196">
        <v>19</v>
      </c>
      <c r="G196">
        <v>10</v>
      </c>
      <c r="I196">
        <v>3</v>
      </c>
      <c r="J196">
        <v>3</v>
      </c>
    </row>
    <row r="197" spans="1:10" x14ac:dyDescent="0.25">
      <c r="A197">
        <v>20</v>
      </c>
      <c r="B197" t="b">
        <v>0</v>
      </c>
      <c r="C197" s="6">
        <v>46393.833333333336</v>
      </c>
      <c r="D197" t="b">
        <v>0</v>
      </c>
      <c r="E197">
        <v>7</v>
      </c>
      <c r="G197">
        <v>12</v>
      </c>
      <c r="I197">
        <v>2</v>
      </c>
      <c r="J197">
        <v>2</v>
      </c>
    </row>
    <row r="198" spans="1:10" x14ac:dyDescent="0.25">
      <c r="A198">
        <v>20</v>
      </c>
      <c r="B198" t="b">
        <v>0</v>
      </c>
      <c r="C198" s="6">
        <v>46393.833333333336</v>
      </c>
      <c r="D198" t="b">
        <v>0</v>
      </c>
      <c r="E198">
        <v>15</v>
      </c>
      <c r="G198">
        <v>13</v>
      </c>
      <c r="I198">
        <v>4</v>
      </c>
      <c r="J198">
        <v>3</v>
      </c>
    </row>
    <row r="199" spans="1:10" x14ac:dyDescent="0.25">
      <c r="A199">
        <v>20</v>
      </c>
      <c r="B199" t="b">
        <v>0</v>
      </c>
      <c r="C199" s="6">
        <v>46393.833333333336</v>
      </c>
      <c r="D199" t="b">
        <v>0</v>
      </c>
      <c r="E199">
        <v>17</v>
      </c>
      <c r="G199">
        <v>16</v>
      </c>
      <c r="I199">
        <v>2</v>
      </c>
      <c r="J199">
        <v>4</v>
      </c>
    </row>
    <row r="200" spans="1:10" x14ac:dyDescent="0.25">
      <c r="A200">
        <v>20</v>
      </c>
      <c r="B200" t="b">
        <v>0</v>
      </c>
      <c r="C200" s="6">
        <v>46393.833333333336</v>
      </c>
      <c r="D200" t="b">
        <v>0</v>
      </c>
      <c r="E200">
        <v>11</v>
      </c>
      <c r="G200">
        <v>18</v>
      </c>
      <c r="I200">
        <v>2</v>
      </c>
      <c r="J200">
        <v>3</v>
      </c>
    </row>
    <row r="201" spans="1:10" x14ac:dyDescent="0.25">
      <c r="A201">
        <v>20</v>
      </c>
      <c r="B201" t="b">
        <v>0</v>
      </c>
      <c r="C201" s="6">
        <v>46393.833333333336</v>
      </c>
      <c r="D201" t="b">
        <v>0</v>
      </c>
      <c r="E201">
        <v>14</v>
      </c>
      <c r="G201">
        <v>20</v>
      </c>
      <c r="I201">
        <v>4</v>
      </c>
      <c r="J201">
        <v>3</v>
      </c>
    </row>
    <row r="202" spans="1:10" x14ac:dyDescent="0.25">
      <c r="A202">
        <v>21</v>
      </c>
      <c r="B202" t="b">
        <v>0</v>
      </c>
      <c r="C202" s="6">
        <v>46403.625</v>
      </c>
      <c r="D202" t="b">
        <v>0</v>
      </c>
      <c r="E202">
        <v>16</v>
      </c>
      <c r="G202">
        <v>2</v>
      </c>
      <c r="I202">
        <v>4</v>
      </c>
      <c r="J202">
        <v>4</v>
      </c>
    </row>
    <row r="203" spans="1:10" x14ac:dyDescent="0.25">
      <c r="A203">
        <v>21</v>
      </c>
      <c r="B203" t="b">
        <v>0</v>
      </c>
      <c r="C203" s="6">
        <v>46403.625</v>
      </c>
      <c r="D203" t="b">
        <v>0</v>
      </c>
      <c r="E203">
        <v>12</v>
      </c>
      <c r="G203">
        <v>3</v>
      </c>
      <c r="I203">
        <v>2</v>
      </c>
      <c r="J203">
        <v>3</v>
      </c>
    </row>
    <row r="204" spans="1:10" x14ac:dyDescent="0.25">
      <c r="A204">
        <v>21</v>
      </c>
      <c r="B204" t="b">
        <v>0</v>
      </c>
      <c r="C204" s="6">
        <v>46403.625</v>
      </c>
      <c r="D204" t="b">
        <v>0</v>
      </c>
      <c r="E204">
        <v>5</v>
      </c>
      <c r="G204">
        <v>4</v>
      </c>
      <c r="I204">
        <v>2</v>
      </c>
      <c r="J204">
        <v>3</v>
      </c>
    </row>
    <row r="205" spans="1:10" x14ac:dyDescent="0.25">
      <c r="A205">
        <v>21</v>
      </c>
      <c r="B205" t="b">
        <v>0</v>
      </c>
      <c r="C205" s="6">
        <v>46403.625</v>
      </c>
      <c r="D205" t="b">
        <v>0</v>
      </c>
      <c r="E205">
        <v>20</v>
      </c>
      <c r="G205">
        <v>6</v>
      </c>
      <c r="I205">
        <v>2</v>
      </c>
      <c r="J205">
        <v>4</v>
      </c>
    </row>
    <row r="206" spans="1:10" x14ac:dyDescent="0.25">
      <c r="A206">
        <v>21</v>
      </c>
      <c r="B206" t="b">
        <v>0</v>
      </c>
      <c r="C206" s="6">
        <v>46403.625</v>
      </c>
      <c r="D206" t="b">
        <v>0</v>
      </c>
      <c r="E206">
        <v>9</v>
      </c>
      <c r="G206">
        <v>7</v>
      </c>
      <c r="I206">
        <v>3</v>
      </c>
      <c r="J206">
        <v>2</v>
      </c>
    </row>
    <row r="207" spans="1:10" x14ac:dyDescent="0.25">
      <c r="A207">
        <v>21</v>
      </c>
      <c r="B207" t="b">
        <v>0</v>
      </c>
      <c r="C207" s="6">
        <v>46403.625</v>
      </c>
      <c r="D207" t="b">
        <v>0</v>
      </c>
      <c r="E207">
        <v>1</v>
      </c>
      <c r="G207">
        <v>11</v>
      </c>
      <c r="I207">
        <v>4</v>
      </c>
      <c r="J207">
        <v>2</v>
      </c>
    </row>
    <row r="208" spans="1:10" x14ac:dyDescent="0.25">
      <c r="A208">
        <v>21</v>
      </c>
      <c r="B208" t="b">
        <v>0</v>
      </c>
      <c r="C208" s="6">
        <v>46403.625</v>
      </c>
      <c r="D208" t="b">
        <v>0</v>
      </c>
      <c r="E208">
        <v>8</v>
      </c>
      <c r="G208">
        <v>14</v>
      </c>
      <c r="I208">
        <v>3</v>
      </c>
      <c r="J208">
        <v>4</v>
      </c>
    </row>
    <row r="209" spans="1:10" x14ac:dyDescent="0.25">
      <c r="A209">
        <v>21</v>
      </c>
      <c r="B209" t="b">
        <v>0</v>
      </c>
      <c r="C209" s="6">
        <v>46403.625</v>
      </c>
      <c r="D209" t="b">
        <v>0</v>
      </c>
      <c r="E209">
        <v>18</v>
      </c>
      <c r="G209">
        <v>15</v>
      </c>
      <c r="I209">
        <v>3</v>
      </c>
      <c r="J209">
        <v>5</v>
      </c>
    </row>
    <row r="210" spans="1:10" x14ac:dyDescent="0.25">
      <c r="A210">
        <v>21</v>
      </c>
      <c r="B210" t="b">
        <v>0</v>
      </c>
      <c r="C210" s="6">
        <v>46403.625</v>
      </c>
      <c r="D210" t="b">
        <v>0</v>
      </c>
      <c r="E210">
        <v>10</v>
      </c>
      <c r="G210">
        <v>17</v>
      </c>
      <c r="I210">
        <v>2</v>
      </c>
      <c r="J210">
        <v>3</v>
      </c>
    </row>
    <row r="211" spans="1:10" x14ac:dyDescent="0.25">
      <c r="A211">
        <v>21</v>
      </c>
      <c r="B211" t="b">
        <v>0</v>
      </c>
      <c r="C211" s="6">
        <v>46403.625</v>
      </c>
      <c r="D211" t="b">
        <v>0</v>
      </c>
      <c r="E211">
        <v>13</v>
      </c>
      <c r="G211">
        <v>19</v>
      </c>
      <c r="I211">
        <v>2</v>
      </c>
      <c r="J211">
        <v>3</v>
      </c>
    </row>
    <row r="212" spans="1:10" x14ac:dyDescent="0.25">
      <c r="A212">
        <v>22</v>
      </c>
      <c r="B212" t="b">
        <v>0</v>
      </c>
      <c r="C212" s="6">
        <v>46410.625</v>
      </c>
      <c r="D212" t="b">
        <v>0</v>
      </c>
      <c r="E212">
        <v>17</v>
      </c>
      <c r="G212">
        <v>1</v>
      </c>
      <c r="I212">
        <v>2</v>
      </c>
      <c r="J212">
        <v>5</v>
      </c>
    </row>
    <row r="213" spans="1:10" x14ac:dyDescent="0.25">
      <c r="A213">
        <v>22</v>
      </c>
      <c r="B213" t="b">
        <v>0</v>
      </c>
      <c r="C213" s="6">
        <v>46410.625</v>
      </c>
      <c r="D213" t="b">
        <v>0</v>
      </c>
      <c r="E213">
        <v>15</v>
      </c>
      <c r="G213">
        <v>5</v>
      </c>
      <c r="I213">
        <v>4</v>
      </c>
      <c r="J213">
        <v>3</v>
      </c>
    </row>
    <row r="214" spans="1:10" x14ac:dyDescent="0.25">
      <c r="A214">
        <v>22</v>
      </c>
      <c r="B214" t="b">
        <v>0</v>
      </c>
      <c r="C214" s="6">
        <v>46410.625</v>
      </c>
      <c r="D214" t="b">
        <v>0</v>
      </c>
      <c r="E214">
        <v>19</v>
      </c>
      <c r="G214">
        <v>8</v>
      </c>
      <c r="I214">
        <v>3</v>
      </c>
      <c r="J214">
        <v>3</v>
      </c>
    </row>
    <row r="215" spans="1:10" x14ac:dyDescent="0.25">
      <c r="A215">
        <v>22</v>
      </c>
      <c r="B215" t="b">
        <v>0</v>
      </c>
      <c r="C215" s="6">
        <v>46410.625</v>
      </c>
      <c r="D215" t="b">
        <v>0</v>
      </c>
      <c r="E215">
        <v>4</v>
      </c>
      <c r="G215">
        <v>9</v>
      </c>
      <c r="I215">
        <v>3</v>
      </c>
      <c r="J215">
        <v>3</v>
      </c>
    </row>
    <row r="216" spans="1:10" x14ac:dyDescent="0.25">
      <c r="A216">
        <v>22</v>
      </c>
      <c r="B216" t="b">
        <v>0</v>
      </c>
      <c r="C216" s="6">
        <v>46410.625</v>
      </c>
      <c r="D216" t="b">
        <v>0</v>
      </c>
      <c r="E216">
        <v>2</v>
      </c>
      <c r="G216">
        <v>10</v>
      </c>
      <c r="I216">
        <v>3</v>
      </c>
      <c r="J216">
        <v>3</v>
      </c>
    </row>
    <row r="217" spans="1:10" x14ac:dyDescent="0.25">
      <c r="A217">
        <v>22</v>
      </c>
      <c r="B217" t="b">
        <v>0</v>
      </c>
      <c r="C217" s="6">
        <v>46410.625</v>
      </c>
      <c r="D217" t="b">
        <v>0</v>
      </c>
      <c r="E217">
        <v>11</v>
      </c>
      <c r="G217">
        <v>12</v>
      </c>
      <c r="I217">
        <v>2</v>
      </c>
      <c r="J217">
        <v>2</v>
      </c>
    </row>
    <row r="218" spans="1:10" x14ac:dyDescent="0.25">
      <c r="A218">
        <v>22</v>
      </c>
      <c r="B218" t="b">
        <v>0</v>
      </c>
      <c r="C218" s="6">
        <v>46410.625</v>
      </c>
      <c r="D218" t="b">
        <v>0</v>
      </c>
      <c r="E218">
        <v>6</v>
      </c>
      <c r="G218">
        <v>13</v>
      </c>
      <c r="I218">
        <v>4</v>
      </c>
      <c r="J218">
        <v>3</v>
      </c>
    </row>
    <row r="219" spans="1:10" x14ac:dyDescent="0.25">
      <c r="A219">
        <v>22</v>
      </c>
      <c r="B219" t="b">
        <v>0</v>
      </c>
      <c r="C219" s="6">
        <v>46410.625</v>
      </c>
      <c r="D219" t="b">
        <v>0</v>
      </c>
      <c r="E219">
        <v>14</v>
      </c>
      <c r="G219">
        <v>16</v>
      </c>
      <c r="I219">
        <v>4</v>
      </c>
      <c r="J219">
        <v>4</v>
      </c>
    </row>
    <row r="220" spans="1:10" x14ac:dyDescent="0.25">
      <c r="A220">
        <v>22</v>
      </c>
      <c r="B220" t="b">
        <v>0</v>
      </c>
      <c r="C220" s="6">
        <v>46410.625</v>
      </c>
      <c r="D220" t="b">
        <v>0</v>
      </c>
      <c r="E220">
        <v>3</v>
      </c>
      <c r="G220">
        <v>18</v>
      </c>
      <c r="I220">
        <v>3</v>
      </c>
      <c r="J220">
        <v>3</v>
      </c>
    </row>
    <row r="221" spans="1:10" x14ac:dyDescent="0.25">
      <c r="A221">
        <v>22</v>
      </c>
      <c r="B221" t="b">
        <v>0</v>
      </c>
      <c r="C221" s="6">
        <v>46410.625</v>
      </c>
      <c r="D221" t="b">
        <v>0</v>
      </c>
      <c r="E221">
        <v>7</v>
      </c>
      <c r="G221">
        <v>20</v>
      </c>
      <c r="I221">
        <v>2</v>
      </c>
      <c r="J221">
        <v>3</v>
      </c>
    </row>
    <row r="222" spans="1:10" x14ac:dyDescent="0.25">
      <c r="A222">
        <v>23</v>
      </c>
      <c r="B222" t="b">
        <v>0</v>
      </c>
      <c r="C222" s="6">
        <v>46417.625</v>
      </c>
      <c r="D222" t="b">
        <v>0</v>
      </c>
      <c r="E222">
        <v>12</v>
      </c>
      <c r="G222">
        <v>2</v>
      </c>
      <c r="I222">
        <v>2</v>
      </c>
      <c r="J222">
        <v>4</v>
      </c>
    </row>
    <row r="223" spans="1:10" x14ac:dyDescent="0.25">
      <c r="A223">
        <v>23</v>
      </c>
      <c r="B223" t="b">
        <v>0</v>
      </c>
      <c r="C223" s="6">
        <v>46417.625</v>
      </c>
      <c r="D223" t="b">
        <v>0</v>
      </c>
      <c r="E223">
        <v>10</v>
      </c>
      <c r="G223">
        <v>3</v>
      </c>
      <c r="I223">
        <v>2</v>
      </c>
      <c r="J223">
        <v>3</v>
      </c>
    </row>
    <row r="224" spans="1:10" x14ac:dyDescent="0.25">
      <c r="A224">
        <v>23</v>
      </c>
      <c r="B224" t="b">
        <v>0</v>
      </c>
      <c r="C224" s="6">
        <v>46417.625</v>
      </c>
      <c r="D224" t="b">
        <v>0</v>
      </c>
      <c r="E224">
        <v>16</v>
      </c>
      <c r="G224">
        <v>4</v>
      </c>
      <c r="I224">
        <v>4</v>
      </c>
      <c r="J224">
        <v>3</v>
      </c>
    </row>
    <row r="225" spans="1:10" x14ac:dyDescent="0.25">
      <c r="A225">
        <v>23</v>
      </c>
      <c r="B225" t="b">
        <v>0</v>
      </c>
      <c r="C225" s="6">
        <v>46417.625</v>
      </c>
      <c r="D225" t="b">
        <v>0</v>
      </c>
      <c r="E225">
        <v>18</v>
      </c>
      <c r="G225">
        <v>6</v>
      </c>
      <c r="I225">
        <v>3</v>
      </c>
      <c r="J225">
        <v>4</v>
      </c>
    </row>
    <row r="226" spans="1:10" x14ac:dyDescent="0.25">
      <c r="A226">
        <v>23</v>
      </c>
      <c r="B226" t="b">
        <v>0</v>
      </c>
      <c r="C226" s="6">
        <v>46417.625</v>
      </c>
      <c r="D226" t="b">
        <v>0</v>
      </c>
      <c r="E226">
        <v>13</v>
      </c>
      <c r="G226">
        <v>7</v>
      </c>
      <c r="I226">
        <v>2</v>
      </c>
      <c r="J226">
        <v>2</v>
      </c>
    </row>
    <row r="227" spans="1:10" x14ac:dyDescent="0.25">
      <c r="A227">
        <v>23</v>
      </c>
      <c r="B227" t="b">
        <v>0</v>
      </c>
      <c r="C227" s="6">
        <v>46417.625</v>
      </c>
      <c r="D227" t="b">
        <v>0</v>
      </c>
      <c r="E227">
        <v>8</v>
      </c>
      <c r="G227">
        <v>11</v>
      </c>
      <c r="I227">
        <v>3</v>
      </c>
      <c r="J227">
        <v>2</v>
      </c>
    </row>
    <row r="228" spans="1:10" x14ac:dyDescent="0.25">
      <c r="A228">
        <v>23</v>
      </c>
      <c r="B228" t="b">
        <v>0</v>
      </c>
      <c r="C228" s="6">
        <v>46417.625</v>
      </c>
      <c r="D228" t="b">
        <v>0</v>
      </c>
      <c r="E228">
        <v>9</v>
      </c>
      <c r="G228">
        <v>14</v>
      </c>
      <c r="I228">
        <v>3</v>
      </c>
      <c r="J228">
        <v>4</v>
      </c>
    </row>
    <row r="229" spans="1:10" x14ac:dyDescent="0.25">
      <c r="A229">
        <v>23</v>
      </c>
      <c r="B229" t="b">
        <v>0</v>
      </c>
      <c r="C229" s="6">
        <v>46417.625</v>
      </c>
      <c r="D229" t="b">
        <v>0</v>
      </c>
      <c r="E229">
        <v>1</v>
      </c>
      <c r="G229">
        <v>15</v>
      </c>
      <c r="I229">
        <v>4</v>
      </c>
      <c r="J229">
        <v>5</v>
      </c>
    </row>
    <row r="230" spans="1:10" x14ac:dyDescent="0.25">
      <c r="A230">
        <v>23</v>
      </c>
      <c r="B230" t="b">
        <v>0</v>
      </c>
      <c r="C230" s="6">
        <v>46417.625</v>
      </c>
      <c r="D230" t="b">
        <v>0</v>
      </c>
      <c r="E230">
        <v>5</v>
      </c>
      <c r="G230">
        <v>17</v>
      </c>
      <c r="I230">
        <v>2</v>
      </c>
      <c r="J230">
        <v>3</v>
      </c>
    </row>
    <row r="231" spans="1:10" x14ac:dyDescent="0.25">
      <c r="A231">
        <v>23</v>
      </c>
      <c r="B231" t="b">
        <v>0</v>
      </c>
      <c r="C231" s="6">
        <v>46417.625</v>
      </c>
      <c r="D231" t="b">
        <v>0</v>
      </c>
      <c r="E231">
        <v>20</v>
      </c>
      <c r="G231">
        <v>19</v>
      </c>
      <c r="I231">
        <v>2</v>
      </c>
      <c r="J231">
        <v>3</v>
      </c>
    </row>
    <row r="232" spans="1:10" x14ac:dyDescent="0.25">
      <c r="A232">
        <v>24</v>
      </c>
      <c r="B232" t="b">
        <v>0</v>
      </c>
      <c r="C232" s="6">
        <v>46424.625</v>
      </c>
      <c r="D232" t="b">
        <v>0</v>
      </c>
      <c r="E232">
        <v>14</v>
      </c>
      <c r="G232">
        <v>1</v>
      </c>
      <c r="I232">
        <v>4</v>
      </c>
      <c r="J232">
        <v>5</v>
      </c>
    </row>
    <row r="233" spans="1:10" x14ac:dyDescent="0.25">
      <c r="A233">
        <v>24</v>
      </c>
      <c r="B233" t="b">
        <v>0</v>
      </c>
      <c r="C233" s="6">
        <v>46424.625</v>
      </c>
      <c r="D233" t="b">
        <v>0</v>
      </c>
      <c r="E233">
        <v>11</v>
      </c>
      <c r="G233">
        <v>5</v>
      </c>
      <c r="I233">
        <v>2</v>
      </c>
      <c r="J233">
        <v>3</v>
      </c>
    </row>
    <row r="234" spans="1:10" x14ac:dyDescent="0.25">
      <c r="A234">
        <v>24</v>
      </c>
      <c r="B234" t="b">
        <v>0</v>
      </c>
      <c r="C234" s="6">
        <v>46424.625</v>
      </c>
      <c r="D234" t="b">
        <v>0</v>
      </c>
      <c r="E234">
        <v>7</v>
      </c>
      <c r="G234">
        <v>8</v>
      </c>
      <c r="I234">
        <v>2</v>
      </c>
      <c r="J234">
        <v>3</v>
      </c>
    </row>
    <row r="235" spans="1:10" x14ac:dyDescent="0.25">
      <c r="A235">
        <v>24</v>
      </c>
      <c r="B235" t="b">
        <v>0</v>
      </c>
      <c r="C235" s="6">
        <v>46424.625</v>
      </c>
      <c r="D235" t="b">
        <v>0</v>
      </c>
      <c r="E235">
        <v>17</v>
      </c>
      <c r="G235">
        <v>9</v>
      </c>
      <c r="I235">
        <v>2</v>
      </c>
      <c r="J235">
        <v>3</v>
      </c>
    </row>
    <row r="236" spans="1:10" x14ac:dyDescent="0.25">
      <c r="A236">
        <v>24</v>
      </c>
      <c r="B236" t="b">
        <v>0</v>
      </c>
      <c r="C236" s="6">
        <v>46424.625</v>
      </c>
      <c r="D236" t="b">
        <v>0</v>
      </c>
      <c r="E236">
        <v>15</v>
      </c>
      <c r="G236">
        <v>10</v>
      </c>
      <c r="I236">
        <v>4</v>
      </c>
      <c r="J236">
        <v>3</v>
      </c>
    </row>
    <row r="237" spans="1:10" x14ac:dyDescent="0.25">
      <c r="A237">
        <v>24</v>
      </c>
      <c r="B237" t="b">
        <v>0</v>
      </c>
      <c r="C237" s="6">
        <v>46424.625</v>
      </c>
      <c r="D237" t="b">
        <v>0</v>
      </c>
      <c r="E237">
        <v>19</v>
      </c>
      <c r="G237">
        <v>12</v>
      </c>
      <c r="I237">
        <v>3</v>
      </c>
      <c r="J237">
        <v>2</v>
      </c>
    </row>
    <row r="238" spans="1:10" x14ac:dyDescent="0.25">
      <c r="A238">
        <v>24</v>
      </c>
      <c r="B238" t="b">
        <v>0</v>
      </c>
      <c r="C238" s="6">
        <v>46424.625</v>
      </c>
      <c r="D238" t="b">
        <v>0</v>
      </c>
      <c r="E238">
        <v>3</v>
      </c>
      <c r="G238">
        <v>13</v>
      </c>
      <c r="I238">
        <v>3</v>
      </c>
      <c r="J238">
        <v>3</v>
      </c>
    </row>
    <row r="239" spans="1:10" x14ac:dyDescent="0.25">
      <c r="A239">
        <v>24</v>
      </c>
      <c r="B239" t="b">
        <v>0</v>
      </c>
      <c r="C239" s="6">
        <v>46424.625</v>
      </c>
      <c r="D239" t="b">
        <v>0</v>
      </c>
      <c r="E239">
        <v>6</v>
      </c>
      <c r="G239">
        <v>16</v>
      </c>
      <c r="I239">
        <v>4</v>
      </c>
      <c r="J239">
        <v>4</v>
      </c>
    </row>
    <row r="240" spans="1:10" x14ac:dyDescent="0.25">
      <c r="A240">
        <v>24</v>
      </c>
      <c r="B240" t="b">
        <v>0</v>
      </c>
      <c r="C240" s="6">
        <v>46424.625</v>
      </c>
      <c r="D240" t="b">
        <v>0</v>
      </c>
      <c r="E240">
        <v>4</v>
      </c>
      <c r="G240">
        <v>18</v>
      </c>
      <c r="I240">
        <v>3</v>
      </c>
      <c r="J240">
        <v>3</v>
      </c>
    </row>
    <row r="241" spans="1:10" x14ac:dyDescent="0.25">
      <c r="A241">
        <v>24</v>
      </c>
      <c r="B241" t="b">
        <v>0</v>
      </c>
      <c r="C241" s="6">
        <v>46424.625</v>
      </c>
      <c r="D241" t="b">
        <v>0</v>
      </c>
      <c r="E241">
        <v>2</v>
      </c>
      <c r="G241">
        <v>20</v>
      </c>
      <c r="I241">
        <v>3</v>
      </c>
      <c r="J241">
        <v>3</v>
      </c>
    </row>
    <row r="242" spans="1:10" x14ac:dyDescent="0.25">
      <c r="A242">
        <v>25</v>
      </c>
      <c r="B242" t="b">
        <v>0</v>
      </c>
      <c r="C242" s="6">
        <v>46428.833333333336</v>
      </c>
      <c r="D242" t="b">
        <v>0</v>
      </c>
      <c r="E242">
        <v>3</v>
      </c>
      <c r="G242">
        <v>2</v>
      </c>
      <c r="I242">
        <v>3</v>
      </c>
      <c r="J242">
        <v>4</v>
      </c>
    </row>
    <row r="243" spans="1:10" x14ac:dyDescent="0.25">
      <c r="A243">
        <v>25</v>
      </c>
      <c r="B243" t="b">
        <v>0</v>
      </c>
      <c r="C243" s="6">
        <v>46428.833333333336</v>
      </c>
      <c r="D243" t="b">
        <v>0</v>
      </c>
      <c r="E243">
        <v>14</v>
      </c>
      <c r="G243">
        <v>7</v>
      </c>
      <c r="I243">
        <v>4</v>
      </c>
      <c r="J243">
        <v>2</v>
      </c>
    </row>
    <row r="244" spans="1:10" x14ac:dyDescent="0.25">
      <c r="A244">
        <v>25</v>
      </c>
      <c r="B244" t="b">
        <v>0</v>
      </c>
      <c r="C244" s="6">
        <v>46428.833333333336</v>
      </c>
      <c r="D244" t="b">
        <v>0</v>
      </c>
      <c r="E244">
        <v>4</v>
      </c>
      <c r="G244">
        <v>8</v>
      </c>
      <c r="I244">
        <v>3</v>
      </c>
      <c r="J244">
        <v>3</v>
      </c>
    </row>
    <row r="245" spans="1:10" x14ac:dyDescent="0.25">
      <c r="A245">
        <v>25</v>
      </c>
      <c r="B245" t="b">
        <v>0</v>
      </c>
      <c r="C245" s="6">
        <v>46428.833333333336</v>
      </c>
      <c r="D245" t="b">
        <v>0</v>
      </c>
      <c r="E245">
        <v>13</v>
      </c>
      <c r="G245">
        <v>9</v>
      </c>
      <c r="I245">
        <v>2</v>
      </c>
      <c r="J245">
        <v>3</v>
      </c>
    </row>
    <row r="246" spans="1:10" x14ac:dyDescent="0.25">
      <c r="A246">
        <v>25</v>
      </c>
      <c r="B246" t="b">
        <v>0</v>
      </c>
      <c r="C246" s="6">
        <v>46428.833333333336</v>
      </c>
      <c r="D246" t="b">
        <v>0</v>
      </c>
      <c r="E246">
        <v>18</v>
      </c>
      <c r="G246">
        <v>10</v>
      </c>
      <c r="I246">
        <v>3</v>
      </c>
      <c r="J246">
        <v>3</v>
      </c>
    </row>
    <row r="247" spans="1:10" x14ac:dyDescent="0.25">
      <c r="A247">
        <v>25</v>
      </c>
      <c r="B247" t="b">
        <v>0</v>
      </c>
      <c r="C247" s="6">
        <v>46428.833333333336</v>
      </c>
      <c r="D247" t="b">
        <v>0</v>
      </c>
      <c r="E247">
        <v>20</v>
      </c>
      <c r="G247">
        <v>11</v>
      </c>
      <c r="I247">
        <v>2</v>
      </c>
      <c r="J247">
        <v>2</v>
      </c>
    </row>
    <row r="248" spans="1:10" x14ac:dyDescent="0.25">
      <c r="A248">
        <v>25</v>
      </c>
      <c r="B248" t="b">
        <v>0</v>
      </c>
      <c r="C248" s="6">
        <v>46428.833333333336</v>
      </c>
      <c r="D248" t="b">
        <v>0</v>
      </c>
      <c r="E248">
        <v>1</v>
      </c>
      <c r="G248">
        <v>12</v>
      </c>
      <c r="I248">
        <v>4</v>
      </c>
      <c r="J248">
        <v>2</v>
      </c>
    </row>
    <row r="249" spans="1:10" x14ac:dyDescent="0.25">
      <c r="A249">
        <v>25</v>
      </c>
      <c r="B249" t="b">
        <v>0</v>
      </c>
      <c r="C249" s="6">
        <v>46428.833333333336</v>
      </c>
      <c r="D249" t="b">
        <v>0</v>
      </c>
      <c r="E249">
        <v>5</v>
      </c>
      <c r="G249">
        <v>16</v>
      </c>
      <c r="I249">
        <v>2</v>
      </c>
      <c r="J249">
        <v>4</v>
      </c>
    </row>
    <row r="250" spans="1:10" x14ac:dyDescent="0.25">
      <c r="A250">
        <v>25</v>
      </c>
      <c r="B250" t="b">
        <v>0</v>
      </c>
      <c r="C250" s="6">
        <v>46428.833333333336</v>
      </c>
      <c r="D250" t="b">
        <v>0</v>
      </c>
      <c r="E250">
        <v>6</v>
      </c>
      <c r="G250">
        <v>17</v>
      </c>
      <c r="I250">
        <v>4</v>
      </c>
      <c r="J250">
        <v>3</v>
      </c>
    </row>
    <row r="251" spans="1:10" x14ac:dyDescent="0.25">
      <c r="A251">
        <v>25</v>
      </c>
      <c r="B251" t="b">
        <v>0</v>
      </c>
      <c r="C251" s="6">
        <v>46428.833333333336</v>
      </c>
      <c r="D251" t="b">
        <v>0</v>
      </c>
      <c r="E251">
        <v>15</v>
      </c>
      <c r="G251">
        <v>19</v>
      </c>
      <c r="I251">
        <v>4</v>
      </c>
      <c r="J251">
        <v>3</v>
      </c>
    </row>
    <row r="252" spans="1:10" x14ac:dyDescent="0.25">
      <c r="A252">
        <v>26</v>
      </c>
      <c r="B252" t="b">
        <v>0</v>
      </c>
      <c r="C252" s="6">
        <v>46438.625</v>
      </c>
      <c r="D252" t="b">
        <v>0</v>
      </c>
      <c r="E252">
        <v>10</v>
      </c>
      <c r="G252">
        <v>1</v>
      </c>
      <c r="I252">
        <v>2</v>
      </c>
      <c r="J252">
        <v>5</v>
      </c>
    </row>
    <row r="253" spans="1:10" x14ac:dyDescent="0.25">
      <c r="A253">
        <v>26</v>
      </c>
      <c r="B253" t="b">
        <v>0</v>
      </c>
      <c r="C253" s="6">
        <v>46438.625</v>
      </c>
      <c r="D253" t="b">
        <v>0</v>
      </c>
      <c r="E253">
        <v>8</v>
      </c>
      <c r="G253">
        <v>3</v>
      </c>
      <c r="I253">
        <v>3</v>
      </c>
      <c r="J253">
        <v>3</v>
      </c>
    </row>
    <row r="254" spans="1:10" x14ac:dyDescent="0.25">
      <c r="A254">
        <v>26</v>
      </c>
      <c r="B254" t="b">
        <v>0</v>
      </c>
      <c r="C254" s="6">
        <v>46438.625</v>
      </c>
      <c r="D254" t="b">
        <v>0</v>
      </c>
      <c r="E254">
        <v>7</v>
      </c>
      <c r="G254">
        <v>4</v>
      </c>
      <c r="I254">
        <v>2</v>
      </c>
      <c r="J254">
        <v>3</v>
      </c>
    </row>
    <row r="255" spans="1:10" x14ac:dyDescent="0.25">
      <c r="A255">
        <v>26</v>
      </c>
      <c r="B255" t="b">
        <v>0</v>
      </c>
      <c r="C255" s="6">
        <v>46438.625</v>
      </c>
      <c r="D255" t="b">
        <v>0</v>
      </c>
      <c r="E255">
        <v>19</v>
      </c>
      <c r="G255">
        <v>5</v>
      </c>
      <c r="I255">
        <v>3</v>
      </c>
      <c r="J255">
        <v>3</v>
      </c>
    </row>
    <row r="256" spans="1:10" x14ac:dyDescent="0.25">
      <c r="A256">
        <v>26</v>
      </c>
      <c r="B256" t="b">
        <v>0</v>
      </c>
      <c r="C256" s="6">
        <v>46438.625</v>
      </c>
      <c r="D256" t="b">
        <v>0</v>
      </c>
      <c r="E256">
        <v>12</v>
      </c>
      <c r="G256">
        <v>6</v>
      </c>
      <c r="I256">
        <v>2</v>
      </c>
      <c r="J256">
        <v>4</v>
      </c>
    </row>
    <row r="257" spans="1:10" x14ac:dyDescent="0.25">
      <c r="A257">
        <v>26</v>
      </c>
      <c r="B257" t="b">
        <v>0</v>
      </c>
      <c r="C257" s="6">
        <v>46438.625</v>
      </c>
      <c r="D257" t="b">
        <v>0</v>
      </c>
      <c r="E257">
        <v>2</v>
      </c>
      <c r="G257">
        <v>13</v>
      </c>
      <c r="I257">
        <v>3</v>
      </c>
      <c r="J257">
        <v>3</v>
      </c>
    </row>
    <row r="258" spans="1:10" x14ac:dyDescent="0.25">
      <c r="A258">
        <v>26</v>
      </c>
      <c r="B258" t="b">
        <v>0</v>
      </c>
      <c r="C258" s="6">
        <v>46438.625</v>
      </c>
      <c r="D258" t="b">
        <v>0</v>
      </c>
      <c r="E258">
        <v>11</v>
      </c>
      <c r="G258">
        <v>14</v>
      </c>
      <c r="I258">
        <v>2</v>
      </c>
      <c r="J258">
        <v>4</v>
      </c>
    </row>
    <row r="259" spans="1:10" x14ac:dyDescent="0.25">
      <c r="A259">
        <v>26</v>
      </c>
      <c r="B259" t="b">
        <v>0</v>
      </c>
      <c r="C259" s="6">
        <v>46438.625</v>
      </c>
      <c r="D259" t="b">
        <v>0</v>
      </c>
      <c r="E259">
        <v>17</v>
      </c>
      <c r="G259">
        <v>15</v>
      </c>
      <c r="I259">
        <v>2</v>
      </c>
      <c r="J259">
        <v>5</v>
      </c>
    </row>
    <row r="260" spans="1:10" x14ac:dyDescent="0.25">
      <c r="A260">
        <v>26</v>
      </c>
      <c r="B260" t="b">
        <v>0</v>
      </c>
      <c r="C260" s="6">
        <v>46438.625</v>
      </c>
      <c r="D260" t="b">
        <v>0</v>
      </c>
      <c r="E260">
        <v>16</v>
      </c>
      <c r="G260">
        <v>18</v>
      </c>
      <c r="I260">
        <v>4</v>
      </c>
      <c r="J260">
        <v>3</v>
      </c>
    </row>
    <row r="261" spans="1:10" x14ac:dyDescent="0.25">
      <c r="A261">
        <v>26</v>
      </c>
      <c r="B261" t="b">
        <v>0</v>
      </c>
      <c r="C261" s="6">
        <v>46438.625</v>
      </c>
      <c r="D261" t="b">
        <v>0</v>
      </c>
      <c r="E261">
        <v>9</v>
      </c>
      <c r="G261">
        <v>20</v>
      </c>
      <c r="I261">
        <v>3</v>
      </c>
      <c r="J261">
        <v>3</v>
      </c>
    </row>
    <row r="262" spans="1:10" x14ac:dyDescent="0.25">
      <c r="A262">
        <v>27</v>
      </c>
      <c r="B262" t="b">
        <v>0</v>
      </c>
      <c r="C262" s="6">
        <v>46445.625</v>
      </c>
      <c r="D262" t="b">
        <v>0</v>
      </c>
      <c r="E262">
        <v>6</v>
      </c>
      <c r="G262">
        <v>2</v>
      </c>
      <c r="I262">
        <v>4</v>
      </c>
      <c r="J262">
        <v>4</v>
      </c>
    </row>
    <row r="263" spans="1:10" x14ac:dyDescent="0.25">
      <c r="A263">
        <v>27</v>
      </c>
      <c r="B263" t="b">
        <v>0</v>
      </c>
      <c r="C263" s="6">
        <v>46445.625</v>
      </c>
      <c r="D263" t="b">
        <v>0</v>
      </c>
      <c r="E263">
        <v>3</v>
      </c>
      <c r="G263">
        <v>7</v>
      </c>
      <c r="I263">
        <v>3</v>
      </c>
      <c r="J263">
        <v>2</v>
      </c>
    </row>
    <row r="264" spans="1:10" x14ac:dyDescent="0.25">
      <c r="A264">
        <v>27</v>
      </c>
      <c r="B264" t="b">
        <v>0</v>
      </c>
      <c r="C264" s="6">
        <v>46445.625</v>
      </c>
      <c r="D264" t="b">
        <v>0</v>
      </c>
      <c r="E264">
        <v>20</v>
      </c>
      <c r="G264">
        <v>8</v>
      </c>
      <c r="I264">
        <v>2</v>
      </c>
      <c r="J264">
        <v>3</v>
      </c>
    </row>
    <row r="265" spans="1:10" x14ac:dyDescent="0.25">
      <c r="A265">
        <v>27</v>
      </c>
      <c r="B265" t="b">
        <v>0</v>
      </c>
      <c r="C265" s="6">
        <v>46445.625</v>
      </c>
      <c r="D265" t="b">
        <v>0</v>
      </c>
      <c r="E265">
        <v>18</v>
      </c>
      <c r="G265">
        <v>9</v>
      </c>
      <c r="I265">
        <v>3</v>
      </c>
      <c r="J265">
        <v>3</v>
      </c>
    </row>
    <row r="266" spans="1:10" x14ac:dyDescent="0.25">
      <c r="A266">
        <v>27</v>
      </c>
      <c r="B266" t="b">
        <v>0</v>
      </c>
      <c r="C266" s="6">
        <v>46445.625</v>
      </c>
      <c r="D266" t="b">
        <v>0</v>
      </c>
      <c r="E266">
        <v>13</v>
      </c>
      <c r="G266">
        <v>10</v>
      </c>
      <c r="I266">
        <v>2</v>
      </c>
      <c r="J266">
        <v>3</v>
      </c>
    </row>
    <row r="267" spans="1:10" x14ac:dyDescent="0.25">
      <c r="A267">
        <v>27</v>
      </c>
      <c r="B267" t="b">
        <v>0</v>
      </c>
      <c r="C267" s="6">
        <v>46445.625</v>
      </c>
      <c r="D267" t="b">
        <v>0</v>
      </c>
      <c r="E267">
        <v>15</v>
      </c>
      <c r="G267">
        <v>11</v>
      </c>
      <c r="I267">
        <v>4</v>
      </c>
      <c r="J267">
        <v>2</v>
      </c>
    </row>
    <row r="268" spans="1:10" x14ac:dyDescent="0.25">
      <c r="A268">
        <v>27</v>
      </c>
      <c r="B268" t="b">
        <v>0</v>
      </c>
      <c r="C268" s="6">
        <v>46445.625</v>
      </c>
      <c r="D268" t="b">
        <v>0</v>
      </c>
      <c r="E268">
        <v>5</v>
      </c>
      <c r="G268">
        <v>12</v>
      </c>
      <c r="I268">
        <v>2</v>
      </c>
      <c r="J268">
        <v>2</v>
      </c>
    </row>
    <row r="269" spans="1:10" x14ac:dyDescent="0.25">
      <c r="A269">
        <v>27</v>
      </c>
      <c r="B269" t="b">
        <v>0</v>
      </c>
      <c r="C269" s="6">
        <v>46445.625</v>
      </c>
      <c r="D269" t="b">
        <v>0</v>
      </c>
      <c r="E269">
        <v>1</v>
      </c>
      <c r="G269">
        <v>16</v>
      </c>
      <c r="I269">
        <v>4</v>
      </c>
      <c r="J269">
        <v>4</v>
      </c>
    </row>
    <row r="270" spans="1:10" x14ac:dyDescent="0.25">
      <c r="A270">
        <v>27</v>
      </c>
      <c r="B270" t="b">
        <v>0</v>
      </c>
      <c r="C270" s="6">
        <v>46445.625</v>
      </c>
      <c r="D270" t="b">
        <v>0</v>
      </c>
      <c r="E270">
        <v>4</v>
      </c>
      <c r="G270">
        <v>17</v>
      </c>
      <c r="I270">
        <v>3</v>
      </c>
      <c r="J270">
        <v>3</v>
      </c>
    </row>
    <row r="271" spans="1:10" x14ac:dyDescent="0.25">
      <c r="A271">
        <v>27</v>
      </c>
      <c r="B271" t="b">
        <v>0</v>
      </c>
      <c r="C271" s="6">
        <v>46445.625</v>
      </c>
      <c r="D271" t="b">
        <v>0</v>
      </c>
      <c r="E271">
        <v>14</v>
      </c>
      <c r="G271">
        <v>19</v>
      </c>
      <c r="I271">
        <v>4</v>
      </c>
      <c r="J271">
        <v>3</v>
      </c>
    </row>
    <row r="272" spans="1:10" x14ac:dyDescent="0.25">
      <c r="A272">
        <v>28</v>
      </c>
      <c r="B272" t="b">
        <v>0</v>
      </c>
      <c r="C272" s="6">
        <v>46449.833333333336</v>
      </c>
      <c r="D272" t="b">
        <v>0</v>
      </c>
      <c r="E272">
        <v>8</v>
      </c>
      <c r="G272">
        <v>1</v>
      </c>
      <c r="I272">
        <v>3</v>
      </c>
      <c r="J272">
        <v>5</v>
      </c>
    </row>
    <row r="273" spans="1:10" x14ac:dyDescent="0.25">
      <c r="A273">
        <v>28</v>
      </c>
      <c r="B273" t="b">
        <v>0</v>
      </c>
      <c r="C273" s="6">
        <v>46449.833333333336</v>
      </c>
      <c r="D273" t="b">
        <v>0</v>
      </c>
      <c r="E273">
        <v>19</v>
      </c>
      <c r="G273">
        <v>3</v>
      </c>
      <c r="I273">
        <v>3</v>
      </c>
      <c r="J273">
        <v>3</v>
      </c>
    </row>
    <row r="274" spans="1:10" x14ac:dyDescent="0.25">
      <c r="A274">
        <v>28</v>
      </c>
      <c r="B274" t="b">
        <v>0</v>
      </c>
      <c r="C274" s="6">
        <v>46449.833333333336</v>
      </c>
      <c r="D274" t="b">
        <v>0</v>
      </c>
      <c r="E274">
        <v>12</v>
      </c>
      <c r="G274">
        <v>4</v>
      </c>
      <c r="I274">
        <v>2</v>
      </c>
      <c r="J274">
        <v>3</v>
      </c>
    </row>
    <row r="275" spans="1:10" x14ac:dyDescent="0.25">
      <c r="A275">
        <v>28</v>
      </c>
      <c r="B275" t="b">
        <v>0</v>
      </c>
      <c r="C275" s="6">
        <v>46449.833333333336</v>
      </c>
      <c r="D275" t="b">
        <v>0</v>
      </c>
      <c r="E275">
        <v>10</v>
      </c>
      <c r="G275">
        <v>5</v>
      </c>
      <c r="I275">
        <v>2</v>
      </c>
      <c r="J275">
        <v>3</v>
      </c>
    </row>
    <row r="276" spans="1:10" x14ac:dyDescent="0.25">
      <c r="A276">
        <v>28</v>
      </c>
      <c r="B276" t="b">
        <v>0</v>
      </c>
      <c r="C276" s="6">
        <v>46449.833333333336</v>
      </c>
      <c r="D276" t="b">
        <v>0</v>
      </c>
      <c r="E276">
        <v>7</v>
      </c>
      <c r="G276">
        <v>6</v>
      </c>
      <c r="I276">
        <v>2</v>
      </c>
      <c r="J276">
        <v>4</v>
      </c>
    </row>
    <row r="277" spans="1:10" x14ac:dyDescent="0.25">
      <c r="A277">
        <v>28</v>
      </c>
      <c r="B277" t="b">
        <v>0</v>
      </c>
      <c r="C277" s="6">
        <v>46449.833333333336</v>
      </c>
      <c r="D277" t="b">
        <v>0</v>
      </c>
      <c r="E277">
        <v>11</v>
      </c>
      <c r="G277">
        <v>13</v>
      </c>
      <c r="I277">
        <v>2</v>
      </c>
      <c r="J277">
        <v>3</v>
      </c>
    </row>
    <row r="278" spans="1:10" x14ac:dyDescent="0.25">
      <c r="A278">
        <v>28</v>
      </c>
      <c r="B278" t="b">
        <v>0</v>
      </c>
      <c r="C278" s="6">
        <v>46449.833333333336</v>
      </c>
      <c r="D278" t="b">
        <v>0</v>
      </c>
      <c r="E278">
        <v>2</v>
      </c>
      <c r="G278">
        <v>14</v>
      </c>
      <c r="I278">
        <v>3</v>
      </c>
      <c r="J278">
        <v>4</v>
      </c>
    </row>
    <row r="279" spans="1:10" x14ac:dyDescent="0.25">
      <c r="A279">
        <v>28</v>
      </c>
      <c r="B279" t="b">
        <v>0</v>
      </c>
      <c r="C279" s="6">
        <v>46449.833333333336</v>
      </c>
      <c r="D279" t="b">
        <v>0</v>
      </c>
      <c r="E279">
        <v>9</v>
      </c>
      <c r="G279">
        <v>15</v>
      </c>
      <c r="I279">
        <v>3</v>
      </c>
      <c r="J279">
        <v>5</v>
      </c>
    </row>
    <row r="280" spans="1:10" x14ac:dyDescent="0.25">
      <c r="A280">
        <v>28</v>
      </c>
      <c r="B280" t="b">
        <v>0</v>
      </c>
      <c r="C280" s="6">
        <v>46449.833333333336</v>
      </c>
      <c r="D280" t="b">
        <v>0</v>
      </c>
      <c r="E280">
        <v>17</v>
      </c>
      <c r="G280">
        <v>18</v>
      </c>
      <c r="I280">
        <v>2</v>
      </c>
      <c r="J280">
        <v>3</v>
      </c>
    </row>
    <row r="281" spans="1:10" x14ac:dyDescent="0.25">
      <c r="A281">
        <v>28</v>
      </c>
      <c r="B281" t="b">
        <v>0</v>
      </c>
      <c r="C281" s="6">
        <v>46449.833333333336</v>
      </c>
      <c r="D281" t="b">
        <v>0</v>
      </c>
      <c r="E281">
        <v>16</v>
      </c>
      <c r="G281">
        <v>20</v>
      </c>
      <c r="I281">
        <v>4</v>
      </c>
      <c r="J281">
        <v>3</v>
      </c>
    </row>
    <row r="282" spans="1:10" x14ac:dyDescent="0.25">
      <c r="A282">
        <v>29</v>
      </c>
      <c r="B282" t="b">
        <v>0</v>
      </c>
      <c r="C282" s="6">
        <v>46459.625</v>
      </c>
      <c r="D282" t="b">
        <v>0</v>
      </c>
      <c r="E282">
        <v>11</v>
      </c>
      <c r="G282">
        <v>2</v>
      </c>
      <c r="I282">
        <v>2</v>
      </c>
      <c r="J282">
        <v>4</v>
      </c>
    </row>
    <row r="283" spans="1:10" x14ac:dyDescent="0.25">
      <c r="A283">
        <v>29</v>
      </c>
      <c r="B283" t="b">
        <v>0</v>
      </c>
      <c r="C283" s="6">
        <v>46459.625</v>
      </c>
      <c r="D283" t="b">
        <v>0</v>
      </c>
      <c r="E283">
        <v>17</v>
      </c>
      <c r="G283">
        <v>3</v>
      </c>
      <c r="I283">
        <v>2</v>
      </c>
      <c r="J283">
        <v>3</v>
      </c>
    </row>
    <row r="284" spans="1:10" x14ac:dyDescent="0.25">
      <c r="A284">
        <v>29</v>
      </c>
      <c r="B284" t="b">
        <v>0</v>
      </c>
      <c r="C284" s="6">
        <v>46459.625</v>
      </c>
      <c r="D284" t="b">
        <v>0</v>
      </c>
      <c r="E284">
        <v>1</v>
      </c>
      <c r="G284">
        <v>6</v>
      </c>
      <c r="I284">
        <v>4</v>
      </c>
      <c r="J284">
        <v>4</v>
      </c>
    </row>
    <row r="285" spans="1:10" x14ac:dyDescent="0.25">
      <c r="A285">
        <v>29</v>
      </c>
      <c r="B285" t="b">
        <v>0</v>
      </c>
      <c r="C285" s="6">
        <v>46459.625</v>
      </c>
      <c r="D285" t="b">
        <v>0</v>
      </c>
      <c r="E285">
        <v>15</v>
      </c>
      <c r="G285">
        <v>7</v>
      </c>
      <c r="I285">
        <v>4</v>
      </c>
      <c r="J285">
        <v>2</v>
      </c>
    </row>
    <row r="286" spans="1:10" x14ac:dyDescent="0.25">
      <c r="A286">
        <v>29</v>
      </c>
      <c r="B286" t="b">
        <v>0</v>
      </c>
      <c r="C286" s="6">
        <v>46459.625</v>
      </c>
      <c r="D286" t="b">
        <v>0</v>
      </c>
      <c r="E286">
        <v>10</v>
      </c>
      <c r="G286">
        <v>8</v>
      </c>
      <c r="I286">
        <v>2</v>
      </c>
      <c r="J286">
        <v>3</v>
      </c>
    </row>
    <row r="287" spans="1:10" x14ac:dyDescent="0.25">
      <c r="A287">
        <v>29</v>
      </c>
      <c r="B287" t="b">
        <v>0</v>
      </c>
      <c r="C287" s="6">
        <v>46459.625</v>
      </c>
      <c r="D287" t="b">
        <v>0</v>
      </c>
      <c r="E287">
        <v>5</v>
      </c>
      <c r="G287">
        <v>13</v>
      </c>
      <c r="I287">
        <v>2</v>
      </c>
      <c r="J287">
        <v>3</v>
      </c>
    </row>
    <row r="288" spans="1:10" x14ac:dyDescent="0.25">
      <c r="A288">
        <v>29</v>
      </c>
      <c r="B288" t="b">
        <v>0</v>
      </c>
      <c r="C288" s="6">
        <v>46459.625</v>
      </c>
      <c r="D288" t="b">
        <v>0</v>
      </c>
      <c r="E288">
        <v>12</v>
      </c>
      <c r="G288">
        <v>14</v>
      </c>
      <c r="I288">
        <v>2</v>
      </c>
      <c r="J288">
        <v>4</v>
      </c>
    </row>
    <row r="289" spans="1:10" x14ac:dyDescent="0.25">
      <c r="A289">
        <v>29</v>
      </c>
      <c r="B289" t="b">
        <v>0</v>
      </c>
      <c r="C289" s="6">
        <v>46459.625</v>
      </c>
      <c r="D289" t="b">
        <v>0</v>
      </c>
      <c r="E289">
        <v>9</v>
      </c>
      <c r="G289">
        <v>16</v>
      </c>
      <c r="I289">
        <v>3</v>
      </c>
      <c r="J289">
        <v>4</v>
      </c>
    </row>
    <row r="290" spans="1:10" x14ac:dyDescent="0.25">
      <c r="A290">
        <v>29</v>
      </c>
      <c r="B290" t="b">
        <v>0</v>
      </c>
      <c r="C290" s="6">
        <v>46459.625</v>
      </c>
      <c r="D290" t="b">
        <v>0</v>
      </c>
      <c r="E290">
        <v>18</v>
      </c>
      <c r="G290">
        <v>19</v>
      </c>
      <c r="I290">
        <v>3</v>
      </c>
      <c r="J290">
        <v>3</v>
      </c>
    </row>
    <row r="291" spans="1:10" x14ac:dyDescent="0.25">
      <c r="A291">
        <v>29</v>
      </c>
      <c r="B291" t="b">
        <v>0</v>
      </c>
      <c r="C291" s="6">
        <v>46459.625</v>
      </c>
      <c r="D291" t="b">
        <v>0</v>
      </c>
      <c r="E291">
        <v>4</v>
      </c>
      <c r="G291">
        <v>20</v>
      </c>
      <c r="I291">
        <v>3</v>
      </c>
      <c r="J291">
        <v>3</v>
      </c>
    </row>
    <row r="292" spans="1:10" x14ac:dyDescent="0.25">
      <c r="A292">
        <v>30</v>
      </c>
      <c r="B292" t="b">
        <v>0</v>
      </c>
      <c r="C292" s="6">
        <v>46466.625</v>
      </c>
      <c r="D292" t="b">
        <v>0</v>
      </c>
      <c r="E292">
        <v>20</v>
      </c>
      <c r="G292">
        <v>1</v>
      </c>
      <c r="I292">
        <v>2</v>
      </c>
      <c r="J292">
        <v>5</v>
      </c>
    </row>
    <row r="293" spans="1:10" x14ac:dyDescent="0.25">
      <c r="A293">
        <v>30</v>
      </c>
      <c r="B293" t="b">
        <v>0</v>
      </c>
      <c r="C293" s="6">
        <v>46466.625</v>
      </c>
      <c r="D293" t="b">
        <v>0</v>
      </c>
      <c r="E293">
        <v>3</v>
      </c>
      <c r="G293">
        <v>4</v>
      </c>
      <c r="I293">
        <v>3</v>
      </c>
      <c r="J293">
        <v>3</v>
      </c>
    </row>
    <row r="294" spans="1:10" x14ac:dyDescent="0.25">
      <c r="A294">
        <v>30</v>
      </c>
      <c r="B294" t="b">
        <v>0</v>
      </c>
      <c r="C294" s="6">
        <v>46466.625</v>
      </c>
      <c r="D294" t="b">
        <v>0</v>
      </c>
      <c r="E294">
        <v>7</v>
      </c>
      <c r="G294">
        <v>5</v>
      </c>
      <c r="I294">
        <v>2</v>
      </c>
      <c r="J294">
        <v>3</v>
      </c>
    </row>
    <row r="295" spans="1:10" x14ac:dyDescent="0.25">
      <c r="A295">
        <v>30</v>
      </c>
      <c r="B295" t="b">
        <v>0</v>
      </c>
      <c r="C295" s="6">
        <v>46466.625</v>
      </c>
      <c r="D295" t="b">
        <v>0</v>
      </c>
      <c r="E295">
        <v>19</v>
      </c>
      <c r="G295">
        <v>9</v>
      </c>
      <c r="I295">
        <v>3</v>
      </c>
      <c r="J295">
        <v>3</v>
      </c>
    </row>
    <row r="296" spans="1:10" x14ac:dyDescent="0.25">
      <c r="A296">
        <v>30</v>
      </c>
      <c r="B296" t="b">
        <v>0</v>
      </c>
      <c r="C296" s="6">
        <v>46466.625</v>
      </c>
      <c r="D296" t="b">
        <v>0</v>
      </c>
      <c r="E296">
        <v>14</v>
      </c>
      <c r="G296">
        <v>10</v>
      </c>
      <c r="I296">
        <v>4</v>
      </c>
      <c r="J296">
        <v>3</v>
      </c>
    </row>
    <row r="297" spans="1:10" x14ac:dyDescent="0.25">
      <c r="A297">
        <v>30</v>
      </c>
      <c r="B297" t="b">
        <v>0</v>
      </c>
      <c r="C297" s="6">
        <v>46466.625</v>
      </c>
      <c r="D297" t="b">
        <v>0</v>
      </c>
      <c r="E297">
        <v>6</v>
      </c>
      <c r="G297">
        <v>11</v>
      </c>
      <c r="I297">
        <v>4</v>
      </c>
      <c r="J297">
        <v>2</v>
      </c>
    </row>
    <row r="298" spans="1:10" x14ac:dyDescent="0.25">
      <c r="A298">
        <v>30</v>
      </c>
      <c r="B298" t="b">
        <v>0</v>
      </c>
      <c r="C298" s="6">
        <v>46466.625</v>
      </c>
      <c r="D298" t="b">
        <v>0</v>
      </c>
      <c r="E298">
        <v>8</v>
      </c>
      <c r="G298">
        <v>12</v>
      </c>
      <c r="I298">
        <v>3</v>
      </c>
      <c r="J298">
        <v>2</v>
      </c>
    </row>
    <row r="299" spans="1:10" x14ac:dyDescent="0.25">
      <c r="A299">
        <v>30</v>
      </c>
      <c r="B299" t="b">
        <v>0</v>
      </c>
      <c r="C299" s="6">
        <v>46466.625</v>
      </c>
      <c r="D299" t="b">
        <v>0</v>
      </c>
      <c r="E299">
        <v>16</v>
      </c>
      <c r="G299">
        <v>15</v>
      </c>
      <c r="I299">
        <v>4</v>
      </c>
      <c r="J299">
        <v>5</v>
      </c>
    </row>
    <row r="300" spans="1:10" x14ac:dyDescent="0.25">
      <c r="A300">
        <v>30</v>
      </c>
      <c r="B300" t="b">
        <v>0</v>
      </c>
      <c r="C300" s="6">
        <v>46466.625</v>
      </c>
      <c r="D300" t="b">
        <v>0</v>
      </c>
      <c r="E300">
        <v>13</v>
      </c>
      <c r="G300">
        <v>17</v>
      </c>
      <c r="I300">
        <v>2</v>
      </c>
      <c r="J300">
        <v>3</v>
      </c>
    </row>
    <row r="301" spans="1:10" x14ac:dyDescent="0.25">
      <c r="A301">
        <v>30</v>
      </c>
      <c r="B301" t="b">
        <v>0</v>
      </c>
      <c r="C301" s="6">
        <v>46466.625</v>
      </c>
      <c r="D301" t="b">
        <v>0</v>
      </c>
      <c r="E301">
        <v>2</v>
      </c>
      <c r="G301">
        <v>18</v>
      </c>
      <c r="I301">
        <v>3</v>
      </c>
      <c r="J301">
        <v>3</v>
      </c>
    </row>
    <row r="302" spans="1:10" x14ac:dyDescent="0.25">
      <c r="A302">
        <v>31</v>
      </c>
      <c r="B302" t="b">
        <v>0</v>
      </c>
      <c r="C302" s="6">
        <v>46487.625</v>
      </c>
      <c r="D302" t="b">
        <v>0</v>
      </c>
      <c r="E302">
        <v>5</v>
      </c>
      <c r="G302">
        <v>2</v>
      </c>
      <c r="I302">
        <v>2</v>
      </c>
      <c r="J302">
        <v>4</v>
      </c>
    </row>
    <row r="303" spans="1:10" x14ac:dyDescent="0.25">
      <c r="A303">
        <v>31</v>
      </c>
      <c r="B303" t="b">
        <v>0</v>
      </c>
      <c r="C303" s="6">
        <v>46487.625</v>
      </c>
      <c r="D303" t="b">
        <v>0</v>
      </c>
      <c r="E303">
        <v>15</v>
      </c>
      <c r="G303">
        <v>3</v>
      </c>
      <c r="I303">
        <v>4</v>
      </c>
      <c r="J303">
        <v>3</v>
      </c>
    </row>
    <row r="304" spans="1:10" x14ac:dyDescent="0.25">
      <c r="A304">
        <v>31</v>
      </c>
      <c r="B304" t="b">
        <v>0</v>
      </c>
      <c r="C304" s="6">
        <v>46487.625</v>
      </c>
      <c r="D304" t="b">
        <v>0</v>
      </c>
      <c r="E304">
        <v>10</v>
      </c>
      <c r="G304">
        <v>6</v>
      </c>
      <c r="I304">
        <v>2</v>
      </c>
      <c r="J304">
        <v>4</v>
      </c>
    </row>
    <row r="305" spans="1:10" x14ac:dyDescent="0.25">
      <c r="A305">
        <v>31</v>
      </c>
      <c r="B305" t="b">
        <v>0</v>
      </c>
      <c r="C305" s="6">
        <v>46487.625</v>
      </c>
      <c r="D305" t="b">
        <v>0</v>
      </c>
      <c r="E305">
        <v>1</v>
      </c>
      <c r="G305">
        <v>7</v>
      </c>
      <c r="I305">
        <v>4</v>
      </c>
      <c r="J305">
        <v>2</v>
      </c>
    </row>
    <row r="306" spans="1:10" x14ac:dyDescent="0.25">
      <c r="A306">
        <v>31</v>
      </c>
      <c r="B306" t="b">
        <v>0</v>
      </c>
      <c r="C306" s="6">
        <v>46487.625</v>
      </c>
      <c r="D306" t="b">
        <v>0</v>
      </c>
      <c r="E306">
        <v>9</v>
      </c>
      <c r="G306">
        <v>8</v>
      </c>
      <c r="I306">
        <v>3</v>
      </c>
      <c r="J306">
        <v>3</v>
      </c>
    </row>
    <row r="307" spans="1:10" x14ac:dyDescent="0.25">
      <c r="A307">
        <v>31</v>
      </c>
      <c r="B307" t="b">
        <v>0</v>
      </c>
      <c r="C307" s="6">
        <v>46487.625</v>
      </c>
      <c r="D307" t="b">
        <v>0</v>
      </c>
      <c r="E307">
        <v>18</v>
      </c>
      <c r="G307">
        <v>13</v>
      </c>
      <c r="I307">
        <v>3</v>
      </c>
      <c r="J307">
        <v>3</v>
      </c>
    </row>
    <row r="308" spans="1:10" x14ac:dyDescent="0.25">
      <c r="A308">
        <v>31</v>
      </c>
      <c r="B308" t="b">
        <v>0</v>
      </c>
      <c r="C308" s="6">
        <v>46487.625</v>
      </c>
      <c r="D308" t="b">
        <v>0</v>
      </c>
      <c r="E308">
        <v>17</v>
      </c>
      <c r="G308">
        <v>14</v>
      </c>
      <c r="I308">
        <v>2</v>
      </c>
      <c r="J308">
        <v>4</v>
      </c>
    </row>
    <row r="309" spans="1:10" x14ac:dyDescent="0.25">
      <c r="A309">
        <v>31</v>
      </c>
      <c r="B309" t="b">
        <v>0</v>
      </c>
      <c r="C309" s="6">
        <v>46487.625</v>
      </c>
      <c r="D309" t="b">
        <v>0</v>
      </c>
      <c r="E309">
        <v>11</v>
      </c>
      <c r="G309">
        <v>16</v>
      </c>
      <c r="I309">
        <v>2</v>
      </c>
      <c r="J309">
        <v>4</v>
      </c>
    </row>
    <row r="310" spans="1:10" x14ac:dyDescent="0.25">
      <c r="A310">
        <v>31</v>
      </c>
      <c r="B310" t="b">
        <v>0</v>
      </c>
      <c r="C310" s="6">
        <v>46487.625</v>
      </c>
      <c r="D310" t="b">
        <v>0</v>
      </c>
      <c r="E310">
        <v>4</v>
      </c>
      <c r="G310">
        <v>19</v>
      </c>
      <c r="I310">
        <v>3</v>
      </c>
      <c r="J310">
        <v>3</v>
      </c>
    </row>
    <row r="311" spans="1:10" x14ac:dyDescent="0.25">
      <c r="A311">
        <v>31</v>
      </c>
      <c r="B311" t="b">
        <v>0</v>
      </c>
      <c r="C311" s="6">
        <v>46487.625</v>
      </c>
      <c r="D311" t="b">
        <v>0</v>
      </c>
      <c r="E311">
        <v>12</v>
      </c>
      <c r="G311">
        <v>20</v>
      </c>
      <c r="I311">
        <v>2</v>
      </c>
      <c r="J311">
        <v>3</v>
      </c>
    </row>
    <row r="312" spans="1:10" x14ac:dyDescent="0.25">
      <c r="A312">
        <v>32</v>
      </c>
      <c r="B312" t="b">
        <v>0</v>
      </c>
      <c r="C312" s="6">
        <v>46494.625</v>
      </c>
      <c r="D312" t="b">
        <v>0</v>
      </c>
      <c r="E312">
        <v>2</v>
      </c>
      <c r="G312">
        <v>1</v>
      </c>
      <c r="I312">
        <v>3</v>
      </c>
      <c r="J312">
        <v>5</v>
      </c>
    </row>
    <row r="313" spans="1:10" x14ac:dyDescent="0.25">
      <c r="A313">
        <v>32</v>
      </c>
      <c r="B313" t="b">
        <v>0</v>
      </c>
      <c r="C313" s="6">
        <v>46494.625</v>
      </c>
      <c r="D313" t="b">
        <v>0</v>
      </c>
      <c r="E313">
        <v>13</v>
      </c>
      <c r="G313">
        <v>4</v>
      </c>
      <c r="I313">
        <v>2</v>
      </c>
      <c r="J313">
        <v>3</v>
      </c>
    </row>
    <row r="314" spans="1:10" x14ac:dyDescent="0.25">
      <c r="A314">
        <v>32</v>
      </c>
      <c r="B314" t="b">
        <v>0</v>
      </c>
      <c r="C314" s="6">
        <v>46494.625</v>
      </c>
      <c r="D314" t="b">
        <v>0</v>
      </c>
      <c r="E314">
        <v>6</v>
      </c>
      <c r="G314">
        <v>5</v>
      </c>
      <c r="I314">
        <v>4</v>
      </c>
      <c r="J314">
        <v>3</v>
      </c>
    </row>
    <row r="315" spans="1:10" x14ac:dyDescent="0.25">
      <c r="A315">
        <v>32</v>
      </c>
      <c r="B315" t="b">
        <v>0</v>
      </c>
      <c r="C315" s="6">
        <v>46494.625</v>
      </c>
      <c r="D315" t="b">
        <v>0</v>
      </c>
      <c r="E315">
        <v>3</v>
      </c>
      <c r="G315">
        <v>9</v>
      </c>
      <c r="I315">
        <v>3</v>
      </c>
      <c r="J315">
        <v>3</v>
      </c>
    </row>
    <row r="316" spans="1:10" x14ac:dyDescent="0.25">
      <c r="A316">
        <v>32</v>
      </c>
      <c r="B316" t="b">
        <v>0</v>
      </c>
      <c r="C316" s="6">
        <v>46494.625</v>
      </c>
      <c r="D316" t="b">
        <v>0</v>
      </c>
      <c r="E316">
        <v>20</v>
      </c>
      <c r="G316">
        <v>10</v>
      </c>
      <c r="I316">
        <v>2</v>
      </c>
      <c r="J316">
        <v>3</v>
      </c>
    </row>
    <row r="317" spans="1:10" x14ac:dyDescent="0.25">
      <c r="A317">
        <v>32</v>
      </c>
      <c r="B317" t="b">
        <v>0</v>
      </c>
      <c r="C317" s="6">
        <v>46494.625</v>
      </c>
      <c r="D317" t="b">
        <v>0</v>
      </c>
      <c r="E317">
        <v>7</v>
      </c>
      <c r="G317">
        <v>11</v>
      </c>
      <c r="I317">
        <v>2</v>
      </c>
      <c r="J317">
        <v>2</v>
      </c>
    </row>
    <row r="318" spans="1:10" x14ac:dyDescent="0.25">
      <c r="A318">
        <v>32</v>
      </c>
      <c r="B318" t="b">
        <v>0</v>
      </c>
      <c r="C318" s="6">
        <v>46494.625</v>
      </c>
      <c r="D318" t="b">
        <v>0</v>
      </c>
      <c r="E318">
        <v>16</v>
      </c>
      <c r="G318">
        <v>12</v>
      </c>
      <c r="I318">
        <v>4</v>
      </c>
      <c r="J318">
        <v>2</v>
      </c>
    </row>
    <row r="319" spans="1:10" x14ac:dyDescent="0.25">
      <c r="A319">
        <v>32</v>
      </c>
      <c r="B319" t="b">
        <v>0</v>
      </c>
      <c r="C319" s="6">
        <v>46494.625</v>
      </c>
      <c r="D319" t="b">
        <v>0</v>
      </c>
      <c r="E319">
        <v>8</v>
      </c>
      <c r="G319">
        <v>15</v>
      </c>
      <c r="I319">
        <v>3</v>
      </c>
      <c r="J319">
        <v>5</v>
      </c>
    </row>
    <row r="320" spans="1:10" x14ac:dyDescent="0.25">
      <c r="A320">
        <v>32</v>
      </c>
      <c r="B320" t="b">
        <v>0</v>
      </c>
      <c r="C320" s="6">
        <v>46494.625</v>
      </c>
      <c r="D320" t="b">
        <v>0</v>
      </c>
      <c r="E320">
        <v>19</v>
      </c>
      <c r="G320">
        <v>17</v>
      </c>
      <c r="I320">
        <v>3</v>
      </c>
      <c r="J320">
        <v>3</v>
      </c>
    </row>
    <row r="321" spans="1:10" x14ac:dyDescent="0.25">
      <c r="A321">
        <v>32</v>
      </c>
      <c r="B321" t="b">
        <v>0</v>
      </c>
      <c r="C321" s="6">
        <v>46494.625</v>
      </c>
      <c r="D321" t="b">
        <v>0</v>
      </c>
      <c r="E321">
        <v>14</v>
      </c>
      <c r="G321">
        <v>18</v>
      </c>
      <c r="I321">
        <v>4</v>
      </c>
      <c r="J321">
        <v>3</v>
      </c>
    </row>
    <row r="322" spans="1:10" x14ac:dyDescent="0.25">
      <c r="A322">
        <v>33</v>
      </c>
      <c r="B322" t="b">
        <v>0</v>
      </c>
      <c r="C322" s="6">
        <v>46501.625</v>
      </c>
      <c r="D322" t="b">
        <v>0</v>
      </c>
      <c r="E322">
        <v>7</v>
      </c>
      <c r="G322">
        <v>2</v>
      </c>
      <c r="I322">
        <v>2</v>
      </c>
      <c r="J322">
        <v>4</v>
      </c>
    </row>
    <row r="323" spans="1:10" x14ac:dyDescent="0.25">
      <c r="A323">
        <v>33</v>
      </c>
      <c r="B323" t="b">
        <v>0</v>
      </c>
      <c r="C323" s="6">
        <v>46501.625</v>
      </c>
      <c r="D323" t="b">
        <v>0</v>
      </c>
      <c r="E323">
        <v>1</v>
      </c>
      <c r="G323">
        <v>3</v>
      </c>
      <c r="I323">
        <v>4</v>
      </c>
      <c r="J323">
        <v>3</v>
      </c>
    </row>
    <row r="324" spans="1:10" x14ac:dyDescent="0.25">
      <c r="A324">
        <v>33</v>
      </c>
      <c r="B324" t="b">
        <v>0</v>
      </c>
      <c r="C324" s="6">
        <v>46501.625</v>
      </c>
      <c r="D324" t="b">
        <v>0</v>
      </c>
      <c r="E324">
        <v>10</v>
      </c>
      <c r="G324">
        <v>4</v>
      </c>
      <c r="I324">
        <v>2</v>
      </c>
      <c r="J324">
        <v>3</v>
      </c>
    </row>
    <row r="325" spans="1:10" x14ac:dyDescent="0.25">
      <c r="A325">
        <v>33</v>
      </c>
      <c r="B325" t="b">
        <v>0</v>
      </c>
      <c r="C325" s="6">
        <v>46501.625</v>
      </c>
      <c r="D325" t="b">
        <v>0</v>
      </c>
      <c r="E325">
        <v>15</v>
      </c>
      <c r="G325">
        <v>6</v>
      </c>
      <c r="I325">
        <v>4</v>
      </c>
      <c r="J325">
        <v>4</v>
      </c>
    </row>
    <row r="326" spans="1:10" x14ac:dyDescent="0.25">
      <c r="A326">
        <v>33</v>
      </c>
      <c r="B326" t="b">
        <v>0</v>
      </c>
      <c r="C326" s="6">
        <v>46501.625</v>
      </c>
      <c r="D326" t="b">
        <v>0</v>
      </c>
      <c r="E326">
        <v>5</v>
      </c>
      <c r="G326">
        <v>9</v>
      </c>
      <c r="I326">
        <v>2</v>
      </c>
      <c r="J326">
        <v>3</v>
      </c>
    </row>
    <row r="327" spans="1:10" x14ac:dyDescent="0.25">
      <c r="A327">
        <v>33</v>
      </c>
      <c r="B327" t="b">
        <v>0</v>
      </c>
      <c r="C327" s="6">
        <v>46501.625</v>
      </c>
      <c r="D327" t="b">
        <v>0</v>
      </c>
      <c r="E327">
        <v>14</v>
      </c>
      <c r="G327">
        <v>13</v>
      </c>
      <c r="I327">
        <v>4</v>
      </c>
      <c r="J327">
        <v>3</v>
      </c>
    </row>
    <row r="328" spans="1:10" x14ac:dyDescent="0.25">
      <c r="A328">
        <v>33</v>
      </c>
      <c r="B328" t="b">
        <v>0</v>
      </c>
      <c r="C328" s="6">
        <v>46501.625</v>
      </c>
      <c r="D328" t="b">
        <v>0</v>
      </c>
      <c r="E328">
        <v>8</v>
      </c>
      <c r="G328">
        <v>16</v>
      </c>
      <c r="I328">
        <v>3</v>
      </c>
      <c r="J328">
        <v>4</v>
      </c>
    </row>
    <row r="329" spans="1:10" x14ac:dyDescent="0.25">
      <c r="A329">
        <v>33</v>
      </c>
      <c r="B329" t="b">
        <v>0</v>
      </c>
      <c r="C329" s="6">
        <v>46501.625</v>
      </c>
      <c r="D329" t="b">
        <v>0</v>
      </c>
      <c r="E329">
        <v>12</v>
      </c>
      <c r="G329">
        <v>17</v>
      </c>
      <c r="I329">
        <v>2</v>
      </c>
      <c r="J329">
        <v>3</v>
      </c>
    </row>
    <row r="330" spans="1:10" x14ac:dyDescent="0.25">
      <c r="A330">
        <v>33</v>
      </c>
      <c r="B330" t="b">
        <v>0</v>
      </c>
      <c r="C330" s="6">
        <v>46501.625</v>
      </c>
      <c r="D330" t="b">
        <v>0</v>
      </c>
      <c r="E330">
        <v>20</v>
      </c>
      <c r="G330">
        <v>18</v>
      </c>
      <c r="I330">
        <v>2</v>
      </c>
      <c r="J330">
        <v>3</v>
      </c>
    </row>
    <row r="331" spans="1:10" x14ac:dyDescent="0.25">
      <c r="A331">
        <v>33</v>
      </c>
      <c r="B331" t="b">
        <v>0</v>
      </c>
      <c r="C331" s="6">
        <v>46501.625</v>
      </c>
      <c r="D331" t="b">
        <v>0</v>
      </c>
      <c r="E331">
        <v>11</v>
      </c>
      <c r="G331">
        <v>19</v>
      </c>
      <c r="I331">
        <v>2</v>
      </c>
      <c r="J331">
        <v>3</v>
      </c>
    </row>
    <row r="332" spans="1:10" x14ac:dyDescent="0.25">
      <c r="A332">
        <v>34</v>
      </c>
      <c r="B332" t="b">
        <v>0</v>
      </c>
      <c r="C332" s="6">
        <v>46508.625</v>
      </c>
      <c r="D332" t="b">
        <v>0</v>
      </c>
      <c r="E332">
        <v>19</v>
      </c>
      <c r="G332">
        <v>1</v>
      </c>
      <c r="I332">
        <v>3</v>
      </c>
      <c r="J332">
        <v>5</v>
      </c>
    </row>
    <row r="333" spans="1:10" x14ac:dyDescent="0.25">
      <c r="A333">
        <v>34</v>
      </c>
      <c r="B333" t="b">
        <v>0</v>
      </c>
      <c r="C333" s="6">
        <v>46508.625</v>
      </c>
      <c r="D333" t="b">
        <v>0</v>
      </c>
      <c r="E333">
        <v>18</v>
      </c>
      <c r="G333">
        <v>5</v>
      </c>
      <c r="I333">
        <v>3</v>
      </c>
      <c r="J333">
        <v>3</v>
      </c>
    </row>
    <row r="334" spans="1:10" x14ac:dyDescent="0.25">
      <c r="A334">
        <v>34</v>
      </c>
      <c r="B334" t="b">
        <v>0</v>
      </c>
      <c r="C334" s="6">
        <v>46508.625</v>
      </c>
      <c r="D334" t="b">
        <v>0</v>
      </c>
      <c r="E334">
        <v>16</v>
      </c>
      <c r="G334">
        <v>7</v>
      </c>
      <c r="I334">
        <v>4</v>
      </c>
      <c r="J334">
        <v>2</v>
      </c>
    </row>
    <row r="335" spans="1:10" x14ac:dyDescent="0.25">
      <c r="A335">
        <v>34</v>
      </c>
      <c r="B335" t="b">
        <v>0</v>
      </c>
      <c r="C335" s="6">
        <v>46508.625</v>
      </c>
      <c r="D335" t="b">
        <v>0</v>
      </c>
      <c r="E335">
        <v>2</v>
      </c>
      <c r="G335">
        <v>8</v>
      </c>
      <c r="I335">
        <v>3</v>
      </c>
      <c r="J335">
        <v>3</v>
      </c>
    </row>
    <row r="336" spans="1:10" x14ac:dyDescent="0.25">
      <c r="A336">
        <v>34</v>
      </c>
      <c r="B336" t="b">
        <v>0</v>
      </c>
      <c r="C336" s="6">
        <v>46508.625</v>
      </c>
      <c r="D336" t="b">
        <v>0</v>
      </c>
      <c r="E336">
        <v>9</v>
      </c>
      <c r="G336">
        <v>10</v>
      </c>
      <c r="I336">
        <v>3</v>
      </c>
      <c r="J336">
        <v>3</v>
      </c>
    </row>
    <row r="337" spans="1:10" x14ac:dyDescent="0.25">
      <c r="A337">
        <v>34</v>
      </c>
      <c r="B337" t="b">
        <v>0</v>
      </c>
      <c r="C337" s="6">
        <v>46508.625</v>
      </c>
      <c r="D337" t="b">
        <v>0</v>
      </c>
      <c r="E337">
        <v>3</v>
      </c>
      <c r="G337">
        <v>11</v>
      </c>
      <c r="I337">
        <v>3</v>
      </c>
      <c r="J337">
        <v>2</v>
      </c>
    </row>
    <row r="338" spans="1:10" x14ac:dyDescent="0.25">
      <c r="A338">
        <v>34</v>
      </c>
      <c r="B338" t="b">
        <v>0</v>
      </c>
      <c r="C338" s="6">
        <v>46508.625</v>
      </c>
      <c r="D338" t="b">
        <v>0</v>
      </c>
      <c r="E338">
        <v>13</v>
      </c>
      <c r="G338">
        <v>12</v>
      </c>
      <c r="I338">
        <v>2</v>
      </c>
      <c r="J338">
        <v>2</v>
      </c>
    </row>
    <row r="339" spans="1:10" x14ac:dyDescent="0.25">
      <c r="A339">
        <v>34</v>
      </c>
      <c r="B339" t="b">
        <v>0</v>
      </c>
      <c r="C339" s="6">
        <v>46508.625</v>
      </c>
      <c r="D339" t="b">
        <v>0</v>
      </c>
      <c r="E339">
        <v>6</v>
      </c>
      <c r="G339">
        <v>14</v>
      </c>
      <c r="I339">
        <v>4</v>
      </c>
      <c r="J339">
        <v>4</v>
      </c>
    </row>
    <row r="340" spans="1:10" x14ac:dyDescent="0.25">
      <c r="A340">
        <v>34</v>
      </c>
      <c r="B340" t="b">
        <v>0</v>
      </c>
      <c r="C340" s="6">
        <v>46508.625</v>
      </c>
      <c r="D340" t="b">
        <v>0</v>
      </c>
      <c r="E340">
        <v>4</v>
      </c>
      <c r="G340">
        <v>15</v>
      </c>
      <c r="I340">
        <v>3</v>
      </c>
      <c r="J340">
        <v>5</v>
      </c>
    </row>
    <row r="341" spans="1:10" x14ac:dyDescent="0.25">
      <c r="A341">
        <v>34</v>
      </c>
      <c r="B341" t="b">
        <v>0</v>
      </c>
      <c r="C341" s="6">
        <v>46508.625</v>
      </c>
      <c r="D341" t="b">
        <v>0</v>
      </c>
      <c r="E341">
        <v>17</v>
      </c>
      <c r="G341">
        <v>20</v>
      </c>
      <c r="I341">
        <v>2</v>
      </c>
      <c r="J341">
        <v>3</v>
      </c>
    </row>
    <row r="342" spans="1:10" x14ac:dyDescent="0.25">
      <c r="A342">
        <v>35</v>
      </c>
      <c r="B342" t="b">
        <v>0</v>
      </c>
      <c r="C342" s="6">
        <v>46515.625</v>
      </c>
      <c r="D342" t="b">
        <v>0</v>
      </c>
      <c r="E342">
        <v>16</v>
      </c>
      <c r="G342">
        <v>3</v>
      </c>
      <c r="I342">
        <v>4</v>
      </c>
      <c r="J342">
        <v>3</v>
      </c>
    </row>
    <row r="343" spans="1:10" x14ac:dyDescent="0.25">
      <c r="A343">
        <v>35</v>
      </c>
      <c r="B343" t="b">
        <v>0</v>
      </c>
      <c r="C343" s="6">
        <v>46515.625</v>
      </c>
      <c r="D343" t="b">
        <v>0</v>
      </c>
      <c r="E343">
        <v>2</v>
      </c>
      <c r="G343">
        <v>4</v>
      </c>
      <c r="I343">
        <v>3</v>
      </c>
      <c r="J343">
        <v>3</v>
      </c>
    </row>
    <row r="344" spans="1:10" x14ac:dyDescent="0.25">
      <c r="A344">
        <v>35</v>
      </c>
      <c r="B344" t="b">
        <v>0</v>
      </c>
      <c r="C344" s="6">
        <v>46515.625</v>
      </c>
      <c r="D344" t="b">
        <v>0</v>
      </c>
      <c r="E344">
        <v>20</v>
      </c>
      <c r="G344">
        <v>5</v>
      </c>
      <c r="I344">
        <v>2</v>
      </c>
      <c r="J344">
        <v>3</v>
      </c>
    </row>
    <row r="345" spans="1:10" x14ac:dyDescent="0.25">
      <c r="A345">
        <v>35</v>
      </c>
      <c r="B345" t="b">
        <v>0</v>
      </c>
      <c r="C345" s="6">
        <v>46515.625</v>
      </c>
      <c r="D345" t="b">
        <v>0</v>
      </c>
      <c r="E345">
        <v>11</v>
      </c>
      <c r="G345">
        <v>9</v>
      </c>
      <c r="I345">
        <v>2</v>
      </c>
      <c r="J345">
        <v>3</v>
      </c>
    </row>
    <row r="346" spans="1:10" x14ac:dyDescent="0.25">
      <c r="A346">
        <v>35</v>
      </c>
      <c r="B346" t="b">
        <v>0</v>
      </c>
      <c r="C346" s="6">
        <v>46515.625</v>
      </c>
      <c r="D346" t="b">
        <v>0</v>
      </c>
      <c r="E346">
        <v>12</v>
      </c>
      <c r="G346">
        <v>10</v>
      </c>
      <c r="I346">
        <v>2</v>
      </c>
      <c r="J346">
        <v>3</v>
      </c>
    </row>
    <row r="347" spans="1:10" x14ac:dyDescent="0.25">
      <c r="A347">
        <v>35</v>
      </c>
      <c r="B347" t="b">
        <v>0</v>
      </c>
      <c r="C347" s="6">
        <v>46515.625</v>
      </c>
      <c r="D347" t="b">
        <v>0</v>
      </c>
      <c r="E347">
        <v>1</v>
      </c>
      <c r="G347">
        <v>13</v>
      </c>
      <c r="I347">
        <v>4</v>
      </c>
      <c r="J347">
        <v>3</v>
      </c>
    </row>
    <row r="348" spans="1:10" x14ac:dyDescent="0.25">
      <c r="A348">
        <v>35</v>
      </c>
      <c r="B348" t="b">
        <v>0</v>
      </c>
      <c r="C348" s="6">
        <v>46515.625</v>
      </c>
      <c r="D348" t="b">
        <v>0</v>
      </c>
      <c r="E348">
        <v>14</v>
      </c>
      <c r="G348">
        <v>15</v>
      </c>
      <c r="I348">
        <v>4</v>
      </c>
      <c r="J348">
        <v>5</v>
      </c>
    </row>
    <row r="349" spans="1:10" x14ac:dyDescent="0.25">
      <c r="A349">
        <v>35</v>
      </c>
      <c r="B349" t="b">
        <v>0</v>
      </c>
      <c r="C349" s="6">
        <v>46515.625</v>
      </c>
      <c r="D349" t="b">
        <v>0</v>
      </c>
      <c r="E349">
        <v>7</v>
      </c>
      <c r="G349">
        <v>17</v>
      </c>
      <c r="I349">
        <v>2</v>
      </c>
      <c r="J349">
        <v>3</v>
      </c>
    </row>
    <row r="350" spans="1:10" x14ac:dyDescent="0.25">
      <c r="A350">
        <v>35</v>
      </c>
      <c r="B350" t="b">
        <v>0</v>
      </c>
      <c r="C350" s="6">
        <v>46515.625</v>
      </c>
      <c r="D350" t="b">
        <v>0</v>
      </c>
      <c r="E350">
        <v>8</v>
      </c>
      <c r="G350">
        <v>18</v>
      </c>
      <c r="I350">
        <v>3</v>
      </c>
      <c r="J350">
        <v>3</v>
      </c>
    </row>
    <row r="351" spans="1:10" x14ac:dyDescent="0.25">
      <c r="A351">
        <v>35</v>
      </c>
      <c r="B351" t="b">
        <v>0</v>
      </c>
      <c r="C351" s="6">
        <v>46515.625</v>
      </c>
      <c r="D351" t="b">
        <v>0</v>
      </c>
      <c r="E351">
        <v>6</v>
      </c>
      <c r="G351">
        <v>19</v>
      </c>
      <c r="I351">
        <v>4</v>
      </c>
      <c r="J351">
        <v>3</v>
      </c>
    </row>
    <row r="352" spans="1:10" x14ac:dyDescent="0.25">
      <c r="A352">
        <v>36</v>
      </c>
      <c r="B352" t="b">
        <v>0</v>
      </c>
      <c r="C352" s="6">
        <v>46522.625</v>
      </c>
      <c r="D352" t="b">
        <v>0</v>
      </c>
      <c r="E352">
        <v>18</v>
      </c>
      <c r="G352">
        <v>1</v>
      </c>
      <c r="I352">
        <v>3</v>
      </c>
      <c r="J352">
        <v>5</v>
      </c>
    </row>
    <row r="353" spans="1:10" x14ac:dyDescent="0.25">
      <c r="A353">
        <v>36</v>
      </c>
      <c r="B353" t="b">
        <v>0</v>
      </c>
      <c r="C353" s="6">
        <v>46522.625</v>
      </c>
      <c r="D353" t="b">
        <v>0</v>
      </c>
      <c r="E353">
        <v>17</v>
      </c>
      <c r="G353">
        <v>2</v>
      </c>
      <c r="I353">
        <v>2</v>
      </c>
      <c r="J353">
        <v>4</v>
      </c>
    </row>
    <row r="354" spans="1:10" x14ac:dyDescent="0.25">
      <c r="A354">
        <v>36</v>
      </c>
      <c r="B354" t="b">
        <v>0</v>
      </c>
      <c r="C354" s="6">
        <v>46522.625</v>
      </c>
      <c r="D354" t="b">
        <v>0</v>
      </c>
      <c r="E354">
        <v>9</v>
      </c>
      <c r="G354">
        <v>6</v>
      </c>
      <c r="I354">
        <v>3</v>
      </c>
      <c r="J354">
        <v>4</v>
      </c>
    </row>
    <row r="355" spans="1:10" x14ac:dyDescent="0.25">
      <c r="A355">
        <v>36</v>
      </c>
      <c r="B355" t="b">
        <v>0</v>
      </c>
      <c r="C355" s="6">
        <v>46522.625</v>
      </c>
      <c r="D355" t="b">
        <v>0</v>
      </c>
      <c r="E355">
        <v>19</v>
      </c>
      <c r="G355">
        <v>7</v>
      </c>
      <c r="I355">
        <v>3</v>
      </c>
      <c r="J355">
        <v>2</v>
      </c>
    </row>
    <row r="356" spans="1:10" x14ac:dyDescent="0.25">
      <c r="A356">
        <v>36</v>
      </c>
      <c r="B356" t="b">
        <v>0</v>
      </c>
      <c r="C356" s="6">
        <v>46522.625</v>
      </c>
      <c r="D356" t="b">
        <v>0</v>
      </c>
      <c r="E356">
        <v>5</v>
      </c>
      <c r="G356">
        <v>8</v>
      </c>
      <c r="I356">
        <v>2</v>
      </c>
      <c r="J356">
        <v>3</v>
      </c>
    </row>
    <row r="357" spans="1:10" x14ac:dyDescent="0.25">
      <c r="A357">
        <v>36</v>
      </c>
      <c r="B357" t="b">
        <v>0</v>
      </c>
      <c r="C357" s="6">
        <v>46522.625</v>
      </c>
      <c r="D357" t="b">
        <v>0</v>
      </c>
      <c r="E357">
        <v>10</v>
      </c>
      <c r="G357">
        <v>11</v>
      </c>
      <c r="I357">
        <v>2</v>
      </c>
      <c r="J357">
        <v>2</v>
      </c>
    </row>
    <row r="358" spans="1:10" x14ac:dyDescent="0.25">
      <c r="A358">
        <v>36</v>
      </c>
      <c r="B358" t="b">
        <v>0</v>
      </c>
      <c r="C358" s="6">
        <v>46522.625</v>
      </c>
      <c r="D358" t="b">
        <v>0</v>
      </c>
      <c r="E358">
        <v>15</v>
      </c>
      <c r="G358">
        <v>12</v>
      </c>
      <c r="I358">
        <v>4</v>
      </c>
      <c r="J358">
        <v>2</v>
      </c>
    </row>
    <row r="359" spans="1:10" x14ac:dyDescent="0.25">
      <c r="A359">
        <v>36</v>
      </c>
      <c r="B359" t="b">
        <v>0</v>
      </c>
      <c r="C359" s="6">
        <v>46522.625</v>
      </c>
      <c r="D359" t="b">
        <v>0</v>
      </c>
      <c r="E359">
        <v>4</v>
      </c>
      <c r="G359">
        <v>14</v>
      </c>
      <c r="I359">
        <v>3</v>
      </c>
      <c r="J359">
        <v>4</v>
      </c>
    </row>
    <row r="360" spans="1:10" x14ac:dyDescent="0.25">
      <c r="A360">
        <v>36</v>
      </c>
      <c r="B360" t="b">
        <v>0</v>
      </c>
      <c r="C360" s="6">
        <v>46522.625</v>
      </c>
      <c r="D360" t="b">
        <v>0</v>
      </c>
      <c r="E360">
        <v>13</v>
      </c>
      <c r="G360">
        <v>16</v>
      </c>
      <c r="I360">
        <v>2</v>
      </c>
      <c r="J360">
        <v>4</v>
      </c>
    </row>
    <row r="361" spans="1:10" x14ac:dyDescent="0.25">
      <c r="A361">
        <v>36</v>
      </c>
      <c r="B361" t="b">
        <v>0</v>
      </c>
      <c r="C361" s="6">
        <v>46522.625</v>
      </c>
      <c r="D361" t="b">
        <v>0</v>
      </c>
      <c r="E361">
        <v>3</v>
      </c>
      <c r="G361">
        <v>20</v>
      </c>
      <c r="I361">
        <v>3</v>
      </c>
      <c r="J361">
        <v>3</v>
      </c>
    </row>
    <row r="362" spans="1:10" x14ac:dyDescent="0.25">
      <c r="A362">
        <v>37</v>
      </c>
      <c r="B362" t="b">
        <v>0</v>
      </c>
      <c r="C362" s="6">
        <v>46530.625</v>
      </c>
      <c r="D362" t="b">
        <v>0</v>
      </c>
      <c r="E362">
        <v>6</v>
      </c>
      <c r="G362">
        <v>3</v>
      </c>
      <c r="I362">
        <v>4</v>
      </c>
      <c r="J362">
        <v>3</v>
      </c>
    </row>
    <row r="363" spans="1:10" x14ac:dyDescent="0.25">
      <c r="A363">
        <v>37</v>
      </c>
      <c r="B363" t="b">
        <v>0</v>
      </c>
      <c r="C363" s="6">
        <v>46530.625</v>
      </c>
      <c r="D363" t="b">
        <v>0</v>
      </c>
      <c r="E363">
        <v>11</v>
      </c>
      <c r="G363">
        <v>4</v>
      </c>
      <c r="I363">
        <v>2</v>
      </c>
      <c r="J363">
        <v>3</v>
      </c>
    </row>
    <row r="364" spans="1:10" x14ac:dyDescent="0.25">
      <c r="A364">
        <v>37</v>
      </c>
      <c r="B364" t="b">
        <v>0</v>
      </c>
      <c r="C364" s="6">
        <v>46530.625</v>
      </c>
      <c r="D364" t="b">
        <v>0</v>
      </c>
      <c r="E364">
        <v>14</v>
      </c>
      <c r="G364">
        <v>5</v>
      </c>
      <c r="I364">
        <v>4</v>
      </c>
      <c r="J364">
        <v>3</v>
      </c>
    </row>
    <row r="365" spans="1:10" x14ac:dyDescent="0.25">
      <c r="A365">
        <v>37</v>
      </c>
      <c r="B365" t="b">
        <v>0</v>
      </c>
      <c r="C365" s="6">
        <v>46530.625</v>
      </c>
      <c r="D365" t="b">
        <v>0</v>
      </c>
      <c r="E365">
        <v>1</v>
      </c>
      <c r="G365">
        <v>9</v>
      </c>
      <c r="I365">
        <v>4</v>
      </c>
      <c r="J365">
        <v>3</v>
      </c>
    </row>
    <row r="366" spans="1:10" x14ac:dyDescent="0.25">
      <c r="A366">
        <v>37</v>
      </c>
      <c r="B366" t="b">
        <v>0</v>
      </c>
      <c r="C366" s="6">
        <v>46530.625</v>
      </c>
      <c r="D366" t="b">
        <v>0</v>
      </c>
      <c r="E366">
        <v>7</v>
      </c>
      <c r="G366">
        <v>10</v>
      </c>
      <c r="I366">
        <v>2</v>
      </c>
      <c r="J366">
        <v>3</v>
      </c>
    </row>
    <row r="367" spans="1:10" x14ac:dyDescent="0.25">
      <c r="A367">
        <v>37</v>
      </c>
      <c r="B367" t="b">
        <v>0</v>
      </c>
      <c r="C367" s="6">
        <v>46530.625</v>
      </c>
      <c r="D367" t="b">
        <v>0</v>
      </c>
      <c r="E367">
        <v>20</v>
      </c>
      <c r="G367">
        <v>13</v>
      </c>
      <c r="I367">
        <v>2</v>
      </c>
      <c r="J367">
        <v>3</v>
      </c>
    </row>
    <row r="368" spans="1:10" x14ac:dyDescent="0.25">
      <c r="A368">
        <v>37</v>
      </c>
      <c r="B368" t="b">
        <v>0</v>
      </c>
      <c r="C368" s="6">
        <v>46530.625</v>
      </c>
      <c r="D368" t="b">
        <v>0</v>
      </c>
      <c r="E368">
        <v>2</v>
      </c>
      <c r="G368">
        <v>15</v>
      </c>
      <c r="I368">
        <v>3</v>
      </c>
      <c r="J368">
        <v>5</v>
      </c>
    </row>
    <row r="369" spans="1:10" x14ac:dyDescent="0.25">
      <c r="A369">
        <v>37</v>
      </c>
      <c r="B369" t="b">
        <v>0</v>
      </c>
      <c r="C369" s="6">
        <v>46530.625</v>
      </c>
      <c r="D369" t="b">
        <v>0</v>
      </c>
      <c r="E369">
        <v>8</v>
      </c>
      <c r="G369">
        <v>17</v>
      </c>
      <c r="I369">
        <v>3</v>
      </c>
      <c r="J369">
        <v>3</v>
      </c>
    </row>
    <row r="370" spans="1:10" x14ac:dyDescent="0.25">
      <c r="A370">
        <v>37</v>
      </c>
      <c r="B370" t="b">
        <v>0</v>
      </c>
      <c r="C370" s="6">
        <v>46530.625</v>
      </c>
      <c r="D370" t="b">
        <v>0</v>
      </c>
      <c r="E370">
        <v>12</v>
      </c>
      <c r="G370">
        <v>18</v>
      </c>
      <c r="I370">
        <v>2</v>
      </c>
      <c r="J370">
        <v>3</v>
      </c>
    </row>
    <row r="371" spans="1:10" x14ac:dyDescent="0.25">
      <c r="A371">
        <v>37</v>
      </c>
      <c r="B371" t="b">
        <v>0</v>
      </c>
      <c r="C371" s="6">
        <v>46530.625</v>
      </c>
      <c r="D371" t="b">
        <v>0</v>
      </c>
      <c r="E371">
        <v>16</v>
      </c>
      <c r="G371">
        <v>19</v>
      </c>
      <c r="I371">
        <v>4</v>
      </c>
      <c r="J371">
        <v>3</v>
      </c>
    </row>
    <row r="372" spans="1:10" x14ac:dyDescent="0.25">
      <c r="A372">
        <v>38</v>
      </c>
      <c r="B372" t="b">
        <v>0</v>
      </c>
      <c r="C372" s="6">
        <v>46537.666666666664</v>
      </c>
      <c r="D372" t="b">
        <v>0</v>
      </c>
      <c r="E372">
        <v>5</v>
      </c>
      <c r="G372">
        <v>1</v>
      </c>
      <c r="I372">
        <v>2</v>
      </c>
      <c r="J372">
        <v>5</v>
      </c>
    </row>
    <row r="373" spans="1:10" x14ac:dyDescent="0.25">
      <c r="A373">
        <v>38</v>
      </c>
      <c r="B373" t="b">
        <v>0</v>
      </c>
      <c r="C373" s="6">
        <v>46537.666666666664</v>
      </c>
      <c r="D373" t="b">
        <v>0</v>
      </c>
      <c r="E373">
        <v>19</v>
      </c>
      <c r="G373">
        <v>2</v>
      </c>
      <c r="I373">
        <v>3</v>
      </c>
      <c r="J373">
        <v>4</v>
      </c>
    </row>
    <row r="374" spans="1:10" x14ac:dyDescent="0.25">
      <c r="A374">
        <v>38</v>
      </c>
      <c r="B374" t="b">
        <v>0</v>
      </c>
      <c r="C374" s="6">
        <v>46537.666666666664</v>
      </c>
      <c r="D374" t="b">
        <v>0</v>
      </c>
      <c r="E374">
        <v>4</v>
      </c>
      <c r="G374">
        <v>6</v>
      </c>
      <c r="I374">
        <v>3</v>
      </c>
      <c r="J374">
        <v>4</v>
      </c>
    </row>
    <row r="375" spans="1:10" x14ac:dyDescent="0.25">
      <c r="A375">
        <v>38</v>
      </c>
      <c r="B375" t="b">
        <v>0</v>
      </c>
      <c r="C375" s="6">
        <v>46537.666666666664</v>
      </c>
      <c r="D375" t="b">
        <v>0</v>
      </c>
      <c r="E375">
        <v>18</v>
      </c>
      <c r="G375">
        <v>7</v>
      </c>
      <c r="I375">
        <v>3</v>
      </c>
      <c r="J375">
        <v>2</v>
      </c>
    </row>
    <row r="376" spans="1:10" x14ac:dyDescent="0.25">
      <c r="A376">
        <v>38</v>
      </c>
      <c r="B376" t="b">
        <v>0</v>
      </c>
      <c r="C376" s="6">
        <v>46537.666666666664</v>
      </c>
      <c r="D376" t="b">
        <v>0</v>
      </c>
      <c r="E376">
        <v>13</v>
      </c>
      <c r="G376">
        <v>8</v>
      </c>
      <c r="I376">
        <v>2</v>
      </c>
      <c r="J376">
        <v>3</v>
      </c>
    </row>
    <row r="377" spans="1:10" x14ac:dyDescent="0.25">
      <c r="A377">
        <v>38</v>
      </c>
      <c r="B377" t="b">
        <v>0</v>
      </c>
      <c r="C377" s="6">
        <v>46537.666666666664</v>
      </c>
      <c r="D377" t="b">
        <v>0</v>
      </c>
      <c r="E377">
        <v>17</v>
      </c>
      <c r="G377">
        <v>11</v>
      </c>
      <c r="I377">
        <v>2</v>
      </c>
      <c r="J377">
        <v>2</v>
      </c>
    </row>
    <row r="378" spans="1:10" x14ac:dyDescent="0.25">
      <c r="A378">
        <v>38</v>
      </c>
      <c r="B378" t="b">
        <v>0</v>
      </c>
      <c r="C378" s="6">
        <v>46537.666666666664</v>
      </c>
      <c r="D378" t="b">
        <v>0</v>
      </c>
      <c r="E378">
        <v>9</v>
      </c>
      <c r="G378">
        <v>12</v>
      </c>
      <c r="I378">
        <v>3</v>
      </c>
      <c r="J378">
        <v>2</v>
      </c>
    </row>
    <row r="379" spans="1:10" x14ac:dyDescent="0.25">
      <c r="A379">
        <v>38</v>
      </c>
      <c r="B379" t="b">
        <v>0</v>
      </c>
      <c r="C379" s="6">
        <v>46537.666666666664</v>
      </c>
      <c r="D379" t="b">
        <v>0</v>
      </c>
      <c r="E379">
        <v>3</v>
      </c>
      <c r="G379">
        <v>14</v>
      </c>
      <c r="I379">
        <v>3</v>
      </c>
      <c r="J379">
        <v>4</v>
      </c>
    </row>
    <row r="380" spans="1:10" x14ac:dyDescent="0.25">
      <c r="A380">
        <v>38</v>
      </c>
      <c r="B380" t="b">
        <v>0</v>
      </c>
      <c r="C380" s="6">
        <v>46537.666666666664</v>
      </c>
      <c r="D380" t="b">
        <v>0</v>
      </c>
      <c r="E380">
        <v>10</v>
      </c>
      <c r="G380">
        <v>16</v>
      </c>
      <c r="I380">
        <v>2</v>
      </c>
      <c r="J380">
        <v>4</v>
      </c>
    </row>
    <row r="381" spans="1:10" x14ac:dyDescent="0.25">
      <c r="A381">
        <v>38</v>
      </c>
      <c r="B381" t="b">
        <v>0</v>
      </c>
      <c r="C381" s="6">
        <v>46537.666666666664</v>
      </c>
      <c r="D381" t="b">
        <v>0</v>
      </c>
      <c r="E381">
        <v>15</v>
      </c>
      <c r="G381">
        <v>20</v>
      </c>
      <c r="I381">
        <v>4</v>
      </c>
      <c r="J381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744D-D6BE-49D7-8CE1-7B5BF0B21F2D}">
  <dimension ref="A1:J21"/>
  <sheetViews>
    <sheetView workbookViewId="0">
      <selection activeCell="G10" sqref="G10"/>
    </sheetView>
  </sheetViews>
  <sheetFormatPr defaultRowHeight="15" x14ac:dyDescent="0.25"/>
  <cols>
    <col min="1" max="1" width="16.140625" bestFit="1" customWidth="1"/>
    <col min="2" max="2" width="13.42578125" bestFit="1" customWidth="1"/>
    <col min="3" max="3" width="16.85546875" bestFit="1" customWidth="1"/>
    <col min="4" max="4" width="22.5703125" bestFit="1" customWidth="1"/>
    <col min="5" max="5" width="31.5703125" bestFit="1" customWidth="1"/>
    <col min="6" max="6" width="32.28515625" bestFit="1" customWidth="1"/>
    <col min="7" max="7" width="33.7109375" bestFit="1" customWidth="1"/>
    <col min="8" max="8" width="34.28515625" bestFit="1" customWidth="1"/>
    <col min="9" max="9" width="32.5703125" bestFit="1" customWidth="1"/>
    <col min="10" max="10" width="33.140625" bestFit="1" customWidth="1"/>
  </cols>
  <sheetData>
    <row r="1" spans="1:10" x14ac:dyDescent="0.25">
      <c r="A1" t="s">
        <v>1066</v>
      </c>
      <c r="B1" t="s">
        <v>1160</v>
      </c>
      <c r="C1" t="s">
        <v>1067</v>
      </c>
      <c r="D1" t="s">
        <v>1161</v>
      </c>
      <c r="E1" t="s">
        <v>1162</v>
      </c>
      <c r="F1" t="s">
        <v>1163</v>
      </c>
      <c r="G1" t="s">
        <v>1164</v>
      </c>
      <c r="H1" t="s">
        <v>1165</v>
      </c>
      <c r="I1" t="s">
        <v>1166</v>
      </c>
      <c r="J1" t="s">
        <v>1167</v>
      </c>
    </row>
    <row r="2" spans="1:10" x14ac:dyDescent="0.25">
      <c r="A2">
        <v>3</v>
      </c>
      <c r="B2">
        <v>1</v>
      </c>
      <c r="C2" t="s">
        <v>3</v>
      </c>
      <c r="D2" t="s">
        <v>1068</v>
      </c>
      <c r="E2">
        <v>0</v>
      </c>
      <c r="F2">
        <v>0</v>
      </c>
      <c r="G2">
        <v>0</v>
      </c>
      <c r="H2">
        <v>0</v>
      </c>
      <c r="I2">
        <v>5</v>
      </c>
      <c r="J2">
        <v>4</v>
      </c>
    </row>
    <row r="3" spans="1:10" x14ac:dyDescent="0.25">
      <c r="A3">
        <v>7</v>
      </c>
      <c r="B3">
        <v>2</v>
      </c>
      <c r="C3" t="s">
        <v>1069</v>
      </c>
      <c r="D3" t="s">
        <v>1070</v>
      </c>
      <c r="E3">
        <v>0</v>
      </c>
      <c r="F3">
        <v>0</v>
      </c>
      <c r="G3">
        <v>0</v>
      </c>
      <c r="H3">
        <v>0</v>
      </c>
      <c r="I3">
        <v>4</v>
      </c>
      <c r="J3">
        <v>3</v>
      </c>
    </row>
    <row r="4" spans="1:10" x14ac:dyDescent="0.25">
      <c r="A4">
        <v>91</v>
      </c>
      <c r="B4">
        <v>3</v>
      </c>
      <c r="C4" t="s">
        <v>1071</v>
      </c>
      <c r="D4" t="s">
        <v>1072</v>
      </c>
      <c r="E4">
        <v>0</v>
      </c>
      <c r="F4">
        <v>0</v>
      </c>
      <c r="G4">
        <v>0</v>
      </c>
      <c r="H4">
        <v>0</v>
      </c>
      <c r="I4">
        <v>3</v>
      </c>
      <c r="J4">
        <v>3</v>
      </c>
    </row>
    <row r="5" spans="1:10" x14ac:dyDescent="0.25">
      <c r="A5">
        <v>94</v>
      </c>
      <c r="B5">
        <v>4</v>
      </c>
      <c r="C5" t="s">
        <v>1073</v>
      </c>
      <c r="D5" t="s">
        <v>1074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</row>
    <row r="6" spans="1:10" x14ac:dyDescent="0.25">
      <c r="A6">
        <v>36</v>
      </c>
      <c r="B6">
        <v>5</v>
      </c>
      <c r="C6" t="s">
        <v>1075</v>
      </c>
      <c r="D6" t="s">
        <v>1076</v>
      </c>
      <c r="E6">
        <v>0</v>
      </c>
      <c r="F6">
        <v>0</v>
      </c>
      <c r="G6">
        <v>0</v>
      </c>
      <c r="H6">
        <v>0</v>
      </c>
      <c r="I6">
        <v>3</v>
      </c>
      <c r="J6">
        <v>2</v>
      </c>
    </row>
    <row r="7" spans="1:10" x14ac:dyDescent="0.25">
      <c r="A7">
        <v>8</v>
      </c>
      <c r="B7">
        <v>6</v>
      </c>
      <c r="C7" t="s">
        <v>1077</v>
      </c>
      <c r="D7" t="s">
        <v>1078</v>
      </c>
      <c r="E7">
        <v>0</v>
      </c>
      <c r="F7">
        <v>0</v>
      </c>
      <c r="G7">
        <v>0</v>
      </c>
      <c r="H7">
        <v>0</v>
      </c>
      <c r="I7">
        <v>4</v>
      </c>
      <c r="J7">
        <v>4</v>
      </c>
    </row>
    <row r="8" spans="1:10" x14ac:dyDescent="0.25">
      <c r="A8">
        <v>9</v>
      </c>
      <c r="B8">
        <v>7</v>
      </c>
      <c r="C8" t="s">
        <v>1079</v>
      </c>
      <c r="D8" t="s">
        <v>1080</v>
      </c>
      <c r="E8">
        <v>0</v>
      </c>
      <c r="F8">
        <v>0</v>
      </c>
      <c r="G8">
        <v>0</v>
      </c>
      <c r="H8">
        <v>0</v>
      </c>
      <c r="I8">
        <v>2</v>
      </c>
      <c r="J8">
        <v>2</v>
      </c>
    </row>
    <row r="9" spans="1:10" x14ac:dyDescent="0.25">
      <c r="A9">
        <v>31</v>
      </c>
      <c r="B9">
        <v>8</v>
      </c>
      <c r="C9" t="s">
        <v>1081</v>
      </c>
      <c r="D9" t="s">
        <v>1082</v>
      </c>
      <c r="E9">
        <v>0</v>
      </c>
      <c r="F9">
        <v>0</v>
      </c>
      <c r="G9">
        <v>0</v>
      </c>
      <c r="H9">
        <v>0</v>
      </c>
      <c r="I9">
        <v>3</v>
      </c>
      <c r="J9">
        <v>3</v>
      </c>
    </row>
    <row r="10" spans="1:10" x14ac:dyDescent="0.25">
      <c r="A10">
        <v>11</v>
      </c>
      <c r="B10">
        <v>9</v>
      </c>
      <c r="C10" t="s">
        <v>1083</v>
      </c>
      <c r="D10" t="s">
        <v>1084</v>
      </c>
      <c r="E10">
        <v>0</v>
      </c>
      <c r="F10">
        <v>0</v>
      </c>
      <c r="G10">
        <v>0</v>
      </c>
      <c r="H10">
        <v>0</v>
      </c>
      <c r="I10">
        <v>3</v>
      </c>
      <c r="J10">
        <v>3</v>
      </c>
    </row>
    <row r="11" spans="1:10" x14ac:dyDescent="0.25">
      <c r="A11">
        <v>54</v>
      </c>
      <c r="B11">
        <v>10</v>
      </c>
      <c r="C11" t="s">
        <v>1085</v>
      </c>
      <c r="D11" t="s">
        <v>1086</v>
      </c>
      <c r="E11">
        <v>0</v>
      </c>
      <c r="F11">
        <v>0</v>
      </c>
      <c r="G11">
        <v>0</v>
      </c>
      <c r="H11">
        <v>0</v>
      </c>
      <c r="I11">
        <v>3</v>
      </c>
      <c r="J11">
        <v>2</v>
      </c>
    </row>
    <row r="12" spans="1:10" x14ac:dyDescent="0.25">
      <c r="A12">
        <v>88</v>
      </c>
      <c r="B12">
        <v>11</v>
      </c>
      <c r="C12" t="s">
        <v>1087</v>
      </c>
      <c r="D12" t="s">
        <v>1088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</row>
    <row r="13" spans="1:10" x14ac:dyDescent="0.25">
      <c r="A13">
        <v>40</v>
      </c>
      <c r="B13">
        <v>12</v>
      </c>
      <c r="C13" t="s">
        <v>1089</v>
      </c>
      <c r="D13" t="s">
        <v>1090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</row>
    <row r="14" spans="1:10" x14ac:dyDescent="0.25">
      <c r="A14">
        <v>2</v>
      </c>
      <c r="B14">
        <v>13</v>
      </c>
      <c r="C14" t="s">
        <v>1091</v>
      </c>
      <c r="D14" t="s">
        <v>1092</v>
      </c>
      <c r="E14">
        <v>0</v>
      </c>
      <c r="F14">
        <v>0</v>
      </c>
      <c r="G14">
        <v>0</v>
      </c>
      <c r="H14">
        <v>0</v>
      </c>
      <c r="I14">
        <v>3</v>
      </c>
      <c r="J14">
        <v>2</v>
      </c>
    </row>
    <row r="15" spans="1:10" x14ac:dyDescent="0.25">
      <c r="A15">
        <v>14</v>
      </c>
      <c r="B15">
        <v>14</v>
      </c>
      <c r="C15" t="s">
        <v>1093</v>
      </c>
      <c r="D15" t="s">
        <v>1094</v>
      </c>
      <c r="E15">
        <v>0</v>
      </c>
      <c r="F15">
        <v>0</v>
      </c>
      <c r="G15">
        <v>0</v>
      </c>
      <c r="H15">
        <v>0</v>
      </c>
      <c r="I15">
        <v>4</v>
      </c>
      <c r="J15">
        <v>4</v>
      </c>
    </row>
    <row r="16" spans="1:10" x14ac:dyDescent="0.25">
      <c r="A16">
        <v>43</v>
      </c>
      <c r="B16">
        <v>15</v>
      </c>
      <c r="C16" t="s">
        <v>1095</v>
      </c>
      <c r="D16" t="s">
        <v>1096</v>
      </c>
      <c r="E16">
        <v>0</v>
      </c>
      <c r="F16">
        <v>0</v>
      </c>
      <c r="G16">
        <v>0</v>
      </c>
      <c r="H16">
        <v>0</v>
      </c>
      <c r="I16">
        <v>5</v>
      </c>
      <c r="J16">
        <v>4</v>
      </c>
    </row>
    <row r="17" spans="1:10" x14ac:dyDescent="0.25">
      <c r="A17">
        <v>1</v>
      </c>
      <c r="B17">
        <v>16</v>
      </c>
      <c r="C17" t="s">
        <v>1097</v>
      </c>
      <c r="D17" t="s">
        <v>1098</v>
      </c>
      <c r="E17">
        <v>0</v>
      </c>
      <c r="F17">
        <v>0</v>
      </c>
      <c r="G17">
        <v>0</v>
      </c>
      <c r="H17">
        <v>0</v>
      </c>
      <c r="I17">
        <v>4</v>
      </c>
      <c r="J17">
        <v>4</v>
      </c>
    </row>
    <row r="18" spans="1:10" x14ac:dyDescent="0.25">
      <c r="A18">
        <v>4</v>
      </c>
      <c r="B18">
        <v>17</v>
      </c>
      <c r="C18" t="s">
        <v>1099</v>
      </c>
      <c r="D18" t="s">
        <v>1100</v>
      </c>
      <c r="E18">
        <v>0</v>
      </c>
      <c r="F18">
        <v>0</v>
      </c>
      <c r="G18">
        <v>0</v>
      </c>
      <c r="H18">
        <v>0</v>
      </c>
      <c r="I18">
        <v>3</v>
      </c>
      <c r="J18">
        <v>2</v>
      </c>
    </row>
    <row r="19" spans="1:10" x14ac:dyDescent="0.25">
      <c r="A19">
        <v>17</v>
      </c>
      <c r="B19">
        <v>18</v>
      </c>
      <c r="C19" t="s">
        <v>1101</v>
      </c>
      <c r="D19" t="s">
        <v>1102</v>
      </c>
      <c r="E19">
        <v>0</v>
      </c>
      <c r="F19">
        <v>0</v>
      </c>
      <c r="G19">
        <v>0</v>
      </c>
      <c r="H19">
        <v>0</v>
      </c>
      <c r="I19">
        <v>3</v>
      </c>
      <c r="J19">
        <v>3</v>
      </c>
    </row>
    <row r="20" spans="1:10" x14ac:dyDescent="0.25">
      <c r="A20">
        <v>6</v>
      </c>
      <c r="B20">
        <v>19</v>
      </c>
      <c r="C20" t="s">
        <v>1103</v>
      </c>
      <c r="D20" t="s">
        <v>1104</v>
      </c>
      <c r="E20">
        <v>0</v>
      </c>
      <c r="F20">
        <v>0</v>
      </c>
      <c r="G20">
        <v>0</v>
      </c>
      <c r="H20">
        <v>0</v>
      </c>
      <c r="I20">
        <v>3</v>
      </c>
      <c r="J20">
        <v>3</v>
      </c>
    </row>
    <row r="21" spans="1:10" x14ac:dyDescent="0.25">
      <c r="A21">
        <v>56</v>
      </c>
      <c r="B21">
        <v>20</v>
      </c>
      <c r="C21" t="s">
        <v>1105</v>
      </c>
      <c r="D21" t="s">
        <v>1106</v>
      </c>
      <c r="E21">
        <v>0</v>
      </c>
      <c r="F21">
        <v>0</v>
      </c>
      <c r="G21">
        <v>0</v>
      </c>
      <c r="H21">
        <v>0</v>
      </c>
      <c r="I21">
        <v>3</v>
      </c>
      <c r="J2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E565-A93D-4CB1-966E-59BD4D307587}">
  <dimension ref="A1:S24"/>
  <sheetViews>
    <sheetView topLeftCell="K1" workbookViewId="0">
      <selection activeCell="C6" sqref="C6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5.140625" bestFit="1" customWidth="1"/>
    <col min="4" max="4" width="19.28515625" bestFit="1" customWidth="1"/>
    <col min="5" max="5" width="13.28515625" bestFit="1" customWidth="1"/>
    <col min="6" max="6" width="15.140625" bestFit="1" customWidth="1"/>
    <col min="7" max="7" width="17" bestFit="1" customWidth="1"/>
    <col min="8" max="8" width="13.28515625" bestFit="1" customWidth="1"/>
    <col min="9" max="9" width="15.140625" bestFit="1" customWidth="1"/>
    <col min="10" max="10" width="15.140625" customWidth="1"/>
    <col min="11" max="11" width="13.28515625" bestFit="1" customWidth="1"/>
    <col min="12" max="12" width="15.140625" bestFit="1" customWidth="1"/>
    <col min="13" max="13" width="15.140625" customWidth="1"/>
    <col min="14" max="14" width="13.28515625" bestFit="1" customWidth="1"/>
    <col min="15" max="15" width="15.140625" bestFit="1" customWidth="1"/>
    <col min="16" max="16" width="15.140625" customWidth="1"/>
    <col min="17" max="17" width="27.7109375" bestFit="1" customWidth="1"/>
    <col min="18" max="18" width="29.5703125" bestFit="1" customWidth="1"/>
    <col min="19" max="19" width="29.5703125" customWidth="1"/>
  </cols>
  <sheetData>
    <row r="1" spans="1:19" x14ac:dyDescent="0.25">
      <c r="A1" t="s">
        <v>1112</v>
      </c>
      <c r="B1">
        <f>Gameweek_Raw[Column1.id]</f>
        <v>4</v>
      </c>
    </row>
    <row r="4" spans="1:19" x14ac:dyDescent="0.25">
      <c r="A4" s="20" t="s">
        <v>1041</v>
      </c>
      <c r="B4" s="20" t="s">
        <v>1113</v>
      </c>
      <c r="C4" s="21" t="s">
        <v>2831</v>
      </c>
      <c r="D4" s="21" t="s">
        <v>2832</v>
      </c>
      <c r="E4" s="21" t="s">
        <v>1114</v>
      </c>
      <c r="F4" s="21" t="s">
        <v>2833</v>
      </c>
      <c r="G4" t="s">
        <v>2835</v>
      </c>
      <c r="H4" s="21" t="s">
        <v>1115</v>
      </c>
      <c r="I4" s="21" t="s">
        <v>2834</v>
      </c>
      <c r="J4" s="21" t="s">
        <v>2836</v>
      </c>
      <c r="K4" s="21" t="s">
        <v>1116</v>
      </c>
      <c r="L4" s="21" t="s">
        <v>2838</v>
      </c>
      <c r="M4" s="21" t="s">
        <v>2837</v>
      </c>
      <c r="N4" s="21" t="s">
        <v>1117</v>
      </c>
      <c r="O4" s="21" t="s">
        <v>2839</v>
      </c>
      <c r="P4" s="21" t="s">
        <v>2840</v>
      </c>
      <c r="Q4" s="20" t="s">
        <v>2828</v>
      </c>
      <c r="R4" s="20" t="s">
        <v>2829</v>
      </c>
      <c r="S4" s="20" t="s">
        <v>2830</v>
      </c>
    </row>
    <row r="5" spans="1:19" x14ac:dyDescent="0.25">
      <c r="A5" t="s">
        <v>1068</v>
      </c>
      <c r="B5" t="str">
        <f>INDEX(tblTeamFixtures[Opponent_name],MATCH(A5&amp;"_"&amp;$B$1,tblTeamFixtures[Lookup],0))</f>
        <v>SUN</v>
      </c>
      <c r="C5">
        <f>IFERROR(INDEX(tblTeamFixtures[Attack Fixture Multiplier],MATCH(A5&amp;"_"&amp;$B$1,tblTeamFixtures[Lookup],0)),1)</f>
        <v>1.0285467128027681</v>
      </c>
      <c r="D5">
        <f>IFERROR(INDEX(tblTeamFixtures[Defence Fixture Multiplier],MATCH(A5&amp;"_"&amp;$B$1,tblTeamFixtures[Lookup],0)),1)</f>
        <v>1.2</v>
      </c>
      <c r="E5" t="str">
        <f>INDEX(tblTeamFixtures[Opponent_name],MATCH(A5&amp;"_"&amp;($B$1+1),tblTeamFixtures[Lookup],0))</f>
        <v>BHA</v>
      </c>
      <c r="F5">
        <f>IFERROR(INDEX(tblTeamFixtures[Attack Fixture Multiplier],MATCH(A5&amp;"_"&amp;($B$1+1),tblTeamFixtures[Lookup],0)),1)</f>
        <v>1.2</v>
      </c>
      <c r="G5">
        <f>IFERROR(INDEX(tblTeamFixtures[Defence Fixture Multiplier],MATCH(A5&amp;"_"&amp;($B$1+1),tblTeamFixtures[Lookup],0)),1)</f>
        <v>1.1234207968901846</v>
      </c>
      <c r="H5" t="str">
        <f>INDEX(tblTeamFixtures[Opponent_name],MATCH(A5&amp;"_"&amp;($B$1+2),tblTeamFixtures[Lookup],0))</f>
        <v>LEE</v>
      </c>
      <c r="I5">
        <f>IFERROR(INDEX(tblTeamFixtures[Attack Fixture Multiplier],MATCH(A5&amp;"_"&amp;($B$1+2),tblTeamFixtures[Lookup],0)),1)</f>
        <v>0.88667820069204151</v>
      </c>
      <c r="J5">
        <f>IFERROR(INDEX(tblTeamFixtures[Defence Fixture Multiplier],MATCH(A5&amp;"_"&amp;($B$1+2),tblTeamFixtures[Lookup],0)),1)</f>
        <v>1.2</v>
      </c>
      <c r="K5" t="str">
        <f>INDEX(tblTeamFixtures[Opponent_name],MATCH(A5&amp;"_"&amp;($B$1+3),tblTeamFixtures[Lookup],0))</f>
        <v>NFO</v>
      </c>
      <c r="L5">
        <f>IFERROR(INDEX(tblTeamFixtures[Attack Fixture Multiplier],MATCH(A5&amp;"_"&amp;($B$1+3),tblTeamFixtures[Lookup],0)),1)</f>
        <v>1.0285467128027681</v>
      </c>
      <c r="M5">
        <f>IFERROR(INDEX(tblTeamFixtures[Defence Fixture Multiplier],MATCH(A5&amp;"_"&amp;($B$1+3),tblTeamFixtures[Lookup],0)),1)</f>
        <v>1.2</v>
      </c>
      <c r="N5" t="str">
        <f>INDEX(tblTeamFixtures[Opponent_name],MATCH(A5&amp;"_"&amp;($B$1+4),tblTeamFixtures[Lookup],0))</f>
        <v>EVE</v>
      </c>
      <c r="O5">
        <f>IFERROR(INDEX(tblTeamFixtures[Attack Fixture Multiplier],MATCH(A5&amp;"_"&amp;($B$1+4),tblTeamFixtures[Lookup],0)),1)</f>
        <v>1.0285467128027681</v>
      </c>
      <c r="P5">
        <f>IFERROR(INDEX(tblTeamFixtures[Defence Fixture Multiplier],MATCH(A5&amp;"_"&amp;($B$1+4),tblTeamFixtures[Lookup],0)),1)</f>
        <v>1.2</v>
      </c>
      <c r="Q5">
        <f t="shared" ref="Q5:Q24" si="0">C5*30%+F5*25%+I5*20%+L5*15%+O5*10%</f>
        <v>1.0430363321799305</v>
      </c>
      <c r="R5">
        <f t="shared" ref="R5:R24" si="1">D5*30%+G5*25%+J5*20%+M5*15%+P5*10%</f>
        <v>1.1808551992225462</v>
      </c>
      <c r="S5">
        <f t="shared" ref="S5:S24" si="2">AVERAGE(Q5,R5)</f>
        <v>1.1119457657012384</v>
      </c>
    </row>
    <row r="6" spans="1:19" x14ac:dyDescent="0.25">
      <c r="A6" t="s">
        <v>1070</v>
      </c>
      <c r="B6" t="str">
        <f>INDEX(tblTeamFixtures[Opponent_name],MATCH(A6&amp;"_"&amp;$B$1,tblTeamFixtures[Lookup],0))</f>
        <v>NFO</v>
      </c>
      <c r="C6">
        <f>IFERROR(INDEX(tblTeamFixtures[Attack Fixture Multiplier],MATCH(A6&amp;"_"&amp;$B$1,tblTeamFixtures[Lookup],0)),1)</f>
        <v>0.8</v>
      </c>
      <c r="D6">
        <f>IFERROR(INDEX(tblTeamFixtures[Defence Fixture Multiplier],MATCH(A6&amp;"_"&amp;$B$1,tblTeamFixtures[Lookup],0)),1)</f>
        <v>1.2</v>
      </c>
      <c r="E6" t="str">
        <f>INDEX(tblTeamFixtures[Opponent_name],MATCH(A6&amp;"_"&amp;($B$1+1),tblTeamFixtures[Lookup],0))</f>
        <v>TOT</v>
      </c>
      <c r="F6">
        <f>IFERROR(INDEX(tblTeamFixtures[Attack Fixture Multiplier],MATCH(A6&amp;"_"&amp;($B$1+1),tblTeamFixtures[Lookup],0)),1)</f>
        <v>0.8</v>
      </c>
      <c r="G6">
        <f>IFERROR(INDEX(tblTeamFixtures[Defence Fixture Multiplier],MATCH(A6&amp;"_"&amp;($B$1+1),tblTeamFixtures[Lookup],0)),1)</f>
        <v>1.2</v>
      </c>
      <c r="H6" t="str">
        <f>INDEX(tblTeamFixtures[Opponent_name],MATCH(A6&amp;"_"&amp;($B$1+2),tblTeamFixtures[Lookup],0))</f>
        <v>BRE</v>
      </c>
      <c r="I6">
        <f>IFERROR(INDEX(tblTeamFixtures[Attack Fixture Multiplier],MATCH(A6&amp;"_"&amp;($B$1+2),tblTeamFixtures[Lookup],0)),1)</f>
        <v>0.8</v>
      </c>
      <c r="J6">
        <f>IFERROR(INDEX(tblTeamFixtures[Defence Fixture Multiplier],MATCH(A6&amp;"_"&amp;($B$1+2),tblTeamFixtures[Lookup],0)),1)</f>
        <v>0.84441197954711478</v>
      </c>
      <c r="K6" t="str">
        <f>INDEX(tblTeamFixtures[Opponent_name],MATCH(A6&amp;"_"&amp;($B$1+3),tblTeamFixtures[Lookup],0))</f>
        <v>NEW</v>
      </c>
      <c r="L6">
        <f>IFERROR(INDEX(tblTeamFixtures[Attack Fixture Multiplier],MATCH(A6&amp;"_"&amp;($B$1+3),tblTeamFixtures[Lookup],0)),1)</f>
        <v>0.8</v>
      </c>
      <c r="M6">
        <f>IFERROR(INDEX(tblTeamFixtures[Defence Fixture Multiplier],MATCH(A6&amp;"_"&amp;($B$1+3),tblTeamFixtures[Lookup],0)),1)</f>
        <v>0.8</v>
      </c>
      <c r="N6" t="str">
        <f>INDEX(tblTeamFixtures[Opponent_name],MATCH(A6&amp;"_"&amp;($B$1+4),tblTeamFixtures[Lookup],0))</f>
        <v>MCI</v>
      </c>
      <c r="O6">
        <f>IFERROR(INDEX(tblTeamFixtures[Attack Fixture Multiplier],MATCH(A6&amp;"_"&amp;($B$1+4),tblTeamFixtures[Lookup],0)),1)</f>
        <v>0.8</v>
      </c>
      <c r="P6">
        <f>IFERROR(INDEX(tblTeamFixtures[Defence Fixture Multiplier],MATCH(A6&amp;"_"&amp;($B$1+4),tblTeamFixtures[Lookup],0)),1)</f>
        <v>0.8</v>
      </c>
      <c r="Q6">
        <f t="shared" si="0"/>
        <v>0.8</v>
      </c>
      <c r="R6">
        <f t="shared" si="1"/>
        <v>1.0288823959094229</v>
      </c>
      <c r="S6">
        <f t="shared" si="2"/>
        <v>0.91444119795471146</v>
      </c>
    </row>
    <row r="7" spans="1:19" x14ac:dyDescent="0.25">
      <c r="A7" t="s">
        <v>1076</v>
      </c>
      <c r="B7" t="str">
        <f>INDEX(tblTeamFixtures[Opponent_name],MATCH(A7&amp;"_"&amp;$B$1,tblTeamFixtures[Lookup],0))</f>
        <v>COV</v>
      </c>
      <c r="C7">
        <f>IFERROR(INDEX(tblTeamFixtures[Attack Fixture Multiplier],MATCH(A7&amp;"_"&amp;$B$1,tblTeamFixtures[Lookup],0)),1)</f>
        <v>1.2</v>
      </c>
      <c r="D7">
        <f>IFERROR(INDEX(tblTeamFixtures[Defence Fixture Multiplier],MATCH(A7&amp;"_"&amp;$B$1,tblTeamFixtures[Lookup],0)),1)</f>
        <v>1.2</v>
      </c>
      <c r="E7" t="str">
        <f>INDEX(tblTeamFixtures[Opponent_name],MATCH(A7&amp;"_"&amp;($B$1+1),tblTeamFixtures[Lookup],0))</f>
        <v>ARS</v>
      </c>
      <c r="F7">
        <f>IFERROR(INDEX(tblTeamFixtures[Attack Fixture Multiplier],MATCH(A7&amp;"_"&amp;($B$1+1),tblTeamFixtures[Lookup],0)),1)</f>
        <v>0.89013840830449831</v>
      </c>
      <c r="G7">
        <f>IFERROR(INDEX(tblTeamFixtures[Defence Fixture Multiplier],MATCH(A7&amp;"_"&amp;($B$1+1),tblTeamFixtures[Lookup],0)),1)</f>
        <v>0.8</v>
      </c>
      <c r="H7" t="str">
        <f>INDEX(tblTeamFixtures[Opponent_name],MATCH(A7&amp;"_"&amp;($B$1+2),tblTeamFixtures[Lookup],0))</f>
        <v>SUN</v>
      </c>
      <c r="I7">
        <f>IFERROR(INDEX(tblTeamFixtures[Attack Fixture Multiplier],MATCH(A7&amp;"_"&amp;($B$1+2),tblTeamFixtures[Lookup],0)),1)</f>
        <v>1.2</v>
      </c>
      <c r="J7">
        <f>IFERROR(INDEX(tblTeamFixtures[Defence Fixture Multiplier],MATCH(A7&amp;"_"&amp;($B$1+2),tblTeamFixtures[Lookup],0)),1)</f>
        <v>1.07735321528425</v>
      </c>
      <c r="K7" t="str">
        <f>INDEX(tblTeamFixtures[Opponent_name],MATCH(A7&amp;"_"&amp;($B$1+3),tblTeamFixtures[Lookup],0))</f>
        <v>CRY</v>
      </c>
      <c r="L7">
        <f>IFERROR(INDEX(tblTeamFixtures[Attack Fixture Multiplier],MATCH(A7&amp;"_"&amp;($B$1+3),tblTeamFixtures[Lookup],0)),1)</f>
        <v>1.2</v>
      </c>
      <c r="M7">
        <f>IFERROR(INDEX(tblTeamFixtures[Defence Fixture Multiplier],MATCH(A7&amp;"_"&amp;($B$1+3),tblTeamFixtures[Lookup],0)),1)</f>
        <v>0.94676494676494694</v>
      </c>
      <c r="N7" t="str">
        <f>INDEX(tblTeamFixtures[Opponent_name],MATCH(A7&amp;"_"&amp;($B$1+4),tblTeamFixtures[Lookup],0))</f>
        <v>LIV</v>
      </c>
      <c r="O7">
        <f>IFERROR(INDEX(tblTeamFixtures[Attack Fixture Multiplier],MATCH(A7&amp;"_"&amp;($B$1+4),tblTeamFixtures[Lookup],0)),1)</f>
        <v>1.2</v>
      </c>
      <c r="P7">
        <f>IFERROR(INDEX(tblTeamFixtures[Defence Fixture Multiplier],MATCH(A7&amp;"_"&amp;($B$1+4),tblTeamFixtures[Lookup],0)),1)</f>
        <v>0.8</v>
      </c>
      <c r="Q7">
        <f t="shared" si="0"/>
        <v>1.1225346020761244</v>
      </c>
      <c r="R7">
        <f t="shared" si="1"/>
        <v>0.99748538507159212</v>
      </c>
      <c r="S7">
        <f t="shared" si="2"/>
        <v>1.0600099935738583</v>
      </c>
    </row>
    <row r="8" spans="1:19" x14ac:dyDescent="0.25">
      <c r="A8" t="s">
        <v>1072</v>
      </c>
      <c r="B8" t="str">
        <f>INDEX(tblTeamFixtures[Opponent_name],MATCH(A8&amp;"_"&amp;$B$1,tblTeamFixtures[Lookup],0))</f>
        <v>BRE</v>
      </c>
      <c r="C8">
        <f>IFERROR(INDEX(tblTeamFixtures[Attack Fixture Multiplier],MATCH(A8&amp;"_"&amp;$B$1,tblTeamFixtures[Lookup],0)),1)</f>
        <v>0.8</v>
      </c>
      <c r="D8">
        <f>IFERROR(INDEX(tblTeamFixtures[Defence Fixture Multiplier],MATCH(A8&amp;"_"&amp;$B$1,tblTeamFixtures[Lookup],0)),1)</f>
        <v>0.84441197954711478</v>
      </c>
      <c r="E8" t="str">
        <f>INDEX(tblTeamFixtures[Opponent_name],MATCH(A8&amp;"_"&amp;($B$1+1),tblTeamFixtures[Lookup],0))</f>
        <v>LIV</v>
      </c>
      <c r="F8">
        <f>IFERROR(INDEX(tblTeamFixtures[Attack Fixture Multiplier],MATCH(A8&amp;"_"&amp;($B$1+1),tblTeamFixtures[Lookup],0)),1)</f>
        <v>0.94204152249134954</v>
      </c>
      <c r="G8">
        <f>IFERROR(INDEX(tblTeamFixtures[Defence Fixture Multiplier],MATCH(A8&amp;"_"&amp;($B$1+1),tblTeamFixtures[Lookup],0)),1)</f>
        <v>0.8</v>
      </c>
      <c r="H8" t="str">
        <f>INDEX(tblTeamFixtures[Opponent_name],MATCH(A8&amp;"_"&amp;($B$1+2),tblTeamFixtures[Lookup],0))</f>
        <v>CHE</v>
      </c>
      <c r="I8">
        <f>IFERROR(INDEX(tblTeamFixtures[Attack Fixture Multiplier],MATCH(A8&amp;"_"&amp;($B$1+2),tblTeamFixtures[Lookup],0)),1)</f>
        <v>1.2</v>
      </c>
      <c r="J8">
        <f>IFERROR(INDEX(tblTeamFixtures[Defence Fixture Multiplier],MATCH(A8&amp;"_"&amp;($B$1+2),tblTeamFixtures[Lookup],0)),1)</f>
        <v>0.8</v>
      </c>
      <c r="K8" t="str">
        <f>INDEX(tblTeamFixtures[Opponent_name],MATCH(A8&amp;"_"&amp;($B$1+3),tblTeamFixtures[Lookup],0))</f>
        <v>SUN</v>
      </c>
      <c r="L8">
        <f>IFERROR(INDEX(tblTeamFixtures[Attack Fixture Multiplier],MATCH(A8&amp;"_"&amp;($B$1+3),tblTeamFixtures[Lookup],0)),1)</f>
        <v>0.82785467128027679</v>
      </c>
      <c r="M8">
        <f>IFERROR(INDEX(tblTeamFixtures[Defence Fixture Multiplier],MATCH(A8&amp;"_"&amp;($B$1+3),tblTeamFixtures[Lookup],0)),1)</f>
        <v>1.07735321528425</v>
      </c>
      <c r="N8" t="str">
        <f>INDEX(tblTeamFixtures[Opponent_name],MATCH(A8&amp;"_"&amp;($B$1+4),tblTeamFixtures[Lookup],0))</f>
        <v>MUN</v>
      </c>
      <c r="O8">
        <f>IFERROR(INDEX(tblTeamFixtures[Attack Fixture Multiplier],MATCH(A8&amp;"_"&amp;($B$1+4),tblTeamFixtures[Lookup],0)),1)</f>
        <v>1.1704152249134947</v>
      </c>
      <c r="P8">
        <f>IFERROR(INDEX(tblTeamFixtures[Defence Fixture Multiplier],MATCH(A8&amp;"_"&amp;($B$1+4),tblTeamFixtures[Lookup],0)),1)</f>
        <v>0.8</v>
      </c>
      <c r="Q8">
        <f t="shared" si="0"/>
        <v>0.95673010380622836</v>
      </c>
      <c r="R8">
        <f t="shared" si="1"/>
        <v>0.85492657615677192</v>
      </c>
      <c r="S8">
        <f t="shared" si="2"/>
        <v>0.90582833998150014</v>
      </c>
    </row>
    <row r="9" spans="1:19" x14ac:dyDescent="0.25">
      <c r="A9" t="s">
        <v>1074</v>
      </c>
      <c r="B9" t="str">
        <f>INDEX(tblTeamFixtures[Opponent_name],MATCH(A9&amp;"_"&amp;$B$1,tblTeamFixtures[Lookup],0))</f>
        <v>BOU</v>
      </c>
      <c r="C9">
        <f>IFERROR(INDEX(tblTeamFixtures[Attack Fixture Multiplier],MATCH(A9&amp;"_"&amp;$B$1,tblTeamFixtures[Lookup],0)),1)</f>
        <v>1.1842560553633217</v>
      </c>
      <c r="D9">
        <f>IFERROR(INDEX(tblTeamFixtures[Defence Fixture Multiplier],MATCH(A9&amp;"_"&amp;$B$1,tblTeamFixtures[Lookup],0)),1)</f>
        <v>1.2</v>
      </c>
      <c r="E9" t="str">
        <f>INDEX(tblTeamFixtures[Opponent_name],MATCH(A9&amp;"_"&amp;($B$1+1),tblTeamFixtures[Lookup],0))</f>
        <v>CHE</v>
      </c>
      <c r="F9">
        <f>IFERROR(INDEX(tblTeamFixtures[Attack Fixture Multiplier],MATCH(A9&amp;"_"&amp;($B$1+1),tblTeamFixtures[Lookup],0)),1)</f>
        <v>1.2</v>
      </c>
      <c r="G9">
        <f>IFERROR(INDEX(tblTeamFixtures[Defence Fixture Multiplier],MATCH(A9&amp;"_"&amp;($B$1+1),tblTeamFixtures[Lookup],0)),1)</f>
        <v>0.94367346938775509</v>
      </c>
      <c r="H9" t="str">
        <f>INDEX(tblTeamFixtures[Opponent_name],MATCH(A9&amp;"_"&amp;($B$1+2),tblTeamFixtures[Lookup],0))</f>
        <v>AVL</v>
      </c>
      <c r="I9">
        <f>IFERROR(INDEX(tblTeamFixtures[Attack Fixture Multiplier],MATCH(A9&amp;"_"&amp;($B$1+2),tblTeamFixtures[Lookup],0)),1)</f>
        <v>1.1842560553633217</v>
      </c>
      <c r="J9">
        <f>IFERROR(INDEX(tblTeamFixtures[Defence Fixture Multiplier],MATCH(A9&amp;"_"&amp;($B$1+2),tblTeamFixtures[Lookup],0)),1)</f>
        <v>1.2</v>
      </c>
      <c r="K9" t="str">
        <f>INDEX(tblTeamFixtures[Opponent_name],MATCH(A9&amp;"_"&amp;($B$1+3),tblTeamFixtures[Lookup],0))</f>
        <v>LIV</v>
      </c>
      <c r="L9">
        <f>IFERROR(INDEX(tblTeamFixtures[Attack Fixture Multiplier],MATCH(A9&amp;"_"&amp;($B$1+3),tblTeamFixtures[Lookup],0)),1)</f>
        <v>1.0562283737024223</v>
      </c>
      <c r="M9">
        <f>IFERROR(INDEX(tblTeamFixtures[Defence Fixture Multiplier],MATCH(A9&amp;"_"&amp;($B$1+3),tblTeamFixtures[Lookup],0)),1)</f>
        <v>1.1278048780487804</v>
      </c>
      <c r="N9" t="str">
        <f>INDEX(tblTeamFixtures[Opponent_name],MATCH(A9&amp;"_"&amp;($B$1+4),tblTeamFixtures[Lookup],0))</f>
        <v>HUL</v>
      </c>
      <c r="O9">
        <f>IFERROR(INDEX(tblTeamFixtures[Attack Fixture Multiplier],MATCH(A9&amp;"_"&amp;($B$1+4),tblTeamFixtures[Lookup],0)),1)</f>
        <v>0.8</v>
      </c>
      <c r="P9">
        <f>IFERROR(INDEX(tblTeamFixtures[Defence Fixture Multiplier],MATCH(A9&amp;"_"&amp;($B$1+4),tblTeamFixtures[Lookup],0)),1)</f>
        <v>1.2</v>
      </c>
      <c r="Q9">
        <f t="shared" si="0"/>
        <v>1.1305622837370244</v>
      </c>
      <c r="R9">
        <f t="shared" si="1"/>
        <v>1.1250890990542559</v>
      </c>
      <c r="S9">
        <f t="shared" si="2"/>
        <v>1.1278256913956402</v>
      </c>
    </row>
    <row r="10" spans="1:19" x14ac:dyDescent="0.25">
      <c r="A10" t="s">
        <v>1078</v>
      </c>
      <c r="B10" t="str">
        <f>INDEX(tblTeamFixtures[Opponent_name],MATCH(A10&amp;"_"&amp;$B$1,tblTeamFixtures[Lookup],0))</f>
        <v>HUL</v>
      </c>
      <c r="C10">
        <f>IFERROR(INDEX(tblTeamFixtures[Attack Fixture Multiplier],MATCH(A10&amp;"_"&amp;$B$1,tblTeamFixtures[Lookup],0)),1)</f>
        <v>0.8</v>
      </c>
      <c r="D10">
        <f>IFERROR(INDEX(tblTeamFixtures[Defence Fixture Multiplier],MATCH(A10&amp;"_"&amp;$B$1,tblTeamFixtures[Lookup],0)),1)</f>
        <v>0.885823754789272</v>
      </c>
      <c r="E10" t="str">
        <f>INDEX(tblTeamFixtures[Opponent_name],MATCH(A10&amp;"_"&amp;($B$1+1),tblTeamFixtures[Lookup],0))</f>
        <v>BRE</v>
      </c>
      <c r="F10">
        <f>IFERROR(INDEX(tblTeamFixtures[Attack Fixture Multiplier],MATCH(A10&amp;"_"&amp;($B$1+1),tblTeamFixtures[Lookup],0)),1)</f>
        <v>1.0596885813148789</v>
      </c>
      <c r="G10">
        <f>IFERROR(INDEX(tblTeamFixtures[Defence Fixture Multiplier],MATCH(A10&amp;"_"&amp;($B$1+1),tblTeamFixtures[Lookup],0)),1)</f>
        <v>0.8</v>
      </c>
      <c r="H10" t="str">
        <f>INDEX(tblTeamFixtures[Opponent_name],MATCH(A10&amp;"_"&amp;($B$1+2),tblTeamFixtures[Lookup],0))</f>
        <v>BOU</v>
      </c>
      <c r="I10">
        <f>IFERROR(INDEX(tblTeamFixtures[Attack Fixture Multiplier],MATCH(A10&amp;"_"&amp;($B$1+2),tblTeamFixtures[Lookup],0)),1)</f>
        <v>1.2</v>
      </c>
      <c r="J10">
        <f>IFERROR(INDEX(tblTeamFixtures[Defence Fixture Multiplier],MATCH(A10&amp;"_"&amp;($B$1+2),tblTeamFixtures[Lookup],0)),1)</f>
        <v>0.8</v>
      </c>
      <c r="K10" t="str">
        <f>INDEX(tblTeamFixtures[Opponent_name],MATCH(A10&amp;"_"&amp;($B$1+3),tblTeamFixtures[Lookup],0))</f>
        <v>EVE</v>
      </c>
      <c r="L10">
        <f>IFERROR(INDEX(tblTeamFixtures[Attack Fixture Multiplier],MATCH(A10&amp;"_"&amp;($B$1+3),tblTeamFixtures[Lookup],0)),1)</f>
        <v>1.2</v>
      </c>
      <c r="M10">
        <f>IFERROR(INDEX(tblTeamFixtures[Defence Fixture Multiplier],MATCH(A10&amp;"_"&amp;($B$1+3),tblTeamFixtures[Lookup],0)),1)</f>
        <v>0.8</v>
      </c>
      <c r="N10" t="str">
        <f>INDEX(tblTeamFixtures[Opponent_name],MATCH(A10&amp;"_"&amp;($B$1+4),tblTeamFixtures[Lookup],0))</f>
        <v>TOT</v>
      </c>
      <c r="O10">
        <f>IFERROR(INDEX(tblTeamFixtures[Attack Fixture Multiplier],MATCH(A10&amp;"_"&amp;($B$1+4),tblTeamFixtures[Lookup],0)),1)</f>
        <v>1.2</v>
      </c>
      <c r="P10">
        <f>IFERROR(INDEX(tblTeamFixtures[Defence Fixture Multiplier],MATCH(A10&amp;"_"&amp;($B$1+4),tblTeamFixtures[Lookup],0)),1)</f>
        <v>1.2</v>
      </c>
      <c r="Q10">
        <f t="shared" si="0"/>
        <v>1.0449221453287199</v>
      </c>
      <c r="R10">
        <f t="shared" si="1"/>
        <v>0.86574712643678164</v>
      </c>
      <c r="S10">
        <f t="shared" si="2"/>
        <v>0.9553346358827508</v>
      </c>
    </row>
    <row r="11" spans="1:19" x14ac:dyDescent="0.25">
      <c r="A11" t="s">
        <v>1080</v>
      </c>
      <c r="B11" t="str">
        <f>INDEX(tblTeamFixtures[Opponent_name],MATCH(A11&amp;"_"&amp;$B$1,tblTeamFixtures[Lookup],0))</f>
        <v>BHA</v>
      </c>
      <c r="C11">
        <f>IFERROR(INDEX(tblTeamFixtures[Attack Fixture Multiplier],MATCH(A11&amp;"_"&amp;$B$1,tblTeamFixtures[Lookup],0)),1)</f>
        <v>0.8</v>
      </c>
      <c r="D11">
        <f>IFERROR(INDEX(tblTeamFixtures[Defence Fixture Multiplier],MATCH(A11&amp;"_"&amp;$B$1,tblTeamFixtures[Lookup],0)),1)</f>
        <v>0.8</v>
      </c>
      <c r="E11" t="str">
        <f>INDEX(tblTeamFixtures[Opponent_name],MATCH(A11&amp;"_"&amp;($B$1+1),tblTeamFixtures[Lookup],0))</f>
        <v>NFO</v>
      </c>
      <c r="F11">
        <f>IFERROR(INDEX(tblTeamFixtures[Attack Fixture Multiplier],MATCH(A11&amp;"_"&amp;($B$1+1),tblTeamFixtures[Lookup],0)),1)</f>
        <v>0.8</v>
      </c>
      <c r="G11">
        <f>IFERROR(INDEX(tblTeamFixtures[Defence Fixture Multiplier],MATCH(A11&amp;"_"&amp;($B$1+1),tblTeamFixtures[Lookup],0)),1)</f>
        <v>1.2</v>
      </c>
      <c r="H11" t="str">
        <f>INDEX(tblTeamFixtures[Opponent_name],MATCH(A11&amp;"_"&amp;($B$1+2),tblTeamFixtures[Lookup],0))</f>
        <v>NEW</v>
      </c>
      <c r="I11">
        <f>IFERROR(INDEX(tblTeamFixtures[Attack Fixture Multiplier],MATCH(A11&amp;"_"&amp;($B$1+2),tblTeamFixtures[Lookup],0)),1)</f>
        <v>0.8</v>
      </c>
      <c r="J11">
        <f>IFERROR(INDEX(tblTeamFixtures[Defence Fixture Multiplier],MATCH(A11&amp;"_"&amp;($B$1+2),tblTeamFixtures[Lookup],0)),1)</f>
        <v>0.8</v>
      </c>
      <c r="K11" t="str">
        <f>INDEX(tblTeamFixtures[Opponent_name],MATCH(A11&amp;"_"&amp;($B$1+3),tblTeamFixtures[Lookup],0))</f>
        <v>TOT</v>
      </c>
      <c r="L11">
        <f>IFERROR(INDEX(tblTeamFixtures[Attack Fixture Multiplier],MATCH(A11&amp;"_"&amp;($B$1+3),tblTeamFixtures[Lookup],0)),1)</f>
        <v>0.8</v>
      </c>
      <c r="M11">
        <f>IFERROR(INDEX(tblTeamFixtures[Defence Fixture Multiplier],MATCH(A11&amp;"_"&amp;($B$1+3),tblTeamFixtures[Lookup],0)),1)</f>
        <v>1.2</v>
      </c>
      <c r="N11" t="str">
        <f>INDEX(tblTeamFixtures[Opponent_name],MATCH(A11&amp;"_"&amp;($B$1+4),tblTeamFixtures[Lookup],0))</f>
        <v>FUL</v>
      </c>
      <c r="O11">
        <f>IFERROR(INDEX(tblTeamFixtures[Attack Fixture Multiplier],MATCH(A11&amp;"_"&amp;($B$1+4),tblTeamFixtures[Lookup],0)),1)</f>
        <v>0.8</v>
      </c>
      <c r="P11">
        <f>IFERROR(INDEX(tblTeamFixtures[Defence Fixture Multiplier],MATCH(A11&amp;"_"&amp;($B$1+4),tblTeamFixtures[Lookup],0)),1)</f>
        <v>0.94676494676494694</v>
      </c>
      <c r="Q11">
        <f t="shared" si="0"/>
        <v>0.8</v>
      </c>
      <c r="R11">
        <f t="shared" si="1"/>
        <v>0.97467649467649475</v>
      </c>
      <c r="S11">
        <f t="shared" si="2"/>
        <v>0.8873382473382474</v>
      </c>
    </row>
    <row r="12" spans="1:19" x14ac:dyDescent="0.25">
      <c r="A12" t="s">
        <v>1082</v>
      </c>
      <c r="B12" t="str">
        <f>INDEX(tblTeamFixtures[Opponent_name],MATCH(A12&amp;"_"&amp;$B$1,tblTeamFixtures[Lookup],0))</f>
        <v>IPS</v>
      </c>
      <c r="C12">
        <f>IFERROR(INDEX(tblTeamFixtures[Attack Fixture Multiplier],MATCH(A12&amp;"_"&amp;$B$1,tblTeamFixtures[Lookup],0)),1)</f>
        <v>1.2</v>
      </c>
      <c r="D12">
        <f>IFERROR(INDEX(tblTeamFixtures[Defence Fixture Multiplier],MATCH(A12&amp;"_"&amp;$B$1,tblTeamFixtures[Lookup],0)),1)</f>
        <v>0.8</v>
      </c>
      <c r="E12" t="str">
        <f>INDEX(tblTeamFixtures[Opponent_name],MATCH(A12&amp;"_"&amp;($B$1+1),tblTeamFixtures[Lookup],0))</f>
        <v>LEE</v>
      </c>
      <c r="F12">
        <f>IFERROR(INDEX(tblTeamFixtures[Attack Fixture Multiplier],MATCH(A12&amp;"_"&amp;($B$1+1),tblTeamFixtures[Lookup],0)),1)</f>
        <v>0.8</v>
      </c>
      <c r="G12">
        <f>IFERROR(INDEX(tblTeamFixtures[Defence Fixture Multiplier],MATCH(A12&amp;"_"&amp;($B$1+1),tblTeamFixtures[Lookup],0)),1)</f>
        <v>0.81351161154116813</v>
      </c>
      <c r="H12" t="str">
        <f>INDEX(tblTeamFixtures[Opponent_name],MATCH(A12&amp;"_"&amp;($B$1+2),tblTeamFixtures[Lookup],0))</f>
        <v>NFO</v>
      </c>
      <c r="I12">
        <f>IFERROR(INDEX(tblTeamFixtures[Attack Fixture Multiplier],MATCH(A12&amp;"_"&amp;($B$1+2),tblTeamFixtures[Lookup],0)),1)</f>
        <v>0.82785467128027679</v>
      </c>
      <c r="J12">
        <f>IFERROR(INDEX(tblTeamFixtures[Defence Fixture Multiplier],MATCH(A12&amp;"_"&amp;($B$1+2),tblTeamFixtures[Lookup],0)),1)</f>
        <v>0.94367346938775509</v>
      </c>
      <c r="K12" t="str">
        <f>INDEX(tblTeamFixtures[Opponent_name],MATCH(A12&amp;"_"&amp;($B$1+3),tblTeamFixtures[Lookup],0))</f>
        <v>BHA</v>
      </c>
      <c r="L12">
        <f>IFERROR(INDEX(tblTeamFixtures[Attack Fixture Multiplier],MATCH(A12&amp;"_"&amp;($B$1+3),tblTeamFixtures[Lookup],0)),1)</f>
        <v>1.0562283737024221</v>
      </c>
      <c r="M12">
        <f>IFERROR(INDEX(tblTeamFixtures[Defence Fixture Multiplier],MATCH(A12&amp;"_"&amp;($B$1+3),tblTeamFixtures[Lookup],0)),1)</f>
        <v>0.8</v>
      </c>
      <c r="N12" t="str">
        <f>INDEX(tblTeamFixtures[Opponent_name],MATCH(A12&amp;"_"&amp;($B$1+4),tblTeamFixtures[Lookup],0))</f>
        <v>NEW</v>
      </c>
      <c r="O12">
        <f>IFERROR(INDEX(tblTeamFixtures[Attack Fixture Multiplier],MATCH(A12&amp;"_"&amp;($B$1+4),tblTeamFixtures[Lookup],0)),1)</f>
        <v>0.94204152249134954</v>
      </c>
      <c r="P12">
        <f>IFERROR(INDEX(tblTeamFixtures[Defence Fixture Multiplier],MATCH(A12&amp;"_"&amp;($B$1+4),tblTeamFixtures[Lookup],0)),1)</f>
        <v>0.8</v>
      </c>
      <c r="Q12">
        <f t="shared" si="0"/>
        <v>0.9782093425605537</v>
      </c>
      <c r="R12">
        <f t="shared" si="1"/>
        <v>0.8321125967628431</v>
      </c>
      <c r="S12">
        <f t="shared" si="2"/>
        <v>0.90516096966169846</v>
      </c>
    </row>
    <row r="13" spans="1:19" x14ac:dyDescent="0.25">
      <c r="A13" t="s">
        <v>1084</v>
      </c>
      <c r="B13" t="str">
        <f>INDEX(tblTeamFixtures[Opponent_name],MATCH(A13&amp;"_"&amp;$B$1,tblTeamFixtures[Lookup],0))</f>
        <v>TOT</v>
      </c>
      <c r="C13">
        <f>IFERROR(INDEX(tblTeamFixtures[Attack Fixture Multiplier],MATCH(A13&amp;"_"&amp;$B$1,tblTeamFixtures[Lookup],0)),1)</f>
        <v>1.1842560553633217</v>
      </c>
      <c r="D13">
        <f>IFERROR(INDEX(tblTeamFixtures[Defence Fixture Multiplier],MATCH(A13&amp;"_"&amp;$B$1,tblTeamFixtures[Lookup],0)),1)</f>
        <v>1.2</v>
      </c>
      <c r="E13" t="str">
        <f>INDEX(tblTeamFixtures[Opponent_name],MATCH(A13&amp;"_"&amp;($B$1+1),tblTeamFixtures[Lookup],0))</f>
        <v>IPS</v>
      </c>
      <c r="F13">
        <f>IFERROR(INDEX(tblTeamFixtures[Attack Fixture Multiplier],MATCH(A13&amp;"_"&amp;($B$1+1),tblTeamFixtures[Lookup],0)),1)</f>
        <v>1.2</v>
      </c>
      <c r="G13">
        <f>IFERROR(INDEX(tblTeamFixtures[Defence Fixture Multiplier],MATCH(A13&amp;"_"&amp;($B$1+1),tblTeamFixtures[Lookup],0)),1)</f>
        <v>1.2</v>
      </c>
      <c r="H13" t="str">
        <f>INDEX(tblTeamFixtures[Opponent_name],MATCH(A13&amp;"_"&amp;($B$1+2),tblTeamFixtures[Lookup],0))</f>
        <v>HUL</v>
      </c>
      <c r="I13">
        <f>IFERROR(INDEX(tblTeamFixtures[Attack Fixture Multiplier],MATCH(A13&amp;"_"&amp;($B$1+2),tblTeamFixtures[Lookup],0)),1)</f>
        <v>0.8</v>
      </c>
      <c r="J13">
        <f>IFERROR(INDEX(tblTeamFixtures[Defence Fixture Multiplier],MATCH(A13&amp;"_"&amp;($B$1+2),tblTeamFixtures[Lookup],0)),1)</f>
        <v>1.2</v>
      </c>
      <c r="K13" t="str">
        <f>INDEX(tblTeamFixtures[Opponent_name],MATCH(A13&amp;"_"&amp;($B$1+3),tblTeamFixtures[Lookup],0))</f>
        <v>CHE</v>
      </c>
      <c r="L13">
        <f>IFERROR(INDEX(tblTeamFixtures[Attack Fixture Multiplier],MATCH(A13&amp;"_"&amp;($B$1+3),tblTeamFixtures[Lookup],0)),1)</f>
        <v>1.2</v>
      </c>
      <c r="M13">
        <f>IFERROR(INDEX(tblTeamFixtures[Defence Fixture Multiplier],MATCH(A13&amp;"_"&amp;($B$1+3),tblTeamFixtures[Lookup],0)),1)</f>
        <v>0.81351161154116824</v>
      </c>
      <c r="N13" t="str">
        <f>INDEX(tblTeamFixtures[Opponent_name],MATCH(A13&amp;"_"&amp;($B$1+4),tblTeamFixtures[Lookup],0))</f>
        <v>ARS</v>
      </c>
      <c r="O13">
        <f>IFERROR(INDEX(tblTeamFixtures[Attack Fixture Multiplier],MATCH(A13&amp;"_"&amp;($B$1+4),tblTeamFixtures[Lookup],0)),1)</f>
        <v>0.8</v>
      </c>
      <c r="P13">
        <f>IFERROR(INDEX(tblTeamFixtures[Defence Fixture Multiplier],MATCH(A13&amp;"_"&amp;($B$1+4),tblTeamFixtures[Lookup],0)),1)</f>
        <v>0.9722455845248108</v>
      </c>
      <c r="Q13">
        <f t="shared" si="0"/>
        <v>1.0752768166089965</v>
      </c>
      <c r="R13">
        <f t="shared" si="1"/>
        <v>1.1192513001836562</v>
      </c>
      <c r="S13">
        <f t="shared" si="2"/>
        <v>1.0972640583963265</v>
      </c>
    </row>
    <row r="14" spans="1:19" x14ac:dyDescent="0.25">
      <c r="A14" t="s">
        <v>1086</v>
      </c>
      <c r="B14" t="str">
        <f>INDEX(tblTeamFixtures[Opponent_name],MATCH(A14&amp;"_"&amp;$B$1,tblTeamFixtures[Lookup],0))</f>
        <v>LIV</v>
      </c>
      <c r="C14">
        <f>IFERROR(INDEX(tblTeamFixtures[Attack Fixture Multiplier],MATCH(A14&amp;"_"&amp;$B$1,tblTeamFixtures[Lookup],0)),1)</f>
        <v>0.94204152249134954</v>
      </c>
      <c r="D14">
        <f>IFERROR(INDEX(tblTeamFixtures[Defence Fixture Multiplier],MATCH(A14&amp;"_"&amp;$B$1,tblTeamFixtures[Lookup],0)),1)</f>
        <v>0.8</v>
      </c>
      <c r="E14" t="str">
        <f>INDEX(tblTeamFixtures[Opponent_name],MATCH(A14&amp;"_"&amp;($B$1+1),tblTeamFixtures[Lookup],0))</f>
        <v>MUN</v>
      </c>
      <c r="F14">
        <f>IFERROR(INDEX(tblTeamFixtures[Attack Fixture Multiplier],MATCH(A14&amp;"_"&amp;($B$1+1),tblTeamFixtures[Lookup],0)),1)</f>
        <v>1.1704152249134947</v>
      </c>
      <c r="G14">
        <f>IFERROR(INDEX(tblTeamFixtures[Defence Fixture Multiplier],MATCH(A14&amp;"_"&amp;($B$1+1),tblTeamFixtures[Lookup],0)),1)</f>
        <v>0.8</v>
      </c>
      <c r="H14" t="str">
        <f>INDEX(tblTeamFixtures[Opponent_name],MATCH(A14&amp;"_"&amp;($B$1+2),tblTeamFixtures[Lookup],0))</f>
        <v>IPS</v>
      </c>
      <c r="I14">
        <f>IFERROR(INDEX(tblTeamFixtures[Attack Fixture Multiplier],MATCH(A14&amp;"_"&amp;($B$1+2),tblTeamFixtures[Lookup],0)),1)</f>
        <v>1.2</v>
      </c>
      <c r="J14">
        <f>IFERROR(INDEX(tblTeamFixtures[Defence Fixture Multiplier],MATCH(A14&amp;"_"&amp;($B$1+2),tblTeamFixtures[Lookup],0)),1)</f>
        <v>0.8</v>
      </c>
      <c r="K14" t="str">
        <f>INDEX(tblTeamFixtures[Opponent_name],MATCH(A14&amp;"_"&amp;($B$1+3),tblTeamFixtures[Lookup],0))</f>
        <v>HUL</v>
      </c>
      <c r="L14">
        <f>IFERROR(INDEX(tblTeamFixtures[Attack Fixture Multiplier],MATCH(A14&amp;"_"&amp;($B$1+3),tblTeamFixtures[Lookup],0)),1)</f>
        <v>0.8</v>
      </c>
      <c r="M14">
        <f>IFERROR(INDEX(tblTeamFixtures[Defence Fixture Multiplier],MATCH(A14&amp;"_"&amp;($B$1+3),tblTeamFixtures[Lookup],0)),1)</f>
        <v>0.885823754789272</v>
      </c>
      <c r="N14" t="str">
        <f>INDEX(tblTeamFixtures[Opponent_name],MATCH(A14&amp;"_"&amp;($B$1+4),tblTeamFixtures[Lookup],0))</f>
        <v>COV</v>
      </c>
      <c r="O14">
        <f>IFERROR(INDEX(tblTeamFixtures[Attack Fixture Multiplier],MATCH(A14&amp;"_"&amp;($B$1+4),tblTeamFixtures[Lookup],0)),1)</f>
        <v>1.0562283737024221</v>
      </c>
      <c r="P14">
        <f>IFERROR(INDEX(tblTeamFixtures[Defence Fixture Multiplier],MATCH(A14&amp;"_"&amp;($B$1+4),tblTeamFixtures[Lookup],0)),1)</f>
        <v>1.2</v>
      </c>
      <c r="Q14">
        <f t="shared" si="0"/>
        <v>1.0408391003460207</v>
      </c>
      <c r="R14">
        <f t="shared" si="1"/>
        <v>0.85287356321839092</v>
      </c>
      <c r="S14">
        <f t="shared" si="2"/>
        <v>0.94685633178220585</v>
      </c>
    </row>
    <row r="15" spans="1:19" x14ac:dyDescent="0.25">
      <c r="A15" t="s">
        <v>1088</v>
      </c>
      <c r="B15" t="str">
        <f>INDEX(tblTeamFixtures[Opponent_name],MATCH(A15&amp;"_"&amp;$B$1,tblTeamFixtures[Lookup],0))</f>
        <v>CHE</v>
      </c>
      <c r="C15">
        <f>IFERROR(INDEX(tblTeamFixtures[Attack Fixture Multiplier],MATCH(A15&amp;"_"&amp;$B$1,tblTeamFixtures[Lookup],0)),1)</f>
        <v>1.1288927335640138</v>
      </c>
      <c r="D15">
        <f>IFERROR(INDEX(tblTeamFixtures[Defence Fixture Multiplier],MATCH(A15&amp;"_"&amp;$B$1,tblTeamFixtures[Lookup],0)),1)</f>
        <v>1.2</v>
      </c>
      <c r="E15" t="str">
        <f>INDEX(tblTeamFixtures[Opponent_name],MATCH(A15&amp;"_"&amp;($B$1+1),tblTeamFixtures[Lookup],0))</f>
        <v>NEW</v>
      </c>
      <c r="F15">
        <f>IFERROR(INDEX(tblTeamFixtures[Attack Fixture Multiplier],MATCH(A15&amp;"_"&amp;($B$1+1),tblTeamFixtures[Lookup],0)),1)</f>
        <v>0.8278546712802769</v>
      </c>
      <c r="G15">
        <f>IFERROR(INDEX(tblTeamFixtures[Defence Fixture Multiplier],MATCH(A15&amp;"_"&amp;($B$1+1),tblTeamFixtures[Lookup],0)),1)</f>
        <v>1.2</v>
      </c>
      <c r="H15" t="str">
        <f>INDEX(tblTeamFixtures[Opponent_name],MATCH(A15&amp;"_"&amp;($B$1+2),tblTeamFixtures[Lookup],0))</f>
        <v>EVE</v>
      </c>
      <c r="I15">
        <f>IFERROR(INDEX(tblTeamFixtures[Attack Fixture Multiplier],MATCH(A15&amp;"_"&amp;($B$1+2),tblTeamFixtures[Lookup],0)),1)</f>
        <v>0.8</v>
      </c>
      <c r="J15">
        <f>IFERROR(INDEX(tblTeamFixtures[Defence Fixture Multiplier],MATCH(A15&amp;"_"&amp;($B$1+2),tblTeamFixtures[Lookup],0)),1)</f>
        <v>1.2</v>
      </c>
      <c r="K15" t="str">
        <f>INDEX(tblTeamFixtures[Opponent_name],MATCH(A15&amp;"_"&amp;($B$1+3),tblTeamFixtures[Lookup],0))</f>
        <v>FUL</v>
      </c>
      <c r="L15">
        <f>IFERROR(INDEX(tblTeamFixtures[Attack Fixture Multiplier],MATCH(A15&amp;"_"&amp;($B$1+3),tblTeamFixtures[Lookup],0)),1)</f>
        <v>1.1288927335640138</v>
      </c>
      <c r="M15">
        <f>IFERROR(INDEX(tblTeamFixtures[Defence Fixture Multiplier],MATCH(A15&amp;"_"&amp;($B$1+3),tblTeamFixtures[Lookup],0)),1)</f>
        <v>1.2</v>
      </c>
      <c r="N15" t="str">
        <f>INDEX(tblTeamFixtures[Opponent_name],MATCH(A15&amp;"_"&amp;($B$1+4),tblTeamFixtures[Lookup],0))</f>
        <v>BRE</v>
      </c>
      <c r="O15">
        <f>IFERROR(INDEX(tblTeamFixtures[Attack Fixture Multiplier],MATCH(A15&amp;"_"&amp;($B$1+4),tblTeamFixtures[Lookup],0)),1)</f>
        <v>0.8</v>
      </c>
      <c r="P15">
        <f>IFERROR(INDEX(tblTeamFixtures[Defence Fixture Multiplier],MATCH(A15&amp;"_"&amp;($B$1+4),tblTeamFixtures[Lookup],0)),1)</f>
        <v>1.2</v>
      </c>
      <c r="Q15">
        <f t="shared" si="0"/>
        <v>0.95496539792387547</v>
      </c>
      <c r="R15">
        <f t="shared" si="1"/>
        <v>1.1999999999999997</v>
      </c>
      <c r="S15">
        <f t="shared" si="2"/>
        <v>1.0774826989619375</v>
      </c>
    </row>
    <row r="16" spans="1:19" x14ac:dyDescent="0.25">
      <c r="A16" t="s">
        <v>1090</v>
      </c>
      <c r="B16" t="str">
        <f>INDEX(tblTeamFixtures[Opponent_name],MATCH(A16&amp;"_"&amp;$B$1,tblTeamFixtures[Lookup],0))</f>
        <v>CRY</v>
      </c>
      <c r="C16">
        <f>IFERROR(INDEX(tblTeamFixtures[Attack Fixture Multiplier],MATCH(A16&amp;"_"&amp;$B$1,tblTeamFixtures[Lookup],0)),1)</f>
        <v>1.2</v>
      </c>
      <c r="D16">
        <f>IFERROR(INDEX(tblTeamFixtures[Defence Fixture Multiplier],MATCH(A16&amp;"_"&amp;$B$1,tblTeamFixtures[Lookup],0)),1)</f>
        <v>0.8</v>
      </c>
      <c r="E16" t="str">
        <f>INDEX(tblTeamFixtures[Opponent_name],MATCH(A16&amp;"_"&amp;($B$1+1),tblTeamFixtures[Lookup],0))</f>
        <v>EVE</v>
      </c>
      <c r="F16">
        <f>IFERROR(INDEX(tblTeamFixtures[Attack Fixture Multiplier],MATCH(A16&amp;"_"&amp;($B$1+1),tblTeamFixtures[Lookup],0)),1)</f>
        <v>0.82785467128027679</v>
      </c>
      <c r="G16">
        <f>IFERROR(INDEX(tblTeamFixtures[Defence Fixture Multiplier],MATCH(A16&amp;"_"&amp;($B$1+1),tblTeamFixtures[Lookup],0)),1)</f>
        <v>0.8</v>
      </c>
      <c r="H16" t="str">
        <f>INDEX(tblTeamFixtures[Opponent_name],MATCH(A16&amp;"_"&amp;($B$1+2),tblTeamFixtures[Lookup],0))</f>
        <v>FUL</v>
      </c>
      <c r="I16">
        <f>IFERROR(INDEX(tblTeamFixtures[Attack Fixture Multiplier],MATCH(A16&amp;"_"&amp;($B$1+2),tblTeamFixtures[Lookup],0)),1)</f>
        <v>1.2</v>
      </c>
      <c r="J16">
        <f>IFERROR(INDEX(tblTeamFixtures[Defence Fixture Multiplier],MATCH(A16&amp;"_"&amp;($B$1+2),tblTeamFixtures[Lookup],0)),1)</f>
        <v>0.8</v>
      </c>
      <c r="K16" t="str">
        <f>INDEX(tblTeamFixtures[Opponent_name],MATCH(A16&amp;"_"&amp;($B$1+3),tblTeamFixtures[Lookup],0))</f>
        <v>MCI</v>
      </c>
      <c r="L16">
        <f>IFERROR(INDEX(tblTeamFixtures[Attack Fixture Multiplier],MATCH(A16&amp;"_"&amp;($B$1+3),tblTeamFixtures[Lookup],0)),1)</f>
        <v>0.8</v>
      </c>
      <c r="M16">
        <f>IFERROR(INDEX(tblTeamFixtures[Defence Fixture Multiplier],MATCH(A16&amp;"_"&amp;($B$1+3),tblTeamFixtures[Lookup],0)),1)</f>
        <v>0.8</v>
      </c>
      <c r="N16" t="str">
        <f>INDEX(tblTeamFixtures[Opponent_name],MATCH(A16&amp;"_"&amp;($B$1+4),tblTeamFixtures[Lookup],0))</f>
        <v>NFO</v>
      </c>
      <c r="O16">
        <f>IFERROR(INDEX(tblTeamFixtures[Attack Fixture Multiplier],MATCH(A16&amp;"_"&amp;($B$1+4),tblTeamFixtures[Lookup],0)),1)</f>
        <v>0.82785467128027679</v>
      </c>
      <c r="P16">
        <f>IFERROR(INDEX(tblTeamFixtures[Defence Fixture Multiplier],MATCH(A16&amp;"_"&amp;($B$1+4),tblTeamFixtures[Lookup],0)),1)</f>
        <v>0.94367346938775509</v>
      </c>
      <c r="Q16">
        <f t="shared" si="0"/>
        <v>1.0097491349480967</v>
      </c>
      <c r="R16">
        <f t="shared" si="1"/>
        <v>0.81436734693877555</v>
      </c>
      <c r="S16">
        <f t="shared" si="2"/>
        <v>0.91205824094343613</v>
      </c>
    </row>
    <row r="17" spans="1:19" x14ac:dyDescent="0.25">
      <c r="A17" t="s">
        <v>1092</v>
      </c>
      <c r="B17" t="str">
        <f>INDEX(tblTeamFixtures[Opponent_name],MATCH(A17&amp;"_"&amp;$B$1,tblTeamFixtures[Lookup],0))</f>
        <v>NEW</v>
      </c>
      <c r="C17">
        <f>IFERROR(INDEX(tblTeamFixtures[Attack Fixture Multiplier],MATCH(A17&amp;"_"&amp;$B$1,tblTeamFixtures[Lookup],0)),1)</f>
        <v>0.8278546712802769</v>
      </c>
      <c r="D17">
        <f>IFERROR(INDEX(tblTeamFixtures[Defence Fixture Multiplier],MATCH(A17&amp;"_"&amp;$B$1,tblTeamFixtures[Lookup],0)),1)</f>
        <v>1.1278048780487804</v>
      </c>
      <c r="E17" t="str">
        <f>INDEX(tblTeamFixtures[Opponent_name],MATCH(A17&amp;"_"&amp;($B$1+1),tblTeamFixtures[Lookup],0))</f>
        <v>CRY</v>
      </c>
      <c r="F17">
        <f>IFERROR(INDEX(tblTeamFixtures[Attack Fixture Multiplier],MATCH(A17&amp;"_"&amp;($B$1+1),tblTeamFixtures[Lookup],0)),1)</f>
        <v>1.2</v>
      </c>
      <c r="G17">
        <f>IFERROR(INDEX(tblTeamFixtures[Defence Fixture Multiplier],MATCH(A17&amp;"_"&amp;($B$1+1),tblTeamFixtures[Lookup],0)),1)</f>
        <v>1.2</v>
      </c>
      <c r="H17" t="str">
        <f>INDEX(tblTeamFixtures[Opponent_name],MATCH(A17&amp;"_"&amp;($B$1+2),tblTeamFixtures[Lookup],0))</f>
        <v>ARS</v>
      </c>
      <c r="I17">
        <f>IFERROR(INDEX(tblTeamFixtures[Attack Fixture Multiplier],MATCH(A17&amp;"_"&amp;($B$1+2),tblTeamFixtures[Lookup],0)),1)</f>
        <v>0.8</v>
      </c>
      <c r="J17">
        <f>IFERROR(INDEX(tblTeamFixtures[Defence Fixture Multiplier],MATCH(A17&amp;"_"&amp;($B$1+2),tblTeamFixtures[Lookup],0)),1)</f>
        <v>1.1278048780487804</v>
      </c>
      <c r="K17" t="str">
        <f>INDEX(tblTeamFixtures[Opponent_name],MATCH(A17&amp;"_"&amp;($B$1+3),tblTeamFixtures[Lookup],0))</f>
        <v>MUN</v>
      </c>
      <c r="L17">
        <f>IFERROR(INDEX(tblTeamFixtures[Attack Fixture Multiplier],MATCH(A17&amp;"_"&amp;($B$1+3),tblTeamFixtures[Lookup],0)),1)</f>
        <v>1.0285467128027681</v>
      </c>
      <c r="M17">
        <f>IFERROR(INDEX(tblTeamFixtures[Defence Fixture Multiplier],MATCH(A17&amp;"_"&amp;($B$1+3),tblTeamFixtures[Lookup],0)),1)</f>
        <v>1.0275555555555553</v>
      </c>
      <c r="N17" t="str">
        <f>INDEX(tblTeamFixtures[Opponent_name],MATCH(A17&amp;"_"&amp;($B$1+4),tblTeamFixtures[Lookup],0))</f>
        <v>SUN</v>
      </c>
      <c r="O17">
        <f>IFERROR(INDEX(tblTeamFixtures[Attack Fixture Multiplier],MATCH(A17&amp;"_"&amp;($B$1+4),tblTeamFixtures[Lookup],0)),1)</f>
        <v>0.8</v>
      </c>
      <c r="P17">
        <f>IFERROR(INDEX(tblTeamFixtures[Defence Fixture Multiplier],MATCH(A17&amp;"_"&amp;($B$1+4),tblTeamFixtures[Lookup],0)),1)</f>
        <v>1.2</v>
      </c>
      <c r="Q17">
        <f t="shared" si="0"/>
        <v>0.9426384083044983</v>
      </c>
      <c r="R17">
        <f t="shared" si="1"/>
        <v>1.1380357723577235</v>
      </c>
      <c r="S17">
        <f t="shared" si="2"/>
        <v>1.0403370903311109</v>
      </c>
    </row>
    <row r="18" spans="1:19" x14ac:dyDescent="0.25">
      <c r="A18" t="s">
        <v>1094</v>
      </c>
      <c r="B18" t="str">
        <f>INDEX(tblTeamFixtures[Opponent_name],MATCH(A18&amp;"_"&amp;$B$1,tblTeamFixtures[Lookup],0))</f>
        <v>FUL</v>
      </c>
      <c r="C18">
        <f>IFERROR(INDEX(tblTeamFixtures[Attack Fixture Multiplier],MATCH(A18&amp;"_"&amp;$B$1,tblTeamFixtures[Lookup],0)),1)</f>
        <v>1.2</v>
      </c>
      <c r="D18">
        <f>IFERROR(INDEX(tblTeamFixtures[Defence Fixture Multiplier],MATCH(A18&amp;"_"&amp;$B$1,tblTeamFixtures[Lookup],0)),1)</f>
        <v>1.061524334251607</v>
      </c>
      <c r="E18" t="str">
        <f>INDEX(tblTeamFixtures[Opponent_name],MATCH(A18&amp;"_"&amp;($B$1+1),tblTeamFixtures[Lookup],0))</f>
        <v>BOU</v>
      </c>
      <c r="F18">
        <f>IFERROR(INDEX(tblTeamFixtures[Attack Fixture Multiplier],MATCH(A18&amp;"_"&amp;($B$1+1),tblTeamFixtures[Lookup],0)),1)</f>
        <v>1.2</v>
      </c>
      <c r="G18">
        <f>IFERROR(INDEX(tblTeamFixtures[Defence Fixture Multiplier],MATCH(A18&amp;"_"&amp;($B$1+1),tblTeamFixtures[Lookup],0)),1)</f>
        <v>1.061524334251607</v>
      </c>
      <c r="H18" t="str">
        <f>INDEX(tblTeamFixtures[Opponent_name],MATCH(A18&amp;"_"&amp;($B$1+2),tblTeamFixtures[Lookup],0))</f>
        <v>MCI</v>
      </c>
      <c r="I18">
        <f>IFERROR(INDEX(tblTeamFixtures[Attack Fixture Multiplier],MATCH(A18&amp;"_"&amp;($B$1+2),tblTeamFixtures[Lookup],0)),1)</f>
        <v>0.88667820069204151</v>
      </c>
      <c r="J18">
        <f>IFERROR(INDEX(tblTeamFixtures[Defence Fixture Multiplier],MATCH(A18&amp;"_"&amp;($B$1+2),tblTeamFixtures[Lookup],0)),1)</f>
        <v>0.8</v>
      </c>
      <c r="K18" t="str">
        <f>INDEX(tblTeamFixtures[Opponent_name],MATCH(A18&amp;"_"&amp;($B$1+3),tblTeamFixtures[Lookup],0))</f>
        <v>BRE</v>
      </c>
      <c r="L18">
        <f>IFERROR(INDEX(tblTeamFixtures[Attack Fixture Multiplier],MATCH(A18&amp;"_"&amp;($B$1+3),tblTeamFixtures[Lookup],0)),1)</f>
        <v>0.88667820069204151</v>
      </c>
      <c r="M18">
        <f>IFERROR(INDEX(tblTeamFixtures[Defence Fixture Multiplier],MATCH(A18&amp;"_"&amp;($B$1+3),tblTeamFixtures[Lookup],0)),1)</f>
        <v>0.94676494676494671</v>
      </c>
      <c r="N18" t="str">
        <f>INDEX(tblTeamFixtures[Opponent_name],MATCH(A18&amp;"_"&amp;($B$1+4),tblTeamFixtures[Lookup],0))</f>
        <v>BHA</v>
      </c>
      <c r="O18">
        <f>IFERROR(INDEX(tblTeamFixtures[Attack Fixture Multiplier],MATCH(A18&amp;"_"&amp;($B$1+4),tblTeamFixtures[Lookup],0)),1)</f>
        <v>1.2</v>
      </c>
      <c r="P18">
        <f>IFERROR(INDEX(tblTeamFixtures[Defence Fixture Multiplier],MATCH(A18&amp;"_"&amp;($B$1+4),tblTeamFixtures[Lookup],0)),1)</f>
        <v>0.8</v>
      </c>
      <c r="Q18">
        <f t="shared" si="0"/>
        <v>1.0903373702422146</v>
      </c>
      <c r="R18">
        <f t="shared" si="1"/>
        <v>0.96585312585312599</v>
      </c>
      <c r="S18">
        <f t="shared" si="2"/>
        <v>1.0280952480476704</v>
      </c>
    </row>
    <row r="19" spans="1:19" x14ac:dyDescent="0.25">
      <c r="A19" t="s">
        <v>1096</v>
      </c>
      <c r="B19" t="str">
        <f>INDEX(tblTeamFixtures[Opponent_name],MATCH(A19&amp;"_"&amp;$B$1,tblTeamFixtures[Lookup],0))</f>
        <v>MUN</v>
      </c>
      <c r="C19">
        <f>IFERROR(INDEX(tblTeamFixtures[Attack Fixture Multiplier],MATCH(A19&amp;"_"&amp;$B$1,tblTeamFixtures[Lookup],0)),1)</f>
        <v>1.2</v>
      </c>
      <c r="D19">
        <f>IFERROR(INDEX(tblTeamFixtures[Defence Fixture Multiplier],MATCH(A19&amp;"_"&amp;$B$1,tblTeamFixtures[Lookup],0)),1)</f>
        <v>1.0275555555555553</v>
      </c>
      <c r="E19" t="str">
        <f>INDEX(tblTeamFixtures[Opponent_name],MATCH(A19&amp;"_"&amp;($B$1+1),tblTeamFixtures[Lookup],0))</f>
        <v>SUN</v>
      </c>
      <c r="F19">
        <f>IFERROR(INDEX(tblTeamFixtures[Attack Fixture Multiplier],MATCH(A19&amp;"_"&amp;($B$1+1),tblTeamFixtures[Lookup],0)),1)</f>
        <v>1.1288927335640138</v>
      </c>
      <c r="G19">
        <f>IFERROR(INDEX(tblTeamFixtures[Defence Fixture Multiplier],MATCH(A19&amp;"_"&amp;($B$1+1),tblTeamFixtures[Lookup],0)),1)</f>
        <v>1.2</v>
      </c>
      <c r="H19" t="str">
        <f>INDEX(tblTeamFixtures[Opponent_name],MATCH(A19&amp;"_"&amp;($B$1+2),tblTeamFixtures[Lookup],0))</f>
        <v>LIV</v>
      </c>
      <c r="I19">
        <f>IFERROR(INDEX(tblTeamFixtures[Attack Fixture Multiplier],MATCH(A19&amp;"_"&amp;($B$1+2),tblTeamFixtures[Lookup],0)),1)</f>
        <v>1.2</v>
      </c>
      <c r="J19">
        <f>IFERROR(INDEX(tblTeamFixtures[Defence Fixture Multiplier],MATCH(A19&amp;"_"&amp;($B$1+2),tblTeamFixtures[Lookup],0)),1)</f>
        <v>1.1278048780487804</v>
      </c>
      <c r="K19" t="str">
        <f>INDEX(tblTeamFixtures[Opponent_name],MATCH(A19&amp;"_"&amp;($B$1+3),tblTeamFixtures[Lookup],0))</f>
        <v>IPS</v>
      </c>
      <c r="L19">
        <f>IFERROR(INDEX(tblTeamFixtures[Attack Fixture Multiplier],MATCH(A19&amp;"_"&amp;($B$1+3),tblTeamFixtures[Lookup],0)),1)</f>
        <v>1.2</v>
      </c>
      <c r="M19">
        <f>IFERROR(INDEX(tblTeamFixtures[Defence Fixture Multiplier],MATCH(A19&amp;"_"&amp;($B$1+3),tblTeamFixtures[Lookup],0)),1)</f>
        <v>1.2</v>
      </c>
      <c r="N19" t="str">
        <f>INDEX(tblTeamFixtures[Opponent_name],MATCH(A19&amp;"_"&amp;($B$1+4),tblTeamFixtures[Lookup],0))</f>
        <v>AVL</v>
      </c>
      <c r="O19">
        <f>IFERROR(INDEX(tblTeamFixtures[Attack Fixture Multiplier],MATCH(A19&amp;"_"&amp;($B$1+4),tblTeamFixtures[Lookup],0)),1)</f>
        <v>1.2</v>
      </c>
      <c r="P19">
        <f>IFERROR(INDEX(tblTeamFixtures[Defence Fixture Multiplier],MATCH(A19&amp;"_"&amp;($B$1+4),tblTeamFixtures[Lookup],0)),1)</f>
        <v>1.2</v>
      </c>
      <c r="Q19">
        <f t="shared" si="0"/>
        <v>1.1822231833910033</v>
      </c>
      <c r="R19">
        <f t="shared" si="1"/>
        <v>1.1338276422764224</v>
      </c>
      <c r="S19">
        <f t="shared" si="2"/>
        <v>1.1580254128337129</v>
      </c>
    </row>
    <row r="20" spans="1:19" x14ac:dyDescent="0.25">
      <c r="A20" t="s">
        <v>1098</v>
      </c>
      <c r="B20" t="str">
        <f>INDEX(tblTeamFixtures[Opponent_name],MATCH(A20&amp;"_"&amp;$B$1,tblTeamFixtures[Lookup],0))</f>
        <v>MCI</v>
      </c>
      <c r="C20">
        <f>IFERROR(INDEX(tblTeamFixtures[Attack Fixture Multiplier],MATCH(A20&amp;"_"&amp;$B$1,tblTeamFixtures[Lookup],0)),1)</f>
        <v>0.97318339100346041</v>
      </c>
      <c r="D20">
        <f>IFERROR(INDEX(tblTeamFixtures[Defence Fixture Multiplier],MATCH(A20&amp;"_"&amp;$B$1,tblTeamFixtures[Lookup],0)),1)</f>
        <v>0.8</v>
      </c>
      <c r="E20" t="str">
        <f>INDEX(tblTeamFixtures[Opponent_name],MATCH(A20&amp;"_"&amp;($B$1+1),tblTeamFixtures[Lookup],0))</f>
        <v>FUL</v>
      </c>
      <c r="F20">
        <f>IFERROR(INDEX(tblTeamFixtures[Attack Fixture Multiplier],MATCH(A20&amp;"_"&amp;($B$1+1),tblTeamFixtures[Lookup],0)),1)</f>
        <v>1.2</v>
      </c>
      <c r="G20">
        <f>IFERROR(INDEX(tblTeamFixtures[Defence Fixture Multiplier],MATCH(A20&amp;"_"&amp;($B$1+1),tblTeamFixtures[Lookup],0)),1)</f>
        <v>0.85439763488543985</v>
      </c>
      <c r="H20" t="str">
        <f>INDEX(tblTeamFixtures[Opponent_name],MATCH(A20&amp;"_"&amp;($B$1+2),tblTeamFixtures[Lookup],0))</f>
        <v>TOT</v>
      </c>
      <c r="I20">
        <f>IFERROR(INDEX(tblTeamFixtures[Attack Fixture Multiplier],MATCH(A20&amp;"_"&amp;($B$1+2),tblTeamFixtures[Lookup],0)),1)</f>
        <v>1.2</v>
      </c>
      <c r="J20">
        <f>IFERROR(INDEX(tblTeamFixtures[Defence Fixture Multiplier],MATCH(A20&amp;"_"&amp;($B$1+2),tblTeamFixtures[Lookup],0)),1)</f>
        <v>1.2</v>
      </c>
      <c r="K20" t="str">
        <f>INDEX(tblTeamFixtures[Opponent_name],MATCH(A20&amp;"_"&amp;($B$1+3),tblTeamFixtures[Lookup],0))</f>
        <v>LEE</v>
      </c>
      <c r="L20">
        <f>IFERROR(INDEX(tblTeamFixtures[Attack Fixture Multiplier],MATCH(A20&amp;"_"&amp;($B$1+3),tblTeamFixtures[Lookup],0)),1)</f>
        <v>0.97318339100346041</v>
      </c>
      <c r="M20">
        <f>IFERROR(INDEX(tblTeamFixtures[Defence Fixture Multiplier],MATCH(A20&amp;"_"&amp;($B$1+3),tblTeamFixtures[Lookup],0)),1)</f>
        <v>0.9722455845248108</v>
      </c>
      <c r="N20" t="str">
        <f>INDEX(tblTeamFixtures[Opponent_name],MATCH(A20&amp;"_"&amp;($B$1+4),tblTeamFixtures[Lookup],0))</f>
        <v>BOU</v>
      </c>
      <c r="O20">
        <f>IFERROR(INDEX(tblTeamFixtures[Attack Fixture Multiplier],MATCH(A20&amp;"_"&amp;($B$1+4),tblTeamFixtures[Lookup],0)),1)</f>
        <v>1.2</v>
      </c>
      <c r="P20">
        <f>IFERROR(INDEX(tblTeamFixtures[Defence Fixture Multiplier],MATCH(A20&amp;"_"&amp;($B$1+4),tblTeamFixtures[Lookup],0)),1)</f>
        <v>0.85439763488543985</v>
      </c>
      <c r="Q20">
        <f t="shared" si="0"/>
        <v>1.0979325259515571</v>
      </c>
      <c r="R20">
        <f t="shared" si="1"/>
        <v>0.92487600988862551</v>
      </c>
      <c r="S20">
        <f t="shared" si="2"/>
        <v>1.0114042679200912</v>
      </c>
    </row>
    <row r="21" spans="1:19" x14ac:dyDescent="0.25">
      <c r="A21" t="s">
        <v>1100</v>
      </c>
      <c r="B21" t="str">
        <f>INDEX(tblTeamFixtures[Opponent_name],MATCH(A21&amp;"_"&amp;$B$1,tblTeamFixtures[Lookup],0))</f>
        <v>LEE</v>
      </c>
      <c r="C21">
        <f>IFERROR(INDEX(tblTeamFixtures[Attack Fixture Multiplier],MATCH(A21&amp;"_"&amp;$B$1,tblTeamFixtures[Lookup],0)),1)</f>
        <v>0.88667820069204151</v>
      </c>
      <c r="D21">
        <f>IFERROR(INDEX(tblTeamFixtures[Defence Fixture Multiplier],MATCH(A21&amp;"_"&amp;$B$1,tblTeamFixtures[Lookup],0)),1)</f>
        <v>1.2</v>
      </c>
      <c r="E21" t="str">
        <f>INDEX(tblTeamFixtures[Opponent_name],MATCH(A21&amp;"_"&amp;($B$1+1),tblTeamFixtures[Lookup],0))</f>
        <v>HUL</v>
      </c>
      <c r="F21">
        <f>IFERROR(INDEX(tblTeamFixtures[Attack Fixture Multiplier],MATCH(A21&amp;"_"&amp;($B$1+1),tblTeamFixtures[Lookup],0)),1)</f>
        <v>0.8</v>
      </c>
      <c r="G21">
        <f>IFERROR(INDEX(tblTeamFixtures[Defence Fixture Multiplier],MATCH(A21&amp;"_"&amp;($B$1+1),tblTeamFixtures[Lookup],0)),1)</f>
        <v>1.2</v>
      </c>
      <c r="H21" t="str">
        <f>INDEX(tblTeamFixtures[Opponent_name],MATCH(A21&amp;"_"&amp;($B$1+2),tblTeamFixtures[Lookup],0))</f>
        <v>COV</v>
      </c>
      <c r="I21">
        <f>IFERROR(INDEX(tblTeamFixtures[Attack Fixture Multiplier],MATCH(A21&amp;"_"&amp;($B$1+2),tblTeamFixtures[Lookup],0)),1)</f>
        <v>1.2</v>
      </c>
      <c r="J21">
        <f>IFERROR(INDEX(tblTeamFixtures[Defence Fixture Multiplier],MATCH(A21&amp;"_"&amp;($B$1+2),tblTeamFixtures[Lookup],0)),1)</f>
        <v>1.2</v>
      </c>
      <c r="K21" t="str">
        <f>INDEX(tblTeamFixtures[Opponent_name],MATCH(A21&amp;"_"&amp;($B$1+3),tblTeamFixtures[Lookup],0))</f>
        <v>AVL</v>
      </c>
      <c r="L21">
        <f>IFERROR(INDEX(tblTeamFixtures[Attack Fixture Multiplier],MATCH(A21&amp;"_"&amp;($B$1+3),tblTeamFixtures[Lookup],0)),1)</f>
        <v>1.2</v>
      </c>
      <c r="M21">
        <f>IFERROR(INDEX(tblTeamFixtures[Defence Fixture Multiplier],MATCH(A21&amp;"_"&amp;($B$1+3),tblTeamFixtures[Lookup],0)),1)</f>
        <v>1.2</v>
      </c>
      <c r="N21" t="str">
        <f>INDEX(tblTeamFixtures[Opponent_name],MATCH(A21&amp;"_"&amp;($B$1+4),tblTeamFixtures[Lookup],0))</f>
        <v>CRY</v>
      </c>
      <c r="O21">
        <f>IFERROR(INDEX(tblTeamFixtures[Attack Fixture Multiplier],MATCH(A21&amp;"_"&amp;($B$1+4),tblTeamFixtures[Lookup],0)),1)</f>
        <v>1.2</v>
      </c>
      <c r="P21">
        <f>IFERROR(INDEX(tblTeamFixtures[Defence Fixture Multiplier],MATCH(A21&amp;"_"&amp;($B$1+4),tblTeamFixtures[Lookup],0)),1)</f>
        <v>1.061524334251607</v>
      </c>
      <c r="Q21">
        <f t="shared" si="0"/>
        <v>1.0060034602076122</v>
      </c>
      <c r="R21">
        <f t="shared" si="1"/>
        <v>1.1861524334251605</v>
      </c>
      <c r="S21">
        <f t="shared" si="2"/>
        <v>1.0960779468163864</v>
      </c>
    </row>
    <row r="22" spans="1:19" x14ac:dyDescent="0.25">
      <c r="A22" t="s">
        <v>1102</v>
      </c>
      <c r="B22" t="str">
        <f>INDEX(tblTeamFixtures[Opponent_name],MATCH(A22&amp;"_"&amp;$B$1,tblTeamFixtures[Lookup],0))</f>
        <v>AVL</v>
      </c>
      <c r="C22">
        <f>IFERROR(INDEX(tblTeamFixtures[Attack Fixture Multiplier],MATCH(A22&amp;"_"&amp;$B$1,tblTeamFixtures[Lookup],0)),1)</f>
        <v>0.80017301038062272</v>
      </c>
      <c r="D22">
        <f>IFERROR(INDEX(tblTeamFixtures[Defence Fixture Multiplier],MATCH(A22&amp;"_"&amp;$B$1,tblTeamFixtures[Lookup],0)),1)</f>
        <v>1.2</v>
      </c>
      <c r="E22" t="str">
        <f>INDEX(tblTeamFixtures[Opponent_name],MATCH(A22&amp;"_"&amp;($B$1+1),tblTeamFixtures[Lookup],0))</f>
        <v>COV</v>
      </c>
      <c r="F22">
        <f>IFERROR(INDEX(tblTeamFixtures[Attack Fixture Multiplier],MATCH(A22&amp;"_"&amp;($B$1+1),tblTeamFixtures[Lookup],0)),1)</f>
        <v>0.80017301038062272</v>
      </c>
      <c r="G22">
        <f>IFERROR(INDEX(tblTeamFixtures[Defence Fixture Multiplier],MATCH(A22&amp;"_"&amp;($B$1+1),tblTeamFixtures[Lookup],0)),1)</f>
        <v>1.2</v>
      </c>
      <c r="H22" t="str">
        <f>INDEX(tblTeamFixtures[Opponent_name],MATCH(A22&amp;"_"&amp;($B$1+2),tblTeamFixtures[Lookup],0))</f>
        <v>CRY</v>
      </c>
      <c r="I22">
        <f>IFERROR(INDEX(tblTeamFixtures[Attack Fixture Multiplier],MATCH(A22&amp;"_"&amp;($B$1+2),tblTeamFixtures[Lookup],0)),1)</f>
        <v>1.0596885813148789</v>
      </c>
      <c r="J22">
        <f>IFERROR(INDEX(tblTeamFixtures[Defence Fixture Multiplier],MATCH(A22&amp;"_"&amp;($B$1+2),tblTeamFixtures[Lookup],0)),1)</f>
        <v>1.2</v>
      </c>
      <c r="K22" t="str">
        <f>INDEX(tblTeamFixtures[Opponent_name],MATCH(A22&amp;"_"&amp;($B$1+3),tblTeamFixtures[Lookup],0))</f>
        <v>ARS</v>
      </c>
      <c r="L22">
        <f>IFERROR(INDEX(tblTeamFixtures[Attack Fixture Multiplier],MATCH(A22&amp;"_"&amp;($B$1+3),tblTeamFixtures[Lookup],0)),1)</f>
        <v>0.8</v>
      </c>
      <c r="M22">
        <f>IFERROR(INDEX(tblTeamFixtures[Defence Fixture Multiplier],MATCH(A22&amp;"_"&amp;($B$1+3),tblTeamFixtures[Lookup],0)),1)</f>
        <v>0.9722455845248108</v>
      </c>
      <c r="N22" t="str">
        <f>INDEX(tblTeamFixtures[Opponent_name],MATCH(A22&amp;"_"&amp;($B$1+4),tblTeamFixtures[Lookup],0))</f>
        <v>IPS</v>
      </c>
      <c r="O22">
        <f>IFERROR(INDEX(tblTeamFixtures[Attack Fixture Multiplier],MATCH(A22&amp;"_"&amp;($B$1+4),tblTeamFixtures[Lookup],0)),1)</f>
        <v>1.0596885813148789</v>
      </c>
      <c r="P22">
        <f>IFERROR(INDEX(tblTeamFixtures[Defence Fixture Multiplier],MATCH(A22&amp;"_"&amp;($B$1+4),tblTeamFixtures[Lookup],0)),1)</f>
        <v>1.2</v>
      </c>
      <c r="Q22">
        <f t="shared" si="0"/>
        <v>0.87800173010380622</v>
      </c>
      <c r="R22">
        <f t="shared" si="1"/>
        <v>1.1658368376787216</v>
      </c>
      <c r="S22">
        <f t="shared" si="2"/>
        <v>1.0219192838912639</v>
      </c>
    </row>
    <row r="23" spans="1:19" x14ac:dyDescent="0.25">
      <c r="A23" t="s">
        <v>1106</v>
      </c>
      <c r="B23" t="str">
        <f>INDEX(tblTeamFixtures[Opponent_name],MATCH(A23&amp;"_"&amp;$B$1,tblTeamFixtures[Lookup],0))</f>
        <v>ARS</v>
      </c>
      <c r="C23">
        <f>IFERROR(INDEX(tblTeamFixtures[Attack Fixture Multiplier],MATCH(A23&amp;"_"&amp;$B$1,tblTeamFixtures[Lookup],0)),1)</f>
        <v>0.8</v>
      </c>
      <c r="D23">
        <f>IFERROR(INDEX(tblTeamFixtures[Defence Fixture Multiplier],MATCH(A23&amp;"_"&amp;$B$1,tblTeamFixtures[Lookup],0)),1)</f>
        <v>0.9722455845248108</v>
      </c>
      <c r="E23" t="str">
        <f>INDEX(tblTeamFixtures[Opponent_name],MATCH(A23&amp;"_"&amp;($B$1+1),tblTeamFixtures[Lookup],0))</f>
        <v>MCI</v>
      </c>
      <c r="F23">
        <f>IFERROR(INDEX(tblTeamFixtures[Attack Fixture Multiplier],MATCH(A23&amp;"_"&amp;($B$1+1),tblTeamFixtures[Lookup],0)),1)</f>
        <v>0.8</v>
      </c>
      <c r="G23">
        <f>IFERROR(INDEX(tblTeamFixtures[Defence Fixture Multiplier],MATCH(A23&amp;"_"&amp;($B$1+1),tblTeamFixtures[Lookup],0)),1)</f>
        <v>0.885823754789272</v>
      </c>
      <c r="H23" t="str">
        <f>INDEX(tblTeamFixtures[Opponent_name],MATCH(A23&amp;"_"&amp;($B$1+2),tblTeamFixtures[Lookup],0))</f>
        <v>BHA</v>
      </c>
      <c r="I23">
        <f>IFERROR(INDEX(tblTeamFixtures[Attack Fixture Multiplier],MATCH(A23&amp;"_"&amp;($B$1+2),tblTeamFixtures[Lookup],0)),1)</f>
        <v>0.92820069204152233</v>
      </c>
      <c r="J23">
        <f>IFERROR(INDEX(tblTeamFixtures[Defence Fixture Multiplier],MATCH(A23&amp;"_"&amp;($B$1+2),tblTeamFixtures[Lookup],0)),1)</f>
        <v>0.81351161154116824</v>
      </c>
      <c r="K23" t="str">
        <f>INDEX(tblTeamFixtures[Opponent_name],MATCH(A23&amp;"_"&amp;($B$1+3),tblTeamFixtures[Lookup],0))</f>
        <v>BOU</v>
      </c>
      <c r="L23">
        <f>IFERROR(INDEX(tblTeamFixtures[Attack Fixture Multiplier],MATCH(A23&amp;"_"&amp;($B$1+3),tblTeamFixtures[Lookup],0)),1)</f>
        <v>0.92820069204152233</v>
      </c>
      <c r="M23">
        <f>IFERROR(INDEX(tblTeamFixtures[Defence Fixture Multiplier],MATCH(A23&amp;"_"&amp;($B$1+3),tblTeamFixtures[Lookup],0)),1)</f>
        <v>1.2</v>
      </c>
      <c r="N23" t="str">
        <f>INDEX(tblTeamFixtures[Opponent_name],MATCH(A23&amp;"_"&amp;($B$1+4),tblTeamFixtures[Lookup],0))</f>
        <v>LEE</v>
      </c>
      <c r="O23">
        <f>IFERROR(INDEX(tblTeamFixtures[Attack Fixture Multiplier],MATCH(A23&amp;"_"&amp;($B$1+4),tblTeamFixtures[Lookup],0)),1)</f>
        <v>0.8</v>
      </c>
      <c r="P23">
        <f>IFERROR(INDEX(tblTeamFixtures[Defence Fixture Multiplier],MATCH(A23&amp;"_"&amp;($B$1+4),tblTeamFixtures[Lookup],0)),1)</f>
        <v>1.2</v>
      </c>
      <c r="Q23">
        <f t="shared" si="0"/>
        <v>0.84487024221453288</v>
      </c>
      <c r="R23">
        <f t="shared" si="1"/>
        <v>0.97583193636299492</v>
      </c>
      <c r="S23">
        <f t="shared" si="2"/>
        <v>0.91035108928876385</v>
      </c>
    </row>
    <row r="24" spans="1:19" x14ac:dyDescent="0.25">
      <c r="A24" t="s">
        <v>1104</v>
      </c>
      <c r="B24" t="str">
        <f>INDEX(tblTeamFixtures[Opponent_name],MATCH(A24&amp;"_"&amp;$B$1,tblTeamFixtures[Lookup],0))</f>
        <v>EVE</v>
      </c>
      <c r="C24">
        <f>IFERROR(INDEX(tblTeamFixtures[Attack Fixture Multiplier],MATCH(A24&amp;"_"&amp;$B$1,tblTeamFixtures[Lookup],0)),1)</f>
        <v>0.8</v>
      </c>
      <c r="D24">
        <f>IFERROR(INDEX(tblTeamFixtures[Defence Fixture Multiplier],MATCH(A24&amp;"_"&amp;$B$1,tblTeamFixtures[Lookup],0)),1)</f>
        <v>0.84441197954711478</v>
      </c>
      <c r="E24" t="str">
        <f>INDEX(tblTeamFixtures[Opponent_name],MATCH(A24&amp;"_"&amp;($B$1+1),tblTeamFixtures[Lookup],0))</f>
        <v>AVL</v>
      </c>
      <c r="F24">
        <f>IFERROR(INDEX(tblTeamFixtures[Attack Fixture Multiplier],MATCH(A24&amp;"_"&amp;($B$1+1),tblTeamFixtures[Lookup],0)),1)</f>
        <v>0.8</v>
      </c>
      <c r="G24">
        <f>IFERROR(INDEX(tblTeamFixtures[Defence Fixture Multiplier],MATCH(A24&amp;"_"&amp;($B$1+1),tblTeamFixtures[Lookup],0)),1)</f>
        <v>1.2</v>
      </c>
      <c r="H24" t="str">
        <f>INDEX(tblTeamFixtures[Opponent_name],MATCH(A24&amp;"_"&amp;($B$1+2),tblTeamFixtures[Lookup],0))</f>
        <v>MUN</v>
      </c>
      <c r="I24">
        <f>IFERROR(INDEX(tblTeamFixtures[Attack Fixture Multiplier],MATCH(A24&amp;"_"&amp;($B$1+2),tblTeamFixtures[Lookup],0)),1)</f>
        <v>0.8</v>
      </c>
      <c r="J24">
        <f>IFERROR(INDEX(tblTeamFixtures[Defence Fixture Multiplier],MATCH(A24&amp;"_"&amp;($B$1+2),tblTeamFixtures[Lookup],0)),1)</f>
        <v>0.8</v>
      </c>
      <c r="K24" t="str">
        <f>INDEX(tblTeamFixtures[Opponent_name],MATCH(A24&amp;"_"&amp;($B$1+3),tblTeamFixtures[Lookup],0))</f>
        <v>COV</v>
      </c>
      <c r="L24">
        <f>IFERROR(INDEX(tblTeamFixtures[Attack Fixture Multiplier],MATCH(A24&amp;"_"&amp;($B$1+3),tblTeamFixtures[Lookup],0)),1)</f>
        <v>0.8</v>
      </c>
      <c r="M24">
        <f>IFERROR(INDEX(tblTeamFixtures[Defence Fixture Multiplier],MATCH(A24&amp;"_"&amp;($B$1+3),tblTeamFixtures[Lookup],0)),1)</f>
        <v>1.2</v>
      </c>
      <c r="N24" t="str">
        <f>INDEX(tblTeamFixtures[Opponent_name],MATCH(A24&amp;"_"&amp;($B$1+4),tblTeamFixtures[Lookup],0))</f>
        <v>CHE</v>
      </c>
      <c r="O24">
        <f>IFERROR(INDEX(tblTeamFixtures[Attack Fixture Multiplier],MATCH(A24&amp;"_"&amp;($B$1+4),tblTeamFixtures[Lookup],0)),1)</f>
        <v>0.8</v>
      </c>
      <c r="P24">
        <f>IFERROR(INDEX(tblTeamFixtures[Defence Fixture Multiplier],MATCH(A24&amp;"_"&amp;($B$1+4),tblTeamFixtures[Lookup],0)),1)</f>
        <v>0.8</v>
      </c>
      <c r="Q24">
        <f t="shared" si="0"/>
        <v>0.8</v>
      </c>
      <c r="R24">
        <f t="shared" si="1"/>
        <v>0.97332359386413447</v>
      </c>
      <c r="S24">
        <f t="shared" si="2"/>
        <v>0.88666179693206726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706B-E95E-4D78-8604-685EC2463EC3}">
  <dimension ref="A1:T761"/>
  <sheetViews>
    <sheetView topLeftCell="N1" workbookViewId="0">
      <selection activeCell="T2" sqref="T2"/>
    </sheetView>
  </sheetViews>
  <sheetFormatPr defaultRowHeight="15" x14ac:dyDescent="0.25"/>
  <cols>
    <col min="1" max="1" width="6.7109375" bestFit="1" customWidth="1"/>
    <col min="2" max="2" width="19.140625" bestFit="1" customWidth="1"/>
    <col min="3" max="3" width="23.140625" bestFit="1" customWidth="1"/>
    <col min="4" max="4" width="18.140625" bestFit="1" customWidth="1"/>
    <col min="5" max="5" width="8.140625" bestFit="1" customWidth="1"/>
    <col min="6" max="6" width="12.28515625" bestFit="1" customWidth="1"/>
    <col min="7" max="7" width="11.42578125" bestFit="1" customWidth="1"/>
    <col min="8" max="8" width="6.7109375" bestFit="1" customWidth="1"/>
    <col min="9" max="9" width="14.140625" bestFit="1" customWidth="1"/>
    <col min="10" max="10" width="18.42578125" bestFit="1" customWidth="1"/>
    <col min="11" max="11" width="9.7109375" bestFit="1" customWidth="1"/>
    <col min="12" max="12" width="22.42578125" bestFit="1" customWidth="1"/>
    <col min="13" max="13" width="26" bestFit="1" customWidth="1"/>
    <col min="14" max="14" width="26.7109375" bestFit="1" customWidth="1"/>
    <col min="15" max="15" width="30.28515625" bestFit="1" customWidth="1"/>
    <col min="16" max="16" width="22.42578125" bestFit="1" customWidth="1"/>
    <col min="17" max="17" width="26.7109375" bestFit="1" customWidth="1"/>
    <col min="18" max="18" width="25.42578125" bestFit="1" customWidth="1"/>
    <col min="19" max="19" width="27.28515625" bestFit="1" customWidth="1"/>
    <col min="20" max="20" width="26.28515625" bestFit="1" customWidth="1"/>
  </cols>
  <sheetData>
    <row r="1" spans="1:20" x14ac:dyDescent="0.25">
      <c r="A1" t="s">
        <v>1059</v>
      </c>
      <c r="B1" t="s">
        <v>1057</v>
      </c>
      <c r="C1" t="s">
        <v>1058</v>
      </c>
      <c r="D1" t="s">
        <v>1063</v>
      </c>
      <c r="E1" t="s">
        <v>1041</v>
      </c>
      <c r="F1" t="s">
        <v>1060</v>
      </c>
      <c r="G1" t="s">
        <v>1062</v>
      </c>
      <c r="H1" t="s">
        <v>1061</v>
      </c>
      <c r="I1" t="s">
        <v>1108</v>
      </c>
      <c r="J1" t="s">
        <v>1109</v>
      </c>
      <c r="K1" t="s">
        <v>1119</v>
      </c>
      <c r="L1" t="s">
        <v>2822</v>
      </c>
      <c r="M1" t="s">
        <v>2823</v>
      </c>
      <c r="N1" t="s">
        <v>2824</v>
      </c>
      <c r="O1" t="s">
        <v>2825</v>
      </c>
      <c r="P1" t="s">
        <v>2826</v>
      </c>
      <c r="Q1" t="s">
        <v>2827</v>
      </c>
      <c r="R1" s="11" t="s">
        <v>2828</v>
      </c>
      <c r="S1" t="s">
        <v>2829</v>
      </c>
      <c r="T1" t="s">
        <v>2830</v>
      </c>
    </row>
    <row r="2" spans="1:20" x14ac:dyDescent="0.25">
      <c r="A2">
        <v>1</v>
      </c>
      <c r="B2" t="b">
        <v>1</v>
      </c>
      <c r="C2" s="6">
        <v>46255.833333333336</v>
      </c>
      <c r="D2" t="b">
        <v>1</v>
      </c>
      <c r="E2">
        <v>1</v>
      </c>
      <c r="F2">
        <v>7</v>
      </c>
      <c r="G2">
        <v>2</v>
      </c>
      <c r="H2" t="s">
        <v>1110</v>
      </c>
      <c r="I2" t="s">
        <v>1068</v>
      </c>
      <c r="J2" t="s">
        <v>1080</v>
      </c>
      <c r="K2" t="str">
        <f>tblTeamFixtures[[#This Row],[Team_name]]&amp;"_"&amp;tblTeamFixtures[[#This Row],[GW]]</f>
        <v>ARS_1</v>
      </c>
      <c r="L2">
        <f>IFERROR(INDEX(TEAM_ANALYSIS!$Y:$Y,MATCH($E2,TEAM_ANALYSIS!$A:$A,0)),1)</f>
        <v>1.2058823529411764</v>
      </c>
      <c r="M2">
        <f>IFERROR(INDEX(TEAM_ANALYSIS!$Z:$Z,MATCH($E2,TEAM_ANALYSIS!$A:$A,0)),1)</f>
        <v>0.61764705882352944</v>
      </c>
      <c r="N2">
        <f>IFERROR(INDEX(TEAM_ANALYSIS!$Y:$Y,MATCH($F2,TEAM_ANALYSIS!$A:$A,0)),1)</f>
        <v>0.5</v>
      </c>
      <c r="O2">
        <f>IFERROR(INDEX(TEAM_ANALYSIS!$Z:$Z,MATCH($F2,TEAM_ANALYSIS!$A:$A,0)),1)</f>
        <v>1.088235294117647</v>
      </c>
      <c r="P2">
        <f>MAX(0.05,AVERAGE(TEAM_ANALYSIS!$W$2:$W$21)*L2*O2)</f>
        <v>2.7886029411764706</v>
      </c>
      <c r="Q2">
        <f>MAX(0.05,AVERAGE(TEAM_ANALYSIS!$W$2:$W$21)*N2*M2)</f>
        <v>0.65625</v>
      </c>
      <c r="R2" s="22">
        <f>MAX(0.8,MIN(1.2,P2/AVERAGE(TEAM_ANALYSIS!$W$2:$W$21)))</f>
        <v>1.2</v>
      </c>
      <c r="S2">
        <f>MAX(0.8,MIN(1.2,AVERAGE(TEAM_ANALYSIS!$W$2:$W$21)/Q2))</f>
        <v>1.2</v>
      </c>
      <c r="T2">
        <f>AVERAGE(R2,S2)</f>
        <v>1.2</v>
      </c>
    </row>
    <row r="3" spans="1:20" x14ac:dyDescent="0.25">
      <c r="A3">
        <v>1</v>
      </c>
      <c r="B3" t="b">
        <v>1</v>
      </c>
      <c r="C3" s="6">
        <v>46256.520833333336</v>
      </c>
      <c r="D3" t="b">
        <v>1</v>
      </c>
      <c r="E3">
        <v>11</v>
      </c>
      <c r="F3">
        <v>16</v>
      </c>
      <c r="G3">
        <v>4</v>
      </c>
      <c r="H3" t="s">
        <v>1110</v>
      </c>
      <c r="I3" t="s">
        <v>1088</v>
      </c>
      <c r="J3" t="s">
        <v>1098</v>
      </c>
      <c r="K3" t="str">
        <f>tblTeamFixtures[[#This Row],[Team_name]]&amp;"_"&amp;tblTeamFixtures[[#This Row],[GW]]</f>
        <v>HUL_1</v>
      </c>
      <c r="L3">
        <f>IFERROR(INDEX(TEAM_ANALYSIS!$Y:$Y,MATCH($E3,TEAM_ANALYSIS!$A:$A,0)),1)</f>
        <v>0.8529411764705882</v>
      </c>
      <c r="M3">
        <f>IFERROR(INDEX(TEAM_ANALYSIS!$Z:$Z,MATCH($E3,TEAM_ANALYSIS!$A:$A,0)),1)</f>
        <v>0.5</v>
      </c>
      <c r="N3">
        <f>IFERROR(INDEX(TEAM_ANALYSIS!$Y:$Y,MATCH($F3,TEAM_ANALYSIS!$A:$A,0)),1)</f>
        <v>1.3235294117647058</v>
      </c>
      <c r="O3">
        <f>IFERROR(INDEX(TEAM_ANALYSIS!$Z:$Z,MATCH($F3,TEAM_ANALYSIS!$A:$A,0)),1)</f>
        <v>1.2058823529411764</v>
      </c>
      <c r="P3">
        <f>MAX(0.05,AVERAGE(TEAM_ANALYSIS!$W$2:$W$21)*L3*O3)</f>
        <v>2.1856617647058822</v>
      </c>
      <c r="Q3">
        <f>MAX(0.05,AVERAGE(TEAM_ANALYSIS!$W$2:$W$21)*N3*M3)</f>
        <v>1.40625</v>
      </c>
      <c r="R3" s="23">
        <f>MAX(0.8,MIN(1.2,P3/AVERAGE(TEAM_ANALYSIS!$W$2:$W$21)))</f>
        <v>1.0285467128027681</v>
      </c>
      <c r="S3">
        <f>MAX(0.8,MIN(1.2,AVERAGE(TEAM_ANALYSIS!$W$2:$W$21)/Q3))</f>
        <v>1.2</v>
      </c>
      <c r="T3">
        <f>AVERAGE(R3,S3)</f>
        <v>1.114273356401384</v>
      </c>
    </row>
    <row r="4" spans="1:20" x14ac:dyDescent="0.25">
      <c r="A4">
        <v>1</v>
      </c>
      <c r="B4" t="b">
        <v>1</v>
      </c>
      <c r="C4" s="6">
        <v>46257.583333333336</v>
      </c>
      <c r="D4" t="b">
        <v>1</v>
      </c>
      <c r="E4">
        <v>5</v>
      </c>
      <c r="F4">
        <v>2</v>
      </c>
      <c r="G4">
        <v>3</v>
      </c>
      <c r="H4" t="s">
        <v>1110</v>
      </c>
      <c r="I4" t="s">
        <v>1076</v>
      </c>
      <c r="J4" t="s">
        <v>1070</v>
      </c>
      <c r="K4" t="str">
        <f>tblTeamFixtures[[#This Row],[Team_name]]&amp;"_"&amp;tblTeamFixtures[[#This Row],[GW]]</f>
        <v>BHA_1</v>
      </c>
      <c r="L4">
        <f>IFERROR(INDEX(TEAM_ANALYSIS!$Y:$Y,MATCH($E4,TEAM_ANALYSIS!$A:$A,0)),1)</f>
        <v>1.4411764705882353</v>
      </c>
      <c r="M4">
        <f>IFERROR(INDEX(TEAM_ANALYSIS!$Z:$Z,MATCH($E4,TEAM_ANALYSIS!$A:$A,0)),1)</f>
        <v>1.088235294117647</v>
      </c>
      <c r="N4">
        <f>IFERROR(INDEX(TEAM_ANALYSIS!$Y:$Y,MATCH($F4,TEAM_ANALYSIS!$A:$A,0)),1)</f>
        <v>0.5</v>
      </c>
      <c r="O4">
        <f>IFERROR(INDEX(TEAM_ANALYSIS!$Z:$Z,MATCH($F4,TEAM_ANALYSIS!$A:$A,0)),1)</f>
        <v>1.088235294117647</v>
      </c>
      <c r="P4">
        <f>MAX(0.05,AVERAGE(TEAM_ANALYSIS!$W$2:$W$21)*L4*O4)</f>
        <v>3.3327205882352939</v>
      </c>
      <c r="Q4">
        <f>MAX(0.05,AVERAGE(TEAM_ANALYSIS!$W$2:$W$21)*N4*M4)</f>
        <v>1.15625</v>
      </c>
      <c r="R4" s="23">
        <f>MAX(0.8,MIN(1.2,P4/AVERAGE(TEAM_ANALYSIS!$W$2:$W$21)))</f>
        <v>1.2</v>
      </c>
      <c r="S4">
        <f>MAX(0.8,MIN(1.2,AVERAGE(TEAM_ANALYSIS!$W$2:$W$21)/Q4))</f>
        <v>1.2</v>
      </c>
      <c r="T4">
        <f>AVERAGE(R4,S4)</f>
        <v>1.2</v>
      </c>
    </row>
    <row r="5" spans="1:20" x14ac:dyDescent="0.25">
      <c r="A5">
        <v>1</v>
      </c>
      <c r="B5" t="b">
        <v>1</v>
      </c>
      <c r="C5" s="6">
        <v>46257.583333333336</v>
      </c>
      <c r="D5" t="b">
        <v>1</v>
      </c>
      <c r="E5">
        <v>15</v>
      </c>
      <c r="F5">
        <v>3</v>
      </c>
      <c r="G5">
        <v>3</v>
      </c>
      <c r="H5" t="s">
        <v>1110</v>
      </c>
      <c r="I5" t="s">
        <v>1096</v>
      </c>
      <c r="J5" t="s">
        <v>1072</v>
      </c>
      <c r="K5" t="str">
        <f>tblTeamFixtures[[#This Row],[Team_name]]&amp;"_"&amp;tblTeamFixtures[[#This Row],[GW]]</f>
        <v>MCI_1</v>
      </c>
      <c r="L5">
        <f>IFERROR(INDEX(TEAM_ANALYSIS!$Y:$Y,MATCH($E5,TEAM_ANALYSIS!$A:$A,0)),1)</f>
        <v>1.3235294117647058</v>
      </c>
      <c r="M5">
        <f>IFERROR(INDEX(TEAM_ANALYSIS!$Z:$Z,MATCH($E5,TEAM_ANALYSIS!$A:$A,0)),1)</f>
        <v>0.73529411764705888</v>
      </c>
      <c r="N5">
        <f>IFERROR(INDEX(TEAM_ANALYSIS!$Y:$Y,MATCH($F5,TEAM_ANALYSIS!$A:$A,0)),1)</f>
        <v>0.97058823529411764</v>
      </c>
      <c r="O5">
        <f>IFERROR(INDEX(TEAM_ANALYSIS!$Z:$Z,MATCH($F5,TEAM_ANALYSIS!$A:$A,0)),1)</f>
        <v>1.088235294117647</v>
      </c>
      <c r="P5">
        <f>MAX(0.05,AVERAGE(TEAM_ANALYSIS!$W$2:$W$21)*L5*O5)</f>
        <v>3.0606617647058822</v>
      </c>
      <c r="Q5">
        <f>MAX(0.05,AVERAGE(TEAM_ANALYSIS!$W$2:$W$21)*N5*M5)</f>
        <v>1.5165441176470589</v>
      </c>
      <c r="R5" s="23">
        <f>MAX(0.8,MIN(1.2,P5/AVERAGE(TEAM_ANALYSIS!$W$2:$W$21)))</f>
        <v>1.2</v>
      </c>
      <c r="S5">
        <f>MAX(0.8,MIN(1.2,AVERAGE(TEAM_ANALYSIS!$W$2:$W$21)/Q5))</f>
        <v>1.2</v>
      </c>
      <c r="T5">
        <f>AVERAGE(R5,S5)</f>
        <v>1.2</v>
      </c>
    </row>
    <row r="6" spans="1:20" x14ac:dyDescent="0.25">
      <c r="A6">
        <v>1</v>
      </c>
      <c r="B6" t="b">
        <v>1</v>
      </c>
      <c r="C6" s="6">
        <v>46256.625</v>
      </c>
      <c r="D6" t="b">
        <v>1</v>
      </c>
      <c r="E6">
        <v>9</v>
      </c>
      <c r="F6">
        <v>8</v>
      </c>
      <c r="G6">
        <v>3</v>
      </c>
      <c r="H6" t="s">
        <v>1110</v>
      </c>
      <c r="I6" t="s">
        <v>1084</v>
      </c>
      <c r="J6" t="s">
        <v>1082</v>
      </c>
      <c r="K6" t="str">
        <f>tblTeamFixtures[[#This Row],[Team_name]]&amp;"_"&amp;tblTeamFixtures[[#This Row],[GW]]</f>
        <v>EVE_1</v>
      </c>
      <c r="L6">
        <f>IFERROR(INDEX(TEAM_ANALYSIS!$Y:$Y,MATCH($E6,TEAM_ANALYSIS!$A:$A,0)),1)</f>
        <v>1.088235294117647</v>
      </c>
      <c r="M6">
        <f>IFERROR(INDEX(TEAM_ANALYSIS!$Z:$Z,MATCH($E6,TEAM_ANALYSIS!$A:$A,0)),1)</f>
        <v>0.8529411764705882</v>
      </c>
      <c r="N6">
        <f>IFERROR(INDEX(TEAM_ANALYSIS!$Y:$Y,MATCH($F6,TEAM_ANALYSIS!$A:$A,0)),1)</f>
        <v>0.97058823529411764</v>
      </c>
      <c r="O6">
        <f>IFERROR(INDEX(TEAM_ANALYSIS!$Z:$Z,MATCH($F6,TEAM_ANALYSIS!$A:$A,0)),1)</f>
        <v>1.4411764705882353</v>
      </c>
      <c r="P6">
        <f>MAX(0.05,AVERAGE(TEAM_ANALYSIS!$W$2:$W$21)*L6*O6)</f>
        <v>3.3327205882352939</v>
      </c>
      <c r="Q6">
        <f>MAX(0.05,AVERAGE(TEAM_ANALYSIS!$W$2:$W$21)*N6*M6)</f>
        <v>1.7591911764705881</v>
      </c>
      <c r="R6" s="23">
        <f>MAX(0.8,MIN(1.2,P6/AVERAGE(TEAM_ANALYSIS!$W$2:$W$21)))</f>
        <v>1.2</v>
      </c>
      <c r="S6">
        <f>MAX(0.8,MIN(1.2,AVERAGE(TEAM_ANALYSIS!$W$2:$W$21)/Q6))</f>
        <v>1.2</v>
      </c>
      <c r="T6">
        <f>AVERAGE(R6,S6)</f>
        <v>1.2</v>
      </c>
    </row>
    <row r="7" spans="1:20" x14ac:dyDescent="0.25">
      <c r="A7">
        <v>1</v>
      </c>
      <c r="B7" t="b">
        <v>1</v>
      </c>
      <c r="C7" s="6">
        <v>46256.625</v>
      </c>
      <c r="D7" t="b">
        <v>1</v>
      </c>
      <c r="E7">
        <v>12</v>
      </c>
      <c r="F7">
        <v>20</v>
      </c>
      <c r="G7">
        <v>2</v>
      </c>
      <c r="H7" t="s">
        <v>1110</v>
      </c>
      <c r="I7" t="s">
        <v>1090</v>
      </c>
      <c r="J7" t="s">
        <v>1106</v>
      </c>
      <c r="K7" t="str">
        <f>tblTeamFixtures[[#This Row],[Team_name]]&amp;"_"&amp;tblTeamFixtures[[#This Row],[GW]]</f>
        <v>IPS_1</v>
      </c>
      <c r="L7">
        <f>IFERROR(INDEX(TEAM_ANALYSIS!$Y:$Y,MATCH($E7,TEAM_ANALYSIS!$A:$A,0)),1)</f>
        <v>0.97058823529411764</v>
      </c>
      <c r="M7">
        <f>IFERROR(INDEX(TEAM_ANALYSIS!$Z:$Z,MATCH($E7,TEAM_ANALYSIS!$A:$A,0)),1)</f>
        <v>1.4411764705882353</v>
      </c>
      <c r="N7">
        <f>IFERROR(INDEX(TEAM_ANALYSIS!$Y:$Y,MATCH($F7,TEAM_ANALYSIS!$A:$A,0)),1)</f>
        <v>0.8529411764705882</v>
      </c>
      <c r="O7">
        <f>IFERROR(INDEX(TEAM_ANALYSIS!$Z:$Z,MATCH($F7,TEAM_ANALYSIS!$A:$A,0)),1)</f>
        <v>0.8529411764705882</v>
      </c>
      <c r="P7">
        <f>MAX(0.05,AVERAGE(TEAM_ANALYSIS!$W$2:$W$21)*L7*O7)</f>
        <v>1.7591911764705881</v>
      </c>
      <c r="Q7">
        <f>MAX(0.05,AVERAGE(TEAM_ANALYSIS!$W$2:$W$21)*N7*M7)</f>
        <v>2.6121323529411766</v>
      </c>
      <c r="R7" s="23">
        <f>MAX(0.8,MIN(1.2,P7/AVERAGE(TEAM_ANALYSIS!$W$2:$W$21)))</f>
        <v>0.82785467128027679</v>
      </c>
      <c r="S7">
        <f>MAX(0.8,MIN(1.2,AVERAGE(TEAM_ANALYSIS!$W$2:$W$21)/Q7))</f>
        <v>0.81351161154116813</v>
      </c>
      <c r="T7">
        <f>AVERAGE(R7,S7)</f>
        <v>0.82068314141072252</v>
      </c>
    </row>
    <row r="8" spans="1:20" x14ac:dyDescent="0.25">
      <c r="A8">
        <v>1</v>
      </c>
      <c r="B8" t="b">
        <v>1</v>
      </c>
      <c r="C8" s="6">
        <v>46258.833333333336</v>
      </c>
      <c r="D8" t="b">
        <v>1</v>
      </c>
      <c r="E8">
        <v>10</v>
      </c>
      <c r="F8">
        <v>6</v>
      </c>
      <c r="G8">
        <v>4</v>
      </c>
      <c r="H8" t="s">
        <v>1110</v>
      </c>
      <c r="I8" t="s">
        <v>1086</v>
      </c>
      <c r="J8" t="s">
        <v>1078</v>
      </c>
      <c r="K8" t="str">
        <f>tblTeamFixtures[[#This Row],[Team_name]]&amp;"_"&amp;tblTeamFixtures[[#This Row],[GW]]</f>
        <v>FUL_1</v>
      </c>
      <c r="L8">
        <f>IFERROR(INDEX(TEAM_ANALYSIS!$Y:$Y,MATCH($E8,TEAM_ANALYSIS!$A:$A,0)),1)</f>
        <v>0.97058823529411764</v>
      </c>
      <c r="M8">
        <f>IFERROR(INDEX(TEAM_ANALYSIS!$Z:$Z,MATCH($E8,TEAM_ANALYSIS!$A:$A,0)),1)</f>
        <v>1.3235294117647058</v>
      </c>
      <c r="N8">
        <f>IFERROR(INDEX(TEAM_ANALYSIS!$Y:$Y,MATCH($F8,TEAM_ANALYSIS!$A:$A,0)),1)</f>
        <v>1.4411764705882353</v>
      </c>
      <c r="O8">
        <f>IFERROR(INDEX(TEAM_ANALYSIS!$Z:$Z,MATCH($F8,TEAM_ANALYSIS!$A:$A,0)),1)</f>
        <v>1.3235294117647058</v>
      </c>
      <c r="P8">
        <f>MAX(0.05,AVERAGE(TEAM_ANALYSIS!$W$2:$W$21)*L8*O8)</f>
        <v>2.7297794117647056</v>
      </c>
      <c r="Q8">
        <f>MAX(0.05,AVERAGE(TEAM_ANALYSIS!$W$2:$W$21)*N8*M8)</f>
        <v>4.0533088235294112</v>
      </c>
      <c r="R8" s="23">
        <f>MAX(0.8,MIN(1.2,P8/AVERAGE(TEAM_ANALYSIS!$W$2:$W$21)))</f>
        <v>1.2</v>
      </c>
      <c r="S8">
        <f>MAX(0.8,MIN(1.2,AVERAGE(TEAM_ANALYSIS!$W$2:$W$21)/Q8))</f>
        <v>0.8</v>
      </c>
      <c r="T8">
        <f>AVERAGE(R8,S8)</f>
        <v>1</v>
      </c>
    </row>
    <row r="9" spans="1:20" x14ac:dyDescent="0.25">
      <c r="A9">
        <v>1</v>
      </c>
      <c r="B9" t="b">
        <v>1</v>
      </c>
      <c r="C9" s="6">
        <v>46257.6875</v>
      </c>
      <c r="D9" t="b">
        <v>1</v>
      </c>
      <c r="E9">
        <v>17</v>
      </c>
      <c r="F9">
        <v>14</v>
      </c>
      <c r="G9">
        <v>4</v>
      </c>
      <c r="H9" t="s">
        <v>1110</v>
      </c>
      <c r="I9" t="s">
        <v>1100</v>
      </c>
      <c r="J9" t="s">
        <v>1094</v>
      </c>
      <c r="K9" t="str">
        <f>tblTeamFixtures[[#This Row],[Team_name]]&amp;"_"&amp;tblTeamFixtures[[#This Row],[GW]]</f>
        <v>NEW_1</v>
      </c>
      <c r="L9">
        <f>IFERROR(INDEX(TEAM_ANALYSIS!$Y:$Y,MATCH($E9,TEAM_ANALYSIS!$A:$A,0)),1)</f>
        <v>1.2058823529411764</v>
      </c>
      <c r="M9">
        <f>IFERROR(INDEX(TEAM_ANALYSIS!$Z:$Z,MATCH($E9,TEAM_ANALYSIS!$A:$A,0)),1)</f>
        <v>0.97058823529411764</v>
      </c>
      <c r="N9">
        <f>IFERROR(INDEX(TEAM_ANALYSIS!$Y:$Y,MATCH($F9,TEAM_ANALYSIS!$A:$A,0)),1)</f>
        <v>1.2058823529411764</v>
      </c>
      <c r="O9">
        <f>IFERROR(INDEX(TEAM_ANALYSIS!$Z:$Z,MATCH($F9,TEAM_ANALYSIS!$A:$A,0)),1)</f>
        <v>0.97058823529411764</v>
      </c>
      <c r="P9">
        <f>MAX(0.05,AVERAGE(TEAM_ANALYSIS!$W$2:$W$21)*L9*O9)</f>
        <v>2.4871323529411766</v>
      </c>
      <c r="Q9">
        <f>MAX(0.05,AVERAGE(TEAM_ANALYSIS!$W$2:$W$21)*N9*M9)</f>
        <v>2.4871323529411766</v>
      </c>
      <c r="R9" s="23">
        <f>MAX(0.8,MIN(1.2,P9/AVERAGE(TEAM_ANALYSIS!$W$2:$W$21)))</f>
        <v>1.1704152249134949</v>
      </c>
      <c r="S9">
        <f>MAX(0.8,MIN(1.2,AVERAGE(TEAM_ANALYSIS!$W$2:$W$21)/Q9))</f>
        <v>0.85439763488543974</v>
      </c>
      <c r="T9">
        <f>AVERAGE(R9,S9)</f>
        <v>1.0124064298994673</v>
      </c>
    </row>
    <row r="10" spans="1:20" x14ac:dyDescent="0.25">
      <c r="A10">
        <v>1</v>
      </c>
      <c r="B10" t="b">
        <v>1</v>
      </c>
      <c r="C10" s="6">
        <v>46256.729166666664</v>
      </c>
      <c r="D10" t="b">
        <v>1</v>
      </c>
      <c r="E10">
        <v>4</v>
      </c>
      <c r="F10">
        <v>19</v>
      </c>
      <c r="G10">
        <v>3</v>
      </c>
      <c r="H10" t="s">
        <v>1110</v>
      </c>
      <c r="I10" t="s">
        <v>1074</v>
      </c>
      <c r="J10" t="s">
        <v>1104</v>
      </c>
      <c r="K10" t="str">
        <f>tblTeamFixtures[[#This Row],[Team_name]]&amp;"_"&amp;tblTeamFixtures[[#This Row],[GW]]</f>
        <v>BRE_1</v>
      </c>
      <c r="L10">
        <f>IFERROR(INDEX(TEAM_ANALYSIS!$Y:$Y,MATCH($E10,TEAM_ANALYSIS!$A:$A,0)),1)</f>
        <v>1.088235294117647</v>
      </c>
      <c r="M10">
        <f>IFERROR(INDEX(TEAM_ANALYSIS!$Z:$Z,MATCH($E10,TEAM_ANALYSIS!$A:$A,0)),1)</f>
        <v>0.73529411764705888</v>
      </c>
      <c r="N10">
        <f>IFERROR(INDEX(TEAM_ANALYSIS!$Y:$Y,MATCH($F10,TEAM_ANALYSIS!$A:$A,0)),1)</f>
        <v>0.5</v>
      </c>
      <c r="O10">
        <f>IFERROR(INDEX(TEAM_ANALYSIS!$Z:$Z,MATCH($F10,TEAM_ANALYSIS!$A:$A,0)),1)</f>
        <v>1.088235294117647</v>
      </c>
      <c r="P10">
        <f>MAX(0.05,AVERAGE(TEAM_ANALYSIS!$W$2:$W$21)*L10*O10)</f>
        <v>2.5165441176470584</v>
      </c>
      <c r="Q10">
        <f>MAX(0.05,AVERAGE(TEAM_ANALYSIS!$W$2:$W$21)*N10*M10)</f>
        <v>0.78125</v>
      </c>
      <c r="R10" s="23">
        <f>MAX(0.8,MIN(1.2,P10/AVERAGE(TEAM_ANALYSIS!$W$2:$W$21)))</f>
        <v>1.1842560553633217</v>
      </c>
      <c r="S10">
        <f>MAX(0.8,MIN(1.2,AVERAGE(TEAM_ANALYSIS!$W$2:$W$21)/Q10))</f>
        <v>1.2</v>
      </c>
      <c r="T10">
        <f>AVERAGE(R10,S10)</f>
        <v>1.1921280276816608</v>
      </c>
    </row>
    <row r="11" spans="1:20" x14ac:dyDescent="0.25">
      <c r="A11">
        <v>1</v>
      </c>
      <c r="B11" t="b">
        <v>1</v>
      </c>
      <c r="C11" s="6">
        <v>46256.625</v>
      </c>
      <c r="D11" t="b">
        <v>1</v>
      </c>
      <c r="E11">
        <v>18</v>
      </c>
      <c r="F11">
        <v>13</v>
      </c>
      <c r="G11">
        <v>2</v>
      </c>
      <c r="H11" t="s">
        <v>1110</v>
      </c>
      <c r="I11" t="s">
        <v>1102</v>
      </c>
      <c r="J11" t="s">
        <v>1092</v>
      </c>
      <c r="K11" t="str">
        <f>tblTeamFixtures[[#This Row],[Team_name]]&amp;"_"&amp;tblTeamFixtures[[#This Row],[GW]]</f>
        <v>NFO_1</v>
      </c>
      <c r="L11">
        <f>IFERROR(INDEX(TEAM_ANALYSIS!$Y:$Y,MATCH($E11,TEAM_ANALYSIS!$A:$A,0)),1)</f>
        <v>0.73529411764705888</v>
      </c>
      <c r="M11">
        <f>IFERROR(INDEX(TEAM_ANALYSIS!$Z:$Z,MATCH($E11,TEAM_ANALYSIS!$A:$A,0)),1)</f>
        <v>0.8529411764705882</v>
      </c>
      <c r="N11">
        <f>IFERROR(INDEX(TEAM_ANALYSIS!$Y:$Y,MATCH($F11,TEAM_ANALYSIS!$A:$A,0)),1)</f>
        <v>0.8529411764705882</v>
      </c>
      <c r="O11">
        <f>IFERROR(INDEX(TEAM_ANALYSIS!$Z:$Z,MATCH($F11,TEAM_ANALYSIS!$A:$A,0)),1)</f>
        <v>0.73529411764705888</v>
      </c>
      <c r="P11">
        <f>MAX(0.05,AVERAGE(TEAM_ANALYSIS!$W$2:$W$21)*L11*O11)</f>
        <v>1.1488970588235294</v>
      </c>
      <c r="Q11">
        <f>MAX(0.05,AVERAGE(TEAM_ANALYSIS!$W$2:$W$21)*N11*M11)</f>
        <v>1.5459558823529411</v>
      </c>
      <c r="R11" s="23">
        <f>MAX(0.8,MIN(1.2,P11/AVERAGE(TEAM_ANALYSIS!$W$2:$W$21)))</f>
        <v>0.8</v>
      </c>
      <c r="S11">
        <f>MAX(0.8,MIN(1.2,AVERAGE(TEAM_ANALYSIS!$W$2:$W$21)/Q11))</f>
        <v>1.2</v>
      </c>
      <c r="T11">
        <f>AVERAGE(R11,S11)</f>
        <v>1</v>
      </c>
    </row>
    <row r="12" spans="1:20" x14ac:dyDescent="0.25">
      <c r="A12">
        <v>1</v>
      </c>
      <c r="B12" t="b">
        <v>1</v>
      </c>
      <c r="C12" s="6">
        <v>46255.833333333336</v>
      </c>
      <c r="D12" t="b">
        <v>1</v>
      </c>
      <c r="E12">
        <v>7</v>
      </c>
      <c r="F12">
        <v>1</v>
      </c>
      <c r="G12">
        <v>5</v>
      </c>
      <c r="H12" t="s">
        <v>1111</v>
      </c>
      <c r="I12" t="s">
        <v>1080</v>
      </c>
      <c r="J12" t="s">
        <v>1068</v>
      </c>
      <c r="K12" t="str">
        <f>tblTeamFixtures[[#This Row],[Team_name]]&amp;"_"&amp;tblTeamFixtures[[#This Row],[GW]]</f>
        <v>COV_1</v>
      </c>
      <c r="L12">
        <f>IFERROR(INDEX(TEAM_ANALYSIS!$Y:$Y,MATCH($E12,TEAM_ANALYSIS!$A:$A,0)),1)</f>
        <v>0.5</v>
      </c>
      <c r="M12">
        <f>IFERROR(INDEX(TEAM_ANALYSIS!$Z:$Z,MATCH($E12,TEAM_ANALYSIS!$A:$A,0)),1)</f>
        <v>1.088235294117647</v>
      </c>
      <c r="N12">
        <f>IFERROR(INDEX(TEAM_ANALYSIS!$Y:$Y,MATCH($F12,TEAM_ANALYSIS!$A:$A,0)),1)</f>
        <v>1.2058823529411764</v>
      </c>
      <c r="O12">
        <f>IFERROR(INDEX(TEAM_ANALYSIS!$Z:$Z,MATCH($F12,TEAM_ANALYSIS!$A:$A,0)),1)</f>
        <v>0.61764705882352944</v>
      </c>
      <c r="P12">
        <f>MAX(0.05,AVERAGE(TEAM_ANALYSIS!$W$2:$W$21)*L12*O12)</f>
        <v>0.65625</v>
      </c>
      <c r="Q12">
        <f>MAX(0.05,AVERAGE(TEAM_ANALYSIS!$W$2:$W$21)*N12*M12)</f>
        <v>2.7886029411764706</v>
      </c>
      <c r="R12" s="23">
        <f>MAX(0.8,MIN(1.2,P12/AVERAGE(TEAM_ANALYSIS!$W$2:$W$21)))</f>
        <v>0.8</v>
      </c>
      <c r="S12">
        <f>MAX(0.8,MIN(1.2,AVERAGE(TEAM_ANALYSIS!$W$2:$W$21)/Q12))</f>
        <v>0.8</v>
      </c>
      <c r="T12">
        <f>AVERAGE(R12,S12)</f>
        <v>0.8</v>
      </c>
    </row>
    <row r="13" spans="1:20" x14ac:dyDescent="0.25">
      <c r="A13">
        <v>1</v>
      </c>
      <c r="B13" t="b">
        <v>1</v>
      </c>
      <c r="C13" s="6">
        <v>46256.520833333336</v>
      </c>
      <c r="D13" t="b">
        <v>1</v>
      </c>
      <c r="E13">
        <v>16</v>
      </c>
      <c r="F13">
        <v>11</v>
      </c>
      <c r="G13">
        <v>2</v>
      </c>
      <c r="H13" t="s">
        <v>1111</v>
      </c>
      <c r="I13" t="s">
        <v>1098</v>
      </c>
      <c r="J13" t="s">
        <v>1088</v>
      </c>
      <c r="K13" t="str">
        <f>tblTeamFixtures[[#This Row],[Team_name]]&amp;"_"&amp;tblTeamFixtures[[#This Row],[GW]]</f>
        <v>MUN_1</v>
      </c>
      <c r="L13">
        <f>IFERROR(INDEX(TEAM_ANALYSIS!$Y:$Y,MATCH($E13,TEAM_ANALYSIS!$A:$A,0)),1)</f>
        <v>1.3235294117647058</v>
      </c>
      <c r="M13">
        <f>IFERROR(INDEX(TEAM_ANALYSIS!$Z:$Z,MATCH($E13,TEAM_ANALYSIS!$A:$A,0)),1)</f>
        <v>1.2058823529411764</v>
      </c>
      <c r="N13">
        <f>IFERROR(INDEX(TEAM_ANALYSIS!$Y:$Y,MATCH($F13,TEAM_ANALYSIS!$A:$A,0)),1)</f>
        <v>0.8529411764705882</v>
      </c>
      <c r="O13">
        <f>IFERROR(INDEX(TEAM_ANALYSIS!$Z:$Z,MATCH($F13,TEAM_ANALYSIS!$A:$A,0)),1)</f>
        <v>0.5</v>
      </c>
      <c r="P13">
        <f>MAX(0.05,AVERAGE(TEAM_ANALYSIS!$W$2:$W$21)*L13*O13)</f>
        <v>1.40625</v>
      </c>
      <c r="Q13">
        <f>MAX(0.05,AVERAGE(TEAM_ANALYSIS!$W$2:$W$21)*N13*M13)</f>
        <v>2.1856617647058822</v>
      </c>
      <c r="R13" s="23">
        <f>MAX(0.8,MIN(1.2,P13/AVERAGE(TEAM_ANALYSIS!$W$2:$W$21)))</f>
        <v>0.8</v>
      </c>
      <c r="S13">
        <f>MAX(0.8,MIN(1.2,AVERAGE(TEAM_ANALYSIS!$W$2:$W$21)/Q13))</f>
        <v>0.9722455845248108</v>
      </c>
      <c r="T13">
        <f>AVERAGE(R13,S13)</f>
        <v>0.88612279226240542</v>
      </c>
    </row>
    <row r="14" spans="1:20" x14ac:dyDescent="0.25">
      <c r="A14">
        <v>1</v>
      </c>
      <c r="B14" t="b">
        <v>1</v>
      </c>
      <c r="C14" s="6">
        <v>46257.583333333336</v>
      </c>
      <c r="D14" t="b">
        <v>1</v>
      </c>
      <c r="E14">
        <v>2</v>
      </c>
      <c r="F14">
        <v>5</v>
      </c>
      <c r="G14">
        <v>3</v>
      </c>
      <c r="H14" t="s">
        <v>1111</v>
      </c>
      <c r="I14" t="s">
        <v>1070</v>
      </c>
      <c r="J14" t="s">
        <v>1076</v>
      </c>
      <c r="K14" t="str">
        <f>tblTeamFixtures[[#This Row],[Team_name]]&amp;"_"&amp;tblTeamFixtures[[#This Row],[GW]]</f>
        <v>AVL_1</v>
      </c>
      <c r="L14">
        <f>IFERROR(INDEX(TEAM_ANALYSIS!$Y:$Y,MATCH($E14,TEAM_ANALYSIS!$A:$A,0)),1)</f>
        <v>0.5</v>
      </c>
      <c r="M14">
        <f>IFERROR(INDEX(TEAM_ANALYSIS!$Z:$Z,MATCH($E14,TEAM_ANALYSIS!$A:$A,0)),1)</f>
        <v>1.088235294117647</v>
      </c>
      <c r="N14">
        <f>IFERROR(INDEX(TEAM_ANALYSIS!$Y:$Y,MATCH($F14,TEAM_ANALYSIS!$A:$A,0)),1)</f>
        <v>1.4411764705882353</v>
      </c>
      <c r="O14">
        <f>IFERROR(INDEX(TEAM_ANALYSIS!$Z:$Z,MATCH($F14,TEAM_ANALYSIS!$A:$A,0)),1)</f>
        <v>1.088235294117647</v>
      </c>
      <c r="P14">
        <f>MAX(0.05,AVERAGE(TEAM_ANALYSIS!$W$2:$W$21)*L14*O14)</f>
        <v>1.15625</v>
      </c>
      <c r="Q14">
        <f>MAX(0.05,AVERAGE(TEAM_ANALYSIS!$W$2:$W$21)*N14*M14)</f>
        <v>3.3327205882352939</v>
      </c>
      <c r="R14" s="23">
        <f>MAX(0.8,MIN(1.2,P14/AVERAGE(TEAM_ANALYSIS!$W$2:$W$21)))</f>
        <v>0.8</v>
      </c>
      <c r="S14">
        <f>MAX(0.8,MIN(1.2,AVERAGE(TEAM_ANALYSIS!$W$2:$W$21)/Q14))</f>
        <v>0.8</v>
      </c>
      <c r="T14">
        <f>AVERAGE(R14,S14)</f>
        <v>0.8</v>
      </c>
    </row>
    <row r="15" spans="1:20" x14ac:dyDescent="0.25">
      <c r="A15">
        <v>1</v>
      </c>
      <c r="B15" t="b">
        <v>1</v>
      </c>
      <c r="C15" s="6">
        <v>46256.729166666664</v>
      </c>
      <c r="D15" t="b">
        <v>1</v>
      </c>
      <c r="E15">
        <v>19</v>
      </c>
      <c r="F15">
        <v>4</v>
      </c>
      <c r="G15">
        <v>3</v>
      </c>
      <c r="H15" t="s">
        <v>1111</v>
      </c>
      <c r="I15" t="s">
        <v>1104</v>
      </c>
      <c r="J15" t="s">
        <v>1074</v>
      </c>
      <c r="K15" t="str">
        <f>tblTeamFixtures[[#This Row],[Team_name]]&amp;"_"&amp;tblTeamFixtures[[#This Row],[GW]]</f>
        <v>TOT_1</v>
      </c>
      <c r="L15">
        <f>IFERROR(INDEX(TEAM_ANALYSIS!$Y:$Y,MATCH($E15,TEAM_ANALYSIS!$A:$A,0)),1)</f>
        <v>0.5</v>
      </c>
      <c r="M15">
        <f>IFERROR(INDEX(TEAM_ANALYSIS!$Z:$Z,MATCH($E15,TEAM_ANALYSIS!$A:$A,0)),1)</f>
        <v>1.088235294117647</v>
      </c>
      <c r="N15">
        <f>IFERROR(INDEX(TEAM_ANALYSIS!$Y:$Y,MATCH($F15,TEAM_ANALYSIS!$A:$A,0)),1)</f>
        <v>1.088235294117647</v>
      </c>
      <c r="O15">
        <f>IFERROR(INDEX(TEAM_ANALYSIS!$Z:$Z,MATCH($F15,TEAM_ANALYSIS!$A:$A,0)),1)</f>
        <v>0.73529411764705888</v>
      </c>
      <c r="P15">
        <f>MAX(0.05,AVERAGE(TEAM_ANALYSIS!$W$2:$W$21)*L15*O15)</f>
        <v>0.78125</v>
      </c>
      <c r="Q15">
        <f>MAX(0.05,AVERAGE(TEAM_ANALYSIS!$W$2:$W$21)*N15*M15)</f>
        <v>2.5165441176470584</v>
      </c>
      <c r="R15" s="23">
        <f>MAX(0.8,MIN(1.2,P15/AVERAGE(TEAM_ANALYSIS!$W$2:$W$21)))</f>
        <v>0.8</v>
      </c>
      <c r="S15">
        <f>MAX(0.8,MIN(1.2,AVERAGE(TEAM_ANALYSIS!$W$2:$W$21)/Q15))</f>
        <v>0.84441197954711478</v>
      </c>
      <c r="T15">
        <f>AVERAGE(R15,S15)</f>
        <v>0.82220598977355741</v>
      </c>
    </row>
    <row r="16" spans="1:20" x14ac:dyDescent="0.25">
      <c r="A16">
        <v>1</v>
      </c>
      <c r="B16" t="b">
        <v>1</v>
      </c>
      <c r="C16" s="6">
        <v>46256.625</v>
      </c>
      <c r="D16" t="b">
        <v>1</v>
      </c>
      <c r="E16">
        <v>8</v>
      </c>
      <c r="F16">
        <v>9</v>
      </c>
      <c r="G16">
        <v>3</v>
      </c>
      <c r="H16" t="s">
        <v>1111</v>
      </c>
      <c r="I16" t="s">
        <v>1082</v>
      </c>
      <c r="J16" t="s">
        <v>1084</v>
      </c>
      <c r="K16" t="str">
        <f>tblTeamFixtures[[#This Row],[Team_name]]&amp;"_"&amp;tblTeamFixtures[[#This Row],[GW]]</f>
        <v>CRY_1</v>
      </c>
      <c r="L16">
        <f>IFERROR(INDEX(TEAM_ANALYSIS!$Y:$Y,MATCH($E16,TEAM_ANALYSIS!$A:$A,0)),1)</f>
        <v>0.97058823529411764</v>
      </c>
      <c r="M16">
        <f>IFERROR(INDEX(TEAM_ANALYSIS!$Z:$Z,MATCH($E16,TEAM_ANALYSIS!$A:$A,0)),1)</f>
        <v>1.4411764705882353</v>
      </c>
      <c r="N16">
        <f>IFERROR(INDEX(TEAM_ANALYSIS!$Y:$Y,MATCH($F16,TEAM_ANALYSIS!$A:$A,0)),1)</f>
        <v>1.088235294117647</v>
      </c>
      <c r="O16">
        <f>IFERROR(INDEX(TEAM_ANALYSIS!$Z:$Z,MATCH($F16,TEAM_ANALYSIS!$A:$A,0)),1)</f>
        <v>0.8529411764705882</v>
      </c>
      <c r="P16">
        <f>MAX(0.05,AVERAGE(TEAM_ANALYSIS!$W$2:$W$21)*L16*O16)</f>
        <v>1.7591911764705881</v>
      </c>
      <c r="Q16">
        <f>MAX(0.05,AVERAGE(TEAM_ANALYSIS!$W$2:$W$21)*N16*M16)</f>
        <v>3.3327205882352939</v>
      </c>
      <c r="R16" s="23">
        <f>MAX(0.8,MIN(1.2,P16/AVERAGE(TEAM_ANALYSIS!$W$2:$W$21)))</f>
        <v>0.82785467128027679</v>
      </c>
      <c r="S16">
        <f>MAX(0.8,MIN(1.2,AVERAGE(TEAM_ANALYSIS!$W$2:$W$21)/Q16))</f>
        <v>0.8</v>
      </c>
      <c r="T16">
        <f>AVERAGE(R16,S16)</f>
        <v>0.81392733564013842</v>
      </c>
    </row>
    <row r="17" spans="1:20" x14ac:dyDescent="0.25">
      <c r="A17">
        <v>1</v>
      </c>
      <c r="B17" t="b">
        <v>1</v>
      </c>
      <c r="C17" s="6">
        <v>46257.583333333336</v>
      </c>
      <c r="D17" t="b">
        <v>1</v>
      </c>
      <c r="E17">
        <v>3</v>
      </c>
      <c r="F17">
        <v>15</v>
      </c>
      <c r="G17">
        <v>5</v>
      </c>
      <c r="H17" t="s">
        <v>1111</v>
      </c>
      <c r="I17" t="s">
        <v>1072</v>
      </c>
      <c r="J17" t="s">
        <v>1096</v>
      </c>
      <c r="K17" t="str">
        <f>tblTeamFixtures[[#This Row],[Team_name]]&amp;"_"&amp;tblTeamFixtures[[#This Row],[GW]]</f>
        <v>BOU_1</v>
      </c>
      <c r="L17">
        <f>IFERROR(INDEX(TEAM_ANALYSIS!$Y:$Y,MATCH($E17,TEAM_ANALYSIS!$A:$A,0)),1)</f>
        <v>0.97058823529411764</v>
      </c>
      <c r="M17">
        <f>IFERROR(INDEX(TEAM_ANALYSIS!$Z:$Z,MATCH($E17,TEAM_ANALYSIS!$A:$A,0)),1)</f>
        <v>1.088235294117647</v>
      </c>
      <c r="N17">
        <f>IFERROR(INDEX(TEAM_ANALYSIS!$Y:$Y,MATCH($F17,TEAM_ANALYSIS!$A:$A,0)),1)</f>
        <v>1.3235294117647058</v>
      </c>
      <c r="O17">
        <f>IFERROR(INDEX(TEAM_ANALYSIS!$Z:$Z,MATCH($F17,TEAM_ANALYSIS!$A:$A,0)),1)</f>
        <v>0.73529411764705888</v>
      </c>
      <c r="P17">
        <f>MAX(0.05,AVERAGE(TEAM_ANALYSIS!$W$2:$W$21)*L17*O17)</f>
        <v>1.5165441176470589</v>
      </c>
      <c r="Q17">
        <f>MAX(0.05,AVERAGE(TEAM_ANALYSIS!$W$2:$W$21)*N17*M17)</f>
        <v>3.0606617647058822</v>
      </c>
      <c r="R17" s="23">
        <f>MAX(0.8,MIN(1.2,P17/AVERAGE(TEAM_ANALYSIS!$W$2:$W$21)))</f>
        <v>0.8</v>
      </c>
      <c r="S17">
        <f>MAX(0.8,MIN(1.2,AVERAGE(TEAM_ANALYSIS!$W$2:$W$21)/Q17))</f>
        <v>0.8</v>
      </c>
      <c r="T17">
        <f>AVERAGE(R17,S17)</f>
        <v>0.8</v>
      </c>
    </row>
    <row r="18" spans="1:20" x14ac:dyDescent="0.25">
      <c r="A18">
        <v>1</v>
      </c>
      <c r="B18" t="b">
        <v>1</v>
      </c>
      <c r="C18" s="6">
        <v>46256.625</v>
      </c>
      <c r="D18" t="b">
        <v>1</v>
      </c>
      <c r="E18">
        <v>20</v>
      </c>
      <c r="F18">
        <v>12</v>
      </c>
      <c r="G18">
        <v>2</v>
      </c>
      <c r="H18" t="s">
        <v>1111</v>
      </c>
      <c r="I18" t="s">
        <v>1106</v>
      </c>
      <c r="J18" t="s">
        <v>1090</v>
      </c>
      <c r="K18" t="str">
        <f>tblTeamFixtures[[#This Row],[Team_name]]&amp;"_"&amp;tblTeamFixtures[[#This Row],[GW]]</f>
        <v>SUN_1</v>
      </c>
      <c r="L18">
        <f>IFERROR(INDEX(TEAM_ANALYSIS!$Y:$Y,MATCH($E18,TEAM_ANALYSIS!$A:$A,0)),1)</f>
        <v>0.8529411764705882</v>
      </c>
      <c r="M18">
        <f>IFERROR(INDEX(TEAM_ANALYSIS!$Z:$Z,MATCH($E18,TEAM_ANALYSIS!$A:$A,0)),1)</f>
        <v>0.8529411764705882</v>
      </c>
      <c r="N18">
        <f>IFERROR(INDEX(TEAM_ANALYSIS!$Y:$Y,MATCH($F18,TEAM_ANALYSIS!$A:$A,0)),1)</f>
        <v>0.97058823529411764</v>
      </c>
      <c r="O18">
        <f>IFERROR(INDEX(TEAM_ANALYSIS!$Z:$Z,MATCH($F18,TEAM_ANALYSIS!$A:$A,0)),1)</f>
        <v>1.4411764705882353</v>
      </c>
      <c r="P18">
        <f>MAX(0.05,AVERAGE(TEAM_ANALYSIS!$W$2:$W$21)*L18*O18)</f>
        <v>2.6121323529411766</v>
      </c>
      <c r="Q18">
        <f>MAX(0.05,AVERAGE(TEAM_ANALYSIS!$W$2:$W$21)*N18*M18)</f>
        <v>1.7591911764705881</v>
      </c>
      <c r="R18" s="23">
        <f>MAX(0.8,MIN(1.2,P18/AVERAGE(TEAM_ANALYSIS!$W$2:$W$21)))</f>
        <v>1.2</v>
      </c>
      <c r="S18">
        <f>MAX(0.8,MIN(1.2,AVERAGE(TEAM_ANALYSIS!$W$2:$W$21)/Q18))</f>
        <v>1.2</v>
      </c>
      <c r="T18">
        <f>AVERAGE(R18,S18)</f>
        <v>1.2</v>
      </c>
    </row>
    <row r="19" spans="1:20" x14ac:dyDescent="0.25">
      <c r="A19">
        <v>1</v>
      </c>
      <c r="B19" t="b">
        <v>1</v>
      </c>
      <c r="C19" s="6">
        <v>46256.625</v>
      </c>
      <c r="D19" t="b">
        <v>1</v>
      </c>
      <c r="E19">
        <v>13</v>
      </c>
      <c r="F19">
        <v>18</v>
      </c>
      <c r="G19">
        <v>3</v>
      </c>
      <c r="H19" t="s">
        <v>1111</v>
      </c>
      <c r="I19" t="s">
        <v>1092</v>
      </c>
      <c r="J19" t="s">
        <v>1102</v>
      </c>
      <c r="K19" t="str">
        <f>tblTeamFixtures[[#This Row],[Team_name]]&amp;"_"&amp;tblTeamFixtures[[#This Row],[GW]]</f>
        <v>LEE_1</v>
      </c>
      <c r="L19">
        <f>IFERROR(INDEX(TEAM_ANALYSIS!$Y:$Y,MATCH($E19,TEAM_ANALYSIS!$A:$A,0)),1)</f>
        <v>0.8529411764705882</v>
      </c>
      <c r="M19">
        <f>IFERROR(INDEX(TEAM_ANALYSIS!$Z:$Z,MATCH($E19,TEAM_ANALYSIS!$A:$A,0)),1)</f>
        <v>0.73529411764705888</v>
      </c>
      <c r="N19">
        <f>IFERROR(INDEX(TEAM_ANALYSIS!$Y:$Y,MATCH($F19,TEAM_ANALYSIS!$A:$A,0)),1)</f>
        <v>0.73529411764705888</v>
      </c>
      <c r="O19">
        <f>IFERROR(INDEX(TEAM_ANALYSIS!$Z:$Z,MATCH($F19,TEAM_ANALYSIS!$A:$A,0)),1)</f>
        <v>0.8529411764705882</v>
      </c>
      <c r="P19">
        <f>MAX(0.05,AVERAGE(TEAM_ANALYSIS!$W$2:$W$21)*L19*O19)</f>
        <v>1.5459558823529411</v>
      </c>
      <c r="Q19">
        <f>MAX(0.05,AVERAGE(TEAM_ANALYSIS!$W$2:$W$21)*N19*M19)</f>
        <v>1.1488970588235294</v>
      </c>
      <c r="R19" s="23">
        <f>MAX(0.8,MIN(1.2,P19/AVERAGE(TEAM_ANALYSIS!$W$2:$W$21)))</f>
        <v>0.8</v>
      </c>
      <c r="S19">
        <f>MAX(0.8,MIN(1.2,AVERAGE(TEAM_ANALYSIS!$W$2:$W$21)/Q19))</f>
        <v>1.2</v>
      </c>
      <c r="T19">
        <f>AVERAGE(R19,S19)</f>
        <v>1</v>
      </c>
    </row>
    <row r="20" spans="1:20" x14ac:dyDescent="0.25">
      <c r="A20">
        <v>1</v>
      </c>
      <c r="B20" t="b">
        <v>1</v>
      </c>
      <c r="C20" s="6">
        <v>46258.833333333336</v>
      </c>
      <c r="D20" t="b">
        <v>1</v>
      </c>
      <c r="E20">
        <v>6</v>
      </c>
      <c r="F20">
        <v>10</v>
      </c>
      <c r="G20">
        <v>3</v>
      </c>
      <c r="H20" t="s">
        <v>1111</v>
      </c>
      <c r="I20" t="s">
        <v>1078</v>
      </c>
      <c r="J20" t="s">
        <v>1086</v>
      </c>
      <c r="K20" t="str">
        <f>tblTeamFixtures[[#This Row],[Team_name]]&amp;"_"&amp;tblTeamFixtures[[#This Row],[GW]]</f>
        <v>CHE_1</v>
      </c>
      <c r="L20">
        <f>IFERROR(INDEX(TEAM_ANALYSIS!$Y:$Y,MATCH($E20,TEAM_ANALYSIS!$A:$A,0)),1)</f>
        <v>1.4411764705882353</v>
      </c>
      <c r="M20">
        <f>IFERROR(INDEX(TEAM_ANALYSIS!$Z:$Z,MATCH($E20,TEAM_ANALYSIS!$A:$A,0)),1)</f>
        <v>1.3235294117647058</v>
      </c>
      <c r="N20">
        <f>IFERROR(INDEX(TEAM_ANALYSIS!$Y:$Y,MATCH($F20,TEAM_ANALYSIS!$A:$A,0)),1)</f>
        <v>0.97058823529411764</v>
      </c>
      <c r="O20">
        <f>IFERROR(INDEX(TEAM_ANALYSIS!$Z:$Z,MATCH($F20,TEAM_ANALYSIS!$A:$A,0)),1)</f>
        <v>1.3235294117647058</v>
      </c>
      <c r="P20">
        <f>MAX(0.05,AVERAGE(TEAM_ANALYSIS!$W$2:$W$21)*L20*O20)</f>
        <v>4.0533088235294112</v>
      </c>
      <c r="Q20">
        <f>MAX(0.05,AVERAGE(TEAM_ANALYSIS!$W$2:$W$21)*N20*M20)</f>
        <v>2.7297794117647056</v>
      </c>
      <c r="R20" s="23">
        <f>MAX(0.8,MIN(1.2,P20/AVERAGE(TEAM_ANALYSIS!$W$2:$W$21)))</f>
        <v>1.2</v>
      </c>
      <c r="S20">
        <f>MAX(0.8,MIN(1.2,AVERAGE(TEAM_ANALYSIS!$W$2:$W$21)/Q20))</f>
        <v>0.8</v>
      </c>
      <c r="T20">
        <f>AVERAGE(R20,S20)</f>
        <v>1</v>
      </c>
    </row>
    <row r="21" spans="1:20" x14ac:dyDescent="0.25">
      <c r="A21">
        <v>1</v>
      </c>
      <c r="B21" t="b">
        <v>1</v>
      </c>
      <c r="C21" s="6">
        <v>46257.6875</v>
      </c>
      <c r="D21" t="b">
        <v>1</v>
      </c>
      <c r="E21">
        <v>14</v>
      </c>
      <c r="F21">
        <v>17</v>
      </c>
      <c r="G21">
        <v>3</v>
      </c>
      <c r="H21" t="s">
        <v>1111</v>
      </c>
      <c r="I21" t="s">
        <v>1094</v>
      </c>
      <c r="J21" t="s">
        <v>1100</v>
      </c>
      <c r="K21" t="str">
        <f>tblTeamFixtures[[#This Row],[Team_name]]&amp;"_"&amp;tblTeamFixtures[[#This Row],[GW]]</f>
        <v>LIV_1</v>
      </c>
      <c r="L21">
        <f>IFERROR(INDEX(TEAM_ANALYSIS!$Y:$Y,MATCH($E21,TEAM_ANALYSIS!$A:$A,0)),1)</f>
        <v>1.2058823529411764</v>
      </c>
      <c r="M21">
        <f>IFERROR(INDEX(TEAM_ANALYSIS!$Z:$Z,MATCH($E21,TEAM_ANALYSIS!$A:$A,0)),1)</f>
        <v>0.97058823529411764</v>
      </c>
      <c r="N21">
        <f>IFERROR(INDEX(TEAM_ANALYSIS!$Y:$Y,MATCH($F21,TEAM_ANALYSIS!$A:$A,0)),1)</f>
        <v>1.2058823529411764</v>
      </c>
      <c r="O21">
        <f>IFERROR(INDEX(TEAM_ANALYSIS!$Z:$Z,MATCH($F21,TEAM_ANALYSIS!$A:$A,0)),1)</f>
        <v>0.97058823529411764</v>
      </c>
      <c r="P21">
        <f>MAX(0.05,AVERAGE(TEAM_ANALYSIS!$W$2:$W$21)*L21*O21)</f>
        <v>2.4871323529411766</v>
      </c>
      <c r="Q21">
        <f>MAX(0.05,AVERAGE(TEAM_ANALYSIS!$W$2:$W$21)*N21*M21)</f>
        <v>2.4871323529411766</v>
      </c>
      <c r="R21" s="23">
        <f>MAX(0.8,MIN(1.2,P21/AVERAGE(TEAM_ANALYSIS!$W$2:$W$21)))</f>
        <v>1.1704152249134949</v>
      </c>
      <c r="S21">
        <f>MAX(0.8,MIN(1.2,AVERAGE(TEAM_ANALYSIS!$W$2:$W$21)/Q21))</f>
        <v>0.85439763488543974</v>
      </c>
      <c r="T21">
        <f>AVERAGE(R21,S21)</f>
        <v>1.0124064298994673</v>
      </c>
    </row>
    <row r="22" spans="1:20" x14ac:dyDescent="0.25">
      <c r="A22">
        <v>2</v>
      </c>
      <c r="B22" t="b">
        <v>1</v>
      </c>
      <c r="C22" s="6">
        <v>46265.833333333336</v>
      </c>
      <c r="D22" t="b">
        <v>1</v>
      </c>
      <c r="E22">
        <v>2</v>
      </c>
      <c r="F22">
        <v>1</v>
      </c>
      <c r="G22">
        <v>4</v>
      </c>
      <c r="H22" t="s">
        <v>1110</v>
      </c>
      <c r="I22" t="s">
        <v>1070</v>
      </c>
      <c r="J22" t="s">
        <v>1068</v>
      </c>
      <c r="K22" t="str">
        <f>tblTeamFixtures[[#This Row],[Team_name]]&amp;"_"&amp;tblTeamFixtures[[#This Row],[GW]]</f>
        <v>AVL_2</v>
      </c>
      <c r="L22">
        <f>IFERROR(INDEX(TEAM_ANALYSIS!$Y:$Y,MATCH($E22,TEAM_ANALYSIS!$A:$A,0)),1)</f>
        <v>0.5</v>
      </c>
      <c r="M22">
        <f>IFERROR(INDEX(TEAM_ANALYSIS!$Z:$Z,MATCH($E22,TEAM_ANALYSIS!$A:$A,0)),1)</f>
        <v>1.088235294117647</v>
      </c>
      <c r="N22">
        <f>IFERROR(INDEX(TEAM_ANALYSIS!$Y:$Y,MATCH($F22,TEAM_ANALYSIS!$A:$A,0)),1)</f>
        <v>1.2058823529411764</v>
      </c>
      <c r="O22">
        <f>IFERROR(INDEX(TEAM_ANALYSIS!$Z:$Z,MATCH($F22,TEAM_ANALYSIS!$A:$A,0)),1)</f>
        <v>0.61764705882352944</v>
      </c>
      <c r="P22">
        <f>MAX(0.05,AVERAGE(TEAM_ANALYSIS!$W$2:$W$21)*L22*O22)</f>
        <v>0.65625</v>
      </c>
      <c r="Q22">
        <f>MAX(0.05,AVERAGE(TEAM_ANALYSIS!$W$2:$W$21)*N22*M22)</f>
        <v>2.7886029411764706</v>
      </c>
      <c r="R22" s="23">
        <f>MAX(0.8,MIN(1.2,P22/AVERAGE(TEAM_ANALYSIS!$W$2:$W$21)))</f>
        <v>0.8</v>
      </c>
      <c r="S22">
        <f>MAX(0.8,MIN(1.2,AVERAGE(TEAM_ANALYSIS!$W$2:$W$21)/Q22))</f>
        <v>0.8</v>
      </c>
      <c r="T22">
        <f>AVERAGE(R22,S22)</f>
        <v>0.8</v>
      </c>
    </row>
    <row r="23" spans="1:20" x14ac:dyDescent="0.25">
      <c r="A23">
        <v>2</v>
      </c>
      <c r="B23" t="b">
        <v>1</v>
      </c>
      <c r="C23" s="6">
        <v>46264.583333333336</v>
      </c>
      <c r="D23" t="b">
        <v>1</v>
      </c>
      <c r="E23">
        <v>13</v>
      </c>
      <c r="F23">
        <v>4</v>
      </c>
      <c r="G23">
        <v>3</v>
      </c>
      <c r="H23" t="s">
        <v>1110</v>
      </c>
      <c r="I23" t="s">
        <v>1092</v>
      </c>
      <c r="J23" t="s">
        <v>1074</v>
      </c>
      <c r="K23" t="str">
        <f>tblTeamFixtures[[#This Row],[Team_name]]&amp;"_"&amp;tblTeamFixtures[[#This Row],[GW]]</f>
        <v>LEE_2</v>
      </c>
      <c r="L23">
        <f>IFERROR(INDEX(TEAM_ANALYSIS!$Y:$Y,MATCH($E23,TEAM_ANALYSIS!$A:$A,0)),1)</f>
        <v>0.8529411764705882</v>
      </c>
      <c r="M23">
        <f>IFERROR(INDEX(TEAM_ANALYSIS!$Z:$Z,MATCH($E23,TEAM_ANALYSIS!$A:$A,0)),1)</f>
        <v>0.73529411764705888</v>
      </c>
      <c r="N23">
        <f>IFERROR(INDEX(TEAM_ANALYSIS!$Y:$Y,MATCH($F23,TEAM_ANALYSIS!$A:$A,0)),1)</f>
        <v>1.088235294117647</v>
      </c>
      <c r="O23">
        <f>IFERROR(INDEX(TEAM_ANALYSIS!$Z:$Z,MATCH($F23,TEAM_ANALYSIS!$A:$A,0)),1)</f>
        <v>0.73529411764705888</v>
      </c>
      <c r="P23">
        <f>MAX(0.05,AVERAGE(TEAM_ANALYSIS!$W$2:$W$21)*L23*O23)</f>
        <v>1.3327205882352942</v>
      </c>
      <c r="Q23">
        <f>MAX(0.05,AVERAGE(TEAM_ANALYSIS!$W$2:$W$21)*N23*M23)</f>
        <v>1.7003676470588236</v>
      </c>
      <c r="R23" s="23">
        <f>MAX(0.8,MIN(1.2,P23/AVERAGE(TEAM_ANALYSIS!$W$2:$W$21)))</f>
        <v>0.8</v>
      </c>
      <c r="S23">
        <f>MAX(0.8,MIN(1.2,AVERAGE(TEAM_ANALYSIS!$W$2:$W$21)/Q23))</f>
        <v>1.2</v>
      </c>
      <c r="T23">
        <f>AVERAGE(R23,S23)</f>
        <v>1</v>
      </c>
    </row>
    <row r="24" spans="1:20" x14ac:dyDescent="0.25">
      <c r="A24">
        <v>2</v>
      </c>
      <c r="B24" t="b">
        <v>1</v>
      </c>
      <c r="C24" s="6">
        <v>46263.625</v>
      </c>
      <c r="D24" t="b">
        <v>1</v>
      </c>
      <c r="E24">
        <v>3</v>
      </c>
      <c r="F24">
        <v>9</v>
      </c>
      <c r="G24">
        <v>3</v>
      </c>
      <c r="H24" t="s">
        <v>1110</v>
      </c>
      <c r="I24" t="s">
        <v>1072</v>
      </c>
      <c r="J24" t="s">
        <v>1084</v>
      </c>
      <c r="K24" t="str">
        <f>tblTeamFixtures[[#This Row],[Team_name]]&amp;"_"&amp;tblTeamFixtures[[#This Row],[GW]]</f>
        <v>BOU_2</v>
      </c>
      <c r="L24">
        <f>IFERROR(INDEX(TEAM_ANALYSIS!$Y:$Y,MATCH($E24,TEAM_ANALYSIS!$A:$A,0)),1)</f>
        <v>0.97058823529411764</v>
      </c>
      <c r="M24">
        <f>IFERROR(INDEX(TEAM_ANALYSIS!$Z:$Z,MATCH($E24,TEAM_ANALYSIS!$A:$A,0)),1)</f>
        <v>1.088235294117647</v>
      </c>
      <c r="N24">
        <f>IFERROR(INDEX(TEAM_ANALYSIS!$Y:$Y,MATCH($F24,TEAM_ANALYSIS!$A:$A,0)),1)</f>
        <v>1.088235294117647</v>
      </c>
      <c r="O24">
        <f>IFERROR(INDEX(TEAM_ANALYSIS!$Z:$Z,MATCH($F24,TEAM_ANALYSIS!$A:$A,0)),1)</f>
        <v>0.8529411764705882</v>
      </c>
      <c r="P24">
        <f>MAX(0.05,AVERAGE(TEAM_ANALYSIS!$W$2:$W$21)*L24*O24)</f>
        <v>1.7591911764705881</v>
      </c>
      <c r="Q24">
        <f>MAX(0.05,AVERAGE(TEAM_ANALYSIS!$W$2:$W$21)*N24*M24)</f>
        <v>2.5165441176470584</v>
      </c>
      <c r="R24" s="23">
        <f>MAX(0.8,MIN(1.2,P24/AVERAGE(TEAM_ANALYSIS!$W$2:$W$21)))</f>
        <v>0.82785467128027679</v>
      </c>
      <c r="S24">
        <f>MAX(0.8,MIN(1.2,AVERAGE(TEAM_ANALYSIS!$W$2:$W$21)/Q24))</f>
        <v>0.84441197954711478</v>
      </c>
      <c r="T24">
        <f>AVERAGE(R24,S24)</f>
        <v>0.83613332541369578</v>
      </c>
    </row>
    <row r="25" spans="1:20" x14ac:dyDescent="0.25">
      <c r="A25">
        <v>2</v>
      </c>
      <c r="B25" t="b">
        <v>1</v>
      </c>
      <c r="C25" s="6">
        <v>46264.583333333336</v>
      </c>
      <c r="D25" t="b">
        <v>1</v>
      </c>
      <c r="E25">
        <v>6</v>
      </c>
      <c r="F25">
        <v>5</v>
      </c>
      <c r="G25">
        <v>2</v>
      </c>
      <c r="H25" t="s">
        <v>1110</v>
      </c>
      <c r="I25" t="s">
        <v>1078</v>
      </c>
      <c r="J25" t="s">
        <v>1076</v>
      </c>
      <c r="K25" t="str">
        <f>tblTeamFixtures[[#This Row],[Team_name]]&amp;"_"&amp;tblTeamFixtures[[#This Row],[GW]]</f>
        <v>CHE_2</v>
      </c>
      <c r="L25">
        <f>IFERROR(INDEX(TEAM_ANALYSIS!$Y:$Y,MATCH($E25,TEAM_ANALYSIS!$A:$A,0)),1)</f>
        <v>1.4411764705882353</v>
      </c>
      <c r="M25">
        <f>IFERROR(INDEX(TEAM_ANALYSIS!$Z:$Z,MATCH($E25,TEAM_ANALYSIS!$A:$A,0)),1)</f>
        <v>1.3235294117647058</v>
      </c>
      <c r="N25">
        <f>IFERROR(INDEX(TEAM_ANALYSIS!$Y:$Y,MATCH($F25,TEAM_ANALYSIS!$A:$A,0)),1)</f>
        <v>1.4411764705882353</v>
      </c>
      <c r="O25">
        <f>IFERROR(INDEX(TEAM_ANALYSIS!$Z:$Z,MATCH($F25,TEAM_ANALYSIS!$A:$A,0)),1)</f>
        <v>1.088235294117647</v>
      </c>
      <c r="P25">
        <f>MAX(0.05,AVERAGE(TEAM_ANALYSIS!$W$2:$W$21)*L25*O25)</f>
        <v>3.3327205882352939</v>
      </c>
      <c r="Q25">
        <f>MAX(0.05,AVERAGE(TEAM_ANALYSIS!$W$2:$W$21)*N25*M25)</f>
        <v>4.0533088235294112</v>
      </c>
      <c r="R25" s="23">
        <f>MAX(0.8,MIN(1.2,P25/AVERAGE(TEAM_ANALYSIS!$W$2:$W$21)))</f>
        <v>1.2</v>
      </c>
      <c r="S25">
        <f>MAX(0.8,MIN(1.2,AVERAGE(TEAM_ANALYSIS!$W$2:$W$21)/Q25))</f>
        <v>0.8</v>
      </c>
      <c r="T25">
        <f>AVERAGE(R25,S25)</f>
        <v>1</v>
      </c>
    </row>
    <row r="26" spans="1:20" x14ac:dyDescent="0.25">
      <c r="A26">
        <v>2</v>
      </c>
      <c r="B26" t="b">
        <v>1</v>
      </c>
      <c r="C26" s="6">
        <v>46264.583333333336</v>
      </c>
      <c r="D26" t="b">
        <v>1</v>
      </c>
      <c r="E26">
        <v>20</v>
      </c>
      <c r="F26">
        <v>10</v>
      </c>
      <c r="G26">
        <v>2</v>
      </c>
      <c r="H26" t="s">
        <v>1110</v>
      </c>
      <c r="I26" t="s">
        <v>1106</v>
      </c>
      <c r="J26" t="s">
        <v>1086</v>
      </c>
      <c r="K26" t="str">
        <f>tblTeamFixtures[[#This Row],[Team_name]]&amp;"_"&amp;tblTeamFixtures[[#This Row],[GW]]</f>
        <v>SUN_2</v>
      </c>
      <c r="L26">
        <f>IFERROR(INDEX(TEAM_ANALYSIS!$Y:$Y,MATCH($E26,TEAM_ANALYSIS!$A:$A,0)),1)</f>
        <v>0.8529411764705882</v>
      </c>
      <c r="M26">
        <f>IFERROR(INDEX(TEAM_ANALYSIS!$Z:$Z,MATCH($E26,TEAM_ANALYSIS!$A:$A,0)),1)</f>
        <v>0.8529411764705882</v>
      </c>
      <c r="N26">
        <f>IFERROR(INDEX(TEAM_ANALYSIS!$Y:$Y,MATCH($F26,TEAM_ANALYSIS!$A:$A,0)),1)</f>
        <v>0.97058823529411764</v>
      </c>
      <c r="O26">
        <f>IFERROR(INDEX(TEAM_ANALYSIS!$Z:$Z,MATCH($F26,TEAM_ANALYSIS!$A:$A,0)),1)</f>
        <v>1.3235294117647058</v>
      </c>
      <c r="P26">
        <f>MAX(0.05,AVERAGE(TEAM_ANALYSIS!$W$2:$W$21)*L26*O26)</f>
        <v>2.3988970588235294</v>
      </c>
      <c r="Q26">
        <f>MAX(0.05,AVERAGE(TEAM_ANALYSIS!$W$2:$W$21)*N26*M26)</f>
        <v>1.7591911764705881</v>
      </c>
      <c r="R26" s="23">
        <f>MAX(0.8,MIN(1.2,P26/AVERAGE(TEAM_ANALYSIS!$W$2:$W$21)))</f>
        <v>1.1288927335640138</v>
      </c>
      <c r="S26">
        <f>MAX(0.8,MIN(1.2,AVERAGE(TEAM_ANALYSIS!$W$2:$W$21)/Q26))</f>
        <v>1.2</v>
      </c>
      <c r="T26">
        <f>AVERAGE(R26,S26)</f>
        <v>1.1644463667820069</v>
      </c>
    </row>
    <row r="27" spans="1:20" x14ac:dyDescent="0.25">
      <c r="A27">
        <v>2</v>
      </c>
      <c r="B27" t="b">
        <v>1</v>
      </c>
      <c r="C27" s="6">
        <v>46263.625</v>
      </c>
      <c r="D27" t="b">
        <v>1</v>
      </c>
      <c r="E27">
        <v>7</v>
      </c>
      <c r="F27">
        <v>11</v>
      </c>
      <c r="G27">
        <v>2</v>
      </c>
      <c r="H27" t="s">
        <v>1110</v>
      </c>
      <c r="I27" t="s">
        <v>1080</v>
      </c>
      <c r="J27" t="s">
        <v>1088</v>
      </c>
      <c r="K27" t="str">
        <f>tblTeamFixtures[[#This Row],[Team_name]]&amp;"_"&amp;tblTeamFixtures[[#This Row],[GW]]</f>
        <v>COV_2</v>
      </c>
      <c r="L27">
        <f>IFERROR(INDEX(TEAM_ANALYSIS!$Y:$Y,MATCH($E27,TEAM_ANALYSIS!$A:$A,0)),1)</f>
        <v>0.5</v>
      </c>
      <c r="M27">
        <f>IFERROR(INDEX(TEAM_ANALYSIS!$Z:$Z,MATCH($E27,TEAM_ANALYSIS!$A:$A,0)),1)</f>
        <v>1.088235294117647</v>
      </c>
      <c r="N27">
        <f>IFERROR(INDEX(TEAM_ANALYSIS!$Y:$Y,MATCH($F27,TEAM_ANALYSIS!$A:$A,0)),1)</f>
        <v>0.8529411764705882</v>
      </c>
      <c r="O27">
        <f>IFERROR(INDEX(TEAM_ANALYSIS!$Z:$Z,MATCH($F27,TEAM_ANALYSIS!$A:$A,0)),1)</f>
        <v>0.5</v>
      </c>
      <c r="P27">
        <f>MAX(0.05,AVERAGE(TEAM_ANALYSIS!$W$2:$W$21)*L27*O27)</f>
        <v>0.53125</v>
      </c>
      <c r="Q27">
        <f>MAX(0.05,AVERAGE(TEAM_ANALYSIS!$W$2:$W$21)*N27*M27)</f>
        <v>1.9724264705882351</v>
      </c>
      <c r="R27" s="23">
        <f>MAX(0.8,MIN(1.2,P27/AVERAGE(TEAM_ANALYSIS!$W$2:$W$21)))</f>
        <v>0.8</v>
      </c>
      <c r="S27">
        <f>MAX(0.8,MIN(1.2,AVERAGE(TEAM_ANALYSIS!$W$2:$W$21)/Q27))</f>
        <v>1.07735321528425</v>
      </c>
      <c r="T27">
        <f>AVERAGE(R27,S27)</f>
        <v>0.93867660764212502</v>
      </c>
    </row>
    <row r="28" spans="1:20" x14ac:dyDescent="0.25">
      <c r="A28">
        <v>2</v>
      </c>
      <c r="B28" t="b">
        <v>1</v>
      </c>
      <c r="C28" s="6">
        <v>46264.6875</v>
      </c>
      <c r="D28" t="b">
        <v>1</v>
      </c>
      <c r="E28">
        <v>16</v>
      </c>
      <c r="F28">
        <v>12</v>
      </c>
      <c r="G28">
        <v>2</v>
      </c>
      <c r="H28" t="s">
        <v>1110</v>
      </c>
      <c r="I28" t="s">
        <v>1098</v>
      </c>
      <c r="J28" t="s">
        <v>1090</v>
      </c>
      <c r="K28" t="str">
        <f>tblTeamFixtures[[#This Row],[Team_name]]&amp;"_"&amp;tblTeamFixtures[[#This Row],[GW]]</f>
        <v>MUN_2</v>
      </c>
      <c r="L28">
        <f>IFERROR(INDEX(TEAM_ANALYSIS!$Y:$Y,MATCH($E28,TEAM_ANALYSIS!$A:$A,0)),1)</f>
        <v>1.3235294117647058</v>
      </c>
      <c r="M28">
        <f>IFERROR(INDEX(TEAM_ANALYSIS!$Z:$Z,MATCH($E28,TEAM_ANALYSIS!$A:$A,0)),1)</f>
        <v>1.2058823529411764</v>
      </c>
      <c r="N28">
        <f>IFERROR(INDEX(TEAM_ANALYSIS!$Y:$Y,MATCH($F28,TEAM_ANALYSIS!$A:$A,0)),1)</f>
        <v>0.97058823529411764</v>
      </c>
      <c r="O28">
        <f>IFERROR(INDEX(TEAM_ANALYSIS!$Z:$Z,MATCH($F28,TEAM_ANALYSIS!$A:$A,0)),1)</f>
        <v>1.4411764705882353</v>
      </c>
      <c r="P28">
        <f>MAX(0.05,AVERAGE(TEAM_ANALYSIS!$W$2:$W$21)*L28*O28)</f>
        <v>4.0533088235294121</v>
      </c>
      <c r="Q28">
        <f>MAX(0.05,AVERAGE(TEAM_ANALYSIS!$W$2:$W$21)*N28*M28)</f>
        <v>2.4871323529411762</v>
      </c>
      <c r="R28" s="23">
        <f>MAX(0.8,MIN(1.2,P28/AVERAGE(TEAM_ANALYSIS!$W$2:$W$21)))</f>
        <v>1.2</v>
      </c>
      <c r="S28">
        <f>MAX(0.8,MIN(1.2,AVERAGE(TEAM_ANALYSIS!$W$2:$W$21)/Q28))</f>
        <v>0.85439763488543985</v>
      </c>
      <c r="T28">
        <f>AVERAGE(R28,S28)</f>
        <v>1.02719881744272</v>
      </c>
    </row>
    <row r="29" spans="1:20" x14ac:dyDescent="0.25">
      <c r="A29">
        <v>2</v>
      </c>
      <c r="B29" t="b">
        <v>1</v>
      </c>
      <c r="C29" s="6">
        <v>46262.833333333336</v>
      </c>
      <c r="D29" t="b">
        <v>1</v>
      </c>
      <c r="E29">
        <v>8</v>
      </c>
      <c r="F29">
        <v>15</v>
      </c>
      <c r="G29">
        <v>4</v>
      </c>
      <c r="H29" t="s">
        <v>1110</v>
      </c>
      <c r="I29" t="s">
        <v>1082</v>
      </c>
      <c r="J29" t="s">
        <v>1096</v>
      </c>
      <c r="K29" t="str">
        <f>tblTeamFixtures[[#This Row],[Team_name]]&amp;"_"&amp;tblTeamFixtures[[#This Row],[GW]]</f>
        <v>CRY_2</v>
      </c>
      <c r="L29">
        <f>IFERROR(INDEX(TEAM_ANALYSIS!$Y:$Y,MATCH($E29,TEAM_ANALYSIS!$A:$A,0)),1)</f>
        <v>0.97058823529411764</v>
      </c>
      <c r="M29">
        <f>IFERROR(INDEX(TEAM_ANALYSIS!$Z:$Z,MATCH($E29,TEAM_ANALYSIS!$A:$A,0)),1)</f>
        <v>1.4411764705882353</v>
      </c>
      <c r="N29">
        <f>IFERROR(INDEX(TEAM_ANALYSIS!$Y:$Y,MATCH($F29,TEAM_ANALYSIS!$A:$A,0)),1)</f>
        <v>1.3235294117647058</v>
      </c>
      <c r="O29">
        <f>IFERROR(INDEX(TEAM_ANALYSIS!$Z:$Z,MATCH($F29,TEAM_ANALYSIS!$A:$A,0)),1)</f>
        <v>0.73529411764705888</v>
      </c>
      <c r="P29">
        <f>MAX(0.05,AVERAGE(TEAM_ANALYSIS!$W$2:$W$21)*L29*O29)</f>
        <v>1.5165441176470589</v>
      </c>
      <c r="Q29">
        <f>MAX(0.05,AVERAGE(TEAM_ANALYSIS!$W$2:$W$21)*N29*M29)</f>
        <v>4.0533088235294121</v>
      </c>
      <c r="R29" s="23">
        <f>MAX(0.8,MIN(1.2,P29/AVERAGE(TEAM_ANALYSIS!$W$2:$W$21)))</f>
        <v>0.8</v>
      </c>
      <c r="S29">
        <f>MAX(0.8,MIN(1.2,AVERAGE(TEAM_ANALYSIS!$W$2:$W$21)/Q29))</f>
        <v>0.8</v>
      </c>
      <c r="T29">
        <f>AVERAGE(R29,S29)</f>
        <v>0.8</v>
      </c>
    </row>
    <row r="30" spans="1:20" x14ac:dyDescent="0.25">
      <c r="A30">
        <v>2</v>
      </c>
      <c r="B30" t="b">
        <v>1</v>
      </c>
      <c r="C30" s="6">
        <v>46263.520833333336</v>
      </c>
      <c r="D30" t="b">
        <v>1</v>
      </c>
      <c r="E30">
        <v>14</v>
      </c>
      <c r="F30">
        <v>18</v>
      </c>
      <c r="G30">
        <v>3</v>
      </c>
      <c r="H30" t="s">
        <v>1110</v>
      </c>
      <c r="I30" t="s">
        <v>1094</v>
      </c>
      <c r="J30" t="s">
        <v>1102</v>
      </c>
      <c r="K30" t="str">
        <f>tblTeamFixtures[[#This Row],[Team_name]]&amp;"_"&amp;tblTeamFixtures[[#This Row],[GW]]</f>
        <v>LIV_2</v>
      </c>
      <c r="L30">
        <f>IFERROR(INDEX(TEAM_ANALYSIS!$Y:$Y,MATCH($E30,TEAM_ANALYSIS!$A:$A,0)),1)</f>
        <v>1.2058823529411764</v>
      </c>
      <c r="M30">
        <f>IFERROR(INDEX(TEAM_ANALYSIS!$Z:$Z,MATCH($E30,TEAM_ANALYSIS!$A:$A,0)),1)</f>
        <v>0.97058823529411764</v>
      </c>
      <c r="N30">
        <f>IFERROR(INDEX(TEAM_ANALYSIS!$Y:$Y,MATCH($F30,TEAM_ANALYSIS!$A:$A,0)),1)</f>
        <v>0.73529411764705888</v>
      </c>
      <c r="O30">
        <f>IFERROR(INDEX(TEAM_ANALYSIS!$Z:$Z,MATCH($F30,TEAM_ANALYSIS!$A:$A,0)),1)</f>
        <v>0.8529411764705882</v>
      </c>
      <c r="P30">
        <f>MAX(0.05,AVERAGE(TEAM_ANALYSIS!$W$2:$W$21)*L30*O30)</f>
        <v>2.1856617647058822</v>
      </c>
      <c r="Q30">
        <f>MAX(0.05,AVERAGE(TEAM_ANALYSIS!$W$2:$W$21)*N30*M30)</f>
        <v>1.5165441176470589</v>
      </c>
      <c r="R30" s="23">
        <f>MAX(0.8,MIN(1.2,P30/AVERAGE(TEAM_ANALYSIS!$W$2:$W$21)))</f>
        <v>1.0285467128027681</v>
      </c>
      <c r="S30">
        <f>MAX(0.8,MIN(1.2,AVERAGE(TEAM_ANALYSIS!$W$2:$W$21)/Q30))</f>
        <v>1.2</v>
      </c>
      <c r="T30">
        <f>AVERAGE(R30,S30)</f>
        <v>1.114273356401384</v>
      </c>
    </row>
    <row r="31" spans="1:20" x14ac:dyDescent="0.25">
      <c r="A31">
        <v>2</v>
      </c>
      <c r="B31" t="b">
        <v>1</v>
      </c>
      <c r="C31" s="6">
        <v>46263.729166666664</v>
      </c>
      <c r="D31" t="b">
        <v>1</v>
      </c>
      <c r="E31">
        <v>19</v>
      </c>
      <c r="F31">
        <v>17</v>
      </c>
      <c r="G31">
        <v>2</v>
      </c>
      <c r="H31" t="s">
        <v>1110</v>
      </c>
      <c r="I31" t="s">
        <v>1104</v>
      </c>
      <c r="J31" t="s">
        <v>1100</v>
      </c>
      <c r="K31" t="str">
        <f>tblTeamFixtures[[#This Row],[Team_name]]&amp;"_"&amp;tblTeamFixtures[[#This Row],[GW]]</f>
        <v>TOT_2</v>
      </c>
      <c r="L31">
        <f>IFERROR(INDEX(TEAM_ANALYSIS!$Y:$Y,MATCH($E31,TEAM_ANALYSIS!$A:$A,0)),1)</f>
        <v>0.5</v>
      </c>
      <c r="M31">
        <f>IFERROR(INDEX(TEAM_ANALYSIS!$Z:$Z,MATCH($E31,TEAM_ANALYSIS!$A:$A,0)),1)</f>
        <v>1.088235294117647</v>
      </c>
      <c r="N31">
        <f>IFERROR(INDEX(TEAM_ANALYSIS!$Y:$Y,MATCH($F31,TEAM_ANALYSIS!$A:$A,0)),1)</f>
        <v>1.2058823529411764</v>
      </c>
      <c r="O31">
        <f>IFERROR(INDEX(TEAM_ANALYSIS!$Z:$Z,MATCH($F31,TEAM_ANALYSIS!$A:$A,0)),1)</f>
        <v>0.97058823529411764</v>
      </c>
      <c r="P31">
        <f>MAX(0.05,AVERAGE(TEAM_ANALYSIS!$W$2:$W$21)*L31*O31)</f>
        <v>1.03125</v>
      </c>
      <c r="Q31">
        <f>MAX(0.05,AVERAGE(TEAM_ANALYSIS!$W$2:$W$21)*N31*M31)</f>
        <v>2.7886029411764706</v>
      </c>
      <c r="R31" s="23">
        <f>MAX(0.8,MIN(1.2,P31/AVERAGE(TEAM_ANALYSIS!$W$2:$W$21)))</f>
        <v>0.8</v>
      </c>
      <c r="S31">
        <f>MAX(0.8,MIN(1.2,AVERAGE(TEAM_ANALYSIS!$W$2:$W$21)/Q31))</f>
        <v>0.8</v>
      </c>
      <c r="T31">
        <f>AVERAGE(R31,S31)</f>
        <v>0.8</v>
      </c>
    </row>
    <row r="32" spans="1:20" x14ac:dyDescent="0.25">
      <c r="A32">
        <v>2</v>
      </c>
      <c r="B32" t="b">
        <v>1</v>
      </c>
      <c r="C32" s="6">
        <v>46265.833333333336</v>
      </c>
      <c r="D32" t="b">
        <v>1</v>
      </c>
      <c r="E32">
        <v>1</v>
      </c>
      <c r="F32">
        <v>2</v>
      </c>
      <c r="G32">
        <v>4</v>
      </c>
      <c r="H32" t="s">
        <v>1111</v>
      </c>
      <c r="I32" t="s">
        <v>1068</v>
      </c>
      <c r="J32" t="s">
        <v>1070</v>
      </c>
      <c r="K32" t="str">
        <f>tblTeamFixtures[[#This Row],[Team_name]]&amp;"_"&amp;tblTeamFixtures[[#This Row],[GW]]</f>
        <v>ARS_2</v>
      </c>
      <c r="L32">
        <f>IFERROR(INDEX(TEAM_ANALYSIS!$Y:$Y,MATCH($E32,TEAM_ANALYSIS!$A:$A,0)),1)</f>
        <v>1.2058823529411764</v>
      </c>
      <c r="M32">
        <f>IFERROR(INDEX(TEAM_ANALYSIS!$Z:$Z,MATCH($E32,TEAM_ANALYSIS!$A:$A,0)),1)</f>
        <v>0.61764705882352944</v>
      </c>
      <c r="N32">
        <f>IFERROR(INDEX(TEAM_ANALYSIS!$Y:$Y,MATCH($F32,TEAM_ANALYSIS!$A:$A,0)),1)</f>
        <v>0.5</v>
      </c>
      <c r="O32">
        <f>IFERROR(INDEX(TEAM_ANALYSIS!$Z:$Z,MATCH($F32,TEAM_ANALYSIS!$A:$A,0)),1)</f>
        <v>1.088235294117647</v>
      </c>
      <c r="P32">
        <f>MAX(0.05,AVERAGE(TEAM_ANALYSIS!$W$2:$W$21)*L32*O32)</f>
        <v>2.7886029411764706</v>
      </c>
      <c r="Q32">
        <f>MAX(0.05,AVERAGE(TEAM_ANALYSIS!$W$2:$W$21)*N32*M32)</f>
        <v>0.65625</v>
      </c>
      <c r="R32" s="23">
        <f>MAX(0.8,MIN(1.2,P32/AVERAGE(TEAM_ANALYSIS!$W$2:$W$21)))</f>
        <v>1.2</v>
      </c>
      <c r="S32">
        <f>MAX(0.8,MIN(1.2,AVERAGE(TEAM_ANALYSIS!$W$2:$W$21)/Q32))</f>
        <v>1.2</v>
      </c>
      <c r="T32">
        <f>AVERAGE(R32,S32)</f>
        <v>1.2</v>
      </c>
    </row>
    <row r="33" spans="1:20" x14ac:dyDescent="0.25">
      <c r="A33">
        <v>2</v>
      </c>
      <c r="B33" t="b">
        <v>1</v>
      </c>
      <c r="C33" s="6">
        <v>46263.625</v>
      </c>
      <c r="D33" t="b">
        <v>1</v>
      </c>
      <c r="E33">
        <v>9</v>
      </c>
      <c r="F33">
        <v>3</v>
      </c>
      <c r="G33">
        <v>3</v>
      </c>
      <c r="H33" t="s">
        <v>1111</v>
      </c>
      <c r="I33" t="s">
        <v>1084</v>
      </c>
      <c r="J33" t="s">
        <v>1072</v>
      </c>
      <c r="K33" t="str">
        <f>tblTeamFixtures[[#This Row],[Team_name]]&amp;"_"&amp;tblTeamFixtures[[#This Row],[GW]]</f>
        <v>EVE_2</v>
      </c>
      <c r="L33">
        <f>IFERROR(INDEX(TEAM_ANALYSIS!$Y:$Y,MATCH($E33,TEAM_ANALYSIS!$A:$A,0)),1)</f>
        <v>1.088235294117647</v>
      </c>
      <c r="M33">
        <f>IFERROR(INDEX(TEAM_ANALYSIS!$Z:$Z,MATCH($E33,TEAM_ANALYSIS!$A:$A,0)),1)</f>
        <v>0.8529411764705882</v>
      </c>
      <c r="N33">
        <f>IFERROR(INDEX(TEAM_ANALYSIS!$Y:$Y,MATCH($F33,TEAM_ANALYSIS!$A:$A,0)),1)</f>
        <v>0.97058823529411764</v>
      </c>
      <c r="O33">
        <f>IFERROR(INDEX(TEAM_ANALYSIS!$Z:$Z,MATCH($F33,TEAM_ANALYSIS!$A:$A,0)),1)</f>
        <v>1.088235294117647</v>
      </c>
      <c r="P33">
        <f>MAX(0.05,AVERAGE(TEAM_ANALYSIS!$W$2:$W$21)*L33*O33)</f>
        <v>2.5165441176470584</v>
      </c>
      <c r="Q33">
        <f>MAX(0.05,AVERAGE(TEAM_ANALYSIS!$W$2:$W$21)*N33*M33)</f>
        <v>1.7591911764705881</v>
      </c>
      <c r="R33" s="23">
        <f>MAX(0.8,MIN(1.2,P33/AVERAGE(TEAM_ANALYSIS!$W$2:$W$21)))</f>
        <v>1.1842560553633217</v>
      </c>
      <c r="S33">
        <f>MAX(0.8,MIN(1.2,AVERAGE(TEAM_ANALYSIS!$W$2:$W$21)/Q33))</f>
        <v>1.2</v>
      </c>
      <c r="T33">
        <f>AVERAGE(R33,S33)</f>
        <v>1.1921280276816608</v>
      </c>
    </row>
    <row r="34" spans="1:20" x14ac:dyDescent="0.25">
      <c r="A34">
        <v>2</v>
      </c>
      <c r="B34" t="b">
        <v>1</v>
      </c>
      <c r="C34" s="6">
        <v>46264.583333333336</v>
      </c>
      <c r="D34" t="b">
        <v>1</v>
      </c>
      <c r="E34">
        <v>5</v>
      </c>
      <c r="F34">
        <v>6</v>
      </c>
      <c r="G34">
        <v>4</v>
      </c>
      <c r="H34" t="s">
        <v>1111</v>
      </c>
      <c r="I34" t="s">
        <v>1076</v>
      </c>
      <c r="J34" t="s">
        <v>1078</v>
      </c>
      <c r="K34" t="str">
        <f>tblTeamFixtures[[#This Row],[Team_name]]&amp;"_"&amp;tblTeamFixtures[[#This Row],[GW]]</f>
        <v>BHA_2</v>
      </c>
      <c r="L34">
        <f>IFERROR(INDEX(TEAM_ANALYSIS!$Y:$Y,MATCH($E34,TEAM_ANALYSIS!$A:$A,0)),1)</f>
        <v>1.4411764705882353</v>
      </c>
      <c r="M34">
        <f>IFERROR(INDEX(TEAM_ANALYSIS!$Z:$Z,MATCH($E34,TEAM_ANALYSIS!$A:$A,0)),1)</f>
        <v>1.088235294117647</v>
      </c>
      <c r="N34">
        <f>IFERROR(INDEX(TEAM_ANALYSIS!$Y:$Y,MATCH($F34,TEAM_ANALYSIS!$A:$A,0)),1)</f>
        <v>1.4411764705882353</v>
      </c>
      <c r="O34">
        <f>IFERROR(INDEX(TEAM_ANALYSIS!$Z:$Z,MATCH($F34,TEAM_ANALYSIS!$A:$A,0)),1)</f>
        <v>1.3235294117647058</v>
      </c>
      <c r="P34">
        <f>MAX(0.05,AVERAGE(TEAM_ANALYSIS!$W$2:$W$21)*L34*O34)</f>
        <v>4.0533088235294112</v>
      </c>
      <c r="Q34">
        <f>MAX(0.05,AVERAGE(TEAM_ANALYSIS!$W$2:$W$21)*N34*M34)</f>
        <v>3.3327205882352939</v>
      </c>
      <c r="R34" s="23">
        <f>MAX(0.8,MIN(1.2,P34/AVERAGE(TEAM_ANALYSIS!$W$2:$W$21)))</f>
        <v>1.2</v>
      </c>
      <c r="S34">
        <f>MAX(0.8,MIN(1.2,AVERAGE(TEAM_ANALYSIS!$W$2:$W$21)/Q34))</f>
        <v>0.8</v>
      </c>
      <c r="T34">
        <f>AVERAGE(R34,S34)</f>
        <v>1</v>
      </c>
    </row>
    <row r="35" spans="1:20" x14ac:dyDescent="0.25">
      <c r="A35">
        <v>2</v>
      </c>
      <c r="B35" t="b">
        <v>1</v>
      </c>
      <c r="C35" s="6">
        <v>46263.625</v>
      </c>
      <c r="D35" t="b">
        <v>1</v>
      </c>
      <c r="E35">
        <v>11</v>
      </c>
      <c r="F35">
        <v>7</v>
      </c>
      <c r="G35">
        <v>2</v>
      </c>
      <c r="H35" t="s">
        <v>1111</v>
      </c>
      <c r="I35" t="s">
        <v>1088</v>
      </c>
      <c r="J35" t="s">
        <v>1080</v>
      </c>
      <c r="K35" t="str">
        <f>tblTeamFixtures[[#This Row],[Team_name]]&amp;"_"&amp;tblTeamFixtures[[#This Row],[GW]]</f>
        <v>HUL_2</v>
      </c>
      <c r="L35">
        <f>IFERROR(INDEX(TEAM_ANALYSIS!$Y:$Y,MATCH($E35,TEAM_ANALYSIS!$A:$A,0)),1)</f>
        <v>0.8529411764705882</v>
      </c>
      <c r="M35">
        <f>IFERROR(INDEX(TEAM_ANALYSIS!$Z:$Z,MATCH($E35,TEAM_ANALYSIS!$A:$A,0)),1)</f>
        <v>0.5</v>
      </c>
      <c r="N35">
        <f>IFERROR(INDEX(TEAM_ANALYSIS!$Y:$Y,MATCH($F35,TEAM_ANALYSIS!$A:$A,0)),1)</f>
        <v>0.5</v>
      </c>
      <c r="O35">
        <f>IFERROR(INDEX(TEAM_ANALYSIS!$Z:$Z,MATCH($F35,TEAM_ANALYSIS!$A:$A,0)),1)</f>
        <v>1.088235294117647</v>
      </c>
      <c r="P35">
        <f>MAX(0.05,AVERAGE(TEAM_ANALYSIS!$W$2:$W$21)*L35*O35)</f>
        <v>1.9724264705882351</v>
      </c>
      <c r="Q35">
        <f>MAX(0.05,AVERAGE(TEAM_ANALYSIS!$W$2:$W$21)*N35*M35)</f>
        <v>0.53125</v>
      </c>
      <c r="R35" s="23">
        <f>MAX(0.8,MIN(1.2,P35/AVERAGE(TEAM_ANALYSIS!$W$2:$W$21)))</f>
        <v>0.92820069204152233</v>
      </c>
      <c r="S35">
        <f>MAX(0.8,MIN(1.2,AVERAGE(TEAM_ANALYSIS!$W$2:$W$21)/Q35))</f>
        <v>1.2</v>
      </c>
      <c r="T35">
        <f>AVERAGE(R35,S35)</f>
        <v>1.0641003460207612</v>
      </c>
    </row>
    <row r="36" spans="1:20" x14ac:dyDescent="0.25">
      <c r="A36">
        <v>2</v>
      </c>
      <c r="B36" t="b">
        <v>1</v>
      </c>
      <c r="C36" s="6">
        <v>46264.583333333336</v>
      </c>
      <c r="D36" t="b">
        <v>1</v>
      </c>
      <c r="E36">
        <v>4</v>
      </c>
      <c r="F36">
        <v>13</v>
      </c>
      <c r="G36">
        <v>3</v>
      </c>
      <c r="H36" t="s">
        <v>1111</v>
      </c>
      <c r="I36" t="s">
        <v>1074</v>
      </c>
      <c r="J36" t="s">
        <v>1092</v>
      </c>
      <c r="K36" t="str">
        <f>tblTeamFixtures[[#This Row],[Team_name]]&amp;"_"&amp;tblTeamFixtures[[#This Row],[GW]]</f>
        <v>BRE_2</v>
      </c>
      <c r="L36">
        <f>IFERROR(INDEX(TEAM_ANALYSIS!$Y:$Y,MATCH($E36,TEAM_ANALYSIS!$A:$A,0)),1)</f>
        <v>1.088235294117647</v>
      </c>
      <c r="M36">
        <f>IFERROR(INDEX(TEAM_ANALYSIS!$Z:$Z,MATCH($E36,TEAM_ANALYSIS!$A:$A,0)),1)</f>
        <v>0.73529411764705888</v>
      </c>
      <c r="N36">
        <f>IFERROR(INDEX(TEAM_ANALYSIS!$Y:$Y,MATCH($F36,TEAM_ANALYSIS!$A:$A,0)),1)</f>
        <v>0.8529411764705882</v>
      </c>
      <c r="O36">
        <f>IFERROR(INDEX(TEAM_ANALYSIS!$Z:$Z,MATCH($F36,TEAM_ANALYSIS!$A:$A,0)),1)</f>
        <v>0.73529411764705888</v>
      </c>
      <c r="P36">
        <f>MAX(0.05,AVERAGE(TEAM_ANALYSIS!$W$2:$W$21)*L36*O36)</f>
        <v>1.7003676470588236</v>
      </c>
      <c r="Q36">
        <f>MAX(0.05,AVERAGE(TEAM_ANALYSIS!$W$2:$W$21)*N36*M36)</f>
        <v>1.3327205882352942</v>
      </c>
      <c r="R36" s="23">
        <f>MAX(0.8,MIN(1.2,P36/AVERAGE(TEAM_ANALYSIS!$W$2:$W$21)))</f>
        <v>0.80017301038062283</v>
      </c>
      <c r="S36">
        <f>MAX(0.8,MIN(1.2,AVERAGE(TEAM_ANALYSIS!$W$2:$W$21)/Q36))</f>
        <v>1.2</v>
      </c>
      <c r="T36">
        <f>AVERAGE(R36,S36)</f>
        <v>1.0000865051903114</v>
      </c>
    </row>
    <row r="37" spans="1:20" x14ac:dyDescent="0.25">
      <c r="A37">
        <v>2</v>
      </c>
      <c r="B37" t="b">
        <v>1</v>
      </c>
      <c r="C37" s="6">
        <v>46262.833333333336</v>
      </c>
      <c r="D37" t="b">
        <v>1</v>
      </c>
      <c r="E37">
        <v>15</v>
      </c>
      <c r="F37">
        <v>8</v>
      </c>
      <c r="G37">
        <v>3</v>
      </c>
      <c r="H37" t="s">
        <v>1111</v>
      </c>
      <c r="I37" t="s">
        <v>1096</v>
      </c>
      <c r="J37" t="s">
        <v>1082</v>
      </c>
      <c r="K37" t="str">
        <f>tblTeamFixtures[[#This Row],[Team_name]]&amp;"_"&amp;tblTeamFixtures[[#This Row],[GW]]</f>
        <v>MCI_2</v>
      </c>
      <c r="L37">
        <f>IFERROR(INDEX(TEAM_ANALYSIS!$Y:$Y,MATCH($E37,TEAM_ANALYSIS!$A:$A,0)),1)</f>
        <v>1.3235294117647058</v>
      </c>
      <c r="M37">
        <f>IFERROR(INDEX(TEAM_ANALYSIS!$Z:$Z,MATCH($E37,TEAM_ANALYSIS!$A:$A,0)),1)</f>
        <v>0.73529411764705888</v>
      </c>
      <c r="N37">
        <f>IFERROR(INDEX(TEAM_ANALYSIS!$Y:$Y,MATCH($F37,TEAM_ANALYSIS!$A:$A,0)),1)</f>
        <v>0.97058823529411764</v>
      </c>
      <c r="O37">
        <f>IFERROR(INDEX(TEAM_ANALYSIS!$Z:$Z,MATCH($F37,TEAM_ANALYSIS!$A:$A,0)),1)</f>
        <v>1.4411764705882353</v>
      </c>
      <c r="P37">
        <f>MAX(0.05,AVERAGE(TEAM_ANALYSIS!$W$2:$W$21)*L37*O37)</f>
        <v>4.0533088235294121</v>
      </c>
      <c r="Q37">
        <f>MAX(0.05,AVERAGE(TEAM_ANALYSIS!$W$2:$W$21)*N37*M37)</f>
        <v>1.5165441176470589</v>
      </c>
      <c r="R37" s="23">
        <f>MAX(0.8,MIN(1.2,P37/AVERAGE(TEAM_ANALYSIS!$W$2:$W$21)))</f>
        <v>1.2</v>
      </c>
      <c r="S37">
        <f>MAX(0.8,MIN(1.2,AVERAGE(TEAM_ANALYSIS!$W$2:$W$21)/Q37))</f>
        <v>1.2</v>
      </c>
      <c r="T37">
        <f>AVERAGE(R37,S37)</f>
        <v>1.2</v>
      </c>
    </row>
    <row r="38" spans="1:20" x14ac:dyDescent="0.25">
      <c r="A38">
        <v>2</v>
      </c>
      <c r="B38" t="b">
        <v>1</v>
      </c>
      <c r="C38" s="6">
        <v>46263.520833333336</v>
      </c>
      <c r="D38" t="b">
        <v>1</v>
      </c>
      <c r="E38">
        <v>18</v>
      </c>
      <c r="F38">
        <v>14</v>
      </c>
      <c r="G38">
        <v>4</v>
      </c>
      <c r="H38" t="s">
        <v>1111</v>
      </c>
      <c r="I38" t="s">
        <v>1102</v>
      </c>
      <c r="J38" t="s">
        <v>1094</v>
      </c>
      <c r="K38" t="str">
        <f>tblTeamFixtures[[#This Row],[Team_name]]&amp;"_"&amp;tblTeamFixtures[[#This Row],[GW]]</f>
        <v>NFO_2</v>
      </c>
      <c r="L38">
        <f>IFERROR(INDEX(TEAM_ANALYSIS!$Y:$Y,MATCH($E38,TEAM_ANALYSIS!$A:$A,0)),1)</f>
        <v>0.73529411764705888</v>
      </c>
      <c r="M38">
        <f>IFERROR(INDEX(TEAM_ANALYSIS!$Z:$Z,MATCH($E38,TEAM_ANALYSIS!$A:$A,0)),1)</f>
        <v>0.8529411764705882</v>
      </c>
      <c r="N38">
        <f>IFERROR(INDEX(TEAM_ANALYSIS!$Y:$Y,MATCH($F38,TEAM_ANALYSIS!$A:$A,0)),1)</f>
        <v>1.2058823529411764</v>
      </c>
      <c r="O38">
        <f>IFERROR(INDEX(TEAM_ANALYSIS!$Z:$Z,MATCH($F38,TEAM_ANALYSIS!$A:$A,0)),1)</f>
        <v>0.97058823529411764</v>
      </c>
      <c r="P38">
        <f>MAX(0.05,AVERAGE(TEAM_ANALYSIS!$W$2:$W$21)*L38*O38)</f>
        <v>1.5165441176470589</v>
      </c>
      <c r="Q38">
        <f>MAX(0.05,AVERAGE(TEAM_ANALYSIS!$W$2:$W$21)*N38*M38)</f>
        <v>2.1856617647058822</v>
      </c>
      <c r="R38" s="23">
        <f>MAX(0.8,MIN(1.2,P38/AVERAGE(TEAM_ANALYSIS!$W$2:$W$21)))</f>
        <v>0.8</v>
      </c>
      <c r="S38">
        <f>MAX(0.8,MIN(1.2,AVERAGE(TEAM_ANALYSIS!$W$2:$W$21)/Q38))</f>
        <v>0.9722455845248108</v>
      </c>
      <c r="T38">
        <f>AVERAGE(R38,S38)</f>
        <v>0.88612279226240542</v>
      </c>
    </row>
    <row r="39" spans="1:20" x14ac:dyDescent="0.25">
      <c r="A39">
        <v>2</v>
      </c>
      <c r="B39" t="b">
        <v>1</v>
      </c>
      <c r="C39" s="6">
        <v>46264.583333333336</v>
      </c>
      <c r="D39" t="b">
        <v>1</v>
      </c>
      <c r="E39">
        <v>10</v>
      </c>
      <c r="F39">
        <v>20</v>
      </c>
      <c r="G39">
        <v>3</v>
      </c>
      <c r="H39" t="s">
        <v>1111</v>
      </c>
      <c r="I39" t="s">
        <v>1086</v>
      </c>
      <c r="J39" t="s">
        <v>1106</v>
      </c>
      <c r="K39" t="str">
        <f>tblTeamFixtures[[#This Row],[Team_name]]&amp;"_"&amp;tblTeamFixtures[[#This Row],[GW]]</f>
        <v>FUL_2</v>
      </c>
      <c r="L39">
        <f>IFERROR(INDEX(TEAM_ANALYSIS!$Y:$Y,MATCH($E39,TEAM_ANALYSIS!$A:$A,0)),1)</f>
        <v>0.97058823529411764</v>
      </c>
      <c r="M39">
        <f>IFERROR(INDEX(TEAM_ANALYSIS!$Z:$Z,MATCH($E39,TEAM_ANALYSIS!$A:$A,0)),1)</f>
        <v>1.3235294117647058</v>
      </c>
      <c r="N39">
        <f>IFERROR(INDEX(TEAM_ANALYSIS!$Y:$Y,MATCH($F39,TEAM_ANALYSIS!$A:$A,0)),1)</f>
        <v>0.8529411764705882</v>
      </c>
      <c r="O39">
        <f>IFERROR(INDEX(TEAM_ANALYSIS!$Z:$Z,MATCH($F39,TEAM_ANALYSIS!$A:$A,0)),1)</f>
        <v>0.8529411764705882</v>
      </c>
      <c r="P39">
        <f>MAX(0.05,AVERAGE(TEAM_ANALYSIS!$W$2:$W$21)*L39*O39)</f>
        <v>1.7591911764705881</v>
      </c>
      <c r="Q39">
        <f>MAX(0.05,AVERAGE(TEAM_ANALYSIS!$W$2:$W$21)*N39*M39)</f>
        <v>2.3988970588235294</v>
      </c>
      <c r="R39" s="23">
        <f>MAX(0.8,MIN(1.2,P39/AVERAGE(TEAM_ANALYSIS!$W$2:$W$21)))</f>
        <v>0.82785467128027679</v>
      </c>
      <c r="S39">
        <f>MAX(0.8,MIN(1.2,AVERAGE(TEAM_ANALYSIS!$W$2:$W$21)/Q39))</f>
        <v>0.885823754789272</v>
      </c>
      <c r="T39">
        <f>AVERAGE(R39,S39)</f>
        <v>0.85683921303477439</v>
      </c>
    </row>
    <row r="40" spans="1:20" x14ac:dyDescent="0.25">
      <c r="A40">
        <v>2</v>
      </c>
      <c r="B40" t="b">
        <v>1</v>
      </c>
      <c r="C40" s="6">
        <v>46264.6875</v>
      </c>
      <c r="D40" t="b">
        <v>1</v>
      </c>
      <c r="E40">
        <v>12</v>
      </c>
      <c r="F40">
        <v>16</v>
      </c>
      <c r="G40">
        <v>4</v>
      </c>
      <c r="H40" t="s">
        <v>1111</v>
      </c>
      <c r="I40" t="s">
        <v>1090</v>
      </c>
      <c r="J40" t="s">
        <v>1098</v>
      </c>
      <c r="K40" t="str">
        <f>tblTeamFixtures[[#This Row],[Team_name]]&amp;"_"&amp;tblTeamFixtures[[#This Row],[GW]]</f>
        <v>IPS_2</v>
      </c>
      <c r="L40">
        <f>IFERROR(INDEX(TEAM_ANALYSIS!$Y:$Y,MATCH($E40,TEAM_ANALYSIS!$A:$A,0)),1)</f>
        <v>0.97058823529411764</v>
      </c>
      <c r="M40">
        <f>IFERROR(INDEX(TEAM_ANALYSIS!$Z:$Z,MATCH($E40,TEAM_ANALYSIS!$A:$A,0)),1)</f>
        <v>1.4411764705882353</v>
      </c>
      <c r="N40">
        <f>IFERROR(INDEX(TEAM_ANALYSIS!$Y:$Y,MATCH($F40,TEAM_ANALYSIS!$A:$A,0)),1)</f>
        <v>1.3235294117647058</v>
      </c>
      <c r="O40">
        <f>IFERROR(INDEX(TEAM_ANALYSIS!$Z:$Z,MATCH($F40,TEAM_ANALYSIS!$A:$A,0)),1)</f>
        <v>1.2058823529411764</v>
      </c>
      <c r="P40">
        <f>MAX(0.05,AVERAGE(TEAM_ANALYSIS!$W$2:$W$21)*L40*O40)</f>
        <v>2.4871323529411762</v>
      </c>
      <c r="Q40">
        <f>MAX(0.05,AVERAGE(TEAM_ANALYSIS!$W$2:$W$21)*N40*M40)</f>
        <v>4.0533088235294121</v>
      </c>
      <c r="R40" s="23">
        <f>MAX(0.8,MIN(1.2,P40/AVERAGE(TEAM_ANALYSIS!$W$2:$W$21)))</f>
        <v>1.1704152249134947</v>
      </c>
      <c r="S40">
        <f>MAX(0.8,MIN(1.2,AVERAGE(TEAM_ANALYSIS!$W$2:$W$21)/Q40))</f>
        <v>0.8</v>
      </c>
      <c r="T40">
        <f>AVERAGE(R40,S40)</f>
        <v>0.98520761245674737</v>
      </c>
    </row>
    <row r="41" spans="1:20" x14ac:dyDescent="0.25">
      <c r="A41">
        <v>2</v>
      </c>
      <c r="B41" t="b">
        <v>1</v>
      </c>
      <c r="C41" s="6">
        <v>46263.729166666664</v>
      </c>
      <c r="D41" t="b">
        <v>1</v>
      </c>
      <c r="E41">
        <v>17</v>
      </c>
      <c r="F41">
        <v>19</v>
      </c>
      <c r="G41">
        <v>3</v>
      </c>
      <c r="H41" t="s">
        <v>1111</v>
      </c>
      <c r="I41" t="s">
        <v>1100</v>
      </c>
      <c r="J41" t="s">
        <v>1104</v>
      </c>
      <c r="K41" t="str">
        <f>tblTeamFixtures[[#This Row],[Team_name]]&amp;"_"&amp;tblTeamFixtures[[#This Row],[GW]]</f>
        <v>NEW_2</v>
      </c>
      <c r="L41">
        <f>IFERROR(INDEX(TEAM_ANALYSIS!$Y:$Y,MATCH($E41,TEAM_ANALYSIS!$A:$A,0)),1)</f>
        <v>1.2058823529411764</v>
      </c>
      <c r="M41">
        <f>IFERROR(INDEX(TEAM_ANALYSIS!$Z:$Z,MATCH($E41,TEAM_ANALYSIS!$A:$A,0)),1)</f>
        <v>0.97058823529411764</v>
      </c>
      <c r="N41">
        <f>IFERROR(INDEX(TEAM_ANALYSIS!$Y:$Y,MATCH($F41,TEAM_ANALYSIS!$A:$A,0)),1)</f>
        <v>0.5</v>
      </c>
      <c r="O41">
        <f>IFERROR(INDEX(TEAM_ANALYSIS!$Z:$Z,MATCH($F41,TEAM_ANALYSIS!$A:$A,0)),1)</f>
        <v>1.088235294117647</v>
      </c>
      <c r="P41">
        <f>MAX(0.05,AVERAGE(TEAM_ANALYSIS!$W$2:$W$21)*L41*O41)</f>
        <v>2.7886029411764706</v>
      </c>
      <c r="Q41">
        <f>MAX(0.05,AVERAGE(TEAM_ANALYSIS!$W$2:$W$21)*N41*M41)</f>
        <v>1.03125</v>
      </c>
      <c r="R41" s="23">
        <f>MAX(0.8,MIN(1.2,P41/AVERAGE(TEAM_ANALYSIS!$W$2:$W$21)))</f>
        <v>1.2</v>
      </c>
      <c r="S41">
        <f>MAX(0.8,MIN(1.2,AVERAGE(TEAM_ANALYSIS!$W$2:$W$21)/Q41))</f>
        <v>1.2</v>
      </c>
      <c r="T41">
        <f>AVERAGE(R41,S41)</f>
        <v>1.2</v>
      </c>
    </row>
    <row r="42" spans="1:20" x14ac:dyDescent="0.25">
      <c r="A42">
        <v>3</v>
      </c>
      <c r="B42" t="b">
        <v>1</v>
      </c>
      <c r="C42" s="6">
        <v>46269.833333333336</v>
      </c>
      <c r="D42" t="b">
        <v>1</v>
      </c>
      <c r="E42">
        <v>12</v>
      </c>
      <c r="F42">
        <v>14</v>
      </c>
      <c r="G42">
        <v>4</v>
      </c>
      <c r="H42" t="s">
        <v>1110</v>
      </c>
      <c r="I42" t="s">
        <v>1090</v>
      </c>
      <c r="J42" t="s">
        <v>1094</v>
      </c>
      <c r="K42" t="str">
        <f>tblTeamFixtures[[#This Row],[Team_name]]&amp;"_"&amp;tblTeamFixtures[[#This Row],[GW]]</f>
        <v>IPS_3</v>
      </c>
      <c r="L42">
        <f>IFERROR(INDEX(TEAM_ANALYSIS!$Y:$Y,MATCH($E42,TEAM_ANALYSIS!$A:$A,0)),1)</f>
        <v>0.97058823529411764</v>
      </c>
      <c r="M42">
        <f>IFERROR(INDEX(TEAM_ANALYSIS!$Z:$Z,MATCH($E42,TEAM_ANALYSIS!$A:$A,0)),1)</f>
        <v>1.4411764705882353</v>
      </c>
      <c r="N42">
        <f>IFERROR(INDEX(TEAM_ANALYSIS!$Y:$Y,MATCH($F42,TEAM_ANALYSIS!$A:$A,0)),1)</f>
        <v>1.2058823529411764</v>
      </c>
      <c r="O42">
        <f>IFERROR(INDEX(TEAM_ANALYSIS!$Z:$Z,MATCH($F42,TEAM_ANALYSIS!$A:$A,0)),1)</f>
        <v>0.97058823529411764</v>
      </c>
      <c r="P42">
        <f>MAX(0.05,AVERAGE(TEAM_ANALYSIS!$W$2:$W$21)*L42*O42)</f>
        <v>2.0018382352941178</v>
      </c>
      <c r="Q42">
        <f>MAX(0.05,AVERAGE(TEAM_ANALYSIS!$W$2:$W$21)*N42*M42)</f>
        <v>3.6930147058823528</v>
      </c>
      <c r="R42" s="23">
        <f>MAX(0.8,MIN(1.2,P42/AVERAGE(TEAM_ANALYSIS!$W$2:$W$21)))</f>
        <v>0.94204152249134954</v>
      </c>
      <c r="S42">
        <f>MAX(0.8,MIN(1.2,AVERAGE(TEAM_ANALYSIS!$W$2:$W$21)/Q42))</f>
        <v>0.8</v>
      </c>
      <c r="T42">
        <f>AVERAGE(R42,S42)</f>
        <v>0.87102076124567485</v>
      </c>
    </row>
    <row r="43" spans="1:20" x14ac:dyDescent="0.25">
      <c r="A43">
        <v>3</v>
      </c>
      <c r="B43" t="b">
        <v>1</v>
      </c>
      <c r="C43" s="6">
        <v>46270.520833333336</v>
      </c>
      <c r="D43" t="b">
        <v>1</v>
      </c>
      <c r="E43">
        <v>17</v>
      </c>
      <c r="F43">
        <v>3</v>
      </c>
      <c r="G43">
        <v>3</v>
      </c>
      <c r="H43" t="s">
        <v>1110</v>
      </c>
      <c r="I43" t="s">
        <v>1100</v>
      </c>
      <c r="J43" t="s">
        <v>1072</v>
      </c>
      <c r="K43" t="str">
        <f>tblTeamFixtures[[#This Row],[Team_name]]&amp;"_"&amp;tblTeamFixtures[[#This Row],[GW]]</f>
        <v>NEW_3</v>
      </c>
      <c r="L43">
        <f>IFERROR(INDEX(TEAM_ANALYSIS!$Y:$Y,MATCH($E43,TEAM_ANALYSIS!$A:$A,0)),1)</f>
        <v>1.2058823529411764</v>
      </c>
      <c r="M43">
        <f>IFERROR(INDEX(TEAM_ANALYSIS!$Z:$Z,MATCH($E43,TEAM_ANALYSIS!$A:$A,0)),1)</f>
        <v>0.97058823529411764</v>
      </c>
      <c r="N43">
        <f>IFERROR(INDEX(TEAM_ANALYSIS!$Y:$Y,MATCH($F43,TEAM_ANALYSIS!$A:$A,0)),1)</f>
        <v>0.97058823529411764</v>
      </c>
      <c r="O43">
        <f>IFERROR(INDEX(TEAM_ANALYSIS!$Z:$Z,MATCH($F43,TEAM_ANALYSIS!$A:$A,0)),1)</f>
        <v>1.088235294117647</v>
      </c>
      <c r="P43">
        <f>MAX(0.05,AVERAGE(TEAM_ANALYSIS!$W$2:$W$21)*L43*O43)</f>
        <v>2.7886029411764706</v>
      </c>
      <c r="Q43">
        <f>MAX(0.05,AVERAGE(TEAM_ANALYSIS!$W$2:$W$21)*N43*M43)</f>
        <v>2.0018382352941178</v>
      </c>
      <c r="R43" s="23">
        <f>MAX(0.8,MIN(1.2,P43/AVERAGE(TEAM_ANALYSIS!$W$2:$W$21)))</f>
        <v>1.2</v>
      </c>
      <c r="S43">
        <f>MAX(0.8,MIN(1.2,AVERAGE(TEAM_ANALYSIS!$W$2:$W$21)/Q43))</f>
        <v>1.061524334251607</v>
      </c>
      <c r="T43">
        <f>AVERAGE(R43,S43)</f>
        <v>1.1307621671258035</v>
      </c>
    </row>
    <row r="44" spans="1:20" x14ac:dyDescent="0.25">
      <c r="A44">
        <v>3</v>
      </c>
      <c r="B44" t="b">
        <v>1</v>
      </c>
      <c r="C44" s="6">
        <v>46270.625</v>
      </c>
      <c r="D44" t="b">
        <v>1</v>
      </c>
      <c r="E44">
        <v>4</v>
      </c>
      <c r="F44">
        <v>20</v>
      </c>
      <c r="G44">
        <v>2</v>
      </c>
      <c r="H44" t="s">
        <v>1110</v>
      </c>
      <c r="I44" t="s">
        <v>1074</v>
      </c>
      <c r="J44" t="s">
        <v>1106</v>
      </c>
      <c r="K44" t="str">
        <f>tblTeamFixtures[[#This Row],[Team_name]]&amp;"_"&amp;tblTeamFixtures[[#This Row],[GW]]</f>
        <v>BRE_3</v>
      </c>
      <c r="L44">
        <f>IFERROR(INDEX(TEAM_ANALYSIS!$Y:$Y,MATCH($E44,TEAM_ANALYSIS!$A:$A,0)),1)</f>
        <v>1.088235294117647</v>
      </c>
      <c r="M44">
        <f>IFERROR(INDEX(TEAM_ANALYSIS!$Z:$Z,MATCH($E44,TEAM_ANALYSIS!$A:$A,0)),1)</f>
        <v>0.73529411764705888</v>
      </c>
      <c r="N44">
        <f>IFERROR(INDEX(TEAM_ANALYSIS!$Y:$Y,MATCH($F44,TEAM_ANALYSIS!$A:$A,0)),1)</f>
        <v>0.8529411764705882</v>
      </c>
      <c r="O44">
        <f>IFERROR(INDEX(TEAM_ANALYSIS!$Z:$Z,MATCH($F44,TEAM_ANALYSIS!$A:$A,0)),1)</f>
        <v>0.8529411764705882</v>
      </c>
      <c r="P44">
        <f>MAX(0.05,AVERAGE(TEAM_ANALYSIS!$W$2:$W$21)*L44*O44)</f>
        <v>1.9724264705882353</v>
      </c>
      <c r="Q44">
        <f>MAX(0.05,AVERAGE(TEAM_ANALYSIS!$W$2:$W$21)*N44*M44)</f>
        <v>1.3327205882352942</v>
      </c>
      <c r="R44" s="23">
        <f>MAX(0.8,MIN(1.2,P44/AVERAGE(TEAM_ANALYSIS!$W$2:$W$21)))</f>
        <v>0.92820069204152245</v>
      </c>
      <c r="S44">
        <f>MAX(0.8,MIN(1.2,AVERAGE(TEAM_ANALYSIS!$W$2:$W$21)/Q44))</f>
        <v>1.2</v>
      </c>
      <c r="T44">
        <f>AVERAGE(R44,S44)</f>
        <v>1.0641003460207612</v>
      </c>
    </row>
    <row r="45" spans="1:20" x14ac:dyDescent="0.25">
      <c r="A45">
        <v>3</v>
      </c>
      <c r="B45" t="b">
        <v>1</v>
      </c>
      <c r="C45" s="6">
        <v>46270.625</v>
      </c>
      <c r="D45" t="b">
        <v>1</v>
      </c>
      <c r="E45">
        <v>5</v>
      </c>
      <c r="F45">
        <v>13</v>
      </c>
      <c r="G45">
        <v>2</v>
      </c>
      <c r="H45" t="s">
        <v>1110</v>
      </c>
      <c r="I45" t="s">
        <v>1076</v>
      </c>
      <c r="J45" t="s">
        <v>1092</v>
      </c>
      <c r="K45" t="str">
        <f>tblTeamFixtures[[#This Row],[Team_name]]&amp;"_"&amp;tblTeamFixtures[[#This Row],[GW]]</f>
        <v>BHA_3</v>
      </c>
      <c r="L45">
        <f>IFERROR(INDEX(TEAM_ANALYSIS!$Y:$Y,MATCH($E45,TEAM_ANALYSIS!$A:$A,0)),1)</f>
        <v>1.4411764705882353</v>
      </c>
      <c r="M45">
        <f>IFERROR(INDEX(TEAM_ANALYSIS!$Z:$Z,MATCH($E45,TEAM_ANALYSIS!$A:$A,0)),1)</f>
        <v>1.088235294117647</v>
      </c>
      <c r="N45">
        <f>IFERROR(INDEX(TEAM_ANALYSIS!$Y:$Y,MATCH($F45,TEAM_ANALYSIS!$A:$A,0)),1)</f>
        <v>0.8529411764705882</v>
      </c>
      <c r="O45">
        <f>IFERROR(INDEX(TEAM_ANALYSIS!$Z:$Z,MATCH($F45,TEAM_ANALYSIS!$A:$A,0)),1)</f>
        <v>0.73529411764705888</v>
      </c>
      <c r="P45">
        <f>MAX(0.05,AVERAGE(TEAM_ANALYSIS!$W$2:$W$21)*L45*O45)</f>
        <v>2.2518382352941178</v>
      </c>
      <c r="Q45">
        <f>MAX(0.05,AVERAGE(TEAM_ANALYSIS!$W$2:$W$21)*N45*M45)</f>
        <v>1.9724264705882351</v>
      </c>
      <c r="R45" s="23">
        <f>MAX(0.8,MIN(1.2,P45/AVERAGE(TEAM_ANALYSIS!$W$2:$W$21)))</f>
        <v>1.0596885813148789</v>
      </c>
      <c r="S45">
        <f>MAX(0.8,MIN(1.2,AVERAGE(TEAM_ANALYSIS!$W$2:$W$21)/Q45))</f>
        <v>1.07735321528425</v>
      </c>
      <c r="T45">
        <f>AVERAGE(R45,S45)</f>
        <v>1.0685208982995644</v>
      </c>
    </row>
    <row r="46" spans="1:20" x14ac:dyDescent="0.25">
      <c r="A46">
        <v>3</v>
      </c>
      <c r="B46" t="b">
        <v>1</v>
      </c>
      <c r="C46" s="6">
        <v>46270.625</v>
      </c>
      <c r="D46" t="b">
        <v>1</v>
      </c>
      <c r="E46">
        <v>10</v>
      </c>
      <c r="F46">
        <v>8</v>
      </c>
      <c r="G46">
        <v>3</v>
      </c>
      <c r="H46" t="s">
        <v>1110</v>
      </c>
      <c r="I46" t="s">
        <v>1086</v>
      </c>
      <c r="J46" t="s">
        <v>1082</v>
      </c>
      <c r="K46" t="str">
        <f>tblTeamFixtures[[#This Row],[Team_name]]&amp;"_"&amp;tblTeamFixtures[[#This Row],[GW]]</f>
        <v>FUL_3</v>
      </c>
      <c r="L46">
        <f>IFERROR(INDEX(TEAM_ANALYSIS!$Y:$Y,MATCH($E46,TEAM_ANALYSIS!$A:$A,0)),1)</f>
        <v>0.97058823529411764</v>
      </c>
      <c r="M46">
        <f>IFERROR(INDEX(TEAM_ANALYSIS!$Z:$Z,MATCH($E46,TEAM_ANALYSIS!$A:$A,0)),1)</f>
        <v>1.3235294117647058</v>
      </c>
      <c r="N46">
        <f>IFERROR(INDEX(TEAM_ANALYSIS!$Y:$Y,MATCH($F46,TEAM_ANALYSIS!$A:$A,0)),1)</f>
        <v>0.97058823529411764</v>
      </c>
      <c r="O46">
        <f>IFERROR(INDEX(TEAM_ANALYSIS!$Z:$Z,MATCH($F46,TEAM_ANALYSIS!$A:$A,0)),1)</f>
        <v>1.4411764705882353</v>
      </c>
      <c r="P46">
        <f>MAX(0.05,AVERAGE(TEAM_ANALYSIS!$W$2:$W$21)*L46*O46)</f>
        <v>2.9724264705882351</v>
      </c>
      <c r="Q46">
        <f>MAX(0.05,AVERAGE(TEAM_ANALYSIS!$W$2:$W$21)*N46*M46)</f>
        <v>2.7297794117647056</v>
      </c>
      <c r="R46" s="23">
        <f>MAX(0.8,MIN(1.2,P46/AVERAGE(TEAM_ANALYSIS!$W$2:$W$21)))</f>
        <v>1.2</v>
      </c>
      <c r="S46">
        <f>MAX(0.8,MIN(1.2,AVERAGE(TEAM_ANALYSIS!$W$2:$W$21)/Q46))</f>
        <v>0.8</v>
      </c>
      <c r="T46">
        <f>AVERAGE(R46,S46)</f>
        <v>1</v>
      </c>
    </row>
    <row r="47" spans="1:20" x14ac:dyDescent="0.25">
      <c r="A47">
        <v>3</v>
      </c>
      <c r="B47" t="b">
        <v>1</v>
      </c>
      <c r="C47" s="6">
        <v>46270.625</v>
      </c>
      <c r="D47" t="b">
        <v>1</v>
      </c>
      <c r="E47">
        <v>15</v>
      </c>
      <c r="F47">
        <v>7</v>
      </c>
      <c r="G47">
        <v>2</v>
      </c>
      <c r="H47" t="s">
        <v>1110</v>
      </c>
      <c r="I47" t="s">
        <v>1096</v>
      </c>
      <c r="J47" t="s">
        <v>1080</v>
      </c>
      <c r="K47" t="str">
        <f>tblTeamFixtures[[#This Row],[Team_name]]&amp;"_"&amp;tblTeamFixtures[[#This Row],[GW]]</f>
        <v>MCI_3</v>
      </c>
      <c r="L47">
        <f>IFERROR(INDEX(TEAM_ANALYSIS!$Y:$Y,MATCH($E47,TEAM_ANALYSIS!$A:$A,0)),1)</f>
        <v>1.3235294117647058</v>
      </c>
      <c r="M47">
        <f>IFERROR(INDEX(TEAM_ANALYSIS!$Z:$Z,MATCH($E47,TEAM_ANALYSIS!$A:$A,0)),1)</f>
        <v>0.73529411764705888</v>
      </c>
      <c r="N47">
        <f>IFERROR(INDEX(TEAM_ANALYSIS!$Y:$Y,MATCH($F47,TEAM_ANALYSIS!$A:$A,0)),1)</f>
        <v>0.5</v>
      </c>
      <c r="O47">
        <f>IFERROR(INDEX(TEAM_ANALYSIS!$Z:$Z,MATCH($F47,TEAM_ANALYSIS!$A:$A,0)),1)</f>
        <v>1.088235294117647</v>
      </c>
      <c r="P47">
        <f>MAX(0.05,AVERAGE(TEAM_ANALYSIS!$W$2:$W$21)*L47*O47)</f>
        <v>3.0606617647058822</v>
      </c>
      <c r="Q47">
        <f>MAX(0.05,AVERAGE(TEAM_ANALYSIS!$W$2:$W$21)*N47*M47)</f>
        <v>0.78125</v>
      </c>
      <c r="R47" s="23">
        <f>MAX(0.8,MIN(1.2,P47/AVERAGE(TEAM_ANALYSIS!$W$2:$W$21)))</f>
        <v>1.2</v>
      </c>
      <c r="S47">
        <f>MAX(0.8,MIN(1.2,AVERAGE(TEAM_ANALYSIS!$W$2:$W$21)/Q47))</f>
        <v>1.2</v>
      </c>
      <c r="T47">
        <f>AVERAGE(R47,S47)</f>
        <v>1.2</v>
      </c>
    </row>
    <row r="48" spans="1:20" x14ac:dyDescent="0.25">
      <c r="A48">
        <v>3</v>
      </c>
      <c r="B48" t="b">
        <v>1</v>
      </c>
      <c r="C48" s="6">
        <v>46270.625</v>
      </c>
      <c r="D48" t="b">
        <v>1</v>
      </c>
      <c r="E48">
        <v>18</v>
      </c>
      <c r="F48">
        <v>19</v>
      </c>
      <c r="G48">
        <v>3</v>
      </c>
      <c r="H48" t="s">
        <v>1110</v>
      </c>
      <c r="I48" t="s">
        <v>1102</v>
      </c>
      <c r="J48" t="s">
        <v>1104</v>
      </c>
      <c r="K48" t="str">
        <f>tblTeamFixtures[[#This Row],[Team_name]]&amp;"_"&amp;tblTeamFixtures[[#This Row],[GW]]</f>
        <v>NFO_3</v>
      </c>
      <c r="L48">
        <f>IFERROR(INDEX(TEAM_ANALYSIS!$Y:$Y,MATCH($E48,TEAM_ANALYSIS!$A:$A,0)),1)</f>
        <v>0.73529411764705888</v>
      </c>
      <c r="M48">
        <f>IFERROR(INDEX(TEAM_ANALYSIS!$Z:$Z,MATCH($E48,TEAM_ANALYSIS!$A:$A,0)),1)</f>
        <v>0.8529411764705882</v>
      </c>
      <c r="N48">
        <f>IFERROR(INDEX(TEAM_ANALYSIS!$Y:$Y,MATCH($F48,TEAM_ANALYSIS!$A:$A,0)),1)</f>
        <v>0.5</v>
      </c>
      <c r="O48">
        <f>IFERROR(INDEX(TEAM_ANALYSIS!$Z:$Z,MATCH($F48,TEAM_ANALYSIS!$A:$A,0)),1)</f>
        <v>1.088235294117647</v>
      </c>
      <c r="P48">
        <f>MAX(0.05,AVERAGE(TEAM_ANALYSIS!$W$2:$W$21)*L48*O48)</f>
        <v>1.7003676470588234</v>
      </c>
      <c r="Q48">
        <f>MAX(0.05,AVERAGE(TEAM_ANALYSIS!$W$2:$W$21)*N48*M48)</f>
        <v>0.90625</v>
      </c>
      <c r="R48" s="23">
        <f>MAX(0.8,MIN(1.2,P48/AVERAGE(TEAM_ANALYSIS!$W$2:$W$21)))</f>
        <v>0.80017301038062272</v>
      </c>
      <c r="S48">
        <f>MAX(0.8,MIN(1.2,AVERAGE(TEAM_ANALYSIS!$W$2:$W$21)/Q48))</f>
        <v>1.2</v>
      </c>
      <c r="T48">
        <f>AVERAGE(R48,S48)</f>
        <v>1.0000865051903114</v>
      </c>
    </row>
    <row r="49" spans="1:20" x14ac:dyDescent="0.25">
      <c r="A49">
        <v>3</v>
      </c>
      <c r="B49" t="b">
        <v>1</v>
      </c>
      <c r="C49" s="6">
        <v>46270.729166666664</v>
      </c>
      <c r="D49" t="b">
        <v>1</v>
      </c>
      <c r="E49">
        <v>11</v>
      </c>
      <c r="F49">
        <v>2</v>
      </c>
      <c r="G49">
        <v>3</v>
      </c>
      <c r="H49" t="s">
        <v>1110</v>
      </c>
      <c r="I49" t="s">
        <v>1088</v>
      </c>
      <c r="J49" t="s">
        <v>1070</v>
      </c>
      <c r="K49" t="str">
        <f>tblTeamFixtures[[#This Row],[Team_name]]&amp;"_"&amp;tblTeamFixtures[[#This Row],[GW]]</f>
        <v>HUL_3</v>
      </c>
      <c r="L49">
        <f>IFERROR(INDEX(TEAM_ANALYSIS!$Y:$Y,MATCH($E49,TEAM_ANALYSIS!$A:$A,0)),1)</f>
        <v>0.8529411764705882</v>
      </c>
      <c r="M49">
        <f>IFERROR(INDEX(TEAM_ANALYSIS!$Z:$Z,MATCH($E49,TEAM_ANALYSIS!$A:$A,0)),1)</f>
        <v>0.5</v>
      </c>
      <c r="N49">
        <f>IFERROR(INDEX(TEAM_ANALYSIS!$Y:$Y,MATCH($F49,TEAM_ANALYSIS!$A:$A,0)),1)</f>
        <v>0.5</v>
      </c>
      <c r="O49">
        <f>IFERROR(INDEX(TEAM_ANALYSIS!$Z:$Z,MATCH($F49,TEAM_ANALYSIS!$A:$A,0)),1)</f>
        <v>1.088235294117647</v>
      </c>
      <c r="P49">
        <f>MAX(0.05,AVERAGE(TEAM_ANALYSIS!$W$2:$W$21)*L49*O49)</f>
        <v>1.9724264705882351</v>
      </c>
      <c r="Q49">
        <f>MAX(0.05,AVERAGE(TEAM_ANALYSIS!$W$2:$W$21)*N49*M49)</f>
        <v>0.53125</v>
      </c>
      <c r="R49" s="23">
        <f>MAX(0.8,MIN(1.2,P49/AVERAGE(TEAM_ANALYSIS!$W$2:$W$21)))</f>
        <v>0.92820069204152233</v>
      </c>
      <c r="S49">
        <f>MAX(0.8,MIN(1.2,AVERAGE(TEAM_ANALYSIS!$W$2:$W$21)/Q49))</f>
        <v>1.2</v>
      </c>
      <c r="T49">
        <f>AVERAGE(R49,S49)</f>
        <v>1.0641003460207612</v>
      </c>
    </row>
    <row r="50" spans="1:20" x14ac:dyDescent="0.25">
      <c r="A50">
        <v>3</v>
      </c>
      <c r="B50" t="b">
        <v>1</v>
      </c>
      <c r="C50" s="6">
        <v>46271.583333333336</v>
      </c>
      <c r="D50" t="b">
        <v>1</v>
      </c>
      <c r="E50">
        <v>9</v>
      </c>
      <c r="F50">
        <v>16</v>
      </c>
      <c r="G50">
        <v>4</v>
      </c>
      <c r="H50" t="s">
        <v>1110</v>
      </c>
      <c r="I50" t="s">
        <v>1084</v>
      </c>
      <c r="J50" t="s">
        <v>1098</v>
      </c>
      <c r="K50" t="str">
        <f>tblTeamFixtures[[#This Row],[Team_name]]&amp;"_"&amp;tblTeamFixtures[[#This Row],[GW]]</f>
        <v>EVE_3</v>
      </c>
      <c r="L50">
        <f>IFERROR(INDEX(TEAM_ANALYSIS!$Y:$Y,MATCH($E50,TEAM_ANALYSIS!$A:$A,0)),1)</f>
        <v>1.088235294117647</v>
      </c>
      <c r="M50">
        <f>IFERROR(INDEX(TEAM_ANALYSIS!$Z:$Z,MATCH($E50,TEAM_ANALYSIS!$A:$A,0)),1)</f>
        <v>0.8529411764705882</v>
      </c>
      <c r="N50">
        <f>IFERROR(INDEX(TEAM_ANALYSIS!$Y:$Y,MATCH($F50,TEAM_ANALYSIS!$A:$A,0)),1)</f>
        <v>1.3235294117647058</v>
      </c>
      <c r="O50">
        <f>IFERROR(INDEX(TEAM_ANALYSIS!$Z:$Z,MATCH($F50,TEAM_ANALYSIS!$A:$A,0)),1)</f>
        <v>1.2058823529411764</v>
      </c>
      <c r="P50">
        <f>MAX(0.05,AVERAGE(TEAM_ANALYSIS!$W$2:$W$21)*L50*O50)</f>
        <v>2.7886029411764706</v>
      </c>
      <c r="Q50">
        <f>MAX(0.05,AVERAGE(TEAM_ANALYSIS!$W$2:$W$21)*N50*M50)</f>
        <v>2.3988970588235294</v>
      </c>
      <c r="R50" s="23">
        <f>MAX(0.8,MIN(1.2,P50/AVERAGE(TEAM_ANALYSIS!$W$2:$W$21)))</f>
        <v>1.2</v>
      </c>
      <c r="S50">
        <f>MAX(0.8,MIN(1.2,AVERAGE(TEAM_ANALYSIS!$W$2:$W$21)/Q50))</f>
        <v>0.885823754789272</v>
      </c>
      <c r="T50">
        <f>AVERAGE(R50,S50)</f>
        <v>1.042911877394636</v>
      </c>
    </row>
    <row r="51" spans="1:20" x14ac:dyDescent="0.25">
      <c r="A51">
        <v>3</v>
      </c>
      <c r="B51" t="b">
        <v>1</v>
      </c>
      <c r="C51" s="6">
        <v>46271.6875</v>
      </c>
      <c r="D51" t="b">
        <v>1</v>
      </c>
      <c r="E51">
        <v>1</v>
      </c>
      <c r="F51">
        <v>6</v>
      </c>
      <c r="G51">
        <v>4</v>
      </c>
      <c r="H51" t="s">
        <v>1110</v>
      </c>
      <c r="I51" t="s">
        <v>1068</v>
      </c>
      <c r="J51" t="s">
        <v>1078</v>
      </c>
      <c r="K51" t="str">
        <f>tblTeamFixtures[[#This Row],[Team_name]]&amp;"_"&amp;tblTeamFixtures[[#This Row],[GW]]</f>
        <v>ARS_3</v>
      </c>
      <c r="L51">
        <f>IFERROR(INDEX(TEAM_ANALYSIS!$Y:$Y,MATCH($E51,TEAM_ANALYSIS!$A:$A,0)),1)</f>
        <v>1.2058823529411764</v>
      </c>
      <c r="M51">
        <f>IFERROR(INDEX(TEAM_ANALYSIS!$Z:$Z,MATCH($E51,TEAM_ANALYSIS!$A:$A,0)),1)</f>
        <v>0.61764705882352944</v>
      </c>
      <c r="N51">
        <f>IFERROR(INDEX(TEAM_ANALYSIS!$Y:$Y,MATCH($F51,TEAM_ANALYSIS!$A:$A,0)),1)</f>
        <v>1.4411764705882353</v>
      </c>
      <c r="O51">
        <f>IFERROR(INDEX(TEAM_ANALYSIS!$Z:$Z,MATCH($F51,TEAM_ANALYSIS!$A:$A,0)),1)</f>
        <v>1.3235294117647058</v>
      </c>
      <c r="P51">
        <f>MAX(0.05,AVERAGE(TEAM_ANALYSIS!$W$2:$W$21)*L51*O51)</f>
        <v>3.3915441176470589</v>
      </c>
      <c r="Q51">
        <f>MAX(0.05,AVERAGE(TEAM_ANALYSIS!$W$2:$W$21)*N51*M51)</f>
        <v>1.8915441176470589</v>
      </c>
      <c r="R51" s="23">
        <f>MAX(0.8,MIN(1.2,P51/AVERAGE(TEAM_ANALYSIS!$W$2:$W$21)))</f>
        <v>1.2</v>
      </c>
      <c r="S51">
        <f>MAX(0.8,MIN(1.2,AVERAGE(TEAM_ANALYSIS!$W$2:$W$21)/Q51))</f>
        <v>1.1234207968901846</v>
      </c>
      <c r="T51">
        <f>AVERAGE(R51,S51)</f>
        <v>1.1617103984450923</v>
      </c>
    </row>
    <row r="52" spans="1:20" x14ac:dyDescent="0.25">
      <c r="A52">
        <v>3</v>
      </c>
      <c r="B52" t="b">
        <v>1</v>
      </c>
      <c r="C52" s="6">
        <v>46269.833333333336</v>
      </c>
      <c r="D52" t="b">
        <v>1</v>
      </c>
      <c r="E52">
        <v>14</v>
      </c>
      <c r="F52">
        <v>12</v>
      </c>
      <c r="G52">
        <v>2</v>
      </c>
      <c r="H52" t="s">
        <v>1111</v>
      </c>
      <c r="I52" t="s">
        <v>1094</v>
      </c>
      <c r="J52" t="s">
        <v>1090</v>
      </c>
      <c r="K52" t="str">
        <f>tblTeamFixtures[[#This Row],[Team_name]]&amp;"_"&amp;tblTeamFixtures[[#This Row],[GW]]</f>
        <v>LIV_3</v>
      </c>
      <c r="L52">
        <f>IFERROR(INDEX(TEAM_ANALYSIS!$Y:$Y,MATCH($E52,TEAM_ANALYSIS!$A:$A,0)),1)</f>
        <v>1.2058823529411764</v>
      </c>
      <c r="M52">
        <f>IFERROR(INDEX(TEAM_ANALYSIS!$Z:$Z,MATCH($E52,TEAM_ANALYSIS!$A:$A,0)),1)</f>
        <v>0.97058823529411764</v>
      </c>
      <c r="N52">
        <f>IFERROR(INDEX(TEAM_ANALYSIS!$Y:$Y,MATCH($F52,TEAM_ANALYSIS!$A:$A,0)),1)</f>
        <v>0.97058823529411764</v>
      </c>
      <c r="O52">
        <f>IFERROR(INDEX(TEAM_ANALYSIS!$Z:$Z,MATCH($F52,TEAM_ANALYSIS!$A:$A,0)),1)</f>
        <v>1.4411764705882353</v>
      </c>
      <c r="P52">
        <f>MAX(0.05,AVERAGE(TEAM_ANALYSIS!$W$2:$W$21)*L52*O52)</f>
        <v>3.6930147058823528</v>
      </c>
      <c r="Q52">
        <f>MAX(0.05,AVERAGE(TEAM_ANALYSIS!$W$2:$W$21)*N52*M52)</f>
        <v>2.0018382352941178</v>
      </c>
      <c r="R52" s="23">
        <f>MAX(0.8,MIN(1.2,P52/AVERAGE(TEAM_ANALYSIS!$W$2:$W$21)))</f>
        <v>1.2</v>
      </c>
      <c r="S52">
        <f>MAX(0.8,MIN(1.2,AVERAGE(TEAM_ANALYSIS!$W$2:$W$21)/Q52))</f>
        <v>1.061524334251607</v>
      </c>
      <c r="T52">
        <f>AVERAGE(R52,S52)</f>
        <v>1.1307621671258035</v>
      </c>
    </row>
    <row r="53" spans="1:20" x14ac:dyDescent="0.25">
      <c r="A53">
        <v>3</v>
      </c>
      <c r="B53" t="b">
        <v>1</v>
      </c>
      <c r="C53" s="6">
        <v>46270.520833333336</v>
      </c>
      <c r="D53" t="b">
        <v>1</v>
      </c>
      <c r="E53">
        <v>3</v>
      </c>
      <c r="F53">
        <v>17</v>
      </c>
      <c r="G53">
        <v>3</v>
      </c>
      <c r="H53" t="s">
        <v>1111</v>
      </c>
      <c r="I53" t="s">
        <v>1072</v>
      </c>
      <c r="J53" t="s">
        <v>1100</v>
      </c>
      <c r="K53" t="str">
        <f>tblTeamFixtures[[#This Row],[Team_name]]&amp;"_"&amp;tblTeamFixtures[[#This Row],[GW]]</f>
        <v>BOU_3</v>
      </c>
      <c r="L53">
        <f>IFERROR(INDEX(TEAM_ANALYSIS!$Y:$Y,MATCH($E53,TEAM_ANALYSIS!$A:$A,0)),1)</f>
        <v>0.97058823529411764</v>
      </c>
      <c r="M53">
        <f>IFERROR(INDEX(TEAM_ANALYSIS!$Z:$Z,MATCH($E53,TEAM_ANALYSIS!$A:$A,0)),1)</f>
        <v>1.088235294117647</v>
      </c>
      <c r="N53">
        <f>IFERROR(INDEX(TEAM_ANALYSIS!$Y:$Y,MATCH($F53,TEAM_ANALYSIS!$A:$A,0)),1)</f>
        <v>1.2058823529411764</v>
      </c>
      <c r="O53">
        <f>IFERROR(INDEX(TEAM_ANALYSIS!$Z:$Z,MATCH($F53,TEAM_ANALYSIS!$A:$A,0)),1)</f>
        <v>0.97058823529411764</v>
      </c>
      <c r="P53">
        <f>MAX(0.05,AVERAGE(TEAM_ANALYSIS!$W$2:$W$21)*L53*O53)</f>
        <v>2.0018382352941178</v>
      </c>
      <c r="Q53">
        <f>MAX(0.05,AVERAGE(TEAM_ANALYSIS!$W$2:$W$21)*N53*M53)</f>
        <v>2.7886029411764706</v>
      </c>
      <c r="R53" s="23">
        <f>MAX(0.8,MIN(1.2,P53/AVERAGE(TEAM_ANALYSIS!$W$2:$W$21)))</f>
        <v>0.94204152249134954</v>
      </c>
      <c r="S53">
        <f>MAX(0.8,MIN(1.2,AVERAGE(TEAM_ANALYSIS!$W$2:$W$21)/Q53))</f>
        <v>0.8</v>
      </c>
      <c r="T53">
        <f>AVERAGE(R53,S53)</f>
        <v>0.87102076124567485</v>
      </c>
    </row>
    <row r="54" spans="1:20" x14ac:dyDescent="0.25">
      <c r="A54">
        <v>3</v>
      </c>
      <c r="B54" t="b">
        <v>1</v>
      </c>
      <c r="C54" s="6">
        <v>46270.625</v>
      </c>
      <c r="D54" t="b">
        <v>1</v>
      </c>
      <c r="E54">
        <v>20</v>
      </c>
      <c r="F54">
        <v>4</v>
      </c>
      <c r="G54">
        <v>3</v>
      </c>
      <c r="H54" t="s">
        <v>1111</v>
      </c>
      <c r="I54" t="s">
        <v>1106</v>
      </c>
      <c r="J54" t="s">
        <v>1074</v>
      </c>
      <c r="K54" t="str">
        <f>tblTeamFixtures[[#This Row],[Team_name]]&amp;"_"&amp;tblTeamFixtures[[#This Row],[GW]]</f>
        <v>SUN_3</v>
      </c>
      <c r="L54">
        <f>IFERROR(INDEX(TEAM_ANALYSIS!$Y:$Y,MATCH($E54,TEAM_ANALYSIS!$A:$A,0)),1)</f>
        <v>0.8529411764705882</v>
      </c>
      <c r="M54">
        <f>IFERROR(INDEX(TEAM_ANALYSIS!$Z:$Z,MATCH($E54,TEAM_ANALYSIS!$A:$A,0)),1)</f>
        <v>0.8529411764705882</v>
      </c>
      <c r="N54">
        <f>IFERROR(INDEX(TEAM_ANALYSIS!$Y:$Y,MATCH($F54,TEAM_ANALYSIS!$A:$A,0)),1)</f>
        <v>1.088235294117647</v>
      </c>
      <c r="O54">
        <f>IFERROR(INDEX(TEAM_ANALYSIS!$Z:$Z,MATCH($F54,TEAM_ANALYSIS!$A:$A,0)),1)</f>
        <v>0.73529411764705888</v>
      </c>
      <c r="P54">
        <f>MAX(0.05,AVERAGE(TEAM_ANALYSIS!$W$2:$W$21)*L54*O54)</f>
        <v>1.3327205882352942</v>
      </c>
      <c r="Q54">
        <f>MAX(0.05,AVERAGE(TEAM_ANALYSIS!$W$2:$W$21)*N54*M54)</f>
        <v>1.9724264705882353</v>
      </c>
      <c r="R54" s="23">
        <f>MAX(0.8,MIN(1.2,P54/AVERAGE(TEAM_ANALYSIS!$W$2:$W$21)))</f>
        <v>0.8</v>
      </c>
      <c r="S54">
        <f>MAX(0.8,MIN(1.2,AVERAGE(TEAM_ANALYSIS!$W$2:$W$21)/Q54))</f>
        <v>1.0773532152842498</v>
      </c>
      <c r="T54">
        <f>AVERAGE(R54,S54)</f>
        <v>0.9386766076421249</v>
      </c>
    </row>
    <row r="55" spans="1:20" x14ac:dyDescent="0.25">
      <c r="A55">
        <v>3</v>
      </c>
      <c r="B55" t="b">
        <v>1</v>
      </c>
      <c r="C55" s="6">
        <v>46270.625</v>
      </c>
      <c r="D55" t="b">
        <v>1</v>
      </c>
      <c r="E55">
        <v>13</v>
      </c>
      <c r="F55">
        <v>5</v>
      </c>
      <c r="G55">
        <v>3</v>
      </c>
      <c r="H55" t="s">
        <v>1111</v>
      </c>
      <c r="I55" t="s">
        <v>1092</v>
      </c>
      <c r="J55" t="s">
        <v>1076</v>
      </c>
      <c r="K55" t="str">
        <f>tblTeamFixtures[[#This Row],[Team_name]]&amp;"_"&amp;tblTeamFixtures[[#This Row],[GW]]</f>
        <v>LEE_3</v>
      </c>
      <c r="L55">
        <f>IFERROR(INDEX(TEAM_ANALYSIS!$Y:$Y,MATCH($E55,TEAM_ANALYSIS!$A:$A,0)),1)</f>
        <v>0.8529411764705882</v>
      </c>
      <c r="M55">
        <f>IFERROR(INDEX(TEAM_ANALYSIS!$Z:$Z,MATCH($E55,TEAM_ANALYSIS!$A:$A,0)),1)</f>
        <v>0.73529411764705888</v>
      </c>
      <c r="N55">
        <f>IFERROR(INDEX(TEAM_ANALYSIS!$Y:$Y,MATCH($F55,TEAM_ANALYSIS!$A:$A,0)),1)</f>
        <v>1.4411764705882353</v>
      </c>
      <c r="O55">
        <f>IFERROR(INDEX(TEAM_ANALYSIS!$Z:$Z,MATCH($F55,TEAM_ANALYSIS!$A:$A,0)),1)</f>
        <v>1.088235294117647</v>
      </c>
      <c r="P55">
        <f>MAX(0.05,AVERAGE(TEAM_ANALYSIS!$W$2:$W$21)*L55*O55)</f>
        <v>1.9724264705882351</v>
      </c>
      <c r="Q55">
        <f>MAX(0.05,AVERAGE(TEAM_ANALYSIS!$W$2:$W$21)*N55*M55)</f>
        <v>2.2518382352941178</v>
      </c>
      <c r="R55" s="23">
        <f>MAX(0.8,MIN(1.2,P55/AVERAGE(TEAM_ANALYSIS!$W$2:$W$21)))</f>
        <v>0.92820069204152233</v>
      </c>
      <c r="S55">
        <f>MAX(0.8,MIN(1.2,AVERAGE(TEAM_ANALYSIS!$W$2:$W$21)/Q55))</f>
        <v>0.94367346938775509</v>
      </c>
      <c r="T55">
        <f>AVERAGE(R55,S55)</f>
        <v>0.93593708071463877</v>
      </c>
    </row>
    <row r="56" spans="1:20" x14ac:dyDescent="0.25">
      <c r="A56">
        <v>3</v>
      </c>
      <c r="B56" t="b">
        <v>1</v>
      </c>
      <c r="C56" s="6">
        <v>46270.625</v>
      </c>
      <c r="D56" t="b">
        <v>1</v>
      </c>
      <c r="E56">
        <v>8</v>
      </c>
      <c r="F56">
        <v>10</v>
      </c>
      <c r="G56">
        <v>3</v>
      </c>
      <c r="H56" t="s">
        <v>1111</v>
      </c>
      <c r="I56" t="s">
        <v>1082</v>
      </c>
      <c r="J56" t="s">
        <v>1086</v>
      </c>
      <c r="K56" t="str">
        <f>tblTeamFixtures[[#This Row],[Team_name]]&amp;"_"&amp;tblTeamFixtures[[#This Row],[GW]]</f>
        <v>CRY_3</v>
      </c>
      <c r="L56">
        <f>IFERROR(INDEX(TEAM_ANALYSIS!$Y:$Y,MATCH($E56,TEAM_ANALYSIS!$A:$A,0)),1)</f>
        <v>0.97058823529411764</v>
      </c>
      <c r="M56">
        <f>IFERROR(INDEX(TEAM_ANALYSIS!$Z:$Z,MATCH($E56,TEAM_ANALYSIS!$A:$A,0)),1)</f>
        <v>1.4411764705882353</v>
      </c>
      <c r="N56">
        <f>IFERROR(INDEX(TEAM_ANALYSIS!$Y:$Y,MATCH($F56,TEAM_ANALYSIS!$A:$A,0)),1)</f>
        <v>0.97058823529411764</v>
      </c>
      <c r="O56">
        <f>IFERROR(INDEX(TEAM_ANALYSIS!$Z:$Z,MATCH($F56,TEAM_ANALYSIS!$A:$A,0)),1)</f>
        <v>1.3235294117647058</v>
      </c>
      <c r="P56">
        <f>MAX(0.05,AVERAGE(TEAM_ANALYSIS!$W$2:$W$21)*L56*O56)</f>
        <v>2.7297794117647056</v>
      </c>
      <c r="Q56">
        <f>MAX(0.05,AVERAGE(TEAM_ANALYSIS!$W$2:$W$21)*N56*M56)</f>
        <v>2.9724264705882351</v>
      </c>
      <c r="R56" s="23">
        <f>MAX(0.8,MIN(1.2,P56/AVERAGE(TEAM_ANALYSIS!$W$2:$W$21)))</f>
        <v>1.2</v>
      </c>
      <c r="S56">
        <f>MAX(0.8,MIN(1.2,AVERAGE(TEAM_ANALYSIS!$W$2:$W$21)/Q56))</f>
        <v>0.8</v>
      </c>
      <c r="T56">
        <f>AVERAGE(R56,S56)</f>
        <v>1</v>
      </c>
    </row>
    <row r="57" spans="1:20" x14ac:dyDescent="0.25">
      <c r="A57">
        <v>3</v>
      </c>
      <c r="B57" t="b">
        <v>1</v>
      </c>
      <c r="C57" s="6">
        <v>46270.625</v>
      </c>
      <c r="D57" t="b">
        <v>1</v>
      </c>
      <c r="E57">
        <v>7</v>
      </c>
      <c r="F57">
        <v>15</v>
      </c>
      <c r="G57">
        <v>5</v>
      </c>
      <c r="H57" t="s">
        <v>1111</v>
      </c>
      <c r="I57" t="s">
        <v>1080</v>
      </c>
      <c r="J57" t="s">
        <v>1096</v>
      </c>
      <c r="K57" t="str">
        <f>tblTeamFixtures[[#This Row],[Team_name]]&amp;"_"&amp;tblTeamFixtures[[#This Row],[GW]]</f>
        <v>COV_3</v>
      </c>
      <c r="L57">
        <f>IFERROR(INDEX(TEAM_ANALYSIS!$Y:$Y,MATCH($E57,TEAM_ANALYSIS!$A:$A,0)),1)</f>
        <v>0.5</v>
      </c>
      <c r="M57">
        <f>IFERROR(INDEX(TEAM_ANALYSIS!$Z:$Z,MATCH($E57,TEAM_ANALYSIS!$A:$A,0)),1)</f>
        <v>1.088235294117647</v>
      </c>
      <c r="N57">
        <f>IFERROR(INDEX(TEAM_ANALYSIS!$Y:$Y,MATCH($F57,TEAM_ANALYSIS!$A:$A,0)),1)</f>
        <v>1.3235294117647058</v>
      </c>
      <c r="O57">
        <f>IFERROR(INDEX(TEAM_ANALYSIS!$Z:$Z,MATCH($F57,TEAM_ANALYSIS!$A:$A,0)),1)</f>
        <v>0.73529411764705888</v>
      </c>
      <c r="P57">
        <f>MAX(0.05,AVERAGE(TEAM_ANALYSIS!$W$2:$W$21)*L57*O57)</f>
        <v>0.78125</v>
      </c>
      <c r="Q57">
        <f>MAX(0.05,AVERAGE(TEAM_ANALYSIS!$W$2:$W$21)*N57*M57)</f>
        <v>3.0606617647058822</v>
      </c>
      <c r="R57" s="23">
        <f>MAX(0.8,MIN(1.2,P57/AVERAGE(TEAM_ANALYSIS!$W$2:$W$21)))</f>
        <v>0.8</v>
      </c>
      <c r="S57">
        <f>MAX(0.8,MIN(1.2,AVERAGE(TEAM_ANALYSIS!$W$2:$W$21)/Q57))</f>
        <v>0.8</v>
      </c>
      <c r="T57">
        <f>AVERAGE(R57,S57)</f>
        <v>0.8</v>
      </c>
    </row>
    <row r="58" spans="1:20" x14ac:dyDescent="0.25">
      <c r="A58">
        <v>3</v>
      </c>
      <c r="B58" t="b">
        <v>1</v>
      </c>
      <c r="C58" s="6">
        <v>46270.625</v>
      </c>
      <c r="D58" t="b">
        <v>1</v>
      </c>
      <c r="E58">
        <v>19</v>
      </c>
      <c r="F58">
        <v>18</v>
      </c>
      <c r="G58">
        <v>3</v>
      </c>
      <c r="H58" t="s">
        <v>1111</v>
      </c>
      <c r="I58" t="s">
        <v>1104</v>
      </c>
      <c r="J58" t="s">
        <v>1102</v>
      </c>
      <c r="K58" t="str">
        <f>tblTeamFixtures[[#This Row],[Team_name]]&amp;"_"&amp;tblTeamFixtures[[#This Row],[GW]]</f>
        <v>TOT_3</v>
      </c>
      <c r="L58">
        <f>IFERROR(INDEX(TEAM_ANALYSIS!$Y:$Y,MATCH($E58,TEAM_ANALYSIS!$A:$A,0)),1)</f>
        <v>0.5</v>
      </c>
      <c r="M58">
        <f>IFERROR(INDEX(TEAM_ANALYSIS!$Z:$Z,MATCH($E58,TEAM_ANALYSIS!$A:$A,0)),1)</f>
        <v>1.088235294117647</v>
      </c>
      <c r="N58">
        <f>IFERROR(INDEX(TEAM_ANALYSIS!$Y:$Y,MATCH($F58,TEAM_ANALYSIS!$A:$A,0)),1)</f>
        <v>0.73529411764705888</v>
      </c>
      <c r="O58">
        <f>IFERROR(INDEX(TEAM_ANALYSIS!$Z:$Z,MATCH($F58,TEAM_ANALYSIS!$A:$A,0)),1)</f>
        <v>0.8529411764705882</v>
      </c>
      <c r="P58">
        <f>MAX(0.05,AVERAGE(TEAM_ANALYSIS!$W$2:$W$21)*L58*O58)</f>
        <v>0.90625</v>
      </c>
      <c r="Q58">
        <f>MAX(0.05,AVERAGE(TEAM_ANALYSIS!$W$2:$W$21)*N58*M58)</f>
        <v>1.7003676470588234</v>
      </c>
      <c r="R58" s="23">
        <f>MAX(0.8,MIN(1.2,P58/AVERAGE(TEAM_ANALYSIS!$W$2:$W$21)))</f>
        <v>0.8</v>
      </c>
      <c r="S58">
        <f>MAX(0.8,MIN(1.2,AVERAGE(TEAM_ANALYSIS!$W$2:$W$21)/Q58))</f>
        <v>1.2</v>
      </c>
      <c r="T58">
        <f>AVERAGE(R58,S58)</f>
        <v>1</v>
      </c>
    </row>
    <row r="59" spans="1:20" x14ac:dyDescent="0.25">
      <c r="A59">
        <v>3</v>
      </c>
      <c r="B59" t="b">
        <v>1</v>
      </c>
      <c r="C59" s="6">
        <v>46270.729166666664</v>
      </c>
      <c r="D59" t="b">
        <v>1</v>
      </c>
      <c r="E59">
        <v>2</v>
      </c>
      <c r="F59">
        <v>11</v>
      </c>
      <c r="G59">
        <v>2</v>
      </c>
      <c r="H59" t="s">
        <v>1111</v>
      </c>
      <c r="I59" t="s">
        <v>1070</v>
      </c>
      <c r="J59" t="s">
        <v>1088</v>
      </c>
      <c r="K59" t="str">
        <f>tblTeamFixtures[[#This Row],[Team_name]]&amp;"_"&amp;tblTeamFixtures[[#This Row],[GW]]</f>
        <v>AVL_3</v>
      </c>
      <c r="L59">
        <f>IFERROR(INDEX(TEAM_ANALYSIS!$Y:$Y,MATCH($E59,TEAM_ANALYSIS!$A:$A,0)),1)</f>
        <v>0.5</v>
      </c>
      <c r="M59">
        <f>IFERROR(INDEX(TEAM_ANALYSIS!$Z:$Z,MATCH($E59,TEAM_ANALYSIS!$A:$A,0)),1)</f>
        <v>1.088235294117647</v>
      </c>
      <c r="N59">
        <f>IFERROR(INDEX(TEAM_ANALYSIS!$Y:$Y,MATCH($F59,TEAM_ANALYSIS!$A:$A,0)),1)</f>
        <v>0.8529411764705882</v>
      </c>
      <c r="O59">
        <f>IFERROR(INDEX(TEAM_ANALYSIS!$Z:$Z,MATCH($F59,TEAM_ANALYSIS!$A:$A,0)),1)</f>
        <v>0.5</v>
      </c>
      <c r="P59">
        <f>MAX(0.05,AVERAGE(TEAM_ANALYSIS!$W$2:$W$21)*L59*O59)</f>
        <v>0.53125</v>
      </c>
      <c r="Q59">
        <f>MAX(0.05,AVERAGE(TEAM_ANALYSIS!$W$2:$W$21)*N59*M59)</f>
        <v>1.9724264705882351</v>
      </c>
      <c r="R59" s="23">
        <f>MAX(0.8,MIN(1.2,P59/AVERAGE(TEAM_ANALYSIS!$W$2:$W$21)))</f>
        <v>0.8</v>
      </c>
      <c r="S59">
        <f>MAX(0.8,MIN(1.2,AVERAGE(TEAM_ANALYSIS!$W$2:$W$21)/Q59))</f>
        <v>1.07735321528425</v>
      </c>
      <c r="T59">
        <f>AVERAGE(R59,S59)</f>
        <v>0.93867660764212502</v>
      </c>
    </row>
    <row r="60" spans="1:20" x14ac:dyDescent="0.25">
      <c r="A60">
        <v>3</v>
      </c>
      <c r="B60" t="b">
        <v>1</v>
      </c>
      <c r="C60" s="6">
        <v>46271.583333333336</v>
      </c>
      <c r="D60" t="b">
        <v>1</v>
      </c>
      <c r="E60">
        <v>16</v>
      </c>
      <c r="F60">
        <v>9</v>
      </c>
      <c r="G60">
        <v>3</v>
      </c>
      <c r="H60" t="s">
        <v>1111</v>
      </c>
      <c r="I60" t="s">
        <v>1098</v>
      </c>
      <c r="J60" t="s">
        <v>1084</v>
      </c>
      <c r="K60" t="str">
        <f>tblTeamFixtures[[#This Row],[Team_name]]&amp;"_"&amp;tblTeamFixtures[[#This Row],[GW]]</f>
        <v>MUN_3</v>
      </c>
      <c r="L60">
        <f>IFERROR(INDEX(TEAM_ANALYSIS!$Y:$Y,MATCH($E60,TEAM_ANALYSIS!$A:$A,0)),1)</f>
        <v>1.3235294117647058</v>
      </c>
      <c r="M60">
        <f>IFERROR(INDEX(TEAM_ANALYSIS!$Z:$Z,MATCH($E60,TEAM_ANALYSIS!$A:$A,0)),1)</f>
        <v>1.2058823529411764</v>
      </c>
      <c r="N60">
        <f>IFERROR(INDEX(TEAM_ANALYSIS!$Y:$Y,MATCH($F60,TEAM_ANALYSIS!$A:$A,0)),1)</f>
        <v>1.088235294117647</v>
      </c>
      <c r="O60">
        <f>IFERROR(INDEX(TEAM_ANALYSIS!$Z:$Z,MATCH($F60,TEAM_ANALYSIS!$A:$A,0)),1)</f>
        <v>0.8529411764705882</v>
      </c>
      <c r="P60">
        <f>MAX(0.05,AVERAGE(TEAM_ANALYSIS!$W$2:$W$21)*L60*O60)</f>
        <v>2.3988970588235294</v>
      </c>
      <c r="Q60">
        <f>MAX(0.05,AVERAGE(TEAM_ANALYSIS!$W$2:$W$21)*N60*M60)</f>
        <v>2.7886029411764706</v>
      </c>
      <c r="R60" s="23">
        <f>MAX(0.8,MIN(1.2,P60/AVERAGE(TEAM_ANALYSIS!$W$2:$W$21)))</f>
        <v>1.1288927335640138</v>
      </c>
      <c r="S60">
        <f>MAX(0.8,MIN(1.2,AVERAGE(TEAM_ANALYSIS!$W$2:$W$21)/Q60))</f>
        <v>0.8</v>
      </c>
      <c r="T60">
        <f>AVERAGE(R60,S60)</f>
        <v>0.9644463667820069</v>
      </c>
    </row>
    <row r="61" spans="1:20" x14ac:dyDescent="0.25">
      <c r="A61">
        <v>3</v>
      </c>
      <c r="B61" t="b">
        <v>1</v>
      </c>
      <c r="C61" s="6">
        <v>46271.6875</v>
      </c>
      <c r="D61" t="b">
        <v>1</v>
      </c>
      <c r="E61">
        <v>6</v>
      </c>
      <c r="F61">
        <v>1</v>
      </c>
      <c r="G61">
        <v>5</v>
      </c>
      <c r="H61" t="s">
        <v>1111</v>
      </c>
      <c r="I61" t="s">
        <v>1078</v>
      </c>
      <c r="J61" t="s">
        <v>1068</v>
      </c>
      <c r="K61" t="str">
        <f>tblTeamFixtures[[#This Row],[Team_name]]&amp;"_"&amp;tblTeamFixtures[[#This Row],[GW]]</f>
        <v>CHE_3</v>
      </c>
      <c r="L61">
        <f>IFERROR(INDEX(TEAM_ANALYSIS!$Y:$Y,MATCH($E61,TEAM_ANALYSIS!$A:$A,0)),1)</f>
        <v>1.4411764705882353</v>
      </c>
      <c r="M61">
        <f>IFERROR(INDEX(TEAM_ANALYSIS!$Z:$Z,MATCH($E61,TEAM_ANALYSIS!$A:$A,0)),1)</f>
        <v>1.3235294117647058</v>
      </c>
      <c r="N61">
        <f>IFERROR(INDEX(TEAM_ANALYSIS!$Y:$Y,MATCH($F61,TEAM_ANALYSIS!$A:$A,0)),1)</f>
        <v>1.2058823529411764</v>
      </c>
      <c r="O61">
        <f>IFERROR(INDEX(TEAM_ANALYSIS!$Z:$Z,MATCH($F61,TEAM_ANALYSIS!$A:$A,0)),1)</f>
        <v>0.61764705882352944</v>
      </c>
      <c r="P61">
        <f>MAX(0.05,AVERAGE(TEAM_ANALYSIS!$W$2:$W$21)*L61*O61)</f>
        <v>1.8915441176470589</v>
      </c>
      <c r="Q61">
        <f>MAX(0.05,AVERAGE(TEAM_ANALYSIS!$W$2:$W$21)*N61*M61)</f>
        <v>3.3915441176470589</v>
      </c>
      <c r="R61" s="23">
        <f>MAX(0.8,MIN(1.2,P61/AVERAGE(TEAM_ANALYSIS!$W$2:$W$21)))</f>
        <v>0.89013840830449831</v>
      </c>
      <c r="S61">
        <f>MAX(0.8,MIN(1.2,AVERAGE(TEAM_ANALYSIS!$W$2:$W$21)/Q61))</f>
        <v>0.8</v>
      </c>
      <c r="T61">
        <f>AVERAGE(R61,S61)</f>
        <v>0.84506920415224918</v>
      </c>
    </row>
    <row r="62" spans="1:20" x14ac:dyDescent="0.25">
      <c r="A62">
        <v>4</v>
      </c>
      <c r="B62" t="b">
        <v>0</v>
      </c>
      <c r="C62" s="6">
        <v>46277.625</v>
      </c>
      <c r="D62" t="b">
        <v>0</v>
      </c>
      <c r="E62">
        <v>2</v>
      </c>
      <c r="F62">
        <v>18</v>
      </c>
      <c r="G62">
        <v>3</v>
      </c>
      <c r="H62" t="s">
        <v>1110</v>
      </c>
      <c r="I62" t="s">
        <v>1070</v>
      </c>
      <c r="J62" t="s">
        <v>1102</v>
      </c>
      <c r="K62" t="str">
        <f>tblTeamFixtures[[#This Row],[Team_name]]&amp;"_"&amp;tblTeamFixtures[[#This Row],[GW]]</f>
        <v>AVL_4</v>
      </c>
      <c r="L62">
        <f>IFERROR(INDEX(TEAM_ANALYSIS!$Y:$Y,MATCH($E62,TEAM_ANALYSIS!$A:$A,0)),1)</f>
        <v>0.5</v>
      </c>
      <c r="M62">
        <f>IFERROR(INDEX(TEAM_ANALYSIS!$Z:$Z,MATCH($E62,TEAM_ANALYSIS!$A:$A,0)),1)</f>
        <v>1.088235294117647</v>
      </c>
      <c r="N62">
        <f>IFERROR(INDEX(TEAM_ANALYSIS!$Y:$Y,MATCH($F62,TEAM_ANALYSIS!$A:$A,0)),1)</f>
        <v>0.73529411764705888</v>
      </c>
      <c r="O62">
        <f>IFERROR(INDEX(TEAM_ANALYSIS!$Z:$Z,MATCH($F62,TEAM_ANALYSIS!$A:$A,0)),1)</f>
        <v>0.8529411764705882</v>
      </c>
      <c r="P62">
        <f>MAX(0.05,AVERAGE(TEAM_ANALYSIS!$W$2:$W$21)*L62*O62)</f>
        <v>0.90625</v>
      </c>
      <c r="Q62">
        <f>MAX(0.05,AVERAGE(TEAM_ANALYSIS!$W$2:$W$21)*N62*M62)</f>
        <v>1.7003676470588234</v>
      </c>
      <c r="R62" s="23">
        <f>MAX(0.8,MIN(1.2,P62/AVERAGE(TEAM_ANALYSIS!$W$2:$W$21)))</f>
        <v>0.8</v>
      </c>
      <c r="S62">
        <f>MAX(0.8,MIN(1.2,AVERAGE(TEAM_ANALYSIS!$W$2:$W$21)/Q62))</f>
        <v>1.2</v>
      </c>
      <c r="T62">
        <f>AVERAGE(R62,S62)</f>
        <v>1</v>
      </c>
    </row>
    <row r="63" spans="1:20" x14ac:dyDescent="0.25">
      <c r="A63">
        <v>4</v>
      </c>
      <c r="B63" t="b">
        <v>0</v>
      </c>
      <c r="C63" s="6">
        <v>46277.625</v>
      </c>
      <c r="D63" t="b">
        <v>0</v>
      </c>
      <c r="E63">
        <v>3</v>
      </c>
      <c r="F63">
        <v>4</v>
      </c>
      <c r="G63">
        <v>3</v>
      </c>
      <c r="H63" t="s">
        <v>1110</v>
      </c>
      <c r="I63" t="s">
        <v>1072</v>
      </c>
      <c r="J63" t="s">
        <v>1074</v>
      </c>
      <c r="K63" t="str">
        <f>tblTeamFixtures[[#This Row],[Team_name]]&amp;"_"&amp;tblTeamFixtures[[#This Row],[GW]]</f>
        <v>BOU_4</v>
      </c>
      <c r="L63">
        <f>IFERROR(INDEX(TEAM_ANALYSIS!$Y:$Y,MATCH($E63,TEAM_ANALYSIS!$A:$A,0)),1)</f>
        <v>0.97058823529411764</v>
      </c>
      <c r="M63">
        <f>IFERROR(INDEX(TEAM_ANALYSIS!$Z:$Z,MATCH($E63,TEAM_ANALYSIS!$A:$A,0)),1)</f>
        <v>1.088235294117647</v>
      </c>
      <c r="N63">
        <f>IFERROR(INDEX(TEAM_ANALYSIS!$Y:$Y,MATCH($F63,TEAM_ANALYSIS!$A:$A,0)),1)</f>
        <v>1.088235294117647</v>
      </c>
      <c r="O63">
        <f>IFERROR(INDEX(TEAM_ANALYSIS!$Z:$Z,MATCH($F63,TEAM_ANALYSIS!$A:$A,0)),1)</f>
        <v>0.73529411764705888</v>
      </c>
      <c r="P63">
        <f>MAX(0.05,AVERAGE(TEAM_ANALYSIS!$W$2:$W$21)*L63*O63)</f>
        <v>1.5165441176470589</v>
      </c>
      <c r="Q63">
        <f>MAX(0.05,AVERAGE(TEAM_ANALYSIS!$W$2:$W$21)*N63*M63)</f>
        <v>2.5165441176470584</v>
      </c>
      <c r="R63" s="23">
        <f>MAX(0.8,MIN(1.2,P63/AVERAGE(TEAM_ANALYSIS!$W$2:$W$21)))</f>
        <v>0.8</v>
      </c>
      <c r="S63">
        <f>MAX(0.8,MIN(1.2,AVERAGE(TEAM_ANALYSIS!$W$2:$W$21)/Q63))</f>
        <v>0.84441197954711478</v>
      </c>
      <c r="T63">
        <f>AVERAGE(R63,S63)</f>
        <v>0.82220598977355741</v>
      </c>
    </row>
    <row r="64" spans="1:20" x14ac:dyDescent="0.25">
      <c r="A64">
        <v>4</v>
      </c>
      <c r="B64" t="b">
        <v>0</v>
      </c>
      <c r="C64" s="6">
        <v>46277.625</v>
      </c>
      <c r="D64" t="b">
        <v>0</v>
      </c>
      <c r="E64">
        <v>6</v>
      </c>
      <c r="F64">
        <v>11</v>
      </c>
      <c r="G64">
        <v>2</v>
      </c>
      <c r="H64" t="s">
        <v>1110</v>
      </c>
      <c r="I64" t="s">
        <v>1078</v>
      </c>
      <c r="J64" t="s">
        <v>1088</v>
      </c>
      <c r="K64" t="str">
        <f>tblTeamFixtures[[#This Row],[Team_name]]&amp;"_"&amp;tblTeamFixtures[[#This Row],[GW]]</f>
        <v>CHE_4</v>
      </c>
      <c r="L64">
        <f>IFERROR(INDEX(TEAM_ANALYSIS!$Y:$Y,MATCH($E64,TEAM_ANALYSIS!$A:$A,0)),1)</f>
        <v>1.4411764705882353</v>
      </c>
      <c r="M64">
        <f>IFERROR(INDEX(TEAM_ANALYSIS!$Z:$Z,MATCH($E64,TEAM_ANALYSIS!$A:$A,0)),1)</f>
        <v>1.3235294117647058</v>
      </c>
      <c r="N64">
        <f>IFERROR(INDEX(TEAM_ANALYSIS!$Y:$Y,MATCH($F64,TEAM_ANALYSIS!$A:$A,0)),1)</f>
        <v>0.8529411764705882</v>
      </c>
      <c r="O64">
        <f>IFERROR(INDEX(TEAM_ANALYSIS!$Z:$Z,MATCH($F64,TEAM_ANALYSIS!$A:$A,0)),1)</f>
        <v>0.5</v>
      </c>
      <c r="P64">
        <f>MAX(0.05,AVERAGE(TEAM_ANALYSIS!$W$2:$W$21)*L64*O64)</f>
        <v>1.53125</v>
      </c>
      <c r="Q64">
        <f>MAX(0.05,AVERAGE(TEAM_ANALYSIS!$W$2:$W$21)*N64*M64)</f>
        <v>2.3988970588235294</v>
      </c>
      <c r="R64" s="23">
        <f>MAX(0.8,MIN(1.2,P64/AVERAGE(TEAM_ANALYSIS!$W$2:$W$21)))</f>
        <v>0.8</v>
      </c>
      <c r="S64">
        <f>MAX(0.8,MIN(1.2,AVERAGE(TEAM_ANALYSIS!$W$2:$W$21)/Q64))</f>
        <v>0.885823754789272</v>
      </c>
      <c r="T64">
        <f>AVERAGE(R64,S64)</f>
        <v>0.84291187739463602</v>
      </c>
    </row>
    <row r="65" spans="1:20" x14ac:dyDescent="0.25">
      <c r="A65">
        <v>4</v>
      </c>
      <c r="B65" t="b">
        <v>0</v>
      </c>
      <c r="C65" s="6">
        <v>46277.625</v>
      </c>
      <c r="D65" t="b">
        <v>0</v>
      </c>
      <c r="E65">
        <v>8</v>
      </c>
      <c r="F65">
        <v>12</v>
      </c>
      <c r="G65">
        <v>2</v>
      </c>
      <c r="H65" t="s">
        <v>1110</v>
      </c>
      <c r="I65" t="s">
        <v>1082</v>
      </c>
      <c r="J65" t="s">
        <v>1090</v>
      </c>
      <c r="K65" t="str">
        <f>tblTeamFixtures[[#This Row],[Team_name]]&amp;"_"&amp;tblTeamFixtures[[#This Row],[GW]]</f>
        <v>CRY_4</v>
      </c>
      <c r="L65">
        <f>IFERROR(INDEX(TEAM_ANALYSIS!$Y:$Y,MATCH($E65,TEAM_ANALYSIS!$A:$A,0)),1)</f>
        <v>0.97058823529411764</v>
      </c>
      <c r="M65">
        <f>IFERROR(INDEX(TEAM_ANALYSIS!$Z:$Z,MATCH($E65,TEAM_ANALYSIS!$A:$A,0)),1)</f>
        <v>1.4411764705882353</v>
      </c>
      <c r="N65">
        <f>IFERROR(INDEX(TEAM_ANALYSIS!$Y:$Y,MATCH($F65,TEAM_ANALYSIS!$A:$A,0)),1)</f>
        <v>0.97058823529411764</v>
      </c>
      <c r="O65">
        <f>IFERROR(INDEX(TEAM_ANALYSIS!$Z:$Z,MATCH($F65,TEAM_ANALYSIS!$A:$A,0)),1)</f>
        <v>1.4411764705882353</v>
      </c>
      <c r="P65">
        <f>MAX(0.05,AVERAGE(TEAM_ANALYSIS!$W$2:$W$21)*L65*O65)</f>
        <v>2.9724264705882351</v>
      </c>
      <c r="Q65">
        <f>MAX(0.05,AVERAGE(TEAM_ANALYSIS!$W$2:$W$21)*N65*M65)</f>
        <v>2.9724264705882351</v>
      </c>
      <c r="R65" s="23">
        <f>MAX(0.8,MIN(1.2,P65/AVERAGE(TEAM_ANALYSIS!$W$2:$W$21)))</f>
        <v>1.2</v>
      </c>
      <c r="S65">
        <f>MAX(0.8,MIN(1.2,AVERAGE(TEAM_ANALYSIS!$W$2:$W$21)/Q65))</f>
        <v>0.8</v>
      </c>
      <c r="T65">
        <f>AVERAGE(R65,S65)</f>
        <v>1</v>
      </c>
    </row>
    <row r="66" spans="1:20" x14ac:dyDescent="0.25">
      <c r="A66">
        <v>4</v>
      </c>
      <c r="B66" t="b">
        <v>0</v>
      </c>
      <c r="C66" s="6">
        <v>46277.625</v>
      </c>
      <c r="D66" t="b">
        <v>0</v>
      </c>
      <c r="E66">
        <v>14</v>
      </c>
      <c r="F66">
        <v>10</v>
      </c>
      <c r="G66">
        <v>2</v>
      </c>
      <c r="H66" t="s">
        <v>1110</v>
      </c>
      <c r="I66" t="s">
        <v>1094</v>
      </c>
      <c r="J66" t="s">
        <v>1086</v>
      </c>
      <c r="K66" t="str">
        <f>tblTeamFixtures[[#This Row],[Team_name]]&amp;"_"&amp;tblTeamFixtures[[#This Row],[GW]]</f>
        <v>LIV_4</v>
      </c>
      <c r="L66">
        <f>IFERROR(INDEX(TEAM_ANALYSIS!$Y:$Y,MATCH($E66,TEAM_ANALYSIS!$A:$A,0)),1)</f>
        <v>1.2058823529411764</v>
      </c>
      <c r="M66">
        <f>IFERROR(INDEX(TEAM_ANALYSIS!$Z:$Z,MATCH($E66,TEAM_ANALYSIS!$A:$A,0)),1)</f>
        <v>0.97058823529411764</v>
      </c>
      <c r="N66">
        <f>IFERROR(INDEX(TEAM_ANALYSIS!$Y:$Y,MATCH($F66,TEAM_ANALYSIS!$A:$A,0)),1)</f>
        <v>0.97058823529411764</v>
      </c>
      <c r="O66">
        <f>IFERROR(INDEX(TEAM_ANALYSIS!$Z:$Z,MATCH($F66,TEAM_ANALYSIS!$A:$A,0)),1)</f>
        <v>1.3235294117647058</v>
      </c>
      <c r="P66">
        <f>MAX(0.05,AVERAGE(TEAM_ANALYSIS!$W$2:$W$21)*L66*O66)</f>
        <v>3.3915441176470589</v>
      </c>
      <c r="Q66">
        <f>MAX(0.05,AVERAGE(TEAM_ANALYSIS!$W$2:$W$21)*N66*M66)</f>
        <v>2.0018382352941178</v>
      </c>
      <c r="R66" s="23">
        <f>MAX(0.8,MIN(1.2,P66/AVERAGE(TEAM_ANALYSIS!$W$2:$W$21)))</f>
        <v>1.2</v>
      </c>
      <c r="S66">
        <f>MAX(0.8,MIN(1.2,AVERAGE(TEAM_ANALYSIS!$W$2:$W$21)/Q66))</f>
        <v>1.061524334251607</v>
      </c>
      <c r="T66">
        <f>AVERAGE(R66,S66)</f>
        <v>1.1307621671258035</v>
      </c>
    </row>
    <row r="67" spans="1:20" x14ac:dyDescent="0.25">
      <c r="A67">
        <v>4</v>
      </c>
      <c r="B67" t="b">
        <v>0</v>
      </c>
      <c r="C67" s="6">
        <v>46277.729166666664</v>
      </c>
      <c r="D67" t="b">
        <v>0</v>
      </c>
      <c r="E67">
        <v>19</v>
      </c>
      <c r="F67">
        <v>9</v>
      </c>
      <c r="G67">
        <v>3</v>
      </c>
      <c r="H67" t="s">
        <v>1110</v>
      </c>
      <c r="I67" t="s">
        <v>1104</v>
      </c>
      <c r="J67" t="s">
        <v>1084</v>
      </c>
      <c r="K67" t="str">
        <f>tblTeamFixtures[[#This Row],[Team_name]]&amp;"_"&amp;tblTeamFixtures[[#This Row],[GW]]</f>
        <v>TOT_4</v>
      </c>
      <c r="L67">
        <f>IFERROR(INDEX(TEAM_ANALYSIS!$Y:$Y,MATCH($E67,TEAM_ANALYSIS!$A:$A,0)),1)</f>
        <v>0.5</v>
      </c>
      <c r="M67">
        <f>IFERROR(INDEX(TEAM_ANALYSIS!$Z:$Z,MATCH($E67,TEAM_ANALYSIS!$A:$A,0)),1)</f>
        <v>1.088235294117647</v>
      </c>
      <c r="N67">
        <f>IFERROR(INDEX(TEAM_ANALYSIS!$Y:$Y,MATCH($F67,TEAM_ANALYSIS!$A:$A,0)),1)</f>
        <v>1.088235294117647</v>
      </c>
      <c r="O67">
        <f>IFERROR(INDEX(TEAM_ANALYSIS!$Z:$Z,MATCH($F67,TEAM_ANALYSIS!$A:$A,0)),1)</f>
        <v>0.8529411764705882</v>
      </c>
      <c r="P67">
        <f>MAX(0.05,AVERAGE(TEAM_ANALYSIS!$W$2:$W$21)*L67*O67)</f>
        <v>0.90625</v>
      </c>
      <c r="Q67">
        <f>MAX(0.05,AVERAGE(TEAM_ANALYSIS!$W$2:$W$21)*N67*M67)</f>
        <v>2.5165441176470584</v>
      </c>
      <c r="R67" s="23">
        <f>MAX(0.8,MIN(1.2,P67/AVERAGE(TEAM_ANALYSIS!$W$2:$W$21)))</f>
        <v>0.8</v>
      </c>
      <c r="S67">
        <f>MAX(0.8,MIN(1.2,AVERAGE(TEAM_ANALYSIS!$W$2:$W$21)/Q67))</f>
        <v>0.84441197954711478</v>
      </c>
      <c r="T67">
        <f>AVERAGE(R67,S67)</f>
        <v>0.82220598977355741</v>
      </c>
    </row>
    <row r="68" spans="1:20" x14ac:dyDescent="0.25">
      <c r="A68">
        <v>4</v>
      </c>
      <c r="B68" t="b">
        <v>0</v>
      </c>
      <c r="C68" s="6">
        <v>46277.833333333336</v>
      </c>
      <c r="D68" t="b">
        <v>0</v>
      </c>
      <c r="E68">
        <v>20</v>
      </c>
      <c r="F68">
        <v>1</v>
      </c>
      <c r="G68">
        <v>4</v>
      </c>
      <c r="H68" t="s">
        <v>1110</v>
      </c>
      <c r="I68" t="s">
        <v>1106</v>
      </c>
      <c r="J68" t="s">
        <v>1068</v>
      </c>
      <c r="K68" t="str">
        <f>tblTeamFixtures[[#This Row],[Team_name]]&amp;"_"&amp;tblTeamFixtures[[#This Row],[GW]]</f>
        <v>SUN_4</v>
      </c>
      <c r="L68">
        <f>IFERROR(INDEX(TEAM_ANALYSIS!$Y:$Y,MATCH($E68,TEAM_ANALYSIS!$A:$A,0)),1)</f>
        <v>0.8529411764705882</v>
      </c>
      <c r="M68">
        <f>IFERROR(INDEX(TEAM_ANALYSIS!$Z:$Z,MATCH($E68,TEAM_ANALYSIS!$A:$A,0)),1)</f>
        <v>0.8529411764705882</v>
      </c>
      <c r="N68">
        <f>IFERROR(INDEX(TEAM_ANALYSIS!$Y:$Y,MATCH($F68,TEAM_ANALYSIS!$A:$A,0)),1)</f>
        <v>1.2058823529411764</v>
      </c>
      <c r="O68">
        <f>IFERROR(INDEX(TEAM_ANALYSIS!$Z:$Z,MATCH($F68,TEAM_ANALYSIS!$A:$A,0)),1)</f>
        <v>0.61764705882352944</v>
      </c>
      <c r="P68">
        <f>MAX(0.05,AVERAGE(TEAM_ANALYSIS!$W$2:$W$21)*L68*O68)</f>
        <v>1.1194852941176472</v>
      </c>
      <c r="Q68">
        <f>MAX(0.05,AVERAGE(TEAM_ANALYSIS!$W$2:$W$21)*N68*M68)</f>
        <v>2.1856617647058822</v>
      </c>
      <c r="R68" s="23">
        <f>MAX(0.8,MIN(1.2,P68/AVERAGE(TEAM_ANALYSIS!$W$2:$W$21)))</f>
        <v>0.8</v>
      </c>
      <c r="S68">
        <f>MAX(0.8,MIN(1.2,AVERAGE(TEAM_ANALYSIS!$W$2:$W$21)/Q68))</f>
        <v>0.9722455845248108</v>
      </c>
      <c r="T68">
        <f>AVERAGE(R68,S68)</f>
        <v>0.88612279226240542</v>
      </c>
    </row>
    <row r="69" spans="1:20" x14ac:dyDescent="0.25">
      <c r="A69">
        <v>4</v>
      </c>
      <c r="B69" t="b">
        <v>0</v>
      </c>
      <c r="C69" s="6">
        <v>46278.583333333336</v>
      </c>
      <c r="D69" t="b">
        <v>0</v>
      </c>
      <c r="E69">
        <v>7</v>
      </c>
      <c r="F69">
        <v>5</v>
      </c>
      <c r="G69">
        <v>2</v>
      </c>
      <c r="H69" t="s">
        <v>1110</v>
      </c>
      <c r="I69" t="s">
        <v>1080</v>
      </c>
      <c r="J69" t="s">
        <v>1076</v>
      </c>
      <c r="K69" t="str">
        <f>tblTeamFixtures[[#This Row],[Team_name]]&amp;"_"&amp;tblTeamFixtures[[#This Row],[GW]]</f>
        <v>COV_4</v>
      </c>
      <c r="L69">
        <f>IFERROR(INDEX(TEAM_ANALYSIS!$Y:$Y,MATCH($E69,TEAM_ANALYSIS!$A:$A,0)),1)</f>
        <v>0.5</v>
      </c>
      <c r="M69">
        <f>IFERROR(INDEX(TEAM_ANALYSIS!$Z:$Z,MATCH($E69,TEAM_ANALYSIS!$A:$A,0)),1)</f>
        <v>1.088235294117647</v>
      </c>
      <c r="N69">
        <f>IFERROR(INDEX(TEAM_ANALYSIS!$Y:$Y,MATCH($F69,TEAM_ANALYSIS!$A:$A,0)),1)</f>
        <v>1.4411764705882353</v>
      </c>
      <c r="O69">
        <f>IFERROR(INDEX(TEAM_ANALYSIS!$Z:$Z,MATCH($F69,TEAM_ANALYSIS!$A:$A,0)),1)</f>
        <v>1.088235294117647</v>
      </c>
      <c r="P69">
        <f>MAX(0.05,AVERAGE(TEAM_ANALYSIS!$W$2:$W$21)*L69*O69)</f>
        <v>1.15625</v>
      </c>
      <c r="Q69">
        <f>MAX(0.05,AVERAGE(TEAM_ANALYSIS!$W$2:$W$21)*N69*M69)</f>
        <v>3.3327205882352939</v>
      </c>
      <c r="R69" s="23">
        <f>MAX(0.8,MIN(1.2,P69/AVERAGE(TEAM_ANALYSIS!$W$2:$W$21)))</f>
        <v>0.8</v>
      </c>
      <c r="S69">
        <f>MAX(0.8,MIN(1.2,AVERAGE(TEAM_ANALYSIS!$W$2:$W$21)/Q69))</f>
        <v>0.8</v>
      </c>
      <c r="T69">
        <f>AVERAGE(R69,S69)</f>
        <v>0.8</v>
      </c>
    </row>
    <row r="70" spans="1:20" x14ac:dyDescent="0.25">
      <c r="A70">
        <v>4</v>
      </c>
      <c r="B70" t="b">
        <v>0</v>
      </c>
      <c r="C70" s="6">
        <v>46278.6875</v>
      </c>
      <c r="D70" t="b">
        <v>0</v>
      </c>
      <c r="E70">
        <v>16</v>
      </c>
      <c r="F70">
        <v>15</v>
      </c>
      <c r="G70">
        <v>4</v>
      </c>
      <c r="H70" t="s">
        <v>1110</v>
      </c>
      <c r="I70" t="s">
        <v>1098</v>
      </c>
      <c r="J70" t="s">
        <v>1096</v>
      </c>
      <c r="K70" t="str">
        <f>tblTeamFixtures[[#This Row],[Team_name]]&amp;"_"&amp;tblTeamFixtures[[#This Row],[GW]]</f>
        <v>MUN_4</v>
      </c>
      <c r="L70">
        <f>IFERROR(INDEX(TEAM_ANALYSIS!$Y:$Y,MATCH($E70,TEAM_ANALYSIS!$A:$A,0)),1)</f>
        <v>1.3235294117647058</v>
      </c>
      <c r="M70">
        <f>IFERROR(INDEX(TEAM_ANALYSIS!$Z:$Z,MATCH($E70,TEAM_ANALYSIS!$A:$A,0)),1)</f>
        <v>1.2058823529411764</v>
      </c>
      <c r="N70">
        <f>IFERROR(INDEX(TEAM_ANALYSIS!$Y:$Y,MATCH($F70,TEAM_ANALYSIS!$A:$A,0)),1)</f>
        <v>1.3235294117647058</v>
      </c>
      <c r="O70">
        <f>IFERROR(INDEX(TEAM_ANALYSIS!$Z:$Z,MATCH($F70,TEAM_ANALYSIS!$A:$A,0)),1)</f>
        <v>0.73529411764705888</v>
      </c>
      <c r="P70">
        <f>MAX(0.05,AVERAGE(TEAM_ANALYSIS!$W$2:$W$21)*L70*O70)</f>
        <v>2.0680147058823533</v>
      </c>
      <c r="Q70">
        <f>MAX(0.05,AVERAGE(TEAM_ANALYSIS!$W$2:$W$21)*N70*M70)</f>
        <v>3.3915441176470584</v>
      </c>
      <c r="R70" s="23">
        <f>MAX(0.8,MIN(1.2,P70/AVERAGE(TEAM_ANALYSIS!$W$2:$W$21)))</f>
        <v>0.97318339100346041</v>
      </c>
      <c r="S70">
        <f>MAX(0.8,MIN(1.2,AVERAGE(TEAM_ANALYSIS!$W$2:$W$21)/Q70))</f>
        <v>0.8</v>
      </c>
      <c r="T70">
        <f>AVERAGE(R70,S70)</f>
        <v>0.88659169550173023</v>
      </c>
    </row>
    <row r="71" spans="1:20" x14ac:dyDescent="0.25">
      <c r="A71">
        <v>4</v>
      </c>
      <c r="B71" t="b">
        <v>0</v>
      </c>
      <c r="C71" s="6">
        <v>46279.833333333336</v>
      </c>
      <c r="D71" t="b">
        <v>0</v>
      </c>
      <c r="E71">
        <v>13</v>
      </c>
      <c r="F71">
        <v>17</v>
      </c>
      <c r="G71">
        <v>2</v>
      </c>
      <c r="H71" t="s">
        <v>1110</v>
      </c>
      <c r="I71" t="s">
        <v>1092</v>
      </c>
      <c r="J71" t="s">
        <v>1100</v>
      </c>
      <c r="K71" t="str">
        <f>tblTeamFixtures[[#This Row],[Team_name]]&amp;"_"&amp;tblTeamFixtures[[#This Row],[GW]]</f>
        <v>LEE_4</v>
      </c>
      <c r="L71">
        <f>IFERROR(INDEX(TEAM_ANALYSIS!$Y:$Y,MATCH($E71,TEAM_ANALYSIS!$A:$A,0)),1)</f>
        <v>0.8529411764705882</v>
      </c>
      <c r="M71">
        <f>IFERROR(INDEX(TEAM_ANALYSIS!$Z:$Z,MATCH($E71,TEAM_ANALYSIS!$A:$A,0)),1)</f>
        <v>0.73529411764705888</v>
      </c>
      <c r="N71">
        <f>IFERROR(INDEX(TEAM_ANALYSIS!$Y:$Y,MATCH($F71,TEAM_ANALYSIS!$A:$A,0)),1)</f>
        <v>1.2058823529411764</v>
      </c>
      <c r="O71">
        <f>IFERROR(INDEX(TEAM_ANALYSIS!$Z:$Z,MATCH($F71,TEAM_ANALYSIS!$A:$A,0)),1)</f>
        <v>0.97058823529411764</v>
      </c>
      <c r="P71">
        <f>MAX(0.05,AVERAGE(TEAM_ANALYSIS!$W$2:$W$21)*L71*O71)</f>
        <v>1.7591911764705883</v>
      </c>
      <c r="Q71">
        <f>MAX(0.05,AVERAGE(TEAM_ANALYSIS!$W$2:$W$21)*N71*M71)</f>
        <v>1.8841911764705883</v>
      </c>
      <c r="R71" s="23">
        <f>MAX(0.8,MIN(1.2,P71/AVERAGE(TEAM_ANALYSIS!$W$2:$W$21)))</f>
        <v>0.8278546712802769</v>
      </c>
      <c r="S71">
        <f>MAX(0.8,MIN(1.2,AVERAGE(TEAM_ANALYSIS!$W$2:$W$21)/Q71))</f>
        <v>1.1278048780487804</v>
      </c>
      <c r="T71">
        <f>AVERAGE(R71,S71)</f>
        <v>0.97782977466452858</v>
      </c>
    </row>
    <row r="72" spans="1:20" x14ac:dyDescent="0.25">
      <c r="A72">
        <v>4</v>
      </c>
      <c r="B72" t="b">
        <v>0</v>
      </c>
      <c r="C72" s="6">
        <v>46277.625</v>
      </c>
      <c r="D72" t="b">
        <v>0</v>
      </c>
      <c r="E72">
        <v>18</v>
      </c>
      <c r="F72">
        <v>2</v>
      </c>
      <c r="G72">
        <v>4</v>
      </c>
      <c r="H72" t="s">
        <v>1111</v>
      </c>
      <c r="I72" t="s">
        <v>1102</v>
      </c>
      <c r="J72" t="s">
        <v>1070</v>
      </c>
      <c r="K72" t="str">
        <f>tblTeamFixtures[[#This Row],[Team_name]]&amp;"_"&amp;tblTeamFixtures[[#This Row],[GW]]</f>
        <v>NFO_4</v>
      </c>
      <c r="L72">
        <f>IFERROR(INDEX(TEAM_ANALYSIS!$Y:$Y,MATCH($E72,TEAM_ANALYSIS!$A:$A,0)),1)</f>
        <v>0.73529411764705888</v>
      </c>
      <c r="M72">
        <f>IFERROR(INDEX(TEAM_ANALYSIS!$Z:$Z,MATCH($E72,TEAM_ANALYSIS!$A:$A,0)),1)</f>
        <v>0.8529411764705882</v>
      </c>
      <c r="N72">
        <f>IFERROR(INDEX(TEAM_ANALYSIS!$Y:$Y,MATCH($F72,TEAM_ANALYSIS!$A:$A,0)),1)</f>
        <v>0.5</v>
      </c>
      <c r="O72">
        <f>IFERROR(INDEX(TEAM_ANALYSIS!$Z:$Z,MATCH($F72,TEAM_ANALYSIS!$A:$A,0)),1)</f>
        <v>1.088235294117647</v>
      </c>
      <c r="P72">
        <f>MAX(0.05,AVERAGE(TEAM_ANALYSIS!$W$2:$W$21)*L72*O72)</f>
        <v>1.7003676470588234</v>
      </c>
      <c r="Q72">
        <f>MAX(0.05,AVERAGE(TEAM_ANALYSIS!$W$2:$W$21)*N72*M72)</f>
        <v>0.90625</v>
      </c>
      <c r="R72" s="23">
        <f>MAX(0.8,MIN(1.2,P72/AVERAGE(TEAM_ANALYSIS!$W$2:$W$21)))</f>
        <v>0.80017301038062272</v>
      </c>
      <c r="S72">
        <f>MAX(0.8,MIN(1.2,AVERAGE(TEAM_ANALYSIS!$W$2:$W$21)/Q72))</f>
        <v>1.2</v>
      </c>
      <c r="T72">
        <f>AVERAGE(R72,S72)</f>
        <v>1.0000865051903114</v>
      </c>
    </row>
    <row r="73" spans="1:20" x14ac:dyDescent="0.25">
      <c r="A73">
        <v>4</v>
      </c>
      <c r="B73" t="b">
        <v>0</v>
      </c>
      <c r="C73" s="6">
        <v>46277.625</v>
      </c>
      <c r="D73" t="b">
        <v>0</v>
      </c>
      <c r="E73">
        <v>4</v>
      </c>
      <c r="F73">
        <v>3</v>
      </c>
      <c r="G73">
        <v>3</v>
      </c>
      <c r="H73" t="s">
        <v>1111</v>
      </c>
      <c r="I73" t="s">
        <v>1074</v>
      </c>
      <c r="J73" t="s">
        <v>1072</v>
      </c>
      <c r="K73" t="str">
        <f>tblTeamFixtures[[#This Row],[Team_name]]&amp;"_"&amp;tblTeamFixtures[[#This Row],[GW]]</f>
        <v>BRE_4</v>
      </c>
      <c r="L73">
        <f>IFERROR(INDEX(TEAM_ANALYSIS!$Y:$Y,MATCH($E73,TEAM_ANALYSIS!$A:$A,0)),1)</f>
        <v>1.088235294117647</v>
      </c>
      <c r="M73">
        <f>IFERROR(INDEX(TEAM_ANALYSIS!$Z:$Z,MATCH($E73,TEAM_ANALYSIS!$A:$A,0)),1)</f>
        <v>0.73529411764705888</v>
      </c>
      <c r="N73">
        <f>IFERROR(INDEX(TEAM_ANALYSIS!$Y:$Y,MATCH($F73,TEAM_ANALYSIS!$A:$A,0)),1)</f>
        <v>0.97058823529411764</v>
      </c>
      <c r="O73">
        <f>IFERROR(INDEX(TEAM_ANALYSIS!$Z:$Z,MATCH($F73,TEAM_ANALYSIS!$A:$A,0)),1)</f>
        <v>1.088235294117647</v>
      </c>
      <c r="P73">
        <f>MAX(0.05,AVERAGE(TEAM_ANALYSIS!$W$2:$W$21)*L73*O73)</f>
        <v>2.5165441176470584</v>
      </c>
      <c r="Q73">
        <f>MAX(0.05,AVERAGE(TEAM_ANALYSIS!$W$2:$W$21)*N73*M73)</f>
        <v>1.5165441176470589</v>
      </c>
      <c r="R73" s="23">
        <f>MAX(0.8,MIN(1.2,P73/AVERAGE(TEAM_ANALYSIS!$W$2:$W$21)))</f>
        <v>1.1842560553633217</v>
      </c>
      <c r="S73">
        <f>MAX(0.8,MIN(1.2,AVERAGE(TEAM_ANALYSIS!$W$2:$W$21)/Q73))</f>
        <v>1.2</v>
      </c>
      <c r="T73">
        <f>AVERAGE(R73,S73)</f>
        <v>1.1921280276816608</v>
      </c>
    </row>
    <row r="74" spans="1:20" x14ac:dyDescent="0.25">
      <c r="A74">
        <v>4</v>
      </c>
      <c r="B74" t="b">
        <v>0</v>
      </c>
      <c r="C74" s="6">
        <v>46277.625</v>
      </c>
      <c r="D74" t="b">
        <v>0</v>
      </c>
      <c r="E74">
        <v>11</v>
      </c>
      <c r="F74">
        <v>6</v>
      </c>
      <c r="G74">
        <v>4</v>
      </c>
      <c r="H74" t="s">
        <v>1111</v>
      </c>
      <c r="I74" t="s">
        <v>1088</v>
      </c>
      <c r="J74" t="s">
        <v>1078</v>
      </c>
      <c r="K74" t="str">
        <f>tblTeamFixtures[[#This Row],[Team_name]]&amp;"_"&amp;tblTeamFixtures[[#This Row],[GW]]</f>
        <v>HUL_4</v>
      </c>
      <c r="L74">
        <f>IFERROR(INDEX(TEAM_ANALYSIS!$Y:$Y,MATCH($E74,TEAM_ANALYSIS!$A:$A,0)),1)</f>
        <v>0.8529411764705882</v>
      </c>
      <c r="M74">
        <f>IFERROR(INDEX(TEAM_ANALYSIS!$Z:$Z,MATCH($E74,TEAM_ANALYSIS!$A:$A,0)),1)</f>
        <v>0.5</v>
      </c>
      <c r="N74">
        <f>IFERROR(INDEX(TEAM_ANALYSIS!$Y:$Y,MATCH($F74,TEAM_ANALYSIS!$A:$A,0)),1)</f>
        <v>1.4411764705882353</v>
      </c>
      <c r="O74">
        <f>IFERROR(INDEX(TEAM_ANALYSIS!$Z:$Z,MATCH($F74,TEAM_ANALYSIS!$A:$A,0)),1)</f>
        <v>1.3235294117647058</v>
      </c>
      <c r="P74">
        <f>MAX(0.05,AVERAGE(TEAM_ANALYSIS!$W$2:$W$21)*L74*O74)</f>
        <v>2.3988970588235294</v>
      </c>
      <c r="Q74">
        <f>MAX(0.05,AVERAGE(TEAM_ANALYSIS!$W$2:$W$21)*N74*M74)</f>
        <v>1.53125</v>
      </c>
      <c r="R74" s="23">
        <f>MAX(0.8,MIN(1.2,P74/AVERAGE(TEAM_ANALYSIS!$W$2:$W$21)))</f>
        <v>1.1288927335640138</v>
      </c>
      <c r="S74">
        <f>MAX(0.8,MIN(1.2,AVERAGE(TEAM_ANALYSIS!$W$2:$W$21)/Q74))</f>
        <v>1.2</v>
      </c>
      <c r="T74">
        <f>AVERAGE(R74,S74)</f>
        <v>1.1644463667820069</v>
      </c>
    </row>
    <row r="75" spans="1:20" x14ac:dyDescent="0.25">
      <c r="A75">
        <v>4</v>
      </c>
      <c r="B75" t="b">
        <v>0</v>
      </c>
      <c r="C75" s="6">
        <v>46277.625</v>
      </c>
      <c r="D75" t="b">
        <v>0</v>
      </c>
      <c r="E75">
        <v>12</v>
      </c>
      <c r="F75">
        <v>8</v>
      </c>
      <c r="G75">
        <v>3</v>
      </c>
      <c r="H75" t="s">
        <v>1111</v>
      </c>
      <c r="I75" t="s">
        <v>1090</v>
      </c>
      <c r="J75" t="s">
        <v>1082</v>
      </c>
      <c r="K75" t="str">
        <f>tblTeamFixtures[[#This Row],[Team_name]]&amp;"_"&amp;tblTeamFixtures[[#This Row],[GW]]</f>
        <v>IPS_4</v>
      </c>
      <c r="L75">
        <f>IFERROR(INDEX(TEAM_ANALYSIS!$Y:$Y,MATCH($E75,TEAM_ANALYSIS!$A:$A,0)),1)</f>
        <v>0.97058823529411764</v>
      </c>
      <c r="M75">
        <f>IFERROR(INDEX(TEAM_ANALYSIS!$Z:$Z,MATCH($E75,TEAM_ANALYSIS!$A:$A,0)),1)</f>
        <v>1.4411764705882353</v>
      </c>
      <c r="N75">
        <f>IFERROR(INDEX(TEAM_ANALYSIS!$Y:$Y,MATCH($F75,TEAM_ANALYSIS!$A:$A,0)),1)</f>
        <v>0.97058823529411764</v>
      </c>
      <c r="O75">
        <f>IFERROR(INDEX(TEAM_ANALYSIS!$Z:$Z,MATCH($F75,TEAM_ANALYSIS!$A:$A,0)),1)</f>
        <v>1.4411764705882353</v>
      </c>
      <c r="P75">
        <f>MAX(0.05,AVERAGE(TEAM_ANALYSIS!$W$2:$W$21)*L75*O75)</f>
        <v>2.9724264705882351</v>
      </c>
      <c r="Q75">
        <f>MAX(0.05,AVERAGE(TEAM_ANALYSIS!$W$2:$W$21)*N75*M75)</f>
        <v>2.9724264705882351</v>
      </c>
      <c r="R75" s="23">
        <f>MAX(0.8,MIN(1.2,P75/AVERAGE(TEAM_ANALYSIS!$W$2:$W$21)))</f>
        <v>1.2</v>
      </c>
      <c r="S75">
        <f>MAX(0.8,MIN(1.2,AVERAGE(TEAM_ANALYSIS!$W$2:$W$21)/Q75))</f>
        <v>0.8</v>
      </c>
      <c r="T75">
        <f>AVERAGE(R75,S75)</f>
        <v>1</v>
      </c>
    </row>
    <row r="76" spans="1:20" x14ac:dyDescent="0.25">
      <c r="A76">
        <v>4</v>
      </c>
      <c r="B76" t="b">
        <v>0</v>
      </c>
      <c r="C76" s="6">
        <v>46277.625</v>
      </c>
      <c r="D76" t="b">
        <v>0</v>
      </c>
      <c r="E76">
        <v>10</v>
      </c>
      <c r="F76">
        <v>14</v>
      </c>
      <c r="G76">
        <v>4</v>
      </c>
      <c r="H76" t="s">
        <v>1111</v>
      </c>
      <c r="I76" t="s">
        <v>1086</v>
      </c>
      <c r="J76" t="s">
        <v>1094</v>
      </c>
      <c r="K76" t="str">
        <f>tblTeamFixtures[[#This Row],[Team_name]]&amp;"_"&amp;tblTeamFixtures[[#This Row],[GW]]</f>
        <v>FUL_4</v>
      </c>
      <c r="L76">
        <f>IFERROR(INDEX(TEAM_ANALYSIS!$Y:$Y,MATCH($E76,TEAM_ANALYSIS!$A:$A,0)),1)</f>
        <v>0.97058823529411764</v>
      </c>
      <c r="M76">
        <f>IFERROR(INDEX(TEAM_ANALYSIS!$Z:$Z,MATCH($E76,TEAM_ANALYSIS!$A:$A,0)),1)</f>
        <v>1.3235294117647058</v>
      </c>
      <c r="N76">
        <f>IFERROR(INDEX(TEAM_ANALYSIS!$Y:$Y,MATCH($F76,TEAM_ANALYSIS!$A:$A,0)),1)</f>
        <v>1.2058823529411764</v>
      </c>
      <c r="O76">
        <f>IFERROR(INDEX(TEAM_ANALYSIS!$Z:$Z,MATCH($F76,TEAM_ANALYSIS!$A:$A,0)),1)</f>
        <v>0.97058823529411764</v>
      </c>
      <c r="P76">
        <f>MAX(0.05,AVERAGE(TEAM_ANALYSIS!$W$2:$W$21)*L76*O76)</f>
        <v>2.0018382352941178</v>
      </c>
      <c r="Q76">
        <f>MAX(0.05,AVERAGE(TEAM_ANALYSIS!$W$2:$W$21)*N76*M76)</f>
        <v>3.3915441176470589</v>
      </c>
      <c r="R76" s="23">
        <f>MAX(0.8,MIN(1.2,P76/AVERAGE(TEAM_ANALYSIS!$W$2:$W$21)))</f>
        <v>0.94204152249134954</v>
      </c>
      <c r="S76">
        <f>MAX(0.8,MIN(1.2,AVERAGE(TEAM_ANALYSIS!$W$2:$W$21)/Q76))</f>
        <v>0.8</v>
      </c>
      <c r="T76">
        <f>AVERAGE(R76,S76)</f>
        <v>0.87102076124567485</v>
      </c>
    </row>
    <row r="77" spans="1:20" x14ac:dyDescent="0.25">
      <c r="A77">
        <v>4</v>
      </c>
      <c r="B77" t="b">
        <v>0</v>
      </c>
      <c r="C77" s="6">
        <v>46277.729166666664</v>
      </c>
      <c r="D77" t="b">
        <v>0</v>
      </c>
      <c r="E77">
        <v>9</v>
      </c>
      <c r="F77">
        <v>19</v>
      </c>
      <c r="G77">
        <v>3</v>
      </c>
      <c r="H77" t="s">
        <v>1111</v>
      </c>
      <c r="I77" t="s">
        <v>1084</v>
      </c>
      <c r="J77" t="s">
        <v>1104</v>
      </c>
      <c r="K77" t="str">
        <f>tblTeamFixtures[[#This Row],[Team_name]]&amp;"_"&amp;tblTeamFixtures[[#This Row],[GW]]</f>
        <v>EVE_4</v>
      </c>
      <c r="L77">
        <f>IFERROR(INDEX(TEAM_ANALYSIS!$Y:$Y,MATCH($E77,TEAM_ANALYSIS!$A:$A,0)),1)</f>
        <v>1.088235294117647</v>
      </c>
      <c r="M77">
        <f>IFERROR(INDEX(TEAM_ANALYSIS!$Z:$Z,MATCH($E77,TEAM_ANALYSIS!$A:$A,0)),1)</f>
        <v>0.8529411764705882</v>
      </c>
      <c r="N77">
        <f>IFERROR(INDEX(TEAM_ANALYSIS!$Y:$Y,MATCH($F77,TEAM_ANALYSIS!$A:$A,0)),1)</f>
        <v>0.5</v>
      </c>
      <c r="O77">
        <f>IFERROR(INDEX(TEAM_ANALYSIS!$Z:$Z,MATCH($F77,TEAM_ANALYSIS!$A:$A,0)),1)</f>
        <v>1.088235294117647</v>
      </c>
      <c r="P77">
        <f>MAX(0.05,AVERAGE(TEAM_ANALYSIS!$W$2:$W$21)*L77*O77)</f>
        <v>2.5165441176470584</v>
      </c>
      <c r="Q77">
        <f>MAX(0.05,AVERAGE(TEAM_ANALYSIS!$W$2:$W$21)*N77*M77)</f>
        <v>0.90625</v>
      </c>
      <c r="R77" s="23">
        <f>MAX(0.8,MIN(1.2,P77/AVERAGE(TEAM_ANALYSIS!$W$2:$W$21)))</f>
        <v>1.1842560553633217</v>
      </c>
      <c r="S77">
        <f>MAX(0.8,MIN(1.2,AVERAGE(TEAM_ANALYSIS!$W$2:$W$21)/Q77))</f>
        <v>1.2</v>
      </c>
      <c r="T77">
        <f>AVERAGE(R77,S77)</f>
        <v>1.1921280276816608</v>
      </c>
    </row>
    <row r="78" spans="1:20" x14ac:dyDescent="0.25">
      <c r="A78">
        <v>4</v>
      </c>
      <c r="B78" t="b">
        <v>0</v>
      </c>
      <c r="C78" s="6">
        <v>46277.833333333336</v>
      </c>
      <c r="D78" t="b">
        <v>0</v>
      </c>
      <c r="E78">
        <v>1</v>
      </c>
      <c r="F78">
        <v>20</v>
      </c>
      <c r="G78">
        <v>3</v>
      </c>
      <c r="H78" t="s">
        <v>1111</v>
      </c>
      <c r="I78" t="s">
        <v>1068</v>
      </c>
      <c r="J78" t="s">
        <v>1106</v>
      </c>
      <c r="K78" t="str">
        <f>tblTeamFixtures[[#This Row],[Team_name]]&amp;"_"&amp;tblTeamFixtures[[#This Row],[GW]]</f>
        <v>ARS_4</v>
      </c>
      <c r="L78">
        <f>IFERROR(INDEX(TEAM_ANALYSIS!$Y:$Y,MATCH($E78,TEAM_ANALYSIS!$A:$A,0)),1)</f>
        <v>1.2058823529411764</v>
      </c>
      <c r="M78">
        <f>IFERROR(INDEX(TEAM_ANALYSIS!$Z:$Z,MATCH($E78,TEAM_ANALYSIS!$A:$A,0)),1)</f>
        <v>0.61764705882352944</v>
      </c>
      <c r="N78">
        <f>IFERROR(INDEX(TEAM_ANALYSIS!$Y:$Y,MATCH($F78,TEAM_ANALYSIS!$A:$A,0)),1)</f>
        <v>0.8529411764705882</v>
      </c>
      <c r="O78">
        <f>IFERROR(INDEX(TEAM_ANALYSIS!$Z:$Z,MATCH($F78,TEAM_ANALYSIS!$A:$A,0)),1)</f>
        <v>0.8529411764705882</v>
      </c>
      <c r="P78">
        <f>MAX(0.05,AVERAGE(TEAM_ANALYSIS!$W$2:$W$21)*L78*O78)</f>
        <v>2.1856617647058822</v>
      </c>
      <c r="Q78">
        <f>MAX(0.05,AVERAGE(TEAM_ANALYSIS!$W$2:$W$21)*N78*M78)</f>
        <v>1.1194852941176472</v>
      </c>
      <c r="R78" s="23">
        <f>MAX(0.8,MIN(1.2,P78/AVERAGE(TEAM_ANALYSIS!$W$2:$W$21)))</f>
        <v>1.0285467128027681</v>
      </c>
      <c r="S78">
        <f>MAX(0.8,MIN(1.2,AVERAGE(TEAM_ANALYSIS!$W$2:$W$21)/Q78))</f>
        <v>1.2</v>
      </c>
      <c r="T78">
        <f>AVERAGE(R78,S78)</f>
        <v>1.114273356401384</v>
      </c>
    </row>
    <row r="79" spans="1:20" x14ac:dyDescent="0.25">
      <c r="A79">
        <v>4</v>
      </c>
      <c r="B79" t="b">
        <v>0</v>
      </c>
      <c r="C79" s="6">
        <v>46278.583333333336</v>
      </c>
      <c r="D79" t="b">
        <v>0</v>
      </c>
      <c r="E79">
        <v>5</v>
      </c>
      <c r="F79">
        <v>7</v>
      </c>
      <c r="G79">
        <v>2</v>
      </c>
      <c r="H79" t="s">
        <v>1111</v>
      </c>
      <c r="I79" t="s">
        <v>1076</v>
      </c>
      <c r="J79" t="s">
        <v>1080</v>
      </c>
      <c r="K79" t="str">
        <f>tblTeamFixtures[[#This Row],[Team_name]]&amp;"_"&amp;tblTeamFixtures[[#This Row],[GW]]</f>
        <v>BHA_4</v>
      </c>
      <c r="L79">
        <f>IFERROR(INDEX(TEAM_ANALYSIS!$Y:$Y,MATCH($E79,TEAM_ANALYSIS!$A:$A,0)),1)</f>
        <v>1.4411764705882353</v>
      </c>
      <c r="M79">
        <f>IFERROR(INDEX(TEAM_ANALYSIS!$Z:$Z,MATCH($E79,TEAM_ANALYSIS!$A:$A,0)),1)</f>
        <v>1.088235294117647</v>
      </c>
      <c r="N79">
        <f>IFERROR(INDEX(TEAM_ANALYSIS!$Y:$Y,MATCH($F79,TEAM_ANALYSIS!$A:$A,0)),1)</f>
        <v>0.5</v>
      </c>
      <c r="O79">
        <f>IFERROR(INDEX(TEAM_ANALYSIS!$Z:$Z,MATCH($F79,TEAM_ANALYSIS!$A:$A,0)),1)</f>
        <v>1.088235294117647</v>
      </c>
      <c r="P79">
        <f>MAX(0.05,AVERAGE(TEAM_ANALYSIS!$W$2:$W$21)*L79*O79)</f>
        <v>3.3327205882352939</v>
      </c>
      <c r="Q79">
        <f>MAX(0.05,AVERAGE(TEAM_ANALYSIS!$W$2:$W$21)*N79*M79)</f>
        <v>1.15625</v>
      </c>
      <c r="R79" s="23">
        <f>MAX(0.8,MIN(1.2,P79/AVERAGE(TEAM_ANALYSIS!$W$2:$W$21)))</f>
        <v>1.2</v>
      </c>
      <c r="S79">
        <f>MAX(0.8,MIN(1.2,AVERAGE(TEAM_ANALYSIS!$W$2:$W$21)/Q79))</f>
        <v>1.2</v>
      </c>
      <c r="T79">
        <f>AVERAGE(R79,S79)</f>
        <v>1.2</v>
      </c>
    </row>
    <row r="80" spans="1:20" x14ac:dyDescent="0.25">
      <c r="A80">
        <v>4</v>
      </c>
      <c r="B80" t="b">
        <v>0</v>
      </c>
      <c r="C80" s="6">
        <v>46278.6875</v>
      </c>
      <c r="D80" t="b">
        <v>0</v>
      </c>
      <c r="E80">
        <v>15</v>
      </c>
      <c r="F80">
        <v>16</v>
      </c>
      <c r="G80">
        <v>4</v>
      </c>
      <c r="H80" t="s">
        <v>1111</v>
      </c>
      <c r="I80" t="s">
        <v>1096</v>
      </c>
      <c r="J80" t="s">
        <v>1098</v>
      </c>
      <c r="K80" t="str">
        <f>tblTeamFixtures[[#This Row],[Team_name]]&amp;"_"&amp;tblTeamFixtures[[#This Row],[GW]]</f>
        <v>MCI_4</v>
      </c>
      <c r="L80">
        <f>IFERROR(INDEX(TEAM_ANALYSIS!$Y:$Y,MATCH($E80,TEAM_ANALYSIS!$A:$A,0)),1)</f>
        <v>1.3235294117647058</v>
      </c>
      <c r="M80">
        <f>IFERROR(INDEX(TEAM_ANALYSIS!$Z:$Z,MATCH($E80,TEAM_ANALYSIS!$A:$A,0)),1)</f>
        <v>0.73529411764705888</v>
      </c>
      <c r="N80">
        <f>IFERROR(INDEX(TEAM_ANALYSIS!$Y:$Y,MATCH($F80,TEAM_ANALYSIS!$A:$A,0)),1)</f>
        <v>1.3235294117647058</v>
      </c>
      <c r="O80">
        <f>IFERROR(INDEX(TEAM_ANALYSIS!$Z:$Z,MATCH($F80,TEAM_ANALYSIS!$A:$A,0)),1)</f>
        <v>1.2058823529411764</v>
      </c>
      <c r="P80">
        <f>MAX(0.05,AVERAGE(TEAM_ANALYSIS!$W$2:$W$21)*L80*O80)</f>
        <v>3.3915441176470584</v>
      </c>
      <c r="Q80">
        <f>MAX(0.05,AVERAGE(TEAM_ANALYSIS!$W$2:$W$21)*N80*M80)</f>
        <v>2.0680147058823533</v>
      </c>
      <c r="R80" s="23">
        <f>MAX(0.8,MIN(1.2,P80/AVERAGE(TEAM_ANALYSIS!$W$2:$W$21)))</f>
        <v>1.2</v>
      </c>
      <c r="S80">
        <f>MAX(0.8,MIN(1.2,AVERAGE(TEAM_ANALYSIS!$W$2:$W$21)/Q80))</f>
        <v>1.0275555555555553</v>
      </c>
      <c r="T80">
        <f>AVERAGE(R80,S80)</f>
        <v>1.1137777777777775</v>
      </c>
    </row>
    <row r="81" spans="1:20" x14ac:dyDescent="0.25">
      <c r="A81">
        <v>4</v>
      </c>
      <c r="B81" t="b">
        <v>0</v>
      </c>
      <c r="C81" s="6">
        <v>46279.833333333336</v>
      </c>
      <c r="D81" t="b">
        <v>0</v>
      </c>
      <c r="E81">
        <v>17</v>
      </c>
      <c r="F81">
        <v>13</v>
      </c>
      <c r="G81">
        <v>3</v>
      </c>
      <c r="H81" t="s">
        <v>1111</v>
      </c>
      <c r="I81" t="s">
        <v>1100</v>
      </c>
      <c r="J81" t="s">
        <v>1092</v>
      </c>
      <c r="K81" t="str">
        <f>tblTeamFixtures[[#This Row],[Team_name]]&amp;"_"&amp;tblTeamFixtures[[#This Row],[GW]]</f>
        <v>NEW_4</v>
      </c>
      <c r="L81">
        <f>IFERROR(INDEX(TEAM_ANALYSIS!$Y:$Y,MATCH($E81,TEAM_ANALYSIS!$A:$A,0)),1)</f>
        <v>1.2058823529411764</v>
      </c>
      <c r="M81">
        <f>IFERROR(INDEX(TEAM_ANALYSIS!$Z:$Z,MATCH($E81,TEAM_ANALYSIS!$A:$A,0)),1)</f>
        <v>0.97058823529411764</v>
      </c>
      <c r="N81">
        <f>IFERROR(INDEX(TEAM_ANALYSIS!$Y:$Y,MATCH($F81,TEAM_ANALYSIS!$A:$A,0)),1)</f>
        <v>0.8529411764705882</v>
      </c>
      <c r="O81">
        <f>IFERROR(INDEX(TEAM_ANALYSIS!$Z:$Z,MATCH($F81,TEAM_ANALYSIS!$A:$A,0)),1)</f>
        <v>0.73529411764705888</v>
      </c>
      <c r="P81">
        <f>MAX(0.05,AVERAGE(TEAM_ANALYSIS!$W$2:$W$21)*L81*O81)</f>
        <v>1.8841911764705883</v>
      </c>
      <c r="Q81">
        <f>MAX(0.05,AVERAGE(TEAM_ANALYSIS!$W$2:$W$21)*N81*M81)</f>
        <v>1.7591911764705883</v>
      </c>
      <c r="R81" s="23">
        <f>MAX(0.8,MIN(1.2,P81/AVERAGE(TEAM_ANALYSIS!$W$2:$W$21)))</f>
        <v>0.88667820069204151</v>
      </c>
      <c r="S81">
        <f>MAX(0.8,MIN(1.2,AVERAGE(TEAM_ANALYSIS!$W$2:$W$21)/Q81))</f>
        <v>1.2</v>
      </c>
      <c r="T81">
        <f>AVERAGE(R81,S81)</f>
        <v>1.0433391003460208</v>
      </c>
    </row>
    <row r="82" spans="1:20" x14ac:dyDescent="0.25">
      <c r="A82">
        <v>5</v>
      </c>
      <c r="B82" t="b">
        <v>0</v>
      </c>
      <c r="C82" s="6">
        <v>46283.833333333336</v>
      </c>
      <c r="D82" t="b">
        <v>0</v>
      </c>
      <c r="E82">
        <v>4</v>
      </c>
      <c r="F82">
        <v>6</v>
      </c>
      <c r="G82">
        <v>4</v>
      </c>
      <c r="H82" t="s">
        <v>1110</v>
      </c>
      <c r="I82" t="s">
        <v>1074</v>
      </c>
      <c r="J82" t="s">
        <v>1078</v>
      </c>
      <c r="K82" t="str">
        <f>tblTeamFixtures[[#This Row],[Team_name]]&amp;"_"&amp;tblTeamFixtures[[#This Row],[GW]]</f>
        <v>BRE_5</v>
      </c>
      <c r="L82">
        <f>IFERROR(INDEX(TEAM_ANALYSIS!$Y:$Y,MATCH($E82,TEAM_ANALYSIS!$A:$A,0)),1)</f>
        <v>1.088235294117647</v>
      </c>
      <c r="M82">
        <f>IFERROR(INDEX(TEAM_ANALYSIS!$Z:$Z,MATCH($E82,TEAM_ANALYSIS!$A:$A,0)),1)</f>
        <v>0.73529411764705888</v>
      </c>
      <c r="N82">
        <f>IFERROR(INDEX(TEAM_ANALYSIS!$Y:$Y,MATCH($F82,TEAM_ANALYSIS!$A:$A,0)),1)</f>
        <v>1.4411764705882353</v>
      </c>
      <c r="O82">
        <f>IFERROR(INDEX(TEAM_ANALYSIS!$Z:$Z,MATCH($F82,TEAM_ANALYSIS!$A:$A,0)),1)</f>
        <v>1.3235294117647058</v>
      </c>
      <c r="P82">
        <f>MAX(0.05,AVERAGE(TEAM_ANALYSIS!$W$2:$W$21)*L82*O82)</f>
        <v>3.0606617647058822</v>
      </c>
      <c r="Q82">
        <f>MAX(0.05,AVERAGE(TEAM_ANALYSIS!$W$2:$W$21)*N82*M82)</f>
        <v>2.2518382352941178</v>
      </c>
      <c r="R82" s="23">
        <f>MAX(0.8,MIN(1.2,P82/AVERAGE(TEAM_ANALYSIS!$W$2:$W$21)))</f>
        <v>1.2</v>
      </c>
      <c r="S82">
        <f>MAX(0.8,MIN(1.2,AVERAGE(TEAM_ANALYSIS!$W$2:$W$21)/Q82))</f>
        <v>0.94367346938775509</v>
      </c>
      <c r="T82">
        <f>AVERAGE(R82,S82)</f>
        <v>1.0718367346938775</v>
      </c>
    </row>
    <row r="83" spans="1:20" x14ac:dyDescent="0.25">
      <c r="A83">
        <v>5</v>
      </c>
      <c r="B83" t="b">
        <v>0</v>
      </c>
      <c r="C83" s="6">
        <v>46284.520833333336</v>
      </c>
      <c r="D83" t="b">
        <v>0</v>
      </c>
      <c r="E83">
        <v>19</v>
      </c>
      <c r="F83">
        <v>2</v>
      </c>
      <c r="G83">
        <v>3</v>
      </c>
      <c r="H83" t="s">
        <v>1110</v>
      </c>
      <c r="I83" t="s">
        <v>1104</v>
      </c>
      <c r="J83" t="s">
        <v>1070</v>
      </c>
      <c r="K83" t="str">
        <f>tblTeamFixtures[[#This Row],[Team_name]]&amp;"_"&amp;tblTeamFixtures[[#This Row],[GW]]</f>
        <v>TOT_5</v>
      </c>
      <c r="L83">
        <f>IFERROR(INDEX(TEAM_ANALYSIS!$Y:$Y,MATCH($E83,TEAM_ANALYSIS!$A:$A,0)),1)</f>
        <v>0.5</v>
      </c>
      <c r="M83">
        <f>IFERROR(INDEX(TEAM_ANALYSIS!$Z:$Z,MATCH($E83,TEAM_ANALYSIS!$A:$A,0)),1)</f>
        <v>1.088235294117647</v>
      </c>
      <c r="N83">
        <f>IFERROR(INDEX(TEAM_ANALYSIS!$Y:$Y,MATCH($F83,TEAM_ANALYSIS!$A:$A,0)),1)</f>
        <v>0.5</v>
      </c>
      <c r="O83">
        <f>IFERROR(INDEX(TEAM_ANALYSIS!$Z:$Z,MATCH($F83,TEAM_ANALYSIS!$A:$A,0)),1)</f>
        <v>1.088235294117647</v>
      </c>
      <c r="P83">
        <f>MAX(0.05,AVERAGE(TEAM_ANALYSIS!$W$2:$W$21)*L83*O83)</f>
        <v>1.15625</v>
      </c>
      <c r="Q83">
        <f>MAX(0.05,AVERAGE(TEAM_ANALYSIS!$W$2:$W$21)*N83*M83)</f>
        <v>1.15625</v>
      </c>
      <c r="R83" s="23">
        <f>MAX(0.8,MIN(1.2,P83/AVERAGE(TEAM_ANALYSIS!$W$2:$W$21)))</f>
        <v>0.8</v>
      </c>
      <c r="S83">
        <f>MAX(0.8,MIN(1.2,AVERAGE(TEAM_ANALYSIS!$W$2:$W$21)/Q83))</f>
        <v>1.2</v>
      </c>
      <c r="T83">
        <f>AVERAGE(R83,S83)</f>
        <v>1</v>
      </c>
    </row>
    <row r="84" spans="1:20" x14ac:dyDescent="0.25">
      <c r="A84">
        <v>5</v>
      </c>
      <c r="B84" t="b">
        <v>0</v>
      </c>
      <c r="C84" s="6">
        <v>46284.625</v>
      </c>
      <c r="D84" t="b">
        <v>0</v>
      </c>
      <c r="E84">
        <v>5</v>
      </c>
      <c r="F84">
        <v>1</v>
      </c>
      <c r="G84">
        <v>4</v>
      </c>
      <c r="H84" t="s">
        <v>1110</v>
      </c>
      <c r="I84" t="s">
        <v>1076</v>
      </c>
      <c r="J84" t="s">
        <v>1068</v>
      </c>
      <c r="K84" t="str">
        <f>tblTeamFixtures[[#This Row],[Team_name]]&amp;"_"&amp;tblTeamFixtures[[#This Row],[GW]]</f>
        <v>BHA_5</v>
      </c>
      <c r="L84">
        <f>IFERROR(INDEX(TEAM_ANALYSIS!$Y:$Y,MATCH($E84,TEAM_ANALYSIS!$A:$A,0)),1)</f>
        <v>1.4411764705882353</v>
      </c>
      <c r="M84">
        <f>IFERROR(INDEX(TEAM_ANALYSIS!$Z:$Z,MATCH($E84,TEAM_ANALYSIS!$A:$A,0)),1)</f>
        <v>1.088235294117647</v>
      </c>
      <c r="N84">
        <f>IFERROR(INDEX(TEAM_ANALYSIS!$Y:$Y,MATCH($F84,TEAM_ANALYSIS!$A:$A,0)),1)</f>
        <v>1.2058823529411764</v>
      </c>
      <c r="O84">
        <f>IFERROR(INDEX(TEAM_ANALYSIS!$Z:$Z,MATCH($F84,TEAM_ANALYSIS!$A:$A,0)),1)</f>
        <v>0.61764705882352944</v>
      </c>
      <c r="P84">
        <f>MAX(0.05,AVERAGE(TEAM_ANALYSIS!$W$2:$W$21)*L84*O84)</f>
        <v>1.8915441176470589</v>
      </c>
      <c r="Q84">
        <f>MAX(0.05,AVERAGE(TEAM_ANALYSIS!$W$2:$W$21)*N84*M84)</f>
        <v>2.7886029411764706</v>
      </c>
      <c r="R84" s="23">
        <f>MAX(0.8,MIN(1.2,P84/AVERAGE(TEAM_ANALYSIS!$W$2:$W$21)))</f>
        <v>0.89013840830449831</v>
      </c>
      <c r="S84">
        <f>MAX(0.8,MIN(1.2,AVERAGE(TEAM_ANALYSIS!$W$2:$W$21)/Q84))</f>
        <v>0.8</v>
      </c>
      <c r="T84">
        <f>AVERAGE(R84,S84)</f>
        <v>0.84506920415224918</v>
      </c>
    </row>
    <row r="85" spans="1:20" x14ac:dyDescent="0.25">
      <c r="A85">
        <v>5</v>
      </c>
      <c r="B85" t="b">
        <v>0</v>
      </c>
      <c r="C85" s="6">
        <v>46284.625</v>
      </c>
      <c r="D85" t="b">
        <v>0</v>
      </c>
      <c r="E85">
        <v>9</v>
      </c>
      <c r="F85">
        <v>12</v>
      </c>
      <c r="G85">
        <v>2</v>
      </c>
      <c r="H85" t="s">
        <v>1110</v>
      </c>
      <c r="I85" t="s">
        <v>1084</v>
      </c>
      <c r="J85" t="s">
        <v>1090</v>
      </c>
      <c r="K85" t="str">
        <f>tblTeamFixtures[[#This Row],[Team_name]]&amp;"_"&amp;tblTeamFixtures[[#This Row],[GW]]</f>
        <v>EVE_5</v>
      </c>
      <c r="L85">
        <f>IFERROR(INDEX(TEAM_ANALYSIS!$Y:$Y,MATCH($E85,TEAM_ANALYSIS!$A:$A,0)),1)</f>
        <v>1.088235294117647</v>
      </c>
      <c r="M85">
        <f>IFERROR(INDEX(TEAM_ANALYSIS!$Z:$Z,MATCH($E85,TEAM_ANALYSIS!$A:$A,0)),1)</f>
        <v>0.8529411764705882</v>
      </c>
      <c r="N85">
        <f>IFERROR(INDEX(TEAM_ANALYSIS!$Y:$Y,MATCH($F85,TEAM_ANALYSIS!$A:$A,0)),1)</f>
        <v>0.97058823529411764</v>
      </c>
      <c r="O85">
        <f>IFERROR(INDEX(TEAM_ANALYSIS!$Z:$Z,MATCH($F85,TEAM_ANALYSIS!$A:$A,0)),1)</f>
        <v>1.4411764705882353</v>
      </c>
      <c r="P85">
        <f>MAX(0.05,AVERAGE(TEAM_ANALYSIS!$W$2:$W$21)*L85*O85)</f>
        <v>3.3327205882352939</v>
      </c>
      <c r="Q85">
        <f>MAX(0.05,AVERAGE(TEAM_ANALYSIS!$W$2:$W$21)*N85*M85)</f>
        <v>1.7591911764705881</v>
      </c>
      <c r="R85" s="23">
        <f>MAX(0.8,MIN(1.2,P85/AVERAGE(TEAM_ANALYSIS!$W$2:$W$21)))</f>
        <v>1.2</v>
      </c>
      <c r="S85">
        <f>MAX(0.8,MIN(1.2,AVERAGE(TEAM_ANALYSIS!$W$2:$W$21)/Q85))</f>
        <v>1.2</v>
      </c>
      <c r="T85">
        <f>AVERAGE(R85,S85)</f>
        <v>1.2</v>
      </c>
    </row>
    <row r="86" spans="1:20" x14ac:dyDescent="0.25">
      <c r="A86">
        <v>5</v>
      </c>
      <c r="B86" t="b">
        <v>0</v>
      </c>
      <c r="C86" s="6">
        <v>46284.625</v>
      </c>
      <c r="D86" t="b">
        <v>0</v>
      </c>
      <c r="E86">
        <v>17</v>
      </c>
      <c r="F86">
        <v>11</v>
      </c>
      <c r="G86">
        <v>2</v>
      </c>
      <c r="H86" t="s">
        <v>1110</v>
      </c>
      <c r="I86" t="s">
        <v>1100</v>
      </c>
      <c r="J86" t="s">
        <v>1088</v>
      </c>
      <c r="K86" t="str">
        <f>tblTeamFixtures[[#This Row],[Team_name]]&amp;"_"&amp;tblTeamFixtures[[#This Row],[GW]]</f>
        <v>NEW_5</v>
      </c>
      <c r="L86">
        <f>IFERROR(INDEX(TEAM_ANALYSIS!$Y:$Y,MATCH($E86,TEAM_ANALYSIS!$A:$A,0)),1)</f>
        <v>1.2058823529411764</v>
      </c>
      <c r="M86">
        <f>IFERROR(INDEX(TEAM_ANALYSIS!$Z:$Z,MATCH($E86,TEAM_ANALYSIS!$A:$A,0)),1)</f>
        <v>0.97058823529411764</v>
      </c>
      <c r="N86">
        <f>IFERROR(INDEX(TEAM_ANALYSIS!$Y:$Y,MATCH($F86,TEAM_ANALYSIS!$A:$A,0)),1)</f>
        <v>0.8529411764705882</v>
      </c>
      <c r="O86">
        <f>IFERROR(INDEX(TEAM_ANALYSIS!$Z:$Z,MATCH($F86,TEAM_ANALYSIS!$A:$A,0)),1)</f>
        <v>0.5</v>
      </c>
      <c r="P86">
        <f>MAX(0.05,AVERAGE(TEAM_ANALYSIS!$W$2:$W$21)*L86*O86)</f>
        <v>1.28125</v>
      </c>
      <c r="Q86">
        <f>MAX(0.05,AVERAGE(TEAM_ANALYSIS!$W$2:$W$21)*N86*M86)</f>
        <v>1.7591911764705883</v>
      </c>
      <c r="R86" s="23">
        <f>MAX(0.8,MIN(1.2,P86/AVERAGE(TEAM_ANALYSIS!$W$2:$W$21)))</f>
        <v>0.8</v>
      </c>
      <c r="S86">
        <f>MAX(0.8,MIN(1.2,AVERAGE(TEAM_ANALYSIS!$W$2:$W$21)/Q86))</f>
        <v>1.2</v>
      </c>
      <c r="T86">
        <f>AVERAGE(R86,S86)</f>
        <v>1</v>
      </c>
    </row>
    <row r="87" spans="1:20" x14ac:dyDescent="0.25">
      <c r="A87">
        <v>5</v>
      </c>
      <c r="B87" t="b">
        <v>0</v>
      </c>
      <c r="C87" s="6">
        <v>46284.729166666664</v>
      </c>
      <c r="D87" t="b">
        <v>0</v>
      </c>
      <c r="E87">
        <v>18</v>
      </c>
      <c r="F87">
        <v>7</v>
      </c>
      <c r="G87">
        <v>2</v>
      </c>
      <c r="H87" t="s">
        <v>1110</v>
      </c>
      <c r="I87" t="s">
        <v>1102</v>
      </c>
      <c r="J87" t="s">
        <v>1080</v>
      </c>
      <c r="K87" t="str">
        <f>tblTeamFixtures[[#This Row],[Team_name]]&amp;"_"&amp;tblTeamFixtures[[#This Row],[GW]]</f>
        <v>NFO_5</v>
      </c>
      <c r="L87">
        <f>IFERROR(INDEX(TEAM_ANALYSIS!$Y:$Y,MATCH($E87,TEAM_ANALYSIS!$A:$A,0)),1)</f>
        <v>0.73529411764705888</v>
      </c>
      <c r="M87">
        <f>IFERROR(INDEX(TEAM_ANALYSIS!$Z:$Z,MATCH($E87,TEAM_ANALYSIS!$A:$A,0)),1)</f>
        <v>0.8529411764705882</v>
      </c>
      <c r="N87">
        <f>IFERROR(INDEX(TEAM_ANALYSIS!$Y:$Y,MATCH($F87,TEAM_ANALYSIS!$A:$A,0)),1)</f>
        <v>0.5</v>
      </c>
      <c r="O87">
        <f>IFERROR(INDEX(TEAM_ANALYSIS!$Z:$Z,MATCH($F87,TEAM_ANALYSIS!$A:$A,0)),1)</f>
        <v>1.088235294117647</v>
      </c>
      <c r="P87">
        <f>MAX(0.05,AVERAGE(TEAM_ANALYSIS!$W$2:$W$21)*L87*O87)</f>
        <v>1.7003676470588234</v>
      </c>
      <c r="Q87">
        <f>MAX(0.05,AVERAGE(TEAM_ANALYSIS!$W$2:$W$21)*N87*M87)</f>
        <v>0.90625</v>
      </c>
      <c r="R87" s="23">
        <f>MAX(0.8,MIN(1.2,P87/AVERAGE(TEAM_ANALYSIS!$W$2:$W$21)))</f>
        <v>0.80017301038062272</v>
      </c>
      <c r="S87">
        <f>MAX(0.8,MIN(1.2,AVERAGE(TEAM_ANALYSIS!$W$2:$W$21)/Q87))</f>
        <v>1.2</v>
      </c>
      <c r="T87">
        <f>AVERAGE(R87,S87)</f>
        <v>1.0000865051903114</v>
      </c>
    </row>
    <row r="88" spans="1:20" x14ac:dyDescent="0.25">
      <c r="A88">
        <v>5</v>
      </c>
      <c r="B88" t="b">
        <v>0</v>
      </c>
      <c r="C88" s="6">
        <v>46285.583333333336</v>
      </c>
      <c r="D88" t="b">
        <v>0</v>
      </c>
      <c r="E88">
        <v>3</v>
      </c>
      <c r="F88">
        <v>14</v>
      </c>
      <c r="G88">
        <v>4</v>
      </c>
      <c r="H88" t="s">
        <v>1110</v>
      </c>
      <c r="I88" t="s">
        <v>1072</v>
      </c>
      <c r="J88" t="s">
        <v>1094</v>
      </c>
      <c r="K88" t="str">
        <f>tblTeamFixtures[[#This Row],[Team_name]]&amp;"_"&amp;tblTeamFixtures[[#This Row],[GW]]</f>
        <v>BOU_5</v>
      </c>
      <c r="L88">
        <f>IFERROR(INDEX(TEAM_ANALYSIS!$Y:$Y,MATCH($E88,TEAM_ANALYSIS!$A:$A,0)),1)</f>
        <v>0.97058823529411764</v>
      </c>
      <c r="M88">
        <f>IFERROR(INDEX(TEAM_ANALYSIS!$Z:$Z,MATCH($E88,TEAM_ANALYSIS!$A:$A,0)),1)</f>
        <v>1.088235294117647</v>
      </c>
      <c r="N88">
        <f>IFERROR(INDEX(TEAM_ANALYSIS!$Y:$Y,MATCH($F88,TEAM_ANALYSIS!$A:$A,0)),1)</f>
        <v>1.2058823529411764</v>
      </c>
      <c r="O88">
        <f>IFERROR(INDEX(TEAM_ANALYSIS!$Z:$Z,MATCH($F88,TEAM_ANALYSIS!$A:$A,0)),1)</f>
        <v>0.97058823529411764</v>
      </c>
      <c r="P88">
        <f>MAX(0.05,AVERAGE(TEAM_ANALYSIS!$W$2:$W$21)*L88*O88)</f>
        <v>2.0018382352941178</v>
      </c>
      <c r="Q88">
        <f>MAX(0.05,AVERAGE(TEAM_ANALYSIS!$W$2:$W$21)*N88*M88)</f>
        <v>2.7886029411764706</v>
      </c>
      <c r="R88" s="23">
        <f>MAX(0.8,MIN(1.2,P88/AVERAGE(TEAM_ANALYSIS!$W$2:$W$21)))</f>
        <v>0.94204152249134954</v>
      </c>
      <c r="S88">
        <f>MAX(0.8,MIN(1.2,AVERAGE(TEAM_ANALYSIS!$W$2:$W$21)/Q88))</f>
        <v>0.8</v>
      </c>
      <c r="T88">
        <f>AVERAGE(R88,S88)</f>
        <v>0.87102076124567485</v>
      </c>
    </row>
    <row r="89" spans="1:20" x14ac:dyDescent="0.25">
      <c r="A89">
        <v>5</v>
      </c>
      <c r="B89" t="b">
        <v>0</v>
      </c>
      <c r="C89" s="6">
        <v>46285.583333333336</v>
      </c>
      <c r="D89" t="b">
        <v>0</v>
      </c>
      <c r="E89">
        <v>13</v>
      </c>
      <c r="F89">
        <v>8</v>
      </c>
      <c r="G89">
        <v>3</v>
      </c>
      <c r="H89" t="s">
        <v>1110</v>
      </c>
      <c r="I89" t="s">
        <v>1092</v>
      </c>
      <c r="J89" t="s">
        <v>1082</v>
      </c>
      <c r="K89" t="str">
        <f>tblTeamFixtures[[#This Row],[Team_name]]&amp;"_"&amp;tblTeamFixtures[[#This Row],[GW]]</f>
        <v>LEE_5</v>
      </c>
      <c r="L89">
        <f>IFERROR(INDEX(TEAM_ANALYSIS!$Y:$Y,MATCH($E89,TEAM_ANALYSIS!$A:$A,0)),1)</f>
        <v>0.8529411764705882</v>
      </c>
      <c r="M89">
        <f>IFERROR(INDEX(TEAM_ANALYSIS!$Z:$Z,MATCH($E89,TEAM_ANALYSIS!$A:$A,0)),1)</f>
        <v>0.73529411764705888</v>
      </c>
      <c r="N89">
        <f>IFERROR(INDEX(TEAM_ANALYSIS!$Y:$Y,MATCH($F89,TEAM_ANALYSIS!$A:$A,0)),1)</f>
        <v>0.97058823529411764</v>
      </c>
      <c r="O89">
        <f>IFERROR(INDEX(TEAM_ANALYSIS!$Z:$Z,MATCH($F89,TEAM_ANALYSIS!$A:$A,0)),1)</f>
        <v>1.4411764705882353</v>
      </c>
      <c r="P89">
        <f>MAX(0.05,AVERAGE(TEAM_ANALYSIS!$W$2:$W$21)*L89*O89)</f>
        <v>2.6121323529411766</v>
      </c>
      <c r="Q89">
        <f>MAX(0.05,AVERAGE(TEAM_ANALYSIS!$W$2:$W$21)*N89*M89)</f>
        <v>1.5165441176470589</v>
      </c>
      <c r="R89" s="23">
        <f>MAX(0.8,MIN(1.2,P89/AVERAGE(TEAM_ANALYSIS!$W$2:$W$21)))</f>
        <v>1.2</v>
      </c>
      <c r="S89">
        <f>MAX(0.8,MIN(1.2,AVERAGE(TEAM_ANALYSIS!$W$2:$W$21)/Q89))</f>
        <v>1.2</v>
      </c>
      <c r="T89">
        <f>AVERAGE(R89,S89)</f>
        <v>1.2</v>
      </c>
    </row>
    <row r="90" spans="1:20" x14ac:dyDescent="0.25">
      <c r="A90">
        <v>5</v>
      </c>
      <c r="B90" t="b">
        <v>0</v>
      </c>
      <c r="C90" s="6">
        <v>46285.583333333336</v>
      </c>
      <c r="D90" t="b">
        <v>0</v>
      </c>
      <c r="E90">
        <v>15</v>
      </c>
      <c r="F90">
        <v>20</v>
      </c>
      <c r="G90">
        <v>2</v>
      </c>
      <c r="H90" t="s">
        <v>1110</v>
      </c>
      <c r="I90" t="s">
        <v>1096</v>
      </c>
      <c r="J90" t="s">
        <v>1106</v>
      </c>
      <c r="K90" t="str">
        <f>tblTeamFixtures[[#This Row],[Team_name]]&amp;"_"&amp;tblTeamFixtures[[#This Row],[GW]]</f>
        <v>MCI_5</v>
      </c>
      <c r="L90">
        <f>IFERROR(INDEX(TEAM_ANALYSIS!$Y:$Y,MATCH($E90,TEAM_ANALYSIS!$A:$A,0)),1)</f>
        <v>1.3235294117647058</v>
      </c>
      <c r="M90">
        <f>IFERROR(INDEX(TEAM_ANALYSIS!$Z:$Z,MATCH($E90,TEAM_ANALYSIS!$A:$A,0)),1)</f>
        <v>0.73529411764705888</v>
      </c>
      <c r="N90">
        <f>IFERROR(INDEX(TEAM_ANALYSIS!$Y:$Y,MATCH($F90,TEAM_ANALYSIS!$A:$A,0)),1)</f>
        <v>0.8529411764705882</v>
      </c>
      <c r="O90">
        <f>IFERROR(INDEX(TEAM_ANALYSIS!$Z:$Z,MATCH($F90,TEAM_ANALYSIS!$A:$A,0)),1)</f>
        <v>0.8529411764705882</v>
      </c>
      <c r="P90">
        <f>MAX(0.05,AVERAGE(TEAM_ANALYSIS!$W$2:$W$21)*L90*O90)</f>
        <v>2.3988970588235294</v>
      </c>
      <c r="Q90">
        <f>MAX(0.05,AVERAGE(TEAM_ANALYSIS!$W$2:$W$21)*N90*M90)</f>
        <v>1.3327205882352942</v>
      </c>
      <c r="R90" s="23">
        <f>MAX(0.8,MIN(1.2,P90/AVERAGE(TEAM_ANALYSIS!$W$2:$W$21)))</f>
        <v>1.1288927335640138</v>
      </c>
      <c r="S90">
        <f>MAX(0.8,MIN(1.2,AVERAGE(TEAM_ANALYSIS!$W$2:$W$21)/Q90))</f>
        <v>1.2</v>
      </c>
      <c r="T90">
        <f>AVERAGE(R90,S90)</f>
        <v>1.1644463667820069</v>
      </c>
    </row>
    <row r="91" spans="1:20" x14ac:dyDescent="0.25">
      <c r="A91">
        <v>5</v>
      </c>
      <c r="B91" t="b">
        <v>0</v>
      </c>
      <c r="C91" s="6">
        <v>46285.6875</v>
      </c>
      <c r="D91" t="b">
        <v>0</v>
      </c>
      <c r="E91">
        <v>10</v>
      </c>
      <c r="F91">
        <v>16</v>
      </c>
      <c r="G91">
        <v>4</v>
      </c>
      <c r="H91" t="s">
        <v>1110</v>
      </c>
      <c r="I91" t="s">
        <v>1086</v>
      </c>
      <c r="J91" t="s">
        <v>1098</v>
      </c>
      <c r="K91" t="str">
        <f>tblTeamFixtures[[#This Row],[Team_name]]&amp;"_"&amp;tblTeamFixtures[[#This Row],[GW]]</f>
        <v>FUL_5</v>
      </c>
      <c r="L91">
        <f>IFERROR(INDEX(TEAM_ANALYSIS!$Y:$Y,MATCH($E91,TEAM_ANALYSIS!$A:$A,0)),1)</f>
        <v>0.97058823529411764</v>
      </c>
      <c r="M91">
        <f>IFERROR(INDEX(TEAM_ANALYSIS!$Z:$Z,MATCH($E91,TEAM_ANALYSIS!$A:$A,0)),1)</f>
        <v>1.3235294117647058</v>
      </c>
      <c r="N91">
        <f>IFERROR(INDEX(TEAM_ANALYSIS!$Y:$Y,MATCH($F91,TEAM_ANALYSIS!$A:$A,0)),1)</f>
        <v>1.3235294117647058</v>
      </c>
      <c r="O91">
        <f>IFERROR(INDEX(TEAM_ANALYSIS!$Z:$Z,MATCH($F91,TEAM_ANALYSIS!$A:$A,0)),1)</f>
        <v>1.2058823529411764</v>
      </c>
      <c r="P91">
        <f>MAX(0.05,AVERAGE(TEAM_ANALYSIS!$W$2:$W$21)*L91*O91)</f>
        <v>2.4871323529411762</v>
      </c>
      <c r="Q91">
        <f>MAX(0.05,AVERAGE(TEAM_ANALYSIS!$W$2:$W$21)*N91*M91)</f>
        <v>3.7224264705882351</v>
      </c>
      <c r="R91" s="23">
        <f>MAX(0.8,MIN(1.2,P91/AVERAGE(TEAM_ANALYSIS!$W$2:$W$21)))</f>
        <v>1.1704152249134947</v>
      </c>
      <c r="S91">
        <f>MAX(0.8,MIN(1.2,AVERAGE(TEAM_ANALYSIS!$W$2:$W$21)/Q91))</f>
        <v>0.8</v>
      </c>
      <c r="T91">
        <f>AVERAGE(R91,S91)</f>
        <v>0.98520761245674737</v>
      </c>
    </row>
    <row r="92" spans="1:20" x14ac:dyDescent="0.25">
      <c r="A92">
        <v>5</v>
      </c>
      <c r="B92" t="b">
        <v>0</v>
      </c>
      <c r="C92" s="6">
        <v>46283.833333333336</v>
      </c>
      <c r="D92" t="b">
        <v>0</v>
      </c>
      <c r="E92">
        <v>6</v>
      </c>
      <c r="F92">
        <v>4</v>
      </c>
      <c r="G92">
        <v>3</v>
      </c>
      <c r="H92" t="s">
        <v>1111</v>
      </c>
      <c r="I92" t="s">
        <v>1078</v>
      </c>
      <c r="J92" t="s">
        <v>1074</v>
      </c>
      <c r="K92" t="str">
        <f>tblTeamFixtures[[#This Row],[Team_name]]&amp;"_"&amp;tblTeamFixtures[[#This Row],[GW]]</f>
        <v>CHE_5</v>
      </c>
      <c r="L92">
        <f>IFERROR(INDEX(TEAM_ANALYSIS!$Y:$Y,MATCH($E92,TEAM_ANALYSIS!$A:$A,0)),1)</f>
        <v>1.4411764705882353</v>
      </c>
      <c r="M92">
        <f>IFERROR(INDEX(TEAM_ANALYSIS!$Z:$Z,MATCH($E92,TEAM_ANALYSIS!$A:$A,0)),1)</f>
        <v>1.3235294117647058</v>
      </c>
      <c r="N92">
        <f>IFERROR(INDEX(TEAM_ANALYSIS!$Y:$Y,MATCH($F92,TEAM_ANALYSIS!$A:$A,0)),1)</f>
        <v>1.088235294117647</v>
      </c>
      <c r="O92">
        <f>IFERROR(INDEX(TEAM_ANALYSIS!$Z:$Z,MATCH($F92,TEAM_ANALYSIS!$A:$A,0)),1)</f>
        <v>0.73529411764705888</v>
      </c>
      <c r="P92">
        <f>MAX(0.05,AVERAGE(TEAM_ANALYSIS!$W$2:$W$21)*L92*O92)</f>
        <v>2.2518382352941178</v>
      </c>
      <c r="Q92">
        <f>MAX(0.05,AVERAGE(TEAM_ANALYSIS!$W$2:$W$21)*N92*M92)</f>
        <v>3.0606617647058822</v>
      </c>
      <c r="R92" s="23">
        <f>MAX(0.8,MIN(1.2,P92/AVERAGE(TEAM_ANALYSIS!$W$2:$W$21)))</f>
        <v>1.0596885813148789</v>
      </c>
      <c r="S92">
        <f>MAX(0.8,MIN(1.2,AVERAGE(TEAM_ANALYSIS!$W$2:$W$21)/Q92))</f>
        <v>0.8</v>
      </c>
      <c r="T92">
        <f>AVERAGE(R92,S92)</f>
        <v>0.92984429065743945</v>
      </c>
    </row>
    <row r="93" spans="1:20" x14ac:dyDescent="0.25">
      <c r="A93">
        <v>5</v>
      </c>
      <c r="B93" t="b">
        <v>0</v>
      </c>
      <c r="C93" s="6">
        <v>46284.520833333336</v>
      </c>
      <c r="D93" t="b">
        <v>0</v>
      </c>
      <c r="E93">
        <v>2</v>
      </c>
      <c r="F93">
        <v>19</v>
      </c>
      <c r="G93">
        <v>3</v>
      </c>
      <c r="H93" t="s">
        <v>1111</v>
      </c>
      <c r="I93" t="s">
        <v>1070</v>
      </c>
      <c r="J93" t="s">
        <v>1104</v>
      </c>
      <c r="K93" t="str">
        <f>tblTeamFixtures[[#This Row],[Team_name]]&amp;"_"&amp;tblTeamFixtures[[#This Row],[GW]]</f>
        <v>AVL_5</v>
      </c>
      <c r="L93">
        <f>IFERROR(INDEX(TEAM_ANALYSIS!$Y:$Y,MATCH($E93,TEAM_ANALYSIS!$A:$A,0)),1)</f>
        <v>0.5</v>
      </c>
      <c r="M93">
        <f>IFERROR(INDEX(TEAM_ANALYSIS!$Z:$Z,MATCH($E93,TEAM_ANALYSIS!$A:$A,0)),1)</f>
        <v>1.088235294117647</v>
      </c>
      <c r="N93">
        <f>IFERROR(INDEX(TEAM_ANALYSIS!$Y:$Y,MATCH($F93,TEAM_ANALYSIS!$A:$A,0)),1)</f>
        <v>0.5</v>
      </c>
      <c r="O93">
        <f>IFERROR(INDEX(TEAM_ANALYSIS!$Z:$Z,MATCH($F93,TEAM_ANALYSIS!$A:$A,0)),1)</f>
        <v>1.088235294117647</v>
      </c>
      <c r="P93">
        <f>MAX(0.05,AVERAGE(TEAM_ANALYSIS!$W$2:$W$21)*L93*O93)</f>
        <v>1.15625</v>
      </c>
      <c r="Q93">
        <f>MAX(0.05,AVERAGE(TEAM_ANALYSIS!$W$2:$W$21)*N93*M93)</f>
        <v>1.15625</v>
      </c>
      <c r="R93" s="23">
        <f>MAX(0.8,MIN(1.2,P93/AVERAGE(TEAM_ANALYSIS!$W$2:$W$21)))</f>
        <v>0.8</v>
      </c>
      <c r="S93">
        <f>MAX(0.8,MIN(1.2,AVERAGE(TEAM_ANALYSIS!$W$2:$W$21)/Q93))</f>
        <v>1.2</v>
      </c>
      <c r="T93">
        <f>AVERAGE(R93,S93)</f>
        <v>1</v>
      </c>
    </row>
    <row r="94" spans="1:20" x14ac:dyDescent="0.25">
      <c r="A94">
        <v>5</v>
      </c>
      <c r="B94" t="b">
        <v>0</v>
      </c>
      <c r="C94" s="6">
        <v>46284.625</v>
      </c>
      <c r="D94" t="b">
        <v>0</v>
      </c>
      <c r="E94">
        <v>1</v>
      </c>
      <c r="F94">
        <v>5</v>
      </c>
      <c r="G94">
        <v>3</v>
      </c>
      <c r="H94" t="s">
        <v>1111</v>
      </c>
      <c r="I94" t="s">
        <v>1068</v>
      </c>
      <c r="J94" t="s">
        <v>1076</v>
      </c>
      <c r="K94" t="str">
        <f>tblTeamFixtures[[#This Row],[Team_name]]&amp;"_"&amp;tblTeamFixtures[[#This Row],[GW]]</f>
        <v>ARS_5</v>
      </c>
      <c r="L94">
        <f>IFERROR(INDEX(TEAM_ANALYSIS!$Y:$Y,MATCH($E94,TEAM_ANALYSIS!$A:$A,0)),1)</f>
        <v>1.2058823529411764</v>
      </c>
      <c r="M94">
        <f>IFERROR(INDEX(TEAM_ANALYSIS!$Z:$Z,MATCH($E94,TEAM_ANALYSIS!$A:$A,0)),1)</f>
        <v>0.61764705882352944</v>
      </c>
      <c r="N94">
        <f>IFERROR(INDEX(TEAM_ANALYSIS!$Y:$Y,MATCH($F94,TEAM_ANALYSIS!$A:$A,0)),1)</f>
        <v>1.4411764705882353</v>
      </c>
      <c r="O94">
        <f>IFERROR(INDEX(TEAM_ANALYSIS!$Z:$Z,MATCH($F94,TEAM_ANALYSIS!$A:$A,0)),1)</f>
        <v>1.088235294117647</v>
      </c>
      <c r="P94">
        <f>MAX(0.05,AVERAGE(TEAM_ANALYSIS!$W$2:$W$21)*L94*O94)</f>
        <v>2.7886029411764706</v>
      </c>
      <c r="Q94">
        <f>MAX(0.05,AVERAGE(TEAM_ANALYSIS!$W$2:$W$21)*N94*M94)</f>
        <v>1.8915441176470589</v>
      </c>
      <c r="R94" s="23">
        <f>MAX(0.8,MIN(1.2,P94/AVERAGE(TEAM_ANALYSIS!$W$2:$W$21)))</f>
        <v>1.2</v>
      </c>
      <c r="S94">
        <f>MAX(0.8,MIN(1.2,AVERAGE(TEAM_ANALYSIS!$W$2:$W$21)/Q94))</f>
        <v>1.1234207968901846</v>
      </c>
      <c r="T94">
        <f>AVERAGE(R94,S94)</f>
        <v>1.1617103984450923</v>
      </c>
    </row>
    <row r="95" spans="1:20" x14ac:dyDescent="0.25">
      <c r="A95">
        <v>5</v>
      </c>
      <c r="B95" t="b">
        <v>0</v>
      </c>
      <c r="C95" s="6">
        <v>46284.625</v>
      </c>
      <c r="D95" t="b">
        <v>0</v>
      </c>
      <c r="E95">
        <v>12</v>
      </c>
      <c r="F95">
        <v>9</v>
      </c>
      <c r="G95">
        <v>3</v>
      </c>
      <c r="H95" t="s">
        <v>1111</v>
      </c>
      <c r="I95" t="s">
        <v>1090</v>
      </c>
      <c r="J95" t="s">
        <v>1084</v>
      </c>
      <c r="K95" t="str">
        <f>tblTeamFixtures[[#This Row],[Team_name]]&amp;"_"&amp;tblTeamFixtures[[#This Row],[GW]]</f>
        <v>IPS_5</v>
      </c>
      <c r="L95">
        <f>IFERROR(INDEX(TEAM_ANALYSIS!$Y:$Y,MATCH($E95,TEAM_ANALYSIS!$A:$A,0)),1)</f>
        <v>0.97058823529411764</v>
      </c>
      <c r="M95">
        <f>IFERROR(INDEX(TEAM_ANALYSIS!$Z:$Z,MATCH($E95,TEAM_ANALYSIS!$A:$A,0)),1)</f>
        <v>1.4411764705882353</v>
      </c>
      <c r="N95">
        <f>IFERROR(INDEX(TEAM_ANALYSIS!$Y:$Y,MATCH($F95,TEAM_ANALYSIS!$A:$A,0)),1)</f>
        <v>1.088235294117647</v>
      </c>
      <c r="O95">
        <f>IFERROR(INDEX(TEAM_ANALYSIS!$Z:$Z,MATCH($F95,TEAM_ANALYSIS!$A:$A,0)),1)</f>
        <v>0.8529411764705882</v>
      </c>
      <c r="P95">
        <f>MAX(0.05,AVERAGE(TEAM_ANALYSIS!$W$2:$W$21)*L95*O95)</f>
        <v>1.7591911764705881</v>
      </c>
      <c r="Q95">
        <f>MAX(0.05,AVERAGE(TEAM_ANALYSIS!$W$2:$W$21)*N95*M95)</f>
        <v>3.3327205882352939</v>
      </c>
      <c r="R95" s="23">
        <f>MAX(0.8,MIN(1.2,P95/AVERAGE(TEAM_ANALYSIS!$W$2:$W$21)))</f>
        <v>0.82785467128027679</v>
      </c>
      <c r="S95">
        <f>MAX(0.8,MIN(1.2,AVERAGE(TEAM_ANALYSIS!$W$2:$W$21)/Q95))</f>
        <v>0.8</v>
      </c>
      <c r="T95">
        <f>AVERAGE(R95,S95)</f>
        <v>0.81392733564013842</v>
      </c>
    </row>
    <row r="96" spans="1:20" x14ac:dyDescent="0.25">
      <c r="A96">
        <v>5</v>
      </c>
      <c r="B96" t="b">
        <v>0</v>
      </c>
      <c r="C96" s="6">
        <v>46284.625</v>
      </c>
      <c r="D96" t="b">
        <v>0</v>
      </c>
      <c r="E96">
        <v>11</v>
      </c>
      <c r="F96">
        <v>17</v>
      </c>
      <c r="G96">
        <v>3</v>
      </c>
      <c r="H96" t="s">
        <v>1111</v>
      </c>
      <c r="I96" t="s">
        <v>1088</v>
      </c>
      <c r="J96" t="s">
        <v>1100</v>
      </c>
      <c r="K96" t="str">
        <f>tblTeamFixtures[[#This Row],[Team_name]]&amp;"_"&amp;tblTeamFixtures[[#This Row],[GW]]</f>
        <v>HUL_5</v>
      </c>
      <c r="L96">
        <f>IFERROR(INDEX(TEAM_ANALYSIS!$Y:$Y,MATCH($E96,TEAM_ANALYSIS!$A:$A,0)),1)</f>
        <v>0.8529411764705882</v>
      </c>
      <c r="M96">
        <f>IFERROR(INDEX(TEAM_ANALYSIS!$Z:$Z,MATCH($E96,TEAM_ANALYSIS!$A:$A,0)),1)</f>
        <v>0.5</v>
      </c>
      <c r="N96">
        <f>IFERROR(INDEX(TEAM_ANALYSIS!$Y:$Y,MATCH($F96,TEAM_ANALYSIS!$A:$A,0)),1)</f>
        <v>1.2058823529411764</v>
      </c>
      <c r="O96">
        <f>IFERROR(INDEX(TEAM_ANALYSIS!$Z:$Z,MATCH($F96,TEAM_ANALYSIS!$A:$A,0)),1)</f>
        <v>0.97058823529411764</v>
      </c>
      <c r="P96">
        <f>MAX(0.05,AVERAGE(TEAM_ANALYSIS!$W$2:$W$21)*L96*O96)</f>
        <v>1.7591911764705883</v>
      </c>
      <c r="Q96">
        <f>MAX(0.05,AVERAGE(TEAM_ANALYSIS!$W$2:$W$21)*N96*M96)</f>
        <v>1.28125</v>
      </c>
      <c r="R96" s="23">
        <f>MAX(0.8,MIN(1.2,P96/AVERAGE(TEAM_ANALYSIS!$W$2:$W$21)))</f>
        <v>0.8278546712802769</v>
      </c>
      <c r="S96">
        <f>MAX(0.8,MIN(1.2,AVERAGE(TEAM_ANALYSIS!$W$2:$W$21)/Q96))</f>
        <v>1.2</v>
      </c>
      <c r="T96">
        <f>AVERAGE(R96,S96)</f>
        <v>1.0139273356401384</v>
      </c>
    </row>
    <row r="97" spans="1:20" x14ac:dyDescent="0.25">
      <c r="A97">
        <v>5</v>
      </c>
      <c r="B97" t="b">
        <v>0</v>
      </c>
      <c r="C97" s="6">
        <v>46284.729166666664</v>
      </c>
      <c r="D97" t="b">
        <v>0</v>
      </c>
      <c r="E97">
        <v>7</v>
      </c>
      <c r="F97">
        <v>18</v>
      </c>
      <c r="G97">
        <v>3</v>
      </c>
      <c r="H97" t="s">
        <v>1111</v>
      </c>
      <c r="I97" t="s">
        <v>1080</v>
      </c>
      <c r="J97" t="s">
        <v>1102</v>
      </c>
      <c r="K97" t="str">
        <f>tblTeamFixtures[[#This Row],[Team_name]]&amp;"_"&amp;tblTeamFixtures[[#This Row],[GW]]</f>
        <v>COV_5</v>
      </c>
      <c r="L97">
        <f>IFERROR(INDEX(TEAM_ANALYSIS!$Y:$Y,MATCH($E97,TEAM_ANALYSIS!$A:$A,0)),1)</f>
        <v>0.5</v>
      </c>
      <c r="M97">
        <f>IFERROR(INDEX(TEAM_ANALYSIS!$Z:$Z,MATCH($E97,TEAM_ANALYSIS!$A:$A,0)),1)</f>
        <v>1.088235294117647</v>
      </c>
      <c r="N97">
        <f>IFERROR(INDEX(TEAM_ANALYSIS!$Y:$Y,MATCH($F97,TEAM_ANALYSIS!$A:$A,0)),1)</f>
        <v>0.73529411764705888</v>
      </c>
      <c r="O97">
        <f>IFERROR(INDEX(TEAM_ANALYSIS!$Z:$Z,MATCH($F97,TEAM_ANALYSIS!$A:$A,0)),1)</f>
        <v>0.8529411764705882</v>
      </c>
      <c r="P97">
        <f>MAX(0.05,AVERAGE(TEAM_ANALYSIS!$W$2:$W$21)*L97*O97)</f>
        <v>0.90625</v>
      </c>
      <c r="Q97">
        <f>MAX(0.05,AVERAGE(TEAM_ANALYSIS!$W$2:$W$21)*N97*M97)</f>
        <v>1.7003676470588234</v>
      </c>
      <c r="R97" s="23">
        <f>MAX(0.8,MIN(1.2,P97/AVERAGE(TEAM_ANALYSIS!$W$2:$W$21)))</f>
        <v>0.8</v>
      </c>
      <c r="S97">
        <f>MAX(0.8,MIN(1.2,AVERAGE(TEAM_ANALYSIS!$W$2:$W$21)/Q97))</f>
        <v>1.2</v>
      </c>
      <c r="T97">
        <f>AVERAGE(R97,S97)</f>
        <v>1</v>
      </c>
    </row>
    <row r="98" spans="1:20" x14ac:dyDescent="0.25">
      <c r="A98">
        <v>5</v>
      </c>
      <c r="B98" t="b">
        <v>0</v>
      </c>
      <c r="C98" s="6">
        <v>46285.583333333336</v>
      </c>
      <c r="D98" t="b">
        <v>0</v>
      </c>
      <c r="E98">
        <v>14</v>
      </c>
      <c r="F98">
        <v>3</v>
      </c>
      <c r="G98">
        <v>3</v>
      </c>
      <c r="H98" t="s">
        <v>1111</v>
      </c>
      <c r="I98" t="s">
        <v>1094</v>
      </c>
      <c r="J98" t="s">
        <v>1072</v>
      </c>
      <c r="K98" t="str">
        <f>tblTeamFixtures[[#This Row],[Team_name]]&amp;"_"&amp;tblTeamFixtures[[#This Row],[GW]]</f>
        <v>LIV_5</v>
      </c>
      <c r="L98">
        <f>IFERROR(INDEX(TEAM_ANALYSIS!$Y:$Y,MATCH($E98,TEAM_ANALYSIS!$A:$A,0)),1)</f>
        <v>1.2058823529411764</v>
      </c>
      <c r="M98">
        <f>IFERROR(INDEX(TEAM_ANALYSIS!$Z:$Z,MATCH($E98,TEAM_ANALYSIS!$A:$A,0)),1)</f>
        <v>0.97058823529411764</v>
      </c>
      <c r="N98">
        <f>IFERROR(INDEX(TEAM_ANALYSIS!$Y:$Y,MATCH($F98,TEAM_ANALYSIS!$A:$A,0)),1)</f>
        <v>0.97058823529411764</v>
      </c>
      <c r="O98">
        <f>IFERROR(INDEX(TEAM_ANALYSIS!$Z:$Z,MATCH($F98,TEAM_ANALYSIS!$A:$A,0)),1)</f>
        <v>1.088235294117647</v>
      </c>
      <c r="P98">
        <f>MAX(0.05,AVERAGE(TEAM_ANALYSIS!$W$2:$W$21)*L98*O98)</f>
        <v>2.7886029411764706</v>
      </c>
      <c r="Q98">
        <f>MAX(0.05,AVERAGE(TEAM_ANALYSIS!$W$2:$W$21)*N98*M98)</f>
        <v>2.0018382352941178</v>
      </c>
      <c r="R98" s="23">
        <f>MAX(0.8,MIN(1.2,P98/AVERAGE(TEAM_ANALYSIS!$W$2:$W$21)))</f>
        <v>1.2</v>
      </c>
      <c r="S98">
        <f>MAX(0.8,MIN(1.2,AVERAGE(TEAM_ANALYSIS!$W$2:$W$21)/Q98))</f>
        <v>1.061524334251607</v>
      </c>
      <c r="T98">
        <f>AVERAGE(R98,S98)</f>
        <v>1.1307621671258035</v>
      </c>
    </row>
    <row r="99" spans="1:20" x14ac:dyDescent="0.25">
      <c r="A99">
        <v>5</v>
      </c>
      <c r="B99" t="b">
        <v>0</v>
      </c>
      <c r="C99" s="6">
        <v>46285.583333333336</v>
      </c>
      <c r="D99" t="b">
        <v>0</v>
      </c>
      <c r="E99">
        <v>8</v>
      </c>
      <c r="F99">
        <v>13</v>
      </c>
      <c r="G99">
        <v>3</v>
      </c>
      <c r="H99" t="s">
        <v>1111</v>
      </c>
      <c r="I99" t="s">
        <v>1082</v>
      </c>
      <c r="J99" t="s">
        <v>1092</v>
      </c>
      <c r="K99" t="str">
        <f>tblTeamFixtures[[#This Row],[Team_name]]&amp;"_"&amp;tblTeamFixtures[[#This Row],[GW]]</f>
        <v>CRY_5</v>
      </c>
      <c r="L99">
        <f>IFERROR(INDEX(TEAM_ANALYSIS!$Y:$Y,MATCH($E99,TEAM_ANALYSIS!$A:$A,0)),1)</f>
        <v>0.97058823529411764</v>
      </c>
      <c r="M99">
        <f>IFERROR(INDEX(TEAM_ANALYSIS!$Z:$Z,MATCH($E99,TEAM_ANALYSIS!$A:$A,0)),1)</f>
        <v>1.4411764705882353</v>
      </c>
      <c r="N99">
        <f>IFERROR(INDEX(TEAM_ANALYSIS!$Y:$Y,MATCH($F99,TEAM_ANALYSIS!$A:$A,0)),1)</f>
        <v>0.8529411764705882</v>
      </c>
      <c r="O99">
        <f>IFERROR(INDEX(TEAM_ANALYSIS!$Z:$Z,MATCH($F99,TEAM_ANALYSIS!$A:$A,0)),1)</f>
        <v>0.73529411764705888</v>
      </c>
      <c r="P99">
        <f>MAX(0.05,AVERAGE(TEAM_ANALYSIS!$W$2:$W$21)*L99*O99)</f>
        <v>1.5165441176470589</v>
      </c>
      <c r="Q99">
        <f>MAX(0.05,AVERAGE(TEAM_ANALYSIS!$W$2:$W$21)*N99*M99)</f>
        <v>2.6121323529411766</v>
      </c>
      <c r="R99" s="23">
        <f>MAX(0.8,MIN(1.2,P99/AVERAGE(TEAM_ANALYSIS!$W$2:$W$21)))</f>
        <v>0.8</v>
      </c>
      <c r="S99">
        <f>MAX(0.8,MIN(1.2,AVERAGE(TEAM_ANALYSIS!$W$2:$W$21)/Q99))</f>
        <v>0.81351161154116813</v>
      </c>
      <c r="T99">
        <f>AVERAGE(R99,S99)</f>
        <v>0.80675580577058414</v>
      </c>
    </row>
    <row r="100" spans="1:20" x14ac:dyDescent="0.25">
      <c r="A100">
        <v>5</v>
      </c>
      <c r="B100" t="b">
        <v>0</v>
      </c>
      <c r="C100" s="6">
        <v>46285.583333333336</v>
      </c>
      <c r="D100" t="b">
        <v>0</v>
      </c>
      <c r="E100">
        <v>20</v>
      </c>
      <c r="F100">
        <v>15</v>
      </c>
      <c r="G100">
        <v>5</v>
      </c>
      <c r="H100" t="s">
        <v>1111</v>
      </c>
      <c r="I100" t="s">
        <v>1106</v>
      </c>
      <c r="J100" t="s">
        <v>1096</v>
      </c>
      <c r="K100" t="str">
        <f>tblTeamFixtures[[#This Row],[Team_name]]&amp;"_"&amp;tblTeamFixtures[[#This Row],[GW]]</f>
        <v>SUN_5</v>
      </c>
      <c r="L100">
        <f>IFERROR(INDEX(TEAM_ANALYSIS!$Y:$Y,MATCH($E100,TEAM_ANALYSIS!$A:$A,0)),1)</f>
        <v>0.8529411764705882</v>
      </c>
      <c r="M100">
        <f>IFERROR(INDEX(TEAM_ANALYSIS!$Z:$Z,MATCH($E100,TEAM_ANALYSIS!$A:$A,0)),1)</f>
        <v>0.8529411764705882</v>
      </c>
      <c r="N100">
        <f>IFERROR(INDEX(TEAM_ANALYSIS!$Y:$Y,MATCH($F100,TEAM_ANALYSIS!$A:$A,0)),1)</f>
        <v>1.3235294117647058</v>
      </c>
      <c r="O100">
        <f>IFERROR(INDEX(TEAM_ANALYSIS!$Z:$Z,MATCH($F100,TEAM_ANALYSIS!$A:$A,0)),1)</f>
        <v>0.73529411764705888</v>
      </c>
      <c r="P100">
        <f>MAX(0.05,AVERAGE(TEAM_ANALYSIS!$W$2:$W$21)*L100*O100)</f>
        <v>1.3327205882352942</v>
      </c>
      <c r="Q100">
        <f>MAX(0.05,AVERAGE(TEAM_ANALYSIS!$W$2:$W$21)*N100*M100)</f>
        <v>2.3988970588235294</v>
      </c>
      <c r="R100" s="23">
        <f>MAX(0.8,MIN(1.2,P100/AVERAGE(TEAM_ANALYSIS!$W$2:$W$21)))</f>
        <v>0.8</v>
      </c>
      <c r="S100">
        <f>MAX(0.8,MIN(1.2,AVERAGE(TEAM_ANALYSIS!$W$2:$W$21)/Q100))</f>
        <v>0.885823754789272</v>
      </c>
      <c r="T100">
        <f>AVERAGE(R100,S100)</f>
        <v>0.84291187739463602</v>
      </c>
    </row>
    <row r="101" spans="1:20" x14ac:dyDescent="0.25">
      <c r="A101">
        <v>5</v>
      </c>
      <c r="B101" t="b">
        <v>0</v>
      </c>
      <c r="C101" s="6">
        <v>46285.6875</v>
      </c>
      <c r="D101" t="b">
        <v>0</v>
      </c>
      <c r="E101">
        <v>16</v>
      </c>
      <c r="F101">
        <v>10</v>
      </c>
      <c r="G101">
        <v>3</v>
      </c>
      <c r="H101" t="s">
        <v>1111</v>
      </c>
      <c r="I101" t="s">
        <v>1098</v>
      </c>
      <c r="J101" t="s">
        <v>1086</v>
      </c>
      <c r="K101" t="str">
        <f>tblTeamFixtures[[#This Row],[Team_name]]&amp;"_"&amp;tblTeamFixtures[[#This Row],[GW]]</f>
        <v>MUN_5</v>
      </c>
      <c r="L101">
        <f>IFERROR(INDEX(TEAM_ANALYSIS!$Y:$Y,MATCH($E101,TEAM_ANALYSIS!$A:$A,0)),1)</f>
        <v>1.3235294117647058</v>
      </c>
      <c r="M101">
        <f>IFERROR(INDEX(TEAM_ANALYSIS!$Z:$Z,MATCH($E101,TEAM_ANALYSIS!$A:$A,0)),1)</f>
        <v>1.2058823529411764</v>
      </c>
      <c r="N101">
        <f>IFERROR(INDEX(TEAM_ANALYSIS!$Y:$Y,MATCH($F101,TEAM_ANALYSIS!$A:$A,0)),1)</f>
        <v>0.97058823529411764</v>
      </c>
      <c r="O101">
        <f>IFERROR(INDEX(TEAM_ANALYSIS!$Z:$Z,MATCH($F101,TEAM_ANALYSIS!$A:$A,0)),1)</f>
        <v>1.3235294117647058</v>
      </c>
      <c r="P101">
        <f>MAX(0.05,AVERAGE(TEAM_ANALYSIS!$W$2:$W$21)*L101*O101)</f>
        <v>3.7224264705882351</v>
      </c>
      <c r="Q101">
        <f>MAX(0.05,AVERAGE(TEAM_ANALYSIS!$W$2:$W$21)*N101*M101)</f>
        <v>2.4871323529411762</v>
      </c>
      <c r="R101" s="23">
        <f>MAX(0.8,MIN(1.2,P101/AVERAGE(TEAM_ANALYSIS!$W$2:$W$21)))</f>
        <v>1.2</v>
      </c>
      <c r="S101">
        <f>MAX(0.8,MIN(1.2,AVERAGE(TEAM_ANALYSIS!$W$2:$W$21)/Q101))</f>
        <v>0.85439763488543985</v>
      </c>
      <c r="T101">
        <f>AVERAGE(R101,S101)</f>
        <v>1.02719881744272</v>
      </c>
    </row>
    <row r="102" spans="1:20" x14ac:dyDescent="0.25">
      <c r="A102">
        <v>6</v>
      </c>
      <c r="B102" t="b">
        <v>0</v>
      </c>
      <c r="C102" s="6">
        <v>46305.520833333336</v>
      </c>
      <c r="D102" t="b">
        <v>0</v>
      </c>
      <c r="E102">
        <v>1</v>
      </c>
      <c r="F102">
        <v>13</v>
      </c>
      <c r="G102">
        <v>2</v>
      </c>
      <c r="H102" t="s">
        <v>1110</v>
      </c>
      <c r="I102" t="s">
        <v>1068</v>
      </c>
      <c r="J102" t="s">
        <v>1092</v>
      </c>
      <c r="K102" t="str">
        <f>tblTeamFixtures[[#This Row],[Team_name]]&amp;"_"&amp;tblTeamFixtures[[#This Row],[GW]]</f>
        <v>ARS_6</v>
      </c>
      <c r="L102">
        <f>IFERROR(INDEX(TEAM_ANALYSIS!$Y:$Y,MATCH($E102,TEAM_ANALYSIS!$A:$A,0)),1)</f>
        <v>1.2058823529411764</v>
      </c>
      <c r="M102">
        <f>IFERROR(INDEX(TEAM_ANALYSIS!$Z:$Z,MATCH($E102,TEAM_ANALYSIS!$A:$A,0)),1)</f>
        <v>0.61764705882352944</v>
      </c>
      <c r="N102">
        <f>IFERROR(INDEX(TEAM_ANALYSIS!$Y:$Y,MATCH($F102,TEAM_ANALYSIS!$A:$A,0)),1)</f>
        <v>0.8529411764705882</v>
      </c>
      <c r="O102">
        <f>IFERROR(INDEX(TEAM_ANALYSIS!$Z:$Z,MATCH($F102,TEAM_ANALYSIS!$A:$A,0)),1)</f>
        <v>0.73529411764705888</v>
      </c>
      <c r="P102">
        <f>MAX(0.05,AVERAGE(TEAM_ANALYSIS!$W$2:$W$21)*L102*O102)</f>
        <v>1.8841911764705883</v>
      </c>
      <c r="Q102">
        <f>MAX(0.05,AVERAGE(TEAM_ANALYSIS!$W$2:$W$21)*N102*M102)</f>
        <v>1.1194852941176472</v>
      </c>
      <c r="R102" s="23">
        <f>MAX(0.8,MIN(1.2,P102/AVERAGE(TEAM_ANALYSIS!$W$2:$W$21)))</f>
        <v>0.88667820069204151</v>
      </c>
      <c r="S102">
        <f>MAX(0.8,MIN(1.2,AVERAGE(TEAM_ANALYSIS!$W$2:$W$21)/Q102))</f>
        <v>1.2</v>
      </c>
      <c r="T102">
        <f>AVERAGE(R102,S102)</f>
        <v>1.0433391003460208</v>
      </c>
    </row>
    <row r="103" spans="1:20" x14ac:dyDescent="0.25">
      <c r="A103">
        <v>6</v>
      </c>
      <c r="B103" t="b">
        <v>0</v>
      </c>
      <c r="C103" s="6">
        <v>46305.625</v>
      </c>
      <c r="D103" t="b">
        <v>0</v>
      </c>
      <c r="E103">
        <v>2</v>
      </c>
      <c r="F103">
        <v>4</v>
      </c>
      <c r="G103">
        <v>3</v>
      </c>
      <c r="H103" t="s">
        <v>1110</v>
      </c>
      <c r="I103" t="s">
        <v>1070</v>
      </c>
      <c r="J103" t="s">
        <v>1074</v>
      </c>
      <c r="K103" t="str">
        <f>tblTeamFixtures[[#This Row],[Team_name]]&amp;"_"&amp;tblTeamFixtures[[#This Row],[GW]]</f>
        <v>AVL_6</v>
      </c>
      <c r="L103">
        <f>IFERROR(INDEX(TEAM_ANALYSIS!$Y:$Y,MATCH($E103,TEAM_ANALYSIS!$A:$A,0)),1)</f>
        <v>0.5</v>
      </c>
      <c r="M103">
        <f>IFERROR(INDEX(TEAM_ANALYSIS!$Z:$Z,MATCH($E103,TEAM_ANALYSIS!$A:$A,0)),1)</f>
        <v>1.088235294117647</v>
      </c>
      <c r="N103">
        <f>IFERROR(INDEX(TEAM_ANALYSIS!$Y:$Y,MATCH($F103,TEAM_ANALYSIS!$A:$A,0)),1)</f>
        <v>1.088235294117647</v>
      </c>
      <c r="O103">
        <f>IFERROR(INDEX(TEAM_ANALYSIS!$Z:$Z,MATCH($F103,TEAM_ANALYSIS!$A:$A,0)),1)</f>
        <v>0.73529411764705888</v>
      </c>
      <c r="P103">
        <f>MAX(0.05,AVERAGE(TEAM_ANALYSIS!$W$2:$W$21)*L103*O103)</f>
        <v>0.78125</v>
      </c>
      <c r="Q103">
        <f>MAX(0.05,AVERAGE(TEAM_ANALYSIS!$W$2:$W$21)*N103*M103)</f>
        <v>2.5165441176470584</v>
      </c>
      <c r="R103" s="23">
        <f>MAX(0.8,MIN(1.2,P103/AVERAGE(TEAM_ANALYSIS!$W$2:$W$21)))</f>
        <v>0.8</v>
      </c>
      <c r="S103">
        <f>MAX(0.8,MIN(1.2,AVERAGE(TEAM_ANALYSIS!$W$2:$W$21)/Q103))</f>
        <v>0.84441197954711478</v>
      </c>
      <c r="T103">
        <f>AVERAGE(R103,S103)</f>
        <v>0.82220598977355741</v>
      </c>
    </row>
    <row r="104" spans="1:20" x14ac:dyDescent="0.25">
      <c r="A104">
        <v>6</v>
      </c>
      <c r="B104" t="b">
        <v>0</v>
      </c>
      <c r="C104" s="6">
        <v>46305.625</v>
      </c>
      <c r="D104" t="b">
        <v>0</v>
      </c>
      <c r="E104">
        <v>6</v>
      </c>
      <c r="F104">
        <v>3</v>
      </c>
      <c r="G104">
        <v>3</v>
      </c>
      <c r="H104" t="s">
        <v>1110</v>
      </c>
      <c r="I104" t="s">
        <v>1078</v>
      </c>
      <c r="J104" t="s">
        <v>1072</v>
      </c>
      <c r="K104" t="str">
        <f>tblTeamFixtures[[#This Row],[Team_name]]&amp;"_"&amp;tblTeamFixtures[[#This Row],[GW]]</f>
        <v>CHE_6</v>
      </c>
      <c r="L104">
        <f>IFERROR(INDEX(TEAM_ANALYSIS!$Y:$Y,MATCH($E104,TEAM_ANALYSIS!$A:$A,0)),1)</f>
        <v>1.4411764705882353</v>
      </c>
      <c r="M104">
        <f>IFERROR(INDEX(TEAM_ANALYSIS!$Z:$Z,MATCH($E104,TEAM_ANALYSIS!$A:$A,0)),1)</f>
        <v>1.3235294117647058</v>
      </c>
      <c r="N104">
        <f>IFERROR(INDEX(TEAM_ANALYSIS!$Y:$Y,MATCH($F104,TEAM_ANALYSIS!$A:$A,0)),1)</f>
        <v>0.97058823529411764</v>
      </c>
      <c r="O104">
        <f>IFERROR(INDEX(TEAM_ANALYSIS!$Z:$Z,MATCH($F104,TEAM_ANALYSIS!$A:$A,0)),1)</f>
        <v>1.088235294117647</v>
      </c>
      <c r="P104">
        <f>MAX(0.05,AVERAGE(TEAM_ANALYSIS!$W$2:$W$21)*L104*O104)</f>
        <v>3.3327205882352939</v>
      </c>
      <c r="Q104">
        <f>MAX(0.05,AVERAGE(TEAM_ANALYSIS!$W$2:$W$21)*N104*M104)</f>
        <v>2.7297794117647056</v>
      </c>
      <c r="R104" s="23">
        <f>MAX(0.8,MIN(1.2,P104/AVERAGE(TEAM_ANALYSIS!$W$2:$W$21)))</f>
        <v>1.2</v>
      </c>
      <c r="S104">
        <f>MAX(0.8,MIN(1.2,AVERAGE(TEAM_ANALYSIS!$W$2:$W$21)/Q104))</f>
        <v>0.8</v>
      </c>
      <c r="T104">
        <f>AVERAGE(R104,S104)</f>
        <v>1</v>
      </c>
    </row>
    <row r="105" spans="1:20" x14ac:dyDescent="0.25">
      <c r="A105">
        <v>6</v>
      </c>
      <c r="B105" t="b">
        <v>0</v>
      </c>
      <c r="C105" s="6">
        <v>46305.625</v>
      </c>
      <c r="D105" t="b">
        <v>0</v>
      </c>
      <c r="E105">
        <v>12</v>
      </c>
      <c r="F105">
        <v>10</v>
      </c>
      <c r="G105">
        <v>2</v>
      </c>
      <c r="H105" t="s">
        <v>1110</v>
      </c>
      <c r="I105" t="s">
        <v>1090</v>
      </c>
      <c r="J105" t="s">
        <v>1086</v>
      </c>
      <c r="K105" t="str">
        <f>tblTeamFixtures[[#This Row],[Team_name]]&amp;"_"&amp;tblTeamFixtures[[#This Row],[GW]]</f>
        <v>IPS_6</v>
      </c>
      <c r="L105">
        <f>IFERROR(INDEX(TEAM_ANALYSIS!$Y:$Y,MATCH($E105,TEAM_ANALYSIS!$A:$A,0)),1)</f>
        <v>0.97058823529411764</v>
      </c>
      <c r="M105">
        <f>IFERROR(INDEX(TEAM_ANALYSIS!$Z:$Z,MATCH($E105,TEAM_ANALYSIS!$A:$A,0)),1)</f>
        <v>1.4411764705882353</v>
      </c>
      <c r="N105">
        <f>IFERROR(INDEX(TEAM_ANALYSIS!$Y:$Y,MATCH($F105,TEAM_ANALYSIS!$A:$A,0)),1)</f>
        <v>0.97058823529411764</v>
      </c>
      <c r="O105">
        <f>IFERROR(INDEX(TEAM_ANALYSIS!$Z:$Z,MATCH($F105,TEAM_ANALYSIS!$A:$A,0)),1)</f>
        <v>1.3235294117647058</v>
      </c>
      <c r="P105">
        <f>MAX(0.05,AVERAGE(TEAM_ANALYSIS!$W$2:$W$21)*L105*O105)</f>
        <v>2.7297794117647056</v>
      </c>
      <c r="Q105">
        <f>MAX(0.05,AVERAGE(TEAM_ANALYSIS!$W$2:$W$21)*N105*M105)</f>
        <v>2.9724264705882351</v>
      </c>
      <c r="R105" s="23">
        <f>MAX(0.8,MIN(1.2,P105/AVERAGE(TEAM_ANALYSIS!$W$2:$W$21)))</f>
        <v>1.2</v>
      </c>
      <c r="S105">
        <f>MAX(0.8,MIN(1.2,AVERAGE(TEAM_ANALYSIS!$W$2:$W$21)/Q105))</f>
        <v>0.8</v>
      </c>
      <c r="T105">
        <f>AVERAGE(R105,S105)</f>
        <v>1</v>
      </c>
    </row>
    <row r="106" spans="1:20" x14ac:dyDescent="0.25">
      <c r="A106">
        <v>6</v>
      </c>
      <c r="B106" t="b">
        <v>0</v>
      </c>
      <c r="C106" s="6">
        <v>46305.625</v>
      </c>
      <c r="D106" t="b">
        <v>0</v>
      </c>
      <c r="E106">
        <v>20</v>
      </c>
      <c r="F106">
        <v>5</v>
      </c>
      <c r="G106">
        <v>2</v>
      </c>
      <c r="H106" t="s">
        <v>1110</v>
      </c>
      <c r="I106" t="s">
        <v>1106</v>
      </c>
      <c r="J106" t="s">
        <v>1076</v>
      </c>
      <c r="K106" t="str">
        <f>tblTeamFixtures[[#This Row],[Team_name]]&amp;"_"&amp;tblTeamFixtures[[#This Row],[GW]]</f>
        <v>SUN_6</v>
      </c>
      <c r="L106">
        <f>IFERROR(INDEX(TEAM_ANALYSIS!$Y:$Y,MATCH($E106,TEAM_ANALYSIS!$A:$A,0)),1)</f>
        <v>0.8529411764705882</v>
      </c>
      <c r="M106">
        <f>IFERROR(INDEX(TEAM_ANALYSIS!$Z:$Z,MATCH($E106,TEAM_ANALYSIS!$A:$A,0)),1)</f>
        <v>0.8529411764705882</v>
      </c>
      <c r="N106">
        <f>IFERROR(INDEX(TEAM_ANALYSIS!$Y:$Y,MATCH($F106,TEAM_ANALYSIS!$A:$A,0)),1)</f>
        <v>1.4411764705882353</v>
      </c>
      <c r="O106">
        <f>IFERROR(INDEX(TEAM_ANALYSIS!$Z:$Z,MATCH($F106,TEAM_ANALYSIS!$A:$A,0)),1)</f>
        <v>1.088235294117647</v>
      </c>
      <c r="P106">
        <f>MAX(0.05,AVERAGE(TEAM_ANALYSIS!$W$2:$W$21)*L106*O106)</f>
        <v>1.9724264705882351</v>
      </c>
      <c r="Q106">
        <f>MAX(0.05,AVERAGE(TEAM_ANALYSIS!$W$2:$W$21)*N106*M106)</f>
        <v>2.6121323529411762</v>
      </c>
      <c r="R106" s="23">
        <f>MAX(0.8,MIN(1.2,P106/AVERAGE(TEAM_ANALYSIS!$W$2:$W$21)))</f>
        <v>0.92820069204152233</v>
      </c>
      <c r="S106">
        <f>MAX(0.8,MIN(1.2,AVERAGE(TEAM_ANALYSIS!$W$2:$W$21)/Q106))</f>
        <v>0.81351161154116824</v>
      </c>
      <c r="T106">
        <f>AVERAGE(R106,S106)</f>
        <v>0.87085615179134535</v>
      </c>
    </row>
    <row r="107" spans="1:20" x14ac:dyDescent="0.25">
      <c r="A107">
        <v>6</v>
      </c>
      <c r="B107" t="b">
        <v>0</v>
      </c>
      <c r="C107" s="6">
        <v>46305.729166666664</v>
      </c>
      <c r="D107" t="b">
        <v>0</v>
      </c>
      <c r="E107">
        <v>16</v>
      </c>
      <c r="F107">
        <v>19</v>
      </c>
      <c r="G107">
        <v>3</v>
      </c>
      <c r="H107" t="s">
        <v>1110</v>
      </c>
      <c r="I107" t="s">
        <v>1098</v>
      </c>
      <c r="J107" t="s">
        <v>1104</v>
      </c>
      <c r="K107" t="str">
        <f>tblTeamFixtures[[#This Row],[Team_name]]&amp;"_"&amp;tblTeamFixtures[[#This Row],[GW]]</f>
        <v>MUN_6</v>
      </c>
      <c r="L107">
        <f>IFERROR(INDEX(TEAM_ANALYSIS!$Y:$Y,MATCH($E107,TEAM_ANALYSIS!$A:$A,0)),1)</f>
        <v>1.3235294117647058</v>
      </c>
      <c r="M107">
        <f>IFERROR(INDEX(TEAM_ANALYSIS!$Z:$Z,MATCH($E107,TEAM_ANALYSIS!$A:$A,0)),1)</f>
        <v>1.2058823529411764</v>
      </c>
      <c r="N107">
        <f>IFERROR(INDEX(TEAM_ANALYSIS!$Y:$Y,MATCH($F107,TEAM_ANALYSIS!$A:$A,0)),1)</f>
        <v>0.5</v>
      </c>
      <c r="O107">
        <f>IFERROR(INDEX(TEAM_ANALYSIS!$Z:$Z,MATCH($F107,TEAM_ANALYSIS!$A:$A,0)),1)</f>
        <v>1.088235294117647</v>
      </c>
      <c r="P107">
        <f>MAX(0.05,AVERAGE(TEAM_ANALYSIS!$W$2:$W$21)*L107*O107)</f>
        <v>3.0606617647058822</v>
      </c>
      <c r="Q107">
        <f>MAX(0.05,AVERAGE(TEAM_ANALYSIS!$W$2:$W$21)*N107*M107)</f>
        <v>1.28125</v>
      </c>
      <c r="R107" s="23">
        <f>MAX(0.8,MIN(1.2,P107/AVERAGE(TEAM_ANALYSIS!$W$2:$W$21)))</f>
        <v>1.2</v>
      </c>
      <c r="S107">
        <f>MAX(0.8,MIN(1.2,AVERAGE(TEAM_ANALYSIS!$W$2:$W$21)/Q107))</f>
        <v>1.2</v>
      </c>
      <c r="T107">
        <f>AVERAGE(R107,S107)</f>
        <v>1.2</v>
      </c>
    </row>
    <row r="108" spans="1:20" x14ac:dyDescent="0.25">
      <c r="A108">
        <v>6</v>
      </c>
      <c r="B108" t="b">
        <v>0</v>
      </c>
      <c r="C108" s="6">
        <v>46306.583333333336</v>
      </c>
      <c r="D108" t="b">
        <v>0</v>
      </c>
      <c r="E108">
        <v>8</v>
      </c>
      <c r="F108">
        <v>18</v>
      </c>
      <c r="G108">
        <v>3</v>
      </c>
      <c r="H108" t="s">
        <v>1110</v>
      </c>
      <c r="I108" t="s">
        <v>1082</v>
      </c>
      <c r="J108" t="s">
        <v>1102</v>
      </c>
      <c r="K108" t="str">
        <f>tblTeamFixtures[[#This Row],[Team_name]]&amp;"_"&amp;tblTeamFixtures[[#This Row],[GW]]</f>
        <v>CRY_6</v>
      </c>
      <c r="L108">
        <f>IFERROR(INDEX(TEAM_ANALYSIS!$Y:$Y,MATCH($E108,TEAM_ANALYSIS!$A:$A,0)),1)</f>
        <v>0.97058823529411764</v>
      </c>
      <c r="M108">
        <f>IFERROR(INDEX(TEAM_ANALYSIS!$Z:$Z,MATCH($E108,TEAM_ANALYSIS!$A:$A,0)),1)</f>
        <v>1.4411764705882353</v>
      </c>
      <c r="N108">
        <f>IFERROR(INDEX(TEAM_ANALYSIS!$Y:$Y,MATCH($F108,TEAM_ANALYSIS!$A:$A,0)),1)</f>
        <v>0.73529411764705888</v>
      </c>
      <c r="O108">
        <f>IFERROR(INDEX(TEAM_ANALYSIS!$Z:$Z,MATCH($F108,TEAM_ANALYSIS!$A:$A,0)),1)</f>
        <v>0.8529411764705882</v>
      </c>
      <c r="P108">
        <f>MAX(0.05,AVERAGE(TEAM_ANALYSIS!$W$2:$W$21)*L108*O108)</f>
        <v>1.7591911764705881</v>
      </c>
      <c r="Q108">
        <f>MAX(0.05,AVERAGE(TEAM_ANALYSIS!$W$2:$W$21)*N108*M108)</f>
        <v>2.2518382352941178</v>
      </c>
      <c r="R108" s="23">
        <f>MAX(0.8,MIN(1.2,P108/AVERAGE(TEAM_ANALYSIS!$W$2:$W$21)))</f>
        <v>0.82785467128027679</v>
      </c>
      <c r="S108">
        <f>MAX(0.8,MIN(1.2,AVERAGE(TEAM_ANALYSIS!$W$2:$W$21)/Q108))</f>
        <v>0.94367346938775509</v>
      </c>
      <c r="T108">
        <f>AVERAGE(R108,S108)</f>
        <v>0.88576407033401594</v>
      </c>
    </row>
    <row r="109" spans="1:20" x14ac:dyDescent="0.25">
      <c r="A109">
        <v>6</v>
      </c>
      <c r="B109" t="b">
        <v>0</v>
      </c>
      <c r="C109" s="6">
        <v>46306.583333333336</v>
      </c>
      <c r="D109" t="b">
        <v>0</v>
      </c>
      <c r="E109">
        <v>11</v>
      </c>
      <c r="F109">
        <v>9</v>
      </c>
      <c r="G109">
        <v>3</v>
      </c>
      <c r="H109" t="s">
        <v>1110</v>
      </c>
      <c r="I109" t="s">
        <v>1088</v>
      </c>
      <c r="J109" t="s">
        <v>1084</v>
      </c>
      <c r="K109" t="str">
        <f>tblTeamFixtures[[#This Row],[Team_name]]&amp;"_"&amp;tblTeamFixtures[[#This Row],[GW]]</f>
        <v>HUL_6</v>
      </c>
      <c r="L109">
        <f>IFERROR(INDEX(TEAM_ANALYSIS!$Y:$Y,MATCH($E109,TEAM_ANALYSIS!$A:$A,0)),1)</f>
        <v>0.8529411764705882</v>
      </c>
      <c r="M109">
        <f>IFERROR(INDEX(TEAM_ANALYSIS!$Z:$Z,MATCH($E109,TEAM_ANALYSIS!$A:$A,0)),1)</f>
        <v>0.5</v>
      </c>
      <c r="N109">
        <f>IFERROR(INDEX(TEAM_ANALYSIS!$Y:$Y,MATCH($F109,TEAM_ANALYSIS!$A:$A,0)),1)</f>
        <v>1.088235294117647</v>
      </c>
      <c r="O109">
        <f>IFERROR(INDEX(TEAM_ANALYSIS!$Z:$Z,MATCH($F109,TEAM_ANALYSIS!$A:$A,0)),1)</f>
        <v>0.8529411764705882</v>
      </c>
      <c r="P109">
        <f>MAX(0.05,AVERAGE(TEAM_ANALYSIS!$W$2:$W$21)*L109*O109)</f>
        <v>1.5459558823529411</v>
      </c>
      <c r="Q109">
        <f>MAX(0.05,AVERAGE(TEAM_ANALYSIS!$W$2:$W$21)*N109*M109)</f>
        <v>1.15625</v>
      </c>
      <c r="R109" s="23">
        <f>MAX(0.8,MIN(1.2,P109/AVERAGE(TEAM_ANALYSIS!$W$2:$W$21)))</f>
        <v>0.8</v>
      </c>
      <c r="S109">
        <f>MAX(0.8,MIN(1.2,AVERAGE(TEAM_ANALYSIS!$W$2:$W$21)/Q109))</f>
        <v>1.2</v>
      </c>
      <c r="T109">
        <f>AVERAGE(R109,S109)</f>
        <v>1</v>
      </c>
    </row>
    <row r="110" spans="1:20" x14ac:dyDescent="0.25">
      <c r="A110">
        <v>6</v>
      </c>
      <c r="B110" t="b">
        <v>0</v>
      </c>
      <c r="C110" s="6">
        <v>46306.6875</v>
      </c>
      <c r="D110" t="b">
        <v>0</v>
      </c>
      <c r="E110">
        <v>14</v>
      </c>
      <c r="F110">
        <v>15</v>
      </c>
      <c r="G110">
        <v>4</v>
      </c>
      <c r="H110" t="s">
        <v>1110</v>
      </c>
      <c r="I110" t="s">
        <v>1094</v>
      </c>
      <c r="J110" t="s">
        <v>1096</v>
      </c>
      <c r="K110" t="str">
        <f>tblTeamFixtures[[#This Row],[Team_name]]&amp;"_"&amp;tblTeamFixtures[[#This Row],[GW]]</f>
        <v>LIV_6</v>
      </c>
      <c r="L110">
        <f>IFERROR(INDEX(TEAM_ANALYSIS!$Y:$Y,MATCH($E110,TEAM_ANALYSIS!$A:$A,0)),1)</f>
        <v>1.2058823529411764</v>
      </c>
      <c r="M110">
        <f>IFERROR(INDEX(TEAM_ANALYSIS!$Z:$Z,MATCH($E110,TEAM_ANALYSIS!$A:$A,0)),1)</f>
        <v>0.97058823529411764</v>
      </c>
      <c r="N110">
        <f>IFERROR(INDEX(TEAM_ANALYSIS!$Y:$Y,MATCH($F110,TEAM_ANALYSIS!$A:$A,0)),1)</f>
        <v>1.3235294117647058</v>
      </c>
      <c r="O110">
        <f>IFERROR(INDEX(TEAM_ANALYSIS!$Z:$Z,MATCH($F110,TEAM_ANALYSIS!$A:$A,0)),1)</f>
        <v>0.73529411764705888</v>
      </c>
      <c r="P110">
        <f>MAX(0.05,AVERAGE(TEAM_ANALYSIS!$W$2:$W$21)*L110*O110)</f>
        <v>1.8841911764705883</v>
      </c>
      <c r="Q110">
        <f>MAX(0.05,AVERAGE(TEAM_ANALYSIS!$W$2:$W$21)*N110*M110)</f>
        <v>2.7297794117647061</v>
      </c>
      <c r="R110" s="23">
        <f>MAX(0.8,MIN(1.2,P110/AVERAGE(TEAM_ANALYSIS!$W$2:$W$21)))</f>
        <v>0.88667820069204151</v>
      </c>
      <c r="S110">
        <f>MAX(0.8,MIN(1.2,AVERAGE(TEAM_ANALYSIS!$W$2:$W$21)/Q110))</f>
        <v>0.8</v>
      </c>
      <c r="T110">
        <f>AVERAGE(R110,S110)</f>
        <v>0.84333910034602078</v>
      </c>
    </row>
    <row r="111" spans="1:20" x14ac:dyDescent="0.25">
      <c r="A111">
        <v>6</v>
      </c>
      <c r="B111" t="b">
        <v>0</v>
      </c>
      <c r="C111" s="6">
        <v>46307.833333333336</v>
      </c>
      <c r="D111" t="b">
        <v>0</v>
      </c>
      <c r="E111">
        <v>7</v>
      </c>
      <c r="F111">
        <v>17</v>
      </c>
      <c r="G111">
        <v>2</v>
      </c>
      <c r="H111" t="s">
        <v>1110</v>
      </c>
      <c r="I111" t="s">
        <v>1080</v>
      </c>
      <c r="J111" t="s">
        <v>1100</v>
      </c>
      <c r="K111" t="str">
        <f>tblTeamFixtures[[#This Row],[Team_name]]&amp;"_"&amp;tblTeamFixtures[[#This Row],[GW]]</f>
        <v>COV_6</v>
      </c>
      <c r="L111">
        <f>IFERROR(INDEX(TEAM_ANALYSIS!$Y:$Y,MATCH($E111,TEAM_ANALYSIS!$A:$A,0)),1)</f>
        <v>0.5</v>
      </c>
      <c r="M111">
        <f>IFERROR(INDEX(TEAM_ANALYSIS!$Z:$Z,MATCH($E111,TEAM_ANALYSIS!$A:$A,0)),1)</f>
        <v>1.088235294117647</v>
      </c>
      <c r="N111">
        <f>IFERROR(INDEX(TEAM_ANALYSIS!$Y:$Y,MATCH($F111,TEAM_ANALYSIS!$A:$A,0)),1)</f>
        <v>1.2058823529411764</v>
      </c>
      <c r="O111">
        <f>IFERROR(INDEX(TEAM_ANALYSIS!$Z:$Z,MATCH($F111,TEAM_ANALYSIS!$A:$A,0)),1)</f>
        <v>0.97058823529411764</v>
      </c>
      <c r="P111">
        <f>MAX(0.05,AVERAGE(TEAM_ANALYSIS!$W$2:$W$21)*L111*O111)</f>
        <v>1.03125</v>
      </c>
      <c r="Q111">
        <f>MAX(0.05,AVERAGE(TEAM_ANALYSIS!$W$2:$W$21)*N111*M111)</f>
        <v>2.7886029411764706</v>
      </c>
      <c r="R111" s="23">
        <f>MAX(0.8,MIN(1.2,P111/AVERAGE(TEAM_ANALYSIS!$W$2:$W$21)))</f>
        <v>0.8</v>
      </c>
      <c r="S111">
        <f>MAX(0.8,MIN(1.2,AVERAGE(TEAM_ANALYSIS!$W$2:$W$21)/Q111))</f>
        <v>0.8</v>
      </c>
      <c r="T111">
        <f>AVERAGE(R111,S111)</f>
        <v>0.8</v>
      </c>
    </row>
    <row r="112" spans="1:20" x14ac:dyDescent="0.25">
      <c r="A112">
        <v>6</v>
      </c>
      <c r="B112" t="b">
        <v>0</v>
      </c>
      <c r="C112" s="6">
        <v>46305.520833333336</v>
      </c>
      <c r="D112" t="b">
        <v>0</v>
      </c>
      <c r="E112">
        <v>13</v>
      </c>
      <c r="F112">
        <v>1</v>
      </c>
      <c r="G112">
        <v>5</v>
      </c>
      <c r="H112" t="s">
        <v>1111</v>
      </c>
      <c r="I112" t="s">
        <v>1092</v>
      </c>
      <c r="J112" t="s">
        <v>1068</v>
      </c>
      <c r="K112" t="str">
        <f>tblTeamFixtures[[#This Row],[Team_name]]&amp;"_"&amp;tblTeamFixtures[[#This Row],[GW]]</f>
        <v>LEE_6</v>
      </c>
      <c r="L112">
        <f>IFERROR(INDEX(TEAM_ANALYSIS!$Y:$Y,MATCH($E112,TEAM_ANALYSIS!$A:$A,0)),1)</f>
        <v>0.8529411764705882</v>
      </c>
      <c r="M112">
        <f>IFERROR(INDEX(TEAM_ANALYSIS!$Z:$Z,MATCH($E112,TEAM_ANALYSIS!$A:$A,0)),1)</f>
        <v>0.73529411764705888</v>
      </c>
      <c r="N112">
        <f>IFERROR(INDEX(TEAM_ANALYSIS!$Y:$Y,MATCH($F112,TEAM_ANALYSIS!$A:$A,0)),1)</f>
        <v>1.2058823529411764</v>
      </c>
      <c r="O112">
        <f>IFERROR(INDEX(TEAM_ANALYSIS!$Z:$Z,MATCH($F112,TEAM_ANALYSIS!$A:$A,0)),1)</f>
        <v>0.61764705882352944</v>
      </c>
      <c r="P112">
        <f>MAX(0.05,AVERAGE(TEAM_ANALYSIS!$W$2:$W$21)*L112*O112)</f>
        <v>1.1194852941176472</v>
      </c>
      <c r="Q112">
        <f>MAX(0.05,AVERAGE(TEAM_ANALYSIS!$W$2:$W$21)*N112*M112)</f>
        <v>1.8841911764705883</v>
      </c>
      <c r="R112" s="23">
        <f>MAX(0.8,MIN(1.2,P112/AVERAGE(TEAM_ANALYSIS!$W$2:$W$21)))</f>
        <v>0.8</v>
      </c>
      <c r="S112">
        <f>MAX(0.8,MIN(1.2,AVERAGE(TEAM_ANALYSIS!$W$2:$W$21)/Q112))</f>
        <v>1.1278048780487804</v>
      </c>
      <c r="T112">
        <f>AVERAGE(R112,S112)</f>
        <v>0.96390243902439021</v>
      </c>
    </row>
    <row r="113" spans="1:20" x14ac:dyDescent="0.25">
      <c r="A113">
        <v>6</v>
      </c>
      <c r="B113" t="b">
        <v>0</v>
      </c>
      <c r="C113" s="6">
        <v>46305.625</v>
      </c>
      <c r="D113" t="b">
        <v>0</v>
      </c>
      <c r="E113">
        <v>4</v>
      </c>
      <c r="F113">
        <v>2</v>
      </c>
      <c r="G113">
        <v>4</v>
      </c>
      <c r="H113" t="s">
        <v>1111</v>
      </c>
      <c r="I113" t="s">
        <v>1074</v>
      </c>
      <c r="J113" t="s">
        <v>1070</v>
      </c>
      <c r="K113" t="str">
        <f>tblTeamFixtures[[#This Row],[Team_name]]&amp;"_"&amp;tblTeamFixtures[[#This Row],[GW]]</f>
        <v>BRE_6</v>
      </c>
      <c r="L113">
        <f>IFERROR(INDEX(TEAM_ANALYSIS!$Y:$Y,MATCH($E113,TEAM_ANALYSIS!$A:$A,0)),1)</f>
        <v>1.088235294117647</v>
      </c>
      <c r="M113">
        <f>IFERROR(INDEX(TEAM_ANALYSIS!$Z:$Z,MATCH($E113,TEAM_ANALYSIS!$A:$A,0)),1)</f>
        <v>0.73529411764705888</v>
      </c>
      <c r="N113">
        <f>IFERROR(INDEX(TEAM_ANALYSIS!$Y:$Y,MATCH($F113,TEAM_ANALYSIS!$A:$A,0)),1)</f>
        <v>0.5</v>
      </c>
      <c r="O113">
        <f>IFERROR(INDEX(TEAM_ANALYSIS!$Z:$Z,MATCH($F113,TEAM_ANALYSIS!$A:$A,0)),1)</f>
        <v>1.088235294117647</v>
      </c>
      <c r="P113">
        <f>MAX(0.05,AVERAGE(TEAM_ANALYSIS!$W$2:$W$21)*L113*O113)</f>
        <v>2.5165441176470584</v>
      </c>
      <c r="Q113">
        <f>MAX(0.05,AVERAGE(TEAM_ANALYSIS!$W$2:$W$21)*N113*M113)</f>
        <v>0.78125</v>
      </c>
      <c r="R113" s="23">
        <f>MAX(0.8,MIN(1.2,P113/AVERAGE(TEAM_ANALYSIS!$W$2:$W$21)))</f>
        <v>1.1842560553633217</v>
      </c>
      <c r="S113">
        <f>MAX(0.8,MIN(1.2,AVERAGE(TEAM_ANALYSIS!$W$2:$W$21)/Q113))</f>
        <v>1.2</v>
      </c>
      <c r="T113">
        <f>AVERAGE(R113,S113)</f>
        <v>1.1921280276816608</v>
      </c>
    </row>
    <row r="114" spans="1:20" x14ac:dyDescent="0.25">
      <c r="A114">
        <v>6</v>
      </c>
      <c r="B114" t="b">
        <v>0</v>
      </c>
      <c r="C114" s="6">
        <v>46305.625</v>
      </c>
      <c r="D114" t="b">
        <v>0</v>
      </c>
      <c r="E114">
        <v>3</v>
      </c>
      <c r="F114">
        <v>6</v>
      </c>
      <c r="G114">
        <v>4</v>
      </c>
      <c r="H114" t="s">
        <v>1111</v>
      </c>
      <c r="I114" t="s">
        <v>1072</v>
      </c>
      <c r="J114" t="s">
        <v>1078</v>
      </c>
      <c r="K114" t="str">
        <f>tblTeamFixtures[[#This Row],[Team_name]]&amp;"_"&amp;tblTeamFixtures[[#This Row],[GW]]</f>
        <v>BOU_6</v>
      </c>
      <c r="L114">
        <f>IFERROR(INDEX(TEAM_ANALYSIS!$Y:$Y,MATCH($E114,TEAM_ANALYSIS!$A:$A,0)),1)</f>
        <v>0.97058823529411764</v>
      </c>
      <c r="M114">
        <f>IFERROR(INDEX(TEAM_ANALYSIS!$Z:$Z,MATCH($E114,TEAM_ANALYSIS!$A:$A,0)),1)</f>
        <v>1.088235294117647</v>
      </c>
      <c r="N114">
        <f>IFERROR(INDEX(TEAM_ANALYSIS!$Y:$Y,MATCH($F114,TEAM_ANALYSIS!$A:$A,0)),1)</f>
        <v>1.4411764705882353</v>
      </c>
      <c r="O114">
        <f>IFERROR(INDEX(TEAM_ANALYSIS!$Z:$Z,MATCH($F114,TEAM_ANALYSIS!$A:$A,0)),1)</f>
        <v>1.3235294117647058</v>
      </c>
      <c r="P114">
        <f>MAX(0.05,AVERAGE(TEAM_ANALYSIS!$W$2:$W$21)*L114*O114)</f>
        <v>2.7297794117647056</v>
      </c>
      <c r="Q114">
        <f>MAX(0.05,AVERAGE(TEAM_ANALYSIS!$W$2:$W$21)*N114*M114)</f>
        <v>3.3327205882352939</v>
      </c>
      <c r="R114" s="23">
        <f>MAX(0.8,MIN(1.2,P114/AVERAGE(TEAM_ANALYSIS!$W$2:$W$21)))</f>
        <v>1.2</v>
      </c>
      <c r="S114">
        <f>MAX(0.8,MIN(1.2,AVERAGE(TEAM_ANALYSIS!$W$2:$W$21)/Q114))</f>
        <v>0.8</v>
      </c>
      <c r="T114">
        <f>AVERAGE(R114,S114)</f>
        <v>1</v>
      </c>
    </row>
    <row r="115" spans="1:20" x14ac:dyDescent="0.25">
      <c r="A115">
        <v>6</v>
      </c>
      <c r="B115" t="b">
        <v>0</v>
      </c>
      <c r="C115" s="6">
        <v>46305.625</v>
      </c>
      <c r="D115" t="b">
        <v>0</v>
      </c>
      <c r="E115">
        <v>10</v>
      </c>
      <c r="F115">
        <v>12</v>
      </c>
      <c r="G115">
        <v>2</v>
      </c>
      <c r="H115" t="s">
        <v>1111</v>
      </c>
      <c r="I115" t="s">
        <v>1086</v>
      </c>
      <c r="J115" t="s">
        <v>1090</v>
      </c>
      <c r="K115" t="str">
        <f>tblTeamFixtures[[#This Row],[Team_name]]&amp;"_"&amp;tblTeamFixtures[[#This Row],[GW]]</f>
        <v>FUL_6</v>
      </c>
      <c r="L115">
        <f>IFERROR(INDEX(TEAM_ANALYSIS!$Y:$Y,MATCH($E115,TEAM_ANALYSIS!$A:$A,0)),1)</f>
        <v>0.97058823529411764</v>
      </c>
      <c r="M115">
        <f>IFERROR(INDEX(TEAM_ANALYSIS!$Z:$Z,MATCH($E115,TEAM_ANALYSIS!$A:$A,0)),1)</f>
        <v>1.3235294117647058</v>
      </c>
      <c r="N115">
        <f>IFERROR(INDEX(TEAM_ANALYSIS!$Y:$Y,MATCH($F115,TEAM_ANALYSIS!$A:$A,0)),1)</f>
        <v>0.97058823529411764</v>
      </c>
      <c r="O115">
        <f>IFERROR(INDEX(TEAM_ANALYSIS!$Z:$Z,MATCH($F115,TEAM_ANALYSIS!$A:$A,0)),1)</f>
        <v>1.4411764705882353</v>
      </c>
      <c r="P115">
        <f>MAX(0.05,AVERAGE(TEAM_ANALYSIS!$W$2:$W$21)*L115*O115)</f>
        <v>2.9724264705882351</v>
      </c>
      <c r="Q115">
        <f>MAX(0.05,AVERAGE(TEAM_ANALYSIS!$W$2:$W$21)*N115*M115)</f>
        <v>2.7297794117647056</v>
      </c>
      <c r="R115" s="23">
        <f>MAX(0.8,MIN(1.2,P115/AVERAGE(TEAM_ANALYSIS!$W$2:$W$21)))</f>
        <v>1.2</v>
      </c>
      <c r="S115">
        <f>MAX(0.8,MIN(1.2,AVERAGE(TEAM_ANALYSIS!$W$2:$W$21)/Q115))</f>
        <v>0.8</v>
      </c>
      <c r="T115">
        <f>AVERAGE(R115,S115)</f>
        <v>1</v>
      </c>
    </row>
    <row r="116" spans="1:20" x14ac:dyDescent="0.25">
      <c r="A116">
        <v>6</v>
      </c>
      <c r="B116" t="b">
        <v>0</v>
      </c>
      <c r="C116" s="6">
        <v>46305.625</v>
      </c>
      <c r="D116" t="b">
        <v>0</v>
      </c>
      <c r="E116">
        <v>5</v>
      </c>
      <c r="F116">
        <v>20</v>
      </c>
      <c r="G116">
        <v>3</v>
      </c>
      <c r="H116" t="s">
        <v>1111</v>
      </c>
      <c r="I116" t="s">
        <v>1076</v>
      </c>
      <c r="J116" t="s">
        <v>1106</v>
      </c>
      <c r="K116" t="str">
        <f>tblTeamFixtures[[#This Row],[Team_name]]&amp;"_"&amp;tblTeamFixtures[[#This Row],[GW]]</f>
        <v>BHA_6</v>
      </c>
      <c r="L116">
        <f>IFERROR(INDEX(TEAM_ANALYSIS!$Y:$Y,MATCH($E116,TEAM_ANALYSIS!$A:$A,0)),1)</f>
        <v>1.4411764705882353</v>
      </c>
      <c r="M116">
        <f>IFERROR(INDEX(TEAM_ANALYSIS!$Z:$Z,MATCH($E116,TEAM_ANALYSIS!$A:$A,0)),1)</f>
        <v>1.088235294117647</v>
      </c>
      <c r="N116">
        <f>IFERROR(INDEX(TEAM_ANALYSIS!$Y:$Y,MATCH($F116,TEAM_ANALYSIS!$A:$A,0)),1)</f>
        <v>0.8529411764705882</v>
      </c>
      <c r="O116">
        <f>IFERROR(INDEX(TEAM_ANALYSIS!$Z:$Z,MATCH($F116,TEAM_ANALYSIS!$A:$A,0)),1)</f>
        <v>0.8529411764705882</v>
      </c>
      <c r="P116">
        <f>MAX(0.05,AVERAGE(TEAM_ANALYSIS!$W$2:$W$21)*L116*O116)</f>
        <v>2.6121323529411762</v>
      </c>
      <c r="Q116">
        <f>MAX(0.05,AVERAGE(TEAM_ANALYSIS!$W$2:$W$21)*N116*M116)</f>
        <v>1.9724264705882351</v>
      </c>
      <c r="R116" s="23">
        <f>MAX(0.8,MIN(1.2,P116/AVERAGE(TEAM_ANALYSIS!$W$2:$W$21)))</f>
        <v>1.2</v>
      </c>
      <c r="S116">
        <f>MAX(0.8,MIN(1.2,AVERAGE(TEAM_ANALYSIS!$W$2:$W$21)/Q116))</f>
        <v>1.07735321528425</v>
      </c>
      <c r="T116">
        <f>AVERAGE(R116,S116)</f>
        <v>1.1386766076421249</v>
      </c>
    </row>
    <row r="117" spans="1:20" x14ac:dyDescent="0.25">
      <c r="A117">
        <v>6</v>
      </c>
      <c r="B117" t="b">
        <v>0</v>
      </c>
      <c r="C117" s="6">
        <v>46305.729166666664</v>
      </c>
      <c r="D117" t="b">
        <v>0</v>
      </c>
      <c r="E117">
        <v>19</v>
      </c>
      <c r="F117">
        <v>16</v>
      </c>
      <c r="G117">
        <v>4</v>
      </c>
      <c r="H117" t="s">
        <v>1111</v>
      </c>
      <c r="I117" t="s">
        <v>1104</v>
      </c>
      <c r="J117" t="s">
        <v>1098</v>
      </c>
      <c r="K117" t="str">
        <f>tblTeamFixtures[[#This Row],[Team_name]]&amp;"_"&amp;tblTeamFixtures[[#This Row],[GW]]</f>
        <v>TOT_6</v>
      </c>
      <c r="L117">
        <f>IFERROR(INDEX(TEAM_ANALYSIS!$Y:$Y,MATCH($E117,TEAM_ANALYSIS!$A:$A,0)),1)</f>
        <v>0.5</v>
      </c>
      <c r="M117">
        <f>IFERROR(INDEX(TEAM_ANALYSIS!$Z:$Z,MATCH($E117,TEAM_ANALYSIS!$A:$A,0)),1)</f>
        <v>1.088235294117647</v>
      </c>
      <c r="N117">
        <f>IFERROR(INDEX(TEAM_ANALYSIS!$Y:$Y,MATCH($F117,TEAM_ANALYSIS!$A:$A,0)),1)</f>
        <v>1.3235294117647058</v>
      </c>
      <c r="O117">
        <f>IFERROR(INDEX(TEAM_ANALYSIS!$Z:$Z,MATCH($F117,TEAM_ANALYSIS!$A:$A,0)),1)</f>
        <v>1.2058823529411764</v>
      </c>
      <c r="P117">
        <f>MAX(0.05,AVERAGE(TEAM_ANALYSIS!$W$2:$W$21)*L117*O117)</f>
        <v>1.28125</v>
      </c>
      <c r="Q117">
        <f>MAX(0.05,AVERAGE(TEAM_ANALYSIS!$W$2:$W$21)*N117*M117)</f>
        <v>3.0606617647058822</v>
      </c>
      <c r="R117" s="23">
        <f>MAX(0.8,MIN(1.2,P117/AVERAGE(TEAM_ANALYSIS!$W$2:$W$21)))</f>
        <v>0.8</v>
      </c>
      <c r="S117">
        <f>MAX(0.8,MIN(1.2,AVERAGE(TEAM_ANALYSIS!$W$2:$W$21)/Q117))</f>
        <v>0.8</v>
      </c>
      <c r="T117">
        <f>AVERAGE(R117,S117)</f>
        <v>0.8</v>
      </c>
    </row>
    <row r="118" spans="1:20" x14ac:dyDescent="0.25">
      <c r="A118">
        <v>6</v>
      </c>
      <c r="B118" t="b">
        <v>0</v>
      </c>
      <c r="C118" s="6">
        <v>46306.583333333336</v>
      </c>
      <c r="D118" t="b">
        <v>0</v>
      </c>
      <c r="E118">
        <v>18</v>
      </c>
      <c r="F118">
        <v>8</v>
      </c>
      <c r="G118">
        <v>3</v>
      </c>
      <c r="H118" t="s">
        <v>1111</v>
      </c>
      <c r="I118" t="s">
        <v>1102</v>
      </c>
      <c r="J118" t="s">
        <v>1082</v>
      </c>
      <c r="K118" t="str">
        <f>tblTeamFixtures[[#This Row],[Team_name]]&amp;"_"&amp;tblTeamFixtures[[#This Row],[GW]]</f>
        <v>NFO_6</v>
      </c>
      <c r="L118">
        <f>IFERROR(INDEX(TEAM_ANALYSIS!$Y:$Y,MATCH($E118,TEAM_ANALYSIS!$A:$A,0)),1)</f>
        <v>0.73529411764705888</v>
      </c>
      <c r="M118">
        <f>IFERROR(INDEX(TEAM_ANALYSIS!$Z:$Z,MATCH($E118,TEAM_ANALYSIS!$A:$A,0)),1)</f>
        <v>0.8529411764705882</v>
      </c>
      <c r="N118">
        <f>IFERROR(INDEX(TEAM_ANALYSIS!$Y:$Y,MATCH($F118,TEAM_ANALYSIS!$A:$A,0)),1)</f>
        <v>0.97058823529411764</v>
      </c>
      <c r="O118">
        <f>IFERROR(INDEX(TEAM_ANALYSIS!$Z:$Z,MATCH($F118,TEAM_ANALYSIS!$A:$A,0)),1)</f>
        <v>1.4411764705882353</v>
      </c>
      <c r="P118">
        <f>MAX(0.05,AVERAGE(TEAM_ANALYSIS!$W$2:$W$21)*L118*O118)</f>
        <v>2.2518382352941178</v>
      </c>
      <c r="Q118">
        <f>MAX(0.05,AVERAGE(TEAM_ANALYSIS!$W$2:$W$21)*N118*M118)</f>
        <v>1.7591911764705881</v>
      </c>
      <c r="R118" s="23">
        <f>MAX(0.8,MIN(1.2,P118/AVERAGE(TEAM_ANALYSIS!$W$2:$W$21)))</f>
        <v>1.0596885813148789</v>
      </c>
      <c r="S118">
        <f>MAX(0.8,MIN(1.2,AVERAGE(TEAM_ANALYSIS!$W$2:$W$21)/Q118))</f>
        <v>1.2</v>
      </c>
      <c r="T118">
        <f>AVERAGE(R118,S118)</f>
        <v>1.1298442906574393</v>
      </c>
    </row>
    <row r="119" spans="1:20" x14ac:dyDescent="0.25">
      <c r="A119">
        <v>6</v>
      </c>
      <c r="B119" t="b">
        <v>0</v>
      </c>
      <c r="C119" s="6">
        <v>46306.583333333336</v>
      </c>
      <c r="D119" t="b">
        <v>0</v>
      </c>
      <c r="E119">
        <v>9</v>
      </c>
      <c r="F119">
        <v>11</v>
      </c>
      <c r="G119">
        <v>2</v>
      </c>
      <c r="H119" t="s">
        <v>1111</v>
      </c>
      <c r="I119" t="s">
        <v>1084</v>
      </c>
      <c r="J119" t="s">
        <v>1088</v>
      </c>
      <c r="K119" t="str">
        <f>tblTeamFixtures[[#This Row],[Team_name]]&amp;"_"&amp;tblTeamFixtures[[#This Row],[GW]]</f>
        <v>EVE_6</v>
      </c>
      <c r="L119">
        <f>IFERROR(INDEX(TEAM_ANALYSIS!$Y:$Y,MATCH($E119,TEAM_ANALYSIS!$A:$A,0)),1)</f>
        <v>1.088235294117647</v>
      </c>
      <c r="M119">
        <f>IFERROR(INDEX(TEAM_ANALYSIS!$Z:$Z,MATCH($E119,TEAM_ANALYSIS!$A:$A,0)),1)</f>
        <v>0.8529411764705882</v>
      </c>
      <c r="N119">
        <f>IFERROR(INDEX(TEAM_ANALYSIS!$Y:$Y,MATCH($F119,TEAM_ANALYSIS!$A:$A,0)),1)</f>
        <v>0.8529411764705882</v>
      </c>
      <c r="O119">
        <f>IFERROR(INDEX(TEAM_ANALYSIS!$Z:$Z,MATCH($F119,TEAM_ANALYSIS!$A:$A,0)),1)</f>
        <v>0.5</v>
      </c>
      <c r="P119">
        <f>MAX(0.05,AVERAGE(TEAM_ANALYSIS!$W$2:$W$21)*L119*O119)</f>
        <v>1.15625</v>
      </c>
      <c r="Q119">
        <f>MAX(0.05,AVERAGE(TEAM_ANALYSIS!$W$2:$W$21)*N119*M119)</f>
        <v>1.5459558823529411</v>
      </c>
      <c r="R119" s="23">
        <f>MAX(0.8,MIN(1.2,P119/AVERAGE(TEAM_ANALYSIS!$W$2:$W$21)))</f>
        <v>0.8</v>
      </c>
      <c r="S119">
        <f>MAX(0.8,MIN(1.2,AVERAGE(TEAM_ANALYSIS!$W$2:$W$21)/Q119))</f>
        <v>1.2</v>
      </c>
      <c r="T119">
        <f>AVERAGE(R119,S119)</f>
        <v>1</v>
      </c>
    </row>
    <row r="120" spans="1:20" x14ac:dyDescent="0.25">
      <c r="A120">
        <v>6</v>
      </c>
      <c r="B120" t="b">
        <v>0</v>
      </c>
      <c r="C120" s="6">
        <v>46306.6875</v>
      </c>
      <c r="D120" t="b">
        <v>0</v>
      </c>
      <c r="E120">
        <v>15</v>
      </c>
      <c r="F120">
        <v>14</v>
      </c>
      <c r="G120">
        <v>4</v>
      </c>
      <c r="H120" t="s">
        <v>1111</v>
      </c>
      <c r="I120" t="s">
        <v>1096</v>
      </c>
      <c r="J120" t="s">
        <v>1094</v>
      </c>
      <c r="K120" t="str">
        <f>tblTeamFixtures[[#This Row],[Team_name]]&amp;"_"&amp;tblTeamFixtures[[#This Row],[GW]]</f>
        <v>MCI_6</v>
      </c>
      <c r="L120">
        <f>IFERROR(INDEX(TEAM_ANALYSIS!$Y:$Y,MATCH($E120,TEAM_ANALYSIS!$A:$A,0)),1)</f>
        <v>1.3235294117647058</v>
      </c>
      <c r="M120">
        <f>IFERROR(INDEX(TEAM_ANALYSIS!$Z:$Z,MATCH($E120,TEAM_ANALYSIS!$A:$A,0)),1)</f>
        <v>0.73529411764705888</v>
      </c>
      <c r="N120">
        <f>IFERROR(INDEX(TEAM_ANALYSIS!$Y:$Y,MATCH($F120,TEAM_ANALYSIS!$A:$A,0)),1)</f>
        <v>1.2058823529411764</v>
      </c>
      <c r="O120">
        <f>IFERROR(INDEX(TEAM_ANALYSIS!$Z:$Z,MATCH($F120,TEAM_ANALYSIS!$A:$A,0)),1)</f>
        <v>0.97058823529411764</v>
      </c>
      <c r="P120">
        <f>MAX(0.05,AVERAGE(TEAM_ANALYSIS!$W$2:$W$21)*L120*O120)</f>
        <v>2.7297794117647061</v>
      </c>
      <c r="Q120">
        <f>MAX(0.05,AVERAGE(TEAM_ANALYSIS!$W$2:$W$21)*N120*M120)</f>
        <v>1.8841911764705883</v>
      </c>
      <c r="R120" s="23">
        <f>MAX(0.8,MIN(1.2,P120/AVERAGE(TEAM_ANALYSIS!$W$2:$W$21)))</f>
        <v>1.2</v>
      </c>
      <c r="S120">
        <f>MAX(0.8,MIN(1.2,AVERAGE(TEAM_ANALYSIS!$W$2:$W$21)/Q120))</f>
        <v>1.1278048780487804</v>
      </c>
      <c r="T120">
        <f>AVERAGE(R120,S120)</f>
        <v>1.1639024390243902</v>
      </c>
    </row>
    <row r="121" spans="1:20" x14ac:dyDescent="0.25">
      <c r="A121">
        <v>6</v>
      </c>
      <c r="B121" t="b">
        <v>0</v>
      </c>
      <c r="C121" s="6">
        <v>46307.833333333336</v>
      </c>
      <c r="D121" t="b">
        <v>0</v>
      </c>
      <c r="E121">
        <v>17</v>
      </c>
      <c r="F121">
        <v>7</v>
      </c>
      <c r="G121">
        <v>2</v>
      </c>
      <c r="H121" t="s">
        <v>1111</v>
      </c>
      <c r="I121" t="s">
        <v>1100</v>
      </c>
      <c r="J121" t="s">
        <v>1080</v>
      </c>
      <c r="K121" t="str">
        <f>tblTeamFixtures[[#This Row],[Team_name]]&amp;"_"&amp;tblTeamFixtures[[#This Row],[GW]]</f>
        <v>NEW_6</v>
      </c>
      <c r="L121">
        <f>IFERROR(INDEX(TEAM_ANALYSIS!$Y:$Y,MATCH($E121,TEAM_ANALYSIS!$A:$A,0)),1)</f>
        <v>1.2058823529411764</v>
      </c>
      <c r="M121">
        <f>IFERROR(INDEX(TEAM_ANALYSIS!$Z:$Z,MATCH($E121,TEAM_ANALYSIS!$A:$A,0)),1)</f>
        <v>0.97058823529411764</v>
      </c>
      <c r="N121">
        <f>IFERROR(INDEX(TEAM_ANALYSIS!$Y:$Y,MATCH($F121,TEAM_ANALYSIS!$A:$A,0)),1)</f>
        <v>0.5</v>
      </c>
      <c r="O121">
        <f>IFERROR(INDEX(TEAM_ANALYSIS!$Z:$Z,MATCH($F121,TEAM_ANALYSIS!$A:$A,0)),1)</f>
        <v>1.088235294117647</v>
      </c>
      <c r="P121">
        <f>MAX(0.05,AVERAGE(TEAM_ANALYSIS!$W$2:$W$21)*L121*O121)</f>
        <v>2.7886029411764706</v>
      </c>
      <c r="Q121">
        <f>MAX(0.05,AVERAGE(TEAM_ANALYSIS!$W$2:$W$21)*N121*M121)</f>
        <v>1.03125</v>
      </c>
      <c r="R121" s="23">
        <f>MAX(0.8,MIN(1.2,P121/AVERAGE(TEAM_ANALYSIS!$W$2:$W$21)))</f>
        <v>1.2</v>
      </c>
      <c r="S121">
        <f>MAX(0.8,MIN(1.2,AVERAGE(TEAM_ANALYSIS!$W$2:$W$21)/Q121))</f>
        <v>1.2</v>
      </c>
      <c r="T121">
        <f>AVERAGE(R121,S121)</f>
        <v>1.2</v>
      </c>
    </row>
    <row r="122" spans="1:20" x14ac:dyDescent="0.25">
      <c r="A122">
        <v>7</v>
      </c>
      <c r="B122" t="b">
        <v>0</v>
      </c>
      <c r="C122" s="6">
        <v>46312.520833333336</v>
      </c>
      <c r="D122" t="b">
        <v>0</v>
      </c>
      <c r="E122">
        <v>9</v>
      </c>
      <c r="F122">
        <v>6</v>
      </c>
      <c r="G122">
        <v>4</v>
      </c>
      <c r="H122" t="s">
        <v>1110</v>
      </c>
      <c r="I122" t="s">
        <v>1084</v>
      </c>
      <c r="J122" t="s">
        <v>1078</v>
      </c>
      <c r="K122" t="str">
        <f>tblTeamFixtures[[#This Row],[Team_name]]&amp;"_"&amp;tblTeamFixtures[[#This Row],[GW]]</f>
        <v>EVE_7</v>
      </c>
      <c r="L122">
        <f>IFERROR(INDEX(TEAM_ANALYSIS!$Y:$Y,MATCH($E122,TEAM_ANALYSIS!$A:$A,0)),1)</f>
        <v>1.088235294117647</v>
      </c>
      <c r="M122">
        <f>IFERROR(INDEX(TEAM_ANALYSIS!$Z:$Z,MATCH($E122,TEAM_ANALYSIS!$A:$A,0)),1)</f>
        <v>0.8529411764705882</v>
      </c>
      <c r="N122">
        <f>IFERROR(INDEX(TEAM_ANALYSIS!$Y:$Y,MATCH($F122,TEAM_ANALYSIS!$A:$A,0)),1)</f>
        <v>1.4411764705882353</v>
      </c>
      <c r="O122">
        <f>IFERROR(INDEX(TEAM_ANALYSIS!$Z:$Z,MATCH($F122,TEAM_ANALYSIS!$A:$A,0)),1)</f>
        <v>1.3235294117647058</v>
      </c>
      <c r="P122">
        <f>MAX(0.05,AVERAGE(TEAM_ANALYSIS!$W$2:$W$21)*L122*O122)</f>
        <v>3.0606617647058822</v>
      </c>
      <c r="Q122">
        <f>MAX(0.05,AVERAGE(TEAM_ANALYSIS!$W$2:$W$21)*N122*M122)</f>
        <v>2.6121323529411762</v>
      </c>
      <c r="R122" s="23">
        <f>MAX(0.8,MIN(1.2,P122/AVERAGE(TEAM_ANALYSIS!$W$2:$W$21)))</f>
        <v>1.2</v>
      </c>
      <c r="S122">
        <f>MAX(0.8,MIN(1.2,AVERAGE(TEAM_ANALYSIS!$W$2:$W$21)/Q122))</f>
        <v>0.81351161154116824</v>
      </c>
      <c r="T122">
        <f>AVERAGE(R122,S122)</f>
        <v>1.0067558057705841</v>
      </c>
    </row>
    <row r="123" spans="1:20" x14ac:dyDescent="0.25">
      <c r="A123">
        <v>7</v>
      </c>
      <c r="B123" t="b">
        <v>0</v>
      </c>
      <c r="C123" s="6">
        <v>46312.625</v>
      </c>
      <c r="D123" t="b">
        <v>0</v>
      </c>
      <c r="E123">
        <v>4</v>
      </c>
      <c r="F123">
        <v>14</v>
      </c>
      <c r="G123">
        <v>4</v>
      </c>
      <c r="H123" t="s">
        <v>1110</v>
      </c>
      <c r="I123" t="s">
        <v>1074</v>
      </c>
      <c r="J123" t="s">
        <v>1094</v>
      </c>
      <c r="K123" t="str">
        <f>tblTeamFixtures[[#This Row],[Team_name]]&amp;"_"&amp;tblTeamFixtures[[#This Row],[GW]]</f>
        <v>BRE_7</v>
      </c>
      <c r="L123">
        <f>IFERROR(INDEX(TEAM_ANALYSIS!$Y:$Y,MATCH($E123,TEAM_ANALYSIS!$A:$A,0)),1)</f>
        <v>1.088235294117647</v>
      </c>
      <c r="M123">
        <f>IFERROR(INDEX(TEAM_ANALYSIS!$Z:$Z,MATCH($E123,TEAM_ANALYSIS!$A:$A,0)),1)</f>
        <v>0.73529411764705888</v>
      </c>
      <c r="N123">
        <f>IFERROR(INDEX(TEAM_ANALYSIS!$Y:$Y,MATCH($F123,TEAM_ANALYSIS!$A:$A,0)),1)</f>
        <v>1.2058823529411764</v>
      </c>
      <c r="O123">
        <f>IFERROR(INDEX(TEAM_ANALYSIS!$Z:$Z,MATCH($F123,TEAM_ANALYSIS!$A:$A,0)),1)</f>
        <v>0.97058823529411764</v>
      </c>
      <c r="P123">
        <f>MAX(0.05,AVERAGE(TEAM_ANALYSIS!$W$2:$W$21)*L123*O123)</f>
        <v>2.2444852941176472</v>
      </c>
      <c r="Q123">
        <f>MAX(0.05,AVERAGE(TEAM_ANALYSIS!$W$2:$W$21)*N123*M123)</f>
        <v>1.8841911764705883</v>
      </c>
      <c r="R123" s="23">
        <f>MAX(0.8,MIN(1.2,P123/AVERAGE(TEAM_ANALYSIS!$W$2:$W$21)))</f>
        <v>1.0562283737024223</v>
      </c>
      <c r="S123">
        <f>MAX(0.8,MIN(1.2,AVERAGE(TEAM_ANALYSIS!$W$2:$W$21)/Q123))</f>
        <v>1.1278048780487804</v>
      </c>
      <c r="T123">
        <f>AVERAGE(R123,S123)</f>
        <v>1.0920166258756012</v>
      </c>
    </row>
    <row r="124" spans="1:20" x14ac:dyDescent="0.25">
      <c r="A124">
        <v>7</v>
      </c>
      <c r="B124" t="b">
        <v>0</v>
      </c>
      <c r="C124" s="6">
        <v>46312.625</v>
      </c>
      <c r="D124" t="b">
        <v>0</v>
      </c>
      <c r="E124">
        <v>10</v>
      </c>
      <c r="F124">
        <v>11</v>
      </c>
      <c r="G124">
        <v>2</v>
      </c>
      <c r="H124" t="s">
        <v>1110</v>
      </c>
      <c r="I124" t="s">
        <v>1086</v>
      </c>
      <c r="J124" t="s">
        <v>1088</v>
      </c>
      <c r="K124" t="str">
        <f>tblTeamFixtures[[#This Row],[Team_name]]&amp;"_"&amp;tblTeamFixtures[[#This Row],[GW]]</f>
        <v>FUL_7</v>
      </c>
      <c r="L124">
        <f>IFERROR(INDEX(TEAM_ANALYSIS!$Y:$Y,MATCH($E124,TEAM_ANALYSIS!$A:$A,0)),1)</f>
        <v>0.97058823529411764</v>
      </c>
      <c r="M124">
        <f>IFERROR(INDEX(TEAM_ANALYSIS!$Z:$Z,MATCH($E124,TEAM_ANALYSIS!$A:$A,0)),1)</f>
        <v>1.3235294117647058</v>
      </c>
      <c r="N124">
        <f>IFERROR(INDEX(TEAM_ANALYSIS!$Y:$Y,MATCH($F124,TEAM_ANALYSIS!$A:$A,0)),1)</f>
        <v>0.8529411764705882</v>
      </c>
      <c r="O124">
        <f>IFERROR(INDEX(TEAM_ANALYSIS!$Z:$Z,MATCH($F124,TEAM_ANALYSIS!$A:$A,0)),1)</f>
        <v>0.5</v>
      </c>
      <c r="P124">
        <f>MAX(0.05,AVERAGE(TEAM_ANALYSIS!$W$2:$W$21)*L124*O124)</f>
        <v>1.03125</v>
      </c>
      <c r="Q124">
        <f>MAX(0.05,AVERAGE(TEAM_ANALYSIS!$W$2:$W$21)*N124*M124)</f>
        <v>2.3988970588235294</v>
      </c>
      <c r="R124" s="23">
        <f>MAX(0.8,MIN(1.2,P124/AVERAGE(TEAM_ANALYSIS!$W$2:$W$21)))</f>
        <v>0.8</v>
      </c>
      <c r="S124">
        <f>MAX(0.8,MIN(1.2,AVERAGE(TEAM_ANALYSIS!$W$2:$W$21)/Q124))</f>
        <v>0.885823754789272</v>
      </c>
      <c r="T124">
        <f>AVERAGE(R124,S124)</f>
        <v>0.84291187739463602</v>
      </c>
    </row>
    <row r="125" spans="1:20" x14ac:dyDescent="0.25">
      <c r="A125">
        <v>7</v>
      </c>
      <c r="B125" t="b">
        <v>0</v>
      </c>
      <c r="C125" s="6">
        <v>46312.625</v>
      </c>
      <c r="D125" t="b">
        <v>0</v>
      </c>
      <c r="E125">
        <v>15</v>
      </c>
      <c r="F125">
        <v>12</v>
      </c>
      <c r="G125">
        <v>2</v>
      </c>
      <c r="H125" t="s">
        <v>1110</v>
      </c>
      <c r="I125" t="s">
        <v>1096</v>
      </c>
      <c r="J125" t="s">
        <v>1090</v>
      </c>
      <c r="K125" t="str">
        <f>tblTeamFixtures[[#This Row],[Team_name]]&amp;"_"&amp;tblTeamFixtures[[#This Row],[GW]]</f>
        <v>MCI_7</v>
      </c>
      <c r="L125">
        <f>IFERROR(INDEX(TEAM_ANALYSIS!$Y:$Y,MATCH($E125,TEAM_ANALYSIS!$A:$A,0)),1)</f>
        <v>1.3235294117647058</v>
      </c>
      <c r="M125">
        <f>IFERROR(INDEX(TEAM_ANALYSIS!$Z:$Z,MATCH($E125,TEAM_ANALYSIS!$A:$A,0)),1)</f>
        <v>0.73529411764705888</v>
      </c>
      <c r="N125">
        <f>IFERROR(INDEX(TEAM_ANALYSIS!$Y:$Y,MATCH($F125,TEAM_ANALYSIS!$A:$A,0)),1)</f>
        <v>0.97058823529411764</v>
      </c>
      <c r="O125">
        <f>IFERROR(INDEX(TEAM_ANALYSIS!$Z:$Z,MATCH($F125,TEAM_ANALYSIS!$A:$A,0)),1)</f>
        <v>1.4411764705882353</v>
      </c>
      <c r="P125">
        <f>MAX(0.05,AVERAGE(TEAM_ANALYSIS!$W$2:$W$21)*L125*O125)</f>
        <v>4.0533088235294121</v>
      </c>
      <c r="Q125">
        <f>MAX(0.05,AVERAGE(TEAM_ANALYSIS!$W$2:$W$21)*N125*M125)</f>
        <v>1.5165441176470589</v>
      </c>
      <c r="R125" s="23">
        <f>MAX(0.8,MIN(1.2,P125/AVERAGE(TEAM_ANALYSIS!$W$2:$W$21)))</f>
        <v>1.2</v>
      </c>
      <c r="S125">
        <f>MAX(0.8,MIN(1.2,AVERAGE(TEAM_ANALYSIS!$W$2:$W$21)/Q125))</f>
        <v>1.2</v>
      </c>
      <c r="T125">
        <f>AVERAGE(R125,S125)</f>
        <v>1.2</v>
      </c>
    </row>
    <row r="126" spans="1:20" x14ac:dyDescent="0.25">
      <c r="A126">
        <v>7</v>
      </c>
      <c r="B126" t="b">
        <v>0</v>
      </c>
      <c r="C126" s="6">
        <v>46312.729166666664</v>
      </c>
      <c r="D126" t="b">
        <v>0</v>
      </c>
      <c r="E126">
        <v>17</v>
      </c>
      <c r="F126">
        <v>2</v>
      </c>
      <c r="G126">
        <v>3</v>
      </c>
      <c r="H126" t="s">
        <v>1110</v>
      </c>
      <c r="I126" t="s">
        <v>1100</v>
      </c>
      <c r="J126" t="s">
        <v>1070</v>
      </c>
      <c r="K126" t="str">
        <f>tblTeamFixtures[[#This Row],[Team_name]]&amp;"_"&amp;tblTeamFixtures[[#This Row],[GW]]</f>
        <v>NEW_7</v>
      </c>
      <c r="L126">
        <f>IFERROR(INDEX(TEAM_ANALYSIS!$Y:$Y,MATCH($E126,TEAM_ANALYSIS!$A:$A,0)),1)</f>
        <v>1.2058823529411764</v>
      </c>
      <c r="M126">
        <f>IFERROR(INDEX(TEAM_ANALYSIS!$Z:$Z,MATCH($E126,TEAM_ANALYSIS!$A:$A,0)),1)</f>
        <v>0.97058823529411764</v>
      </c>
      <c r="N126">
        <f>IFERROR(INDEX(TEAM_ANALYSIS!$Y:$Y,MATCH($F126,TEAM_ANALYSIS!$A:$A,0)),1)</f>
        <v>0.5</v>
      </c>
      <c r="O126">
        <f>IFERROR(INDEX(TEAM_ANALYSIS!$Z:$Z,MATCH($F126,TEAM_ANALYSIS!$A:$A,0)),1)</f>
        <v>1.088235294117647</v>
      </c>
      <c r="P126">
        <f>MAX(0.05,AVERAGE(TEAM_ANALYSIS!$W$2:$W$21)*L126*O126)</f>
        <v>2.7886029411764706</v>
      </c>
      <c r="Q126">
        <f>MAX(0.05,AVERAGE(TEAM_ANALYSIS!$W$2:$W$21)*N126*M126)</f>
        <v>1.03125</v>
      </c>
      <c r="R126" s="23">
        <f>MAX(0.8,MIN(1.2,P126/AVERAGE(TEAM_ANALYSIS!$W$2:$W$21)))</f>
        <v>1.2</v>
      </c>
      <c r="S126">
        <f>MAX(0.8,MIN(1.2,AVERAGE(TEAM_ANALYSIS!$W$2:$W$21)/Q126))</f>
        <v>1.2</v>
      </c>
      <c r="T126">
        <f>AVERAGE(R126,S126)</f>
        <v>1.2</v>
      </c>
    </row>
    <row r="127" spans="1:20" x14ac:dyDescent="0.25">
      <c r="A127">
        <v>7</v>
      </c>
      <c r="B127" t="b">
        <v>0</v>
      </c>
      <c r="C127" s="6">
        <v>46313.583333333336</v>
      </c>
      <c r="D127" t="b">
        <v>0</v>
      </c>
      <c r="E127">
        <v>3</v>
      </c>
      <c r="F127">
        <v>20</v>
      </c>
      <c r="G127">
        <v>2</v>
      </c>
      <c r="H127" t="s">
        <v>1110</v>
      </c>
      <c r="I127" t="s">
        <v>1072</v>
      </c>
      <c r="J127" t="s">
        <v>1106</v>
      </c>
      <c r="K127" t="str">
        <f>tblTeamFixtures[[#This Row],[Team_name]]&amp;"_"&amp;tblTeamFixtures[[#This Row],[GW]]</f>
        <v>BOU_7</v>
      </c>
      <c r="L127">
        <f>IFERROR(INDEX(TEAM_ANALYSIS!$Y:$Y,MATCH($E127,TEAM_ANALYSIS!$A:$A,0)),1)</f>
        <v>0.97058823529411764</v>
      </c>
      <c r="M127">
        <f>IFERROR(INDEX(TEAM_ANALYSIS!$Z:$Z,MATCH($E127,TEAM_ANALYSIS!$A:$A,0)),1)</f>
        <v>1.088235294117647</v>
      </c>
      <c r="N127">
        <f>IFERROR(INDEX(TEAM_ANALYSIS!$Y:$Y,MATCH($F127,TEAM_ANALYSIS!$A:$A,0)),1)</f>
        <v>0.8529411764705882</v>
      </c>
      <c r="O127">
        <f>IFERROR(INDEX(TEAM_ANALYSIS!$Z:$Z,MATCH($F127,TEAM_ANALYSIS!$A:$A,0)),1)</f>
        <v>0.8529411764705882</v>
      </c>
      <c r="P127">
        <f>MAX(0.05,AVERAGE(TEAM_ANALYSIS!$W$2:$W$21)*L127*O127)</f>
        <v>1.7591911764705881</v>
      </c>
      <c r="Q127">
        <f>MAX(0.05,AVERAGE(TEAM_ANALYSIS!$W$2:$W$21)*N127*M127)</f>
        <v>1.9724264705882351</v>
      </c>
      <c r="R127" s="23">
        <f>MAX(0.8,MIN(1.2,P127/AVERAGE(TEAM_ANALYSIS!$W$2:$W$21)))</f>
        <v>0.82785467128027679</v>
      </c>
      <c r="S127">
        <f>MAX(0.8,MIN(1.2,AVERAGE(TEAM_ANALYSIS!$W$2:$W$21)/Q127))</f>
        <v>1.07735321528425</v>
      </c>
      <c r="T127">
        <f>AVERAGE(R127,S127)</f>
        <v>0.95260394328226339</v>
      </c>
    </row>
    <row r="128" spans="1:20" x14ac:dyDescent="0.25">
      <c r="A128">
        <v>7</v>
      </c>
      <c r="B128" t="b">
        <v>0</v>
      </c>
      <c r="C128" s="6">
        <v>46313.583333333336</v>
      </c>
      <c r="D128" t="b">
        <v>0</v>
      </c>
      <c r="E128">
        <v>5</v>
      </c>
      <c r="F128">
        <v>8</v>
      </c>
      <c r="G128">
        <v>3</v>
      </c>
      <c r="H128" t="s">
        <v>1110</v>
      </c>
      <c r="I128" t="s">
        <v>1076</v>
      </c>
      <c r="J128" t="s">
        <v>1082</v>
      </c>
      <c r="K128" t="str">
        <f>tblTeamFixtures[[#This Row],[Team_name]]&amp;"_"&amp;tblTeamFixtures[[#This Row],[GW]]</f>
        <v>BHA_7</v>
      </c>
      <c r="L128">
        <f>IFERROR(INDEX(TEAM_ANALYSIS!$Y:$Y,MATCH($E128,TEAM_ANALYSIS!$A:$A,0)),1)</f>
        <v>1.4411764705882353</v>
      </c>
      <c r="M128">
        <f>IFERROR(INDEX(TEAM_ANALYSIS!$Z:$Z,MATCH($E128,TEAM_ANALYSIS!$A:$A,0)),1)</f>
        <v>1.088235294117647</v>
      </c>
      <c r="N128">
        <f>IFERROR(INDEX(TEAM_ANALYSIS!$Y:$Y,MATCH($F128,TEAM_ANALYSIS!$A:$A,0)),1)</f>
        <v>0.97058823529411764</v>
      </c>
      <c r="O128">
        <f>IFERROR(INDEX(TEAM_ANALYSIS!$Z:$Z,MATCH($F128,TEAM_ANALYSIS!$A:$A,0)),1)</f>
        <v>1.4411764705882353</v>
      </c>
      <c r="P128">
        <f>MAX(0.05,AVERAGE(TEAM_ANALYSIS!$W$2:$W$21)*L128*O128)</f>
        <v>4.4136029411764701</v>
      </c>
      <c r="Q128">
        <f>MAX(0.05,AVERAGE(TEAM_ANALYSIS!$W$2:$W$21)*N128*M128)</f>
        <v>2.2444852941176467</v>
      </c>
      <c r="R128" s="23">
        <f>MAX(0.8,MIN(1.2,P128/AVERAGE(TEAM_ANALYSIS!$W$2:$W$21)))</f>
        <v>1.2</v>
      </c>
      <c r="S128">
        <f>MAX(0.8,MIN(1.2,AVERAGE(TEAM_ANALYSIS!$W$2:$W$21)/Q128))</f>
        <v>0.94676494676494694</v>
      </c>
      <c r="T128">
        <f>AVERAGE(R128,S128)</f>
        <v>1.0733824733824735</v>
      </c>
    </row>
    <row r="129" spans="1:20" x14ac:dyDescent="0.25">
      <c r="A129">
        <v>7</v>
      </c>
      <c r="B129" t="b">
        <v>0</v>
      </c>
      <c r="C129" s="6">
        <v>46313.583333333336</v>
      </c>
      <c r="D129" t="b">
        <v>0</v>
      </c>
      <c r="E129">
        <v>13</v>
      </c>
      <c r="F129">
        <v>16</v>
      </c>
      <c r="G129">
        <v>4</v>
      </c>
      <c r="H129" t="s">
        <v>1110</v>
      </c>
      <c r="I129" t="s">
        <v>1092</v>
      </c>
      <c r="J129" t="s">
        <v>1098</v>
      </c>
      <c r="K129" t="str">
        <f>tblTeamFixtures[[#This Row],[Team_name]]&amp;"_"&amp;tblTeamFixtures[[#This Row],[GW]]</f>
        <v>LEE_7</v>
      </c>
      <c r="L129">
        <f>IFERROR(INDEX(TEAM_ANALYSIS!$Y:$Y,MATCH($E129,TEAM_ANALYSIS!$A:$A,0)),1)</f>
        <v>0.8529411764705882</v>
      </c>
      <c r="M129">
        <f>IFERROR(INDEX(TEAM_ANALYSIS!$Z:$Z,MATCH($E129,TEAM_ANALYSIS!$A:$A,0)),1)</f>
        <v>0.73529411764705888</v>
      </c>
      <c r="N129">
        <f>IFERROR(INDEX(TEAM_ANALYSIS!$Y:$Y,MATCH($F129,TEAM_ANALYSIS!$A:$A,0)),1)</f>
        <v>1.3235294117647058</v>
      </c>
      <c r="O129">
        <f>IFERROR(INDEX(TEAM_ANALYSIS!$Z:$Z,MATCH($F129,TEAM_ANALYSIS!$A:$A,0)),1)</f>
        <v>1.2058823529411764</v>
      </c>
      <c r="P129">
        <f>MAX(0.05,AVERAGE(TEAM_ANALYSIS!$W$2:$W$21)*L129*O129)</f>
        <v>2.1856617647058822</v>
      </c>
      <c r="Q129">
        <f>MAX(0.05,AVERAGE(TEAM_ANALYSIS!$W$2:$W$21)*N129*M129)</f>
        <v>2.0680147058823533</v>
      </c>
      <c r="R129" s="23">
        <f>MAX(0.8,MIN(1.2,P129/AVERAGE(TEAM_ANALYSIS!$W$2:$W$21)))</f>
        <v>1.0285467128027681</v>
      </c>
      <c r="S129">
        <f>MAX(0.8,MIN(1.2,AVERAGE(TEAM_ANALYSIS!$W$2:$W$21)/Q129))</f>
        <v>1.0275555555555553</v>
      </c>
      <c r="T129">
        <f>AVERAGE(R129,S129)</f>
        <v>1.0280511341791616</v>
      </c>
    </row>
    <row r="130" spans="1:20" x14ac:dyDescent="0.25">
      <c r="A130">
        <v>7</v>
      </c>
      <c r="B130" t="b">
        <v>0</v>
      </c>
      <c r="C130" s="6">
        <v>46313.6875</v>
      </c>
      <c r="D130" t="b">
        <v>0</v>
      </c>
      <c r="E130">
        <v>18</v>
      </c>
      <c r="F130">
        <v>1</v>
      </c>
      <c r="G130">
        <v>4</v>
      </c>
      <c r="H130" t="s">
        <v>1110</v>
      </c>
      <c r="I130" t="s">
        <v>1102</v>
      </c>
      <c r="J130" t="s">
        <v>1068</v>
      </c>
      <c r="K130" t="str">
        <f>tblTeamFixtures[[#This Row],[Team_name]]&amp;"_"&amp;tblTeamFixtures[[#This Row],[GW]]</f>
        <v>NFO_7</v>
      </c>
      <c r="L130">
        <f>IFERROR(INDEX(TEAM_ANALYSIS!$Y:$Y,MATCH($E130,TEAM_ANALYSIS!$A:$A,0)),1)</f>
        <v>0.73529411764705888</v>
      </c>
      <c r="M130">
        <f>IFERROR(INDEX(TEAM_ANALYSIS!$Z:$Z,MATCH($E130,TEAM_ANALYSIS!$A:$A,0)),1)</f>
        <v>0.8529411764705882</v>
      </c>
      <c r="N130">
        <f>IFERROR(INDEX(TEAM_ANALYSIS!$Y:$Y,MATCH($F130,TEAM_ANALYSIS!$A:$A,0)),1)</f>
        <v>1.2058823529411764</v>
      </c>
      <c r="O130">
        <f>IFERROR(INDEX(TEAM_ANALYSIS!$Z:$Z,MATCH($F130,TEAM_ANALYSIS!$A:$A,0)),1)</f>
        <v>0.61764705882352944</v>
      </c>
      <c r="P130">
        <f>MAX(0.05,AVERAGE(TEAM_ANALYSIS!$W$2:$W$21)*L130*O130)</f>
        <v>0.96507352941176472</v>
      </c>
      <c r="Q130">
        <f>MAX(0.05,AVERAGE(TEAM_ANALYSIS!$W$2:$W$21)*N130*M130)</f>
        <v>2.1856617647058822</v>
      </c>
      <c r="R130" s="23">
        <f>MAX(0.8,MIN(1.2,P130/AVERAGE(TEAM_ANALYSIS!$W$2:$W$21)))</f>
        <v>0.8</v>
      </c>
      <c r="S130">
        <f>MAX(0.8,MIN(1.2,AVERAGE(TEAM_ANALYSIS!$W$2:$W$21)/Q130))</f>
        <v>0.9722455845248108</v>
      </c>
      <c r="T130">
        <f>AVERAGE(R130,S130)</f>
        <v>0.88612279226240542</v>
      </c>
    </row>
    <row r="131" spans="1:20" x14ac:dyDescent="0.25">
      <c r="A131">
        <v>7</v>
      </c>
      <c r="B131" t="b">
        <v>0</v>
      </c>
      <c r="C131" s="6">
        <v>46314.833333333336</v>
      </c>
      <c r="D131" t="b">
        <v>0</v>
      </c>
      <c r="E131">
        <v>19</v>
      </c>
      <c r="F131">
        <v>7</v>
      </c>
      <c r="G131">
        <v>2</v>
      </c>
      <c r="H131" t="s">
        <v>1110</v>
      </c>
      <c r="I131" t="s">
        <v>1104</v>
      </c>
      <c r="J131" t="s">
        <v>1080</v>
      </c>
      <c r="K131" t="str">
        <f>tblTeamFixtures[[#This Row],[Team_name]]&amp;"_"&amp;tblTeamFixtures[[#This Row],[GW]]</f>
        <v>TOT_7</v>
      </c>
      <c r="L131">
        <f>IFERROR(INDEX(TEAM_ANALYSIS!$Y:$Y,MATCH($E131,TEAM_ANALYSIS!$A:$A,0)),1)</f>
        <v>0.5</v>
      </c>
      <c r="M131">
        <f>IFERROR(INDEX(TEAM_ANALYSIS!$Z:$Z,MATCH($E131,TEAM_ANALYSIS!$A:$A,0)),1)</f>
        <v>1.088235294117647</v>
      </c>
      <c r="N131">
        <f>IFERROR(INDEX(TEAM_ANALYSIS!$Y:$Y,MATCH($F131,TEAM_ANALYSIS!$A:$A,0)),1)</f>
        <v>0.5</v>
      </c>
      <c r="O131">
        <f>IFERROR(INDEX(TEAM_ANALYSIS!$Z:$Z,MATCH($F131,TEAM_ANALYSIS!$A:$A,0)),1)</f>
        <v>1.088235294117647</v>
      </c>
      <c r="P131">
        <f>MAX(0.05,AVERAGE(TEAM_ANALYSIS!$W$2:$W$21)*L131*O131)</f>
        <v>1.15625</v>
      </c>
      <c r="Q131">
        <f>MAX(0.05,AVERAGE(TEAM_ANALYSIS!$W$2:$W$21)*N131*M131)</f>
        <v>1.15625</v>
      </c>
      <c r="R131" s="23">
        <f>MAX(0.8,MIN(1.2,P131/AVERAGE(TEAM_ANALYSIS!$W$2:$W$21)))</f>
        <v>0.8</v>
      </c>
      <c r="S131">
        <f>MAX(0.8,MIN(1.2,AVERAGE(TEAM_ANALYSIS!$W$2:$W$21)/Q131))</f>
        <v>1.2</v>
      </c>
      <c r="T131">
        <f>AVERAGE(R131,S131)</f>
        <v>1</v>
      </c>
    </row>
    <row r="132" spans="1:20" x14ac:dyDescent="0.25">
      <c r="A132">
        <v>7</v>
      </c>
      <c r="B132" t="b">
        <v>0</v>
      </c>
      <c r="C132" s="6">
        <v>46312.520833333336</v>
      </c>
      <c r="D132" t="b">
        <v>0</v>
      </c>
      <c r="E132">
        <v>6</v>
      </c>
      <c r="F132">
        <v>9</v>
      </c>
      <c r="G132">
        <v>3</v>
      </c>
      <c r="H132" t="s">
        <v>1111</v>
      </c>
      <c r="I132" t="s">
        <v>1078</v>
      </c>
      <c r="J132" t="s">
        <v>1084</v>
      </c>
      <c r="K132" t="str">
        <f>tblTeamFixtures[[#This Row],[Team_name]]&amp;"_"&amp;tblTeamFixtures[[#This Row],[GW]]</f>
        <v>CHE_7</v>
      </c>
      <c r="L132">
        <f>IFERROR(INDEX(TEAM_ANALYSIS!$Y:$Y,MATCH($E132,TEAM_ANALYSIS!$A:$A,0)),1)</f>
        <v>1.4411764705882353</v>
      </c>
      <c r="M132">
        <f>IFERROR(INDEX(TEAM_ANALYSIS!$Z:$Z,MATCH($E132,TEAM_ANALYSIS!$A:$A,0)),1)</f>
        <v>1.3235294117647058</v>
      </c>
      <c r="N132">
        <f>IFERROR(INDEX(TEAM_ANALYSIS!$Y:$Y,MATCH($F132,TEAM_ANALYSIS!$A:$A,0)),1)</f>
        <v>1.088235294117647</v>
      </c>
      <c r="O132">
        <f>IFERROR(INDEX(TEAM_ANALYSIS!$Z:$Z,MATCH($F132,TEAM_ANALYSIS!$A:$A,0)),1)</f>
        <v>0.8529411764705882</v>
      </c>
      <c r="P132">
        <f>MAX(0.05,AVERAGE(TEAM_ANALYSIS!$W$2:$W$21)*L132*O132)</f>
        <v>2.6121323529411762</v>
      </c>
      <c r="Q132">
        <f>MAX(0.05,AVERAGE(TEAM_ANALYSIS!$W$2:$W$21)*N132*M132)</f>
        <v>3.0606617647058822</v>
      </c>
      <c r="R132" s="23">
        <f>MAX(0.8,MIN(1.2,P132/AVERAGE(TEAM_ANALYSIS!$W$2:$W$21)))</f>
        <v>1.2</v>
      </c>
      <c r="S132">
        <f>MAX(0.8,MIN(1.2,AVERAGE(TEAM_ANALYSIS!$W$2:$W$21)/Q132))</f>
        <v>0.8</v>
      </c>
      <c r="T132">
        <f>AVERAGE(R132,S132)</f>
        <v>1</v>
      </c>
    </row>
    <row r="133" spans="1:20" x14ac:dyDescent="0.25">
      <c r="A133">
        <v>7</v>
      </c>
      <c r="B133" t="b">
        <v>0</v>
      </c>
      <c r="C133" s="6">
        <v>46312.625</v>
      </c>
      <c r="D133" t="b">
        <v>0</v>
      </c>
      <c r="E133">
        <v>14</v>
      </c>
      <c r="F133">
        <v>4</v>
      </c>
      <c r="G133">
        <v>3</v>
      </c>
      <c r="H133" t="s">
        <v>1111</v>
      </c>
      <c r="I133" t="s">
        <v>1094</v>
      </c>
      <c r="J133" t="s">
        <v>1074</v>
      </c>
      <c r="K133" t="str">
        <f>tblTeamFixtures[[#This Row],[Team_name]]&amp;"_"&amp;tblTeamFixtures[[#This Row],[GW]]</f>
        <v>LIV_7</v>
      </c>
      <c r="L133">
        <f>IFERROR(INDEX(TEAM_ANALYSIS!$Y:$Y,MATCH($E133,TEAM_ANALYSIS!$A:$A,0)),1)</f>
        <v>1.2058823529411764</v>
      </c>
      <c r="M133">
        <f>IFERROR(INDEX(TEAM_ANALYSIS!$Z:$Z,MATCH($E133,TEAM_ANALYSIS!$A:$A,0)),1)</f>
        <v>0.97058823529411764</v>
      </c>
      <c r="N133">
        <f>IFERROR(INDEX(TEAM_ANALYSIS!$Y:$Y,MATCH($F133,TEAM_ANALYSIS!$A:$A,0)),1)</f>
        <v>1.088235294117647</v>
      </c>
      <c r="O133">
        <f>IFERROR(INDEX(TEAM_ANALYSIS!$Z:$Z,MATCH($F133,TEAM_ANALYSIS!$A:$A,0)),1)</f>
        <v>0.73529411764705888</v>
      </c>
      <c r="P133">
        <f>MAX(0.05,AVERAGE(TEAM_ANALYSIS!$W$2:$W$21)*L133*O133)</f>
        <v>1.8841911764705883</v>
      </c>
      <c r="Q133">
        <f>MAX(0.05,AVERAGE(TEAM_ANALYSIS!$W$2:$W$21)*N133*M133)</f>
        <v>2.2444852941176472</v>
      </c>
      <c r="R133" s="23">
        <f>MAX(0.8,MIN(1.2,P133/AVERAGE(TEAM_ANALYSIS!$W$2:$W$21)))</f>
        <v>0.88667820069204151</v>
      </c>
      <c r="S133">
        <f>MAX(0.8,MIN(1.2,AVERAGE(TEAM_ANALYSIS!$W$2:$W$21)/Q133))</f>
        <v>0.94676494676494671</v>
      </c>
      <c r="T133">
        <f>AVERAGE(R133,S133)</f>
        <v>0.91672157372849417</v>
      </c>
    </row>
    <row r="134" spans="1:20" x14ac:dyDescent="0.25">
      <c r="A134">
        <v>7</v>
      </c>
      <c r="B134" t="b">
        <v>0</v>
      </c>
      <c r="C134" s="6">
        <v>46312.625</v>
      </c>
      <c r="D134" t="b">
        <v>0</v>
      </c>
      <c r="E134">
        <v>11</v>
      </c>
      <c r="F134">
        <v>10</v>
      </c>
      <c r="G134">
        <v>3</v>
      </c>
      <c r="H134" t="s">
        <v>1111</v>
      </c>
      <c r="I134" t="s">
        <v>1088</v>
      </c>
      <c r="J134" t="s">
        <v>1086</v>
      </c>
      <c r="K134" t="str">
        <f>tblTeamFixtures[[#This Row],[Team_name]]&amp;"_"&amp;tblTeamFixtures[[#This Row],[GW]]</f>
        <v>HUL_7</v>
      </c>
      <c r="L134">
        <f>IFERROR(INDEX(TEAM_ANALYSIS!$Y:$Y,MATCH($E134,TEAM_ANALYSIS!$A:$A,0)),1)</f>
        <v>0.8529411764705882</v>
      </c>
      <c r="M134">
        <f>IFERROR(INDEX(TEAM_ANALYSIS!$Z:$Z,MATCH($E134,TEAM_ANALYSIS!$A:$A,0)),1)</f>
        <v>0.5</v>
      </c>
      <c r="N134">
        <f>IFERROR(INDEX(TEAM_ANALYSIS!$Y:$Y,MATCH($F134,TEAM_ANALYSIS!$A:$A,0)),1)</f>
        <v>0.97058823529411764</v>
      </c>
      <c r="O134">
        <f>IFERROR(INDEX(TEAM_ANALYSIS!$Z:$Z,MATCH($F134,TEAM_ANALYSIS!$A:$A,0)),1)</f>
        <v>1.3235294117647058</v>
      </c>
      <c r="P134">
        <f>MAX(0.05,AVERAGE(TEAM_ANALYSIS!$W$2:$W$21)*L134*O134)</f>
        <v>2.3988970588235294</v>
      </c>
      <c r="Q134">
        <f>MAX(0.05,AVERAGE(TEAM_ANALYSIS!$W$2:$W$21)*N134*M134)</f>
        <v>1.03125</v>
      </c>
      <c r="R134" s="23">
        <f>MAX(0.8,MIN(1.2,P134/AVERAGE(TEAM_ANALYSIS!$W$2:$W$21)))</f>
        <v>1.1288927335640138</v>
      </c>
      <c r="S134">
        <f>MAX(0.8,MIN(1.2,AVERAGE(TEAM_ANALYSIS!$W$2:$W$21)/Q134))</f>
        <v>1.2</v>
      </c>
      <c r="T134">
        <f>AVERAGE(R134,S134)</f>
        <v>1.1644463667820069</v>
      </c>
    </row>
    <row r="135" spans="1:20" x14ac:dyDescent="0.25">
      <c r="A135">
        <v>7</v>
      </c>
      <c r="B135" t="b">
        <v>0</v>
      </c>
      <c r="C135" s="6">
        <v>46312.625</v>
      </c>
      <c r="D135" t="b">
        <v>0</v>
      </c>
      <c r="E135">
        <v>12</v>
      </c>
      <c r="F135">
        <v>15</v>
      </c>
      <c r="G135">
        <v>5</v>
      </c>
      <c r="H135" t="s">
        <v>1111</v>
      </c>
      <c r="I135" t="s">
        <v>1090</v>
      </c>
      <c r="J135" t="s">
        <v>1096</v>
      </c>
      <c r="K135" t="str">
        <f>tblTeamFixtures[[#This Row],[Team_name]]&amp;"_"&amp;tblTeamFixtures[[#This Row],[GW]]</f>
        <v>IPS_7</v>
      </c>
      <c r="L135">
        <f>IFERROR(INDEX(TEAM_ANALYSIS!$Y:$Y,MATCH($E135,TEAM_ANALYSIS!$A:$A,0)),1)</f>
        <v>0.97058823529411764</v>
      </c>
      <c r="M135">
        <f>IFERROR(INDEX(TEAM_ANALYSIS!$Z:$Z,MATCH($E135,TEAM_ANALYSIS!$A:$A,0)),1)</f>
        <v>1.4411764705882353</v>
      </c>
      <c r="N135">
        <f>IFERROR(INDEX(TEAM_ANALYSIS!$Y:$Y,MATCH($F135,TEAM_ANALYSIS!$A:$A,0)),1)</f>
        <v>1.3235294117647058</v>
      </c>
      <c r="O135">
        <f>IFERROR(INDEX(TEAM_ANALYSIS!$Z:$Z,MATCH($F135,TEAM_ANALYSIS!$A:$A,0)),1)</f>
        <v>0.73529411764705888</v>
      </c>
      <c r="P135">
        <f>MAX(0.05,AVERAGE(TEAM_ANALYSIS!$W$2:$W$21)*L135*O135)</f>
        <v>1.5165441176470589</v>
      </c>
      <c r="Q135">
        <f>MAX(0.05,AVERAGE(TEAM_ANALYSIS!$W$2:$W$21)*N135*M135)</f>
        <v>4.0533088235294121</v>
      </c>
      <c r="R135" s="23">
        <f>MAX(0.8,MIN(1.2,P135/AVERAGE(TEAM_ANALYSIS!$W$2:$W$21)))</f>
        <v>0.8</v>
      </c>
      <c r="S135">
        <f>MAX(0.8,MIN(1.2,AVERAGE(TEAM_ANALYSIS!$W$2:$W$21)/Q135))</f>
        <v>0.8</v>
      </c>
      <c r="T135">
        <f>AVERAGE(R135,S135)</f>
        <v>0.8</v>
      </c>
    </row>
    <row r="136" spans="1:20" x14ac:dyDescent="0.25">
      <c r="A136">
        <v>7</v>
      </c>
      <c r="B136" t="b">
        <v>0</v>
      </c>
      <c r="C136" s="6">
        <v>46312.729166666664</v>
      </c>
      <c r="D136" t="b">
        <v>0</v>
      </c>
      <c r="E136">
        <v>2</v>
      </c>
      <c r="F136">
        <v>17</v>
      </c>
      <c r="G136">
        <v>3</v>
      </c>
      <c r="H136" t="s">
        <v>1111</v>
      </c>
      <c r="I136" t="s">
        <v>1070</v>
      </c>
      <c r="J136" t="s">
        <v>1100</v>
      </c>
      <c r="K136" t="str">
        <f>tblTeamFixtures[[#This Row],[Team_name]]&amp;"_"&amp;tblTeamFixtures[[#This Row],[GW]]</f>
        <v>AVL_7</v>
      </c>
      <c r="L136">
        <f>IFERROR(INDEX(TEAM_ANALYSIS!$Y:$Y,MATCH($E136,TEAM_ANALYSIS!$A:$A,0)),1)</f>
        <v>0.5</v>
      </c>
      <c r="M136">
        <f>IFERROR(INDEX(TEAM_ANALYSIS!$Z:$Z,MATCH($E136,TEAM_ANALYSIS!$A:$A,0)),1)</f>
        <v>1.088235294117647</v>
      </c>
      <c r="N136">
        <f>IFERROR(INDEX(TEAM_ANALYSIS!$Y:$Y,MATCH($F136,TEAM_ANALYSIS!$A:$A,0)),1)</f>
        <v>1.2058823529411764</v>
      </c>
      <c r="O136">
        <f>IFERROR(INDEX(TEAM_ANALYSIS!$Z:$Z,MATCH($F136,TEAM_ANALYSIS!$A:$A,0)),1)</f>
        <v>0.97058823529411764</v>
      </c>
      <c r="P136">
        <f>MAX(0.05,AVERAGE(TEAM_ANALYSIS!$W$2:$W$21)*L136*O136)</f>
        <v>1.03125</v>
      </c>
      <c r="Q136">
        <f>MAX(0.05,AVERAGE(TEAM_ANALYSIS!$W$2:$W$21)*N136*M136)</f>
        <v>2.7886029411764706</v>
      </c>
      <c r="R136" s="23">
        <f>MAX(0.8,MIN(1.2,P136/AVERAGE(TEAM_ANALYSIS!$W$2:$W$21)))</f>
        <v>0.8</v>
      </c>
      <c r="S136">
        <f>MAX(0.8,MIN(1.2,AVERAGE(TEAM_ANALYSIS!$W$2:$W$21)/Q136))</f>
        <v>0.8</v>
      </c>
      <c r="T136">
        <f>AVERAGE(R136,S136)</f>
        <v>0.8</v>
      </c>
    </row>
    <row r="137" spans="1:20" x14ac:dyDescent="0.25">
      <c r="A137">
        <v>7</v>
      </c>
      <c r="B137" t="b">
        <v>0</v>
      </c>
      <c r="C137" s="6">
        <v>46313.583333333336</v>
      </c>
      <c r="D137" t="b">
        <v>0</v>
      </c>
      <c r="E137">
        <v>20</v>
      </c>
      <c r="F137">
        <v>3</v>
      </c>
      <c r="G137">
        <v>3</v>
      </c>
      <c r="H137" t="s">
        <v>1111</v>
      </c>
      <c r="I137" t="s">
        <v>1106</v>
      </c>
      <c r="J137" t="s">
        <v>1072</v>
      </c>
      <c r="K137" t="str">
        <f>tblTeamFixtures[[#This Row],[Team_name]]&amp;"_"&amp;tblTeamFixtures[[#This Row],[GW]]</f>
        <v>SUN_7</v>
      </c>
      <c r="L137">
        <f>IFERROR(INDEX(TEAM_ANALYSIS!$Y:$Y,MATCH($E137,TEAM_ANALYSIS!$A:$A,0)),1)</f>
        <v>0.8529411764705882</v>
      </c>
      <c r="M137">
        <f>IFERROR(INDEX(TEAM_ANALYSIS!$Z:$Z,MATCH($E137,TEAM_ANALYSIS!$A:$A,0)),1)</f>
        <v>0.8529411764705882</v>
      </c>
      <c r="N137">
        <f>IFERROR(INDEX(TEAM_ANALYSIS!$Y:$Y,MATCH($F137,TEAM_ANALYSIS!$A:$A,0)),1)</f>
        <v>0.97058823529411764</v>
      </c>
      <c r="O137">
        <f>IFERROR(INDEX(TEAM_ANALYSIS!$Z:$Z,MATCH($F137,TEAM_ANALYSIS!$A:$A,0)),1)</f>
        <v>1.088235294117647</v>
      </c>
      <c r="P137">
        <f>MAX(0.05,AVERAGE(TEAM_ANALYSIS!$W$2:$W$21)*L137*O137)</f>
        <v>1.9724264705882351</v>
      </c>
      <c r="Q137">
        <f>MAX(0.05,AVERAGE(TEAM_ANALYSIS!$W$2:$W$21)*N137*M137)</f>
        <v>1.7591911764705881</v>
      </c>
      <c r="R137" s="23">
        <f>MAX(0.8,MIN(1.2,P137/AVERAGE(TEAM_ANALYSIS!$W$2:$W$21)))</f>
        <v>0.92820069204152233</v>
      </c>
      <c r="S137">
        <f>MAX(0.8,MIN(1.2,AVERAGE(TEAM_ANALYSIS!$W$2:$W$21)/Q137))</f>
        <v>1.2</v>
      </c>
      <c r="T137">
        <f>AVERAGE(R137,S137)</f>
        <v>1.0641003460207612</v>
      </c>
    </row>
    <row r="138" spans="1:20" x14ac:dyDescent="0.25">
      <c r="A138">
        <v>7</v>
      </c>
      <c r="B138" t="b">
        <v>0</v>
      </c>
      <c r="C138" s="6">
        <v>46313.583333333336</v>
      </c>
      <c r="D138" t="b">
        <v>0</v>
      </c>
      <c r="E138">
        <v>8</v>
      </c>
      <c r="F138">
        <v>5</v>
      </c>
      <c r="G138">
        <v>3</v>
      </c>
      <c r="H138" t="s">
        <v>1111</v>
      </c>
      <c r="I138" t="s">
        <v>1082</v>
      </c>
      <c r="J138" t="s">
        <v>1076</v>
      </c>
      <c r="K138" t="str">
        <f>tblTeamFixtures[[#This Row],[Team_name]]&amp;"_"&amp;tblTeamFixtures[[#This Row],[GW]]</f>
        <v>CRY_7</v>
      </c>
      <c r="L138">
        <f>IFERROR(INDEX(TEAM_ANALYSIS!$Y:$Y,MATCH($E138,TEAM_ANALYSIS!$A:$A,0)),1)</f>
        <v>0.97058823529411764</v>
      </c>
      <c r="M138">
        <f>IFERROR(INDEX(TEAM_ANALYSIS!$Z:$Z,MATCH($E138,TEAM_ANALYSIS!$A:$A,0)),1)</f>
        <v>1.4411764705882353</v>
      </c>
      <c r="N138">
        <f>IFERROR(INDEX(TEAM_ANALYSIS!$Y:$Y,MATCH($F138,TEAM_ANALYSIS!$A:$A,0)),1)</f>
        <v>1.4411764705882353</v>
      </c>
      <c r="O138">
        <f>IFERROR(INDEX(TEAM_ANALYSIS!$Z:$Z,MATCH($F138,TEAM_ANALYSIS!$A:$A,0)),1)</f>
        <v>1.088235294117647</v>
      </c>
      <c r="P138">
        <f>MAX(0.05,AVERAGE(TEAM_ANALYSIS!$W$2:$W$21)*L138*O138)</f>
        <v>2.2444852941176467</v>
      </c>
      <c r="Q138">
        <f>MAX(0.05,AVERAGE(TEAM_ANALYSIS!$W$2:$W$21)*N138*M138)</f>
        <v>4.4136029411764701</v>
      </c>
      <c r="R138" s="23">
        <f>MAX(0.8,MIN(1.2,P138/AVERAGE(TEAM_ANALYSIS!$W$2:$W$21)))</f>
        <v>1.0562283737024221</v>
      </c>
      <c r="S138">
        <f>MAX(0.8,MIN(1.2,AVERAGE(TEAM_ANALYSIS!$W$2:$W$21)/Q138))</f>
        <v>0.8</v>
      </c>
      <c r="T138">
        <f>AVERAGE(R138,S138)</f>
        <v>0.92811418685121105</v>
      </c>
    </row>
    <row r="139" spans="1:20" x14ac:dyDescent="0.25">
      <c r="A139">
        <v>7</v>
      </c>
      <c r="B139" t="b">
        <v>0</v>
      </c>
      <c r="C139" s="6">
        <v>46313.583333333336</v>
      </c>
      <c r="D139" t="b">
        <v>0</v>
      </c>
      <c r="E139">
        <v>16</v>
      </c>
      <c r="F139">
        <v>13</v>
      </c>
      <c r="G139">
        <v>3</v>
      </c>
      <c r="H139" t="s">
        <v>1111</v>
      </c>
      <c r="I139" t="s">
        <v>1098</v>
      </c>
      <c r="J139" t="s">
        <v>1092</v>
      </c>
      <c r="K139" t="str">
        <f>tblTeamFixtures[[#This Row],[Team_name]]&amp;"_"&amp;tblTeamFixtures[[#This Row],[GW]]</f>
        <v>MUN_7</v>
      </c>
      <c r="L139">
        <f>IFERROR(INDEX(TEAM_ANALYSIS!$Y:$Y,MATCH($E139,TEAM_ANALYSIS!$A:$A,0)),1)</f>
        <v>1.3235294117647058</v>
      </c>
      <c r="M139">
        <f>IFERROR(INDEX(TEAM_ANALYSIS!$Z:$Z,MATCH($E139,TEAM_ANALYSIS!$A:$A,0)),1)</f>
        <v>1.2058823529411764</v>
      </c>
      <c r="N139">
        <f>IFERROR(INDEX(TEAM_ANALYSIS!$Y:$Y,MATCH($F139,TEAM_ANALYSIS!$A:$A,0)),1)</f>
        <v>0.8529411764705882</v>
      </c>
      <c r="O139">
        <f>IFERROR(INDEX(TEAM_ANALYSIS!$Z:$Z,MATCH($F139,TEAM_ANALYSIS!$A:$A,0)),1)</f>
        <v>0.73529411764705888</v>
      </c>
      <c r="P139">
        <f>MAX(0.05,AVERAGE(TEAM_ANALYSIS!$W$2:$W$21)*L139*O139)</f>
        <v>2.0680147058823533</v>
      </c>
      <c r="Q139">
        <f>MAX(0.05,AVERAGE(TEAM_ANALYSIS!$W$2:$W$21)*N139*M139)</f>
        <v>2.1856617647058822</v>
      </c>
      <c r="R139" s="23">
        <f>MAX(0.8,MIN(1.2,P139/AVERAGE(TEAM_ANALYSIS!$W$2:$W$21)))</f>
        <v>0.97318339100346041</v>
      </c>
      <c r="S139">
        <f>MAX(0.8,MIN(1.2,AVERAGE(TEAM_ANALYSIS!$W$2:$W$21)/Q139))</f>
        <v>0.9722455845248108</v>
      </c>
      <c r="T139">
        <f>AVERAGE(R139,S139)</f>
        <v>0.9727144877641356</v>
      </c>
    </row>
    <row r="140" spans="1:20" x14ac:dyDescent="0.25">
      <c r="A140">
        <v>7</v>
      </c>
      <c r="B140" t="b">
        <v>0</v>
      </c>
      <c r="C140" s="6">
        <v>46313.6875</v>
      </c>
      <c r="D140" t="b">
        <v>0</v>
      </c>
      <c r="E140">
        <v>1</v>
      </c>
      <c r="F140">
        <v>18</v>
      </c>
      <c r="G140">
        <v>3</v>
      </c>
      <c r="H140" t="s">
        <v>1111</v>
      </c>
      <c r="I140" t="s">
        <v>1068</v>
      </c>
      <c r="J140" t="s">
        <v>1102</v>
      </c>
      <c r="K140" t="str">
        <f>tblTeamFixtures[[#This Row],[Team_name]]&amp;"_"&amp;tblTeamFixtures[[#This Row],[GW]]</f>
        <v>ARS_7</v>
      </c>
      <c r="L140">
        <f>IFERROR(INDEX(TEAM_ANALYSIS!$Y:$Y,MATCH($E140,TEAM_ANALYSIS!$A:$A,0)),1)</f>
        <v>1.2058823529411764</v>
      </c>
      <c r="M140">
        <f>IFERROR(INDEX(TEAM_ANALYSIS!$Z:$Z,MATCH($E140,TEAM_ANALYSIS!$A:$A,0)),1)</f>
        <v>0.61764705882352944</v>
      </c>
      <c r="N140">
        <f>IFERROR(INDEX(TEAM_ANALYSIS!$Y:$Y,MATCH($F140,TEAM_ANALYSIS!$A:$A,0)),1)</f>
        <v>0.73529411764705888</v>
      </c>
      <c r="O140">
        <f>IFERROR(INDEX(TEAM_ANALYSIS!$Z:$Z,MATCH($F140,TEAM_ANALYSIS!$A:$A,0)),1)</f>
        <v>0.8529411764705882</v>
      </c>
      <c r="P140">
        <f>MAX(0.05,AVERAGE(TEAM_ANALYSIS!$W$2:$W$21)*L140*O140)</f>
        <v>2.1856617647058822</v>
      </c>
      <c r="Q140">
        <f>MAX(0.05,AVERAGE(TEAM_ANALYSIS!$W$2:$W$21)*N140*M140)</f>
        <v>0.96507352941176472</v>
      </c>
      <c r="R140" s="23">
        <f>MAX(0.8,MIN(1.2,P140/AVERAGE(TEAM_ANALYSIS!$W$2:$W$21)))</f>
        <v>1.0285467128027681</v>
      </c>
      <c r="S140">
        <f>MAX(0.8,MIN(1.2,AVERAGE(TEAM_ANALYSIS!$W$2:$W$21)/Q140))</f>
        <v>1.2</v>
      </c>
      <c r="T140">
        <f>AVERAGE(R140,S140)</f>
        <v>1.114273356401384</v>
      </c>
    </row>
    <row r="141" spans="1:20" x14ac:dyDescent="0.25">
      <c r="A141">
        <v>7</v>
      </c>
      <c r="B141" t="b">
        <v>0</v>
      </c>
      <c r="C141" s="6">
        <v>46314.833333333336</v>
      </c>
      <c r="D141" t="b">
        <v>0</v>
      </c>
      <c r="E141">
        <v>7</v>
      </c>
      <c r="F141">
        <v>19</v>
      </c>
      <c r="G141">
        <v>3</v>
      </c>
      <c r="H141" t="s">
        <v>1111</v>
      </c>
      <c r="I141" t="s">
        <v>1080</v>
      </c>
      <c r="J141" t="s">
        <v>1104</v>
      </c>
      <c r="K141" t="str">
        <f>tblTeamFixtures[[#This Row],[Team_name]]&amp;"_"&amp;tblTeamFixtures[[#This Row],[GW]]</f>
        <v>COV_7</v>
      </c>
      <c r="L141">
        <f>IFERROR(INDEX(TEAM_ANALYSIS!$Y:$Y,MATCH($E141,TEAM_ANALYSIS!$A:$A,0)),1)</f>
        <v>0.5</v>
      </c>
      <c r="M141">
        <f>IFERROR(INDEX(TEAM_ANALYSIS!$Z:$Z,MATCH($E141,TEAM_ANALYSIS!$A:$A,0)),1)</f>
        <v>1.088235294117647</v>
      </c>
      <c r="N141">
        <f>IFERROR(INDEX(TEAM_ANALYSIS!$Y:$Y,MATCH($F141,TEAM_ANALYSIS!$A:$A,0)),1)</f>
        <v>0.5</v>
      </c>
      <c r="O141">
        <f>IFERROR(INDEX(TEAM_ANALYSIS!$Z:$Z,MATCH($F141,TEAM_ANALYSIS!$A:$A,0)),1)</f>
        <v>1.088235294117647</v>
      </c>
      <c r="P141">
        <f>MAX(0.05,AVERAGE(TEAM_ANALYSIS!$W$2:$W$21)*L141*O141)</f>
        <v>1.15625</v>
      </c>
      <c r="Q141">
        <f>MAX(0.05,AVERAGE(TEAM_ANALYSIS!$W$2:$W$21)*N141*M141)</f>
        <v>1.15625</v>
      </c>
      <c r="R141" s="23">
        <f>MAX(0.8,MIN(1.2,P141/AVERAGE(TEAM_ANALYSIS!$W$2:$W$21)))</f>
        <v>0.8</v>
      </c>
      <c r="S141">
        <f>MAX(0.8,MIN(1.2,AVERAGE(TEAM_ANALYSIS!$W$2:$W$21)/Q141))</f>
        <v>1.2</v>
      </c>
      <c r="T141">
        <f>AVERAGE(R141,S141)</f>
        <v>1</v>
      </c>
    </row>
    <row r="142" spans="1:20" x14ac:dyDescent="0.25">
      <c r="A142">
        <v>8</v>
      </c>
      <c r="B142" t="b">
        <v>0</v>
      </c>
      <c r="C142" s="6">
        <v>46318.833333333336</v>
      </c>
      <c r="D142" t="b">
        <v>0</v>
      </c>
      <c r="E142">
        <v>12</v>
      </c>
      <c r="F142">
        <v>18</v>
      </c>
      <c r="G142">
        <v>3</v>
      </c>
      <c r="H142" t="s">
        <v>1110</v>
      </c>
      <c r="I142" t="s">
        <v>1090</v>
      </c>
      <c r="J142" t="s">
        <v>1102</v>
      </c>
      <c r="K142" t="str">
        <f>tblTeamFixtures[[#This Row],[Team_name]]&amp;"_"&amp;tblTeamFixtures[[#This Row],[GW]]</f>
        <v>IPS_8</v>
      </c>
      <c r="L142">
        <f>IFERROR(INDEX(TEAM_ANALYSIS!$Y:$Y,MATCH($E142,TEAM_ANALYSIS!$A:$A,0)),1)</f>
        <v>0.97058823529411764</v>
      </c>
      <c r="M142">
        <f>IFERROR(INDEX(TEAM_ANALYSIS!$Z:$Z,MATCH($E142,TEAM_ANALYSIS!$A:$A,0)),1)</f>
        <v>1.4411764705882353</v>
      </c>
      <c r="N142">
        <f>IFERROR(INDEX(TEAM_ANALYSIS!$Y:$Y,MATCH($F142,TEAM_ANALYSIS!$A:$A,0)),1)</f>
        <v>0.73529411764705888</v>
      </c>
      <c r="O142">
        <f>IFERROR(INDEX(TEAM_ANALYSIS!$Z:$Z,MATCH($F142,TEAM_ANALYSIS!$A:$A,0)),1)</f>
        <v>0.8529411764705882</v>
      </c>
      <c r="P142">
        <f>MAX(0.05,AVERAGE(TEAM_ANALYSIS!$W$2:$W$21)*L142*O142)</f>
        <v>1.7591911764705881</v>
      </c>
      <c r="Q142">
        <f>MAX(0.05,AVERAGE(TEAM_ANALYSIS!$W$2:$W$21)*N142*M142)</f>
        <v>2.2518382352941178</v>
      </c>
      <c r="R142" s="23">
        <f>MAX(0.8,MIN(1.2,P142/AVERAGE(TEAM_ANALYSIS!$W$2:$W$21)))</f>
        <v>0.82785467128027679</v>
      </c>
      <c r="S142">
        <f>MAX(0.8,MIN(1.2,AVERAGE(TEAM_ANALYSIS!$W$2:$W$21)/Q142))</f>
        <v>0.94367346938775509</v>
      </c>
      <c r="T142">
        <f>AVERAGE(R142,S142)</f>
        <v>0.88576407033401594</v>
      </c>
    </row>
    <row r="143" spans="1:20" x14ac:dyDescent="0.25">
      <c r="A143">
        <v>8</v>
      </c>
      <c r="B143" t="b">
        <v>0</v>
      </c>
      <c r="C143" s="6">
        <v>46319.520833333336</v>
      </c>
      <c r="D143" t="b">
        <v>0</v>
      </c>
      <c r="E143">
        <v>2</v>
      </c>
      <c r="F143">
        <v>15</v>
      </c>
      <c r="G143">
        <v>4</v>
      </c>
      <c r="H143" t="s">
        <v>1110</v>
      </c>
      <c r="I143" t="s">
        <v>1070</v>
      </c>
      <c r="J143" t="s">
        <v>1096</v>
      </c>
      <c r="K143" t="str">
        <f>tblTeamFixtures[[#This Row],[Team_name]]&amp;"_"&amp;tblTeamFixtures[[#This Row],[GW]]</f>
        <v>AVL_8</v>
      </c>
      <c r="L143">
        <f>IFERROR(INDEX(TEAM_ANALYSIS!$Y:$Y,MATCH($E143,TEAM_ANALYSIS!$A:$A,0)),1)</f>
        <v>0.5</v>
      </c>
      <c r="M143">
        <f>IFERROR(INDEX(TEAM_ANALYSIS!$Z:$Z,MATCH($E143,TEAM_ANALYSIS!$A:$A,0)),1)</f>
        <v>1.088235294117647</v>
      </c>
      <c r="N143">
        <f>IFERROR(INDEX(TEAM_ANALYSIS!$Y:$Y,MATCH($F143,TEAM_ANALYSIS!$A:$A,0)),1)</f>
        <v>1.3235294117647058</v>
      </c>
      <c r="O143">
        <f>IFERROR(INDEX(TEAM_ANALYSIS!$Z:$Z,MATCH($F143,TEAM_ANALYSIS!$A:$A,0)),1)</f>
        <v>0.73529411764705888</v>
      </c>
      <c r="P143">
        <f>MAX(0.05,AVERAGE(TEAM_ANALYSIS!$W$2:$W$21)*L143*O143)</f>
        <v>0.78125</v>
      </c>
      <c r="Q143">
        <f>MAX(0.05,AVERAGE(TEAM_ANALYSIS!$W$2:$W$21)*N143*M143)</f>
        <v>3.0606617647058822</v>
      </c>
      <c r="R143" s="23">
        <f>MAX(0.8,MIN(1.2,P143/AVERAGE(TEAM_ANALYSIS!$W$2:$W$21)))</f>
        <v>0.8</v>
      </c>
      <c r="S143">
        <f>MAX(0.8,MIN(1.2,AVERAGE(TEAM_ANALYSIS!$W$2:$W$21)/Q143))</f>
        <v>0.8</v>
      </c>
      <c r="T143">
        <f>AVERAGE(R143,S143)</f>
        <v>0.8</v>
      </c>
    </row>
    <row r="144" spans="1:20" x14ac:dyDescent="0.25">
      <c r="A144">
        <v>8</v>
      </c>
      <c r="B144" t="b">
        <v>0</v>
      </c>
      <c r="C144" s="6">
        <v>46319.625</v>
      </c>
      <c r="D144" t="b">
        <v>0</v>
      </c>
      <c r="E144">
        <v>1</v>
      </c>
      <c r="F144">
        <v>9</v>
      </c>
      <c r="G144">
        <v>3</v>
      </c>
      <c r="H144" t="s">
        <v>1110</v>
      </c>
      <c r="I144" t="s">
        <v>1068</v>
      </c>
      <c r="J144" t="s">
        <v>1084</v>
      </c>
      <c r="K144" t="str">
        <f>tblTeamFixtures[[#This Row],[Team_name]]&amp;"_"&amp;tblTeamFixtures[[#This Row],[GW]]</f>
        <v>ARS_8</v>
      </c>
      <c r="L144">
        <f>IFERROR(INDEX(TEAM_ANALYSIS!$Y:$Y,MATCH($E144,TEAM_ANALYSIS!$A:$A,0)),1)</f>
        <v>1.2058823529411764</v>
      </c>
      <c r="M144">
        <f>IFERROR(INDEX(TEAM_ANALYSIS!$Z:$Z,MATCH($E144,TEAM_ANALYSIS!$A:$A,0)),1)</f>
        <v>0.61764705882352944</v>
      </c>
      <c r="N144">
        <f>IFERROR(INDEX(TEAM_ANALYSIS!$Y:$Y,MATCH($F144,TEAM_ANALYSIS!$A:$A,0)),1)</f>
        <v>1.088235294117647</v>
      </c>
      <c r="O144">
        <f>IFERROR(INDEX(TEAM_ANALYSIS!$Z:$Z,MATCH($F144,TEAM_ANALYSIS!$A:$A,0)),1)</f>
        <v>0.8529411764705882</v>
      </c>
      <c r="P144">
        <f>MAX(0.05,AVERAGE(TEAM_ANALYSIS!$W$2:$W$21)*L144*O144)</f>
        <v>2.1856617647058822</v>
      </c>
      <c r="Q144">
        <f>MAX(0.05,AVERAGE(TEAM_ANALYSIS!$W$2:$W$21)*N144*M144)</f>
        <v>1.4283088235294119</v>
      </c>
      <c r="R144" s="23">
        <f>MAX(0.8,MIN(1.2,P144/AVERAGE(TEAM_ANALYSIS!$W$2:$W$21)))</f>
        <v>1.0285467128027681</v>
      </c>
      <c r="S144">
        <f>MAX(0.8,MIN(1.2,AVERAGE(TEAM_ANALYSIS!$W$2:$W$21)/Q144))</f>
        <v>1.2</v>
      </c>
      <c r="T144">
        <f>AVERAGE(R144,S144)</f>
        <v>1.114273356401384</v>
      </c>
    </row>
    <row r="145" spans="1:20" x14ac:dyDescent="0.25">
      <c r="A145">
        <v>8</v>
      </c>
      <c r="B145" t="b">
        <v>0</v>
      </c>
      <c r="C145" s="6">
        <v>46319.625</v>
      </c>
      <c r="D145" t="b">
        <v>0</v>
      </c>
      <c r="E145">
        <v>7</v>
      </c>
      <c r="F145">
        <v>10</v>
      </c>
      <c r="G145">
        <v>2</v>
      </c>
      <c r="H145" t="s">
        <v>1110</v>
      </c>
      <c r="I145" t="s">
        <v>1080</v>
      </c>
      <c r="J145" t="s">
        <v>1086</v>
      </c>
      <c r="K145" t="str">
        <f>tblTeamFixtures[[#This Row],[Team_name]]&amp;"_"&amp;tblTeamFixtures[[#This Row],[GW]]</f>
        <v>COV_8</v>
      </c>
      <c r="L145">
        <f>IFERROR(INDEX(TEAM_ANALYSIS!$Y:$Y,MATCH($E145,TEAM_ANALYSIS!$A:$A,0)),1)</f>
        <v>0.5</v>
      </c>
      <c r="M145">
        <f>IFERROR(INDEX(TEAM_ANALYSIS!$Z:$Z,MATCH($E145,TEAM_ANALYSIS!$A:$A,0)),1)</f>
        <v>1.088235294117647</v>
      </c>
      <c r="N145">
        <f>IFERROR(INDEX(TEAM_ANALYSIS!$Y:$Y,MATCH($F145,TEAM_ANALYSIS!$A:$A,0)),1)</f>
        <v>0.97058823529411764</v>
      </c>
      <c r="O145">
        <f>IFERROR(INDEX(TEAM_ANALYSIS!$Z:$Z,MATCH($F145,TEAM_ANALYSIS!$A:$A,0)),1)</f>
        <v>1.3235294117647058</v>
      </c>
      <c r="P145">
        <f>MAX(0.05,AVERAGE(TEAM_ANALYSIS!$W$2:$W$21)*L145*O145)</f>
        <v>1.40625</v>
      </c>
      <c r="Q145">
        <f>MAX(0.05,AVERAGE(TEAM_ANALYSIS!$W$2:$W$21)*N145*M145)</f>
        <v>2.2444852941176467</v>
      </c>
      <c r="R145" s="23">
        <f>MAX(0.8,MIN(1.2,P145/AVERAGE(TEAM_ANALYSIS!$W$2:$W$21)))</f>
        <v>0.8</v>
      </c>
      <c r="S145">
        <f>MAX(0.8,MIN(1.2,AVERAGE(TEAM_ANALYSIS!$W$2:$W$21)/Q145))</f>
        <v>0.94676494676494694</v>
      </c>
      <c r="T145">
        <f>AVERAGE(R145,S145)</f>
        <v>0.87338247338247355</v>
      </c>
    </row>
    <row r="146" spans="1:20" x14ac:dyDescent="0.25">
      <c r="A146">
        <v>8</v>
      </c>
      <c r="B146" t="b">
        <v>0</v>
      </c>
      <c r="C146" s="6">
        <v>46319.729166666664</v>
      </c>
      <c r="D146" t="b">
        <v>0</v>
      </c>
      <c r="E146">
        <v>6</v>
      </c>
      <c r="F146">
        <v>19</v>
      </c>
      <c r="G146">
        <v>3</v>
      </c>
      <c r="H146" t="s">
        <v>1110</v>
      </c>
      <c r="I146" t="s">
        <v>1078</v>
      </c>
      <c r="J146" t="s">
        <v>1104</v>
      </c>
      <c r="K146" t="str">
        <f>tblTeamFixtures[[#This Row],[Team_name]]&amp;"_"&amp;tblTeamFixtures[[#This Row],[GW]]</f>
        <v>CHE_8</v>
      </c>
      <c r="L146">
        <f>IFERROR(INDEX(TEAM_ANALYSIS!$Y:$Y,MATCH($E146,TEAM_ANALYSIS!$A:$A,0)),1)</f>
        <v>1.4411764705882353</v>
      </c>
      <c r="M146">
        <f>IFERROR(INDEX(TEAM_ANALYSIS!$Z:$Z,MATCH($E146,TEAM_ANALYSIS!$A:$A,0)),1)</f>
        <v>1.3235294117647058</v>
      </c>
      <c r="N146">
        <f>IFERROR(INDEX(TEAM_ANALYSIS!$Y:$Y,MATCH($F146,TEAM_ANALYSIS!$A:$A,0)),1)</f>
        <v>0.5</v>
      </c>
      <c r="O146">
        <f>IFERROR(INDEX(TEAM_ANALYSIS!$Z:$Z,MATCH($F146,TEAM_ANALYSIS!$A:$A,0)),1)</f>
        <v>1.088235294117647</v>
      </c>
      <c r="P146">
        <f>MAX(0.05,AVERAGE(TEAM_ANALYSIS!$W$2:$W$21)*L146*O146)</f>
        <v>3.3327205882352939</v>
      </c>
      <c r="Q146">
        <f>MAX(0.05,AVERAGE(TEAM_ANALYSIS!$W$2:$W$21)*N146*M146)</f>
        <v>1.40625</v>
      </c>
      <c r="R146" s="23">
        <f>MAX(0.8,MIN(1.2,P146/AVERAGE(TEAM_ANALYSIS!$W$2:$W$21)))</f>
        <v>1.2</v>
      </c>
      <c r="S146">
        <f>MAX(0.8,MIN(1.2,AVERAGE(TEAM_ANALYSIS!$W$2:$W$21)/Q146))</f>
        <v>1.2</v>
      </c>
      <c r="T146">
        <f>AVERAGE(R146,S146)</f>
        <v>1.2</v>
      </c>
    </row>
    <row r="147" spans="1:20" x14ac:dyDescent="0.25">
      <c r="A147">
        <v>8</v>
      </c>
      <c r="B147" t="b">
        <v>0</v>
      </c>
      <c r="C147" s="6">
        <v>46320.583333333336</v>
      </c>
      <c r="D147" t="b">
        <v>0</v>
      </c>
      <c r="E147">
        <v>8</v>
      </c>
      <c r="F147">
        <v>17</v>
      </c>
      <c r="G147">
        <v>2</v>
      </c>
      <c r="H147" t="s">
        <v>1110</v>
      </c>
      <c r="I147" t="s">
        <v>1082</v>
      </c>
      <c r="J147" t="s">
        <v>1100</v>
      </c>
      <c r="K147" t="str">
        <f>tblTeamFixtures[[#This Row],[Team_name]]&amp;"_"&amp;tblTeamFixtures[[#This Row],[GW]]</f>
        <v>CRY_8</v>
      </c>
      <c r="L147">
        <f>IFERROR(INDEX(TEAM_ANALYSIS!$Y:$Y,MATCH($E147,TEAM_ANALYSIS!$A:$A,0)),1)</f>
        <v>0.97058823529411764</v>
      </c>
      <c r="M147">
        <f>IFERROR(INDEX(TEAM_ANALYSIS!$Z:$Z,MATCH($E147,TEAM_ANALYSIS!$A:$A,0)),1)</f>
        <v>1.4411764705882353</v>
      </c>
      <c r="N147">
        <f>IFERROR(INDEX(TEAM_ANALYSIS!$Y:$Y,MATCH($F147,TEAM_ANALYSIS!$A:$A,0)),1)</f>
        <v>1.2058823529411764</v>
      </c>
      <c r="O147">
        <f>IFERROR(INDEX(TEAM_ANALYSIS!$Z:$Z,MATCH($F147,TEAM_ANALYSIS!$A:$A,0)),1)</f>
        <v>0.97058823529411764</v>
      </c>
      <c r="P147">
        <f>MAX(0.05,AVERAGE(TEAM_ANALYSIS!$W$2:$W$21)*L147*O147)</f>
        <v>2.0018382352941178</v>
      </c>
      <c r="Q147">
        <f>MAX(0.05,AVERAGE(TEAM_ANALYSIS!$W$2:$W$21)*N147*M147)</f>
        <v>3.6930147058823528</v>
      </c>
      <c r="R147" s="23">
        <f>MAX(0.8,MIN(1.2,P147/AVERAGE(TEAM_ANALYSIS!$W$2:$W$21)))</f>
        <v>0.94204152249134954</v>
      </c>
      <c r="S147">
        <f>MAX(0.8,MIN(1.2,AVERAGE(TEAM_ANALYSIS!$W$2:$W$21)/Q147))</f>
        <v>0.8</v>
      </c>
      <c r="T147">
        <f>AVERAGE(R147,S147)</f>
        <v>0.87102076124567485</v>
      </c>
    </row>
    <row r="148" spans="1:20" x14ac:dyDescent="0.25">
      <c r="A148">
        <v>8</v>
      </c>
      <c r="B148" t="b">
        <v>0</v>
      </c>
      <c r="C148" s="6">
        <v>46320.583333333336</v>
      </c>
      <c r="D148" t="b">
        <v>0</v>
      </c>
      <c r="E148">
        <v>11</v>
      </c>
      <c r="F148">
        <v>4</v>
      </c>
      <c r="G148">
        <v>3</v>
      </c>
      <c r="H148" t="s">
        <v>1110</v>
      </c>
      <c r="I148" t="s">
        <v>1088</v>
      </c>
      <c r="J148" t="s">
        <v>1074</v>
      </c>
      <c r="K148" t="str">
        <f>tblTeamFixtures[[#This Row],[Team_name]]&amp;"_"&amp;tblTeamFixtures[[#This Row],[GW]]</f>
        <v>HUL_8</v>
      </c>
      <c r="L148">
        <f>IFERROR(INDEX(TEAM_ANALYSIS!$Y:$Y,MATCH($E148,TEAM_ANALYSIS!$A:$A,0)),1)</f>
        <v>0.8529411764705882</v>
      </c>
      <c r="M148">
        <f>IFERROR(INDEX(TEAM_ANALYSIS!$Z:$Z,MATCH($E148,TEAM_ANALYSIS!$A:$A,0)),1)</f>
        <v>0.5</v>
      </c>
      <c r="N148">
        <f>IFERROR(INDEX(TEAM_ANALYSIS!$Y:$Y,MATCH($F148,TEAM_ANALYSIS!$A:$A,0)),1)</f>
        <v>1.088235294117647</v>
      </c>
      <c r="O148">
        <f>IFERROR(INDEX(TEAM_ANALYSIS!$Z:$Z,MATCH($F148,TEAM_ANALYSIS!$A:$A,0)),1)</f>
        <v>0.73529411764705888</v>
      </c>
      <c r="P148">
        <f>MAX(0.05,AVERAGE(TEAM_ANALYSIS!$W$2:$W$21)*L148*O148)</f>
        <v>1.3327205882352942</v>
      </c>
      <c r="Q148">
        <f>MAX(0.05,AVERAGE(TEAM_ANALYSIS!$W$2:$W$21)*N148*M148)</f>
        <v>1.15625</v>
      </c>
      <c r="R148" s="23">
        <f>MAX(0.8,MIN(1.2,P148/AVERAGE(TEAM_ANALYSIS!$W$2:$W$21)))</f>
        <v>0.8</v>
      </c>
      <c r="S148">
        <f>MAX(0.8,MIN(1.2,AVERAGE(TEAM_ANALYSIS!$W$2:$W$21)/Q148))</f>
        <v>1.2</v>
      </c>
      <c r="T148">
        <f>AVERAGE(R148,S148)</f>
        <v>1</v>
      </c>
    </row>
    <row r="149" spans="1:20" x14ac:dyDescent="0.25">
      <c r="A149">
        <v>8</v>
      </c>
      <c r="B149" t="b">
        <v>0</v>
      </c>
      <c r="C149" s="6">
        <v>46320.583333333336</v>
      </c>
      <c r="D149" t="b">
        <v>0</v>
      </c>
      <c r="E149">
        <v>14</v>
      </c>
      <c r="F149">
        <v>5</v>
      </c>
      <c r="G149">
        <v>2</v>
      </c>
      <c r="H149" t="s">
        <v>1110</v>
      </c>
      <c r="I149" t="s">
        <v>1094</v>
      </c>
      <c r="J149" t="s">
        <v>1076</v>
      </c>
      <c r="K149" t="str">
        <f>tblTeamFixtures[[#This Row],[Team_name]]&amp;"_"&amp;tblTeamFixtures[[#This Row],[GW]]</f>
        <v>LIV_8</v>
      </c>
      <c r="L149">
        <f>IFERROR(INDEX(TEAM_ANALYSIS!$Y:$Y,MATCH($E149,TEAM_ANALYSIS!$A:$A,0)),1)</f>
        <v>1.2058823529411764</v>
      </c>
      <c r="M149">
        <f>IFERROR(INDEX(TEAM_ANALYSIS!$Z:$Z,MATCH($E149,TEAM_ANALYSIS!$A:$A,0)),1)</f>
        <v>0.97058823529411764</v>
      </c>
      <c r="N149">
        <f>IFERROR(INDEX(TEAM_ANALYSIS!$Y:$Y,MATCH($F149,TEAM_ANALYSIS!$A:$A,0)),1)</f>
        <v>1.4411764705882353</v>
      </c>
      <c r="O149">
        <f>IFERROR(INDEX(TEAM_ANALYSIS!$Z:$Z,MATCH($F149,TEAM_ANALYSIS!$A:$A,0)),1)</f>
        <v>1.088235294117647</v>
      </c>
      <c r="P149">
        <f>MAX(0.05,AVERAGE(TEAM_ANALYSIS!$W$2:$W$21)*L149*O149)</f>
        <v>2.7886029411764706</v>
      </c>
      <c r="Q149">
        <f>MAX(0.05,AVERAGE(TEAM_ANALYSIS!$W$2:$W$21)*N149*M149)</f>
        <v>2.9724264705882351</v>
      </c>
      <c r="R149" s="23">
        <f>MAX(0.8,MIN(1.2,P149/AVERAGE(TEAM_ANALYSIS!$W$2:$W$21)))</f>
        <v>1.2</v>
      </c>
      <c r="S149">
        <f>MAX(0.8,MIN(1.2,AVERAGE(TEAM_ANALYSIS!$W$2:$W$21)/Q149))</f>
        <v>0.8</v>
      </c>
      <c r="T149">
        <f>AVERAGE(R149,S149)</f>
        <v>1</v>
      </c>
    </row>
    <row r="150" spans="1:20" x14ac:dyDescent="0.25">
      <c r="A150">
        <v>8</v>
      </c>
      <c r="B150" t="b">
        <v>0</v>
      </c>
      <c r="C150" s="6">
        <v>46320.583333333336</v>
      </c>
      <c r="D150" t="b">
        <v>0</v>
      </c>
      <c r="E150">
        <v>16</v>
      </c>
      <c r="F150">
        <v>3</v>
      </c>
      <c r="G150">
        <v>3</v>
      </c>
      <c r="H150" t="s">
        <v>1110</v>
      </c>
      <c r="I150" t="s">
        <v>1098</v>
      </c>
      <c r="J150" t="s">
        <v>1072</v>
      </c>
      <c r="K150" t="str">
        <f>tblTeamFixtures[[#This Row],[Team_name]]&amp;"_"&amp;tblTeamFixtures[[#This Row],[GW]]</f>
        <v>MUN_8</v>
      </c>
      <c r="L150">
        <f>IFERROR(INDEX(TEAM_ANALYSIS!$Y:$Y,MATCH($E150,TEAM_ANALYSIS!$A:$A,0)),1)</f>
        <v>1.3235294117647058</v>
      </c>
      <c r="M150">
        <f>IFERROR(INDEX(TEAM_ANALYSIS!$Z:$Z,MATCH($E150,TEAM_ANALYSIS!$A:$A,0)),1)</f>
        <v>1.2058823529411764</v>
      </c>
      <c r="N150">
        <f>IFERROR(INDEX(TEAM_ANALYSIS!$Y:$Y,MATCH($F150,TEAM_ANALYSIS!$A:$A,0)),1)</f>
        <v>0.97058823529411764</v>
      </c>
      <c r="O150">
        <f>IFERROR(INDEX(TEAM_ANALYSIS!$Z:$Z,MATCH($F150,TEAM_ANALYSIS!$A:$A,0)),1)</f>
        <v>1.088235294117647</v>
      </c>
      <c r="P150">
        <f>MAX(0.05,AVERAGE(TEAM_ANALYSIS!$W$2:$W$21)*L150*O150)</f>
        <v>3.0606617647058822</v>
      </c>
      <c r="Q150">
        <f>MAX(0.05,AVERAGE(TEAM_ANALYSIS!$W$2:$W$21)*N150*M150)</f>
        <v>2.4871323529411762</v>
      </c>
      <c r="R150" s="23">
        <f>MAX(0.8,MIN(1.2,P150/AVERAGE(TEAM_ANALYSIS!$W$2:$W$21)))</f>
        <v>1.2</v>
      </c>
      <c r="S150">
        <f>MAX(0.8,MIN(1.2,AVERAGE(TEAM_ANALYSIS!$W$2:$W$21)/Q150))</f>
        <v>0.85439763488543985</v>
      </c>
      <c r="T150">
        <f>AVERAGE(R150,S150)</f>
        <v>1.02719881744272</v>
      </c>
    </row>
    <row r="151" spans="1:20" x14ac:dyDescent="0.25">
      <c r="A151">
        <v>8</v>
      </c>
      <c r="B151" t="b">
        <v>0</v>
      </c>
      <c r="C151" s="6">
        <v>46320.6875</v>
      </c>
      <c r="D151" t="b">
        <v>0</v>
      </c>
      <c r="E151">
        <v>20</v>
      </c>
      <c r="F151">
        <v>13</v>
      </c>
      <c r="G151">
        <v>2</v>
      </c>
      <c r="H151" t="s">
        <v>1110</v>
      </c>
      <c r="I151" t="s">
        <v>1106</v>
      </c>
      <c r="J151" t="s">
        <v>1092</v>
      </c>
      <c r="K151" t="str">
        <f>tblTeamFixtures[[#This Row],[Team_name]]&amp;"_"&amp;tblTeamFixtures[[#This Row],[GW]]</f>
        <v>SUN_8</v>
      </c>
      <c r="L151">
        <f>IFERROR(INDEX(TEAM_ANALYSIS!$Y:$Y,MATCH($E151,TEAM_ANALYSIS!$A:$A,0)),1)</f>
        <v>0.8529411764705882</v>
      </c>
      <c r="M151">
        <f>IFERROR(INDEX(TEAM_ANALYSIS!$Z:$Z,MATCH($E151,TEAM_ANALYSIS!$A:$A,0)),1)</f>
        <v>0.8529411764705882</v>
      </c>
      <c r="N151">
        <f>IFERROR(INDEX(TEAM_ANALYSIS!$Y:$Y,MATCH($F151,TEAM_ANALYSIS!$A:$A,0)),1)</f>
        <v>0.8529411764705882</v>
      </c>
      <c r="O151">
        <f>IFERROR(INDEX(TEAM_ANALYSIS!$Z:$Z,MATCH($F151,TEAM_ANALYSIS!$A:$A,0)),1)</f>
        <v>0.73529411764705888</v>
      </c>
      <c r="P151">
        <f>MAX(0.05,AVERAGE(TEAM_ANALYSIS!$W$2:$W$21)*L151*O151)</f>
        <v>1.3327205882352942</v>
      </c>
      <c r="Q151">
        <f>MAX(0.05,AVERAGE(TEAM_ANALYSIS!$W$2:$W$21)*N151*M151)</f>
        <v>1.5459558823529411</v>
      </c>
      <c r="R151" s="23">
        <f>MAX(0.8,MIN(1.2,P151/AVERAGE(TEAM_ANALYSIS!$W$2:$W$21)))</f>
        <v>0.8</v>
      </c>
      <c r="S151">
        <f>MAX(0.8,MIN(1.2,AVERAGE(TEAM_ANALYSIS!$W$2:$W$21)/Q151))</f>
        <v>1.2</v>
      </c>
      <c r="T151">
        <f>AVERAGE(R151,S151)</f>
        <v>1</v>
      </c>
    </row>
    <row r="152" spans="1:20" x14ac:dyDescent="0.25">
      <c r="A152">
        <v>8</v>
      </c>
      <c r="B152" t="b">
        <v>0</v>
      </c>
      <c r="C152" s="6">
        <v>46318.833333333336</v>
      </c>
      <c r="D152" t="b">
        <v>0</v>
      </c>
      <c r="E152">
        <v>18</v>
      </c>
      <c r="F152">
        <v>12</v>
      </c>
      <c r="G152">
        <v>2</v>
      </c>
      <c r="H152" t="s">
        <v>1111</v>
      </c>
      <c r="I152" t="s">
        <v>1102</v>
      </c>
      <c r="J152" t="s">
        <v>1090</v>
      </c>
      <c r="K152" t="str">
        <f>tblTeamFixtures[[#This Row],[Team_name]]&amp;"_"&amp;tblTeamFixtures[[#This Row],[GW]]</f>
        <v>NFO_8</v>
      </c>
      <c r="L152">
        <f>IFERROR(INDEX(TEAM_ANALYSIS!$Y:$Y,MATCH($E152,TEAM_ANALYSIS!$A:$A,0)),1)</f>
        <v>0.73529411764705888</v>
      </c>
      <c r="M152">
        <f>IFERROR(INDEX(TEAM_ANALYSIS!$Z:$Z,MATCH($E152,TEAM_ANALYSIS!$A:$A,0)),1)</f>
        <v>0.8529411764705882</v>
      </c>
      <c r="N152">
        <f>IFERROR(INDEX(TEAM_ANALYSIS!$Y:$Y,MATCH($F152,TEAM_ANALYSIS!$A:$A,0)),1)</f>
        <v>0.97058823529411764</v>
      </c>
      <c r="O152">
        <f>IFERROR(INDEX(TEAM_ANALYSIS!$Z:$Z,MATCH($F152,TEAM_ANALYSIS!$A:$A,0)),1)</f>
        <v>1.4411764705882353</v>
      </c>
      <c r="P152">
        <f>MAX(0.05,AVERAGE(TEAM_ANALYSIS!$W$2:$W$21)*L152*O152)</f>
        <v>2.2518382352941178</v>
      </c>
      <c r="Q152">
        <f>MAX(0.05,AVERAGE(TEAM_ANALYSIS!$W$2:$W$21)*N152*M152)</f>
        <v>1.7591911764705881</v>
      </c>
      <c r="R152" s="23">
        <f>MAX(0.8,MIN(1.2,P152/AVERAGE(TEAM_ANALYSIS!$W$2:$W$21)))</f>
        <v>1.0596885813148789</v>
      </c>
      <c r="S152">
        <f>MAX(0.8,MIN(1.2,AVERAGE(TEAM_ANALYSIS!$W$2:$W$21)/Q152))</f>
        <v>1.2</v>
      </c>
      <c r="T152">
        <f>AVERAGE(R152,S152)</f>
        <v>1.1298442906574393</v>
      </c>
    </row>
    <row r="153" spans="1:20" x14ac:dyDescent="0.25">
      <c r="A153">
        <v>8</v>
      </c>
      <c r="B153" t="b">
        <v>0</v>
      </c>
      <c r="C153" s="6">
        <v>46319.520833333336</v>
      </c>
      <c r="D153" t="b">
        <v>0</v>
      </c>
      <c r="E153">
        <v>15</v>
      </c>
      <c r="F153">
        <v>2</v>
      </c>
      <c r="G153">
        <v>4</v>
      </c>
      <c r="H153" t="s">
        <v>1111</v>
      </c>
      <c r="I153" t="s">
        <v>1096</v>
      </c>
      <c r="J153" t="s">
        <v>1070</v>
      </c>
      <c r="K153" t="str">
        <f>tblTeamFixtures[[#This Row],[Team_name]]&amp;"_"&amp;tblTeamFixtures[[#This Row],[GW]]</f>
        <v>MCI_8</v>
      </c>
      <c r="L153">
        <f>IFERROR(INDEX(TEAM_ANALYSIS!$Y:$Y,MATCH($E153,TEAM_ANALYSIS!$A:$A,0)),1)</f>
        <v>1.3235294117647058</v>
      </c>
      <c r="M153">
        <f>IFERROR(INDEX(TEAM_ANALYSIS!$Z:$Z,MATCH($E153,TEAM_ANALYSIS!$A:$A,0)),1)</f>
        <v>0.73529411764705888</v>
      </c>
      <c r="N153">
        <f>IFERROR(INDEX(TEAM_ANALYSIS!$Y:$Y,MATCH($F153,TEAM_ANALYSIS!$A:$A,0)),1)</f>
        <v>0.5</v>
      </c>
      <c r="O153">
        <f>IFERROR(INDEX(TEAM_ANALYSIS!$Z:$Z,MATCH($F153,TEAM_ANALYSIS!$A:$A,0)),1)</f>
        <v>1.088235294117647</v>
      </c>
      <c r="P153">
        <f>MAX(0.05,AVERAGE(TEAM_ANALYSIS!$W$2:$W$21)*L153*O153)</f>
        <v>3.0606617647058822</v>
      </c>
      <c r="Q153">
        <f>MAX(0.05,AVERAGE(TEAM_ANALYSIS!$W$2:$W$21)*N153*M153)</f>
        <v>0.78125</v>
      </c>
      <c r="R153" s="23">
        <f>MAX(0.8,MIN(1.2,P153/AVERAGE(TEAM_ANALYSIS!$W$2:$W$21)))</f>
        <v>1.2</v>
      </c>
      <c r="S153">
        <f>MAX(0.8,MIN(1.2,AVERAGE(TEAM_ANALYSIS!$W$2:$W$21)/Q153))</f>
        <v>1.2</v>
      </c>
      <c r="T153">
        <f>AVERAGE(R153,S153)</f>
        <v>1.2</v>
      </c>
    </row>
    <row r="154" spans="1:20" x14ac:dyDescent="0.25">
      <c r="A154">
        <v>8</v>
      </c>
      <c r="B154" t="b">
        <v>0</v>
      </c>
      <c r="C154" s="6">
        <v>46319.625</v>
      </c>
      <c r="D154" t="b">
        <v>0</v>
      </c>
      <c r="E154">
        <v>9</v>
      </c>
      <c r="F154">
        <v>1</v>
      </c>
      <c r="G154">
        <v>5</v>
      </c>
      <c r="H154" t="s">
        <v>1111</v>
      </c>
      <c r="I154" t="s">
        <v>1084</v>
      </c>
      <c r="J154" t="s">
        <v>1068</v>
      </c>
      <c r="K154" t="str">
        <f>tblTeamFixtures[[#This Row],[Team_name]]&amp;"_"&amp;tblTeamFixtures[[#This Row],[GW]]</f>
        <v>EVE_8</v>
      </c>
      <c r="L154">
        <f>IFERROR(INDEX(TEAM_ANALYSIS!$Y:$Y,MATCH($E154,TEAM_ANALYSIS!$A:$A,0)),1)</f>
        <v>1.088235294117647</v>
      </c>
      <c r="M154">
        <f>IFERROR(INDEX(TEAM_ANALYSIS!$Z:$Z,MATCH($E154,TEAM_ANALYSIS!$A:$A,0)),1)</f>
        <v>0.8529411764705882</v>
      </c>
      <c r="N154">
        <f>IFERROR(INDEX(TEAM_ANALYSIS!$Y:$Y,MATCH($F154,TEAM_ANALYSIS!$A:$A,0)),1)</f>
        <v>1.2058823529411764</v>
      </c>
      <c r="O154">
        <f>IFERROR(INDEX(TEAM_ANALYSIS!$Z:$Z,MATCH($F154,TEAM_ANALYSIS!$A:$A,0)),1)</f>
        <v>0.61764705882352944</v>
      </c>
      <c r="P154">
        <f>MAX(0.05,AVERAGE(TEAM_ANALYSIS!$W$2:$W$21)*L154*O154)</f>
        <v>1.4283088235294119</v>
      </c>
      <c r="Q154">
        <f>MAX(0.05,AVERAGE(TEAM_ANALYSIS!$W$2:$W$21)*N154*M154)</f>
        <v>2.1856617647058822</v>
      </c>
      <c r="R154" s="23">
        <f>MAX(0.8,MIN(1.2,P154/AVERAGE(TEAM_ANALYSIS!$W$2:$W$21)))</f>
        <v>0.8</v>
      </c>
      <c r="S154">
        <f>MAX(0.8,MIN(1.2,AVERAGE(TEAM_ANALYSIS!$W$2:$W$21)/Q154))</f>
        <v>0.9722455845248108</v>
      </c>
      <c r="T154">
        <f>AVERAGE(R154,S154)</f>
        <v>0.88612279226240542</v>
      </c>
    </row>
    <row r="155" spans="1:20" x14ac:dyDescent="0.25">
      <c r="A155">
        <v>8</v>
      </c>
      <c r="B155" t="b">
        <v>0</v>
      </c>
      <c r="C155" s="6">
        <v>46319.625</v>
      </c>
      <c r="D155" t="b">
        <v>0</v>
      </c>
      <c r="E155">
        <v>10</v>
      </c>
      <c r="F155">
        <v>7</v>
      </c>
      <c r="G155">
        <v>2</v>
      </c>
      <c r="H155" t="s">
        <v>1111</v>
      </c>
      <c r="I155" t="s">
        <v>1086</v>
      </c>
      <c r="J155" t="s">
        <v>1080</v>
      </c>
      <c r="K155" t="str">
        <f>tblTeamFixtures[[#This Row],[Team_name]]&amp;"_"&amp;tblTeamFixtures[[#This Row],[GW]]</f>
        <v>FUL_8</v>
      </c>
      <c r="L155">
        <f>IFERROR(INDEX(TEAM_ANALYSIS!$Y:$Y,MATCH($E155,TEAM_ANALYSIS!$A:$A,0)),1)</f>
        <v>0.97058823529411764</v>
      </c>
      <c r="M155">
        <f>IFERROR(INDEX(TEAM_ANALYSIS!$Z:$Z,MATCH($E155,TEAM_ANALYSIS!$A:$A,0)),1)</f>
        <v>1.3235294117647058</v>
      </c>
      <c r="N155">
        <f>IFERROR(INDEX(TEAM_ANALYSIS!$Y:$Y,MATCH($F155,TEAM_ANALYSIS!$A:$A,0)),1)</f>
        <v>0.5</v>
      </c>
      <c r="O155">
        <f>IFERROR(INDEX(TEAM_ANALYSIS!$Z:$Z,MATCH($F155,TEAM_ANALYSIS!$A:$A,0)),1)</f>
        <v>1.088235294117647</v>
      </c>
      <c r="P155">
        <f>MAX(0.05,AVERAGE(TEAM_ANALYSIS!$W$2:$W$21)*L155*O155)</f>
        <v>2.2444852941176467</v>
      </c>
      <c r="Q155">
        <f>MAX(0.05,AVERAGE(TEAM_ANALYSIS!$W$2:$W$21)*N155*M155)</f>
        <v>1.40625</v>
      </c>
      <c r="R155" s="23">
        <f>MAX(0.8,MIN(1.2,P155/AVERAGE(TEAM_ANALYSIS!$W$2:$W$21)))</f>
        <v>1.0562283737024221</v>
      </c>
      <c r="S155">
        <f>MAX(0.8,MIN(1.2,AVERAGE(TEAM_ANALYSIS!$W$2:$W$21)/Q155))</f>
        <v>1.2</v>
      </c>
      <c r="T155">
        <f>AVERAGE(R155,S155)</f>
        <v>1.128114186851211</v>
      </c>
    </row>
    <row r="156" spans="1:20" x14ac:dyDescent="0.25">
      <c r="A156">
        <v>8</v>
      </c>
      <c r="B156" t="b">
        <v>0</v>
      </c>
      <c r="C156" s="6">
        <v>46319.729166666664</v>
      </c>
      <c r="D156" t="b">
        <v>0</v>
      </c>
      <c r="E156">
        <v>19</v>
      </c>
      <c r="F156">
        <v>6</v>
      </c>
      <c r="G156">
        <v>4</v>
      </c>
      <c r="H156" t="s">
        <v>1111</v>
      </c>
      <c r="I156" t="s">
        <v>1104</v>
      </c>
      <c r="J156" t="s">
        <v>1078</v>
      </c>
      <c r="K156" t="str">
        <f>tblTeamFixtures[[#This Row],[Team_name]]&amp;"_"&amp;tblTeamFixtures[[#This Row],[GW]]</f>
        <v>TOT_8</v>
      </c>
      <c r="L156">
        <f>IFERROR(INDEX(TEAM_ANALYSIS!$Y:$Y,MATCH($E156,TEAM_ANALYSIS!$A:$A,0)),1)</f>
        <v>0.5</v>
      </c>
      <c r="M156">
        <f>IFERROR(INDEX(TEAM_ANALYSIS!$Z:$Z,MATCH($E156,TEAM_ANALYSIS!$A:$A,0)),1)</f>
        <v>1.088235294117647</v>
      </c>
      <c r="N156">
        <f>IFERROR(INDEX(TEAM_ANALYSIS!$Y:$Y,MATCH($F156,TEAM_ANALYSIS!$A:$A,0)),1)</f>
        <v>1.4411764705882353</v>
      </c>
      <c r="O156">
        <f>IFERROR(INDEX(TEAM_ANALYSIS!$Z:$Z,MATCH($F156,TEAM_ANALYSIS!$A:$A,0)),1)</f>
        <v>1.3235294117647058</v>
      </c>
      <c r="P156">
        <f>MAX(0.05,AVERAGE(TEAM_ANALYSIS!$W$2:$W$21)*L156*O156)</f>
        <v>1.40625</v>
      </c>
      <c r="Q156">
        <f>MAX(0.05,AVERAGE(TEAM_ANALYSIS!$W$2:$W$21)*N156*M156)</f>
        <v>3.3327205882352939</v>
      </c>
      <c r="R156" s="23">
        <f>MAX(0.8,MIN(1.2,P156/AVERAGE(TEAM_ANALYSIS!$W$2:$W$21)))</f>
        <v>0.8</v>
      </c>
      <c r="S156">
        <f>MAX(0.8,MIN(1.2,AVERAGE(TEAM_ANALYSIS!$W$2:$W$21)/Q156))</f>
        <v>0.8</v>
      </c>
      <c r="T156">
        <f>AVERAGE(R156,S156)</f>
        <v>0.8</v>
      </c>
    </row>
    <row r="157" spans="1:20" x14ac:dyDescent="0.25">
      <c r="A157">
        <v>8</v>
      </c>
      <c r="B157" t="b">
        <v>0</v>
      </c>
      <c r="C157" s="6">
        <v>46320.583333333336</v>
      </c>
      <c r="D157" t="b">
        <v>0</v>
      </c>
      <c r="E157">
        <v>17</v>
      </c>
      <c r="F157">
        <v>8</v>
      </c>
      <c r="G157">
        <v>3</v>
      </c>
      <c r="H157" t="s">
        <v>1111</v>
      </c>
      <c r="I157" t="s">
        <v>1100</v>
      </c>
      <c r="J157" t="s">
        <v>1082</v>
      </c>
      <c r="K157" t="str">
        <f>tblTeamFixtures[[#This Row],[Team_name]]&amp;"_"&amp;tblTeamFixtures[[#This Row],[GW]]</f>
        <v>NEW_8</v>
      </c>
      <c r="L157">
        <f>IFERROR(INDEX(TEAM_ANALYSIS!$Y:$Y,MATCH($E157,TEAM_ANALYSIS!$A:$A,0)),1)</f>
        <v>1.2058823529411764</v>
      </c>
      <c r="M157">
        <f>IFERROR(INDEX(TEAM_ANALYSIS!$Z:$Z,MATCH($E157,TEAM_ANALYSIS!$A:$A,0)),1)</f>
        <v>0.97058823529411764</v>
      </c>
      <c r="N157">
        <f>IFERROR(INDEX(TEAM_ANALYSIS!$Y:$Y,MATCH($F157,TEAM_ANALYSIS!$A:$A,0)),1)</f>
        <v>0.97058823529411764</v>
      </c>
      <c r="O157">
        <f>IFERROR(INDEX(TEAM_ANALYSIS!$Z:$Z,MATCH($F157,TEAM_ANALYSIS!$A:$A,0)),1)</f>
        <v>1.4411764705882353</v>
      </c>
      <c r="P157">
        <f>MAX(0.05,AVERAGE(TEAM_ANALYSIS!$W$2:$W$21)*L157*O157)</f>
        <v>3.6930147058823528</v>
      </c>
      <c r="Q157">
        <f>MAX(0.05,AVERAGE(TEAM_ANALYSIS!$W$2:$W$21)*N157*M157)</f>
        <v>2.0018382352941178</v>
      </c>
      <c r="R157" s="23">
        <f>MAX(0.8,MIN(1.2,P157/AVERAGE(TEAM_ANALYSIS!$W$2:$W$21)))</f>
        <v>1.2</v>
      </c>
      <c r="S157">
        <f>MAX(0.8,MIN(1.2,AVERAGE(TEAM_ANALYSIS!$W$2:$W$21)/Q157))</f>
        <v>1.061524334251607</v>
      </c>
      <c r="T157">
        <f>AVERAGE(R157,S157)</f>
        <v>1.1307621671258035</v>
      </c>
    </row>
    <row r="158" spans="1:20" x14ac:dyDescent="0.25">
      <c r="A158">
        <v>8</v>
      </c>
      <c r="B158" t="b">
        <v>0</v>
      </c>
      <c r="C158" s="6">
        <v>46320.583333333336</v>
      </c>
      <c r="D158" t="b">
        <v>0</v>
      </c>
      <c r="E158">
        <v>4</v>
      </c>
      <c r="F158">
        <v>11</v>
      </c>
      <c r="G158">
        <v>2</v>
      </c>
      <c r="H158" t="s">
        <v>1111</v>
      </c>
      <c r="I158" t="s">
        <v>1074</v>
      </c>
      <c r="J158" t="s">
        <v>1088</v>
      </c>
      <c r="K158" t="str">
        <f>tblTeamFixtures[[#This Row],[Team_name]]&amp;"_"&amp;tblTeamFixtures[[#This Row],[GW]]</f>
        <v>BRE_8</v>
      </c>
      <c r="L158">
        <f>IFERROR(INDEX(TEAM_ANALYSIS!$Y:$Y,MATCH($E158,TEAM_ANALYSIS!$A:$A,0)),1)</f>
        <v>1.088235294117647</v>
      </c>
      <c r="M158">
        <f>IFERROR(INDEX(TEAM_ANALYSIS!$Z:$Z,MATCH($E158,TEAM_ANALYSIS!$A:$A,0)),1)</f>
        <v>0.73529411764705888</v>
      </c>
      <c r="N158">
        <f>IFERROR(INDEX(TEAM_ANALYSIS!$Y:$Y,MATCH($F158,TEAM_ANALYSIS!$A:$A,0)),1)</f>
        <v>0.8529411764705882</v>
      </c>
      <c r="O158">
        <f>IFERROR(INDEX(TEAM_ANALYSIS!$Z:$Z,MATCH($F158,TEAM_ANALYSIS!$A:$A,0)),1)</f>
        <v>0.5</v>
      </c>
      <c r="P158">
        <f>MAX(0.05,AVERAGE(TEAM_ANALYSIS!$W$2:$W$21)*L158*O158)</f>
        <v>1.15625</v>
      </c>
      <c r="Q158">
        <f>MAX(0.05,AVERAGE(TEAM_ANALYSIS!$W$2:$W$21)*N158*M158)</f>
        <v>1.3327205882352942</v>
      </c>
      <c r="R158" s="23">
        <f>MAX(0.8,MIN(1.2,P158/AVERAGE(TEAM_ANALYSIS!$W$2:$W$21)))</f>
        <v>0.8</v>
      </c>
      <c r="S158">
        <f>MAX(0.8,MIN(1.2,AVERAGE(TEAM_ANALYSIS!$W$2:$W$21)/Q158))</f>
        <v>1.2</v>
      </c>
      <c r="T158">
        <f>AVERAGE(R158,S158)</f>
        <v>1</v>
      </c>
    </row>
    <row r="159" spans="1:20" x14ac:dyDescent="0.25">
      <c r="A159">
        <v>8</v>
      </c>
      <c r="B159" t="b">
        <v>0</v>
      </c>
      <c r="C159" s="6">
        <v>46320.583333333336</v>
      </c>
      <c r="D159" t="b">
        <v>0</v>
      </c>
      <c r="E159">
        <v>5</v>
      </c>
      <c r="F159">
        <v>14</v>
      </c>
      <c r="G159">
        <v>4</v>
      </c>
      <c r="H159" t="s">
        <v>1111</v>
      </c>
      <c r="I159" t="s">
        <v>1076</v>
      </c>
      <c r="J159" t="s">
        <v>1094</v>
      </c>
      <c r="K159" t="str">
        <f>tblTeamFixtures[[#This Row],[Team_name]]&amp;"_"&amp;tblTeamFixtures[[#This Row],[GW]]</f>
        <v>BHA_8</v>
      </c>
      <c r="L159">
        <f>IFERROR(INDEX(TEAM_ANALYSIS!$Y:$Y,MATCH($E159,TEAM_ANALYSIS!$A:$A,0)),1)</f>
        <v>1.4411764705882353</v>
      </c>
      <c r="M159">
        <f>IFERROR(INDEX(TEAM_ANALYSIS!$Z:$Z,MATCH($E159,TEAM_ANALYSIS!$A:$A,0)),1)</f>
        <v>1.088235294117647</v>
      </c>
      <c r="N159">
        <f>IFERROR(INDEX(TEAM_ANALYSIS!$Y:$Y,MATCH($F159,TEAM_ANALYSIS!$A:$A,0)),1)</f>
        <v>1.2058823529411764</v>
      </c>
      <c r="O159">
        <f>IFERROR(INDEX(TEAM_ANALYSIS!$Z:$Z,MATCH($F159,TEAM_ANALYSIS!$A:$A,0)),1)</f>
        <v>0.97058823529411764</v>
      </c>
      <c r="P159">
        <f>MAX(0.05,AVERAGE(TEAM_ANALYSIS!$W$2:$W$21)*L159*O159)</f>
        <v>2.9724264705882351</v>
      </c>
      <c r="Q159">
        <f>MAX(0.05,AVERAGE(TEAM_ANALYSIS!$W$2:$W$21)*N159*M159)</f>
        <v>2.7886029411764706</v>
      </c>
      <c r="R159" s="23">
        <f>MAX(0.8,MIN(1.2,P159/AVERAGE(TEAM_ANALYSIS!$W$2:$W$21)))</f>
        <v>1.2</v>
      </c>
      <c r="S159">
        <f>MAX(0.8,MIN(1.2,AVERAGE(TEAM_ANALYSIS!$W$2:$W$21)/Q159))</f>
        <v>0.8</v>
      </c>
      <c r="T159">
        <f>AVERAGE(R159,S159)</f>
        <v>1</v>
      </c>
    </row>
    <row r="160" spans="1:20" x14ac:dyDescent="0.25">
      <c r="A160">
        <v>8</v>
      </c>
      <c r="B160" t="b">
        <v>0</v>
      </c>
      <c r="C160" s="6">
        <v>46320.583333333336</v>
      </c>
      <c r="D160" t="b">
        <v>0</v>
      </c>
      <c r="E160">
        <v>3</v>
      </c>
      <c r="F160">
        <v>16</v>
      </c>
      <c r="G160">
        <v>4</v>
      </c>
      <c r="H160" t="s">
        <v>1111</v>
      </c>
      <c r="I160" t="s">
        <v>1072</v>
      </c>
      <c r="J160" t="s">
        <v>1098</v>
      </c>
      <c r="K160" t="str">
        <f>tblTeamFixtures[[#This Row],[Team_name]]&amp;"_"&amp;tblTeamFixtures[[#This Row],[GW]]</f>
        <v>BOU_8</v>
      </c>
      <c r="L160">
        <f>IFERROR(INDEX(TEAM_ANALYSIS!$Y:$Y,MATCH($E160,TEAM_ANALYSIS!$A:$A,0)),1)</f>
        <v>0.97058823529411764</v>
      </c>
      <c r="M160">
        <f>IFERROR(INDEX(TEAM_ANALYSIS!$Z:$Z,MATCH($E160,TEAM_ANALYSIS!$A:$A,0)),1)</f>
        <v>1.088235294117647</v>
      </c>
      <c r="N160">
        <f>IFERROR(INDEX(TEAM_ANALYSIS!$Y:$Y,MATCH($F160,TEAM_ANALYSIS!$A:$A,0)),1)</f>
        <v>1.3235294117647058</v>
      </c>
      <c r="O160">
        <f>IFERROR(INDEX(TEAM_ANALYSIS!$Z:$Z,MATCH($F160,TEAM_ANALYSIS!$A:$A,0)),1)</f>
        <v>1.2058823529411764</v>
      </c>
      <c r="P160">
        <f>MAX(0.05,AVERAGE(TEAM_ANALYSIS!$W$2:$W$21)*L160*O160)</f>
        <v>2.4871323529411762</v>
      </c>
      <c r="Q160">
        <f>MAX(0.05,AVERAGE(TEAM_ANALYSIS!$W$2:$W$21)*N160*M160)</f>
        <v>3.0606617647058822</v>
      </c>
      <c r="R160" s="23">
        <f>MAX(0.8,MIN(1.2,P160/AVERAGE(TEAM_ANALYSIS!$W$2:$W$21)))</f>
        <v>1.1704152249134947</v>
      </c>
      <c r="S160">
        <f>MAX(0.8,MIN(1.2,AVERAGE(TEAM_ANALYSIS!$W$2:$W$21)/Q160))</f>
        <v>0.8</v>
      </c>
      <c r="T160">
        <f>AVERAGE(R160,S160)</f>
        <v>0.98520761245674737</v>
      </c>
    </row>
    <row r="161" spans="1:20" x14ac:dyDescent="0.25">
      <c r="A161">
        <v>8</v>
      </c>
      <c r="B161" t="b">
        <v>0</v>
      </c>
      <c r="C161" s="6">
        <v>46320.6875</v>
      </c>
      <c r="D161" t="b">
        <v>0</v>
      </c>
      <c r="E161">
        <v>13</v>
      </c>
      <c r="F161">
        <v>20</v>
      </c>
      <c r="G161">
        <v>3</v>
      </c>
      <c r="H161" t="s">
        <v>1111</v>
      </c>
      <c r="I161" t="s">
        <v>1092</v>
      </c>
      <c r="J161" t="s">
        <v>1106</v>
      </c>
      <c r="K161" t="str">
        <f>tblTeamFixtures[[#This Row],[Team_name]]&amp;"_"&amp;tblTeamFixtures[[#This Row],[GW]]</f>
        <v>LEE_8</v>
      </c>
      <c r="L161">
        <f>IFERROR(INDEX(TEAM_ANALYSIS!$Y:$Y,MATCH($E161,TEAM_ANALYSIS!$A:$A,0)),1)</f>
        <v>0.8529411764705882</v>
      </c>
      <c r="M161">
        <f>IFERROR(INDEX(TEAM_ANALYSIS!$Z:$Z,MATCH($E161,TEAM_ANALYSIS!$A:$A,0)),1)</f>
        <v>0.73529411764705888</v>
      </c>
      <c r="N161">
        <f>IFERROR(INDEX(TEAM_ANALYSIS!$Y:$Y,MATCH($F161,TEAM_ANALYSIS!$A:$A,0)),1)</f>
        <v>0.8529411764705882</v>
      </c>
      <c r="O161">
        <f>IFERROR(INDEX(TEAM_ANALYSIS!$Z:$Z,MATCH($F161,TEAM_ANALYSIS!$A:$A,0)),1)</f>
        <v>0.8529411764705882</v>
      </c>
      <c r="P161">
        <f>MAX(0.05,AVERAGE(TEAM_ANALYSIS!$W$2:$W$21)*L161*O161)</f>
        <v>1.5459558823529411</v>
      </c>
      <c r="Q161">
        <f>MAX(0.05,AVERAGE(TEAM_ANALYSIS!$W$2:$W$21)*N161*M161)</f>
        <v>1.3327205882352942</v>
      </c>
      <c r="R161" s="23">
        <f>MAX(0.8,MIN(1.2,P161/AVERAGE(TEAM_ANALYSIS!$W$2:$W$21)))</f>
        <v>0.8</v>
      </c>
      <c r="S161">
        <f>MAX(0.8,MIN(1.2,AVERAGE(TEAM_ANALYSIS!$W$2:$W$21)/Q161))</f>
        <v>1.2</v>
      </c>
      <c r="T161">
        <f>AVERAGE(R161,S161)</f>
        <v>1</v>
      </c>
    </row>
    <row r="162" spans="1:20" x14ac:dyDescent="0.25">
      <c r="A162">
        <v>9</v>
      </c>
      <c r="B162" t="b">
        <v>0</v>
      </c>
      <c r="C162" s="6">
        <v>46326.520833333336</v>
      </c>
      <c r="D162" t="b">
        <v>0</v>
      </c>
      <c r="E162">
        <v>6</v>
      </c>
      <c r="F162">
        <v>16</v>
      </c>
      <c r="G162">
        <v>4</v>
      </c>
      <c r="H162" t="s">
        <v>1110</v>
      </c>
      <c r="I162" t="s">
        <v>1078</v>
      </c>
      <c r="J162" t="s">
        <v>1098</v>
      </c>
      <c r="K162" t="str">
        <f>tblTeamFixtures[[#This Row],[Team_name]]&amp;"_"&amp;tblTeamFixtures[[#This Row],[GW]]</f>
        <v>CHE_9</v>
      </c>
      <c r="L162">
        <f>IFERROR(INDEX(TEAM_ANALYSIS!$Y:$Y,MATCH($E162,TEAM_ANALYSIS!$A:$A,0)),1)</f>
        <v>1.4411764705882353</v>
      </c>
      <c r="M162">
        <f>IFERROR(INDEX(TEAM_ANALYSIS!$Z:$Z,MATCH($E162,TEAM_ANALYSIS!$A:$A,0)),1)</f>
        <v>1.3235294117647058</v>
      </c>
      <c r="N162">
        <f>IFERROR(INDEX(TEAM_ANALYSIS!$Y:$Y,MATCH($F162,TEAM_ANALYSIS!$A:$A,0)),1)</f>
        <v>1.3235294117647058</v>
      </c>
      <c r="O162">
        <f>IFERROR(INDEX(TEAM_ANALYSIS!$Z:$Z,MATCH($F162,TEAM_ANALYSIS!$A:$A,0)),1)</f>
        <v>1.2058823529411764</v>
      </c>
      <c r="P162">
        <f>MAX(0.05,AVERAGE(TEAM_ANALYSIS!$W$2:$W$21)*L162*O162)</f>
        <v>3.6930147058823528</v>
      </c>
      <c r="Q162">
        <f>MAX(0.05,AVERAGE(TEAM_ANALYSIS!$W$2:$W$21)*N162*M162)</f>
        <v>3.7224264705882351</v>
      </c>
      <c r="R162" s="23">
        <f>MAX(0.8,MIN(1.2,P162/AVERAGE(TEAM_ANALYSIS!$W$2:$W$21)))</f>
        <v>1.2</v>
      </c>
      <c r="S162">
        <f>MAX(0.8,MIN(1.2,AVERAGE(TEAM_ANALYSIS!$W$2:$W$21)/Q162))</f>
        <v>0.8</v>
      </c>
      <c r="T162">
        <f>AVERAGE(R162,S162)</f>
        <v>1</v>
      </c>
    </row>
    <row r="163" spans="1:20" x14ac:dyDescent="0.25">
      <c r="A163">
        <v>9</v>
      </c>
      <c r="B163" t="b">
        <v>0</v>
      </c>
      <c r="C163" s="6">
        <v>46326.625</v>
      </c>
      <c r="D163" t="b">
        <v>0</v>
      </c>
      <c r="E163">
        <v>3</v>
      </c>
      <c r="F163">
        <v>13</v>
      </c>
      <c r="G163">
        <v>2</v>
      </c>
      <c r="H163" t="s">
        <v>1110</v>
      </c>
      <c r="I163" t="s">
        <v>1072</v>
      </c>
      <c r="J163" t="s">
        <v>1092</v>
      </c>
      <c r="K163" t="str">
        <f>tblTeamFixtures[[#This Row],[Team_name]]&amp;"_"&amp;tblTeamFixtures[[#This Row],[GW]]</f>
        <v>BOU_9</v>
      </c>
      <c r="L163">
        <f>IFERROR(INDEX(TEAM_ANALYSIS!$Y:$Y,MATCH($E163,TEAM_ANALYSIS!$A:$A,0)),1)</f>
        <v>0.97058823529411764</v>
      </c>
      <c r="M163">
        <f>IFERROR(INDEX(TEAM_ANALYSIS!$Z:$Z,MATCH($E163,TEAM_ANALYSIS!$A:$A,0)),1)</f>
        <v>1.088235294117647</v>
      </c>
      <c r="N163">
        <f>IFERROR(INDEX(TEAM_ANALYSIS!$Y:$Y,MATCH($F163,TEAM_ANALYSIS!$A:$A,0)),1)</f>
        <v>0.8529411764705882</v>
      </c>
      <c r="O163">
        <f>IFERROR(INDEX(TEAM_ANALYSIS!$Z:$Z,MATCH($F163,TEAM_ANALYSIS!$A:$A,0)),1)</f>
        <v>0.73529411764705888</v>
      </c>
      <c r="P163">
        <f>MAX(0.05,AVERAGE(TEAM_ANALYSIS!$W$2:$W$21)*L163*O163)</f>
        <v>1.5165441176470589</v>
      </c>
      <c r="Q163">
        <f>MAX(0.05,AVERAGE(TEAM_ANALYSIS!$W$2:$W$21)*N163*M163)</f>
        <v>1.9724264705882351</v>
      </c>
      <c r="R163" s="23">
        <f>MAX(0.8,MIN(1.2,P163/AVERAGE(TEAM_ANALYSIS!$W$2:$W$21)))</f>
        <v>0.8</v>
      </c>
      <c r="S163">
        <f>MAX(0.8,MIN(1.2,AVERAGE(TEAM_ANALYSIS!$W$2:$W$21)/Q163))</f>
        <v>1.07735321528425</v>
      </c>
      <c r="T163">
        <f>AVERAGE(R163,S163)</f>
        <v>0.93867660764212502</v>
      </c>
    </row>
    <row r="164" spans="1:20" x14ac:dyDescent="0.25">
      <c r="A164">
        <v>9</v>
      </c>
      <c r="B164" t="b">
        <v>0</v>
      </c>
      <c r="C164" s="6">
        <v>46326.625</v>
      </c>
      <c r="D164" t="b">
        <v>0</v>
      </c>
      <c r="E164">
        <v>4</v>
      </c>
      <c r="F164">
        <v>18</v>
      </c>
      <c r="G164">
        <v>3</v>
      </c>
      <c r="H164" t="s">
        <v>1110</v>
      </c>
      <c r="I164" t="s">
        <v>1074</v>
      </c>
      <c r="J164" t="s">
        <v>1102</v>
      </c>
      <c r="K164" t="str">
        <f>tblTeamFixtures[[#This Row],[Team_name]]&amp;"_"&amp;tblTeamFixtures[[#This Row],[GW]]</f>
        <v>BRE_9</v>
      </c>
      <c r="L164">
        <f>IFERROR(INDEX(TEAM_ANALYSIS!$Y:$Y,MATCH($E164,TEAM_ANALYSIS!$A:$A,0)),1)</f>
        <v>1.088235294117647</v>
      </c>
      <c r="M164">
        <f>IFERROR(INDEX(TEAM_ANALYSIS!$Z:$Z,MATCH($E164,TEAM_ANALYSIS!$A:$A,0)),1)</f>
        <v>0.73529411764705888</v>
      </c>
      <c r="N164">
        <f>IFERROR(INDEX(TEAM_ANALYSIS!$Y:$Y,MATCH($F164,TEAM_ANALYSIS!$A:$A,0)),1)</f>
        <v>0.73529411764705888</v>
      </c>
      <c r="O164">
        <f>IFERROR(INDEX(TEAM_ANALYSIS!$Z:$Z,MATCH($F164,TEAM_ANALYSIS!$A:$A,0)),1)</f>
        <v>0.8529411764705882</v>
      </c>
      <c r="P164">
        <f>MAX(0.05,AVERAGE(TEAM_ANALYSIS!$W$2:$W$21)*L164*O164)</f>
        <v>1.9724264705882353</v>
      </c>
      <c r="Q164">
        <f>MAX(0.05,AVERAGE(TEAM_ANALYSIS!$W$2:$W$21)*N164*M164)</f>
        <v>1.1488970588235294</v>
      </c>
      <c r="R164" s="23">
        <f>MAX(0.8,MIN(1.2,P164/AVERAGE(TEAM_ANALYSIS!$W$2:$W$21)))</f>
        <v>0.92820069204152245</v>
      </c>
      <c r="S164">
        <f>MAX(0.8,MIN(1.2,AVERAGE(TEAM_ANALYSIS!$W$2:$W$21)/Q164))</f>
        <v>1.2</v>
      </c>
      <c r="T164">
        <f>AVERAGE(R164,S164)</f>
        <v>1.0641003460207612</v>
      </c>
    </row>
    <row r="165" spans="1:20" x14ac:dyDescent="0.25">
      <c r="A165">
        <v>9</v>
      </c>
      <c r="B165" t="b">
        <v>0</v>
      </c>
      <c r="C165" s="6">
        <v>46326.625</v>
      </c>
      <c r="D165" t="b">
        <v>0</v>
      </c>
      <c r="E165">
        <v>7</v>
      </c>
      <c r="F165">
        <v>20</v>
      </c>
      <c r="G165">
        <v>2</v>
      </c>
      <c r="H165" t="s">
        <v>1110</v>
      </c>
      <c r="I165" t="s">
        <v>1080</v>
      </c>
      <c r="J165" t="s">
        <v>1106</v>
      </c>
      <c r="K165" t="str">
        <f>tblTeamFixtures[[#This Row],[Team_name]]&amp;"_"&amp;tblTeamFixtures[[#This Row],[GW]]</f>
        <v>COV_9</v>
      </c>
      <c r="L165">
        <f>IFERROR(INDEX(TEAM_ANALYSIS!$Y:$Y,MATCH($E165,TEAM_ANALYSIS!$A:$A,0)),1)</f>
        <v>0.5</v>
      </c>
      <c r="M165">
        <f>IFERROR(INDEX(TEAM_ANALYSIS!$Z:$Z,MATCH($E165,TEAM_ANALYSIS!$A:$A,0)),1)</f>
        <v>1.088235294117647</v>
      </c>
      <c r="N165">
        <f>IFERROR(INDEX(TEAM_ANALYSIS!$Y:$Y,MATCH($F165,TEAM_ANALYSIS!$A:$A,0)),1)</f>
        <v>0.8529411764705882</v>
      </c>
      <c r="O165">
        <f>IFERROR(INDEX(TEAM_ANALYSIS!$Z:$Z,MATCH($F165,TEAM_ANALYSIS!$A:$A,0)),1)</f>
        <v>0.8529411764705882</v>
      </c>
      <c r="P165">
        <f>MAX(0.05,AVERAGE(TEAM_ANALYSIS!$W$2:$W$21)*L165*O165)</f>
        <v>0.90625</v>
      </c>
      <c r="Q165">
        <f>MAX(0.05,AVERAGE(TEAM_ANALYSIS!$W$2:$W$21)*N165*M165)</f>
        <v>1.9724264705882351</v>
      </c>
      <c r="R165" s="23">
        <f>MAX(0.8,MIN(1.2,P165/AVERAGE(TEAM_ANALYSIS!$W$2:$W$21)))</f>
        <v>0.8</v>
      </c>
      <c r="S165">
        <f>MAX(0.8,MIN(1.2,AVERAGE(TEAM_ANALYSIS!$W$2:$W$21)/Q165))</f>
        <v>1.07735321528425</v>
      </c>
      <c r="T165">
        <f>AVERAGE(R165,S165)</f>
        <v>0.93867660764212502</v>
      </c>
    </row>
    <row r="166" spans="1:20" x14ac:dyDescent="0.25">
      <c r="A166">
        <v>9</v>
      </c>
      <c r="B166" t="b">
        <v>0</v>
      </c>
      <c r="C166" s="6">
        <v>46326.625</v>
      </c>
      <c r="D166" t="b">
        <v>0</v>
      </c>
      <c r="E166">
        <v>11</v>
      </c>
      <c r="F166">
        <v>12</v>
      </c>
      <c r="G166">
        <v>2</v>
      </c>
      <c r="H166" t="s">
        <v>1110</v>
      </c>
      <c r="I166" t="s">
        <v>1088</v>
      </c>
      <c r="J166" t="s">
        <v>1090</v>
      </c>
      <c r="K166" t="str">
        <f>tblTeamFixtures[[#This Row],[Team_name]]&amp;"_"&amp;tblTeamFixtures[[#This Row],[GW]]</f>
        <v>HUL_9</v>
      </c>
      <c r="L166">
        <f>IFERROR(INDEX(TEAM_ANALYSIS!$Y:$Y,MATCH($E166,TEAM_ANALYSIS!$A:$A,0)),1)</f>
        <v>0.8529411764705882</v>
      </c>
      <c r="M166">
        <f>IFERROR(INDEX(TEAM_ANALYSIS!$Z:$Z,MATCH($E166,TEAM_ANALYSIS!$A:$A,0)),1)</f>
        <v>0.5</v>
      </c>
      <c r="N166">
        <f>IFERROR(INDEX(TEAM_ANALYSIS!$Y:$Y,MATCH($F166,TEAM_ANALYSIS!$A:$A,0)),1)</f>
        <v>0.97058823529411764</v>
      </c>
      <c r="O166">
        <f>IFERROR(INDEX(TEAM_ANALYSIS!$Z:$Z,MATCH($F166,TEAM_ANALYSIS!$A:$A,0)),1)</f>
        <v>1.4411764705882353</v>
      </c>
      <c r="P166">
        <f>MAX(0.05,AVERAGE(TEAM_ANALYSIS!$W$2:$W$21)*L166*O166)</f>
        <v>2.6121323529411766</v>
      </c>
      <c r="Q166">
        <f>MAX(0.05,AVERAGE(TEAM_ANALYSIS!$W$2:$W$21)*N166*M166)</f>
        <v>1.03125</v>
      </c>
      <c r="R166" s="23">
        <f>MAX(0.8,MIN(1.2,P166/AVERAGE(TEAM_ANALYSIS!$W$2:$W$21)))</f>
        <v>1.2</v>
      </c>
      <c r="S166">
        <f>MAX(0.8,MIN(1.2,AVERAGE(TEAM_ANALYSIS!$W$2:$W$21)/Q166))</f>
        <v>1.2</v>
      </c>
      <c r="T166">
        <f>AVERAGE(R166,S166)</f>
        <v>1.2</v>
      </c>
    </row>
    <row r="167" spans="1:20" x14ac:dyDescent="0.25">
      <c r="A167">
        <v>9</v>
      </c>
      <c r="B167" t="b">
        <v>0</v>
      </c>
      <c r="C167" s="6">
        <v>46326.625</v>
      </c>
      <c r="D167" t="b">
        <v>0</v>
      </c>
      <c r="E167">
        <v>15</v>
      </c>
      <c r="F167">
        <v>5</v>
      </c>
      <c r="G167">
        <v>2</v>
      </c>
      <c r="H167" t="s">
        <v>1110</v>
      </c>
      <c r="I167" t="s">
        <v>1096</v>
      </c>
      <c r="J167" t="s">
        <v>1076</v>
      </c>
      <c r="K167" t="str">
        <f>tblTeamFixtures[[#This Row],[Team_name]]&amp;"_"&amp;tblTeamFixtures[[#This Row],[GW]]</f>
        <v>MCI_9</v>
      </c>
      <c r="L167">
        <f>IFERROR(INDEX(TEAM_ANALYSIS!$Y:$Y,MATCH($E167,TEAM_ANALYSIS!$A:$A,0)),1)</f>
        <v>1.3235294117647058</v>
      </c>
      <c r="M167">
        <f>IFERROR(INDEX(TEAM_ANALYSIS!$Z:$Z,MATCH($E167,TEAM_ANALYSIS!$A:$A,0)),1)</f>
        <v>0.73529411764705888</v>
      </c>
      <c r="N167">
        <f>IFERROR(INDEX(TEAM_ANALYSIS!$Y:$Y,MATCH($F167,TEAM_ANALYSIS!$A:$A,0)),1)</f>
        <v>1.4411764705882353</v>
      </c>
      <c r="O167">
        <f>IFERROR(INDEX(TEAM_ANALYSIS!$Z:$Z,MATCH($F167,TEAM_ANALYSIS!$A:$A,0)),1)</f>
        <v>1.088235294117647</v>
      </c>
      <c r="P167">
        <f>MAX(0.05,AVERAGE(TEAM_ANALYSIS!$W$2:$W$21)*L167*O167)</f>
        <v>3.0606617647058822</v>
      </c>
      <c r="Q167">
        <f>MAX(0.05,AVERAGE(TEAM_ANALYSIS!$W$2:$W$21)*N167*M167)</f>
        <v>2.2518382352941178</v>
      </c>
      <c r="R167" s="23">
        <f>MAX(0.8,MIN(1.2,P167/AVERAGE(TEAM_ANALYSIS!$W$2:$W$21)))</f>
        <v>1.2</v>
      </c>
      <c r="S167">
        <f>MAX(0.8,MIN(1.2,AVERAGE(TEAM_ANALYSIS!$W$2:$W$21)/Q167))</f>
        <v>0.94367346938775509</v>
      </c>
      <c r="T167">
        <f>AVERAGE(R167,S167)</f>
        <v>1.0718367346938775</v>
      </c>
    </row>
    <row r="168" spans="1:20" x14ac:dyDescent="0.25">
      <c r="A168">
        <v>9</v>
      </c>
      <c r="B168" t="b">
        <v>0</v>
      </c>
      <c r="C168" s="6">
        <v>46326.729166666664</v>
      </c>
      <c r="D168" t="b">
        <v>0</v>
      </c>
      <c r="E168">
        <v>19</v>
      </c>
      <c r="F168">
        <v>8</v>
      </c>
      <c r="G168">
        <v>3</v>
      </c>
      <c r="H168" t="s">
        <v>1110</v>
      </c>
      <c r="I168" t="s">
        <v>1104</v>
      </c>
      <c r="J168" t="s">
        <v>1082</v>
      </c>
      <c r="K168" t="str">
        <f>tblTeamFixtures[[#This Row],[Team_name]]&amp;"_"&amp;tblTeamFixtures[[#This Row],[GW]]</f>
        <v>TOT_9</v>
      </c>
      <c r="L168">
        <f>IFERROR(INDEX(TEAM_ANALYSIS!$Y:$Y,MATCH($E168,TEAM_ANALYSIS!$A:$A,0)),1)</f>
        <v>0.5</v>
      </c>
      <c r="M168">
        <f>IFERROR(INDEX(TEAM_ANALYSIS!$Z:$Z,MATCH($E168,TEAM_ANALYSIS!$A:$A,0)),1)</f>
        <v>1.088235294117647</v>
      </c>
      <c r="N168">
        <f>IFERROR(INDEX(TEAM_ANALYSIS!$Y:$Y,MATCH($F168,TEAM_ANALYSIS!$A:$A,0)),1)</f>
        <v>0.97058823529411764</v>
      </c>
      <c r="O168">
        <f>IFERROR(INDEX(TEAM_ANALYSIS!$Z:$Z,MATCH($F168,TEAM_ANALYSIS!$A:$A,0)),1)</f>
        <v>1.4411764705882353</v>
      </c>
      <c r="P168">
        <f>MAX(0.05,AVERAGE(TEAM_ANALYSIS!$W$2:$W$21)*L168*O168)</f>
        <v>1.53125</v>
      </c>
      <c r="Q168">
        <f>MAX(0.05,AVERAGE(TEAM_ANALYSIS!$W$2:$W$21)*N168*M168)</f>
        <v>2.2444852941176467</v>
      </c>
      <c r="R168" s="23">
        <f>MAX(0.8,MIN(1.2,P168/AVERAGE(TEAM_ANALYSIS!$W$2:$W$21)))</f>
        <v>0.8</v>
      </c>
      <c r="S168">
        <f>MAX(0.8,MIN(1.2,AVERAGE(TEAM_ANALYSIS!$W$2:$W$21)/Q168))</f>
        <v>0.94676494676494694</v>
      </c>
      <c r="T168">
        <f>AVERAGE(R168,S168)</f>
        <v>0.87338247338247355</v>
      </c>
    </row>
    <row r="169" spans="1:20" x14ac:dyDescent="0.25">
      <c r="A169">
        <v>9</v>
      </c>
      <c r="B169" t="b">
        <v>0</v>
      </c>
      <c r="C169" s="6">
        <v>46326.833333333336</v>
      </c>
      <c r="D169" t="b">
        <v>0</v>
      </c>
      <c r="E169">
        <v>2</v>
      </c>
      <c r="F169">
        <v>10</v>
      </c>
      <c r="G169">
        <v>2</v>
      </c>
      <c r="H169" t="s">
        <v>1110</v>
      </c>
      <c r="I169" t="s">
        <v>1070</v>
      </c>
      <c r="J169" t="s">
        <v>1086</v>
      </c>
      <c r="K169" t="str">
        <f>tblTeamFixtures[[#This Row],[Team_name]]&amp;"_"&amp;tblTeamFixtures[[#This Row],[GW]]</f>
        <v>AVL_9</v>
      </c>
      <c r="L169">
        <f>IFERROR(INDEX(TEAM_ANALYSIS!$Y:$Y,MATCH($E169,TEAM_ANALYSIS!$A:$A,0)),1)</f>
        <v>0.5</v>
      </c>
      <c r="M169">
        <f>IFERROR(INDEX(TEAM_ANALYSIS!$Z:$Z,MATCH($E169,TEAM_ANALYSIS!$A:$A,0)),1)</f>
        <v>1.088235294117647</v>
      </c>
      <c r="N169">
        <f>IFERROR(INDEX(TEAM_ANALYSIS!$Y:$Y,MATCH($F169,TEAM_ANALYSIS!$A:$A,0)),1)</f>
        <v>0.97058823529411764</v>
      </c>
      <c r="O169">
        <f>IFERROR(INDEX(TEAM_ANALYSIS!$Z:$Z,MATCH($F169,TEAM_ANALYSIS!$A:$A,0)),1)</f>
        <v>1.3235294117647058</v>
      </c>
      <c r="P169">
        <f>MAX(0.05,AVERAGE(TEAM_ANALYSIS!$W$2:$W$21)*L169*O169)</f>
        <v>1.40625</v>
      </c>
      <c r="Q169">
        <f>MAX(0.05,AVERAGE(TEAM_ANALYSIS!$W$2:$W$21)*N169*M169)</f>
        <v>2.2444852941176467</v>
      </c>
      <c r="R169" s="23">
        <f>MAX(0.8,MIN(1.2,P169/AVERAGE(TEAM_ANALYSIS!$W$2:$W$21)))</f>
        <v>0.8</v>
      </c>
      <c r="S169">
        <f>MAX(0.8,MIN(1.2,AVERAGE(TEAM_ANALYSIS!$W$2:$W$21)/Q169))</f>
        <v>0.94676494676494694</v>
      </c>
      <c r="T169">
        <f>AVERAGE(R169,S169)</f>
        <v>0.87338247338247355</v>
      </c>
    </row>
    <row r="170" spans="1:20" x14ac:dyDescent="0.25">
      <c r="A170">
        <v>9</v>
      </c>
      <c r="B170" t="b">
        <v>0</v>
      </c>
      <c r="C170" s="6">
        <v>46327.6875</v>
      </c>
      <c r="D170" t="b">
        <v>0</v>
      </c>
      <c r="E170">
        <v>14</v>
      </c>
      <c r="F170">
        <v>1</v>
      </c>
      <c r="G170">
        <v>4</v>
      </c>
      <c r="H170" t="s">
        <v>1110</v>
      </c>
      <c r="I170" t="s">
        <v>1094</v>
      </c>
      <c r="J170" t="s">
        <v>1068</v>
      </c>
      <c r="K170" t="str">
        <f>tblTeamFixtures[[#This Row],[Team_name]]&amp;"_"&amp;tblTeamFixtures[[#This Row],[GW]]</f>
        <v>LIV_9</v>
      </c>
      <c r="L170">
        <f>IFERROR(INDEX(TEAM_ANALYSIS!$Y:$Y,MATCH($E170,TEAM_ANALYSIS!$A:$A,0)),1)</f>
        <v>1.2058823529411764</v>
      </c>
      <c r="M170">
        <f>IFERROR(INDEX(TEAM_ANALYSIS!$Z:$Z,MATCH($E170,TEAM_ANALYSIS!$A:$A,0)),1)</f>
        <v>0.97058823529411764</v>
      </c>
      <c r="N170">
        <f>IFERROR(INDEX(TEAM_ANALYSIS!$Y:$Y,MATCH($F170,TEAM_ANALYSIS!$A:$A,0)),1)</f>
        <v>1.2058823529411764</v>
      </c>
      <c r="O170">
        <f>IFERROR(INDEX(TEAM_ANALYSIS!$Z:$Z,MATCH($F170,TEAM_ANALYSIS!$A:$A,0)),1)</f>
        <v>0.61764705882352944</v>
      </c>
      <c r="P170">
        <f>MAX(0.05,AVERAGE(TEAM_ANALYSIS!$W$2:$W$21)*L170*O170)</f>
        <v>1.5827205882352942</v>
      </c>
      <c r="Q170">
        <f>MAX(0.05,AVERAGE(TEAM_ANALYSIS!$W$2:$W$21)*N170*M170)</f>
        <v>2.4871323529411766</v>
      </c>
      <c r="R170" s="23">
        <f>MAX(0.8,MIN(1.2,P170/AVERAGE(TEAM_ANALYSIS!$W$2:$W$21)))</f>
        <v>0.8</v>
      </c>
      <c r="S170">
        <f>MAX(0.8,MIN(1.2,AVERAGE(TEAM_ANALYSIS!$W$2:$W$21)/Q170))</f>
        <v>0.85439763488543974</v>
      </c>
      <c r="T170">
        <f>AVERAGE(R170,S170)</f>
        <v>0.82719881744271984</v>
      </c>
    </row>
    <row r="171" spans="1:20" x14ac:dyDescent="0.25">
      <c r="A171">
        <v>9</v>
      </c>
      <c r="B171" t="b">
        <v>0</v>
      </c>
      <c r="C171" s="6">
        <v>46328.833333333336</v>
      </c>
      <c r="D171" t="b">
        <v>0</v>
      </c>
      <c r="E171">
        <v>17</v>
      </c>
      <c r="F171">
        <v>9</v>
      </c>
      <c r="G171">
        <v>3</v>
      </c>
      <c r="H171" t="s">
        <v>1110</v>
      </c>
      <c r="I171" t="s">
        <v>1100</v>
      </c>
      <c r="J171" t="s">
        <v>1084</v>
      </c>
      <c r="K171" t="str">
        <f>tblTeamFixtures[[#This Row],[Team_name]]&amp;"_"&amp;tblTeamFixtures[[#This Row],[GW]]</f>
        <v>NEW_9</v>
      </c>
      <c r="L171">
        <f>IFERROR(INDEX(TEAM_ANALYSIS!$Y:$Y,MATCH($E171,TEAM_ANALYSIS!$A:$A,0)),1)</f>
        <v>1.2058823529411764</v>
      </c>
      <c r="M171">
        <f>IFERROR(INDEX(TEAM_ANALYSIS!$Z:$Z,MATCH($E171,TEAM_ANALYSIS!$A:$A,0)),1)</f>
        <v>0.97058823529411764</v>
      </c>
      <c r="N171">
        <f>IFERROR(INDEX(TEAM_ANALYSIS!$Y:$Y,MATCH($F171,TEAM_ANALYSIS!$A:$A,0)),1)</f>
        <v>1.088235294117647</v>
      </c>
      <c r="O171">
        <f>IFERROR(INDEX(TEAM_ANALYSIS!$Z:$Z,MATCH($F171,TEAM_ANALYSIS!$A:$A,0)),1)</f>
        <v>0.8529411764705882</v>
      </c>
      <c r="P171">
        <f>MAX(0.05,AVERAGE(TEAM_ANALYSIS!$W$2:$W$21)*L171*O171)</f>
        <v>2.1856617647058822</v>
      </c>
      <c r="Q171">
        <f>MAX(0.05,AVERAGE(TEAM_ANALYSIS!$W$2:$W$21)*N171*M171)</f>
        <v>2.2444852941176472</v>
      </c>
      <c r="R171" s="23">
        <f>MAX(0.8,MIN(1.2,P171/AVERAGE(TEAM_ANALYSIS!$W$2:$W$21)))</f>
        <v>1.0285467128027681</v>
      </c>
      <c r="S171">
        <f>MAX(0.8,MIN(1.2,AVERAGE(TEAM_ANALYSIS!$W$2:$W$21)/Q171))</f>
        <v>0.94676494676494671</v>
      </c>
      <c r="T171">
        <f>AVERAGE(R171,S171)</f>
        <v>0.98765582978385735</v>
      </c>
    </row>
    <row r="172" spans="1:20" x14ac:dyDescent="0.25">
      <c r="A172">
        <v>9</v>
      </c>
      <c r="B172" t="b">
        <v>0</v>
      </c>
      <c r="C172" s="6">
        <v>46326.520833333336</v>
      </c>
      <c r="D172" t="b">
        <v>0</v>
      </c>
      <c r="E172">
        <v>16</v>
      </c>
      <c r="F172">
        <v>6</v>
      </c>
      <c r="G172">
        <v>4</v>
      </c>
      <c r="H172" t="s">
        <v>1111</v>
      </c>
      <c r="I172" t="s">
        <v>1098</v>
      </c>
      <c r="J172" t="s">
        <v>1078</v>
      </c>
      <c r="K172" t="str">
        <f>tblTeamFixtures[[#This Row],[Team_name]]&amp;"_"&amp;tblTeamFixtures[[#This Row],[GW]]</f>
        <v>MUN_9</v>
      </c>
      <c r="L172">
        <f>IFERROR(INDEX(TEAM_ANALYSIS!$Y:$Y,MATCH($E172,TEAM_ANALYSIS!$A:$A,0)),1)</f>
        <v>1.3235294117647058</v>
      </c>
      <c r="M172">
        <f>IFERROR(INDEX(TEAM_ANALYSIS!$Z:$Z,MATCH($E172,TEAM_ANALYSIS!$A:$A,0)),1)</f>
        <v>1.2058823529411764</v>
      </c>
      <c r="N172">
        <f>IFERROR(INDEX(TEAM_ANALYSIS!$Y:$Y,MATCH($F172,TEAM_ANALYSIS!$A:$A,0)),1)</f>
        <v>1.4411764705882353</v>
      </c>
      <c r="O172">
        <f>IFERROR(INDEX(TEAM_ANALYSIS!$Z:$Z,MATCH($F172,TEAM_ANALYSIS!$A:$A,0)),1)</f>
        <v>1.3235294117647058</v>
      </c>
      <c r="P172">
        <f>MAX(0.05,AVERAGE(TEAM_ANALYSIS!$W$2:$W$21)*L172*O172)</f>
        <v>3.7224264705882351</v>
      </c>
      <c r="Q172">
        <f>MAX(0.05,AVERAGE(TEAM_ANALYSIS!$W$2:$W$21)*N172*M172)</f>
        <v>3.6930147058823528</v>
      </c>
      <c r="R172" s="23">
        <f>MAX(0.8,MIN(1.2,P172/AVERAGE(TEAM_ANALYSIS!$W$2:$W$21)))</f>
        <v>1.2</v>
      </c>
      <c r="S172">
        <f>MAX(0.8,MIN(1.2,AVERAGE(TEAM_ANALYSIS!$W$2:$W$21)/Q172))</f>
        <v>0.8</v>
      </c>
      <c r="T172">
        <f>AVERAGE(R172,S172)</f>
        <v>1</v>
      </c>
    </row>
    <row r="173" spans="1:20" x14ac:dyDescent="0.25">
      <c r="A173">
        <v>9</v>
      </c>
      <c r="B173" t="b">
        <v>0</v>
      </c>
      <c r="C173" s="6">
        <v>46326.625</v>
      </c>
      <c r="D173" t="b">
        <v>0</v>
      </c>
      <c r="E173">
        <v>13</v>
      </c>
      <c r="F173">
        <v>3</v>
      </c>
      <c r="G173">
        <v>3</v>
      </c>
      <c r="H173" t="s">
        <v>1111</v>
      </c>
      <c r="I173" t="s">
        <v>1092</v>
      </c>
      <c r="J173" t="s">
        <v>1072</v>
      </c>
      <c r="K173" t="str">
        <f>tblTeamFixtures[[#This Row],[Team_name]]&amp;"_"&amp;tblTeamFixtures[[#This Row],[GW]]</f>
        <v>LEE_9</v>
      </c>
      <c r="L173">
        <f>IFERROR(INDEX(TEAM_ANALYSIS!$Y:$Y,MATCH($E173,TEAM_ANALYSIS!$A:$A,0)),1)</f>
        <v>0.8529411764705882</v>
      </c>
      <c r="M173">
        <f>IFERROR(INDEX(TEAM_ANALYSIS!$Z:$Z,MATCH($E173,TEAM_ANALYSIS!$A:$A,0)),1)</f>
        <v>0.73529411764705888</v>
      </c>
      <c r="N173">
        <f>IFERROR(INDEX(TEAM_ANALYSIS!$Y:$Y,MATCH($F173,TEAM_ANALYSIS!$A:$A,0)),1)</f>
        <v>0.97058823529411764</v>
      </c>
      <c r="O173">
        <f>IFERROR(INDEX(TEAM_ANALYSIS!$Z:$Z,MATCH($F173,TEAM_ANALYSIS!$A:$A,0)),1)</f>
        <v>1.088235294117647</v>
      </c>
      <c r="P173">
        <f>MAX(0.05,AVERAGE(TEAM_ANALYSIS!$W$2:$W$21)*L173*O173)</f>
        <v>1.9724264705882351</v>
      </c>
      <c r="Q173">
        <f>MAX(0.05,AVERAGE(TEAM_ANALYSIS!$W$2:$W$21)*N173*M173)</f>
        <v>1.5165441176470589</v>
      </c>
      <c r="R173" s="23">
        <f>MAX(0.8,MIN(1.2,P173/AVERAGE(TEAM_ANALYSIS!$W$2:$W$21)))</f>
        <v>0.92820069204152233</v>
      </c>
      <c r="S173">
        <f>MAX(0.8,MIN(1.2,AVERAGE(TEAM_ANALYSIS!$W$2:$W$21)/Q173))</f>
        <v>1.2</v>
      </c>
      <c r="T173">
        <f>AVERAGE(R173,S173)</f>
        <v>1.0641003460207612</v>
      </c>
    </row>
    <row r="174" spans="1:20" x14ac:dyDescent="0.25">
      <c r="A174">
        <v>9</v>
      </c>
      <c r="B174" t="b">
        <v>0</v>
      </c>
      <c r="C174" s="6">
        <v>46326.625</v>
      </c>
      <c r="D174" t="b">
        <v>0</v>
      </c>
      <c r="E174">
        <v>18</v>
      </c>
      <c r="F174">
        <v>4</v>
      </c>
      <c r="G174">
        <v>3</v>
      </c>
      <c r="H174" t="s">
        <v>1111</v>
      </c>
      <c r="I174" t="s">
        <v>1102</v>
      </c>
      <c r="J174" t="s">
        <v>1074</v>
      </c>
      <c r="K174" t="str">
        <f>tblTeamFixtures[[#This Row],[Team_name]]&amp;"_"&amp;tblTeamFixtures[[#This Row],[GW]]</f>
        <v>NFO_9</v>
      </c>
      <c r="L174">
        <f>IFERROR(INDEX(TEAM_ANALYSIS!$Y:$Y,MATCH($E174,TEAM_ANALYSIS!$A:$A,0)),1)</f>
        <v>0.73529411764705888</v>
      </c>
      <c r="M174">
        <f>IFERROR(INDEX(TEAM_ANALYSIS!$Z:$Z,MATCH($E174,TEAM_ANALYSIS!$A:$A,0)),1)</f>
        <v>0.8529411764705882</v>
      </c>
      <c r="N174">
        <f>IFERROR(INDEX(TEAM_ANALYSIS!$Y:$Y,MATCH($F174,TEAM_ANALYSIS!$A:$A,0)),1)</f>
        <v>1.088235294117647</v>
      </c>
      <c r="O174">
        <f>IFERROR(INDEX(TEAM_ANALYSIS!$Z:$Z,MATCH($F174,TEAM_ANALYSIS!$A:$A,0)),1)</f>
        <v>0.73529411764705888</v>
      </c>
      <c r="P174">
        <f>MAX(0.05,AVERAGE(TEAM_ANALYSIS!$W$2:$W$21)*L174*O174)</f>
        <v>1.1488970588235294</v>
      </c>
      <c r="Q174">
        <f>MAX(0.05,AVERAGE(TEAM_ANALYSIS!$W$2:$W$21)*N174*M174)</f>
        <v>1.9724264705882353</v>
      </c>
      <c r="R174" s="23">
        <f>MAX(0.8,MIN(1.2,P174/AVERAGE(TEAM_ANALYSIS!$W$2:$W$21)))</f>
        <v>0.8</v>
      </c>
      <c r="S174">
        <f>MAX(0.8,MIN(1.2,AVERAGE(TEAM_ANALYSIS!$W$2:$W$21)/Q174))</f>
        <v>1.0773532152842498</v>
      </c>
      <c r="T174">
        <f>AVERAGE(R174,S174)</f>
        <v>0.9386766076421249</v>
      </c>
    </row>
    <row r="175" spans="1:20" x14ac:dyDescent="0.25">
      <c r="A175">
        <v>9</v>
      </c>
      <c r="B175" t="b">
        <v>0</v>
      </c>
      <c r="C175" s="6">
        <v>46326.625</v>
      </c>
      <c r="D175" t="b">
        <v>0</v>
      </c>
      <c r="E175">
        <v>20</v>
      </c>
      <c r="F175">
        <v>7</v>
      </c>
      <c r="G175">
        <v>2</v>
      </c>
      <c r="H175" t="s">
        <v>1111</v>
      </c>
      <c r="I175" t="s">
        <v>1106</v>
      </c>
      <c r="J175" t="s">
        <v>1080</v>
      </c>
      <c r="K175" t="str">
        <f>tblTeamFixtures[[#This Row],[Team_name]]&amp;"_"&amp;tblTeamFixtures[[#This Row],[GW]]</f>
        <v>SUN_9</v>
      </c>
      <c r="L175">
        <f>IFERROR(INDEX(TEAM_ANALYSIS!$Y:$Y,MATCH($E175,TEAM_ANALYSIS!$A:$A,0)),1)</f>
        <v>0.8529411764705882</v>
      </c>
      <c r="M175">
        <f>IFERROR(INDEX(TEAM_ANALYSIS!$Z:$Z,MATCH($E175,TEAM_ANALYSIS!$A:$A,0)),1)</f>
        <v>0.8529411764705882</v>
      </c>
      <c r="N175">
        <f>IFERROR(INDEX(TEAM_ANALYSIS!$Y:$Y,MATCH($F175,TEAM_ANALYSIS!$A:$A,0)),1)</f>
        <v>0.5</v>
      </c>
      <c r="O175">
        <f>IFERROR(INDEX(TEAM_ANALYSIS!$Z:$Z,MATCH($F175,TEAM_ANALYSIS!$A:$A,0)),1)</f>
        <v>1.088235294117647</v>
      </c>
      <c r="P175">
        <f>MAX(0.05,AVERAGE(TEAM_ANALYSIS!$W$2:$W$21)*L175*O175)</f>
        <v>1.9724264705882351</v>
      </c>
      <c r="Q175">
        <f>MAX(0.05,AVERAGE(TEAM_ANALYSIS!$W$2:$W$21)*N175*M175)</f>
        <v>0.90625</v>
      </c>
      <c r="R175" s="23">
        <f>MAX(0.8,MIN(1.2,P175/AVERAGE(TEAM_ANALYSIS!$W$2:$W$21)))</f>
        <v>0.92820069204152233</v>
      </c>
      <c r="S175">
        <f>MAX(0.8,MIN(1.2,AVERAGE(TEAM_ANALYSIS!$W$2:$W$21)/Q175))</f>
        <v>1.2</v>
      </c>
      <c r="T175">
        <f>AVERAGE(R175,S175)</f>
        <v>1.0641003460207612</v>
      </c>
    </row>
    <row r="176" spans="1:20" x14ac:dyDescent="0.25">
      <c r="A176">
        <v>9</v>
      </c>
      <c r="B176" t="b">
        <v>0</v>
      </c>
      <c r="C176" s="6">
        <v>46326.625</v>
      </c>
      <c r="D176" t="b">
        <v>0</v>
      </c>
      <c r="E176">
        <v>12</v>
      </c>
      <c r="F176">
        <v>11</v>
      </c>
      <c r="G176">
        <v>2</v>
      </c>
      <c r="H176" t="s">
        <v>1111</v>
      </c>
      <c r="I176" t="s">
        <v>1090</v>
      </c>
      <c r="J176" t="s">
        <v>1088</v>
      </c>
      <c r="K176" t="str">
        <f>tblTeamFixtures[[#This Row],[Team_name]]&amp;"_"&amp;tblTeamFixtures[[#This Row],[GW]]</f>
        <v>IPS_9</v>
      </c>
      <c r="L176">
        <f>IFERROR(INDEX(TEAM_ANALYSIS!$Y:$Y,MATCH($E176,TEAM_ANALYSIS!$A:$A,0)),1)</f>
        <v>0.97058823529411764</v>
      </c>
      <c r="M176">
        <f>IFERROR(INDEX(TEAM_ANALYSIS!$Z:$Z,MATCH($E176,TEAM_ANALYSIS!$A:$A,0)),1)</f>
        <v>1.4411764705882353</v>
      </c>
      <c r="N176">
        <f>IFERROR(INDEX(TEAM_ANALYSIS!$Y:$Y,MATCH($F176,TEAM_ANALYSIS!$A:$A,0)),1)</f>
        <v>0.8529411764705882</v>
      </c>
      <c r="O176">
        <f>IFERROR(INDEX(TEAM_ANALYSIS!$Z:$Z,MATCH($F176,TEAM_ANALYSIS!$A:$A,0)),1)</f>
        <v>0.5</v>
      </c>
      <c r="P176">
        <f>MAX(0.05,AVERAGE(TEAM_ANALYSIS!$W$2:$W$21)*L176*O176)</f>
        <v>1.03125</v>
      </c>
      <c r="Q176">
        <f>MAX(0.05,AVERAGE(TEAM_ANALYSIS!$W$2:$W$21)*N176*M176)</f>
        <v>2.6121323529411766</v>
      </c>
      <c r="R176" s="23">
        <f>MAX(0.8,MIN(1.2,P176/AVERAGE(TEAM_ANALYSIS!$W$2:$W$21)))</f>
        <v>0.8</v>
      </c>
      <c r="S176">
        <f>MAX(0.8,MIN(1.2,AVERAGE(TEAM_ANALYSIS!$W$2:$W$21)/Q176))</f>
        <v>0.81351161154116813</v>
      </c>
      <c r="T176">
        <f>AVERAGE(R176,S176)</f>
        <v>0.80675580577058414</v>
      </c>
    </row>
    <row r="177" spans="1:20" x14ac:dyDescent="0.25">
      <c r="A177">
        <v>9</v>
      </c>
      <c r="B177" t="b">
        <v>0</v>
      </c>
      <c r="C177" s="6">
        <v>46326.625</v>
      </c>
      <c r="D177" t="b">
        <v>0</v>
      </c>
      <c r="E177">
        <v>5</v>
      </c>
      <c r="F177">
        <v>15</v>
      </c>
      <c r="G177">
        <v>5</v>
      </c>
      <c r="H177" t="s">
        <v>1111</v>
      </c>
      <c r="I177" t="s">
        <v>1076</v>
      </c>
      <c r="J177" t="s">
        <v>1096</v>
      </c>
      <c r="K177" t="str">
        <f>tblTeamFixtures[[#This Row],[Team_name]]&amp;"_"&amp;tblTeamFixtures[[#This Row],[GW]]</f>
        <v>BHA_9</v>
      </c>
      <c r="L177">
        <f>IFERROR(INDEX(TEAM_ANALYSIS!$Y:$Y,MATCH($E177,TEAM_ANALYSIS!$A:$A,0)),1)</f>
        <v>1.4411764705882353</v>
      </c>
      <c r="M177">
        <f>IFERROR(INDEX(TEAM_ANALYSIS!$Z:$Z,MATCH($E177,TEAM_ANALYSIS!$A:$A,0)),1)</f>
        <v>1.088235294117647</v>
      </c>
      <c r="N177">
        <f>IFERROR(INDEX(TEAM_ANALYSIS!$Y:$Y,MATCH($F177,TEAM_ANALYSIS!$A:$A,0)),1)</f>
        <v>1.3235294117647058</v>
      </c>
      <c r="O177">
        <f>IFERROR(INDEX(TEAM_ANALYSIS!$Z:$Z,MATCH($F177,TEAM_ANALYSIS!$A:$A,0)),1)</f>
        <v>0.73529411764705888</v>
      </c>
      <c r="P177">
        <f>MAX(0.05,AVERAGE(TEAM_ANALYSIS!$W$2:$W$21)*L177*O177)</f>
        <v>2.2518382352941178</v>
      </c>
      <c r="Q177">
        <f>MAX(0.05,AVERAGE(TEAM_ANALYSIS!$W$2:$W$21)*N177*M177)</f>
        <v>3.0606617647058822</v>
      </c>
      <c r="R177" s="23">
        <f>MAX(0.8,MIN(1.2,P177/AVERAGE(TEAM_ANALYSIS!$W$2:$W$21)))</f>
        <v>1.0596885813148789</v>
      </c>
      <c r="S177">
        <f>MAX(0.8,MIN(1.2,AVERAGE(TEAM_ANALYSIS!$W$2:$W$21)/Q177))</f>
        <v>0.8</v>
      </c>
      <c r="T177">
        <f>AVERAGE(R177,S177)</f>
        <v>0.92984429065743945</v>
      </c>
    </row>
    <row r="178" spans="1:20" x14ac:dyDescent="0.25">
      <c r="A178">
        <v>9</v>
      </c>
      <c r="B178" t="b">
        <v>0</v>
      </c>
      <c r="C178" s="6">
        <v>46326.729166666664</v>
      </c>
      <c r="D178" t="b">
        <v>0</v>
      </c>
      <c r="E178">
        <v>8</v>
      </c>
      <c r="F178">
        <v>19</v>
      </c>
      <c r="G178">
        <v>3</v>
      </c>
      <c r="H178" t="s">
        <v>1111</v>
      </c>
      <c r="I178" t="s">
        <v>1082</v>
      </c>
      <c r="J178" t="s">
        <v>1104</v>
      </c>
      <c r="K178" t="str">
        <f>tblTeamFixtures[[#This Row],[Team_name]]&amp;"_"&amp;tblTeamFixtures[[#This Row],[GW]]</f>
        <v>CRY_9</v>
      </c>
      <c r="L178">
        <f>IFERROR(INDEX(TEAM_ANALYSIS!$Y:$Y,MATCH($E178,TEAM_ANALYSIS!$A:$A,0)),1)</f>
        <v>0.97058823529411764</v>
      </c>
      <c r="M178">
        <f>IFERROR(INDEX(TEAM_ANALYSIS!$Z:$Z,MATCH($E178,TEAM_ANALYSIS!$A:$A,0)),1)</f>
        <v>1.4411764705882353</v>
      </c>
      <c r="N178">
        <f>IFERROR(INDEX(TEAM_ANALYSIS!$Y:$Y,MATCH($F178,TEAM_ANALYSIS!$A:$A,0)),1)</f>
        <v>0.5</v>
      </c>
      <c r="O178">
        <f>IFERROR(INDEX(TEAM_ANALYSIS!$Z:$Z,MATCH($F178,TEAM_ANALYSIS!$A:$A,0)),1)</f>
        <v>1.088235294117647</v>
      </c>
      <c r="P178">
        <f>MAX(0.05,AVERAGE(TEAM_ANALYSIS!$W$2:$W$21)*L178*O178)</f>
        <v>2.2444852941176467</v>
      </c>
      <c r="Q178">
        <f>MAX(0.05,AVERAGE(TEAM_ANALYSIS!$W$2:$W$21)*N178*M178)</f>
        <v>1.53125</v>
      </c>
      <c r="R178" s="23">
        <f>MAX(0.8,MIN(1.2,P178/AVERAGE(TEAM_ANALYSIS!$W$2:$W$21)))</f>
        <v>1.0562283737024221</v>
      </c>
      <c r="S178">
        <f>MAX(0.8,MIN(1.2,AVERAGE(TEAM_ANALYSIS!$W$2:$W$21)/Q178))</f>
        <v>1.2</v>
      </c>
      <c r="T178">
        <f>AVERAGE(R178,S178)</f>
        <v>1.128114186851211</v>
      </c>
    </row>
    <row r="179" spans="1:20" x14ac:dyDescent="0.25">
      <c r="A179">
        <v>9</v>
      </c>
      <c r="B179" t="b">
        <v>0</v>
      </c>
      <c r="C179" s="6">
        <v>46326.833333333336</v>
      </c>
      <c r="D179" t="b">
        <v>0</v>
      </c>
      <c r="E179">
        <v>10</v>
      </c>
      <c r="F179">
        <v>2</v>
      </c>
      <c r="G179">
        <v>4</v>
      </c>
      <c r="H179" t="s">
        <v>1111</v>
      </c>
      <c r="I179" t="s">
        <v>1086</v>
      </c>
      <c r="J179" t="s">
        <v>1070</v>
      </c>
      <c r="K179" t="str">
        <f>tblTeamFixtures[[#This Row],[Team_name]]&amp;"_"&amp;tblTeamFixtures[[#This Row],[GW]]</f>
        <v>FUL_9</v>
      </c>
      <c r="L179">
        <f>IFERROR(INDEX(TEAM_ANALYSIS!$Y:$Y,MATCH($E179,TEAM_ANALYSIS!$A:$A,0)),1)</f>
        <v>0.97058823529411764</v>
      </c>
      <c r="M179">
        <f>IFERROR(INDEX(TEAM_ANALYSIS!$Z:$Z,MATCH($E179,TEAM_ANALYSIS!$A:$A,0)),1)</f>
        <v>1.3235294117647058</v>
      </c>
      <c r="N179">
        <f>IFERROR(INDEX(TEAM_ANALYSIS!$Y:$Y,MATCH($F179,TEAM_ANALYSIS!$A:$A,0)),1)</f>
        <v>0.5</v>
      </c>
      <c r="O179">
        <f>IFERROR(INDEX(TEAM_ANALYSIS!$Z:$Z,MATCH($F179,TEAM_ANALYSIS!$A:$A,0)),1)</f>
        <v>1.088235294117647</v>
      </c>
      <c r="P179">
        <f>MAX(0.05,AVERAGE(TEAM_ANALYSIS!$W$2:$W$21)*L179*O179)</f>
        <v>2.2444852941176467</v>
      </c>
      <c r="Q179">
        <f>MAX(0.05,AVERAGE(TEAM_ANALYSIS!$W$2:$W$21)*N179*M179)</f>
        <v>1.40625</v>
      </c>
      <c r="R179" s="23">
        <f>MAX(0.8,MIN(1.2,P179/AVERAGE(TEAM_ANALYSIS!$W$2:$W$21)))</f>
        <v>1.0562283737024221</v>
      </c>
      <c r="S179">
        <f>MAX(0.8,MIN(1.2,AVERAGE(TEAM_ANALYSIS!$W$2:$W$21)/Q179))</f>
        <v>1.2</v>
      </c>
      <c r="T179">
        <f>AVERAGE(R179,S179)</f>
        <v>1.128114186851211</v>
      </c>
    </row>
    <row r="180" spans="1:20" x14ac:dyDescent="0.25">
      <c r="A180">
        <v>9</v>
      </c>
      <c r="B180" t="b">
        <v>0</v>
      </c>
      <c r="C180" s="6">
        <v>46327.6875</v>
      </c>
      <c r="D180" t="b">
        <v>0</v>
      </c>
      <c r="E180">
        <v>1</v>
      </c>
      <c r="F180">
        <v>14</v>
      </c>
      <c r="G180">
        <v>4</v>
      </c>
      <c r="H180" t="s">
        <v>1111</v>
      </c>
      <c r="I180" t="s">
        <v>1068</v>
      </c>
      <c r="J180" t="s">
        <v>1094</v>
      </c>
      <c r="K180" t="str">
        <f>tblTeamFixtures[[#This Row],[Team_name]]&amp;"_"&amp;tblTeamFixtures[[#This Row],[GW]]</f>
        <v>ARS_9</v>
      </c>
      <c r="L180">
        <f>IFERROR(INDEX(TEAM_ANALYSIS!$Y:$Y,MATCH($E180,TEAM_ANALYSIS!$A:$A,0)),1)</f>
        <v>1.2058823529411764</v>
      </c>
      <c r="M180">
        <f>IFERROR(INDEX(TEAM_ANALYSIS!$Z:$Z,MATCH($E180,TEAM_ANALYSIS!$A:$A,0)),1)</f>
        <v>0.61764705882352944</v>
      </c>
      <c r="N180">
        <f>IFERROR(INDEX(TEAM_ANALYSIS!$Y:$Y,MATCH($F180,TEAM_ANALYSIS!$A:$A,0)),1)</f>
        <v>1.2058823529411764</v>
      </c>
      <c r="O180">
        <f>IFERROR(INDEX(TEAM_ANALYSIS!$Z:$Z,MATCH($F180,TEAM_ANALYSIS!$A:$A,0)),1)</f>
        <v>0.97058823529411764</v>
      </c>
      <c r="P180">
        <f>MAX(0.05,AVERAGE(TEAM_ANALYSIS!$W$2:$W$21)*L180*O180)</f>
        <v>2.4871323529411766</v>
      </c>
      <c r="Q180">
        <f>MAX(0.05,AVERAGE(TEAM_ANALYSIS!$W$2:$W$21)*N180*M180)</f>
        <v>1.5827205882352942</v>
      </c>
      <c r="R180" s="23">
        <f>MAX(0.8,MIN(1.2,P180/AVERAGE(TEAM_ANALYSIS!$W$2:$W$21)))</f>
        <v>1.1704152249134949</v>
      </c>
      <c r="S180">
        <f>MAX(0.8,MIN(1.2,AVERAGE(TEAM_ANALYSIS!$W$2:$W$21)/Q180))</f>
        <v>1.2</v>
      </c>
      <c r="T180">
        <f>AVERAGE(R180,S180)</f>
        <v>1.1852076124567474</v>
      </c>
    </row>
    <row r="181" spans="1:20" x14ac:dyDescent="0.25">
      <c r="A181">
        <v>9</v>
      </c>
      <c r="B181" t="b">
        <v>0</v>
      </c>
      <c r="C181" s="6">
        <v>46328.833333333336</v>
      </c>
      <c r="D181" t="b">
        <v>0</v>
      </c>
      <c r="E181">
        <v>9</v>
      </c>
      <c r="F181">
        <v>17</v>
      </c>
      <c r="G181">
        <v>3</v>
      </c>
      <c r="H181" t="s">
        <v>1111</v>
      </c>
      <c r="I181" t="s">
        <v>1084</v>
      </c>
      <c r="J181" t="s">
        <v>1100</v>
      </c>
      <c r="K181" t="str">
        <f>tblTeamFixtures[[#This Row],[Team_name]]&amp;"_"&amp;tblTeamFixtures[[#This Row],[GW]]</f>
        <v>EVE_9</v>
      </c>
      <c r="L181">
        <f>IFERROR(INDEX(TEAM_ANALYSIS!$Y:$Y,MATCH($E181,TEAM_ANALYSIS!$A:$A,0)),1)</f>
        <v>1.088235294117647</v>
      </c>
      <c r="M181">
        <f>IFERROR(INDEX(TEAM_ANALYSIS!$Z:$Z,MATCH($E181,TEAM_ANALYSIS!$A:$A,0)),1)</f>
        <v>0.8529411764705882</v>
      </c>
      <c r="N181">
        <f>IFERROR(INDEX(TEAM_ANALYSIS!$Y:$Y,MATCH($F181,TEAM_ANALYSIS!$A:$A,0)),1)</f>
        <v>1.2058823529411764</v>
      </c>
      <c r="O181">
        <f>IFERROR(INDEX(TEAM_ANALYSIS!$Z:$Z,MATCH($F181,TEAM_ANALYSIS!$A:$A,0)),1)</f>
        <v>0.97058823529411764</v>
      </c>
      <c r="P181">
        <f>MAX(0.05,AVERAGE(TEAM_ANALYSIS!$W$2:$W$21)*L181*O181)</f>
        <v>2.2444852941176472</v>
      </c>
      <c r="Q181">
        <f>MAX(0.05,AVERAGE(TEAM_ANALYSIS!$W$2:$W$21)*N181*M181)</f>
        <v>2.1856617647058822</v>
      </c>
      <c r="R181" s="23">
        <f>MAX(0.8,MIN(1.2,P181/AVERAGE(TEAM_ANALYSIS!$W$2:$W$21)))</f>
        <v>1.0562283737024223</v>
      </c>
      <c r="S181">
        <f>MAX(0.8,MIN(1.2,AVERAGE(TEAM_ANALYSIS!$W$2:$W$21)/Q181))</f>
        <v>0.9722455845248108</v>
      </c>
      <c r="T181">
        <f>AVERAGE(R181,S181)</f>
        <v>1.0142369791136165</v>
      </c>
    </row>
    <row r="182" spans="1:20" x14ac:dyDescent="0.25">
      <c r="A182">
        <v>10</v>
      </c>
      <c r="B182" t="b">
        <v>0</v>
      </c>
      <c r="C182" s="6">
        <v>46333.625</v>
      </c>
      <c r="D182" t="b">
        <v>0</v>
      </c>
      <c r="E182">
        <v>1</v>
      </c>
      <c r="F182">
        <v>11</v>
      </c>
      <c r="G182">
        <v>2</v>
      </c>
      <c r="H182" t="s">
        <v>1110</v>
      </c>
      <c r="I182" t="s">
        <v>1068</v>
      </c>
      <c r="J182" t="s">
        <v>1088</v>
      </c>
      <c r="K182" t="str">
        <f>tblTeamFixtures[[#This Row],[Team_name]]&amp;"_"&amp;tblTeamFixtures[[#This Row],[GW]]</f>
        <v>ARS_10</v>
      </c>
      <c r="L182">
        <f>IFERROR(INDEX(TEAM_ANALYSIS!$Y:$Y,MATCH($E182,TEAM_ANALYSIS!$A:$A,0)),1)</f>
        <v>1.2058823529411764</v>
      </c>
      <c r="M182">
        <f>IFERROR(INDEX(TEAM_ANALYSIS!$Z:$Z,MATCH($E182,TEAM_ANALYSIS!$A:$A,0)),1)</f>
        <v>0.61764705882352944</v>
      </c>
      <c r="N182">
        <f>IFERROR(INDEX(TEAM_ANALYSIS!$Y:$Y,MATCH($F182,TEAM_ANALYSIS!$A:$A,0)),1)</f>
        <v>0.8529411764705882</v>
      </c>
      <c r="O182">
        <f>IFERROR(INDEX(TEAM_ANALYSIS!$Z:$Z,MATCH($F182,TEAM_ANALYSIS!$A:$A,0)),1)</f>
        <v>0.5</v>
      </c>
      <c r="P182">
        <f>MAX(0.05,AVERAGE(TEAM_ANALYSIS!$W$2:$W$21)*L182*O182)</f>
        <v>1.28125</v>
      </c>
      <c r="Q182">
        <f>MAX(0.05,AVERAGE(TEAM_ANALYSIS!$W$2:$W$21)*N182*M182)</f>
        <v>1.1194852941176472</v>
      </c>
      <c r="R182" s="23">
        <f>MAX(0.8,MIN(1.2,P182/AVERAGE(TEAM_ANALYSIS!$W$2:$W$21)))</f>
        <v>0.8</v>
      </c>
      <c r="S182">
        <f>MAX(0.8,MIN(1.2,AVERAGE(TEAM_ANALYSIS!$W$2:$W$21)/Q182))</f>
        <v>1.2</v>
      </c>
      <c r="T182">
        <f>AVERAGE(R182,S182)</f>
        <v>1</v>
      </c>
    </row>
    <row r="183" spans="1:20" x14ac:dyDescent="0.25">
      <c r="A183">
        <v>10</v>
      </c>
      <c r="B183" t="b">
        <v>0</v>
      </c>
      <c r="C183" s="6">
        <v>46333.625</v>
      </c>
      <c r="D183" t="b">
        <v>0</v>
      </c>
      <c r="E183">
        <v>5</v>
      </c>
      <c r="F183">
        <v>4</v>
      </c>
      <c r="G183">
        <v>3</v>
      </c>
      <c r="H183" t="s">
        <v>1110</v>
      </c>
      <c r="I183" t="s">
        <v>1076</v>
      </c>
      <c r="J183" t="s">
        <v>1074</v>
      </c>
      <c r="K183" t="str">
        <f>tblTeamFixtures[[#This Row],[Team_name]]&amp;"_"&amp;tblTeamFixtures[[#This Row],[GW]]</f>
        <v>BHA_10</v>
      </c>
      <c r="L183">
        <f>IFERROR(INDEX(TEAM_ANALYSIS!$Y:$Y,MATCH($E183,TEAM_ANALYSIS!$A:$A,0)),1)</f>
        <v>1.4411764705882353</v>
      </c>
      <c r="M183">
        <f>IFERROR(INDEX(TEAM_ANALYSIS!$Z:$Z,MATCH($E183,TEAM_ANALYSIS!$A:$A,0)),1)</f>
        <v>1.088235294117647</v>
      </c>
      <c r="N183">
        <f>IFERROR(INDEX(TEAM_ANALYSIS!$Y:$Y,MATCH($F183,TEAM_ANALYSIS!$A:$A,0)),1)</f>
        <v>1.088235294117647</v>
      </c>
      <c r="O183">
        <f>IFERROR(INDEX(TEAM_ANALYSIS!$Z:$Z,MATCH($F183,TEAM_ANALYSIS!$A:$A,0)),1)</f>
        <v>0.73529411764705888</v>
      </c>
      <c r="P183">
        <f>MAX(0.05,AVERAGE(TEAM_ANALYSIS!$W$2:$W$21)*L183*O183)</f>
        <v>2.2518382352941178</v>
      </c>
      <c r="Q183">
        <f>MAX(0.05,AVERAGE(TEAM_ANALYSIS!$W$2:$W$21)*N183*M183)</f>
        <v>2.5165441176470584</v>
      </c>
      <c r="R183" s="23">
        <f>MAX(0.8,MIN(1.2,P183/AVERAGE(TEAM_ANALYSIS!$W$2:$W$21)))</f>
        <v>1.0596885813148789</v>
      </c>
      <c r="S183">
        <f>MAX(0.8,MIN(1.2,AVERAGE(TEAM_ANALYSIS!$W$2:$W$21)/Q183))</f>
        <v>0.84441197954711478</v>
      </c>
      <c r="T183">
        <f>AVERAGE(R183,S183)</f>
        <v>0.95205028043099682</v>
      </c>
    </row>
    <row r="184" spans="1:20" x14ac:dyDescent="0.25">
      <c r="A184">
        <v>10</v>
      </c>
      <c r="B184" t="b">
        <v>0</v>
      </c>
      <c r="C184" s="6">
        <v>46333.625</v>
      </c>
      <c r="D184" t="b">
        <v>0</v>
      </c>
      <c r="E184">
        <v>8</v>
      </c>
      <c r="F184">
        <v>14</v>
      </c>
      <c r="G184">
        <v>4</v>
      </c>
      <c r="H184" t="s">
        <v>1110</v>
      </c>
      <c r="I184" t="s">
        <v>1082</v>
      </c>
      <c r="J184" t="s">
        <v>1094</v>
      </c>
      <c r="K184" t="str">
        <f>tblTeamFixtures[[#This Row],[Team_name]]&amp;"_"&amp;tblTeamFixtures[[#This Row],[GW]]</f>
        <v>CRY_10</v>
      </c>
      <c r="L184">
        <f>IFERROR(INDEX(TEAM_ANALYSIS!$Y:$Y,MATCH($E184,TEAM_ANALYSIS!$A:$A,0)),1)</f>
        <v>0.97058823529411764</v>
      </c>
      <c r="M184">
        <f>IFERROR(INDEX(TEAM_ANALYSIS!$Z:$Z,MATCH($E184,TEAM_ANALYSIS!$A:$A,0)),1)</f>
        <v>1.4411764705882353</v>
      </c>
      <c r="N184">
        <f>IFERROR(INDEX(TEAM_ANALYSIS!$Y:$Y,MATCH($F184,TEAM_ANALYSIS!$A:$A,0)),1)</f>
        <v>1.2058823529411764</v>
      </c>
      <c r="O184">
        <f>IFERROR(INDEX(TEAM_ANALYSIS!$Z:$Z,MATCH($F184,TEAM_ANALYSIS!$A:$A,0)),1)</f>
        <v>0.97058823529411764</v>
      </c>
      <c r="P184">
        <f>MAX(0.05,AVERAGE(TEAM_ANALYSIS!$W$2:$W$21)*L184*O184)</f>
        <v>2.0018382352941178</v>
      </c>
      <c r="Q184">
        <f>MAX(0.05,AVERAGE(TEAM_ANALYSIS!$W$2:$W$21)*N184*M184)</f>
        <v>3.6930147058823528</v>
      </c>
      <c r="R184" s="23">
        <f>MAX(0.8,MIN(1.2,P184/AVERAGE(TEAM_ANALYSIS!$W$2:$W$21)))</f>
        <v>0.94204152249134954</v>
      </c>
      <c r="S184">
        <f>MAX(0.8,MIN(1.2,AVERAGE(TEAM_ANALYSIS!$W$2:$W$21)/Q184))</f>
        <v>0.8</v>
      </c>
      <c r="T184">
        <f>AVERAGE(R184,S184)</f>
        <v>0.87102076124567485</v>
      </c>
    </row>
    <row r="185" spans="1:20" x14ac:dyDescent="0.25">
      <c r="A185">
        <v>10</v>
      </c>
      <c r="B185" t="b">
        <v>0</v>
      </c>
      <c r="C185" s="6">
        <v>46333.625</v>
      </c>
      <c r="D185" t="b">
        <v>0</v>
      </c>
      <c r="E185">
        <v>9</v>
      </c>
      <c r="F185">
        <v>7</v>
      </c>
      <c r="G185">
        <v>2</v>
      </c>
      <c r="H185" t="s">
        <v>1110</v>
      </c>
      <c r="I185" t="s">
        <v>1084</v>
      </c>
      <c r="J185" t="s">
        <v>1080</v>
      </c>
      <c r="K185" t="str">
        <f>tblTeamFixtures[[#This Row],[Team_name]]&amp;"_"&amp;tblTeamFixtures[[#This Row],[GW]]</f>
        <v>EVE_10</v>
      </c>
      <c r="L185">
        <f>IFERROR(INDEX(TEAM_ANALYSIS!$Y:$Y,MATCH($E185,TEAM_ANALYSIS!$A:$A,0)),1)</f>
        <v>1.088235294117647</v>
      </c>
      <c r="M185">
        <f>IFERROR(INDEX(TEAM_ANALYSIS!$Z:$Z,MATCH($E185,TEAM_ANALYSIS!$A:$A,0)),1)</f>
        <v>0.8529411764705882</v>
      </c>
      <c r="N185">
        <f>IFERROR(INDEX(TEAM_ANALYSIS!$Y:$Y,MATCH($F185,TEAM_ANALYSIS!$A:$A,0)),1)</f>
        <v>0.5</v>
      </c>
      <c r="O185">
        <f>IFERROR(INDEX(TEAM_ANALYSIS!$Z:$Z,MATCH($F185,TEAM_ANALYSIS!$A:$A,0)),1)</f>
        <v>1.088235294117647</v>
      </c>
      <c r="P185">
        <f>MAX(0.05,AVERAGE(TEAM_ANALYSIS!$W$2:$W$21)*L185*O185)</f>
        <v>2.5165441176470584</v>
      </c>
      <c r="Q185">
        <f>MAX(0.05,AVERAGE(TEAM_ANALYSIS!$W$2:$W$21)*N185*M185)</f>
        <v>0.90625</v>
      </c>
      <c r="R185" s="23">
        <f>MAX(0.8,MIN(1.2,P185/AVERAGE(TEAM_ANALYSIS!$W$2:$W$21)))</f>
        <v>1.1842560553633217</v>
      </c>
      <c r="S185">
        <f>MAX(0.8,MIN(1.2,AVERAGE(TEAM_ANALYSIS!$W$2:$W$21)/Q185))</f>
        <v>1.2</v>
      </c>
      <c r="T185">
        <f>AVERAGE(R185,S185)</f>
        <v>1.1921280276816608</v>
      </c>
    </row>
    <row r="186" spans="1:20" x14ac:dyDescent="0.25">
      <c r="A186">
        <v>10</v>
      </c>
      <c r="B186" t="b">
        <v>0</v>
      </c>
      <c r="C186" s="6">
        <v>46333.625</v>
      </c>
      <c r="D186" t="b">
        <v>0</v>
      </c>
      <c r="E186">
        <v>10</v>
      </c>
      <c r="F186">
        <v>17</v>
      </c>
      <c r="G186">
        <v>2</v>
      </c>
      <c r="H186" t="s">
        <v>1110</v>
      </c>
      <c r="I186" t="s">
        <v>1086</v>
      </c>
      <c r="J186" t="s">
        <v>1100</v>
      </c>
      <c r="K186" t="str">
        <f>tblTeamFixtures[[#This Row],[Team_name]]&amp;"_"&amp;tblTeamFixtures[[#This Row],[GW]]</f>
        <v>FUL_10</v>
      </c>
      <c r="L186">
        <f>IFERROR(INDEX(TEAM_ANALYSIS!$Y:$Y,MATCH($E186,TEAM_ANALYSIS!$A:$A,0)),1)</f>
        <v>0.97058823529411764</v>
      </c>
      <c r="M186">
        <f>IFERROR(INDEX(TEAM_ANALYSIS!$Z:$Z,MATCH($E186,TEAM_ANALYSIS!$A:$A,0)),1)</f>
        <v>1.3235294117647058</v>
      </c>
      <c r="N186">
        <f>IFERROR(INDEX(TEAM_ANALYSIS!$Y:$Y,MATCH($F186,TEAM_ANALYSIS!$A:$A,0)),1)</f>
        <v>1.2058823529411764</v>
      </c>
      <c r="O186">
        <f>IFERROR(INDEX(TEAM_ANALYSIS!$Z:$Z,MATCH($F186,TEAM_ANALYSIS!$A:$A,0)),1)</f>
        <v>0.97058823529411764</v>
      </c>
      <c r="P186">
        <f>MAX(0.05,AVERAGE(TEAM_ANALYSIS!$W$2:$W$21)*L186*O186)</f>
        <v>2.0018382352941178</v>
      </c>
      <c r="Q186">
        <f>MAX(0.05,AVERAGE(TEAM_ANALYSIS!$W$2:$W$21)*N186*M186)</f>
        <v>3.3915441176470589</v>
      </c>
      <c r="R186" s="23">
        <f>MAX(0.8,MIN(1.2,P186/AVERAGE(TEAM_ANALYSIS!$W$2:$W$21)))</f>
        <v>0.94204152249134954</v>
      </c>
      <c r="S186">
        <f>MAX(0.8,MIN(1.2,AVERAGE(TEAM_ANALYSIS!$W$2:$W$21)/Q186))</f>
        <v>0.8</v>
      </c>
      <c r="T186">
        <f>AVERAGE(R186,S186)</f>
        <v>0.87102076124567485</v>
      </c>
    </row>
    <row r="187" spans="1:20" x14ac:dyDescent="0.25">
      <c r="A187">
        <v>10</v>
      </c>
      <c r="B187" t="b">
        <v>0</v>
      </c>
      <c r="C187" s="6">
        <v>46333.625</v>
      </c>
      <c r="D187" t="b">
        <v>0</v>
      </c>
      <c r="E187">
        <v>12</v>
      </c>
      <c r="F187">
        <v>3</v>
      </c>
      <c r="G187">
        <v>3</v>
      </c>
      <c r="H187" t="s">
        <v>1110</v>
      </c>
      <c r="I187" t="s">
        <v>1090</v>
      </c>
      <c r="J187" t="s">
        <v>1072</v>
      </c>
      <c r="K187" t="str">
        <f>tblTeamFixtures[[#This Row],[Team_name]]&amp;"_"&amp;tblTeamFixtures[[#This Row],[GW]]</f>
        <v>IPS_10</v>
      </c>
      <c r="L187">
        <f>IFERROR(INDEX(TEAM_ANALYSIS!$Y:$Y,MATCH($E187,TEAM_ANALYSIS!$A:$A,0)),1)</f>
        <v>0.97058823529411764</v>
      </c>
      <c r="M187">
        <f>IFERROR(INDEX(TEAM_ANALYSIS!$Z:$Z,MATCH($E187,TEAM_ANALYSIS!$A:$A,0)),1)</f>
        <v>1.4411764705882353</v>
      </c>
      <c r="N187">
        <f>IFERROR(INDEX(TEAM_ANALYSIS!$Y:$Y,MATCH($F187,TEAM_ANALYSIS!$A:$A,0)),1)</f>
        <v>0.97058823529411764</v>
      </c>
      <c r="O187">
        <f>IFERROR(INDEX(TEAM_ANALYSIS!$Z:$Z,MATCH($F187,TEAM_ANALYSIS!$A:$A,0)),1)</f>
        <v>1.088235294117647</v>
      </c>
      <c r="P187">
        <f>MAX(0.05,AVERAGE(TEAM_ANALYSIS!$W$2:$W$21)*L187*O187)</f>
        <v>2.2444852941176467</v>
      </c>
      <c r="Q187">
        <f>MAX(0.05,AVERAGE(TEAM_ANALYSIS!$W$2:$W$21)*N187*M187)</f>
        <v>2.9724264705882351</v>
      </c>
      <c r="R187" s="23">
        <f>MAX(0.8,MIN(1.2,P187/AVERAGE(TEAM_ANALYSIS!$W$2:$W$21)))</f>
        <v>1.0562283737024221</v>
      </c>
      <c r="S187">
        <f>MAX(0.8,MIN(1.2,AVERAGE(TEAM_ANALYSIS!$W$2:$W$21)/Q187))</f>
        <v>0.8</v>
      </c>
      <c r="T187">
        <f>AVERAGE(R187,S187)</f>
        <v>0.92811418685121105</v>
      </c>
    </row>
    <row r="188" spans="1:20" x14ac:dyDescent="0.25">
      <c r="A188">
        <v>10</v>
      </c>
      <c r="B188" t="b">
        <v>0</v>
      </c>
      <c r="C188" s="6">
        <v>46333.625</v>
      </c>
      <c r="D188" t="b">
        <v>0</v>
      </c>
      <c r="E188">
        <v>13</v>
      </c>
      <c r="F188">
        <v>19</v>
      </c>
      <c r="G188">
        <v>3</v>
      </c>
      <c r="H188" t="s">
        <v>1110</v>
      </c>
      <c r="I188" t="s">
        <v>1092</v>
      </c>
      <c r="J188" t="s">
        <v>1104</v>
      </c>
      <c r="K188" t="str">
        <f>tblTeamFixtures[[#This Row],[Team_name]]&amp;"_"&amp;tblTeamFixtures[[#This Row],[GW]]</f>
        <v>LEE_10</v>
      </c>
      <c r="L188">
        <f>IFERROR(INDEX(TEAM_ANALYSIS!$Y:$Y,MATCH($E188,TEAM_ANALYSIS!$A:$A,0)),1)</f>
        <v>0.8529411764705882</v>
      </c>
      <c r="M188">
        <f>IFERROR(INDEX(TEAM_ANALYSIS!$Z:$Z,MATCH($E188,TEAM_ANALYSIS!$A:$A,0)),1)</f>
        <v>0.73529411764705888</v>
      </c>
      <c r="N188">
        <f>IFERROR(INDEX(TEAM_ANALYSIS!$Y:$Y,MATCH($F188,TEAM_ANALYSIS!$A:$A,0)),1)</f>
        <v>0.5</v>
      </c>
      <c r="O188">
        <f>IFERROR(INDEX(TEAM_ANALYSIS!$Z:$Z,MATCH($F188,TEAM_ANALYSIS!$A:$A,0)),1)</f>
        <v>1.088235294117647</v>
      </c>
      <c r="P188">
        <f>MAX(0.05,AVERAGE(TEAM_ANALYSIS!$W$2:$W$21)*L188*O188)</f>
        <v>1.9724264705882351</v>
      </c>
      <c r="Q188">
        <f>MAX(0.05,AVERAGE(TEAM_ANALYSIS!$W$2:$W$21)*N188*M188)</f>
        <v>0.78125</v>
      </c>
      <c r="R188" s="23">
        <f>MAX(0.8,MIN(1.2,P188/AVERAGE(TEAM_ANALYSIS!$W$2:$W$21)))</f>
        <v>0.92820069204152233</v>
      </c>
      <c r="S188">
        <f>MAX(0.8,MIN(1.2,AVERAGE(TEAM_ANALYSIS!$W$2:$W$21)/Q188))</f>
        <v>1.2</v>
      </c>
      <c r="T188">
        <f>AVERAGE(R188,S188)</f>
        <v>1.0641003460207612</v>
      </c>
    </row>
    <row r="189" spans="1:20" x14ac:dyDescent="0.25">
      <c r="A189">
        <v>10</v>
      </c>
      <c r="B189" t="b">
        <v>0</v>
      </c>
      <c r="C189" s="6">
        <v>46333.625</v>
      </c>
      <c r="D189" t="b">
        <v>0</v>
      </c>
      <c r="E189">
        <v>16</v>
      </c>
      <c r="F189">
        <v>2</v>
      </c>
      <c r="G189">
        <v>3</v>
      </c>
      <c r="H189" t="s">
        <v>1110</v>
      </c>
      <c r="I189" t="s">
        <v>1098</v>
      </c>
      <c r="J189" t="s">
        <v>1070</v>
      </c>
      <c r="K189" t="str">
        <f>tblTeamFixtures[[#This Row],[Team_name]]&amp;"_"&amp;tblTeamFixtures[[#This Row],[GW]]</f>
        <v>MUN_10</v>
      </c>
      <c r="L189">
        <f>IFERROR(INDEX(TEAM_ANALYSIS!$Y:$Y,MATCH($E189,TEAM_ANALYSIS!$A:$A,0)),1)</f>
        <v>1.3235294117647058</v>
      </c>
      <c r="M189">
        <f>IFERROR(INDEX(TEAM_ANALYSIS!$Z:$Z,MATCH($E189,TEAM_ANALYSIS!$A:$A,0)),1)</f>
        <v>1.2058823529411764</v>
      </c>
      <c r="N189">
        <f>IFERROR(INDEX(TEAM_ANALYSIS!$Y:$Y,MATCH($F189,TEAM_ANALYSIS!$A:$A,0)),1)</f>
        <v>0.5</v>
      </c>
      <c r="O189">
        <f>IFERROR(INDEX(TEAM_ANALYSIS!$Z:$Z,MATCH($F189,TEAM_ANALYSIS!$A:$A,0)),1)</f>
        <v>1.088235294117647</v>
      </c>
      <c r="P189">
        <f>MAX(0.05,AVERAGE(TEAM_ANALYSIS!$W$2:$W$21)*L189*O189)</f>
        <v>3.0606617647058822</v>
      </c>
      <c r="Q189">
        <f>MAX(0.05,AVERAGE(TEAM_ANALYSIS!$W$2:$W$21)*N189*M189)</f>
        <v>1.28125</v>
      </c>
      <c r="R189" s="23">
        <f>MAX(0.8,MIN(1.2,P189/AVERAGE(TEAM_ANALYSIS!$W$2:$W$21)))</f>
        <v>1.2</v>
      </c>
      <c r="S189">
        <f>MAX(0.8,MIN(1.2,AVERAGE(TEAM_ANALYSIS!$W$2:$W$21)/Q189))</f>
        <v>1.2</v>
      </c>
      <c r="T189">
        <f>AVERAGE(R189,S189)</f>
        <v>1.2</v>
      </c>
    </row>
    <row r="190" spans="1:20" x14ac:dyDescent="0.25">
      <c r="A190">
        <v>10</v>
      </c>
      <c r="B190" t="b">
        <v>0</v>
      </c>
      <c r="C190" s="6">
        <v>46333.625</v>
      </c>
      <c r="D190" t="b">
        <v>0</v>
      </c>
      <c r="E190">
        <v>18</v>
      </c>
      <c r="F190">
        <v>15</v>
      </c>
      <c r="G190">
        <v>4</v>
      </c>
      <c r="H190" t="s">
        <v>1110</v>
      </c>
      <c r="I190" t="s">
        <v>1102</v>
      </c>
      <c r="J190" t="s">
        <v>1096</v>
      </c>
      <c r="K190" t="str">
        <f>tblTeamFixtures[[#This Row],[Team_name]]&amp;"_"&amp;tblTeamFixtures[[#This Row],[GW]]</f>
        <v>NFO_10</v>
      </c>
      <c r="L190">
        <f>IFERROR(INDEX(TEAM_ANALYSIS!$Y:$Y,MATCH($E190,TEAM_ANALYSIS!$A:$A,0)),1)</f>
        <v>0.73529411764705888</v>
      </c>
      <c r="M190">
        <f>IFERROR(INDEX(TEAM_ANALYSIS!$Z:$Z,MATCH($E190,TEAM_ANALYSIS!$A:$A,0)),1)</f>
        <v>0.8529411764705882</v>
      </c>
      <c r="N190">
        <f>IFERROR(INDEX(TEAM_ANALYSIS!$Y:$Y,MATCH($F190,TEAM_ANALYSIS!$A:$A,0)),1)</f>
        <v>1.3235294117647058</v>
      </c>
      <c r="O190">
        <f>IFERROR(INDEX(TEAM_ANALYSIS!$Z:$Z,MATCH($F190,TEAM_ANALYSIS!$A:$A,0)),1)</f>
        <v>0.73529411764705888</v>
      </c>
      <c r="P190">
        <f>MAX(0.05,AVERAGE(TEAM_ANALYSIS!$W$2:$W$21)*L190*O190)</f>
        <v>1.1488970588235294</v>
      </c>
      <c r="Q190">
        <f>MAX(0.05,AVERAGE(TEAM_ANALYSIS!$W$2:$W$21)*N190*M190)</f>
        <v>2.3988970588235294</v>
      </c>
      <c r="R190" s="23">
        <f>MAX(0.8,MIN(1.2,P190/AVERAGE(TEAM_ANALYSIS!$W$2:$W$21)))</f>
        <v>0.8</v>
      </c>
      <c r="S190">
        <f>MAX(0.8,MIN(1.2,AVERAGE(TEAM_ANALYSIS!$W$2:$W$21)/Q190))</f>
        <v>0.885823754789272</v>
      </c>
      <c r="T190">
        <f>AVERAGE(R190,S190)</f>
        <v>0.84291187739463602</v>
      </c>
    </row>
    <row r="191" spans="1:20" x14ac:dyDescent="0.25">
      <c r="A191">
        <v>10</v>
      </c>
      <c r="B191" t="b">
        <v>0</v>
      </c>
      <c r="C191" s="6">
        <v>46333.625</v>
      </c>
      <c r="D191" t="b">
        <v>0</v>
      </c>
      <c r="E191">
        <v>20</v>
      </c>
      <c r="F191">
        <v>6</v>
      </c>
      <c r="G191">
        <v>4</v>
      </c>
      <c r="H191" t="s">
        <v>1110</v>
      </c>
      <c r="I191" t="s">
        <v>1106</v>
      </c>
      <c r="J191" t="s">
        <v>1078</v>
      </c>
      <c r="K191" t="str">
        <f>tblTeamFixtures[[#This Row],[Team_name]]&amp;"_"&amp;tblTeamFixtures[[#This Row],[GW]]</f>
        <v>SUN_10</v>
      </c>
      <c r="L191">
        <f>IFERROR(INDEX(TEAM_ANALYSIS!$Y:$Y,MATCH($E191,TEAM_ANALYSIS!$A:$A,0)),1)</f>
        <v>0.8529411764705882</v>
      </c>
      <c r="M191">
        <f>IFERROR(INDEX(TEAM_ANALYSIS!$Z:$Z,MATCH($E191,TEAM_ANALYSIS!$A:$A,0)),1)</f>
        <v>0.8529411764705882</v>
      </c>
      <c r="N191">
        <f>IFERROR(INDEX(TEAM_ANALYSIS!$Y:$Y,MATCH($F191,TEAM_ANALYSIS!$A:$A,0)),1)</f>
        <v>1.4411764705882353</v>
      </c>
      <c r="O191">
        <f>IFERROR(INDEX(TEAM_ANALYSIS!$Z:$Z,MATCH($F191,TEAM_ANALYSIS!$A:$A,0)),1)</f>
        <v>1.3235294117647058</v>
      </c>
      <c r="P191">
        <f>MAX(0.05,AVERAGE(TEAM_ANALYSIS!$W$2:$W$21)*L191*O191)</f>
        <v>2.3988970588235294</v>
      </c>
      <c r="Q191">
        <f>MAX(0.05,AVERAGE(TEAM_ANALYSIS!$W$2:$W$21)*N191*M191)</f>
        <v>2.6121323529411762</v>
      </c>
      <c r="R191" s="23">
        <f>MAX(0.8,MIN(1.2,P191/AVERAGE(TEAM_ANALYSIS!$W$2:$W$21)))</f>
        <v>1.1288927335640138</v>
      </c>
      <c r="S191">
        <f>MAX(0.8,MIN(1.2,AVERAGE(TEAM_ANALYSIS!$W$2:$W$21)/Q191))</f>
        <v>0.81351161154116824</v>
      </c>
      <c r="T191">
        <f>AVERAGE(R191,S191)</f>
        <v>0.971202172552591</v>
      </c>
    </row>
    <row r="192" spans="1:20" x14ac:dyDescent="0.25">
      <c r="A192">
        <v>10</v>
      </c>
      <c r="B192" t="b">
        <v>0</v>
      </c>
      <c r="C192" s="6">
        <v>46333.625</v>
      </c>
      <c r="D192" t="b">
        <v>0</v>
      </c>
      <c r="E192">
        <v>11</v>
      </c>
      <c r="F192">
        <v>1</v>
      </c>
      <c r="G192">
        <v>5</v>
      </c>
      <c r="H192" t="s">
        <v>1111</v>
      </c>
      <c r="I192" t="s">
        <v>1088</v>
      </c>
      <c r="J192" t="s">
        <v>1068</v>
      </c>
      <c r="K192" t="str">
        <f>tblTeamFixtures[[#This Row],[Team_name]]&amp;"_"&amp;tblTeamFixtures[[#This Row],[GW]]</f>
        <v>HUL_10</v>
      </c>
      <c r="L192">
        <f>IFERROR(INDEX(TEAM_ANALYSIS!$Y:$Y,MATCH($E192,TEAM_ANALYSIS!$A:$A,0)),1)</f>
        <v>0.8529411764705882</v>
      </c>
      <c r="M192">
        <f>IFERROR(INDEX(TEAM_ANALYSIS!$Z:$Z,MATCH($E192,TEAM_ANALYSIS!$A:$A,0)),1)</f>
        <v>0.5</v>
      </c>
      <c r="N192">
        <f>IFERROR(INDEX(TEAM_ANALYSIS!$Y:$Y,MATCH($F192,TEAM_ANALYSIS!$A:$A,0)),1)</f>
        <v>1.2058823529411764</v>
      </c>
      <c r="O192">
        <f>IFERROR(INDEX(TEAM_ANALYSIS!$Z:$Z,MATCH($F192,TEAM_ANALYSIS!$A:$A,0)),1)</f>
        <v>0.61764705882352944</v>
      </c>
      <c r="P192">
        <f>MAX(0.05,AVERAGE(TEAM_ANALYSIS!$W$2:$W$21)*L192*O192)</f>
        <v>1.1194852941176472</v>
      </c>
      <c r="Q192">
        <f>MAX(0.05,AVERAGE(TEAM_ANALYSIS!$W$2:$W$21)*N192*M192)</f>
        <v>1.28125</v>
      </c>
      <c r="R192" s="23">
        <f>MAX(0.8,MIN(1.2,P192/AVERAGE(TEAM_ANALYSIS!$W$2:$W$21)))</f>
        <v>0.8</v>
      </c>
      <c r="S192">
        <f>MAX(0.8,MIN(1.2,AVERAGE(TEAM_ANALYSIS!$W$2:$W$21)/Q192))</f>
        <v>1.2</v>
      </c>
      <c r="T192">
        <f>AVERAGE(R192,S192)</f>
        <v>1</v>
      </c>
    </row>
    <row r="193" spans="1:20" x14ac:dyDescent="0.25">
      <c r="A193">
        <v>10</v>
      </c>
      <c r="B193" t="b">
        <v>0</v>
      </c>
      <c r="C193" s="6">
        <v>46333.625</v>
      </c>
      <c r="D193" t="b">
        <v>0</v>
      </c>
      <c r="E193">
        <v>4</v>
      </c>
      <c r="F193">
        <v>5</v>
      </c>
      <c r="G193">
        <v>3</v>
      </c>
      <c r="H193" t="s">
        <v>1111</v>
      </c>
      <c r="I193" t="s">
        <v>1074</v>
      </c>
      <c r="J193" t="s">
        <v>1076</v>
      </c>
      <c r="K193" t="str">
        <f>tblTeamFixtures[[#This Row],[Team_name]]&amp;"_"&amp;tblTeamFixtures[[#This Row],[GW]]</f>
        <v>BRE_10</v>
      </c>
      <c r="L193">
        <f>IFERROR(INDEX(TEAM_ANALYSIS!$Y:$Y,MATCH($E193,TEAM_ANALYSIS!$A:$A,0)),1)</f>
        <v>1.088235294117647</v>
      </c>
      <c r="M193">
        <f>IFERROR(INDEX(TEAM_ANALYSIS!$Z:$Z,MATCH($E193,TEAM_ANALYSIS!$A:$A,0)),1)</f>
        <v>0.73529411764705888</v>
      </c>
      <c r="N193">
        <f>IFERROR(INDEX(TEAM_ANALYSIS!$Y:$Y,MATCH($F193,TEAM_ANALYSIS!$A:$A,0)),1)</f>
        <v>1.4411764705882353</v>
      </c>
      <c r="O193">
        <f>IFERROR(INDEX(TEAM_ANALYSIS!$Z:$Z,MATCH($F193,TEAM_ANALYSIS!$A:$A,0)),1)</f>
        <v>1.088235294117647</v>
      </c>
      <c r="P193">
        <f>MAX(0.05,AVERAGE(TEAM_ANALYSIS!$W$2:$W$21)*L193*O193)</f>
        <v>2.5165441176470584</v>
      </c>
      <c r="Q193">
        <f>MAX(0.05,AVERAGE(TEAM_ANALYSIS!$W$2:$W$21)*N193*M193)</f>
        <v>2.2518382352941178</v>
      </c>
      <c r="R193" s="23">
        <f>MAX(0.8,MIN(1.2,P193/AVERAGE(TEAM_ANALYSIS!$W$2:$W$21)))</f>
        <v>1.1842560553633217</v>
      </c>
      <c r="S193">
        <f>MAX(0.8,MIN(1.2,AVERAGE(TEAM_ANALYSIS!$W$2:$W$21)/Q193))</f>
        <v>0.94367346938775509</v>
      </c>
      <c r="T193">
        <f>AVERAGE(R193,S193)</f>
        <v>1.0639647623755384</v>
      </c>
    </row>
    <row r="194" spans="1:20" x14ac:dyDescent="0.25">
      <c r="A194">
        <v>10</v>
      </c>
      <c r="B194" t="b">
        <v>0</v>
      </c>
      <c r="C194" s="6">
        <v>46333.625</v>
      </c>
      <c r="D194" t="b">
        <v>0</v>
      </c>
      <c r="E194">
        <v>14</v>
      </c>
      <c r="F194">
        <v>8</v>
      </c>
      <c r="G194">
        <v>3</v>
      </c>
      <c r="H194" t="s">
        <v>1111</v>
      </c>
      <c r="I194" t="s">
        <v>1094</v>
      </c>
      <c r="J194" t="s">
        <v>1082</v>
      </c>
      <c r="K194" t="str">
        <f>tblTeamFixtures[[#This Row],[Team_name]]&amp;"_"&amp;tblTeamFixtures[[#This Row],[GW]]</f>
        <v>LIV_10</v>
      </c>
      <c r="L194">
        <f>IFERROR(INDEX(TEAM_ANALYSIS!$Y:$Y,MATCH($E194,TEAM_ANALYSIS!$A:$A,0)),1)</f>
        <v>1.2058823529411764</v>
      </c>
      <c r="M194">
        <f>IFERROR(INDEX(TEAM_ANALYSIS!$Z:$Z,MATCH($E194,TEAM_ANALYSIS!$A:$A,0)),1)</f>
        <v>0.97058823529411764</v>
      </c>
      <c r="N194">
        <f>IFERROR(INDEX(TEAM_ANALYSIS!$Y:$Y,MATCH($F194,TEAM_ANALYSIS!$A:$A,0)),1)</f>
        <v>0.97058823529411764</v>
      </c>
      <c r="O194">
        <f>IFERROR(INDEX(TEAM_ANALYSIS!$Z:$Z,MATCH($F194,TEAM_ANALYSIS!$A:$A,0)),1)</f>
        <v>1.4411764705882353</v>
      </c>
      <c r="P194">
        <f>MAX(0.05,AVERAGE(TEAM_ANALYSIS!$W$2:$W$21)*L194*O194)</f>
        <v>3.6930147058823528</v>
      </c>
      <c r="Q194">
        <f>MAX(0.05,AVERAGE(TEAM_ANALYSIS!$W$2:$W$21)*N194*M194)</f>
        <v>2.0018382352941178</v>
      </c>
      <c r="R194" s="23">
        <f>MAX(0.8,MIN(1.2,P194/AVERAGE(TEAM_ANALYSIS!$W$2:$W$21)))</f>
        <v>1.2</v>
      </c>
      <c r="S194">
        <f>MAX(0.8,MIN(1.2,AVERAGE(TEAM_ANALYSIS!$W$2:$W$21)/Q194))</f>
        <v>1.061524334251607</v>
      </c>
      <c r="T194">
        <f>AVERAGE(R194,S194)</f>
        <v>1.1307621671258035</v>
      </c>
    </row>
    <row r="195" spans="1:20" x14ac:dyDescent="0.25">
      <c r="A195">
        <v>10</v>
      </c>
      <c r="B195" t="b">
        <v>0</v>
      </c>
      <c r="C195" s="6">
        <v>46333.625</v>
      </c>
      <c r="D195" t="b">
        <v>0</v>
      </c>
      <c r="E195">
        <v>7</v>
      </c>
      <c r="F195">
        <v>9</v>
      </c>
      <c r="G195">
        <v>3</v>
      </c>
      <c r="H195" t="s">
        <v>1111</v>
      </c>
      <c r="I195" t="s">
        <v>1080</v>
      </c>
      <c r="J195" t="s">
        <v>1084</v>
      </c>
      <c r="K195" t="str">
        <f>tblTeamFixtures[[#This Row],[Team_name]]&amp;"_"&amp;tblTeamFixtures[[#This Row],[GW]]</f>
        <v>COV_10</v>
      </c>
      <c r="L195">
        <f>IFERROR(INDEX(TEAM_ANALYSIS!$Y:$Y,MATCH($E195,TEAM_ANALYSIS!$A:$A,0)),1)</f>
        <v>0.5</v>
      </c>
      <c r="M195">
        <f>IFERROR(INDEX(TEAM_ANALYSIS!$Z:$Z,MATCH($E195,TEAM_ANALYSIS!$A:$A,0)),1)</f>
        <v>1.088235294117647</v>
      </c>
      <c r="N195">
        <f>IFERROR(INDEX(TEAM_ANALYSIS!$Y:$Y,MATCH($F195,TEAM_ANALYSIS!$A:$A,0)),1)</f>
        <v>1.088235294117647</v>
      </c>
      <c r="O195">
        <f>IFERROR(INDEX(TEAM_ANALYSIS!$Z:$Z,MATCH($F195,TEAM_ANALYSIS!$A:$A,0)),1)</f>
        <v>0.8529411764705882</v>
      </c>
      <c r="P195">
        <f>MAX(0.05,AVERAGE(TEAM_ANALYSIS!$W$2:$W$21)*L195*O195)</f>
        <v>0.90625</v>
      </c>
      <c r="Q195">
        <f>MAX(0.05,AVERAGE(TEAM_ANALYSIS!$W$2:$W$21)*N195*M195)</f>
        <v>2.5165441176470584</v>
      </c>
      <c r="R195" s="23">
        <f>MAX(0.8,MIN(1.2,P195/AVERAGE(TEAM_ANALYSIS!$W$2:$W$21)))</f>
        <v>0.8</v>
      </c>
      <c r="S195">
        <f>MAX(0.8,MIN(1.2,AVERAGE(TEAM_ANALYSIS!$W$2:$W$21)/Q195))</f>
        <v>0.84441197954711478</v>
      </c>
      <c r="T195">
        <f>AVERAGE(R195,S195)</f>
        <v>0.82220598977355741</v>
      </c>
    </row>
    <row r="196" spans="1:20" x14ac:dyDescent="0.25">
      <c r="A196">
        <v>10</v>
      </c>
      <c r="B196" t="b">
        <v>0</v>
      </c>
      <c r="C196" s="6">
        <v>46333.625</v>
      </c>
      <c r="D196" t="b">
        <v>0</v>
      </c>
      <c r="E196">
        <v>17</v>
      </c>
      <c r="F196">
        <v>10</v>
      </c>
      <c r="G196">
        <v>3</v>
      </c>
      <c r="H196" t="s">
        <v>1111</v>
      </c>
      <c r="I196" t="s">
        <v>1100</v>
      </c>
      <c r="J196" t="s">
        <v>1086</v>
      </c>
      <c r="K196" t="str">
        <f>tblTeamFixtures[[#This Row],[Team_name]]&amp;"_"&amp;tblTeamFixtures[[#This Row],[GW]]</f>
        <v>NEW_10</v>
      </c>
      <c r="L196">
        <f>IFERROR(INDEX(TEAM_ANALYSIS!$Y:$Y,MATCH($E196,TEAM_ANALYSIS!$A:$A,0)),1)</f>
        <v>1.2058823529411764</v>
      </c>
      <c r="M196">
        <f>IFERROR(INDEX(TEAM_ANALYSIS!$Z:$Z,MATCH($E196,TEAM_ANALYSIS!$A:$A,0)),1)</f>
        <v>0.97058823529411764</v>
      </c>
      <c r="N196">
        <f>IFERROR(INDEX(TEAM_ANALYSIS!$Y:$Y,MATCH($F196,TEAM_ANALYSIS!$A:$A,0)),1)</f>
        <v>0.97058823529411764</v>
      </c>
      <c r="O196">
        <f>IFERROR(INDEX(TEAM_ANALYSIS!$Z:$Z,MATCH($F196,TEAM_ANALYSIS!$A:$A,0)),1)</f>
        <v>1.3235294117647058</v>
      </c>
      <c r="P196">
        <f>MAX(0.05,AVERAGE(TEAM_ANALYSIS!$W$2:$W$21)*L196*O196)</f>
        <v>3.3915441176470589</v>
      </c>
      <c r="Q196">
        <f>MAX(0.05,AVERAGE(TEAM_ANALYSIS!$W$2:$W$21)*N196*M196)</f>
        <v>2.0018382352941178</v>
      </c>
      <c r="R196" s="23">
        <f>MAX(0.8,MIN(1.2,P196/AVERAGE(TEAM_ANALYSIS!$W$2:$W$21)))</f>
        <v>1.2</v>
      </c>
      <c r="S196">
        <f>MAX(0.8,MIN(1.2,AVERAGE(TEAM_ANALYSIS!$W$2:$W$21)/Q196))</f>
        <v>1.061524334251607</v>
      </c>
      <c r="T196">
        <f>AVERAGE(R196,S196)</f>
        <v>1.1307621671258035</v>
      </c>
    </row>
    <row r="197" spans="1:20" x14ac:dyDescent="0.25">
      <c r="A197">
        <v>10</v>
      </c>
      <c r="B197" t="b">
        <v>0</v>
      </c>
      <c r="C197" s="6">
        <v>46333.625</v>
      </c>
      <c r="D197" t="b">
        <v>0</v>
      </c>
      <c r="E197">
        <v>3</v>
      </c>
      <c r="F197">
        <v>12</v>
      </c>
      <c r="G197">
        <v>2</v>
      </c>
      <c r="H197" t="s">
        <v>1111</v>
      </c>
      <c r="I197" t="s">
        <v>1072</v>
      </c>
      <c r="J197" t="s">
        <v>1090</v>
      </c>
      <c r="K197" t="str">
        <f>tblTeamFixtures[[#This Row],[Team_name]]&amp;"_"&amp;tblTeamFixtures[[#This Row],[GW]]</f>
        <v>BOU_10</v>
      </c>
      <c r="L197">
        <f>IFERROR(INDEX(TEAM_ANALYSIS!$Y:$Y,MATCH($E197,TEAM_ANALYSIS!$A:$A,0)),1)</f>
        <v>0.97058823529411764</v>
      </c>
      <c r="M197">
        <f>IFERROR(INDEX(TEAM_ANALYSIS!$Z:$Z,MATCH($E197,TEAM_ANALYSIS!$A:$A,0)),1)</f>
        <v>1.088235294117647</v>
      </c>
      <c r="N197">
        <f>IFERROR(INDEX(TEAM_ANALYSIS!$Y:$Y,MATCH($F197,TEAM_ANALYSIS!$A:$A,0)),1)</f>
        <v>0.97058823529411764</v>
      </c>
      <c r="O197">
        <f>IFERROR(INDEX(TEAM_ANALYSIS!$Z:$Z,MATCH($F197,TEAM_ANALYSIS!$A:$A,0)),1)</f>
        <v>1.4411764705882353</v>
      </c>
      <c r="P197">
        <f>MAX(0.05,AVERAGE(TEAM_ANALYSIS!$W$2:$W$21)*L197*O197)</f>
        <v>2.9724264705882351</v>
      </c>
      <c r="Q197">
        <f>MAX(0.05,AVERAGE(TEAM_ANALYSIS!$W$2:$W$21)*N197*M197)</f>
        <v>2.2444852941176467</v>
      </c>
      <c r="R197" s="23">
        <f>MAX(0.8,MIN(1.2,P197/AVERAGE(TEAM_ANALYSIS!$W$2:$W$21)))</f>
        <v>1.2</v>
      </c>
      <c r="S197">
        <f>MAX(0.8,MIN(1.2,AVERAGE(TEAM_ANALYSIS!$W$2:$W$21)/Q197))</f>
        <v>0.94676494676494694</v>
      </c>
      <c r="T197">
        <f>AVERAGE(R197,S197)</f>
        <v>1.0733824733824735</v>
      </c>
    </row>
    <row r="198" spans="1:20" x14ac:dyDescent="0.25">
      <c r="A198">
        <v>10</v>
      </c>
      <c r="B198" t="b">
        <v>0</v>
      </c>
      <c r="C198" s="6">
        <v>46333.625</v>
      </c>
      <c r="D198" t="b">
        <v>0</v>
      </c>
      <c r="E198">
        <v>19</v>
      </c>
      <c r="F198">
        <v>13</v>
      </c>
      <c r="G198">
        <v>3</v>
      </c>
      <c r="H198" t="s">
        <v>1111</v>
      </c>
      <c r="I198" t="s">
        <v>1104</v>
      </c>
      <c r="J198" t="s">
        <v>1092</v>
      </c>
      <c r="K198" t="str">
        <f>tblTeamFixtures[[#This Row],[Team_name]]&amp;"_"&amp;tblTeamFixtures[[#This Row],[GW]]</f>
        <v>TOT_10</v>
      </c>
      <c r="L198">
        <f>IFERROR(INDEX(TEAM_ANALYSIS!$Y:$Y,MATCH($E198,TEAM_ANALYSIS!$A:$A,0)),1)</f>
        <v>0.5</v>
      </c>
      <c r="M198">
        <f>IFERROR(INDEX(TEAM_ANALYSIS!$Z:$Z,MATCH($E198,TEAM_ANALYSIS!$A:$A,0)),1)</f>
        <v>1.088235294117647</v>
      </c>
      <c r="N198">
        <f>IFERROR(INDEX(TEAM_ANALYSIS!$Y:$Y,MATCH($F198,TEAM_ANALYSIS!$A:$A,0)),1)</f>
        <v>0.8529411764705882</v>
      </c>
      <c r="O198">
        <f>IFERROR(INDEX(TEAM_ANALYSIS!$Z:$Z,MATCH($F198,TEAM_ANALYSIS!$A:$A,0)),1)</f>
        <v>0.73529411764705888</v>
      </c>
      <c r="P198">
        <f>MAX(0.05,AVERAGE(TEAM_ANALYSIS!$W$2:$W$21)*L198*O198)</f>
        <v>0.78125</v>
      </c>
      <c r="Q198">
        <f>MAX(0.05,AVERAGE(TEAM_ANALYSIS!$W$2:$W$21)*N198*M198)</f>
        <v>1.9724264705882351</v>
      </c>
      <c r="R198" s="23">
        <f>MAX(0.8,MIN(1.2,P198/AVERAGE(TEAM_ANALYSIS!$W$2:$W$21)))</f>
        <v>0.8</v>
      </c>
      <c r="S198">
        <f>MAX(0.8,MIN(1.2,AVERAGE(TEAM_ANALYSIS!$W$2:$W$21)/Q198))</f>
        <v>1.07735321528425</v>
      </c>
      <c r="T198">
        <f>AVERAGE(R198,S198)</f>
        <v>0.93867660764212502</v>
      </c>
    </row>
    <row r="199" spans="1:20" x14ac:dyDescent="0.25">
      <c r="A199">
        <v>10</v>
      </c>
      <c r="B199" t="b">
        <v>0</v>
      </c>
      <c r="C199" s="6">
        <v>46333.625</v>
      </c>
      <c r="D199" t="b">
        <v>0</v>
      </c>
      <c r="E199">
        <v>2</v>
      </c>
      <c r="F199">
        <v>16</v>
      </c>
      <c r="G199">
        <v>4</v>
      </c>
      <c r="H199" t="s">
        <v>1111</v>
      </c>
      <c r="I199" t="s">
        <v>1070</v>
      </c>
      <c r="J199" t="s">
        <v>1098</v>
      </c>
      <c r="K199" t="str">
        <f>tblTeamFixtures[[#This Row],[Team_name]]&amp;"_"&amp;tblTeamFixtures[[#This Row],[GW]]</f>
        <v>AVL_10</v>
      </c>
      <c r="L199">
        <f>IFERROR(INDEX(TEAM_ANALYSIS!$Y:$Y,MATCH($E199,TEAM_ANALYSIS!$A:$A,0)),1)</f>
        <v>0.5</v>
      </c>
      <c r="M199">
        <f>IFERROR(INDEX(TEAM_ANALYSIS!$Z:$Z,MATCH($E199,TEAM_ANALYSIS!$A:$A,0)),1)</f>
        <v>1.088235294117647</v>
      </c>
      <c r="N199">
        <f>IFERROR(INDEX(TEAM_ANALYSIS!$Y:$Y,MATCH($F199,TEAM_ANALYSIS!$A:$A,0)),1)</f>
        <v>1.3235294117647058</v>
      </c>
      <c r="O199">
        <f>IFERROR(INDEX(TEAM_ANALYSIS!$Z:$Z,MATCH($F199,TEAM_ANALYSIS!$A:$A,0)),1)</f>
        <v>1.2058823529411764</v>
      </c>
      <c r="P199">
        <f>MAX(0.05,AVERAGE(TEAM_ANALYSIS!$W$2:$W$21)*L199*O199)</f>
        <v>1.28125</v>
      </c>
      <c r="Q199">
        <f>MAX(0.05,AVERAGE(TEAM_ANALYSIS!$W$2:$W$21)*N199*M199)</f>
        <v>3.0606617647058822</v>
      </c>
      <c r="R199" s="23">
        <f>MAX(0.8,MIN(1.2,P199/AVERAGE(TEAM_ANALYSIS!$W$2:$W$21)))</f>
        <v>0.8</v>
      </c>
      <c r="S199">
        <f>MAX(0.8,MIN(1.2,AVERAGE(TEAM_ANALYSIS!$W$2:$W$21)/Q199))</f>
        <v>0.8</v>
      </c>
      <c r="T199">
        <f>AVERAGE(R199,S199)</f>
        <v>0.8</v>
      </c>
    </row>
    <row r="200" spans="1:20" x14ac:dyDescent="0.25">
      <c r="A200">
        <v>10</v>
      </c>
      <c r="B200" t="b">
        <v>0</v>
      </c>
      <c r="C200" s="6">
        <v>46333.625</v>
      </c>
      <c r="D200" t="b">
        <v>0</v>
      </c>
      <c r="E200">
        <v>15</v>
      </c>
      <c r="F200">
        <v>18</v>
      </c>
      <c r="G200">
        <v>3</v>
      </c>
      <c r="H200" t="s">
        <v>1111</v>
      </c>
      <c r="I200" t="s">
        <v>1096</v>
      </c>
      <c r="J200" t="s">
        <v>1102</v>
      </c>
      <c r="K200" t="str">
        <f>tblTeamFixtures[[#This Row],[Team_name]]&amp;"_"&amp;tblTeamFixtures[[#This Row],[GW]]</f>
        <v>MCI_10</v>
      </c>
      <c r="L200">
        <f>IFERROR(INDEX(TEAM_ANALYSIS!$Y:$Y,MATCH($E200,TEAM_ANALYSIS!$A:$A,0)),1)</f>
        <v>1.3235294117647058</v>
      </c>
      <c r="M200">
        <f>IFERROR(INDEX(TEAM_ANALYSIS!$Z:$Z,MATCH($E200,TEAM_ANALYSIS!$A:$A,0)),1)</f>
        <v>0.73529411764705888</v>
      </c>
      <c r="N200">
        <f>IFERROR(INDEX(TEAM_ANALYSIS!$Y:$Y,MATCH($F200,TEAM_ANALYSIS!$A:$A,0)),1)</f>
        <v>0.73529411764705888</v>
      </c>
      <c r="O200">
        <f>IFERROR(INDEX(TEAM_ANALYSIS!$Z:$Z,MATCH($F200,TEAM_ANALYSIS!$A:$A,0)),1)</f>
        <v>0.8529411764705882</v>
      </c>
      <c r="P200">
        <f>MAX(0.05,AVERAGE(TEAM_ANALYSIS!$W$2:$W$21)*L200*O200)</f>
        <v>2.3988970588235294</v>
      </c>
      <c r="Q200">
        <f>MAX(0.05,AVERAGE(TEAM_ANALYSIS!$W$2:$W$21)*N200*M200)</f>
        <v>1.1488970588235294</v>
      </c>
      <c r="R200" s="23">
        <f>MAX(0.8,MIN(1.2,P200/AVERAGE(TEAM_ANALYSIS!$W$2:$W$21)))</f>
        <v>1.1288927335640138</v>
      </c>
      <c r="S200">
        <f>MAX(0.8,MIN(1.2,AVERAGE(TEAM_ANALYSIS!$W$2:$W$21)/Q200))</f>
        <v>1.2</v>
      </c>
      <c r="T200">
        <f>AVERAGE(R200,S200)</f>
        <v>1.1644463667820069</v>
      </c>
    </row>
    <row r="201" spans="1:20" x14ac:dyDescent="0.25">
      <c r="A201">
        <v>10</v>
      </c>
      <c r="B201" t="b">
        <v>0</v>
      </c>
      <c r="C201" s="6">
        <v>46333.625</v>
      </c>
      <c r="D201" t="b">
        <v>0</v>
      </c>
      <c r="E201">
        <v>6</v>
      </c>
      <c r="F201">
        <v>20</v>
      </c>
      <c r="G201">
        <v>3</v>
      </c>
      <c r="H201" t="s">
        <v>1111</v>
      </c>
      <c r="I201" t="s">
        <v>1078</v>
      </c>
      <c r="J201" t="s">
        <v>1106</v>
      </c>
      <c r="K201" t="str">
        <f>tblTeamFixtures[[#This Row],[Team_name]]&amp;"_"&amp;tblTeamFixtures[[#This Row],[GW]]</f>
        <v>CHE_10</v>
      </c>
      <c r="L201">
        <f>IFERROR(INDEX(TEAM_ANALYSIS!$Y:$Y,MATCH($E201,TEAM_ANALYSIS!$A:$A,0)),1)</f>
        <v>1.4411764705882353</v>
      </c>
      <c r="M201">
        <f>IFERROR(INDEX(TEAM_ANALYSIS!$Z:$Z,MATCH($E201,TEAM_ANALYSIS!$A:$A,0)),1)</f>
        <v>1.3235294117647058</v>
      </c>
      <c r="N201">
        <f>IFERROR(INDEX(TEAM_ANALYSIS!$Y:$Y,MATCH($F201,TEAM_ANALYSIS!$A:$A,0)),1)</f>
        <v>0.8529411764705882</v>
      </c>
      <c r="O201">
        <f>IFERROR(INDEX(TEAM_ANALYSIS!$Z:$Z,MATCH($F201,TEAM_ANALYSIS!$A:$A,0)),1)</f>
        <v>0.8529411764705882</v>
      </c>
      <c r="P201">
        <f>MAX(0.05,AVERAGE(TEAM_ANALYSIS!$W$2:$W$21)*L201*O201)</f>
        <v>2.6121323529411762</v>
      </c>
      <c r="Q201">
        <f>MAX(0.05,AVERAGE(TEAM_ANALYSIS!$W$2:$W$21)*N201*M201)</f>
        <v>2.3988970588235294</v>
      </c>
      <c r="R201" s="23">
        <f>MAX(0.8,MIN(1.2,P201/AVERAGE(TEAM_ANALYSIS!$W$2:$W$21)))</f>
        <v>1.2</v>
      </c>
      <c r="S201">
        <f>MAX(0.8,MIN(1.2,AVERAGE(TEAM_ANALYSIS!$W$2:$W$21)/Q201))</f>
        <v>0.885823754789272</v>
      </c>
      <c r="T201">
        <f>AVERAGE(R201,S201)</f>
        <v>1.042911877394636</v>
      </c>
    </row>
    <row r="202" spans="1:20" x14ac:dyDescent="0.25">
      <c r="A202">
        <v>11</v>
      </c>
      <c r="B202" t="b">
        <v>0</v>
      </c>
      <c r="C202" s="6">
        <v>46347.625</v>
      </c>
      <c r="D202" t="b">
        <v>0</v>
      </c>
      <c r="E202">
        <v>2</v>
      </c>
      <c r="F202">
        <v>20</v>
      </c>
      <c r="G202">
        <v>2</v>
      </c>
      <c r="H202" t="s">
        <v>1110</v>
      </c>
      <c r="I202" t="s">
        <v>1070</v>
      </c>
      <c r="J202" t="s">
        <v>1106</v>
      </c>
      <c r="K202" t="str">
        <f>tblTeamFixtures[[#This Row],[Team_name]]&amp;"_"&amp;tblTeamFixtures[[#This Row],[GW]]</f>
        <v>AVL_11</v>
      </c>
      <c r="L202">
        <f>IFERROR(INDEX(TEAM_ANALYSIS!$Y:$Y,MATCH($E202,TEAM_ANALYSIS!$A:$A,0)),1)</f>
        <v>0.5</v>
      </c>
      <c r="M202">
        <f>IFERROR(INDEX(TEAM_ANALYSIS!$Z:$Z,MATCH($E202,TEAM_ANALYSIS!$A:$A,0)),1)</f>
        <v>1.088235294117647</v>
      </c>
      <c r="N202">
        <f>IFERROR(INDEX(TEAM_ANALYSIS!$Y:$Y,MATCH($F202,TEAM_ANALYSIS!$A:$A,0)),1)</f>
        <v>0.8529411764705882</v>
      </c>
      <c r="O202">
        <f>IFERROR(INDEX(TEAM_ANALYSIS!$Z:$Z,MATCH($F202,TEAM_ANALYSIS!$A:$A,0)),1)</f>
        <v>0.8529411764705882</v>
      </c>
      <c r="P202">
        <f>MAX(0.05,AVERAGE(TEAM_ANALYSIS!$W$2:$W$21)*L202*O202)</f>
        <v>0.90625</v>
      </c>
      <c r="Q202">
        <f>MAX(0.05,AVERAGE(TEAM_ANALYSIS!$W$2:$W$21)*N202*M202)</f>
        <v>1.9724264705882351</v>
      </c>
      <c r="R202" s="23">
        <f>MAX(0.8,MIN(1.2,P202/AVERAGE(TEAM_ANALYSIS!$W$2:$W$21)))</f>
        <v>0.8</v>
      </c>
      <c r="S202">
        <f>MAX(0.8,MIN(1.2,AVERAGE(TEAM_ANALYSIS!$W$2:$W$21)/Q202))</f>
        <v>1.07735321528425</v>
      </c>
      <c r="T202">
        <f>AVERAGE(R202,S202)</f>
        <v>0.93867660764212502</v>
      </c>
    </row>
    <row r="203" spans="1:20" x14ac:dyDescent="0.25">
      <c r="A203">
        <v>11</v>
      </c>
      <c r="B203" t="b">
        <v>0</v>
      </c>
      <c r="C203" s="6">
        <v>46347.625</v>
      </c>
      <c r="D203" t="b">
        <v>0</v>
      </c>
      <c r="E203">
        <v>3</v>
      </c>
      <c r="F203">
        <v>18</v>
      </c>
      <c r="G203">
        <v>3</v>
      </c>
      <c r="H203" t="s">
        <v>1110</v>
      </c>
      <c r="I203" t="s">
        <v>1072</v>
      </c>
      <c r="J203" t="s">
        <v>1102</v>
      </c>
      <c r="K203" t="str">
        <f>tblTeamFixtures[[#This Row],[Team_name]]&amp;"_"&amp;tblTeamFixtures[[#This Row],[GW]]</f>
        <v>BOU_11</v>
      </c>
      <c r="L203">
        <f>IFERROR(INDEX(TEAM_ANALYSIS!$Y:$Y,MATCH($E203,TEAM_ANALYSIS!$A:$A,0)),1)</f>
        <v>0.97058823529411764</v>
      </c>
      <c r="M203">
        <f>IFERROR(INDEX(TEAM_ANALYSIS!$Z:$Z,MATCH($E203,TEAM_ANALYSIS!$A:$A,0)),1)</f>
        <v>1.088235294117647</v>
      </c>
      <c r="N203">
        <f>IFERROR(INDEX(TEAM_ANALYSIS!$Y:$Y,MATCH($F203,TEAM_ANALYSIS!$A:$A,0)),1)</f>
        <v>0.73529411764705888</v>
      </c>
      <c r="O203">
        <f>IFERROR(INDEX(TEAM_ANALYSIS!$Z:$Z,MATCH($F203,TEAM_ANALYSIS!$A:$A,0)),1)</f>
        <v>0.8529411764705882</v>
      </c>
      <c r="P203">
        <f>MAX(0.05,AVERAGE(TEAM_ANALYSIS!$W$2:$W$21)*L203*O203)</f>
        <v>1.7591911764705881</v>
      </c>
      <c r="Q203">
        <f>MAX(0.05,AVERAGE(TEAM_ANALYSIS!$W$2:$W$21)*N203*M203)</f>
        <v>1.7003676470588234</v>
      </c>
      <c r="R203" s="23">
        <f>MAX(0.8,MIN(1.2,P203/AVERAGE(TEAM_ANALYSIS!$W$2:$W$21)))</f>
        <v>0.82785467128027679</v>
      </c>
      <c r="S203">
        <f>MAX(0.8,MIN(1.2,AVERAGE(TEAM_ANALYSIS!$W$2:$W$21)/Q203))</f>
        <v>1.2</v>
      </c>
      <c r="T203">
        <f>AVERAGE(R203,S203)</f>
        <v>1.0139273356401384</v>
      </c>
    </row>
    <row r="204" spans="1:20" x14ac:dyDescent="0.25">
      <c r="A204">
        <v>11</v>
      </c>
      <c r="B204" t="b">
        <v>0</v>
      </c>
      <c r="C204" s="6">
        <v>46347.625</v>
      </c>
      <c r="D204" t="b">
        <v>0</v>
      </c>
      <c r="E204">
        <v>4</v>
      </c>
      <c r="F204">
        <v>9</v>
      </c>
      <c r="G204">
        <v>3</v>
      </c>
      <c r="H204" t="s">
        <v>1110</v>
      </c>
      <c r="I204" t="s">
        <v>1074</v>
      </c>
      <c r="J204" t="s">
        <v>1084</v>
      </c>
      <c r="K204" t="str">
        <f>tblTeamFixtures[[#This Row],[Team_name]]&amp;"_"&amp;tblTeamFixtures[[#This Row],[GW]]</f>
        <v>BRE_11</v>
      </c>
      <c r="L204">
        <f>IFERROR(INDEX(TEAM_ANALYSIS!$Y:$Y,MATCH($E204,TEAM_ANALYSIS!$A:$A,0)),1)</f>
        <v>1.088235294117647</v>
      </c>
      <c r="M204">
        <f>IFERROR(INDEX(TEAM_ANALYSIS!$Z:$Z,MATCH($E204,TEAM_ANALYSIS!$A:$A,0)),1)</f>
        <v>0.73529411764705888</v>
      </c>
      <c r="N204">
        <f>IFERROR(INDEX(TEAM_ANALYSIS!$Y:$Y,MATCH($F204,TEAM_ANALYSIS!$A:$A,0)),1)</f>
        <v>1.088235294117647</v>
      </c>
      <c r="O204">
        <f>IFERROR(INDEX(TEAM_ANALYSIS!$Z:$Z,MATCH($F204,TEAM_ANALYSIS!$A:$A,0)),1)</f>
        <v>0.8529411764705882</v>
      </c>
      <c r="P204">
        <f>MAX(0.05,AVERAGE(TEAM_ANALYSIS!$W$2:$W$21)*L204*O204)</f>
        <v>1.9724264705882353</v>
      </c>
      <c r="Q204">
        <f>MAX(0.05,AVERAGE(TEAM_ANALYSIS!$W$2:$W$21)*N204*M204)</f>
        <v>1.7003676470588236</v>
      </c>
      <c r="R204" s="23">
        <f>MAX(0.8,MIN(1.2,P204/AVERAGE(TEAM_ANALYSIS!$W$2:$W$21)))</f>
        <v>0.92820069204152245</v>
      </c>
      <c r="S204">
        <f>MAX(0.8,MIN(1.2,AVERAGE(TEAM_ANALYSIS!$W$2:$W$21)/Q204))</f>
        <v>1.2</v>
      </c>
      <c r="T204">
        <f>AVERAGE(R204,S204)</f>
        <v>1.0641003460207612</v>
      </c>
    </row>
    <row r="205" spans="1:20" x14ac:dyDescent="0.25">
      <c r="A205">
        <v>11</v>
      </c>
      <c r="B205" t="b">
        <v>0</v>
      </c>
      <c r="C205" s="6">
        <v>46347.625</v>
      </c>
      <c r="D205" t="b">
        <v>0</v>
      </c>
      <c r="E205">
        <v>6</v>
      </c>
      <c r="F205">
        <v>13</v>
      </c>
      <c r="G205">
        <v>2</v>
      </c>
      <c r="H205" t="s">
        <v>1110</v>
      </c>
      <c r="I205" t="s">
        <v>1078</v>
      </c>
      <c r="J205" t="s">
        <v>1092</v>
      </c>
      <c r="K205" t="str">
        <f>tblTeamFixtures[[#This Row],[Team_name]]&amp;"_"&amp;tblTeamFixtures[[#This Row],[GW]]</f>
        <v>CHE_11</v>
      </c>
      <c r="L205">
        <f>IFERROR(INDEX(TEAM_ANALYSIS!$Y:$Y,MATCH($E205,TEAM_ANALYSIS!$A:$A,0)),1)</f>
        <v>1.4411764705882353</v>
      </c>
      <c r="M205">
        <f>IFERROR(INDEX(TEAM_ANALYSIS!$Z:$Z,MATCH($E205,TEAM_ANALYSIS!$A:$A,0)),1)</f>
        <v>1.3235294117647058</v>
      </c>
      <c r="N205">
        <f>IFERROR(INDEX(TEAM_ANALYSIS!$Y:$Y,MATCH($F205,TEAM_ANALYSIS!$A:$A,0)),1)</f>
        <v>0.8529411764705882</v>
      </c>
      <c r="O205">
        <f>IFERROR(INDEX(TEAM_ANALYSIS!$Z:$Z,MATCH($F205,TEAM_ANALYSIS!$A:$A,0)),1)</f>
        <v>0.73529411764705888</v>
      </c>
      <c r="P205">
        <f>MAX(0.05,AVERAGE(TEAM_ANALYSIS!$W$2:$W$21)*L205*O205)</f>
        <v>2.2518382352941178</v>
      </c>
      <c r="Q205">
        <f>MAX(0.05,AVERAGE(TEAM_ANALYSIS!$W$2:$W$21)*N205*M205)</f>
        <v>2.3988970588235294</v>
      </c>
      <c r="R205" s="23">
        <f>MAX(0.8,MIN(1.2,P205/AVERAGE(TEAM_ANALYSIS!$W$2:$W$21)))</f>
        <v>1.0596885813148789</v>
      </c>
      <c r="S205">
        <f>MAX(0.8,MIN(1.2,AVERAGE(TEAM_ANALYSIS!$W$2:$W$21)/Q205))</f>
        <v>0.885823754789272</v>
      </c>
      <c r="T205">
        <f>AVERAGE(R205,S205)</f>
        <v>0.97275616805207543</v>
      </c>
    </row>
    <row r="206" spans="1:20" x14ac:dyDescent="0.25">
      <c r="A206">
        <v>11</v>
      </c>
      <c r="B206" t="b">
        <v>0</v>
      </c>
      <c r="C206" s="6">
        <v>46347.625</v>
      </c>
      <c r="D206" t="b">
        <v>0</v>
      </c>
      <c r="E206">
        <v>7</v>
      </c>
      <c r="F206">
        <v>8</v>
      </c>
      <c r="G206">
        <v>3</v>
      </c>
      <c r="H206" t="s">
        <v>1110</v>
      </c>
      <c r="I206" t="s">
        <v>1080</v>
      </c>
      <c r="J206" t="s">
        <v>1082</v>
      </c>
      <c r="K206" t="str">
        <f>tblTeamFixtures[[#This Row],[Team_name]]&amp;"_"&amp;tblTeamFixtures[[#This Row],[GW]]</f>
        <v>COV_11</v>
      </c>
      <c r="L206">
        <f>IFERROR(INDEX(TEAM_ANALYSIS!$Y:$Y,MATCH($E206,TEAM_ANALYSIS!$A:$A,0)),1)</f>
        <v>0.5</v>
      </c>
      <c r="M206">
        <f>IFERROR(INDEX(TEAM_ANALYSIS!$Z:$Z,MATCH($E206,TEAM_ANALYSIS!$A:$A,0)),1)</f>
        <v>1.088235294117647</v>
      </c>
      <c r="N206">
        <f>IFERROR(INDEX(TEAM_ANALYSIS!$Y:$Y,MATCH($F206,TEAM_ANALYSIS!$A:$A,0)),1)</f>
        <v>0.97058823529411764</v>
      </c>
      <c r="O206">
        <f>IFERROR(INDEX(TEAM_ANALYSIS!$Z:$Z,MATCH($F206,TEAM_ANALYSIS!$A:$A,0)),1)</f>
        <v>1.4411764705882353</v>
      </c>
      <c r="P206">
        <f>MAX(0.05,AVERAGE(TEAM_ANALYSIS!$W$2:$W$21)*L206*O206)</f>
        <v>1.53125</v>
      </c>
      <c r="Q206">
        <f>MAX(0.05,AVERAGE(TEAM_ANALYSIS!$W$2:$W$21)*N206*M206)</f>
        <v>2.2444852941176467</v>
      </c>
      <c r="R206" s="23">
        <f>MAX(0.8,MIN(1.2,P206/AVERAGE(TEAM_ANALYSIS!$W$2:$W$21)))</f>
        <v>0.8</v>
      </c>
      <c r="S206">
        <f>MAX(0.8,MIN(1.2,AVERAGE(TEAM_ANALYSIS!$W$2:$W$21)/Q206))</f>
        <v>0.94676494676494694</v>
      </c>
      <c r="T206">
        <f>AVERAGE(R206,S206)</f>
        <v>0.87338247338247355</v>
      </c>
    </row>
    <row r="207" spans="1:20" x14ac:dyDescent="0.25">
      <c r="A207">
        <v>11</v>
      </c>
      <c r="B207" t="b">
        <v>0</v>
      </c>
      <c r="C207" s="6">
        <v>46347.625</v>
      </c>
      <c r="D207" t="b">
        <v>0</v>
      </c>
      <c r="E207">
        <v>11</v>
      </c>
      <c r="F207">
        <v>5</v>
      </c>
      <c r="G207">
        <v>2</v>
      </c>
      <c r="H207" t="s">
        <v>1110</v>
      </c>
      <c r="I207" t="s">
        <v>1088</v>
      </c>
      <c r="J207" t="s">
        <v>1076</v>
      </c>
      <c r="K207" t="str">
        <f>tblTeamFixtures[[#This Row],[Team_name]]&amp;"_"&amp;tblTeamFixtures[[#This Row],[GW]]</f>
        <v>HUL_11</v>
      </c>
      <c r="L207">
        <f>IFERROR(INDEX(TEAM_ANALYSIS!$Y:$Y,MATCH($E207,TEAM_ANALYSIS!$A:$A,0)),1)</f>
        <v>0.8529411764705882</v>
      </c>
      <c r="M207">
        <f>IFERROR(INDEX(TEAM_ANALYSIS!$Z:$Z,MATCH($E207,TEAM_ANALYSIS!$A:$A,0)),1)</f>
        <v>0.5</v>
      </c>
      <c r="N207">
        <f>IFERROR(INDEX(TEAM_ANALYSIS!$Y:$Y,MATCH($F207,TEAM_ANALYSIS!$A:$A,0)),1)</f>
        <v>1.4411764705882353</v>
      </c>
      <c r="O207">
        <f>IFERROR(INDEX(TEAM_ANALYSIS!$Z:$Z,MATCH($F207,TEAM_ANALYSIS!$A:$A,0)),1)</f>
        <v>1.088235294117647</v>
      </c>
      <c r="P207">
        <f>MAX(0.05,AVERAGE(TEAM_ANALYSIS!$W$2:$W$21)*L207*O207)</f>
        <v>1.9724264705882351</v>
      </c>
      <c r="Q207">
        <f>MAX(0.05,AVERAGE(TEAM_ANALYSIS!$W$2:$W$21)*N207*M207)</f>
        <v>1.53125</v>
      </c>
      <c r="R207" s="23">
        <f>MAX(0.8,MIN(1.2,P207/AVERAGE(TEAM_ANALYSIS!$W$2:$W$21)))</f>
        <v>0.92820069204152233</v>
      </c>
      <c r="S207">
        <f>MAX(0.8,MIN(1.2,AVERAGE(TEAM_ANALYSIS!$W$2:$W$21)/Q207))</f>
        <v>1.2</v>
      </c>
      <c r="T207">
        <f>AVERAGE(R207,S207)</f>
        <v>1.0641003460207612</v>
      </c>
    </row>
    <row r="208" spans="1:20" x14ac:dyDescent="0.25">
      <c r="A208">
        <v>11</v>
      </c>
      <c r="B208" t="b">
        <v>0</v>
      </c>
      <c r="C208" s="6">
        <v>46347.625</v>
      </c>
      <c r="D208" t="b">
        <v>0</v>
      </c>
      <c r="E208">
        <v>14</v>
      </c>
      <c r="F208">
        <v>16</v>
      </c>
      <c r="G208">
        <v>4</v>
      </c>
      <c r="H208" t="s">
        <v>1110</v>
      </c>
      <c r="I208" t="s">
        <v>1094</v>
      </c>
      <c r="J208" t="s">
        <v>1098</v>
      </c>
      <c r="K208" t="str">
        <f>tblTeamFixtures[[#This Row],[Team_name]]&amp;"_"&amp;tblTeamFixtures[[#This Row],[GW]]</f>
        <v>LIV_11</v>
      </c>
      <c r="L208">
        <f>IFERROR(INDEX(TEAM_ANALYSIS!$Y:$Y,MATCH($E208,TEAM_ANALYSIS!$A:$A,0)),1)</f>
        <v>1.2058823529411764</v>
      </c>
      <c r="M208">
        <f>IFERROR(INDEX(TEAM_ANALYSIS!$Z:$Z,MATCH($E208,TEAM_ANALYSIS!$A:$A,0)),1)</f>
        <v>0.97058823529411764</v>
      </c>
      <c r="N208">
        <f>IFERROR(INDEX(TEAM_ANALYSIS!$Y:$Y,MATCH($F208,TEAM_ANALYSIS!$A:$A,0)),1)</f>
        <v>1.3235294117647058</v>
      </c>
      <c r="O208">
        <f>IFERROR(INDEX(TEAM_ANALYSIS!$Z:$Z,MATCH($F208,TEAM_ANALYSIS!$A:$A,0)),1)</f>
        <v>1.2058823529411764</v>
      </c>
      <c r="P208">
        <f>MAX(0.05,AVERAGE(TEAM_ANALYSIS!$W$2:$W$21)*L208*O208)</f>
        <v>3.0900735294117645</v>
      </c>
      <c r="Q208">
        <f>MAX(0.05,AVERAGE(TEAM_ANALYSIS!$W$2:$W$21)*N208*M208)</f>
        <v>2.7297794117647061</v>
      </c>
      <c r="R208" s="23">
        <f>MAX(0.8,MIN(1.2,P208/AVERAGE(TEAM_ANALYSIS!$W$2:$W$21)))</f>
        <v>1.2</v>
      </c>
      <c r="S208">
        <f>MAX(0.8,MIN(1.2,AVERAGE(TEAM_ANALYSIS!$W$2:$W$21)/Q208))</f>
        <v>0.8</v>
      </c>
      <c r="T208">
        <f>AVERAGE(R208,S208)</f>
        <v>1</v>
      </c>
    </row>
    <row r="209" spans="1:20" x14ac:dyDescent="0.25">
      <c r="A209">
        <v>11</v>
      </c>
      <c r="B209" t="b">
        <v>0</v>
      </c>
      <c r="C209" s="6">
        <v>46347.625</v>
      </c>
      <c r="D209" t="b">
        <v>0</v>
      </c>
      <c r="E209">
        <v>15</v>
      </c>
      <c r="F209">
        <v>10</v>
      </c>
      <c r="G209">
        <v>2</v>
      </c>
      <c r="H209" t="s">
        <v>1110</v>
      </c>
      <c r="I209" t="s">
        <v>1096</v>
      </c>
      <c r="J209" t="s">
        <v>1086</v>
      </c>
      <c r="K209" t="str">
        <f>tblTeamFixtures[[#This Row],[Team_name]]&amp;"_"&amp;tblTeamFixtures[[#This Row],[GW]]</f>
        <v>MCI_11</v>
      </c>
      <c r="L209">
        <f>IFERROR(INDEX(TEAM_ANALYSIS!$Y:$Y,MATCH($E209,TEAM_ANALYSIS!$A:$A,0)),1)</f>
        <v>1.3235294117647058</v>
      </c>
      <c r="M209">
        <f>IFERROR(INDEX(TEAM_ANALYSIS!$Z:$Z,MATCH($E209,TEAM_ANALYSIS!$A:$A,0)),1)</f>
        <v>0.73529411764705888</v>
      </c>
      <c r="N209">
        <f>IFERROR(INDEX(TEAM_ANALYSIS!$Y:$Y,MATCH($F209,TEAM_ANALYSIS!$A:$A,0)),1)</f>
        <v>0.97058823529411764</v>
      </c>
      <c r="O209">
        <f>IFERROR(INDEX(TEAM_ANALYSIS!$Z:$Z,MATCH($F209,TEAM_ANALYSIS!$A:$A,0)),1)</f>
        <v>1.3235294117647058</v>
      </c>
      <c r="P209">
        <f>MAX(0.05,AVERAGE(TEAM_ANALYSIS!$W$2:$W$21)*L209*O209)</f>
        <v>3.7224264705882351</v>
      </c>
      <c r="Q209">
        <f>MAX(0.05,AVERAGE(TEAM_ANALYSIS!$W$2:$W$21)*N209*M209)</f>
        <v>1.5165441176470589</v>
      </c>
      <c r="R209" s="23">
        <f>MAX(0.8,MIN(1.2,P209/AVERAGE(TEAM_ANALYSIS!$W$2:$W$21)))</f>
        <v>1.2</v>
      </c>
      <c r="S209">
        <f>MAX(0.8,MIN(1.2,AVERAGE(TEAM_ANALYSIS!$W$2:$W$21)/Q209))</f>
        <v>1.2</v>
      </c>
      <c r="T209">
        <f>AVERAGE(R209,S209)</f>
        <v>1.2</v>
      </c>
    </row>
    <row r="210" spans="1:20" x14ac:dyDescent="0.25">
      <c r="A210">
        <v>11</v>
      </c>
      <c r="B210" t="b">
        <v>0</v>
      </c>
      <c r="C210" s="6">
        <v>46347.625</v>
      </c>
      <c r="D210" t="b">
        <v>0</v>
      </c>
      <c r="E210">
        <v>17</v>
      </c>
      <c r="F210">
        <v>1</v>
      </c>
      <c r="G210">
        <v>4</v>
      </c>
      <c r="H210" t="s">
        <v>1110</v>
      </c>
      <c r="I210" t="s">
        <v>1100</v>
      </c>
      <c r="J210" t="s">
        <v>1068</v>
      </c>
      <c r="K210" t="str">
        <f>tblTeamFixtures[[#This Row],[Team_name]]&amp;"_"&amp;tblTeamFixtures[[#This Row],[GW]]</f>
        <v>NEW_11</v>
      </c>
      <c r="L210">
        <f>IFERROR(INDEX(TEAM_ANALYSIS!$Y:$Y,MATCH($E210,TEAM_ANALYSIS!$A:$A,0)),1)</f>
        <v>1.2058823529411764</v>
      </c>
      <c r="M210">
        <f>IFERROR(INDEX(TEAM_ANALYSIS!$Z:$Z,MATCH($E210,TEAM_ANALYSIS!$A:$A,0)),1)</f>
        <v>0.97058823529411764</v>
      </c>
      <c r="N210">
        <f>IFERROR(INDEX(TEAM_ANALYSIS!$Y:$Y,MATCH($F210,TEAM_ANALYSIS!$A:$A,0)),1)</f>
        <v>1.2058823529411764</v>
      </c>
      <c r="O210">
        <f>IFERROR(INDEX(TEAM_ANALYSIS!$Z:$Z,MATCH($F210,TEAM_ANALYSIS!$A:$A,0)),1)</f>
        <v>0.61764705882352944</v>
      </c>
      <c r="P210">
        <f>MAX(0.05,AVERAGE(TEAM_ANALYSIS!$W$2:$W$21)*L210*O210)</f>
        <v>1.5827205882352942</v>
      </c>
      <c r="Q210">
        <f>MAX(0.05,AVERAGE(TEAM_ANALYSIS!$W$2:$W$21)*N210*M210)</f>
        <v>2.4871323529411766</v>
      </c>
      <c r="R210" s="23">
        <f>MAX(0.8,MIN(1.2,P210/AVERAGE(TEAM_ANALYSIS!$W$2:$W$21)))</f>
        <v>0.8</v>
      </c>
      <c r="S210">
        <f>MAX(0.8,MIN(1.2,AVERAGE(TEAM_ANALYSIS!$W$2:$W$21)/Q210))</f>
        <v>0.85439763488543974</v>
      </c>
      <c r="T210">
        <f>AVERAGE(R210,S210)</f>
        <v>0.82719881744271984</v>
      </c>
    </row>
    <row r="211" spans="1:20" x14ac:dyDescent="0.25">
      <c r="A211">
        <v>11</v>
      </c>
      <c r="B211" t="b">
        <v>0</v>
      </c>
      <c r="C211" s="6">
        <v>46347.625</v>
      </c>
      <c r="D211" t="b">
        <v>0</v>
      </c>
      <c r="E211">
        <v>19</v>
      </c>
      <c r="F211">
        <v>12</v>
      </c>
      <c r="G211">
        <v>2</v>
      </c>
      <c r="H211" t="s">
        <v>1110</v>
      </c>
      <c r="I211" t="s">
        <v>1104</v>
      </c>
      <c r="J211" t="s">
        <v>1090</v>
      </c>
      <c r="K211" t="str">
        <f>tblTeamFixtures[[#This Row],[Team_name]]&amp;"_"&amp;tblTeamFixtures[[#This Row],[GW]]</f>
        <v>TOT_11</v>
      </c>
      <c r="L211">
        <f>IFERROR(INDEX(TEAM_ANALYSIS!$Y:$Y,MATCH($E211,TEAM_ANALYSIS!$A:$A,0)),1)</f>
        <v>0.5</v>
      </c>
      <c r="M211">
        <f>IFERROR(INDEX(TEAM_ANALYSIS!$Z:$Z,MATCH($E211,TEAM_ANALYSIS!$A:$A,0)),1)</f>
        <v>1.088235294117647</v>
      </c>
      <c r="N211">
        <f>IFERROR(INDEX(TEAM_ANALYSIS!$Y:$Y,MATCH($F211,TEAM_ANALYSIS!$A:$A,0)),1)</f>
        <v>0.97058823529411764</v>
      </c>
      <c r="O211">
        <f>IFERROR(INDEX(TEAM_ANALYSIS!$Z:$Z,MATCH($F211,TEAM_ANALYSIS!$A:$A,0)),1)</f>
        <v>1.4411764705882353</v>
      </c>
      <c r="P211">
        <f>MAX(0.05,AVERAGE(TEAM_ANALYSIS!$W$2:$W$21)*L211*O211)</f>
        <v>1.53125</v>
      </c>
      <c r="Q211">
        <f>MAX(0.05,AVERAGE(TEAM_ANALYSIS!$W$2:$W$21)*N211*M211)</f>
        <v>2.2444852941176467</v>
      </c>
      <c r="R211" s="23">
        <f>MAX(0.8,MIN(1.2,P211/AVERAGE(TEAM_ANALYSIS!$W$2:$W$21)))</f>
        <v>0.8</v>
      </c>
      <c r="S211">
        <f>MAX(0.8,MIN(1.2,AVERAGE(TEAM_ANALYSIS!$W$2:$W$21)/Q211))</f>
        <v>0.94676494676494694</v>
      </c>
      <c r="T211">
        <f>AVERAGE(R211,S211)</f>
        <v>0.87338247338247355</v>
      </c>
    </row>
    <row r="212" spans="1:20" x14ac:dyDescent="0.25">
      <c r="A212">
        <v>11</v>
      </c>
      <c r="B212" t="b">
        <v>0</v>
      </c>
      <c r="C212" s="6">
        <v>46347.625</v>
      </c>
      <c r="D212" t="b">
        <v>0</v>
      </c>
      <c r="E212">
        <v>20</v>
      </c>
      <c r="F212">
        <v>2</v>
      </c>
      <c r="G212">
        <v>4</v>
      </c>
      <c r="H212" t="s">
        <v>1111</v>
      </c>
      <c r="I212" t="s">
        <v>1106</v>
      </c>
      <c r="J212" t="s">
        <v>1070</v>
      </c>
      <c r="K212" t="str">
        <f>tblTeamFixtures[[#This Row],[Team_name]]&amp;"_"&amp;tblTeamFixtures[[#This Row],[GW]]</f>
        <v>SUN_11</v>
      </c>
      <c r="L212">
        <f>IFERROR(INDEX(TEAM_ANALYSIS!$Y:$Y,MATCH($E212,TEAM_ANALYSIS!$A:$A,0)),1)</f>
        <v>0.8529411764705882</v>
      </c>
      <c r="M212">
        <f>IFERROR(INDEX(TEAM_ANALYSIS!$Z:$Z,MATCH($E212,TEAM_ANALYSIS!$A:$A,0)),1)</f>
        <v>0.8529411764705882</v>
      </c>
      <c r="N212">
        <f>IFERROR(INDEX(TEAM_ANALYSIS!$Y:$Y,MATCH($F212,TEAM_ANALYSIS!$A:$A,0)),1)</f>
        <v>0.5</v>
      </c>
      <c r="O212">
        <f>IFERROR(INDEX(TEAM_ANALYSIS!$Z:$Z,MATCH($F212,TEAM_ANALYSIS!$A:$A,0)),1)</f>
        <v>1.088235294117647</v>
      </c>
      <c r="P212">
        <f>MAX(0.05,AVERAGE(TEAM_ANALYSIS!$W$2:$W$21)*L212*O212)</f>
        <v>1.9724264705882351</v>
      </c>
      <c r="Q212">
        <f>MAX(0.05,AVERAGE(TEAM_ANALYSIS!$W$2:$W$21)*N212*M212)</f>
        <v>0.90625</v>
      </c>
      <c r="R212" s="23">
        <f>MAX(0.8,MIN(1.2,P212/AVERAGE(TEAM_ANALYSIS!$W$2:$W$21)))</f>
        <v>0.92820069204152233</v>
      </c>
      <c r="S212">
        <f>MAX(0.8,MIN(1.2,AVERAGE(TEAM_ANALYSIS!$W$2:$W$21)/Q212))</f>
        <v>1.2</v>
      </c>
      <c r="T212">
        <f>AVERAGE(R212,S212)</f>
        <v>1.0641003460207612</v>
      </c>
    </row>
    <row r="213" spans="1:20" x14ac:dyDescent="0.25">
      <c r="A213">
        <v>11</v>
      </c>
      <c r="B213" t="b">
        <v>0</v>
      </c>
      <c r="C213" s="6">
        <v>46347.625</v>
      </c>
      <c r="D213" t="b">
        <v>0</v>
      </c>
      <c r="E213">
        <v>18</v>
      </c>
      <c r="F213">
        <v>3</v>
      </c>
      <c r="G213">
        <v>3</v>
      </c>
      <c r="H213" t="s">
        <v>1111</v>
      </c>
      <c r="I213" t="s">
        <v>1102</v>
      </c>
      <c r="J213" t="s">
        <v>1072</v>
      </c>
      <c r="K213" t="str">
        <f>tblTeamFixtures[[#This Row],[Team_name]]&amp;"_"&amp;tblTeamFixtures[[#This Row],[GW]]</f>
        <v>NFO_11</v>
      </c>
      <c r="L213">
        <f>IFERROR(INDEX(TEAM_ANALYSIS!$Y:$Y,MATCH($E213,TEAM_ANALYSIS!$A:$A,0)),1)</f>
        <v>0.73529411764705888</v>
      </c>
      <c r="M213">
        <f>IFERROR(INDEX(TEAM_ANALYSIS!$Z:$Z,MATCH($E213,TEAM_ANALYSIS!$A:$A,0)),1)</f>
        <v>0.8529411764705882</v>
      </c>
      <c r="N213">
        <f>IFERROR(INDEX(TEAM_ANALYSIS!$Y:$Y,MATCH($F213,TEAM_ANALYSIS!$A:$A,0)),1)</f>
        <v>0.97058823529411764</v>
      </c>
      <c r="O213">
        <f>IFERROR(INDEX(TEAM_ANALYSIS!$Z:$Z,MATCH($F213,TEAM_ANALYSIS!$A:$A,0)),1)</f>
        <v>1.088235294117647</v>
      </c>
      <c r="P213">
        <f>MAX(0.05,AVERAGE(TEAM_ANALYSIS!$W$2:$W$21)*L213*O213)</f>
        <v>1.7003676470588234</v>
      </c>
      <c r="Q213">
        <f>MAX(0.05,AVERAGE(TEAM_ANALYSIS!$W$2:$W$21)*N213*M213)</f>
        <v>1.7591911764705881</v>
      </c>
      <c r="R213" s="23">
        <f>MAX(0.8,MIN(1.2,P213/AVERAGE(TEAM_ANALYSIS!$W$2:$W$21)))</f>
        <v>0.80017301038062272</v>
      </c>
      <c r="S213">
        <f>MAX(0.8,MIN(1.2,AVERAGE(TEAM_ANALYSIS!$W$2:$W$21)/Q213))</f>
        <v>1.2</v>
      </c>
      <c r="T213">
        <f>AVERAGE(R213,S213)</f>
        <v>1.0000865051903114</v>
      </c>
    </row>
    <row r="214" spans="1:20" x14ac:dyDescent="0.25">
      <c r="A214">
        <v>11</v>
      </c>
      <c r="B214" t="b">
        <v>0</v>
      </c>
      <c r="C214" s="6">
        <v>46347.625</v>
      </c>
      <c r="D214" t="b">
        <v>0</v>
      </c>
      <c r="E214">
        <v>9</v>
      </c>
      <c r="F214">
        <v>4</v>
      </c>
      <c r="G214">
        <v>3</v>
      </c>
      <c r="H214" t="s">
        <v>1111</v>
      </c>
      <c r="I214" t="s">
        <v>1084</v>
      </c>
      <c r="J214" t="s">
        <v>1074</v>
      </c>
      <c r="K214" t="str">
        <f>tblTeamFixtures[[#This Row],[Team_name]]&amp;"_"&amp;tblTeamFixtures[[#This Row],[GW]]</f>
        <v>EVE_11</v>
      </c>
      <c r="L214">
        <f>IFERROR(INDEX(TEAM_ANALYSIS!$Y:$Y,MATCH($E214,TEAM_ANALYSIS!$A:$A,0)),1)</f>
        <v>1.088235294117647</v>
      </c>
      <c r="M214">
        <f>IFERROR(INDEX(TEAM_ANALYSIS!$Z:$Z,MATCH($E214,TEAM_ANALYSIS!$A:$A,0)),1)</f>
        <v>0.8529411764705882</v>
      </c>
      <c r="N214">
        <f>IFERROR(INDEX(TEAM_ANALYSIS!$Y:$Y,MATCH($F214,TEAM_ANALYSIS!$A:$A,0)),1)</f>
        <v>1.088235294117647</v>
      </c>
      <c r="O214">
        <f>IFERROR(INDEX(TEAM_ANALYSIS!$Z:$Z,MATCH($F214,TEAM_ANALYSIS!$A:$A,0)),1)</f>
        <v>0.73529411764705888</v>
      </c>
      <c r="P214">
        <f>MAX(0.05,AVERAGE(TEAM_ANALYSIS!$W$2:$W$21)*L214*O214)</f>
        <v>1.7003676470588236</v>
      </c>
      <c r="Q214">
        <f>MAX(0.05,AVERAGE(TEAM_ANALYSIS!$W$2:$W$21)*N214*M214)</f>
        <v>1.9724264705882353</v>
      </c>
      <c r="R214" s="23">
        <f>MAX(0.8,MIN(1.2,P214/AVERAGE(TEAM_ANALYSIS!$W$2:$W$21)))</f>
        <v>0.80017301038062283</v>
      </c>
      <c r="S214">
        <f>MAX(0.8,MIN(1.2,AVERAGE(TEAM_ANALYSIS!$W$2:$W$21)/Q214))</f>
        <v>1.0773532152842498</v>
      </c>
      <c r="T214">
        <f>AVERAGE(R214,S214)</f>
        <v>0.9387631128324363</v>
      </c>
    </row>
    <row r="215" spans="1:20" x14ac:dyDescent="0.25">
      <c r="A215">
        <v>11</v>
      </c>
      <c r="B215" t="b">
        <v>0</v>
      </c>
      <c r="C215" s="6">
        <v>46347.625</v>
      </c>
      <c r="D215" t="b">
        <v>0</v>
      </c>
      <c r="E215">
        <v>13</v>
      </c>
      <c r="F215">
        <v>6</v>
      </c>
      <c r="G215">
        <v>4</v>
      </c>
      <c r="H215" t="s">
        <v>1111</v>
      </c>
      <c r="I215" t="s">
        <v>1092</v>
      </c>
      <c r="J215" t="s">
        <v>1078</v>
      </c>
      <c r="K215" t="str">
        <f>tblTeamFixtures[[#This Row],[Team_name]]&amp;"_"&amp;tblTeamFixtures[[#This Row],[GW]]</f>
        <v>LEE_11</v>
      </c>
      <c r="L215">
        <f>IFERROR(INDEX(TEAM_ANALYSIS!$Y:$Y,MATCH($E215,TEAM_ANALYSIS!$A:$A,0)),1)</f>
        <v>0.8529411764705882</v>
      </c>
      <c r="M215">
        <f>IFERROR(INDEX(TEAM_ANALYSIS!$Z:$Z,MATCH($E215,TEAM_ANALYSIS!$A:$A,0)),1)</f>
        <v>0.73529411764705888</v>
      </c>
      <c r="N215">
        <f>IFERROR(INDEX(TEAM_ANALYSIS!$Y:$Y,MATCH($F215,TEAM_ANALYSIS!$A:$A,0)),1)</f>
        <v>1.4411764705882353</v>
      </c>
      <c r="O215">
        <f>IFERROR(INDEX(TEAM_ANALYSIS!$Z:$Z,MATCH($F215,TEAM_ANALYSIS!$A:$A,0)),1)</f>
        <v>1.3235294117647058</v>
      </c>
      <c r="P215">
        <f>MAX(0.05,AVERAGE(TEAM_ANALYSIS!$W$2:$W$21)*L215*O215)</f>
        <v>2.3988970588235294</v>
      </c>
      <c r="Q215">
        <f>MAX(0.05,AVERAGE(TEAM_ANALYSIS!$W$2:$W$21)*N215*M215)</f>
        <v>2.2518382352941178</v>
      </c>
      <c r="R215" s="23">
        <f>MAX(0.8,MIN(1.2,P215/AVERAGE(TEAM_ANALYSIS!$W$2:$W$21)))</f>
        <v>1.1288927335640138</v>
      </c>
      <c r="S215">
        <f>MAX(0.8,MIN(1.2,AVERAGE(TEAM_ANALYSIS!$W$2:$W$21)/Q215))</f>
        <v>0.94367346938775509</v>
      </c>
      <c r="T215">
        <f>AVERAGE(R215,S215)</f>
        <v>1.0362831014758844</v>
      </c>
    </row>
    <row r="216" spans="1:20" x14ac:dyDescent="0.25">
      <c r="A216">
        <v>11</v>
      </c>
      <c r="B216" t="b">
        <v>0</v>
      </c>
      <c r="C216" s="6">
        <v>46347.625</v>
      </c>
      <c r="D216" t="b">
        <v>0</v>
      </c>
      <c r="E216">
        <v>8</v>
      </c>
      <c r="F216">
        <v>7</v>
      </c>
      <c r="G216">
        <v>2</v>
      </c>
      <c r="H216" t="s">
        <v>1111</v>
      </c>
      <c r="I216" t="s">
        <v>1082</v>
      </c>
      <c r="J216" t="s">
        <v>1080</v>
      </c>
      <c r="K216" t="str">
        <f>tblTeamFixtures[[#This Row],[Team_name]]&amp;"_"&amp;tblTeamFixtures[[#This Row],[GW]]</f>
        <v>CRY_11</v>
      </c>
      <c r="L216">
        <f>IFERROR(INDEX(TEAM_ANALYSIS!$Y:$Y,MATCH($E216,TEAM_ANALYSIS!$A:$A,0)),1)</f>
        <v>0.97058823529411764</v>
      </c>
      <c r="M216">
        <f>IFERROR(INDEX(TEAM_ANALYSIS!$Z:$Z,MATCH($E216,TEAM_ANALYSIS!$A:$A,0)),1)</f>
        <v>1.4411764705882353</v>
      </c>
      <c r="N216">
        <f>IFERROR(INDEX(TEAM_ANALYSIS!$Y:$Y,MATCH($F216,TEAM_ANALYSIS!$A:$A,0)),1)</f>
        <v>0.5</v>
      </c>
      <c r="O216">
        <f>IFERROR(INDEX(TEAM_ANALYSIS!$Z:$Z,MATCH($F216,TEAM_ANALYSIS!$A:$A,0)),1)</f>
        <v>1.088235294117647</v>
      </c>
      <c r="P216">
        <f>MAX(0.05,AVERAGE(TEAM_ANALYSIS!$W$2:$W$21)*L216*O216)</f>
        <v>2.2444852941176467</v>
      </c>
      <c r="Q216">
        <f>MAX(0.05,AVERAGE(TEAM_ANALYSIS!$W$2:$W$21)*N216*M216)</f>
        <v>1.53125</v>
      </c>
      <c r="R216" s="23">
        <f>MAX(0.8,MIN(1.2,P216/AVERAGE(TEAM_ANALYSIS!$W$2:$W$21)))</f>
        <v>1.0562283737024221</v>
      </c>
      <c r="S216">
        <f>MAX(0.8,MIN(1.2,AVERAGE(TEAM_ANALYSIS!$W$2:$W$21)/Q216))</f>
        <v>1.2</v>
      </c>
      <c r="T216">
        <f>AVERAGE(R216,S216)</f>
        <v>1.128114186851211</v>
      </c>
    </row>
    <row r="217" spans="1:20" x14ac:dyDescent="0.25">
      <c r="A217">
        <v>11</v>
      </c>
      <c r="B217" t="b">
        <v>0</v>
      </c>
      <c r="C217" s="6">
        <v>46347.625</v>
      </c>
      <c r="D217" t="b">
        <v>0</v>
      </c>
      <c r="E217">
        <v>5</v>
      </c>
      <c r="F217">
        <v>11</v>
      </c>
      <c r="G217">
        <v>2</v>
      </c>
      <c r="H217" t="s">
        <v>1111</v>
      </c>
      <c r="I217" t="s">
        <v>1076</v>
      </c>
      <c r="J217" t="s">
        <v>1088</v>
      </c>
      <c r="K217" t="str">
        <f>tblTeamFixtures[[#This Row],[Team_name]]&amp;"_"&amp;tblTeamFixtures[[#This Row],[GW]]</f>
        <v>BHA_11</v>
      </c>
      <c r="L217">
        <f>IFERROR(INDEX(TEAM_ANALYSIS!$Y:$Y,MATCH($E217,TEAM_ANALYSIS!$A:$A,0)),1)</f>
        <v>1.4411764705882353</v>
      </c>
      <c r="M217">
        <f>IFERROR(INDEX(TEAM_ANALYSIS!$Z:$Z,MATCH($E217,TEAM_ANALYSIS!$A:$A,0)),1)</f>
        <v>1.088235294117647</v>
      </c>
      <c r="N217">
        <f>IFERROR(INDEX(TEAM_ANALYSIS!$Y:$Y,MATCH($F217,TEAM_ANALYSIS!$A:$A,0)),1)</f>
        <v>0.8529411764705882</v>
      </c>
      <c r="O217">
        <f>IFERROR(INDEX(TEAM_ANALYSIS!$Z:$Z,MATCH($F217,TEAM_ANALYSIS!$A:$A,0)),1)</f>
        <v>0.5</v>
      </c>
      <c r="P217">
        <f>MAX(0.05,AVERAGE(TEAM_ANALYSIS!$W$2:$W$21)*L217*O217)</f>
        <v>1.53125</v>
      </c>
      <c r="Q217">
        <f>MAX(0.05,AVERAGE(TEAM_ANALYSIS!$W$2:$W$21)*N217*M217)</f>
        <v>1.9724264705882351</v>
      </c>
      <c r="R217" s="23">
        <f>MAX(0.8,MIN(1.2,P217/AVERAGE(TEAM_ANALYSIS!$W$2:$W$21)))</f>
        <v>0.8</v>
      </c>
      <c r="S217">
        <f>MAX(0.8,MIN(1.2,AVERAGE(TEAM_ANALYSIS!$W$2:$W$21)/Q217))</f>
        <v>1.07735321528425</v>
      </c>
      <c r="T217">
        <f>AVERAGE(R217,S217)</f>
        <v>0.93867660764212502</v>
      </c>
    </row>
    <row r="218" spans="1:20" x14ac:dyDescent="0.25">
      <c r="A218">
        <v>11</v>
      </c>
      <c r="B218" t="b">
        <v>0</v>
      </c>
      <c r="C218" s="6">
        <v>46347.625</v>
      </c>
      <c r="D218" t="b">
        <v>0</v>
      </c>
      <c r="E218">
        <v>16</v>
      </c>
      <c r="F218">
        <v>14</v>
      </c>
      <c r="G218">
        <v>4</v>
      </c>
      <c r="H218" t="s">
        <v>1111</v>
      </c>
      <c r="I218" t="s">
        <v>1098</v>
      </c>
      <c r="J218" t="s">
        <v>1094</v>
      </c>
      <c r="K218" t="str">
        <f>tblTeamFixtures[[#This Row],[Team_name]]&amp;"_"&amp;tblTeamFixtures[[#This Row],[GW]]</f>
        <v>MUN_11</v>
      </c>
      <c r="L218">
        <f>IFERROR(INDEX(TEAM_ANALYSIS!$Y:$Y,MATCH($E218,TEAM_ANALYSIS!$A:$A,0)),1)</f>
        <v>1.3235294117647058</v>
      </c>
      <c r="M218">
        <f>IFERROR(INDEX(TEAM_ANALYSIS!$Z:$Z,MATCH($E218,TEAM_ANALYSIS!$A:$A,0)),1)</f>
        <v>1.2058823529411764</v>
      </c>
      <c r="N218">
        <f>IFERROR(INDEX(TEAM_ANALYSIS!$Y:$Y,MATCH($F218,TEAM_ANALYSIS!$A:$A,0)),1)</f>
        <v>1.2058823529411764</v>
      </c>
      <c r="O218">
        <f>IFERROR(INDEX(TEAM_ANALYSIS!$Z:$Z,MATCH($F218,TEAM_ANALYSIS!$A:$A,0)),1)</f>
        <v>0.97058823529411764</v>
      </c>
      <c r="P218">
        <f>MAX(0.05,AVERAGE(TEAM_ANALYSIS!$W$2:$W$21)*L218*O218)</f>
        <v>2.7297794117647061</v>
      </c>
      <c r="Q218">
        <f>MAX(0.05,AVERAGE(TEAM_ANALYSIS!$W$2:$W$21)*N218*M218)</f>
        <v>3.0900735294117645</v>
      </c>
      <c r="R218" s="23">
        <f>MAX(0.8,MIN(1.2,P218/AVERAGE(TEAM_ANALYSIS!$W$2:$W$21)))</f>
        <v>1.2</v>
      </c>
      <c r="S218">
        <f>MAX(0.8,MIN(1.2,AVERAGE(TEAM_ANALYSIS!$W$2:$W$21)/Q218))</f>
        <v>0.8</v>
      </c>
      <c r="T218">
        <f>AVERAGE(R218,S218)</f>
        <v>1</v>
      </c>
    </row>
    <row r="219" spans="1:20" x14ac:dyDescent="0.25">
      <c r="A219">
        <v>11</v>
      </c>
      <c r="B219" t="b">
        <v>0</v>
      </c>
      <c r="C219" s="6">
        <v>46347.625</v>
      </c>
      <c r="D219" t="b">
        <v>0</v>
      </c>
      <c r="E219">
        <v>10</v>
      </c>
      <c r="F219">
        <v>15</v>
      </c>
      <c r="G219">
        <v>5</v>
      </c>
      <c r="H219" t="s">
        <v>1111</v>
      </c>
      <c r="I219" t="s">
        <v>1086</v>
      </c>
      <c r="J219" t="s">
        <v>1096</v>
      </c>
      <c r="K219" t="str">
        <f>tblTeamFixtures[[#This Row],[Team_name]]&amp;"_"&amp;tblTeamFixtures[[#This Row],[GW]]</f>
        <v>FUL_11</v>
      </c>
      <c r="L219">
        <f>IFERROR(INDEX(TEAM_ANALYSIS!$Y:$Y,MATCH($E219,TEAM_ANALYSIS!$A:$A,0)),1)</f>
        <v>0.97058823529411764</v>
      </c>
      <c r="M219">
        <f>IFERROR(INDEX(TEAM_ANALYSIS!$Z:$Z,MATCH($E219,TEAM_ANALYSIS!$A:$A,0)),1)</f>
        <v>1.3235294117647058</v>
      </c>
      <c r="N219">
        <f>IFERROR(INDEX(TEAM_ANALYSIS!$Y:$Y,MATCH($F219,TEAM_ANALYSIS!$A:$A,0)),1)</f>
        <v>1.3235294117647058</v>
      </c>
      <c r="O219">
        <f>IFERROR(INDEX(TEAM_ANALYSIS!$Z:$Z,MATCH($F219,TEAM_ANALYSIS!$A:$A,0)),1)</f>
        <v>0.73529411764705888</v>
      </c>
      <c r="P219">
        <f>MAX(0.05,AVERAGE(TEAM_ANALYSIS!$W$2:$W$21)*L219*O219)</f>
        <v>1.5165441176470589</v>
      </c>
      <c r="Q219">
        <f>MAX(0.05,AVERAGE(TEAM_ANALYSIS!$W$2:$W$21)*N219*M219)</f>
        <v>3.7224264705882351</v>
      </c>
      <c r="R219" s="23">
        <f>MAX(0.8,MIN(1.2,P219/AVERAGE(TEAM_ANALYSIS!$W$2:$W$21)))</f>
        <v>0.8</v>
      </c>
      <c r="S219">
        <f>MAX(0.8,MIN(1.2,AVERAGE(TEAM_ANALYSIS!$W$2:$W$21)/Q219))</f>
        <v>0.8</v>
      </c>
      <c r="T219">
        <f>AVERAGE(R219,S219)</f>
        <v>0.8</v>
      </c>
    </row>
    <row r="220" spans="1:20" x14ac:dyDescent="0.25">
      <c r="A220">
        <v>11</v>
      </c>
      <c r="B220" t="b">
        <v>0</v>
      </c>
      <c r="C220" s="6">
        <v>46347.625</v>
      </c>
      <c r="D220" t="b">
        <v>0</v>
      </c>
      <c r="E220">
        <v>1</v>
      </c>
      <c r="F220">
        <v>17</v>
      </c>
      <c r="G220">
        <v>3</v>
      </c>
      <c r="H220" t="s">
        <v>1111</v>
      </c>
      <c r="I220" t="s">
        <v>1068</v>
      </c>
      <c r="J220" t="s">
        <v>1100</v>
      </c>
      <c r="K220" t="str">
        <f>tblTeamFixtures[[#This Row],[Team_name]]&amp;"_"&amp;tblTeamFixtures[[#This Row],[GW]]</f>
        <v>ARS_11</v>
      </c>
      <c r="L220">
        <f>IFERROR(INDEX(TEAM_ANALYSIS!$Y:$Y,MATCH($E220,TEAM_ANALYSIS!$A:$A,0)),1)</f>
        <v>1.2058823529411764</v>
      </c>
      <c r="M220">
        <f>IFERROR(INDEX(TEAM_ANALYSIS!$Z:$Z,MATCH($E220,TEAM_ANALYSIS!$A:$A,0)),1)</f>
        <v>0.61764705882352944</v>
      </c>
      <c r="N220">
        <f>IFERROR(INDEX(TEAM_ANALYSIS!$Y:$Y,MATCH($F220,TEAM_ANALYSIS!$A:$A,0)),1)</f>
        <v>1.2058823529411764</v>
      </c>
      <c r="O220">
        <f>IFERROR(INDEX(TEAM_ANALYSIS!$Z:$Z,MATCH($F220,TEAM_ANALYSIS!$A:$A,0)),1)</f>
        <v>0.97058823529411764</v>
      </c>
      <c r="P220">
        <f>MAX(0.05,AVERAGE(TEAM_ANALYSIS!$W$2:$W$21)*L220*O220)</f>
        <v>2.4871323529411766</v>
      </c>
      <c r="Q220">
        <f>MAX(0.05,AVERAGE(TEAM_ANALYSIS!$W$2:$W$21)*N220*M220)</f>
        <v>1.5827205882352942</v>
      </c>
      <c r="R220" s="23">
        <f>MAX(0.8,MIN(1.2,P220/AVERAGE(TEAM_ANALYSIS!$W$2:$W$21)))</f>
        <v>1.1704152249134949</v>
      </c>
      <c r="S220">
        <f>MAX(0.8,MIN(1.2,AVERAGE(TEAM_ANALYSIS!$W$2:$W$21)/Q220))</f>
        <v>1.2</v>
      </c>
      <c r="T220">
        <f>AVERAGE(R220,S220)</f>
        <v>1.1852076124567474</v>
      </c>
    </row>
    <row r="221" spans="1:20" x14ac:dyDescent="0.25">
      <c r="A221">
        <v>11</v>
      </c>
      <c r="B221" t="b">
        <v>0</v>
      </c>
      <c r="C221" s="6">
        <v>46347.625</v>
      </c>
      <c r="D221" t="b">
        <v>0</v>
      </c>
      <c r="E221">
        <v>12</v>
      </c>
      <c r="F221">
        <v>19</v>
      </c>
      <c r="G221">
        <v>3</v>
      </c>
      <c r="H221" t="s">
        <v>1111</v>
      </c>
      <c r="I221" t="s">
        <v>1090</v>
      </c>
      <c r="J221" t="s">
        <v>1104</v>
      </c>
      <c r="K221" t="str">
        <f>tblTeamFixtures[[#This Row],[Team_name]]&amp;"_"&amp;tblTeamFixtures[[#This Row],[GW]]</f>
        <v>IPS_11</v>
      </c>
      <c r="L221">
        <f>IFERROR(INDEX(TEAM_ANALYSIS!$Y:$Y,MATCH($E221,TEAM_ANALYSIS!$A:$A,0)),1)</f>
        <v>0.97058823529411764</v>
      </c>
      <c r="M221">
        <f>IFERROR(INDEX(TEAM_ANALYSIS!$Z:$Z,MATCH($E221,TEAM_ANALYSIS!$A:$A,0)),1)</f>
        <v>1.4411764705882353</v>
      </c>
      <c r="N221">
        <f>IFERROR(INDEX(TEAM_ANALYSIS!$Y:$Y,MATCH($F221,TEAM_ANALYSIS!$A:$A,0)),1)</f>
        <v>0.5</v>
      </c>
      <c r="O221">
        <f>IFERROR(INDEX(TEAM_ANALYSIS!$Z:$Z,MATCH($F221,TEAM_ANALYSIS!$A:$A,0)),1)</f>
        <v>1.088235294117647</v>
      </c>
      <c r="P221">
        <f>MAX(0.05,AVERAGE(TEAM_ANALYSIS!$W$2:$W$21)*L221*O221)</f>
        <v>2.2444852941176467</v>
      </c>
      <c r="Q221">
        <f>MAX(0.05,AVERAGE(TEAM_ANALYSIS!$W$2:$W$21)*N221*M221)</f>
        <v>1.53125</v>
      </c>
      <c r="R221" s="23">
        <f>MAX(0.8,MIN(1.2,P221/AVERAGE(TEAM_ANALYSIS!$W$2:$W$21)))</f>
        <v>1.0562283737024221</v>
      </c>
      <c r="S221">
        <f>MAX(0.8,MIN(1.2,AVERAGE(TEAM_ANALYSIS!$W$2:$W$21)/Q221))</f>
        <v>1.2</v>
      </c>
      <c r="T221">
        <f>AVERAGE(R221,S221)</f>
        <v>1.128114186851211</v>
      </c>
    </row>
    <row r="222" spans="1:20" x14ac:dyDescent="0.25">
      <c r="A222">
        <v>12</v>
      </c>
      <c r="B222" t="b">
        <v>0</v>
      </c>
      <c r="C222" s="6">
        <v>46354.625</v>
      </c>
      <c r="D222" t="b">
        <v>0</v>
      </c>
      <c r="E222">
        <v>1</v>
      </c>
      <c r="F222">
        <v>15</v>
      </c>
      <c r="G222">
        <v>4</v>
      </c>
      <c r="H222" t="s">
        <v>1110</v>
      </c>
      <c r="I222" t="s">
        <v>1068</v>
      </c>
      <c r="J222" t="s">
        <v>1096</v>
      </c>
      <c r="K222" t="str">
        <f>tblTeamFixtures[[#This Row],[Team_name]]&amp;"_"&amp;tblTeamFixtures[[#This Row],[GW]]</f>
        <v>ARS_12</v>
      </c>
      <c r="L222">
        <f>IFERROR(INDEX(TEAM_ANALYSIS!$Y:$Y,MATCH($E222,TEAM_ANALYSIS!$A:$A,0)),1)</f>
        <v>1.2058823529411764</v>
      </c>
      <c r="M222">
        <f>IFERROR(INDEX(TEAM_ANALYSIS!$Z:$Z,MATCH($E222,TEAM_ANALYSIS!$A:$A,0)),1)</f>
        <v>0.61764705882352944</v>
      </c>
      <c r="N222">
        <f>IFERROR(INDEX(TEAM_ANALYSIS!$Y:$Y,MATCH($F222,TEAM_ANALYSIS!$A:$A,0)),1)</f>
        <v>1.3235294117647058</v>
      </c>
      <c r="O222">
        <f>IFERROR(INDEX(TEAM_ANALYSIS!$Z:$Z,MATCH($F222,TEAM_ANALYSIS!$A:$A,0)),1)</f>
        <v>0.73529411764705888</v>
      </c>
      <c r="P222">
        <f>MAX(0.05,AVERAGE(TEAM_ANALYSIS!$W$2:$W$21)*L222*O222)</f>
        <v>1.8841911764705883</v>
      </c>
      <c r="Q222">
        <f>MAX(0.05,AVERAGE(TEAM_ANALYSIS!$W$2:$W$21)*N222*M222)</f>
        <v>1.7371323529411766</v>
      </c>
      <c r="R222" s="23">
        <f>MAX(0.8,MIN(1.2,P222/AVERAGE(TEAM_ANALYSIS!$W$2:$W$21)))</f>
        <v>0.88667820069204151</v>
      </c>
      <c r="S222">
        <f>MAX(0.8,MIN(1.2,AVERAGE(TEAM_ANALYSIS!$W$2:$W$21)/Q222))</f>
        <v>1.2</v>
      </c>
      <c r="T222">
        <f>AVERAGE(R222,S222)</f>
        <v>1.0433391003460208</v>
      </c>
    </row>
    <row r="223" spans="1:20" x14ac:dyDescent="0.25">
      <c r="A223">
        <v>12</v>
      </c>
      <c r="B223" t="b">
        <v>0</v>
      </c>
      <c r="C223" s="6">
        <v>46354.625</v>
      </c>
      <c r="D223" t="b">
        <v>0</v>
      </c>
      <c r="E223">
        <v>5</v>
      </c>
      <c r="F223">
        <v>17</v>
      </c>
      <c r="G223">
        <v>2</v>
      </c>
      <c r="H223" t="s">
        <v>1110</v>
      </c>
      <c r="I223" t="s">
        <v>1076</v>
      </c>
      <c r="J223" t="s">
        <v>1100</v>
      </c>
      <c r="K223" t="str">
        <f>tblTeamFixtures[[#This Row],[Team_name]]&amp;"_"&amp;tblTeamFixtures[[#This Row],[GW]]</f>
        <v>BHA_12</v>
      </c>
      <c r="L223">
        <f>IFERROR(INDEX(TEAM_ANALYSIS!$Y:$Y,MATCH($E223,TEAM_ANALYSIS!$A:$A,0)),1)</f>
        <v>1.4411764705882353</v>
      </c>
      <c r="M223">
        <f>IFERROR(INDEX(TEAM_ANALYSIS!$Z:$Z,MATCH($E223,TEAM_ANALYSIS!$A:$A,0)),1)</f>
        <v>1.088235294117647</v>
      </c>
      <c r="N223">
        <f>IFERROR(INDEX(TEAM_ANALYSIS!$Y:$Y,MATCH($F223,TEAM_ANALYSIS!$A:$A,0)),1)</f>
        <v>1.2058823529411764</v>
      </c>
      <c r="O223">
        <f>IFERROR(INDEX(TEAM_ANALYSIS!$Z:$Z,MATCH($F223,TEAM_ANALYSIS!$A:$A,0)),1)</f>
        <v>0.97058823529411764</v>
      </c>
      <c r="P223">
        <f>MAX(0.05,AVERAGE(TEAM_ANALYSIS!$W$2:$W$21)*L223*O223)</f>
        <v>2.9724264705882351</v>
      </c>
      <c r="Q223">
        <f>MAX(0.05,AVERAGE(TEAM_ANALYSIS!$W$2:$W$21)*N223*M223)</f>
        <v>2.7886029411764706</v>
      </c>
      <c r="R223" s="23">
        <f>MAX(0.8,MIN(1.2,P223/AVERAGE(TEAM_ANALYSIS!$W$2:$W$21)))</f>
        <v>1.2</v>
      </c>
      <c r="S223">
        <f>MAX(0.8,MIN(1.2,AVERAGE(TEAM_ANALYSIS!$W$2:$W$21)/Q223))</f>
        <v>0.8</v>
      </c>
      <c r="T223">
        <f>AVERAGE(R223,S223)</f>
        <v>1</v>
      </c>
    </row>
    <row r="224" spans="1:20" x14ac:dyDescent="0.25">
      <c r="A224">
        <v>12</v>
      </c>
      <c r="B224" t="b">
        <v>0</v>
      </c>
      <c r="C224" s="6">
        <v>46354.625</v>
      </c>
      <c r="D224" t="b">
        <v>0</v>
      </c>
      <c r="E224">
        <v>8</v>
      </c>
      <c r="F224">
        <v>11</v>
      </c>
      <c r="G224">
        <v>2</v>
      </c>
      <c r="H224" t="s">
        <v>1110</v>
      </c>
      <c r="I224" t="s">
        <v>1082</v>
      </c>
      <c r="J224" t="s">
        <v>1088</v>
      </c>
      <c r="K224" t="str">
        <f>tblTeamFixtures[[#This Row],[Team_name]]&amp;"_"&amp;tblTeamFixtures[[#This Row],[GW]]</f>
        <v>CRY_12</v>
      </c>
      <c r="L224">
        <f>IFERROR(INDEX(TEAM_ANALYSIS!$Y:$Y,MATCH($E224,TEAM_ANALYSIS!$A:$A,0)),1)</f>
        <v>0.97058823529411764</v>
      </c>
      <c r="M224">
        <f>IFERROR(INDEX(TEAM_ANALYSIS!$Z:$Z,MATCH($E224,TEAM_ANALYSIS!$A:$A,0)),1)</f>
        <v>1.4411764705882353</v>
      </c>
      <c r="N224">
        <f>IFERROR(INDEX(TEAM_ANALYSIS!$Y:$Y,MATCH($F224,TEAM_ANALYSIS!$A:$A,0)),1)</f>
        <v>0.8529411764705882</v>
      </c>
      <c r="O224">
        <f>IFERROR(INDEX(TEAM_ANALYSIS!$Z:$Z,MATCH($F224,TEAM_ANALYSIS!$A:$A,0)),1)</f>
        <v>0.5</v>
      </c>
      <c r="P224">
        <f>MAX(0.05,AVERAGE(TEAM_ANALYSIS!$W$2:$W$21)*L224*O224)</f>
        <v>1.03125</v>
      </c>
      <c r="Q224">
        <f>MAX(0.05,AVERAGE(TEAM_ANALYSIS!$W$2:$W$21)*N224*M224)</f>
        <v>2.6121323529411766</v>
      </c>
      <c r="R224" s="23">
        <f>MAX(0.8,MIN(1.2,P224/AVERAGE(TEAM_ANALYSIS!$W$2:$W$21)))</f>
        <v>0.8</v>
      </c>
      <c r="S224">
        <f>MAX(0.8,MIN(1.2,AVERAGE(TEAM_ANALYSIS!$W$2:$W$21)/Q224))</f>
        <v>0.81351161154116813</v>
      </c>
      <c r="T224">
        <f>AVERAGE(R224,S224)</f>
        <v>0.80675580577058414</v>
      </c>
    </row>
    <row r="225" spans="1:20" x14ac:dyDescent="0.25">
      <c r="A225">
        <v>12</v>
      </c>
      <c r="B225" t="b">
        <v>0</v>
      </c>
      <c r="C225" s="6">
        <v>46354.625</v>
      </c>
      <c r="D225" t="b">
        <v>0</v>
      </c>
      <c r="E225">
        <v>9</v>
      </c>
      <c r="F225">
        <v>14</v>
      </c>
      <c r="G225">
        <v>4</v>
      </c>
      <c r="H225" t="s">
        <v>1110</v>
      </c>
      <c r="I225" t="s">
        <v>1084</v>
      </c>
      <c r="J225" t="s">
        <v>1094</v>
      </c>
      <c r="K225" t="str">
        <f>tblTeamFixtures[[#This Row],[Team_name]]&amp;"_"&amp;tblTeamFixtures[[#This Row],[GW]]</f>
        <v>EVE_12</v>
      </c>
      <c r="L225">
        <f>IFERROR(INDEX(TEAM_ANALYSIS!$Y:$Y,MATCH($E225,TEAM_ANALYSIS!$A:$A,0)),1)</f>
        <v>1.088235294117647</v>
      </c>
      <c r="M225">
        <f>IFERROR(INDEX(TEAM_ANALYSIS!$Z:$Z,MATCH($E225,TEAM_ANALYSIS!$A:$A,0)),1)</f>
        <v>0.8529411764705882</v>
      </c>
      <c r="N225">
        <f>IFERROR(INDEX(TEAM_ANALYSIS!$Y:$Y,MATCH($F225,TEAM_ANALYSIS!$A:$A,0)),1)</f>
        <v>1.2058823529411764</v>
      </c>
      <c r="O225">
        <f>IFERROR(INDEX(TEAM_ANALYSIS!$Z:$Z,MATCH($F225,TEAM_ANALYSIS!$A:$A,0)),1)</f>
        <v>0.97058823529411764</v>
      </c>
      <c r="P225">
        <f>MAX(0.05,AVERAGE(TEAM_ANALYSIS!$W$2:$W$21)*L225*O225)</f>
        <v>2.2444852941176472</v>
      </c>
      <c r="Q225">
        <f>MAX(0.05,AVERAGE(TEAM_ANALYSIS!$W$2:$W$21)*N225*M225)</f>
        <v>2.1856617647058822</v>
      </c>
      <c r="R225" s="23">
        <f>MAX(0.8,MIN(1.2,P225/AVERAGE(TEAM_ANALYSIS!$W$2:$W$21)))</f>
        <v>1.0562283737024223</v>
      </c>
      <c r="S225">
        <f>MAX(0.8,MIN(1.2,AVERAGE(TEAM_ANALYSIS!$W$2:$W$21)/Q225))</f>
        <v>0.9722455845248108</v>
      </c>
      <c r="T225">
        <f>AVERAGE(R225,S225)</f>
        <v>1.0142369791136165</v>
      </c>
    </row>
    <row r="226" spans="1:20" x14ac:dyDescent="0.25">
      <c r="A226">
        <v>12</v>
      </c>
      <c r="B226" t="b">
        <v>0</v>
      </c>
      <c r="C226" s="6">
        <v>46354.625</v>
      </c>
      <c r="D226" t="b">
        <v>0</v>
      </c>
      <c r="E226">
        <v>10</v>
      </c>
      <c r="F226">
        <v>3</v>
      </c>
      <c r="G226">
        <v>3</v>
      </c>
      <c r="H226" t="s">
        <v>1110</v>
      </c>
      <c r="I226" t="s">
        <v>1086</v>
      </c>
      <c r="J226" t="s">
        <v>1072</v>
      </c>
      <c r="K226" t="str">
        <f>tblTeamFixtures[[#This Row],[Team_name]]&amp;"_"&amp;tblTeamFixtures[[#This Row],[GW]]</f>
        <v>FUL_12</v>
      </c>
      <c r="L226">
        <f>IFERROR(INDEX(TEAM_ANALYSIS!$Y:$Y,MATCH($E226,TEAM_ANALYSIS!$A:$A,0)),1)</f>
        <v>0.97058823529411764</v>
      </c>
      <c r="M226">
        <f>IFERROR(INDEX(TEAM_ANALYSIS!$Z:$Z,MATCH($E226,TEAM_ANALYSIS!$A:$A,0)),1)</f>
        <v>1.3235294117647058</v>
      </c>
      <c r="N226">
        <f>IFERROR(INDEX(TEAM_ANALYSIS!$Y:$Y,MATCH($F226,TEAM_ANALYSIS!$A:$A,0)),1)</f>
        <v>0.97058823529411764</v>
      </c>
      <c r="O226">
        <f>IFERROR(INDEX(TEAM_ANALYSIS!$Z:$Z,MATCH($F226,TEAM_ANALYSIS!$A:$A,0)),1)</f>
        <v>1.088235294117647</v>
      </c>
      <c r="P226">
        <f>MAX(0.05,AVERAGE(TEAM_ANALYSIS!$W$2:$W$21)*L226*O226)</f>
        <v>2.2444852941176467</v>
      </c>
      <c r="Q226">
        <f>MAX(0.05,AVERAGE(TEAM_ANALYSIS!$W$2:$W$21)*N226*M226)</f>
        <v>2.7297794117647056</v>
      </c>
      <c r="R226" s="23">
        <f>MAX(0.8,MIN(1.2,P226/AVERAGE(TEAM_ANALYSIS!$W$2:$W$21)))</f>
        <v>1.0562283737024221</v>
      </c>
      <c r="S226">
        <f>MAX(0.8,MIN(1.2,AVERAGE(TEAM_ANALYSIS!$W$2:$W$21)/Q226))</f>
        <v>0.8</v>
      </c>
      <c r="T226">
        <f>AVERAGE(R226,S226)</f>
        <v>0.92811418685121105</v>
      </c>
    </row>
    <row r="227" spans="1:20" x14ac:dyDescent="0.25">
      <c r="A227">
        <v>12</v>
      </c>
      <c r="B227" t="b">
        <v>0</v>
      </c>
      <c r="C227" s="6">
        <v>46354.625</v>
      </c>
      <c r="D227" t="b">
        <v>0</v>
      </c>
      <c r="E227">
        <v>12</v>
      </c>
      <c r="F227">
        <v>2</v>
      </c>
      <c r="G227">
        <v>3</v>
      </c>
      <c r="H227" t="s">
        <v>1110</v>
      </c>
      <c r="I227" t="s">
        <v>1090</v>
      </c>
      <c r="J227" t="s">
        <v>1070</v>
      </c>
      <c r="K227" t="str">
        <f>tblTeamFixtures[[#This Row],[Team_name]]&amp;"_"&amp;tblTeamFixtures[[#This Row],[GW]]</f>
        <v>IPS_12</v>
      </c>
      <c r="L227">
        <f>IFERROR(INDEX(TEAM_ANALYSIS!$Y:$Y,MATCH($E227,TEAM_ANALYSIS!$A:$A,0)),1)</f>
        <v>0.97058823529411764</v>
      </c>
      <c r="M227">
        <f>IFERROR(INDEX(TEAM_ANALYSIS!$Z:$Z,MATCH($E227,TEAM_ANALYSIS!$A:$A,0)),1)</f>
        <v>1.4411764705882353</v>
      </c>
      <c r="N227">
        <f>IFERROR(INDEX(TEAM_ANALYSIS!$Y:$Y,MATCH($F227,TEAM_ANALYSIS!$A:$A,0)),1)</f>
        <v>0.5</v>
      </c>
      <c r="O227">
        <f>IFERROR(INDEX(TEAM_ANALYSIS!$Z:$Z,MATCH($F227,TEAM_ANALYSIS!$A:$A,0)),1)</f>
        <v>1.088235294117647</v>
      </c>
      <c r="P227">
        <f>MAX(0.05,AVERAGE(TEAM_ANALYSIS!$W$2:$W$21)*L227*O227)</f>
        <v>2.2444852941176467</v>
      </c>
      <c r="Q227">
        <f>MAX(0.05,AVERAGE(TEAM_ANALYSIS!$W$2:$W$21)*N227*M227)</f>
        <v>1.53125</v>
      </c>
      <c r="R227" s="23">
        <f>MAX(0.8,MIN(1.2,P227/AVERAGE(TEAM_ANALYSIS!$W$2:$W$21)))</f>
        <v>1.0562283737024221</v>
      </c>
      <c r="S227">
        <f>MAX(0.8,MIN(1.2,AVERAGE(TEAM_ANALYSIS!$W$2:$W$21)/Q227))</f>
        <v>1.2</v>
      </c>
      <c r="T227">
        <f>AVERAGE(R227,S227)</f>
        <v>1.128114186851211</v>
      </c>
    </row>
    <row r="228" spans="1:20" x14ac:dyDescent="0.25">
      <c r="A228">
        <v>12</v>
      </c>
      <c r="B228" t="b">
        <v>0</v>
      </c>
      <c r="C228" s="6">
        <v>46354.625</v>
      </c>
      <c r="D228" t="b">
        <v>0</v>
      </c>
      <c r="E228">
        <v>13</v>
      </c>
      <c r="F228">
        <v>7</v>
      </c>
      <c r="G228">
        <v>2</v>
      </c>
      <c r="H228" t="s">
        <v>1110</v>
      </c>
      <c r="I228" t="s">
        <v>1092</v>
      </c>
      <c r="J228" t="s">
        <v>1080</v>
      </c>
      <c r="K228" t="str">
        <f>tblTeamFixtures[[#This Row],[Team_name]]&amp;"_"&amp;tblTeamFixtures[[#This Row],[GW]]</f>
        <v>LEE_12</v>
      </c>
      <c r="L228">
        <f>IFERROR(INDEX(TEAM_ANALYSIS!$Y:$Y,MATCH($E228,TEAM_ANALYSIS!$A:$A,0)),1)</f>
        <v>0.8529411764705882</v>
      </c>
      <c r="M228">
        <f>IFERROR(INDEX(TEAM_ANALYSIS!$Z:$Z,MATCH($E228,TEAM_ANALYSIS!$A:$A,0)),1)</f>
        <v>0.73529411764705888</v>
      </c>
      <c r="N228">
        <f>IFERROR(INDEX(TEAM_ANALYSIS!$Y:$Y,MATCH($F228,TEAM_ANALYSIS!$A:$A,0)),1)</f>
        <v>0.5</v>
      </c>
      <c r="O228">
        <f>IFERROR(INDEX(TEAM_ANALYSIS!$Z:$Z,MATCH($F228,TEAM_ANALYSIS!$A:$A,0)),1)</f>
        <v>1.088235294117647</v>
      </c>
      <c r="P228">
        <f>MAX(0.05,AVERAGE(TEAM_ANALYSIS!$W$2:$W$21)*L228*O228)</f>
        <v>1.9724264705882351</v>
      </c>
      <c r="Q228">
        <f>MAX(0.05,AVERAGE(TEAM_ANALYSIS!$W$2:$W$21)*N228*M228)</f>
        <v>0.78125</v>
      </c>
      <c r="R228" s="23">
        <f>MAX(0.8,MIN(1.2,P228/AVERAGE(TEAM_ANALYSIS!$W$2:$W$21)))</f>
        <v>0.92820069204152233</v>
      </c>
      <c r="S228">
        <f>MAX(0.8,MIN(1.2,AVERAGE(TEAM_ANALYSIS!$W$2:$W$21)/Q228))</f>
        <v>1.2</v>
      </c>
      <c r="T228">
        <f>AVERAGE(R228,S228)</f>
        <v>1.0641003460207612</v>
      </c>
    </row>
    <row r="229" spans="1:20" x14ac:dyDescent="0.25">
      <c r="A229">
        <v>12</v>
      </c>
      <c r="B229" t="b">
        <v>0</v>
      </c>
      <c r="C229" s="6">
        <v>46354.625</v>
      </c>
      <c r="D229" t="b">
        <v>0</v>
      </c>
      <c r="E229">
        <v>16</v>
      </c>
      <c r="F229">
        <v>4</v>
      </c>
      <c r="G229">
        <v>3</v>
      </c>
      <c r="H229" t="s">
        <v>1110</v>
      </c>
      <c r="I229" t="s">
        <v>1098</v>
      </c>
      <c r="J229" t="s">
        <v>1074</v>
      </c>
      <c r="K229" t="str">
        <f>tblTeamFixtures[[#This Row],[Team_name]]&amp;"_"&amp;tblTeamFixtures[[#This Row],[GW]]</f>
        <v>MUN_12</v>
      </c>
      <c r="L229">
        <f>IFERROR(INDEX(TEAM_ANALYSIS!$Y:$Y,MATCH($E229,TEAM_ANALYSIS!$A:$A,0)),1)</f>
        <v>1.3235294117647058</v>
      </c>
      <c r="M229">
        <f>IFERROR(INDEX(TEAM_ANALYSIS!$Z:$Z,MATCH($E229,TEAM_ANALYSIS!$A:$A,0)),1)</f>
        <v>1.2058823529411764</v>
      </c>
      <c r="N229">
        <f>IFERROR(INDEX(TEAM_ANALYSIS!$Y:$Y,MATCH($F229,TEAM_ANALYSIS!$A:$A,0)),1)</f>
        <v>1.088235294117647</v>
      </c>
      <c r="O229">
        <f>IFERROR(INDEX(TEAM_ANALYSIS!$Z:$Z,MATCH($F229,TEAM_ANALYSIS!$A:$A,0)),1)</f>
        <v>0.73529411764705888</v>
      </c>
      <c r="P229">
        <f>MAX(0.05,AVERAGE(TEAM_ANALYSIS!$W$2:$W$21)*L229*O229)</f>
        <v>2.0680147058823533</v>
      </c>
      <c r="Q229">
        <f>MAX(0.05,AVERAGE(TEAM_ANALYSIS!$W$2:$W$21)*N229*M229)</f>
        <v>2.7886029411764706</v>
      </c>
      <c r="R229" s="23">
        <f>MAX(0.8,MIN(1.2,P229/AVERAGE(TEAM_ANALYSIS!$W$2:$W$21)))</f>
        <v>0.97318339100346041</v>
      </c>
      <c r="S229">
        <f>MAX(0.8,MIN(1.2,AVERAGE(TEAM_ANALYSIS!$W$2:$W$21)/Q229))</f>
        <v>0.8</v>
      </c>
      <c r="T229">
        <f>AVERAGE(R229,S229)</f>
        <v>0.88659169550173023</v>
      </c>
    </row>
    <row r="230" spans="1:20" x14ac:dyDescent="0.25">
      <c r="A230">
        <v>12</v>
      </c>
      <c r="B230" t="b">
        <v>0</v>
      </c>
      <c r="C230" s="6">
        <v>46354.625</v>
      </c>
      <c r="D230" t="b">
        <v>0</v>
      </c>
      <c r="E230">
        <v>18</v>
      </c>
      <c r="F230">
        <v>6</v>
      </c>
      <c r="G230">
        <v>4</v>
      </c>
      <c r="H230" t="s">
        <v>1110</v>
      </c>
      <c r="I230" t="s">
        <v>1102</v>
      </c>
      <c r="J230" t="s">
        <v>1078</v>
      </c>
      <c r="K230" t="str">
        <f>tblTeamFixtures[[#This Row],[Team_name]]&amp;"_"&amp;tblTeamFixtures[[#This Row],[GW]]</f>
        <v>NFO_12</v>
      </c>
      <c r="L230">
        <f>IFERROR(INDEX(TEAM_ANALYSIS!$Y:$Y,MATCH($E230,TEAM_ANALYSIS!$A:$A,0)),1)</f>
        <v>0.73529411764705888</v>
      </c>
      <c r="M230">
        <f>IFERROR(INDEX(TEAM_ANALYSIS!$Z:$Z,MATCH($E230,TEAM_ANALYSIS!$A:$A,0)),1)</f>
        <v>0.8529411764705882</v>
      </c>
      <c r="N230">
        <f>IFERROR(INDEX(TEAM_ANALYSIS!$Y:$Y,MATCH($F230,TEAM_ANALYSIS!$A:$A,0)),1)</f>
        <v>1.4411764705882353</v>
      </c>
      <c r="O230">
        <f>IFERROR(INDEX(TEAM_ANALYSIS!$Z:$Z,MATCH($F230,TEAM_ANALYSIS!$A:$A,0)),1)</f>
        <v>1.3235294117647058</v>
      </c>
      <c r="P230">
        <f>MAX(0.05,AVERAGE(TEAM_ANALYSIS!$W$2:$W$21)*L230*O230)</f>
        <v>2.0680147058823528</v>
      </c>
      <c r="Q230">
        <f>MAX(0.05,AVERAGE(TEAM_ANALYSIS!$W$2:$W$21)*N230*M230)</f>
        <v>2.6121323529411762</v>
      </c>
      <c r="R230" s="23">
        <f>MAX(0.8,MIN(1.2,P230/AVERAGE(TEAM_ANALYSIS!$W$2:$W$21)))</f>
        <v>0.97318339100346019</v>
      </c>
      <c r="S230">
        <f>MAX(0.8,MIN(1.2,AVERAGE(TEAM_ANALYSIS!$W$2:$W$21)/Q230))</f>
        <v>0.81351161154116824</v>
      </c>
      <c r="T230">
        <f>AVERAGE(R230,S230)</f>
        <v>0.89334750127231422</v>
      </c>
    </row>
    <row r="231" spans="1:20" x14ac:dyDescent="0.25">
      <c r="A231">
        <v>12</v>
      </c>
      <c r="B231" t="b">
        <v>0</v>
      </c>
      <c r="C231" s="6">
        <v>46354.625</v>
      </c>
      <c r="D231" t="b">
        <v>0</v>
      </c>
      <c r="E231">
        <v>20</v>
      </c>
      <c r="F231">
        <v>19</v>
      </c>
      <c r="G231">
        <v>3</v>
      </c>
      <c r="H231" t="s">
        <v>1110</v>
      </c>
      <c r="I231" t="s">
        <v>1106</v>
      </c>
      <c r="J231" t="s">
        <v>1104</v>
      </c>
      <c r="K231" t="str">
        <f>tblTeamFixtures[[#This Row],[Team_name]]&amp;"_"&amp;tblTeamFixtures[[#This Row],[GW]]</f>
        <v>SUN_12</v>
      </c>
      <c r="L231">
        <f>IFERROR(INDEX(TEAM_ANALYSIS!$Y:$Y,MATCH($E231,TEAM_ANALYSIS!$A:$A,0)),1)</f>
        <v>0.8529411764705882</v>
      </c>
      <c r="M231">
        <f>IFERROR(INDEX(TEAM_ANALYSIS!$Z:$Z,MATCH($E231,TEAM_ANALYSIS!$A:$A,0)),1)</f>
        <v>0.8529411764705882</v>
      </c>
      <c r="N231">
        <f>IFERROR(INDEX(TEAM_ANALYSIS!$Y:$Y,MATCH($F231,TEAM_ANALYSIS!$A:$A,0)),1)</f>
        <v>0.5</v>
      </c>
      <c r="O231">
        <f>IFERROR(INDEX(TEAM_ANALYSIS!$Z:$Z,MATCH($F231,TEAM_ANALYSIS!$A:$A,0)),1)</f>
        <v>1.088235294117647</v>
      </c>
      <c r="P231">
        <f>MAX(0.05,AVERAGE(TEAM_ANALYSIS!$W$2:$W$21)*L231*O231)</f>
        <v>1.9724264705882351</v>
      </c>
      <c r="Q231">
        <f>MAX(0.05,AVERAGE(TEAM_ANALYSIS!$W$2:$W$21)*N231*M231)</f>
        <v>0.90625</v>
      </c>
      <c r="R231" s="23">
        <f>MAX(0.8,MIN(1.2,P231/AVERAGE(TEAM_ANALYSIS!$W$2:$W$21)))</f>
        <v>0.92820069204152233</v>
      </c>
      <c r="S231">
        <f>MAX(0.8,MIN(1.2,AVERAGE(TEAM_ANALYSIS!$W$2:$W$21)/Q231))</f>
        <v>1.2</v>
      </c>
      <c r="T231">
        <f>AVERAGE(R231,S231)</f>
        <v>1.0641003460207612</v>
      </c>
    </row>
    <row r="232" spans="1:20" x14ac:dyDescent="0.25">
      <c r="A232">
        <v>12</v>
      </c>
      <c r="B232" t="b">
        <v>0</v>
      </c>
      <c r="C232" s="6">
        <v>46354.625</v>
      </c>
      <c r="D232" t="b">
        <v>0</v>
      </c>
      <c r="E232">
        <v>15</v>
      </c>
      <c r="F232">
        <v>1</v>
      </c>
      <c r="G232">
        <v>5</v>
      </c>
      <c r="H232" t="s">
        <v>1111</v>
      </c>
      <c r="I232" t="s">
        <v>1096</v>
      </c>
      <c r="J232" t="s">
        <v>1068</v>
      </c>
      <c r="K232" t="str">
        <f>tblTeamFixtures[[#This Row],[Team_name]]&amp;"_"&amp;tblTeamFixtures[[#This Row],[GW]]</f>
        <v>MCI_12</v>
      </c>
      <c r="L232">
        <f>IFERROR(INDEX(TEAM_ANALYSIS!$Y:$Y,MATCH($E232,TEAM_ANALYSIS!$A:$A,0)),1)</f>
        <v>1.3235294117647058</v>
      </c>
      <c r="M232">
        <f>IFERROR(INDEX(TEAM_ANALYSIS!$Z:$Z,MATCH($E232,TEAM_ANALYSIS!$A:$A,0)),1)</f>
        <v>0.73529411764705888</v>
      </c>
      <c r="N232">
        <f>IFERROR(INDEX(TEAM_ANALYSIS!$Y:$Y,MATCH($F232,TEAM_ANALYSIS!$A:$A,0)),1)</f>
        <v>1.2058823529411764</v>
      </c>
      <c r="O232">
        <f>IFERROR(INDEX(TEAM_ANALYSIS!$Z:$Z,MATCH($F232,TEAM_ANALYSIS!$A:$A,0)),1)</f>
        <v>0.61764705882352944</v>
      </c>
      <c r="P232">
        <f>MAX(0.05,AVERAGE(TEAM_ANALYSIS!$W$2:$W$21)*L232*O232)</f>
        <v>1.7371323529411766</v>
      </c>
      <c r="Q232">
        <f>MAX(0.05,AVERAGE(TEAM_ANALYSIS!$W$2:$W$21)*N232*M232)</f>
        <v>1.8841911764705883</v>
      </c>
      <c r="R232" s="23">
        <f>MAX(0.8,MIN(1.2,P232/AVERAGE(TEAM_ANALYSIS!$W$2:$W$21)))</f>
        <v>0.81747404844290661</v>
      </c>
      <c r="S232">
        <f>MAX(0.8,MIN(1.2,AVERAGE(TEAM_ANALYSIS!$W$2:$W$21)/Q232))</f>
        <v>1.1278048780487804</v>
      </c>
      <c r="T232">
        <f>AVERAGE(R232,S232)</f>
        <v>0.97263946324584349</v>
      </c>
    </row>
    <row r="233" spans="1:20" x14ac:dyDescent="0.25">
      <c r="A233">
        <v>12</v>
      </c>
      <c r="B233" t="b">
        <v>0</v>
      </c>
      <c r="C233" s="6">
        <v>46354.625</v>
      </c>
      <c r="D233" t="b">
        <v>0</v>
      </c>
      <c r="E233">
        <v>17</v>
      </c>
      <c r="F233">
        <v>5</v>
      </c>
      <c r="G233">
        <v>3</v>
      </c>
      <c r="H233" t="s">
        <v>1111</v>
      </c>
      <c r="I233" t="s">
        <v>1100</v>
      </c>
      <c r="J233" t="s">
        <v>1076</v>
      </c>
      <c r="K233" t="str">
        <f>tblTeamFixtures[[#This Row],[Team_name]]&amp;"_"&amp;tblTeamFixtures[[#This Row],[GW]]</f>
        <v>NEW_12</v>
      </c>
      <c r="L233">
        <f>IFERROR(INDEX(TEAM_ANALYSIS!$Y:$Y,MATCH($E233,TEAM_ANALYSIS!$A:$A,0)),1)</f>
        <v>1.2058823529411764</v>
      </c>
      <c r="M233">
        <f>IFERROR(INDEX(TEAM_ANALYSIS!$Z:$Z,MATCH($E233,TEAM_ANALYSIS!$A:$A,0)),1)</f>
        <v>0.97058823529411764</v>
      </c>
      <c r="N233">
        <f>IFERROR(INDEX(TEAM_ANALYSIS!$Y:$Y,MATCH($F233,TEAM_ANALYSIS!$A:$A,0)),1)</f>
        <v>1.4411764705882353</v>
      </c>
      <c r="O233">
        <f>IFERROR(INDEX(TEAM_ANALYSIS!$Z:$Z,MATCH($F233,TEAM_ANALYSIS!$A:$A,0)),1)</f>
        <v>1.088235294117647</v>
      </c>
      <c r="P233">
        <f>MAX(0.05,AVERAGE(TEAM_ANALYSIS!$W$2:$W$21)*L233*O233)</f>
        <v>2.7886029411764706</v>
      </c>
      <c r="Q233">
        <f>MAX(0.05,AVERAGE(TEAM_ANALYSIS!$W$2:$W$21)*N233*M233)</f>
        <v>2.9724264705882351</v>
      </c>
      <c r="R233" s="23">
        <f>MAX(0.8,MIN(1.2,P233/AVERAGE(TEAM_ANALYSIS!$W$2:$W$21)))</f>
        <v>1.2</v>
      </c>
      <c r="S233">
        <f>MAX(0.8,MIN(1.2,AVERAGE(TEAM_ANALYSIS!$W$2:$W$21)/Q233))</f>
        <v>0.8</v>
      </c>
      <c r="T233">
        <f>AVERAGE(R233,S233)</f>
        <v>1</v>
      </c>
    </row>
    <row r="234" spans="1:20" x14ac:dyDescent="0.25">
      <c r="A234">
        <v>12</v>
      </c>
      <c r="B234" t="b">
        <v>0</v>
      </c>
      <c r="C234" s="6">
        <v>46354.625</v>
      </c>
      <c r="D234" t="b">
        <v>0</v>
      </c>
      <c r="E234">
        <v>11</v>
      </c>
      <c r="F234">
        <v>8</v>
      </c>
      <c r="G234">
        <v>3</v>
      </c>
      <c r="H234" t="s">
        <v>1111</v>
      </c>
      <c r="I234" t="s">
        <v>1088</v>
      </c>
      <c r="J234" t="s">
        <v>1082</v>
      </c>
      <c r="K234" t="str">
        <f>tblTeamFixtures[[#This Row],[Team_name]]&amp;"_"&amp;tblTeamFixtures[[#This Row],[GW]]</f>
        <v>HUL_12</v>
      </c>
      <c r="L234">
        <f>IFERROR(INDEX(TEAM_ANALYSIS!$Y:$Y,MATCH($E234,TEAM_ANALYSIS!$A:$A,0)),1)</f>
        <v>0.8529411764705882</v>
      </c>
      <c r="M234">
        <f>IFERROR(INDEX(TEAM_ANALYSIS!$Z:$Z,MATCH($E234,TEAM_ANALYSIS!$A:$A,0)),1)</f>
        <v>0.5</v>
      </c>
      <c r="N234">
        <f>IFERROR(INDEX(TEAM_ANALYSIS!$Y:$Y,MATCH($F234,TEAM_ANALYSIS!$A:$A,0)),1)</f>
        <v>0.97058823529411764</v>
      </c>
      <c r="O234">
        <f>IFERROR(INDEX(TEAM_ANALYSIS!$Z:$Z,MATCH($F234,TEAM_ANALYSIS!$A:$A,0)),1)</f>
        <v>1.4411764705882353</v>
      </c>
      <c r="P234">
        <f>MAX(0.05,AVERAGE(TEAM_ANALYSIS!$W$2:$W$21)*L234*O234)</f>
        <v>2.6121323529411766</v>
      </c>
      <c r="Q234">
        <f>MAX(0.05,AVERAGE(TEAM_ANALYSIS!$W$2:$W$21)*N234*M234)</f>
        <v>1.03125</v>
      </c>
      <c r="R234" s="23">
        <f>MAX(0.8,MIN(1.2,P234/AVERAGE(TEAM_ANALYSIS!$W$2:$W$21)))</f>
        <v>1.2</v>
      </c>
      <c r="S234">
        <f>MAX(0.8,MIN(1.2,AVERAGE(TEAM_ANALYSIS!$W$2:$W$21)/Q234))</f>
        <v>1.2</v>
      </c>
      <c r="T234">
        <f>AVERAGE(R234,S234)</f>
        <v>1.2</v>
      </c>
    </row>
    <row r="235" spans="1:20" x14ac:dyDescent="0.25">
      <c r="A235">
        <v>12</v>
      </c>
      <c r="B235" t="b">
        <v>0</v>
      </c>
      <c r="C235" s="6">
        <v>46354.625</v>
      </c>
      <c r="D235" t="b">
        <v>0</v>
      </c>
      <c r="E235">
        <v>14</v>
      </c>
      <c r="F235">
        <v>9</v>
      </c>
      <c r="G235">
        <v>3</v>
      </c>
      <c r="H235" t="s">
        <v>1111</v>
      </c>
      <c r="I235" t="s">
        <v>1094</v>
      </c>
      <c r="J235" t="s">
        <v>1084</v>
      </c>
      <c r="K235" t="str">
        <f>tblTeamFixtures[[#This Row],[Team_name]]&amp;"_"&amp;tblTeamFixtures[[#This Row],[GW]]</f>
        <v>LIV_12</v>
      </c>
      <c r="L235">
        <f>IFERROR(INDEX(TEAM_ANALYSIS!$Y:$Y,MATCH($E235,TEAM_ANALYSIS!$A:$A,0)),1)</f>
        <v>1.2058823529411764</v>
      </c>
      <c r="M235">
        <f>IFERROR(INDEX(TEAM_ANALYSIS!$Z:$Z,MATCH($E235,TEAM_ANALYSIS!$A:$A,0)),1)</f>
        <v>0.97058823529411764</v>
      </c>
      <c r="N235">
        <f>IFERROR(INDEX(TEAM_ANALYSIS!$Y:$Y,MATCH($F235,TEAM_ANALYSIS!$A:$A,0)),1)</f>
        <v>1.088235294117647</v>
      </c>
      <c r="O235">
        <f>IFERROR(INDEX(TEAM_ANALYSIS!$Z:$Z,MATCH($F235,TEAM_ANALYSIS!$A:$A,0)),1)</f>
        <v>0.8529411764705882</v>
      </c>
      <c r="P235">
        <f>MAX(0.05,AVERAGE(TEAM_ANALYSIS!$W$2:$W$21)*L235*O235)</f>
        <v>2.1856617647058822</v>
      </c>
      <c r="Q235">
        <f>MAX(0.05,AVERAGE(TEAM_ANALYSIS!$W$2:$W$21)*N235*M235)</f>
        <v>2.2444852941176472</v>
      </c>
      <c r="R235" s="23">
        <f>MAX(0.8,MIN(1.2,P235/AVERAGE(TEAM_ANALYSIS!$W$2:$W$21)))</f>
        <v>1.0285467128027681</v>
      </c>
      <c r="S235">
        <f>MAX(0.8,MIN(1.2,AVERAGE(TEAM_ANALYSIS!$W$2:$W$21)/Q235))</f>
        <v>0.94676494676494671</v>
      </c>
      <c r="T235">
        <f>AVERAGE(R235,S235)</f>
        <v>0.98765582978385735</v>
      </c>
    </row>
    <row r="236" spans="1:20" x14ac:dyDescent="0.25">
      <c r="A236">
        <v>12</v>
      </c>
      <c r="B236" t="b">
        <v>0</v>
      </c>
      <c r="C236" s="6">
        <v>46354.625</v>
      </c>
      <c r="D236" t="b">
        <v>0</v>
      </c>
      <c r="E236">
        <v>3</v>
      </c>
      <c r="F236">
        <v>10</v>
      </c>
      <c r="G236">
        <v>3</v>
      </c>
      <c r="H236" t="s">
        <v>1111</v>
      </c>
      <c r="I236" t="s">
        <v>1072</v>
      </c>
      <c r="J236" t="s">
        <v>1086</v>
      </c>
      <c r="K236" t="str">
        <f>tblTeamFixtures[[#This Row],[Team_name]]&amp;"_"&amp;tblTeamFixtures[[#This Row],[GW]]</f>
        <v>BOU_12</v>
      </c>
      <c r="L236">
        <f>IFERROR(INDEX(TEAM_ANALYSIS!$Y:$Y,MATCH($E236,TEAM_ANALYSIS!$A:$A,0)),1)</f>
        <v>0.97058823529411764</v>
      </c>
      <c r="M236">
        <f>IFERROR(INDEX(TEAM_ANALYSIS!$Z:$Z,MATCH($E236,TEAM_ANALYSIS!$A:$A,0)),1)</f>
        <v>1.088235294117647</v>
      </c>
      <c r="N236">
        <f>IFERROR(INDEX(TEAM_ANALYSIS!$Y:$Y,MATCH($F236,TEAM_ANALYSIS!$A:$A,0)),1)</f>
        <v>0.97058823529411764</v>
      </c>
      <c r="O236">
        <f>IFERROR(INDEX(TEAM_ANALYSIS!$Z:$Z,MATCH($F236,TEAM_ANALYSIS!$A:$A,0)),1)</f>
        <v>1.3235294117647058</v>
      </c>
      <c r="P236">
        <f>MAX(0.05,AVERAGE(TEAM_ANALYSIS!$W$2:$W$21)*L236*O236)</f>
        <v>2.7297794117647056</v>
      </c>
      <c r="Q236">
        <f>MAX(0.05,AVERAGE(TEAM_ANALYSIS!$W$2:$W$21)*N236*M236)</f>
        <v>2.2444852941176467</v>
      </c>
      <c r="R236" s="23">
        <f>MAX(0.8,MIN(1.2,P236/AVERAGE(TEAM_ANALYSIS!$W$2:$W$21)))</f>
        <v>1.2</v>
      </c>
      <c r="S236">
        <f>MAX(0.8,MIN(1.2,AVERAGE(TEAM_ANALYSIS!$W$2:$W$21)/Q236))</f>
        <v>0.94676494676494694</v>
      </c>
      <c r="T236">
        <f>AVERAGE(R236,S236)</f>
        <v>1.0733824733824735</v>
      </c>
    </row>
    <row r="237" spans="1:20" x14ac:dyDescent="0.25">
      <c r="A237">
        <v>12</v>
      </c>
      <c r="B237" t="b">
        <v>0</v>
      </c>
      <c r="C237" s="6">
        <v>46354.625</v>
      </c>
      <c r="D237" t="b">
        <v>0</v>
      </c>
      <c r="E237">
        <v>2</v>
      </c>
      <c r="F237">
        <v>12</v>
      </c>
      <c r="G237">
        <v>2</v>
      </c>
      <c r="H237" t="s">
        <v>1111</v>
      </c>
      <c r="I237" t="s">
        <v>1070</v>
      </c>
      <c r="J237" t="s">
        <v>1090</v>
      </c>
      <c r="K237" t="str">
        <f>tblTeamFixtures[[#This Row],[Team_name]]&amp;"_"&amp;tblTeamFixtures[[#This Row],[GW]]</f>
        <v>AVL_12</v>
      </c>
      <c r="L237">
        <f>IFERROR(INDEX(TEAM_ANALYSIS!$Y:$Y,MATCH($E237,TEAM_ANALYSIS!$A:$A,0)),1)</f>
        <v>0.5</v>
      </c>
      <c r="M237">
        <f>IFERROR(INDEX(TEAM_ANALYSIS!$Z:$Z,MATCH($E237,TEAM_ANALYSIS!$A:$A,0)),1)</f>
        <v>1.088235294117647</v>
      </c>
      <c r="N237">
        <f>IFERROR(INDEX(TEAM_ANALYSIS!$Y:$Y,MATCH($F237,TEAM_ANALYSIS!$A:$A,0)),1)</f>
        <v>0.97058823529411764</v>
      </c>
      <c r="O237">
        <f>IFERROR(INDEX(TEAM_ANALYSIS!$Z:$Z,MATCH($F237,TEAM_ANALYSIS!$A:$A,0)),1)</f>
        <v>1.4411764705882353</v>
      </c>
      <c r="P237">
        <f>MAX(0.05,AVERAGE(TEAM_ANALYSIS!$W$2:$W$21)*L237*O237)</f>
        <v>1.53125</v>
      </c>
      <c r="Q237">
        <f>MAX(0.05,AVERAGE(TEAM_ANALYSIS!$W$2:$W$21)*N237*M237)</f>
        <v>2.2444852941176467</v>
      </c>
      <c r="R237" s="23">
        <f>MAX(0.8,MIN(1.2,P237/AVERAGE(TEAM_ANALYSIS!$W$2:$W$21)))</f>
        <v>0.8</v>
      </c>
      <c r="S237">
        <f>MAX(0.8,MIN(1.2,AVERAGE(TEAM_ANALYSIS!$W$2:$W$21)/Q237))</f>
        <v>0.94676494676494694</v>
      </c>
      <c r="T237">
        <f>AVERAGE(R237,S237)</f>
        <v>0.87338247338247355</v>
      </c>
    </row>
    <row r="238" spans="1:20" x14ac:dyDescent="0.25">
      <c r="A238">
        <v>12</v>
      </c>
      <c r="B238" t="b">
        <v>0</v>
      </c>
      <c r="C238" s="6">
        <v>46354.625</v>
      </c>
      <c r="D238" t="b">
        <v>0</v>
      </c>
      <c r="E238">
        <v>7</v>
      </c>
      <c r="F238">
        <v>13</v>
      </c>
      <c r="G238">
        <v>3</v>
      </c>
      <c r="H238" t="s">
        <v>1111</v>
      </c>
      <c r="I238" t="s">
        <v>1080</v>
      </c>
      <c r="J238" t="s">
        <v>1092</v>
      </c>
      <c r="K238" t="str">
        <f>tblTeamFixtures[[#This Row],[Team_name]]&amp;"_"&amp;tblTeamFixtures[[#This Row],[GW]]</f>
        <v>COV_12</v>
      </c>
      <c r="L238">
        <f>IFERROR(INDEX(TEAM_ANALYSIS!$Y:$Y,MATCH($E238,TEAM_ANALYSIS!$A:$A,0)),1)</f>
        <v>0.5</v>
      </c>
      <c r="M238">
        <f>IFERROR(INDEX(TEAM_ANALYSIS!$Z:$Z,MATCH($E238,TEAM_ANALYSIS!$A:$A,0)),1)</f>
        <v>1.088235294117647</v>
      </c>
      <c r="N238">
        <f>IFERROR(INDEX(TEAM_ANALYSIS!$Y:$Y,MATCH($F238,TEAM_ANALYSIS!$A:$A,0)),1)</f>
        <v>0.8529411764705882</v>
      </c>
      <c r="O238">
        <f>IFERROR(INDEX(TEAM_ANALYSIS!$Z:$Z,MATCH($F238,TEAM_ANALYSIS!$A:$A,0)),1)</f>
        <v>0.73529411764705888</v>
      </c>
      <c r="P238">
        <f>MAX(0.05,AVERAGE(TEAM_ANALYSIS!$W$2:$W$21)*L238*O238)</f>
        <v>0.78125</v>
      </c>
      <c r="Q238">
        <f>MAX(0.05,AVERAGE(TEAM_ANALYSIS!$W$2:$W$21)*N238*M238)</f>
        <v>1.9724264705882351</v>
      </c>
      <c r="R238" s="23">
        <f>MAX(0.8,MIN(1.2,P238/AVERAGE(TEAM_ANALYSIS!$W$2:$W$21)))</f>
        <v>0.8</v>
      </c>
      <c r="S238">
        <f>MAX(0.8,MIN(1.2,AVERAGE(TEAM_ANALYSIS!$W$2:$W$21)/Q238))</f>
        <v>1.07735321528425</v>
      </c>
      <c r="T238">
        <f>AVERAGE(R238,S238)</f>
        <v>0.93867660764212502</v>
      </c>
    </row>
    <row r="239" spans="1:20" x14ac:dyDescent="0.25">
      <c r="A239">
        <v>12</v>
      </c>
      <c r="B239" t="b">
        <v>0</v>
      </c>
      <c r="C239" s="6">
        <v>46354.625</v>
      </c>
      <c r="D239" t="b">
        <v>0</v>
      </c>
      <c r="E239">
        <v>4</v>
      </c>
      <c r="F239">
        <v>16</v>
      </c>
      <c r="G239">
        <v>4</v>
      </c>
      <c r="H239" t="s">
        <v>1111</v>
      </c>
      <c r="I239" t="s">
        <v>1074</v>
      </c>
      <c r="J239" t="s">
        <v>1098</v>
      </c>
      <c r="K239" t="str">
        <f>tblTeamFixtures[[#This Row],[Team_name]]&amp;"_"&amp;tblTeamFixtures[[#This Row],[GW]]</f>
        <v>BRE_12</v>
      </c>
      <c r="L239">
        <f>IFERROR(INDEX(TEAM_ANALYSIS!$Y:$Y,MATCH($E239,TEAM_ANALYSIS!$A:$A,0)),1)</f>
        <v>1.088235294117647</v>
      </c>
      <c r="M239">
        <f>IFERROR(INDEX(TEAM_ANALYSIS!$Z:$Z,MATCH($E239,TEAM_ANALYSIS!$A:$A,0)),1)</f>
        <v>0.73529411764705888</v>
      </c>
      <c r="N239">
        <f>IFERROR(INDEX(TEAM_ANALYSIS!$Y:$Y,MATCH($F239,TEAM_ANALYSIS!$A:$A,0)),1)</f>
        <v>1.3235294117647058</v>
      </c>
      <c r="O239">
        <f>IFERROR(INDEX(TEAM_ANALYSIS!$Z:$Z,MATCH($F239,TEAM_ANALYSIS!$A:$A,0)),1)</f>
        <v>1.2058823529411764</v>
      </c>
      <c r="P239">
        <f>MAX(0.05,AVERAGE(TEAM_ANALYSIS!$W$2:$W$21)*L239*O239)</f>
        <v>2.7886029411764706</v>
      </c>
      <c r="Q239">
        <f>MAX(0.05,AVERAGE(TEAM_ANALYSIS!$W$2:$W$21)*N239*M239)</f>
        <v>2.0680147058823533</v>
      </c>
      <c r="R239" s="23">
        <f>MAX(0.8,MIN(1.2,P239/AVERAGE(TEAM_ANALYSIS!$W$2:$W$21)))</f>
        <v>1.2</v>
      </c>
      <c r="S239">
        <f>MAX(0.8,MIN(1.2,AVERAGE(TEAM_ANALYSIS!$W$2:$W$21)/Q239))</f>
        <v>1.0275555555555553</v>
      </c>
      <c r="T239">
        <f>AVERAGE(R239,S239)</f>
        <v>1.1137777777777775</v>
      </c>
    </row>
    <row r="240" spans="1:20" x14ac:dyDescent="0.25">
      <c r="A240">
        <v>12</v>
      </c>
      <c r="B240" t="b">
        <v>0</v>
      </c>
      <c r="C240" s="6">
        <v>46354.625</v>
      </c>
      <c r="D240" t="b">
        <v>0</v>
      </c>
      <c r="E240">
        <v>6</v>
      </c>
      <c r="F240">
        <v>18</v>
      </c>
      <c r="G240">
        <v>3</v>
      </c>
      <c r="H240" t="s">
        <v>1111</v>
      </c>
      <c r="I240" t="s">
        <v>1078</v>
      </c>
      <c r="J240" t="s">
        <v>1102</v>
      </c>
      <c r="K240" t="str">
        <f>tblTeamFixtures[[#This Row],[Team_name]]&amp;"_"&amp;tblTeamFixtures[[#This Row],[GW]]</f>
        <v>CHE_12</v>
      </c>
      <c r="L240">
        <f>IFERROR(INDEX(TEAM_ANALYSIS!$Y:$Y,MATCH($E240,TEAM_ANALYSIS!$A:$A,0)),1)</f>
        <v>1.4411764705882353</v>
      </c>
      <c r="M240">
        <f>IFERROR(INDEX(TEAM_ANALYSIS!$Z:$Z,MATCH($E240,TEAM_ANALYSIS!$A:$A,0)),1)</f>
        <v>1.3235294117647058</v>
      </c>
      <c r="N240">
        <f>IFERROR(INDEX(TEAM_ANALYSIS!$Y:$Y,MATCH($F240,TEAM_ANALYSIS!$A:$A,0)),1)</f>
        <v>0.73529411764705888</v>
      </c>
      <c r="O240">
        <f>IFERROR(INDEX(TEAM_ANALYSIS!$Z:$Z,MATCH($F240,TEAM_ANALYSIS!$A:$A,0)),1)</f>
        <v>0.8529411764705882</v>
      </c>
      <c r="P240">
        <f>MAX(0.05,AVERAGE(TEAM_ANALYSIS!$W$2:$W$21)*L240*O240)</f>
        <v>2.6121323529411762</v>
      </c>
      <c r="Q240">
        <f>MAX(0.05,AVERAGE(TEAM_ANALYSIS!$W$2:$W$21)*N240*M240)</f>
        <v>2.0680147058823528</v>
      </c>
      <c r="R240" s="23">
        <f>MAX(0.8,MIN(1.2,P240/AVERAGE(TEAM_ANALYSIS!$W$2:$W$21)))</f>
        <v>1.2</v>
      </c>
      <c r="S240">
        <f>MAX(0.8,MIN(1.2,AVERAGE(TEAM_ANALYSIS!$W$2:$W$21)/Q240))</f>
        <v>1.0275555555555556</v>
      </c>
      <c r="T240">
        <f>AVERAGE(R240,S240)</f>
        <v>1.1137777777777778</v>
      </c>
    </row>
    <row r="241" spans="1:20" x14ac:dyDescent="0.25">
      <c r="A241">
        <v>12</v>
      </c>
      <c r="B241" t="b">
        <v>0</v>
      </c>
      <c r="C241" s="6">
        <v>46354.625</v>
      </c>
      <c r="D241" t="b">
        <v>0</v>
      </c>
      <c r="E241">
        <v>19</v>
      </c>
      <c r="F241">
        <v>20</v>
      </c>
      <c r="G241">
        <v>3</v>
      </c>
      <c r="H241" t="s">
        <v>1111</v>
      </c>
      <c r="I241" t="s">
        <v>1104</v>
      </c>
      <c r="J241" t="s">
        <v>1106</v>
      </c>
      <c r="K241" t="str">
        <f>tblTeamFixtures[[#This Row],[Team_name]]&amp;"_"&amp;tblTeamFixtures[[#This Row],[GW]]</f>
        <v>TOT_12</v>
      </c>
      <c r="L241">
        <f>IFERROR(INDEX(TEAM_ANALYSIS!$Y:$Y,MATCH($E241,TEAM_ANALYSIS!$A:$A,0)),1)</f>
        <v>0.5</v>
      </c>
      <c r="M241">
        <f>IFERROR(INDEX(TEAM_ANALYSIS!$Z:$Z,MATCH($E241,TEAM_ANALYSIS!$A:$A,0)),1)</f>
        <v>1.088235294117647</v>
      </c>
      <c r="N241">
        <f>IFERROR(INDEX(TEAM_ANALYSIS!$Y:$Y,MATCH($F241,TEAM_ANALYSIS!$A:$A,0)),1)</f>
        <v>0.8529411764705882</v>
      </c>
      <c r="O241">
        <f>IFERROR(INDEX(TEAM_ANALYSIS!$Z:$Z,MATCH($F241,TEAM_ANALYSIS!$A:$A,0)),1)</f>
        <v>0.8529411764705882</v>
      </c>
      <c r="P241">
        <f>MAX(0.05,AVERAGE(TEAM_ANALYSIS!$W$2:$W$21)*L241*O241)</f>
        <v>0.90625</v>
      </c>
      <c r="Q241">
        <f>MAX(0.05,AVERAGE(TEAM_ANALYSIS!$W$2:$W$21)*N241*M241)</f>
        <v>1.9724264705882351</v>
      </c>
      <c r="R241" s="23">
        <f>MAX(0.8,MIN(1.2,P241/AVERAGE(TEAM_ANALYSIS!$W$2:$W$21)))</f>
        <v>0.8</v>
      </c>
      <c r="S241">
        <f>MAX(0.8,MIN(1.2,AVERAGE(TEAM_ANALYSIS!$W$2:$W$21)/Q241))</f>
        <v>1.07735321528425</v>
      </c>
      <c r="T241">
        <f>AVERAGE(R241,S241)</f>
        <v>0.93867660764212502</v>
      </c>
    </row>
    <row r="242" spans="1:20" x14ac:dyDescent="0.25">
      <c r="A242">
        <v>13</v>
      </c>
      <c r="B242" t="b">
        <v>0</v>
      </c>
      <c r="C242" s="6">
        <v>46358.833333333336</v>
      </c>
      <c r="D242" t="b">
        <v>0</v>
      </c>
      <c r="E242">
        <v>2</v>
      </c>
      <c r="F242">
        <v>9</v>
      </c>
      <c r="G242">
        <v>3</v>
      </c>
      <c r="H242" t="s">
        <v>1110</v>
      </c>
      <c r="I242" t="s">
        <v>1070</v>
      </c>
      <c r="J242" t="s">
        <v>1084</v>
      </c>
      <c r="K242" t="str">
        <f>tblTeamFixtures[[#This Row],[Team_name]]&amp;"_"&amp;tblTeamFixtures[[#This Row],[GW]]</f>
        <v>AVL_13</v>
      </c>
      <c r="L242">
        <f>IFERROR(INDEX(TEAM_ANALYSIS!$Y:$Y,MATCH($E242,TEAM_ANALYSIS!$A:$A,0)),1)</f>
        <v>0.5</v>
      </c>
      <c r="M242">
        <f>IFERROR(INDEX(TEAM_ANALYSIS!$Z:$Z,MATCH($E242,TEAM_ANALYSIS!$A:$A,0)),1)</f>
        <v>1.088235294117647</v>
      </c>
      <c r="N242">
        <f>IFERROR(INDEX(TEAM_ANALYSIS!$Y:$Y,MATCH($F242,TEAM_ANALYSIS!$A:$A,0)),1)</f>
        <v>1.088235294117647</v>
      </c>
      <c r="O242">
        <f>IFERROR(INDEX(TEAM_ANALYSIS!$Z:$Z,MATCH($F242,TEAM_ANALYSIS!$A:$A,0)),1)</f>
        <v>0.8529411764705882</v>
      </c>
      <c r="P242">
        <f>MAX(0.05,AVERAGE(TEAM_ANALYSIS!$W$2:$W$21)*L242*O242)</f>
        <v>0.90625</v>
      </c>
      <c r="Q242">
        <f>MAX(0.05,AVERAGE(TEAM_ANALYSIS!$W$2:$W$21)*N242*M242)</f>
        <v>2.5165441176470584</v>
      </c>
      <c r="R242" s="23">
        <f>MAX(0.8,MIN(1.2,P242/AVERAGE(TEAM_ANALYSIS!$W$2:$W$21)))</f>
        <v>0.8</v>
      </c>
      <c r="S242">
        <f>MAX(0.8,MIN(1.2,AVERAGE(TEAM_ANALYSIS!$W$2:$W$21)/Q242))</f>
        <v>0.84441197954711478</v>
      </c>
      <c r="T242">
        <f>AVERAGE(R242,S242)</f>
        <v>0.82220598977355741</v>
      </c>
    </row>
    <row r="243" spans="1:20" x14ac:dyDescent="0.25">
      <c r="A243">
        <v>13</v>
      </c>
      <c r="B243" t="b">
        <v>0</v>
      </c>
      <c r="C243" s="6">
        <v>46358.833333333336</v>
      </c>
      <c r="D243" t="b">
        <v>0</v>
      </c>
      <c r="E243">
        <v>3</v>
      </c>
      <c r="F243">
        <v>5</v>
      </c>
      <c r="G243">
        <v>2</v>
      </c>
      <c r="H243" t="s">
        <v>1110</v>
      </c>
      <c r="I243" t="s">
        <v>1072</v>
      </c>
      <c r="J243" t="s">
        <v>1076</v>
      </c>
      <c r="K243" t="str">
        <f>tblTeamFixtures[[#This Row],[Team_name]]&amp;"_"&amp;tblTeamFixtures[[#This Row],[GW]]</f>
        <v>BOU_13</v>
      </c>
      <c r="L243">
        <f>IFERROR(INDEX(TEAM_ANALYSIS!$Y:$Y,MATCH($E243,TEAM_ANALYSIS!$A:$A,0)),1)</f>
        <v>0.97058823529411764</v>
      </c>
      <c r="M243">
        <f>IFERROR(INDEX(TEAM_ANALYSIS!$Z:$Z,MATCH($E243,TEAM_ANALYSIS!$A:$A,0)),1)</f>
        <v>1.088235294117647</v>
      </c>
      <c r="N243">
        <f>IFERROR(INDEX(TEAM_ANALYSIS!$Y:$Y,MATCH($F243,TEAM_ANALYSIS!$A:$A,0)),1)</f>
        <v>1.4411764705882353</v>
      </c>
      <c r="O243">
        <f>IFERROR(INDEX(TEAM_ANALYSIS!$Z:$Z,MATCH($F243,TEAM_ANALYSIS!$A:$A,0)),1)</f>
        <v>1.088235294117647</v>
      </c>
      <c r="P243">
        <f>MAX(0.05,AVERAGE(TEAM_ANALYSIS!$W$2:$W$21)*L243*O243)</f>
        <v>2.2444852941176467</v>
      </c>
      <c r="Q243">
        <f>MAX(0.05,AVERAGE(TEAM_ANALYSIS!$W$2:$W$21)*N243*M243)</f>
        <v>3.3327205882352939</v>
      </c>
      <c r="R243" s="23">
        <f>MAX(0.8,MIN(1.2,P243/AVERAGE(TEAM_ANALYSIS!$W$2:$W$21)))</f>
        <v>1.0562283737024221</v>
      </c>
      <c r="S243">
        <f>MAX(0.8,MIN(1.2,AVERAGE(TEAM_ANALYSIS!$W$2:$W$21)/Q243))</f>
        <v>0.8</v>
      </c>
      <c r="T243">
        <f>AVERAGE(R243,S243)</f>
        <v>0.92811418685121105</v>
      </c>
    </row>
    <row r="244" spans="1:20" x14ac:dyDescent="0.25">
      <c r="A244">
        <v>13</v>
      </c>
      <c r="B244" t="b">
        <v>0</v>
      </c>
      <c r="C244" s="6">
        <v>46358.833333333336</v>
      </c>
      <c r="D244" t="b">
        <v>0</v>
      </c>
      <c r="E244">
        <v>4</v>
      </c>
      <c r="F244">
        <v>1</v>
      </c>
      <c r="G244">
        <v>4</v>
      </c>
      <c r="H244" t="s">
        <v>1110</v>
      </c>
      <c r="I244" t="s">
        <v>1074</v>
      </c>
      <c r="J244" t="s">
        <v>1068</v>
      </c>
      <c r="K244" t="str">
        <f>tblTeamFixtures[[#This Row],[Team_name]]&amp;"_"&amp;tblTeamFixtures[[#This Row],[GW]]</f>
        <v>BRE_13</v>
      </c>
      <c r="L244">
        <f>IFERROR(INDEX(TEAM_ANALYSIS!$Y:$Y,MATCH($E244,TEAM_ANALYSIS!$A:$A,0)),1)</f>
        <v>1.088235294117647</v>
      </c>
      <c r="M244">
        <f>IFERROR(INDEX(TEAM_ANALYSIS!$Z:$Z,MATCH($E244,TEAM_ANALYSIS!$A:$A,0)),1)</f>
        <v>0.73529411764705888</v>
      </c>
      <c r="N244">
        <f>IFERROR(INDEX(TEAM_ANALYSIS!$Y:$Y,MATCH($F244,TEAM_ANALYSIS!$A:$A,0)),1)</f>
        <v>1.2058823529411764</v>
      </c>
      <c r="O244">
        <f>IFERROR(INDEX(TEAM_ANALYSIS!$Z:$Z,MATCH($F244,TEAM_ANALYSIS!$A:$A,0)),1)</f>
        <v>0.61764705882352944</v>
      </c>
      <c r="P244">
        <f>MAX(0.05,AVERAGE(TEAM_ANALYSIS!$W$2:$W$21)*L244*O244)</f>
        <v>1.4283088235294119</v>
      </c>
      <c r="Q244">
        <f>MAX(0.05,AVERAGE(TEAM_ANALYSIS!$W$2:$W$21)*N244*M244)</f>
        <v>1.8841911764705883</v>
      </c>
      <c r="R244" s="23">
        <f>MAX(0.8,MIN(1.2,P244/AVERAGE(TEAM_ANALYSIS!$W$2:$W$21)))</f>
        <v>0.8</v>
      </c>
      <c r="S244">
        <f>MAX(0.8,MIN(1.2,AVERAGE(TEAM_ANALYSIS!$W$2:$W$21)/Q244))</f>
        <v>1.1278048780487804</v>
      </c>
      <c r="T244">
        <f>AVERAGE(R244,S244)</f>
        <v>0.96390243902439021</v>
      </c>
    </row>
    <row r="245" spans="1:20" x14ac:dyDescent="0.25">
      <c r="A245">
        <v>13</v>
      </c>
      <c r="B245" t="b">
        <v>0</v>
      </c>
      <c r="C245" s="6">
        <v>46358.833333333336</v>
      </c>
      <c r="D245" t="b">
        <v>0</v>
      </c>
      <c r="E245">
        <v>6</v>
      </c>
      <c r="F245">
        <v>8</v>
      </c>
      <c r="G245">
        <v>3</v>
      </c>
      <c r="H245" t="s">
        <v>1110</v>
      </c>
      <c r="I245" t="s">
        <v>1078</v>
      </c>
      <c r="J245" t="s">
        <v>1082</v>
      </c>
      <c r="K245" t="str">
        <f>tblTeamFixtures[[#This Row],[Team_name]]&amp;"_"&amp;tblTeamFixtures[[#This Row],[GW]]</f>
        <v>CHE_13</v>
      </c>
      <c r="L245">
        <f>IFERROR(INDEX(TEAM_ANALYSIS!$Y:$Y,MATCH($E245,TEAM_ANALYSIS!$A:$A,0)),1)</f>
        <v>1.4411764705882353</v>
      </c>
      <c r="M245">
        <f>IFERROR(INDEX(TEAM_ANALYSIS!$Z:$Z,MATCH($E245,TEAM_ANALYSIS!$A:$A,0)),1)</f>
        <v>1.3235294117647058</v>
      </c>
      <c r="N245">
        <f>IFERROR(INDEX(TEAM_ANALYSIS!$Y:$Y,MATCH($F245,TEAM_ANALYSIS!$A:$A,0)),1)</f>
        <v>0.97058823529411764</v>
      </c>
      <c r="O245">
        <f>IFERROR(INDEX(TEAM_ANALYSIS!$Z:$Z,MATCH($F245,TEAM_ANALYSIS!$A:$A,0)),1)</f>
        <v>1.4411764705882353</v>
      </c>
      <c r="P245">
        <f>MAX(0.05,AVERAGE(TEAM_ANALYSIS!$W$2:$W$21)*L245*O245)</f>
        <v>4.4136029411764701</v>
      </c>
      <c r="Q245">
        <f>MAX(0.05,AVERAGE(TEAM_ANALYSIS!$W$2:$W$21)*N245*M245)</f>
        <v>2.7297794117647056</v>
      </c>
      <c r="R245" s="23">
        <f>MAX(0.8,MIN(1.2,P245/AVERAGE(TEAM_ANALYSIS!$W$2:$W$21)))</f>
        <v>1.2</v>
      </c>
      <c r="S245">
        <f>MAX(0.8,MIN(1.2,AVERAGE(TEAM_ANALYSIS!$W$2:$W$21)/Q245))</f>
        <v>0.8</v>
      </c>
      <c r="T245">
        <f>AVERAGE(R245,S245)</f>
        <v>1</v>
      </c>
    </row>
    <row r="246" spans="1:20" x14ac:dyDescent="0.25">
      <c r="A246">
        <v>13</v>
      </c>
      <c r="B246" t="b">
        <v>0</v>
      </c>
      <c r="C246" s="6">
        <v>46358.833333333336</v>
      </c>
      <c r="D246" t="b">
        <v>0</v>
      </c>
      <c r="E246">
        <v>7</v>
      </c>
      <c r="F246">
        <v>12</v>
      </c>
      <c r="G246">
        <v>2</v>
      </c>
      <c r="H246" t="s">
        <v>1110</v>
      </c>
      <c r="I246" t="s">
        <v>1080</v>
      </c>
      <c r="J246" t="s">
        <v>1090</v>
      </c>
      <c r="K246" t="str">
        <f>tblTeamFixtures[[#This Row],[Team_name]]&amp;"_"&amp;tblTeamFixtures[[#This Row],[GW]]</f>
        <v>COV_13</v>
      </c>
      <c r="L246">
        <f>IFERROR(INDEX(TEAM_ANALYSIS!$Y:$Y,MATCH($E246,TEAM_ANALYSIS!$A:$A,0)),1)</f>
        <v>0.5</v>
      </c>
      <c r="M246">
        <f>IFERROR(INDEX(TEAM_ANALYSIS!$Z:$Z,MATCH($E246,TEAM_ANALYSIS!$A:$A,0)),1)</f>
        <v>1.088235294117647</v>
      </c>
      <c r="N246">
        <f>IFERROR(INDEX(TEAM_ANALYSIS!$Y:$Y,MATCH($F246,TEAM_ANALYSIS!$A:$A,0)),1)</f>
        <v>0.97058823529411764</v>
      </c>
      <c r="O246">
        <f>IFERROR(INDEX(TEAM_ANALYSIS!$Z:$Z,MATCH($F246,TEAM_ANALYSIS!$A:$A,0)),1)</f>
        <v>1.4411764705882353</v>
      </c>
      <c r="P246">
        <f>MAX(0.05,AVERAGE(TEAM_ANALYSIS!$W$2:$W$21)*L246*O246)</f>
        <v>1.53125</v>
      </c>
      <c r="Q246">
        <f>MAX(0.05,AVERAGE(TEAM_ANALYSIS!$W$2:$W$21)*N246*M246)</f>
        <v>2.2444852941176467</v>
      </c>
      <c r="R246" s="23">
        <f>MAX(0.8,MIN(1.2,P246/AVERAGE(TEAM_ANALYSIS!$W$2:$W$21)))</f>
        <v>0.8</v>
      </c>
      <c r="S246">
        <f>MAX(0.8,MIN(1.2,AVERAGE(TEAM_ANALYSIS!$W$2:$W$21)/Q246))</f>
        <v>0.94676494676494694</v>
      </c>
      <c r="T246">
        <f>AVERAGE(R246,S246)</f>
        <v>0.87338247338247355</v>
      </c>
    </row>
    <row r="247" spans="1:20" x14ac:dyDescent="0.25">
      <c r="A247">
        <v>13</v>
      </c>
      <c r="B247" t="b">
        <v>0</v>
      </c>
      <c r="C247" s="6">
        <v>46358.833333333336</v>
      </c>
      <c r="D247" t="b">
        <v>0</v>
      </c>
      <c r="E247">
        <v>11</v>
      </c>
      <c r="F247">
        <v>18</v>
      </c>
      <c r="G247">
        <v>3</v>
      </c>
      <c r="H247" t="s">
        <v>1110</v>
      </c>
      <c r="I247" t="s">
        <v>1088</v>
      </c>
      <c r="J247" t="s">
        <v>1102</v>
      </c>
      <c r="K247" t="str">
        <f>tblTeamFixtures[[#This Row],[Team_name]]&amp;"_"&amp;tblTeamFixtures[[#This Row],[GW]]</f>
        <v>HUL_13</v>
      </c>
      <c r="L247">
        <f>IFERROR(INDEX(TEAM_ANALYSIS!$Y:$Y,MATCH($E247,TEAM_ANALYSIS!$A:$A,0)),1)</f>
        <v>0.8529411764705882</v>
      </c>
      <c r="M247">
        <f>IFERROR(INDEX(TEAM_ANALYSIS!$Z:$Z,MATCH($E247,TEAM_ANALYSIS!$A:$A,0)),1)</f>
        <v>0.5</v>
      </c>
      <c r="N247">
        <f>IFERROR(INDEX(TEAM_ANALYSIS!$Y:$Y,MATCH($F247,TEAM_ANALYSIS!$A:$A,0)),1)</f>
        <v>0.73529411764705888</v>
      </c>
      <c r="O247">
        <f>IFERROR(INDEX(TEAM_ANALYSIS!$Z:$Z,MATCH($F247,TEAM_ANALYSIS!$A:$A,0)),1)</f>
        <v>0.8529411764705882</v>
      </c>
      <c r="P247">
        <f>MAX(0.05,AVERAGE(TEAM_ANALYSIS!$W$2:$W$21)*L247*O247)</f>
        <v>1.5459558823529411</v>
      </c>
      <c r="Q247">
        <f>MAX(0.05,AVERAGE(TEAM_ANALYSIS!$W$2:$W$21)*N247*M247)</f>
        <v>0.78125</v>
      </c>
      <c r="R247" s="23">
        <f>MAX(0.8,MIN(1.2,P247/AVERAGE(TEAM_ANALYSIS!$W$2:$W$21)))</f>
        <v>0.8</v>
      </c>
      <c r="S247">
        <f>MAX(0.8,MIN(1.2,AVERAGE(TEAM_ANALYSIS!$W$2:$W$21)/Q247))</f>
        <v>1.2</v>
      </c>
      <c r="T247">
        <f>AVERAGE(R247,S247)</f>
        <v>1</v>
      </c>
    </row>
    <row r="248" spans="1:20" x14ac:dyDescent="0.25">
      <c r="A248">
        <v>13</v>
      </c>
      <c r="B248" t="b">
        <v>0</v>
      </c>
      <c r="C248" s="6">
        <v>46358.833333333336</v>
      </c>
      <c r="D248" t="b">
        <v>0</v>
      </c>
      <c r="E248">
        <v>14</v>
      </c>
      <c r="F248">
        <v>20</v>
      </c>
      <c r="G248">
        <v>2</v>
      </c>
      <c r="H248" t="s">
        <v>1110</v>
      </c>
      <c r="I248" t="s">
        <v>1094</v>
      </c>
      <c r="J248" t="s">
        <v>1106</v>
      </c>
      <c r="K248" t="str">
        <f>tblTeamFixtures[[#This Row],[Team_name]]&amp;"_"&amp;tblTeamFixtures[[#This Row],[GW]]</f>
        <v>LIV_13</v>
      </c>
      <c r="L248">
        <f>IFERROR(INDEX(TEAM_ANALYSIS!$Y:$Y,MATCH($E248,TEAM_ANALYSIS!$A:$A,0)),1)</f>
        <v>1.2058823529411764</v>
      </c>
      <c r="M248">
        <f>IFERROR(INDEX(TEAM_ANALYSIS!$Z:$Z,MATCH($E248,TEAM_ANALYSIS!$A:$A,0)),1)</f>
        <v>0.97058823529411764</v>
      </c>
      <c r="N248">
        <f>IFERROR(INDEX(TEAM_ANALYSIS!$Y:$Y,MATCH($F248,TEAM_ANALYSIS!$A:$A,0)),1)</f>
        <v>0.8529411764705882</v>
      </c>
      <c r="O248">
        <f>IFERROR(INDEX(TEAM_ANALYSIS!$Z:$Z,MATCH($F248,TEAM_ANALYSIS!$A:$A,0)),1)</f>
        <v>0.8529411764705882</v>
      </c>
      <c r="P248">
        <f>MAX(0.05,AVERAGE(TEAM_ANALYSIS!$W$2:$W$21)*L248*O248)</f>
        <v>2.1856617647058822</v>
      </c>
      <c r="Q248">
        <f>MAX(0.05,AVERAGE(TEAM_ANALYSIS!$W$2:$W$21)*N248*M248)</f>
        <v>1.7591911764705883</v>
      </c>
      <c r="R248" s="23">
        <f>MAX(0.8,MIN(1.2,P248/AVERAGE(TEAM_ANALYSIS!$W$2:$W$21)))</f>
        <v>1.0285467128027681</v>
      </c>
      <c r="S248">
        <f>MAX(0.8,MIN(1.2,AVERAGE(TEAM_ANALYSIS!$W$2:$W$21)/Q248))</f>
        <v>1.2</v>
      </c>
      <c r="T248">
        <f>AVERAGE(R248,S248)</f>
        <v>1.114273356401384</v>
      </c>
    </row>
    <row r="249" spans="1:20" x14ac:dyDescent="0.25">
      <c r="A249">
        <v>13</v>
      </c>
      <c r="B249" t="b">
        <v>0</v>
      </c>
      <c r="C249" s="6">
        <v>46358.833333333336</v>
      </c>
      <c r="D249" t="b">
        <v>0</v>
      </c>
      <c r="E249">
        <v>15</v>
      </c>
      <c r="F249">
        <v>13</v>
      </c>
      <c r="G249">
        <v>2</v>
      </c>
      <c r="H249" t="s">
        <v>1110</v>
      </c>
      <c r="I249" t="s">
        <v>1096</v>
      </c>
      <c r="J249" t="s">
        <v>1092</v>
      </c>
      <c r="K249" t="str">
        <f>tblTeamFixtures[[#This Row],[Team_name]]&amp;"_"&amp;tblTeamFixtures[[#This Row],[GW]]</f>
        <v>MCI_13</v>
      </c>
      <c r="L249">
        <f>IFERROR(INDEX(TEAM_ANALYSIS!$Y:$Y,MATCH($E249,TEAM_ANALYSIS!$A:$A,0)),1)</f>
        <v>1.3235294117647058</v>
      </c>
      <c r="M249">
        <f>IFERROR(INDEX(TEAM_ANALYSIS!$Z:$Z,MATCH($E249,TEAM_ANALYSIS!$A:$A,0)),1)</f>
        <v>0.73529411764705888</v>
      </c>
      <c r="N249">
        <f>IFERROR(INDEX(TEAM_ANALYSIS!$Y:$Y,MATCH($F249,TEAM_ANALYSIS!$A:$A,0)),1)</f>
        <v>0.8529411764705882</v>
      </c>
      <c r="O249">
        <f>IFERROR(INDEX(TEAM_ANALYSIS!$Z:$Z,MATCH($F249,TEAM_ANALYSIS!$A:$A,0)),1)</f>
        <v>0.73529411764705888</v>
      </c>
      <c r="P249">
        <f>MAX(0.05,AVERAGE(TEAM_ANALYSIS!$W$2:$W$21)*L249*O249)</f>
        <v>2.0680147058823533</v>
      </c>
      <c r="Q249">
        <f>MAX(0.05,AVERAGE(TEAM_ANALYSIS!$W$2:$W$21)*N249*M249)</f>
        <v>1.3327205882352942</v>
      </c>
      <c r="R249" s="23">
        <f>MAX(0.8,MIN(1.2,P249/AVERAGE(TEAM_ANALYSIS!$W$2:$W$21)))</f>
        <v>0.97318339100346041</v>
      </c>
      <c r="S249">
        <f>MAX(0.8,MIN(1.2,AVERAGE(TEAM_ANALYSIS!$W$2:$W$21)/Q249))</f>
        <v>1.2</v>
      </c>
      <c r="T249">
        <f>AVERAGE(R249,S249)</f>
        <v>1.0865916955017303</v>
      </c>
    </row>
    <row r="250" spans="1:20" x14ac:dyDescent="0.25">
      <c r="A250">
        <v>13</v>
      </c>
      <c r="B250" t="b">
        <v>0</v>
      </c>
      <c r="C250" s="6">
        <v>46358.833333333336</v>
      </c>
      <c r="D250" t="b">
        <v>0</v>
      </c>
      <c r="E250">
        <v>17</v>
      </c>
      <c r="F250">
        <v>16</v>
      </c>
      <c r="G250">
        <v>4</v>
      </c>
      <c r="H250" t="s">
        <v>1110</v>
      </c>
      <c r="I250" t="s">
        <v>1100</v>
      </c>
      <c r="J250" t="s">
        <v>1098</v>
      </c>
      <c r="K250" t="str">
        <f>tblTeamFixtures[[#This Row],[Team_name]]&amp;"_"&amp;tblTeamFixtures[[#This Row],[GW]]</f>
        <v>NEW_13</v>
      </c>
      <c r="L250">
        <f>IFERROR(INDEX(TEAM_ANALYSIS!$Y:$Y,MATCH($E250,TEAM_ANALYSIS!$A:$A,0)),1)</f>
        <v>1.2058823529411764</v>
      </c>
      <c r="M250">
        <f>IFERROR(INDEX(TEAM_ANALYSIS!$Z:$Z,MATCH($E250,TEAM_ANALYSIS!$A:$A,0)),1)</f>
        <v>0.97058823529411764</v>
      </c>
      <c r="N250">
        <f>IFERROR(INDEX(TEAM_ANALYSIS!$Y:$Y,MATCH($F250,TEAM_ANALYSIS!$A:$A,0)),1)</f>
        <v>1.3235294117647058</v>
      </c>
      <c r="O250">
        <f>IFERROR(INDEX(TEAM_ANALYSIS!$Z:$Z,MATCH($F250,TEAM_ANALYSIS!$A:$A,0)),1)</f>
        <v>1.2058823529411764</v>
      </c>
      <c r="P250">
        <f>MAX(0.05,AVERAGE(TEAM_ANALYSIS!$W$2:$W$21)*L250*O250)</f>
        <v>3.0900735294117645</v>
      </c>
      <c r="Q250">
        <f>MAX(0.05,AVERAGE(TEAM_ANALYSIS!$W$2:$W$21)*N250*M250)</f>
        <v>2.7297794117647061</v>
      </c>
      <c r="R250" s="23">
        <f>MAX(0.8,MIN(1.2,P250/AVERAGE(TEAM_ANALYSIS!$W$2:$W$21)))</f>
        <v>1.2</v>
      </c>
      <c r="S250">
        <f>MAX(0.8,MIN(1.2,AVERAGE(TEAM_ANALYSIS!$W$2:$W$21)/Q250))</f>
        <v>0.8</v>
      </c>
      <c r="T250">
        <f>AVERAGE(R250,S250)</f>
        <v>1</v>
      </c>
    </row>
    <row r="251" spans="1:20" x14ac:dyDescent="0.25">
      <c r="A251">
        <v>13</v>
      </c>
      <c r="B251" t="b">
        <v>0</v>
      </c>
      <c r="C251" s="6">
        <v>46358.833333333336</v>
      </c>
      <c r="D251" t="b">
        <v>0</v>
      </c>
      <c r="E251">
        <v>19</v>
      </c>
      <c r="F251">
        <v>10</v>
      </c>
      <c r="G251">
        <v>2</v>
      </c>
      <c r="H251" t="s">
        <v>1110</v>
      </c>
      <c r="I251" t="s">
        <v>1104</v>
      </c>
      <c r="J251" t="s">
        <v>1086</v>
      </c>
      <c r="K251" t="str">
        <f>tblTeamFixtures[[#This Row],[Team_name]]&amp;"_"&amp;tblTeamFixtures[[#This Row],[GW]]</f>
        <v>TOT_13</v>
      </c>
      <c r="L251">
        <f>IFERROR(INDEX(TEAM_ANALYSIS!$Y:$Y,MATCH($E251,TEAM_ANALYSIS!$A:$A,0)),1)</f>
        <v>0.5</v>
      </c>
      <c r="M251">
        <f>IFERROR(INDEX(TEAM_ANALYSIS!$Z:$Z,MATCH($E251,TEAM_ANALYSIS!$A:$A,0)),1)</f>
        <v>1.088235294117647</v>
      </c>
      <c r="N251">
        <f>IFERROR(INDEX(TEAM_ANALYSIS!$Y:$Y,MATCH($F251,TEAM_ANALYSIS!$A:$A,0)),1)</f>
        <v>0.97058823529411764</v>
      </c>
      <c r="O251">
        <f>IFERROR(INDEX(TEAM_ANALYSIS!$Z:$Z,MATCH($F251,TEAM_ANALYSIS!$A:$A,0)),1)</f>
        <v>1.3235294117647058</v>
      </c>
      <c r="P251">
        <f>MAX(0.05,AVERAGE(TEAM_ANALYSIS!$W$2:$W$21)*L251*O251)</f>
        <v>1.40625</v>
      </c>
      <c r="Q251">
        <f>MAX(0.05,AVERAGE(TEAM_ANALYSIS!$W$2:$W$21)*N251*M251)</f>
        <v>2.2444852941176467</v>
      </c>
      <c r="R251" s="23">
        <f>MAX(0.8,MIN(1.2,P251/AVERAGE(TEAM_ANALYSIS!$W$2:$W$21)))</f>
        <v>0.8</v>
      </c>
      <c r="S251">
        <f>MAX(0.8,MIN(1.2,AVERAGE(TEAM_ANALYSIS!$W$2:$W$21)/Q251))</f>
        <v>0.94676494676494694</v>
      </c>
      <c r="T251">
        <f>AVERAGE(R251,S251)</f>
        <v>0.87338247338247355</v>
      </c>
    </row>
    <row r="252" spans="1:20" x14ac:dyDescent="0.25">
      <c r="A252">
        <v>13</v>
      </c>
      <c r="B252" t="b">
        <v>0</v>
      </c>
      <c r="C252" s="6">
        <v>46358.833333333336</v>
      </c>
      <c r="D252" t="b">
        <v>0</v>
      </c>
      <c r="E252">
        <v>9</v>
      </c>
      <c r="F252">
        <v>2</v>
      </c>
      <c r="G252">
        <v>4</v>
      </c>
      <c r="H252" t="s">
        <v>1111</v>
      </c>
      <c r="I252" t="s">
        <v>1084</v>
      </c>
      <c r="J252" t="s">
        <v>1070</v>
      </c>
      <c r="K252" t="str">
        <f>tblTeamFixtures[[#This Row],[Team_name]]&amp;"_"&amp;tblTeamFixtures[[#This Row],[GW]]</f>
        <v>EVE_13</v>
      </c>
      <c r="L252">
        <f>IFERROR(INDEX(TEAM_ANALYSIS!$Y:$Y,MATCH($E252,TEAM_ANALYSIS!$A:$A,0)),1)</f>
        <v>1.088235294117647</v>
      </c>
      <c r="M252">
        <f>IFERROR(INDEX(TEAM_ANALYSIS!$Z:$Z,MATCH($E252,TEAM_ANALYSIS!$A:$A,0)),1)</f>
        <v>0.8529411764705882</v>
      </c>
      <c r="N252">
        <f>IFERROR(INDEX(TEAM_ANALYSIS!$Y:$Y,MATCH($F252,TEAM_ANALYSIS!$A:$A,0)),1)</f>
        <v>0.5</v>
      </c>
      <c r="O252">
        <f>IFERROR(INDEX(TEAM_ANALYSIS!$Z:$Z,MATCH($F252,TEAM_ANALYSIS!$A:$A,0)),1)</f>
        <v>1.088235294117647</v>
      </c>
      <c r="P252">
        <f>MAX(0.05,AVERAGE(TEAM_ANALYSIS!$W$2:$W$21)*L252*O252)</f>
        <v>2.5165441176470584</v>
      </c>
      <c r="Q252">
        <f>MAX(0.05,AVERAGE(TEAM_ANALYSIS!$W$2:$W$21)*N252*M252)</f>
        <v>0.90625</v>
      </c>
      <c r="R252" s="23">
        <f>MAX(0.8,MIN(1.2,P252/AVERAGE(TEAM_ANALYSIS!$W$2:$W$21)))</f>
        <v>1.1842560553633217</v>
      </c>
      <c r="S252">
        <f>MAX(0.8,MIN(1.2,AVERAGE(TEAM_ANALYSIS!$W$2:$W$21)/Q252))</f>
        <v>1.2</v>
      </c>
      <c r="T252">
        <f>AVERAGE(R252,S252)</f>
        <v>1.1921280276816608</v>
      </c>
    </row>
    <row r="253" spans="1:20" x14ac:dyDescent="0.25">
      <c r="A253">
        <v>13</v>
      </c>
      <c r="B253" t="b">
        <v>0</v>
      </c>
      <c r="C253" s="6">
        <v>46358.833333333336</v>
      </c>
      <c r="D253" t="b">
        <v>0</v>
      </c>
      <c r="E253">
        <v>5</v>
      </c>
      <c r="F253">
        <v>3</v>
      </c>
      <c r="G253">
        <v>3</v>
      </c>
      <c r="H253" t="s">
        <v>1111</v>
      </c>
      <c r="I253" t="s">
        <v>1076</v>
      </c>
      <c r="J253" t="s">
        <v>1072</v>
      </c>
      <c r="K253" t="str">
        <f>tblTeamFixtures[[#This Row],[Team_name]]&amp;"_"&amp;tblTeamFixtures[[#This Row],[GW]]</f>
        <v>BHA_13</v>
      </c>
      <c r="L253">
        <f>IFERROR(INDEX(TEAM_ANALYSIS!$Y:$Y,MATCH($E253,TEAM_ANALYSIS!$A:$A,0)),1)</f>
        <v>1.4411764705882353</v>
      </c>
      <c r="M253">
        <f>IFERROR(INDEX(TEAM_ANALYSIS!$Z:$Z,MATCH($E253,TEAM_ANALYSIS!$A:$A,0)),1)</f>
        <v>1.088235294117647</v>
      </c>
      <c r="N253">
        <f>IFERROR(INDEX(TEAM_ANALYSIS!$Y:$Y,MATCH($F253,TEAM_ANALYSIS!$A:$A,0)),1)</f>
        <v>0.97058823529411764</v>
      </c>
      <c r="O253">
        <f>IFERROR(INDEX(TEAM_ANALYSIS!$Z:$Z,MATCH($F253,TEAM_ANALYSIS!$A:$A,0)),1)</f>
        <v>1.088235294117647</v>
      </c>
      <c r="P253">
        <f>MAX(0.05,AVERAGE(TEAM_ANALYSIS!$W$2:$W$21)*L253*O253)</f>
        <v>3.3327205882352939</v>
      </c>
      <c r="Q253">
        <f>MAX(0.05,AVERAGE(TEAM_ANALYSIS!$W$2:$W$21)*N253*M253)</f>
        <v>2.2444852941176467</v>
      </c>
      <c r="R253" s="23">
        <f>MAX(0.8,MIN(1.2,P253/AVERAGE(TEAM_ANALYSIS!$W$2:$W$21)))</f>
        <v>1.2</v>
      </c>
      <c r="S253">
        <f>MAX(0.8,MIN(1.2,AVERAGE(TEAM_ANALYSIS!$W$2:$W$21)/Q253))</f>
        <v>0.94676494676494694</v>
      </c>
      <c r="T253">
        <f>AVERAGE(R253,S253)</f>
        <v>1.0733824733824735</v>
      </c>
    </row>
    <row r="254" spans="1:20" x14ac:dyDescent="0.25">
      <c r="A254">
        <v>13</v>
      </c>
      <c r="B254" t="b">
        <v>0</v>
      </c>
      <c r="C254" s="6">
        <v>46358.833333333336</v>
      </c>
      <c r="D254" t="b">
        <v>0</v>
      </c>
      <c r="E254">
        <v>1</v>
      </c>
      <c r="F254">
        <v>4</v>
      </c>
      <c r="G254">
        <v>3</v>
      </c>
      <c r="H254" t="s">
        <v>1111</v>
      </c>
      <c r="I254" t="s">
        <v>1068</v>
      </c>
      <c r="J254" t="s">
        <v>1074</v>
      </c>
      <c r="K254" t="str">
        <f>tblTeamFixtures[[#This Row],[Team_name]]&amp;"_"&amp;tblTeamFixtures[[#This Row],[GW]]</f>
        <v>ARS_13</v>
      </c>
      <c r="L254">
        <f>IFERROR(INDEX(TEAM_ANALYSIS!$Y:$Y,MATCH($E254,TEAM_ANALYSIS!$A:$A,0)),1)</f>
        <v>1.2058823529411764</v>
      </c>
      <c r="M254">
        <f>IFERROR(INDEX(TEAM_ANALYSIS!$Z:$Z,MATCH($E254,TEAM_ANALYSIS!$A:$A,0)),1)</f>
        <v>0.61764705882352944</v>
      </c>
      <c r="N254">
        <f>IFERROR(INDEX(TEAM_ANALYSIS!$Y:$Y,MATCH($F254,TEAM_ANALYSIS!$A:$A,0)),1)</f>
        <v>1.088235294117647</v>
      </c>
      <c r="O254">
        <f>IFERROR(INDEX(TEAM_ANALYSIS!$Z:$Z,MATCH($F254,TEAM_ANALYSIS!$A:$A,0)),1)</f>
        <v>0.73529411764705888</v>
      </c>
      <c r="P254">
        <f>MAX(0.05,AVERAGE(TEAM_ANALYSIS!$W$2:$W$21)*L254*O254)</f>
        <v>1.8841911764705883</v>
      </c>
      <c r="Q254">
        <f>MAX(0.05,AVERAGE(TEAM_ANALYSIS!$W$2:$W$21)*N254*M254)</f>
        <v>1.4283088235294119</v>
      </c>
      <c r="R254" s="23">
        <f>MAX(0.8,MIN(1.2,P254/AVERAGE(TEAM_ANALYSIS!$W$2:$W$21)))</f>
        <v>0.88667820069204151</v>
      </c>
      <c r="S254">
        <f>MAX(0.8,MIN(1.2,AVERAGE(TEAM_ANALYSIS!$W$2:$W$21)/Q254))</f>
        <v>1.2</v>
      </c>
      <c r="T254">
        <f>AVERAGE(R254,S254)</f>
        <v>1.0433391003460208</v>
      </c>
    </row>
    <row r="255" spans="1:20" x14ac:dyDescent="0.25">
      <c r="A255">
        <v>13</v>
      </c>
      <c r="B255" t="b">
        <v>0</v>
      </c>
      <c r="C255" s="6">
        <v>46358.833333333336</v>
      </c>
      <c r="D255" t="b">
        <v>0</v>
      </c>
      <c r="E255">
        <v>8</v>
      </c>
      <c r="F255">
        <v>6</v>
      </c>
      <c r="G255">
        <v>4</v>
      </c>
      <c r="H255" t="s">
        <v>1111</v>
      </c>
      <c r="I255" t="s">
        <v>1082</v>
      </c>
      <c r="J255" t="s">
        <v>1078</v>
      </c>
      <c r="K255" t="str">
        <f>tblTeamFixtures[[#This Row],[Team_name]]&amp;"_"&amp;tblTeamFixtures[[#This Row],[GW]]</f>
        <v>CRY_13</v>
      </c>
      <c r="L255">
        <f>IFERROR(INDEX(TEAM_ANALYSIS!$Y:$Y,MATCH($E255,TEAM_ANALYSIS!$A:$A,0)),1)</f>
        <v>0.97058823529411764</v>
      </c>
      <c r="M255">
        <f>IFERROR(INDEX(TEAM_ANALYSIS!$Z:$Z,MATCH($E255,TEAM_ANALYSIS!$A:$A,0)),1)</f>
        <v>1.4411764705882353</v>
      </c>
      <c r="N255">
        <f>IFERROR(INDEX(TEAM_ANALYSIS!$Y:$Y,MATCH($F255,TEAM_ANALYSIS!$A:$A,0)),1)</f>
        <v>1.4411764705882353</v>
      </c>
      <c r="O255">
        <f>IFERROR(INDEX(TEAM_ANALYSIS!$Z:$Z,MATCH($F255,TEAM_ANALYSIS!$A:$A,0)),1)</f>
        <v>1.3235294117647058</v>
      </c>
      <c r="P255">
        <f>MAX(0.05,AVERAGE(TEAM_ANALYSIS!$W$2:$W$21)*L255*O255)</f>
        <v>2.7297794117647056</v>
      </c>
      <c r="Q255">
        <f>MAX(0.05,AVERAGE(TEAM_ANALYSIS!$W$2:$W$21)*N255*M255)</f>
        <v>4.4136029411764701</v>
      </c>
      <c r="R255" s="23">
        <f>MAX(0.8,MIN(1.2,P255/AVERAGE(TEAM_ANALYSIS!$W$2:$W$21)))</f>
        <v>1.2</v>
      </c>
      <c r="S255">
        <f>MAX(0.8,MIN(1.2,AVERAGE(TEAM_ANALYSIS!$W$2:$W$21)/Q255))</f>
        <v>0.8</v>
      </c>
      <c r="T255">
        <f>AVERAGE(R255,S255)</f>
        <v>1</v>
      </c>
    </row>
    <row r="256" spans="1:20" x14ac:dyDescent="0.25">
      <c r="A256">
        <v>13</v>
      </c>
      <c r="B256" t="b">
        <v>0</v>
      </c>
      <c r="C256" s="6">
        <v>46358.833333333336</v>
      </c>
      <c r="D256" t="b">
        <v>0</v>
      </c>
      <c r="E256">
        <v>12</v>
      </c>
      <c r="F256">
        <v>7</v>
      </c>
      <c r="G256">
        <v>2</v>
      </c>
      <c r="H256" t="s">
        <v>1111</v>
      </c>
      <c r="I256" t="s">
        <v>1090</v>
      </c>
      <c r="J256" t="s">
        <v>1080</v>
      </c>
      <c r="K256" t="str">
        <f>tblTeamFixtures[[#This Row],[Team_name]]&amp;"_"&amp;tblTeamFixtures[[#This Row],[GW]]</f>
        <v>IPS_13</v>
      </c>
      <c r="L256">
        <f>IFERROR(INDEX(TEAM_ANALYSIS!$Y:$Y,MATCH($E256,TEAM_ANALYSIS!$A:$A,0)),1)</f>
        <v>0.97058823529411764</v>
      </c>
      <c r="M256">
        <f>IFERROR(INDEX(TEAM_ANALYSIS!$Z:$Z,MATCH($E256,TEAM_ANALYSIS!$A:$A,0)),1)</f>
        <v>1.4411764705882353</v>
      </c>
      <c r="N256">
        <f>IFERROR(INDEX(TEAM_ANALYSIS!$Y:$Y,MATCH($F256,TEAM_ANALYSIS!$A:$A,0)),1)</f>
        <v>0.5</v>
      </c>
      <c r="O256">
        <f>IFERROR(INDEX(TEAM_ANALYSIS!$Z:$Z,MATCH($F256,TEAM_ANALYSIS!$A:$A,0)),1)</f>
        <v>1.088235294117647</v>
      </c>
      <c r="P256">
        <f>MAX(0.05,AVERAGE(TEAM_ANALYSIS!$W$2:$W$21)*L256*O256)</f>
        <v>2.2444852941176467</v>
      </c>
      <c r="Q256">
        <f>MAX(0.05,AVERAGE(TEAM_ANALYSIS!$W$2:$W$21)*N256*M256)</f>
        <v>1.53125</v>
      </c>
      <c r="R256" s="23">
        <f>MAX(0.8,MIN(1.2,P256/AVERAGE(TEAM_ANALYSIS!$W$2:$W$21)))</f>
        <v>1.0562283737024221</v>
      </c>
      <c r="S256">
        <f>MAX(0.8,MIN(1.2,AVERAGE(TEAM_ANALYSIS!$W$2:$W$21)/Q256))</f>
        <v>1.2</v>
      </c>
      <c r="T256">
        <f>AVERAGE(R256,S256)</f>
        <v>1.128114186851211</v>
      </c>
    </row>
    <row r="257" spans="1:20" x14ac:dyDescent="0.25">
      <c r="A257">
        <v>13</v>
      </c>
      <c r="B257" t="b">
        <v>0</v>
      </c>
      <c r="C257" s="6">
        <v>46358.833333333336</v>
      </c>
      <c r="D257" t="b">
        <v>0</v>
      </c>
      <c r="E257">
        <v>18</v>
      </c>
      <c r="F257">
        <v>11</v>
      </c>
      <c r="G257">
        <v>2</v>
      </c>
      <c r="H257" t="s">
        <v>1111</v>
      </c>
      <c r="I257" t="s">
        <v>1102</v>
      </c>
      <c r="J257" t="s">
        <v>1088</v>
      </c>
      <c r="K257" t="str">
        <f>tblTeamFixtures[[#This Row],[Team_name]]&amp;"_"&amp;tblTeamFixtures[[#This Row],[GW]]</f>
        <v>NFO_13</v>
      </c>
      <c r="L257">
        <f>IFERROR(INDEX(TEAM_ANALYSIS!$Y:$Y,MATCH($E257,TEAM_ANALYSIS!$A:$A,0)),1)</f>
        <v>0.73529411764705888</v>
      </c>
      <c r="M257">
        <f>IFERROR(INDEX(TEAM_ANALYSIS!$Z:$Z,MATCH($E257,TEAM_ANALYSIS!$A:$A,0)),1)</f>
        <v>0.8529411764705882</v>
      </c>
      <c r="N257">
        <f>IFERROR(INDEX(TEAM_ANALYSIS!$Y:$Y,MATCH($F257,TEAM_ANALYSIS!$A:$A,0)),1)</f>
        <v>0.8529411764705882</v>
      </c>
      <c r="O257">
        <f>IFERROR(INDEX(TEAM_ANALYSIS!$Z:$Z,MATCH($F257,TEAM_ANALYSIS!$A:$A,0)),1)</f>
        <v>0.5</v>
      </c>
      <c r="P257">
        <f>MAX(0.05,AVERAGE(TEAM_ANALYSIS!$W$2:$W$21)*L257*O257)</f>
        <v>0.78125</v>
      </c>
      <c r="Q257">
        <f>MAX(0.05,AVERAGE(TEAM_ANALYSIS!$W$2:$W$21)*N257*M257)</f>
        <v>1.5459558823529411</v>
      </c>
      <c r="R257" s="23">
        <f>MAX(0.8,MIN(1.2,P257/AVERAGE(TEAM_ANALYSIS!$W$2:$W$21)))</f>
        <v>0.8</v>
      </c>
      <c r="S257">
        <f>MAX(0.8,MIN(1.2,AVERAGE(TEAM_ANALYSIS!$W$2:$W$21)/Q257))</f>
        <v>1.2</v>
      </c>
      <c r="T257">
        <f>AVERAGE(R257,S257)</f>
        <v>1</v>
      </c>
    </row>
    <row r="258" spans="1:20" x14ac:dyDescent="0.25">
      <c r="A258">
        <v>13</v>
      </c>
      <c r="B258" t="b">
        <v>0</v>
      </c>
      <c r="C258" s="6">
        <v>46358.833333333336</v>
      </c>
      <c r="D258" t="b">
        <v>0</v>
      </c>
      <c r="E258">
        <v>20</v>
      </c>
      <c r="F258">
        <v>14</v>
      </c>
      <c r="G258">
        <v>4</v>
      </c>
      <c r="H258" t="s">
        <v>1111</v>
      </c>
      <c r="I258" t="s">
        <v>1106</v>
      </c>
      <c r="J258" t="s">
        <v>1094</v>
      </c>
      <c r="K258" t="str">
        <f>tblTeamFixtures[[#This Row],[Team_name]]&amp;"_"&amp;tblTeamFixtures[[#This Row],[GW]]</f>
        <v>SUN_13</v>
      </c>
      <c r="L258">
        <f>IFERROR(INDEX(TEAM_ANALYSIS!$Y:$Y,MATCH($E258,TEAM_ANALYSIS!$A:$A,0)),1)</f>
        <v>0.8529411764705882</v>
      </c>
      <c r="M258">
        <f>IFERROR(INDEX(TEAM_ANALYSIS!$Z:$Z,MATCH($E258,TEAM_ANALYSIS!$A:$A,0)),1)</f>
        <v>0.8529411764705882</v>
      </c>
      <c r="N258">
        <f>IFERROR(INDEX(TEAM_ANALYSIS!$Y:$Y,MATCH($F258,TEAM_ANALYSIS!$A:$A,0)),1)</f>
        <v>1.2058823529411764</v>
      </c>
      <c r="O258">
        <f>IFERROR(INDEX(TEAM_ANALYSIS!$Z:$Z,MATCH($F258,TEAM_ANALYSIS!$A:$A,0)),1)</f>
        <v>0.97058823529411764</v>
      </c>
      <c r="P258">
        <f>MAX(0.05,AVERAGE(TEAM_ANALYSIS!$W$2:$W$21)*L258*O258)</f>
        <v>1.7591911764705883</v>
      </c>
      <c r="Q258">
        <f>MAX(0.05,AVERAGE(TEAM_ANALYSIS!$W$2:$W$21)*N258*M258)</f>
        <v>2.1856617647058822</v>
      </c>
      <c r="R258" s="23">
        <f>MAX(0.8,MIN(1.2,P258/AVERAGE(TEAM_ANALYSIS!$W$2:$W$21)))</f>
        <v>0.8278546712802769</v>
      </c>
      <c r="S258">
        <f>MAX(0.8,MIN(1.2,AVERAGE(TEAM_ANALYSIS!$W$2:$W$21)/Q258))</f>
        <v>0.9722455845248108</v>
      </c>
      <c r="T258">
        <f>AVERAGE(R258,S258)</f>
        <v>0.90005012790254391</v>
      </c>
    </row>
    <row r="259" spans="1:20" x14ac:dyDescent="0.25">
      <c r="A259">
        <v>13</v>
      </c>
      <c r="B259" t="b">
        <v>0</v>
      </c>
      <c r="C259" s="6">
        <v>46358.833333333336</v>
      </c>
      <c r="D259" t="b">
        <v>0</v>
      </c>
      <c r="E259">
        <v>13</v>
      </c>
      <c r="F259">
        <v>15</v>
      </c>
      <c r="G259">
        <v>5</v>
      </c>
      <c r="H259" t="s">
        <v>1111</v>
      </c>
      <c r="I259" t="s">
        <v>1092</v>
      </c>
      <c r="J259" t="s">
        <v>1096</v>
      </c>
      <c r="K259" t="str">
        <f>tblTeamFixtures[[#This Row],[Team_name]]&amp;"_"&amp;tblTeamFixtures[[#This Row],[GW]]</f>
        <v>LEE_13</v>
      </c>
      <c r="L259">
        <f>IFERROR(INDEX(TEAM_ANALYSIS!$Y:$Y,MATCH($E259,TEAM_ANALYSIS!$A:$A,0)),1)</f>
        <v>0.8529411764705882</v>
      </c>
      <c r="M259">
        <f>IFERROR(INDEX(TEAM_ANALYSIS!$Z:$Z,MATCH($E259,TEAM_ANALYSIS!$A:$A,0)),1)</f>
        <v>0.73529411764705888</v>
      </c>
      <c r="N259">
        <f>IFERROR(INDEX(TEAM_ANALYSIS!$Y:$Y,MATCH($F259,TEAM_ANALYSIS!$A:$A,0)),1)</f>
        <v>1.3235294117647058</v>
      </c>
      <c r="O259">
        <f>IFERROR(INDEX(TEAM_ANALYSIS!$Z:$Z,MATCH($F259,TEAM_ANALYSIS!$A:$A,0)),1)</f>
        <v>0.73529411764705888</v>
      </c>
      <c r="P259">
        <f>MAX(0.05,AVERAGE(TEAM_ANALYSIS!$W$2:$W$21)*L259*O259)</f>
        <v>1.3327205882352942</v>
      </c>
      <c r="Q259">
        <f>MAX(0.05,AVERAGE(TEAM_ANALYSIS!$W$2:$W$21)*N259*M259)</f>
        <v>2.0680147058823533</v>
      </c>
      <c r="R259" s="23">
        <f>MAX(0.8,MIN(1.2,P259/AVERAGE(TEAM_ANALYSIS!$W$2:$W$21)))</f>
        <v>0.8</v>
      </c>
      <c r="S259">
        <f>MAX(0.8,MIN(1.2,AVERAGE(TEAM_ANALYSIS!$W$2:$W$21)/Q259))</f>
        <v>1.0275555555555553</v>
      </c>
      <c r="T259">
        <f>AVERAGE(R259,S259)</f>
        <v>0.91377777777777769</v>
      </c>
    </row>
    <row r="260" spans="1:20" x14ac:dyDescent="0.25">
      <c r="A260">
        <v>13</v>
      </c>
      <c r="B260" t="b">
        <v>0</v>
      </c>
      <c r="C260" s="6">
        <v>46358.833333333336</v>
      </c>
      <c r="D260" t="b">
        <v>0</v>
      </c>
      <c r="E260">
        <v>16</v>
      </c>
      <c r="F260">
        <v>17</v>
      </c>
      <c r="G260">
        <v>3</v>
      </c>
      <c r="H260" t="s">
        <v>1111</v>
      </c>
      <c r="I260" t="s">
        <v>1098</v>
      </c>
      <c r="J260" t="s">
        <v>1100</v>
      </c>
      <c r="K260" t="str">
        <f>tblTeamFixtures[[#This Row],[Team_name]]&amp;"_"&amp;tblTeamFixtures[[#This Row],[GW]]</f>
        <v>MUN_13</v>
      </c>
      <c r="L260">
        <f>IFERROR(INDEX(TEAM_ANALYSIS!$Y:$Y,MATCH($E260,TEAM_ANALYSIS!$A:$A,0)),1)</f>
        <v>1.3235294117647058</v>
      </c>
      <c r="M260">
        <f>IFERROR(INDEX(TEAM_ANALYSIS!$Z:$Z,MATCH($E260,TEAM_ANALYSIS!$A:$A,0)),1)</f>
        <v>1.2058823529411764</v>
      </c>
      <c r="N260">
        <f>IFERROR(INDEX(TEAM_ANALYSIS!$Y:$Y,MATCH($F260,TEAM_ANALYSIS!$A:$A,0)),1)</f>
        <v>1.2058823529411764</v>
      </c>
      <c r="O260">
        <f>IFERROR(INDEX(TEAM_ANALYSIS!$Z:$Z,MATCH($F260,TEAM_ANALYSIS!$A:$A,0)),1)</f>
        <v>0.97058823529411764</v>
      </c>
      <c r="P260">
        <f>MAX(0.05,AVERAGE(TEAM_ANALYSIS!$W$2:$W$21)*L260*O260)</f>
        <v>2.7297794117647061</v>
      </c>
      <c r="Q260">
        <f>MAX(0.05,AVERAGE(TEAM_ANALYSIS!$W$2:$W$21)*N260*M260)</f>
        <v>3.0900735294117645</v>
      </c>
      <c r="R260" s="23">
        <f>MAX(0.8,MIN(1.2,P260/AVERAGE(TEAM_ANALYSIS!$W$2:$W$21)))</f>
        <v>1.2</v>
      </c>
      <c r="S260">
        <f>MAX(0.8,MIN(1.2,AVERAGE(TEAM_ANALYSIS!$W$2:$W$21)/Q260))</f>
        <v>0.8</v>
      </c>
      <c r="T260">
        <f>AVERAGE(R260,S260)</f>
        <v>1</v>
      </c>
    </row>
    <row r="261" spans="1:20" x14ac:dyDescent="0.25">
      <c r="A261">
        <v>13</v>
      </c>
      <c r="B261" t="b">
        <v>0</v>
      </c>
      <c r="C261" s="6">
        <v>46358.833333333336</v>
      </c>
      <c r="D261" t="b">
        <v>0</v>
      </c>
      <c r="E261">
        <v>10</v>
      </c>
      <c r="F261">
        <v>19</v>
      </c>
      <c r="G261">
        <v>3</v>
      </c>
      <c r="H261" t="s">
        <v>1111</v>
      </c>
      <c r="I261" t="s">
        <v>1086</v>
      </c>
      <c r="J261" t="s">
        <v>1104</v>
      </c>
      <c r="K261" t="str">
        <f>tblTeamFixtures[[#This Row],[Team_name]]&amp;"_"&amp;tblTeamFixtures[[#This Row],[GW]]</f>
        <v>FUL_13</v>
      </c>
      <c r="L261">
        <f>IFERROR(INDEX(TEAM_ANALYSIS!$Y:$Y,MATCH($E261,TEAM_ANALYSIS!$A:$A,0)),1)</f>
        <v>0.97058823529411764</v>
      </c>
      <c r="M261">
        <f>IFERROR(INDEX(TEAM_ANALYSIS!$Z:$Z,MATCH($E261,TEAM_ANALYSIS!$A:$A,0)),1)</f>
        <v>1.3235294117647058</v>
      </c>
      <c r="N261">
        <f>IFERROR(INDEX(TEAM_ANALYSIS!$Y:$Y,MATCH($F261,TEAM_ANALYSIS!$A:$A,0)),1)</f>
        <v>0.5</v>
      </c>
      <c r="O261">
        <f>IFERROR(INDEX(TEAM_ANALYSIS!$Z:$Z,MATCH($F261,TEAM_ANALYSIS!$A:$A,0)),1)</f>
        <v>1.088235294117647</v>
      </c>
      <c r="P261">
        <f>MAX(0.05,AVERAGE(TEAM_ANALYSIS!$W$2:$W$21)*L261*O261)</f>
        <v>2.2444852941176467</v>
      </c>
      <c r="Q261">
        <f>MAX(0.05,AVERAGE(TEAM_ANALYSIS!$W$2:$W$21)*N261*M261)</f>
        <v>1.40625</v>
      </c>
      <c r="R261" s="23">
        <f>MAX(0.8,MIN(1.2,P261/AVERAGE(TEAM_ANALYSIS!$W$2:$W$21)))</f>
        <v>1.0562283737024221</v>
      </c>
      <c r="S261">
        <f>MAX(0.8,MIN(1.2,AVERAGE(TEAM_ANALYSIS!$W$2:$W$21)/Q261))</f>
        <v>1.2</v>
      </c>
      <c r="T261">
        <f>AVERAGE(R261,S261)</f>
        <v>1.128114186851211</v>
      </c>
    </row>
    <row r="262" spans="1:20" x14ac:dyDescent="0.25">
      <c r="A262">
        <v>14</v>
      </c>
      <c r="B262" t="b">
        <v>0</v>
      </c>
      <c r="C262" s="6">
        <v>46361.625</v>
      </c>
      <c r="D262" t="b">
        <v>0</v>
      </c>
      <c r="E262">
        <v>2</v>
      </c>
      <c r="F262">
        <v>8</v>
      </c>
      <c r="G262">
        <v>3</v>
      </c>
      <c r="H262" t="s">
        <v>1110</v>
      </c>
      <c r="I262" t="s">
        <v>1070</v>
      </c>
      <c r="J262" t="s">
        <v>1082</v>
      </c>
      <c r="K262" t="str">
        <f>tblTeamFixtures[[#This Row],[Team_name]]&amp;"_"&amp;tblTeamFixtures[[#This Row],[GW]]</f>
        <v>AVL_14</v>
      </c>
      <c r="L262">
        <f>IFERROR(INDEX(TEAM_ANALYSIS!$Y:$Y,MATCH($E262,TEAM_ANALYSIS!$A:$A,0)),1)</f>
        <v>0.5</v>
      </c>
      <c r="M262">
        <f>IFERROR(INDEX(TEAM_ANALYSIS!$Z:$Z,MATCH($E262,TEAM_ANALYSIS!$A:$A,0)),1)</f>
        <v>1.088235294117647</v>
      </c>
      <c r="N262">
        <f>IFERROR(INDEX(TEAM_ANALYSIS!$Y:$Y,MATCH($F262,TEAM_ANALYSIS!$A:$A,0)),1)</f>
        <v>0.97058823529411764</v>
      </c>
      <c r="O262">
        <f>IFERROR(INDEX(TEAM_ANALYSIS!$Z:$Z,MATCH($F262,TEAM_ANALYSIS!$A:$A,0)),1)</f>
        <v>1.4411764705882353</v>
      </c>
      <c r="P262">
        <f>MAX(0.05,AVERAGE(TEAM_ANALYSIS!$W$2:$W$21)*L262*O262)</f>
        <v>1.53125</v>
      </c>
      <c r="Q262">
        <f>MAX(0.05,AVERAGE(TEAM_ANALYSIS!$W$2:$W$21)*N262*M262)</f>
        <v>2.2444852941176467</v>
      </c>
      <c r="R262" s="23">
        <f>MAX(0.8,MIN(1.2,P262/AVERAGE(TEAM_ANALYSIS!$W$2:$W$21)))</f>
        <v>0.8</v>
      </c>
      <c r="S262">
        <f>MAX(0.8,MIN(1.2,AVERAGE(TEAM_ANALYSIS!$W$2:$W$21)/Q262))</f>
        <v>0.94676494676494694</v>
      </c>
      <c r="T262">
        <f>AVERAGE(R262,S262)</f>
        <v>0.87338247338247355</v>
      </c>
    </row>
    <row r="263" spans="1:20" x14ac:dyDescent="0.25">
      <c r="A263">
        <v>14</v>
      </c>
      <c r="B263" t="b">
        <v>0</v>
      </c>
      <c r="C263" s="6">
        <v>46361.625</v>
      </c>
      <c r="D263" t="b">
        <v>0</v>
      </c>
      <c r="E263">
        <v>3</v>
      </c>
      <c r="F263">
        <v>11</v>
      </c>
      <c r="G263">
        <v>2</v>
      </c>
      <c r="H263" t="s">
        <v>1110</v>
      </c>
      <c r="I263" t="s">
        <v>1072</v>
      </c>
      <c r="J263" t="s">
        <v>1088</v>
      </c>
      <c r="K263" t="str">
        <f>tblTeamFixtures[[#This Row],[Team_name]]&amp;"_"&amp;tblTeamFixtures[[#This Row],[GW]]</f>
        <v>BOU_14</v>
      </c>
      <c r="L263">
        <f>IFERROR(INDEX(TEAM_ANALYSIS!$Y:$Y,MATCH($E263,TEAM_ANALYSIS!$A:$A,0)),1)</f>
        <v>0.97058823529411764</v>
      </c>
      <c r="M263">
        <f>IFERROR(INDEX(TEAM_ANALYSIS!$Z:$Z,MATCH($E263,TEAM_ANALYSIS!$A:$A,0)),1)</f>
        <v>1.088235294117647</v>
      </c>
      <c r="N263">
        <f>IFERROR(INDEX(TEAM_ANALYSIS!$Y:$Y,MATCH($F263,TEAM_ANALYSIS!$A:$A,0)),1)</f>
        <v>0.8529411764705882</v>
      </c>
      <c r="O263">
        <f>IFERROR(INDEX(TEAM_ANALYSIS!$Z:$Z,MATCH($F263,TEAM_ANALYSIS!$A:$A,0)),1)</f>
        <v>0.5</v>
      </c>
      <c r="P263">
        <f>MAX(0.05,AVERAGE(TEAM_ANALYSIS!$W$2:$W$21)*L263*O263)</f>
        <v>1.03125</v>
      </c>
      <c r="Q263">
        <f>MAX(0.05,AVERAGE(TEAM_ANALYSIS!$W$2:$W$21)*N263*M263)</f>
        <v>1.9724264705882351</v>
      </c>
      <c r="R263" s="23">
        <f>MAX(0.8,MIN(1.2,P263/AVERAGE(TEAM_ANALYSIS!$W$2:$W$21)))</f>
        <v>0.8</v>
      </c>
      <c r="S263">
        <f>MAX(0.8,MIN(1.2,AVERAGE(TEAM_ANALYSIS!$W$2:$W$21)/Q263))</f>
        <v>1.07735321528425</v>
      </c>
      <c r="T263">
        <f>AVERAGE(R263,S263)</f>
        <v>0.93867660764212502</v>
      </c>
    </row>
    <row r="264" spans="1:20" x14ac:dyDescent="0.25">
      <c r="A264">
        <v>14</v>
      </c>
      <c r="B264" t="b">
        <v>0</v>
      </c>
      <c r="C264" s="6">
        <v>46361.625</v>
      </c>
      <c r="D264" t="b">
        <v>0</v>
      </c>
      <c r="E264">
        <v>4</v>
      </c>
      <c r="F264">
        <v>15</v>
      </c>
      <c r="G264">
        <v>4</v>
      </c>
      <c r="H264" t="s">
        <v>1110</v>
      </c>
      <c r="I264" t="s">
        <v>1074</v>
      </c>
      <c r="J264" t="s">
        <v>1096</v>
      </c>
      <c r="K264" t="str">
        <f>tblTeamFixtures[[#This Row],[Team_name]]&amp;"_"&amp;tblTeamFixtures[[#This Row],[GW]]</f>
        <v>BRE_14</v>
      </c>
      <c r="L264">
        <f>IFERROR(INDEX(TEAM_ANALYSIS!$Y:$Y,MATCH($E264,TEAM_ANALYSIS!$A:$A,0)),1)</f>
        <v>1.088235294117647</v>
      </c>
      <c r="M264">
        <f>IFERROR(INDEX(TEAM_ANALYSIS!$Z:$Z,MATCH($E264,TEAM_ANALYSIS!$A:$A,0)),1)</f>
        <v>0.73529411764705888</v>
      </c>
      <c r="N264">
        <f>IFERROR(INDEX(TEAM_ANALYSIS!$Y:$Y,MATCH($F264,TEAM_ANALYSIS!$A:$A,0)),1)</f>
        <v>1.3235294117647058</v>
      </c>
      <c r="O264">
        <f>IFERROR(INDEX(TEAM_ANALYSIS!$Z:$Z,MATCH($F264,TEAM_ANALYSIS!$A:$A,0)),1)</f>
        <v>0.73529411764705888</v>
      </c>
      <c r="P264">
        <f>MAX(0.05,AVERAGE(TEAM_ANALYSIS!$W$2:$W$21)*L264*O264)</f>
        <v>1.7003676470588236</v>
      </c>
      <c r="Q264">
        <f>MAX(0.05,AVERAGE(TEAM_ANALYSIS!$W$2:$W$21)*N264*M264)</f>
        <v>2.0680147058823533</v>
      </c>
      <c r="R264" s="23">
        <f>MAX(0.8,MIN(1.2,P264/AVERAGE(TEAM_ANALYSIS!$W$2:$W$21)))</f>
        <v>0.80017301038062283</v>
      </c>
      <c r="S264">
        <f>MAX(0.8,MIN(1.2,AVERAGE(TEAM_ANALYSIS!$W$2:$W$21)/Q264))</f>
        <v>1.0275555555555553</v>
      </c>
      <c r="T264">
        <f>AVERAGE(R264,S264)</f>
        <v>0.91386428296808908</v>
      </c>
    </row>
    <row r="265" spans="1:20" x14ac:dyDescent="0.25">
      <c r="A265">
        <v>14</v>
      </c>
      <c r="B265" t="b">
        <v>0</v>
      </c>
      <c r="C265" s="6">
        <v>46361.625</v>
      </c>
      <c r="D265" t="b">
        <v>0</v>
      </c>
      <c r="E265">
        <v>6</v>
      </c>
      <c r="F265">
        <v>14</v>
      </c>
      <c r="G265">
        <v>4</v>
      </c>
      <c r="H265" t="s">
        <v>1110</v>
      </c>
      <c r="I265" t="s">
        <v>1078</v>
      </c>
      <c r="J265" t="s">
        <v>1094</v>
      </c>
      <c r="K265" t="str">
        <f>tblTeamFixtures[[#This Row],[Team_name]]&amp;"_"&amp;tblTeamFixtures[[#This Row],[GW]]</f>
        <v>CHE_14</v>
      </c>
      <c r="L265">
        <f>IFERROR(INDEX(TEAM_ANALYSIS!$Y:$Y,MATCH($E265,TEAM_ANALYSIS!$A:$A,0)),1)</f>
        <v>1.4411764705882353</v>
      </c>
      <c r="M265">
        <f>IFERROR(INDEX(TEAM_ANALYSIS!$Z:$Z,MATCH($E265,TEAM_ANALYSIS!$A:$A,0)),1)</f>
        <v>1.3235294117647058</v>
      </c>
      <c r="N265">
        <f>IFERROR(INDEX(TEAM_ANALYSIS!$Y:$Y,MATCH($F265,TEAM_ANALYSIS!$A:$A,0)),1)</f>
        <v>1.2058823529411764</v>
      </c>
      <c r="O265">
        <f>IFERROR(INDEX(TEAM_ANALYSIS!$Z:$Z,MATCH($F265,TEAM_ANALYSIS!$A:$A,0)),1)</f>
        <v>0.97058823529411764</v>
      </c>
      <c r="P265">
        <f>MAX(0.05,AVERAGE(TEAM_ANALYSIS!$W$2:$W$21)*L265*O265)</f>
        <v>2.9724264705882351</v>
      </c>
      <c r="Q265">
        <f>MAX(0.05,AVERAGE(TEAM_ANALYSIS!$W$2:$W$21)*N265*M265)</f>
        <v>3.3915441176470589</v>
      </c>
      <c r="R265" s="23">
        <f>MAX(0.8,MIN(1.2,P265/AVERAGE(TEAM_ANALYSIS!$W$2:$W$21)))</f>
        <v>1.2</v>
      </c>
      <c r="S265">
        <f>MAX(0.8,MIN(1.2,AVERAGE(TEAM_ANALYSIS!$W$2:$W$21)/Q265))</f>
        <v>0.8</v>
      </c>
      <c r="T265">
        <f>AVERAGE(R265,S265)</f>
        <v>1</v>
      </c>
    </row>
    <row r="266" spans="1:20" x14ac:dyDescent="0.25">
      <c r="A266">
        <v>14</v>
      </c>
      <c r="B266" t="b">
        <v>0</v>
      </c>
      <c r="C266" s="6">
        <v>46361.625</v>
      </c>
      <c r="D266" t="b">
        <v>0</v>
      </c>
      <c r="E266">
        <v>9</v>
      </c>
      <c r="F266">
        <v>10</v>
      </c>
      <c r="G266">
        <v>2</v>
      </c>
      <c r="H266" t="s">
        <v>1110</v>
      </c>
      <c r="I266" t="s">
        <v>1084</v>
      </c>
      <c r="J266" t="s">
        <v>1086</v>
      </c>
      <c r="K266" t="str">
        <f>tblTeamFixtures[[#This Row],[Team_name]]&amp;"_"&amp;tblTeamFixtures[[#This Row],[GW]]</f>
        <v>EVE_14</v>
      </c>
      <c r="L266">
        <f>IFERROR(INDEX(TEAM_ANALYSIS!$Y:$Y,MATCH($E266,TEAM_ANALYSIS!$A:$A,0)),1)</f>
        <v>1.088235294117647</v>
      </c>
      <c r="M266">
        <f>IFERROR(INDEX(TEAM_ANALYSIS!$Z:$Z,MATCH($E266,TEAM_ANALYSIS!$A:$A,0)),1)</f>
        <v>0.8529411764705882</v>
      </c>
      <c r="N266">
        <f>IFERROR(INDEX(TEAM_ANALYSIS!$Y:$Y,MATCH($F266,TEAM_ANALYSIS!$A:$A,0)),1)</f>
        <v>0.97058823529411764</v>
      </c>
      <c r="O266">
        <f>IFERROR(INDEX(TEAM_ANALYSIS!$Z:$Z,MATCH($F266,TEAM_ANALYSIS!$A:$A,0)),1)</f>
        <v>1.3235294117647058</v>
      </c>
      <c r="P266">
        <f>MAX(0.05,AVERAGE(TEAM_ANALYSIS!$W$2:$W$21)*L266*O266)</f>
        <v>3.0606617647058822</v>
      </c>
      <c r="Q266">
        <f>MAX(0.05,AVERAGE(TEAM_ANALYSIS!$W$2:$W$21)*N266*M266)</f>
        <v>1.7591911764705881</v>
      </c>
      <c r="R266" s="23">
        <f>MAX(0.8,MIN(1.2,P266/AVERAGE(TEAM_ANALYSIS!$W$2:$W$21)))</f>
        <v>1.2</v>
      </c>
      <c r="S266">
        <f>MAX(0.8,MIN(1.2,AVERAGE(TEAM_ANALYSIS!$W$2:$W$21)/Q266))</f>
        <v>1.2</v>
      </c>
      <c r="T266">
        <f>AVERAGE(R266,S266)</f>
        <v>1.2</v>
      </c>
    </row>
    <row r="267" spans="1:20" x14ac:dyDescent="0.25">
      <c r="A267">
        <v>14</v>
      </c>
      <c r="B267" t="b">
        <v>0</v>
      </c>
      <c r="C267" s="6">
        <v>46361.625</v>
      </c>
      <c r="D267" t="b">
        <v>0</v>
      </c>
      <c r="E267">
        <v>13</v>
      </c>
      <c r="F267">
        <v>12</v>
      </c>
      <c r="G267">
        <v>2</v>
      </c>
      <c r="H267" t="s">
        <v>1110</v>
      </c>
      <c r="I267" t="s">
        <v>1092</v>
      </c>
      <c r="J267" t="s">
        <v>1090</v>
      </c>
      <c r="K267" t="str">
        <f>tblTeamFixtures[[#This Row],[Team_name]]&amp;"_"&amp;tblTeamFixtures[[#This Row],[GW]]</f>
        <v>LEE_14</v>
      </c>
      <c r="L267">
        <f>IFERROR(INDEX(TEAM_ANALYSIS!$Y:$Y,MATCH($E267,TEAM_ANALYSIS!$A:$A,0)),1)</f>
        <v>0.8529411764705882</v>
      </c>
      <c r="M267">
        <f>IFERROR(INDEX(TEAM_ANALYSIS!$Z:$Z,MATCH($E267,TEAM_ANALYSIS!$A:$A,0)),1)</f>
        <v>0.73529411764705888</v>
      </c>
      <c r="N267">
        <f>IFERROR(INDEX(TEAM_ANALYSIS!$Y:$Y,MATCH($F267,TEAM_ANALYSIS!$A:$A,0)),1)</f>
        <v>0.97058823529411764</v>
      </c>
      <c r="O267">
        <f>IFERROR(INDEX(TEAM_ANALYSIS!$Z:$Z,MATCH($F267,TEAM_ANALYSIS!$A:$A,0)),1)</f>
        <v>1.4411764705882353</v>
      </c>
      <c r="P267">
        <f>MAX(0.05,AVERAGE(TEAM_ANALYSIS!$W$2:$W$21)*L267*O267)</f>
        <v>2.6121323529411766</v>
      </c>
      <c r="Q267">
        <f>MAX(0.05,AVERAGE(TEAM_ANALYSIS!$W$2:$W$21)*N267*M267)</f>
        <v>1.5165441176470589</v>
      </c>
      <c r="R267" s="23">
        <f>MAX(0.8,MIN(1.2,P267/AVERAGE(TEAM_ANALYSIS!$W$2:$W$21)))</f>
        <v>1.2</v>
      </c>
      <c r="S267">
        <f>MAX(0.8,MIN(1.2,AVERAGE(TEAM_ANALYSIS!$W$2:$W$21)/Q267))</f>
        <v>1.2</v>
      </c>
      <c r="T267">
        <f>AVERAGE(R267,S267)</f>
        <v>1.2</v>
      </c>
    </row>
    <row r="268" spans="1:20" x14ac:dyDescent="0.25">
      <c r="A268">
        <v>14</v>
      </c>
      <c r="B268" t="b">
        <v>0</v>
      </c>
      <c r="C268" s="6">
        <v>46361.625</v>
      </c>
      <c r="D268" t="b">
        <v>0</v>
      </c>
      <c r="E268">
        <v>16</v>
      </c>
      <c r="F268">
        <v>7</v>
      </c>
      <c r="G268">
        <v>2</v>
      </c>
      <c r="H268" t="s">
        <v>1110</v>
      </c>
      <c r="I268" t="s">
        <v>1098</v>
      </c>
      <c r="J268" t="s">
        <v>1080</v>
      </c>
      <c r="K268" t="str">
        <f>tblTeamFixtures[[#This Row],[Team_name]]&amp;"_"&amp;tblTeamFixtures[[#This Row],[GW]]</f>
        <v>MUN_14</v>
      </c>
      <c r="L268">
        <f>IFERROR(INDEX(TEAM_ANALYSIS!$Y:$Y,MATCH($E268,TEAM_ANALYSIS!$A:$A,0)),1)</f>
        <v>1.3235294117647058</v>
      </c>
      <c r="M268">
        <f>IFERROR(INDEX(TEAM_ANALYSIS!$Z:$Z,MATCH($E268,TEAM_ANALYSIS!$A:$A,0)),1)</f>
        <v>1.2058823529411764</v>
      </c>
      <c r="N268">
        <f>IFERROR(INDEX(TEAM_ANALYSIS!$Y:$Y,MATCH($F268,TEAM_ANALYSIS!$A:$A,0)),1)</f>
        <v>0.5</v>
      </c>
      <c r="O268">
        <f>IFERROR(INDEX(TEAM_ANALYSIS!$Z:$Z,MATCH($F268,TEAM_ANALYSIS!$A:$A,0)),1)</f>
        <v>1.088235294117647</v>
      </c>
      <c r="P268">
        <f>MAX(0.05,AVERAGE(TEAM_ANALYSIS!$W$2:$W$21)*L268*O268)</f>
        <v>3.0606617647058822</v>
      </c>
      <c r="Q268">
        <f>MAX(0.05,AVERAGE(TEAM_ANALYSIS!$W$2:$W$21)*N268*M268)</f>
        <v>1.28125</v>
      </c>
      <c r="R268" s="23">
        <f>MAX(0.8,MIN(1.2,P268/AVERAGE(TEAM_ANALYSIS!$W$2:$W$21)))</f>
        <v>1.2</v>
      </c>
      <c r="S268">
        <f>MAX(0.8,MIN(1.2,AVERAGE(TEAM_ANALYSIS!$W$2:$W$21)/Q268))</f>
        <v>1.2</v>
      </c>
      <c r="T268">
        <f>AVERAGE(R268,S268)</f>
        <v>1.2</v>
      </c>
    </row>
    <row r="269" spans="1:20" x14ac:dyDescent="0.25">
      <c r="A269">
        <v>14</v>
      </c>
      <c r="B269" t="b">
        <v>0</v>
      </c>
      <c r="C269" s="6">
        <v>46361.625</v>
      </c>
      <c r="D269" t="b">
        <v>0</v>
      </c>
      <c r="E269">
        <v>17</v>
      </c>
      <c r="F269">
        <v>20</v>
      </c>
      <c r="G269">
        <v>2</v>
      </c>
      <c r="H269" t="s">
        <v>1110</v>
      </c>
      <c r="I269" t="s">
        <v>1100</v>
      </c>
      <c r="J269" t="s">
        <v>1106</v>
      </c>
      <c r="K269" t="str">
        <f>tblTeamFixtures[[#This Row],[Team_name]]&amp;"_"&amp;tblTeamFixtures[[#This Row],[GW]]</f>
        <v>NEW_14</v>
      </c>
      <c r="L269">
        <f>IFERROR(INDEX(TEAM_ANALYSIS!$Y:$Y,MATCH($E269,TEAM_ANALYSIS!$A:$A,0)),1)</f>
        <v>1.2058823529411764</v>
      </c>
      <c r="M269">
        <f>IFERROR(INDEX(TEAM_ANALYSIS!$Z:$Z,MATCH($E269,TEAM_ANALYSIS!$A:$A,0)),1)</f>
        <v>0.97058823529411764</v>
      </c>
      <c r="N269">
        <f>IFERROR(INDEX(TEAM_ANALYSIS!$Y:$Y,MATCH($F269,TEAM_ANALYSIS!$A:$A,0)),1)</f>
        <v>0.8529411764705882</v>
      </c>
      <c r="O269">
        <f>IFERROR(INDEX(TEAM_ANALYSIS!$Z:$Z,MATCH($F269,TEAM_ANALYSIS!$A:$A,0)),1)</f>
        <v>0.8529411764705882</v>
      </c>
      <c r="P269">
        <f>MAX(0.05,AVERAGE(TEAM_ANALYSIS!$W$2:$W$21)*L269*O269)</f>
        <v>2.1856617647058822</v>
      </c>
      <c r="Q269">
        <f>MAX(0.05,AVERAGE(TEAM_ANALYSIS!$W$2:$W$21)*N269*M269)</f>
        <v>1.7591911764705883</v>
      </c>
      <c r="R269" s="23">
        <f>MAX(0.8,MIN(1.2,P269/AVERAGE(TEAM_ANALYSIS!$W$2:$W$21)))</f>
        <v>1.0285467128027681</v>
      </c>
      <c r="S269">
        <f>MAX(0.8,MIN(1.2,AVERAGE(TEAM_ANALYSIS!$W$2:$W$21)/Q269))</f>
        <v>1.2</v>
      </c>
      <c r="T269">
        <f>AVERAGE(R269,S269)</f>
        <v>1.114273356401384</v>
      </c>
    </row>
    <row r="270" spans="1:20" x14ac:dyDescent="0.25">
      <c r="A270">
        <v>14</v>
      </c>
      <c r="B270" t="b">
        <v>0</v>
      </c>
      <c r="C270" s="6">
        <v>46361.625</v>
      </c>
      <c r="D270" t="b">
        <v>0</v>
      </c>
      <c r="E270">
        <v>18</v>
      </c>
      <c r="F270">
        <v>5</v>
      </c>
      <c r="G270">
        <v>2</v>
      </c>
      <c r="H270" t="s">
        <v>1110</v>
      </c>
      <c r="I270" t="s">
        <v>1102</v>
      </c>
      <c r="J270" t="s">
        <v>1076</v>
      </c>
      <c r="K270" t="str">
        <f>tblTeamFixtures[[#This Row],[Team_name]]&amp;"_"&amp;tblTeamFixtures[[#This Row],[GW]]</f>
        <v>NFO_14</v>
      </c>
      <c r="L270">
        <f>IFERROR(INDEX(TEAM_ANALYSIS!$Y:$Y,MATCH($E270,TEAM_ANALYSIS!$A:$A,0)),1)</f>
        <v>0.73529411764705888</v>
      </c>
      <c r="M270">
        <f>IFERROR(INDEX(TEAM_ANALYSIS!$Z:$Z,MATCH($E270,TEAM_ANALYSIS!$A:$A,0)),1)</f>
        <v>0.8529411764705882</v>
      </c>
      <c r="N270">
        <f>IFERROR(INDEX(TEAM_ANALYSIS!$Y:$Y,MATCH($F270,TEAM_ANALYSIS!$A:$A,0)),1)</f>
        <v>1.4411764705882353</v>
      </c>
      <c r="O270">
        <f>IFERROR(INDEX(TEAM_ANALYSIS!$Z:$Z,MATCH($F270,TEAM_ANALYSIS!$A:$A,0)),1)</f>
        <v>1.088235294117647</v>
      </c>
      <c r="P270">
        <f>MAX(0.05,AVERAGE(TEAM_ANALYSIS!$W$2:$W$21)*L270*O270)</f>
        <v>1.7003676470588234</v>
      </c>
      <c r="Q270">
        <f>MAX(0.05,AVERAGE(TEAM_ANALYSIS!$W$2:$W$21)*N270*M270)</f>
        <v>2.6121323529411762</v>
      </c>
      <c r="R270" s="23">
        <f>MAX(0.8,MIN(1.2,P270/AVERAGE(TEAM_ANALYSIS!$W$2:$W$21)))</f>
        <v>0.80017301038062272</v>
      </c>
      <c r="S270">
        <f>MAX(0.8,MIN(1.2,AVERAGE(TEAM_ANALYSIS!$W$2:$W$21)/Q270))</f>
        <v>0.81351161154116824</v>
      </c>
      <c r="T270">
        <f>AVERAGE(R270,S270)</f>
        <v>0.80684231096089554</v>
      </c>
    </row>
    <row r="271" spans="1:20" x14ac:dyDescent="0.25">
      <c r="A271">
        <v>14</v>
      </c>
      <c r="B271" t="b">
        <v>0</v>
      </c>
      <c r="C271" s="6">
        <v>46361.625</v>
      </c>
      <c r="D271" t="b">
        <v>0</v>
      </c>
      <c r="E271">
        <v>19</v>
      </c>
      <c r="F271">
        <v>1</v>
      </c>
      <c r="G271">
        <v>4</v>
      </c>
      <c r="H271" t="s">
        <v>1110</v>
      </c>
      <c r="I271" t="s">
        <v>1104</v>
      </c>
      <c r="J271" t="s">
        <v>1068</v>
      </c>
      <c r="K271" t="str">
        <f>tblTeamFixtures[[#This Row],[Team_name]]&amp;"_"&amp;tblTeamFixtures[[#This Row],[GW]]</f>
        <v>TOT_14</v>
      </c>
      <c r="L271">
        <f>IFERROR(INDEX(TEAM_ANALYSIS!$Y:$Y,MATCH($E271,TEAM_ANALYSIS!$A:$A,0)),1)</f>
        <v>0.5</v>
      </c>
      <c r="M271">
        <f>IFERROR(INDEX(TEAM_ANALYSIS!$Z:$Z,MATCH($E271,TEAM_ANALYSIS!$A:$A,0)),1)</f>
        <v>1.088235294117647</v>
      </c>
      <c r="N271">
        <f>IFERROR(INDEX(TEAM_ANALYSIS!$Y:$Y,MATCH($F271,TEAM_ANALYSIS!$A:$A,0)),1)</f>
        <v>1.2058823529411764</v>
      </c>
      <c r="O271">
        <f>IFERROR(INDEX(TEAM_ANALYSIS!$Z:$Z,MATCH($F271,TEAM_ANALYSIS!$A:$A,0)),1)</f>
        <v>0.61764705882352944</v>
      </c>
      <c r="P271">
        <f>MAX(0.05,AVERAGE(TEAM_ANALYSIS!$W$2:$W$21)*L271*O271)</f>
        <v>0.65625</v>
      </c>
      <c r="Q271">
        <f>MAX(0.05,AVERAGE(TEAM_ANALYSIS!$W$2:$W$21)*N271*M271)</f>
        <v>2.7886029411764706</v>
      </c>
      <c r="R271" s="23">
        <f>MAX(0.8,MIN(1.2,P271/AVERAGE(TEAM_ANALYSIS!$W$2:$W$21)))</f>
        <v>0.8</v>
      </c>
      <c r="S271">
        <f>MAX(0.8,MIN(1.2,AVERAGE(TEAM_ANALYSIS!$W$2:$W$21)/Q271))</f>
        <v>0.8</v>
      </c>
      <c r="T271">
        <f>AVERAGE(R271,S271)</f>
        <v>0.8</v>
      </c>
    </row>
    <row r="272" spans="1:20" x14ac:dyDescent="0.25">
      <c r="A272">
        <v>14</v>
      </c>
      <c r="B272" t="b">
        <v>0</v>
      </c>
      <c r="C272" s="6">
        <v>46361.625</v>
      </c>
      <c r="D272" t="b">
        <v>0</v>
      </c>
      <c r="E272">
        <v>8</v>
      </c>
      <c r="F272">
        <v>2</v>
      </c>
      <c r="G272">
        <v>4</v>
      </c>
      <c r="H272" t="s">
        <v>1111</v>
      </c>
      <c r="I272" t="s">
        <v>1082</v>
      </c>
      <c r="J272" t="s">
        <v>1070</v>
      </c>
      <c r="K272" t="str">
        <f>tblTeamFixtures[[#This Row],[Team_name]]&amp;"_"&amp;tblTeamFixtures[[#This Row],[GW]]</f>
        <v>CRY_14</v>
      </c>
      <c r="L272">
        <f>IFERROR(INDEX(TEAM_ANALYSIS!$Y:$Y,MATCH($E272,TEAM_ANALYSIS!$A:$A,0)),1)</f>
        <v>0.97058823529411764</v>
      </c>
      <c r="M272">
        <f>IFERROR(INDEX(TEAM_ANALYSIS!$Z:$Z,MATCH($E272,TEAM_ANALYSIS!$A:$A,0)),1)</f>
        <v>1.4411764705882353</v>
      </c>
      <c r="N272">
        <f>IFERROR(INDEX(TEAM_ANALYSIS!$Y:$Y,MATCH($F272,TEAM_ANALYSIS!$A:$A,0)),1)</f>
        <v>0.5</v>
      </c>
      <c r="O272">
        <f>IFERROR(INDEX(TEAM_ANALYSIS!$Z:$Z,MATCH($F272,TEAM_ANALYSIS!$A:$A,0)),1)</f>
        <v>1.088235294117647</v>
      </c>
      <c r="P272">
        <f>MAX(0.05,AVERAGE(TEAM_ANALYSIS!$W$2:$W$21)*L272*O272)</f>
        <v>2.2444852941176467</v>
      </c>
      <c r="Q272">
        <f>MAX(0.05,AVERAGE(TEAM_ANALYSIS!$W$2:$W$21)*N272*M272)</f>
        <v>1.53125</v>
      </c>
      <c r="R272" s="23">
        <f>MAX(0.8,MIN(1.2,P272/AVERAGE(TEAM_ANALYSIS!$W$2:$W$21)))</f>
        <v>1.0562283737024221</v>
      </c>
      <c r="S272">
        <f>MAX(0.8,MIN(1.2,AVERAGE(TEAM_ANALYSIS!$W$2:$W$21)/Q272))</f>
        <v>1.2</v>
      </c>
      <c r="T272">
        <f>AVERAGE(R272,S272)</f>
        <v>1.128114186851211</v>
      </c>
    </row>
    <row r="273" spans="1:20" x14ac:dyDescent="0.25">
      <c r="A273">
        <v>14</v>
      </c>
      <c r="B273" t="b">
        <v>0</v>
      </c>
      <c r="C273" s="6">
        <v>46361.625</v>
      </c>
      <c r="D273" t="b">
        <v>0</v>
      </c>
      <c r="E273">
        <v>11</v>
      </c>
      <c r="F273">
        <v>3</v>
      </c>
      <c r="G273">
        <v>3</v>
      </c>
      <c r="H273" t="s">
        <v>1111</v>
      </c>
      <c r="I273" t="s">
        <v>1088</v>
      </c>
      <c r="J273" t="s">
        <v>1072</v>
      </c>
      <c r="K273" t="str">
        <f>tblTeamFixtures[[#This Row],[Team_name]]&amp;"_"&amp;tblTeamFixtures[[#This Row],[GW]]</f>
        <v>HUL_14</v>
      </c>
      <c r="L273">
        <f>IFERROR(INDEX(TEAM_ANALYSIS!$Y:$Y,MATCH($E273,TEAM_ANALYSIS!$A:$A,0)),1)</f>
        <v>0.8529411764705882</v>
      </c>
      <c r="M273">
        <f>IFERROR(INDEX(TEAM_ANALYSIS!$Z:$Z,MATCH($E273,TEAM_ANALYSIS!$A:$A,0)),1)</f>
        <v>0.5</v>
      </c>
      <c r="N273">
        <f>IFERROR(INDEX(TEAM_ANALYSIS!$Y:$Y,MATCH($F273,TEAM_ANALYSIS!$A:$A,0)),1)</f>
        <v>0.97058823529411764</v>
      </c>
      <c r="O273">
        <f>IFERROR(INDEX(TEAM_ANALYSIS!$Z:$Z,MATCH($F273,TEAM_ANALYSIS!$A:$A,0)),1)</f>
        <v>1.088235294117647</v>
      </c>
      <c r="P273">
        <f>MAX(0.05,AVERAGE(TEAM_ANALYSIS!$W$2:$W$21)*L273*O273)</f>
        <v>1.9724264705882351</v>
      </c>
      <c r="Q273">
        <f>MAX(0.05,AVERAGE(TEAM_ANALYSIS!$W$2:$W$21)*N273*M273)</f>
        <v>1.03125</v>
      </c>
      <c r="R273" s="23">
        <f>MAX(0.8,MIN(1.2,P273/AVERAGE(TEAM_ANALYSIS!$W$2:$W$21)))</f>
        <v>0.92820069204152233</v>
      </c>
      <c r="S273">
        <f>MAX(0.8,MIN(1.2,AVERAGE(TEAM_ANALYSIS!$W$2:$W$21)/Q273))</f>
        <v>1.2</v>
      </c>
      <c r="T273">
        <f>AVERAGE(R273,S273)</f>
        <v>1.0641003460207612</v>
      </c>
    </row>
    <row r="274" spans="1:20" x14ac:dyDescent="0.25">
      <c r="A274">
        <v>14</v>
      </c>
      <c r="B274" t="b">
        <v>0</v>
      </c>
      <c r="C274" s="6">
        <v>46361.625</v>
      </c>
      <c r="D274" t="b">
        <v>0</v>
      </c>
      <c r="E274">
        <v>15</v>
      </c>
      <c r="F274">
        <v>4</v>
      </c>
      <c r="G274">
        <v>3</v>
      </c>
      <c r="H274" t="s">
        <v>1111</v>
      </c>
      <c r="I274" t="s">
        <v>1096</v>
      </c>
      <c r="J274" t="s">
        <v>1074</v>
      </c>
      <c r="K274" t="str">
        <f>tblTeamFixtures[[#This Row],[Team_name]]&amp;"_"&amp;tblTeamFixtures[[#This Row],[GW]]</f>
        <v>MCI_14</v>
      </c>
      <c r="L274">
        <f>IFERROR(INDEX(TEAM_ANALYSIS!$Y:$Y,MATCH($E274,TEAM_ANALYSIS!$A:$A,0)),1)</f>
        <v>1.3235294117647058</v>
      </c>
      <c r="M274">
        <f>IFERROR(INDEX(TEAM_ANALYSIS!$Z:$Z,MATCH($E274,TEAM_ANALYSIS!$A:$A,0)),1)</f>
        <v>0.73529411764705888</v>
      </c>
      <c r="N274">
        <f>IFERROR(INDEX(TEAM_ANALYSIS!$Y:$Y,MATCH($F274,TEAM_ANALYSIS!$A:$A,0)),1)</f>
        <v>1.088235294117647</v>
      </c>
      <c r="O274">
        <f>IFERROR(INDEX(TEAM_ANALYSIS!$Z:$Z,MATCH($F274,TEAM_ANALYSIS!$A:$A,0)),1)</f>
        <v>0.73529411764705888</v>
      </c>
      <c r="P274">
        <f>MAX(0.05,AVERAGE(TEAM_ANALYSIS!$W$2:$W$21)*L274*O274)</f>
        <v>2.0680147058823533</v>
      </c>
      <c r="Q274">
        <f>MAX(0.05,AVERAGE(TEAM_ANALYSIS!$W$2:$W$21)*N274*M274)</f>
        <v>1.7003676470588236</v>
      </c>
      <c r="R274" s="23">
        <f>MAX(0.8,MIN(1.2,P274/AVERAGE(TEAM_ANALYSIS!$W$2:$W$21)))</f>
        <v>0.97318339100346041</v>
      </c>
      <c r="S274">
        <f>MAX(0.8,MIN(1.2,AVERAGE(TEAM_ANALYSIS!$W$2:$W$21)/Q274))</f>
        <v>1.2</v>
      </c>
      <c r="T274">
        <f>AVERAGE(R274,S274)</f>
        <v>1.0865916955017303</v>
      </c>
    </row>
    <row r="275" spans="1:20" x14ac:dyDescent="0.25">
      <c r="A275">
        <v>14</v>
      </c>
      <c r="B275" t="b">
        <v>0</v>
      </c>
      <c r="C275" s="6">
        <v>46361.625</v>
      </c>
      <c r="D275" t="b">
        <v>0</v>
      </c>
      <c r="E275">
        <v>14</v>
      </c>
      <c r="F275">
        <v>6</v>
      </c>
      <c r="G275">
        <v>4</v>
      </c>
      <c r="H275" t="s">
        <v>1111</v>
      </c>
      <c r="I275" t="s">
        <v>1094</v>
      </c>
      <c r="J275" t="s">
        <v>1078</v>
      </c>
      <c r="K275" t="str">
        <f>tblTeamFixtures[[#This Row],[Team_name]]&amp;"_"&amp;tblTeamFixtures[[#This Row],[GW]]</f>
        <v>LIV_14</v>
      </c>
      <c r="L275">
        <f>IFERROR(INDEX(TEAM_ANALYSIS!$Y:$Y,MATCH($E275,TEAM_ANALYSIS!$A:$A,0)),1)</f>
        <v>1.2058823529411764</v>
      </c>
      <c r="M275">
        <f>IFERROR(INDEX(TEAM_ANALYSIS!$Z:$Z,MATCH($E275,TEAM_ANALYSIS!$A:$A,0)),1)</f>
        <v>0.97058823529411764</v>
      </c>
      <c r="N275">
        <f>IFERROR(INDEX(TEAM_ANALYSIS!$Y:$Y,MATCH($F275,TEAM_ANALYSIS!$A:$A,0)),1)</f>
        <v>1.4411764705882353</v>
      </c>
      <c r="O275">
        <f>IFERROR(INDEX(TEAM_ANALYSIS!$Z:$Z,MATCH($F275,TEAM_ANALYSIS!$A:$A,0)),1)</f>
        <v>1.3235294117647058</v>
      </c>
      <c r="P275">
        <f>MAX(0.05,AVERAGE(TEAM_ANALYSIS!$W$2:$W$21)*L275*O275)</f>
        <v>3.3915441176470589</v>
      </c>
      <c r="Q275">
        <f>MAX(0.05,AVERAGE(TEAM_ANALYSIS!$W$2:$W$21)*N275*M275)</f>
        <v>2.9724264705882351</v>
      </c>
      <c r="R275" s="23">
        <f>MAX(0.8,MIN(1.2,P275/AVERAGE(TEAM_ANALYSIS!$W$2:$W$21)))</f>
        <v>1.2</v>
      </c>
      <c r="S275">
        <f>MAX(0.8,MIN(1.2,AVERAGE(TEAM_ANALYSIS!$W$2:$W$21)/Q275))</f>
        <v>0.8</v>
      </c>
      <c r="T275">
        <f>AVERAGE(R275,S275)</f>
        <v>1</v>
      </c>
    </row>
    <row r="276" spans="1:20" x14ac:dyDescent="0.25">
      <c r="A276">
        <v>14</v>
      </c>
      <c r="B276" t="b">
        <v>0</v>
      </c>
      <c r="C276" s="6">
        <v>46361.625</v>
      </c>
      <c r="D276" t="b">
        <v>0</v>
      </c>
      <c r="E276">
        <v>10</v>
      </c>
      <c r="F276">
        <v>9</v>
      </c>
      <c r="G276">
        <v>3</v>
      </c>
      <c r="H276" t="s">
        <v>1111</v>
      </c>
      <c r="I276" t="s">
        <v>1086</v>
      </c>
      <c r="J276" t="s">
        <v>1084</v>
      </c>
      <c r="K276" t="str">
        <f>tblTeamFixtures[[#This Row],[Team_name]]&amp;"_"&amp;tblTeamFixtures[[#This Row],[GW]]</f>
        <v>FUL_14</v>
      </c>
      <c r="L276">
        <f>IFERROR(INDEX(TEAM_ANALYSIS!$Y:$Y,MATCH($E276,TEAM_ANALYSIS!$A:$A,0)),1)</f>
        <v>0.97058823529411764</v>
      </c>
      <c r="M276">
        <f>IFERROR(INDEX(TEAM_ANALYSIS!$Z:$Z,MATCH($E276,TEAM_ANALYSIS!$A:$A,0)),1)</f>
        <v>1.3235294117647058</v>
      </c>
      <c r="N276">
        <f>IFERROR(INDEX(TEAM_ANALYSIS!$Y:$Y,MATCH($F276,TEAM_ANALYSIS!$A:$A,0)),1)</f>
        <v>1.088235294117647</v>
      </c>
      <c r="O276">
        <f>IFERROR(INDEX(TEAM_ANALYSIS!$Z:$Z,MATCH($F276,TEAM_ANALYSIS!$A:$A,0)),1)</f>
        <v>0.8529411764705882</v>
      </c>
      <c r="P276">
        <f>MAX(0.05,AVERAGE(TEAM_ANALYSIS!$W$2:$W$21)*L276*O276)</f>
        <v>1.7591911764705881</v>
      </c>
      <c r="Q276">
        <f>MAX(0.05,AVERAGE(TEAM_ANALYSIS!$W$2:$W$21)*N276*M276)</f>
        <v>3.0606617647058822</v>
      </c>
      <c r="R276" s="23">
        <f>MAX(0.8,MIN(1.2,P276/AVERAGE(TEAM_ANALYSIS!$W$2:$W$21)))</f>
        <v>0.82785467128027679</v>
      </c>
      <c r="S276">
        <f>MAX(0.8,MIN(1.2,AVERAGE(TEAM_ANALYSIS!$W$2:$W$21)/Q276))</f>
        <v>0.8</v>
      </c>
      <c r="T276">
        <f>AVERAGE(R276,S276)</f>
        <v>0.81392733564013842</v>
      </c>
    </row>
    <row r="277" spans="1:20" x14ac:dyDescent="0.25">
      <c r="A277">
        <v>14</v>
      </c>
      <c r="B277" t="b">
        <v>0</v>
      </c>
      <c r="C277" s="6">
        <v>46361.625</v>
      </c>
      <c r="D277" t="b">
        <v>0</v>
      </c>
      <c r="E277">
        <v>12</v>
      </c>
      <c r="F277">
        <v>13</v>
      </c>
      <c r="G277">
        <v>3</v>
      </c>
      <c r="H277" t="s">
        <v>1111</v>
      </c>
      <c r="I277" t="s">
        <v>1090</v>
      </c>
      <c r="J277" t="s">
        <v>1092</v>
      </c>
      <c r="K277" t="str">
        <f>tblTeamFixtures[[#This Row],[Team_name]]&amp;"_"&amp;tblTeamFixtures[[#This Row],[GW]]</f>
        <v>IPS_14</v>
      </c>
      <c r="L277">
        <f>IFERROR(INDEX(TEAM_ANALYSIS!$Y:$Y,MATCH($E277,TEAM_ANALYSIS!$A:$A,0)),1)</f>
        <v>0.97058823529411764</v>
      </c>
      <c r="M277">
        <f>IFERROR(INDEX(TEAM_ANALYSIS!$Z:$Z,MATCH($E277,TEAM_ANALYSIS!$A:$A,0)),1)</f>
        <v>1.4411764705882353</v>
      </c>
      <c r="N277">
        <f>IFERROR(INDEX(TEAM_ANALYSIS!$Y:$Y,MATCH($F277,TEAM_ANALYSIS!$A:$A,0)),1)</f>
        <v>0.8529411764705882</v>
      </c>
      <c r="O277">
        <f>IFERROR(INDEX(TEAM_ANALYSIS!$Z:$Z,MATCH($F277,TEAM_ANALYSIS!$A:$A,0)),1)</f>
        <v>0.73529411764705888</v>
      </c>
      <c r="P277">
        <f>MAX(0.05,AVERAGE(TEAM_ANALYSIS!$W$2:$W$21)*L277*O277)</f>
        <v>1.5165441176470589</v>
      </c>
      <c r="Q277">
        <f>MAX(0.05,AVERAGE(TEAM_ANALYSIS!$W$2:$W$21)*N277*M277)</f>
        <v>2.6121323529411766</v>
      </c>
      <c r="R277" s="23">
        <f>MAX(0.8,MIN(1.2,P277/AVERAGE(TEAM_ANALYSIS!$W$2:$W$21)))</f>
        <v>0.8</v>
      </c>
      <c r="S277">
        <f>MAX(0.8,MIN(1.2,AVERAGE(TEAM_ANALYSIS!$W$2:$W$21)/Q277))</f>
        <v>0.81351161154116813</v>
      </c>
      <c r="T277">
        <f>AVERAGE(R277,S277)</f>
        <v>0.80675580577058414</v>
      </c>
    </row>
    <row r="278" spans="1:20" x14ac:dyDescent="0.25">
      <c r="A278">
        <v>14</v>
      </c>
      <c r="B278" t="b">
        <v>0</v>
      </c>
      <c r="C278" s="6">
        <v>46361.625</v>
      </c>
      <c r="D278" t="b">
        <v>0</v>
      </c>
      <c r="E278">
        <v>7</v>
      </c>
      <c r="F278">
        <v>16</v>
      </c>
      <c r="G278">
        <v>4</v>
      </c>
      <c r="H278" t="s">
        <v>1111</v>
      </c>
      <c r="I278" t="s">
        <v>1080</v>
      </c>
      <c r="J278" t="s">
        <v>1098</v>
      </c>
      <c r="K278" t="str">
        <f>tblTeamFixtures[[#This Row],[Team_name]]&amp;"_"&amp;tblTeamFixtures[[#This Row],[GW]]</f>
        <v>COV_14</v>
      </c>
      <c r="L278">
        <f>IFERROR(INDEX(TEAM_ANALYSIS!$Y:$Y,MATCH($E278,TEAM_ANALYSIS!$A:$A,0)),1)</f>
        <v>0.5</v>
      </c>
      <c r="M278">
        <f>IFERROR(INDEX(TEAM_ANALYSIS!$Z:$Z,MATCH($E278,TEAM_ANALYSIS!$A:$A,0)),1)</f>
        <v>1.088235294117647</v>
      </c>
      <c r="N278">
        <f>IFERROR(INDEX(TEAM_ANALYSIS!$Y:$Y,MATCH($F278,TEAM_ANALYSIS!$A:$A,0)),1)</f>
        <v>1.3235294117647058</v>
      </c>
      <c r="O278">
        <f>IFERROR(INDEX(TEAM_ANALYSIS!$Z:$Z,MATCH($F278,TEAM_ANALYSIS!$A:$A,0)),1)</f>
        <v>1.2058823529411764</v>
      </c>
      <c r="P278">
        <f>MAX(0.05,AVERAGE(TEAM_ANALYSIS!$W$2:$W$21)*L278*O278)</f>
        <v>1.28125</v>
      </c>
      <c r="Q278">
        <f>MAX(0.05,AVERAGE(TEAM_ANALYSIS!$W$2:$W$21)*N278*M278)</f>
        <v>3.0606617647058822</v>
      </c>
      <c r="R278" s="23">
        <f>MAX(0.8,MIN(1.2,P278/AVERAGE(TEAM_ANALYSIS!$W$2:$W$21)))</f>
        <v>0.8</v>
      </c>
      <c r="S278">
        <f>MAX(0.8,MIN(1.2,AVERAGE(TEAM_ANALYSIS!$W$2:$W$21)/Q278))</f>
        <v>0.8</v>
      </c>
      <c r="T278">
        <f>AVERAGE(R278,S278)</f>
        <v>0.8</v>
      </c>
    </row>
    <row r="279" spans="1:20" x14ac:dyDescent="0.25">
      <c r="A279">
        <v>14</v>
      </c>
      <c r="B279" t="b">
        <v>0</v>
      </c>
      <c r="C279" s="6">
        <v>46361.625</v>
      </c>
      <c r="D279" t="b">
        <v>0</v>
      </c>
      <c r="E279">
        <v>20</v>
      </c>
      <c r="F279">
        <v>17</v>
      </c>
      <c r="G279">
        <v>3</v>
      </c>
      <c r="H279" t="s">
        <v>1111</v>
      </c>
      <c r="I279" t="s">
        <v>1106</v>
      </c>
      <c r="J279" t="s">
        <v>1100</v>
      </c>
      <c r="K279" t="str">
        <f>tblTeamFixtures[[#This Row],[Team_name]]&amp;"_"&amp;tblTeamFixtures[[#This Row],[GW]]</f>
        <v>SUN_14</v>
      </c>
      <c r="L279">
        <f>IFERROR(INDEX(TEAM_ANALYSIS!$Y:$Y,MATCH($E279,TEAM_ANALYSIS!$A:$A,0)),1)</f>
        <v>0.8529411764705882</v>
      </c>
      <c r="M279">
        <f>IFERROR(INDEX(TEAM_ANALYSIS!$Z:$Z,MATCH($E279,TEAM_ANALYSIS!$A:$A,0)),1)</f>
        <v>0.8529411764705882</v>
      </c>
      <c r="N279">
        <f>IFERROR(INDEX(TEAM_ANALYSIS!$Y:$Y,MATCH($F279,TEAM_ANALYSIS!$A:$A,0)),1)</f>
        <v>1.2058823529411764</v>
      </c>
      <c r="O279">
        <f>IFERROR(INDEX(TEAM_ANALYSIS!$Z:$Z,MATCH($F279,TEAM_ANALYSIS!$A:$A,0)),1)</f>
        <v>0.97058823529411764</v>
      </c>
      <c r="P279">
        <f>MAX(0.05,AVERAGE(TEAM_ANALYSIS!$W$2:$W$21)*L279*O279)</f>
        <v>1.7591911764705883</v>
      </c>
      <c r="Q279">
        <f>MAX(0.05,AVERAGE(TEAM_ANALYSIS!$W$2:$W$21)*N279*M279)</f>
        <v>2.1856617647058822</v>
      </c>
      <c r="R279" s="23">
        <f>MAX(0.8,MIN(1.2,P279/AVERAGE(TEAM_ANALYSIS!$W$2:$W$21)))</f>
        <v>0.8278546712802769</v>
      </c>
      <c r="S279">
        <f>MAX(0.8,MIN(1.2,AVERAGE(TEAM_ANALYSIS!$W$2:$W$21)/Q279))</f>
        <v>0.9722455845248108</v>
      </c>
      <c r="T279">
        <f>AVERAGE(R279,S279)</f>
        <v>0.90005012790254391</v>
      </c>
    </row>
    <row r="280" spans="1:20" x14ac:dyDescent="0.25">
      <c r="A280">
        <v>14</v>
      </c>
      <c r="B280" t="b">
        <v>0</v>
      </c>
      <c r="C280" s="6">
        <v>46361.625</v>
      </c>
      <c r="D280" t="b">
        <v>0</v>
      </c>
      <c r="E280">
        <v>5</v>
      </c>
      <c r="F280">
        <v>18</v>
      </c>
      <c r="G280">
        <v>3</v>
      </c>
      <c r="H280" t="s">
        <v>1111</v>
      </c>
      <c r="I280" t="s">
        <v>1076</v>
      </c>
      <c r="J280" t="s">
        <v>1102</v>
      </c>
      <c r="K280" t="str">
        <f>tblTeamFixtures[[#This Row],[Team_name]]&amp;"_"&amp;tblTeamFixtures[[#This Row],[GW]]</f>
        <v>BHA_14</v>
      </c>
      <c r="L280">
        <f>IFERROR(INDEX(TEAM_ANALYSIS!$Y:$Y,MATCH($E280,TEAM_ANALYSIS!$A:$A,0)),1)</f>
        <v>1.4411764705882353</v>
      </c>
      <c r="M280">
        <f>IFERROR(INDEX(TEAM_ANALYSIS!$Z:$Z,MATCH($E280,TEAM_ANALYSIS!$A:$A,0)),1)</f>
        <v>1.088235294117647</v>
      </c>
      <c r="N280">
        <f>IFERROR(INDEX(TEAM_ANALYSIS!$Y:$Y,MATCH($F280,TEAM_ANALYSIS!$A:$A,0)),1)</f>
        <v>0.73529411764705888</v>
      </c>
      <c r="O280">
        <f>IFERROR(INDEX(TEAM_ANALYSIS!$Z:$Z,MATCH($F280,TEAM_ANALYSIS!$A:$A,0)),1)</f>
        <v>0.8529411764705882</v>
      </c>
      <c r="P280">
        <f>MAX(0.05,AVERAGE(TEAM_ANALYSIS!$W$2:$W$21)*L280*O280)</f>
        <v>2.6121323529411762</v>
      </c>
      <c r="Q280">
        <f>MAX(0.05,AVERAGE(TEAM_ANALYSIS!$W$2:$W$21)*N280*M280)</f>
        <v>1.7003676470588234</v>
      </c>
      <c r="R280" s="23">
        <f>MAX(0.8,MIN(1.2,P280/AVERAGE(TEAM_ANALYSIS!$W$2:$W$21)))</f>
        <v>1.2</v>
      </c>
      <c r="S280">
        <f>MAX(0.8,MIN(1.2,AVERAGE(TEAM_ANALYSIS!$W$2:$W$21)/Q280))</f>
        <v>1.2</v>
      </c>
      <c r="T280">
        <f>AVERAGE(R280,S280)</f>
        <v>1.2</v>
      </c>
    </row>
    <row r="281" spans="1:20" x14ac:dyDescent="0.25">
      <c r="A281">
        <v>14</v>
      </c>
      <c r="B281" t="b">
        <v>0</v>
      </c>
      <c r="C281" s="6">
        <v>46361.625</v>
      </c>
      <c r="D281" t="b">
        <v>0</v>
      </c>
      <c r="E281">
        <v>1</v>
      </c>
      <c r="F281">
        <v>19</v>
      </c>
      <c r="G281">
        <v>3</v>
      </c>
      <c r="H281" t="s">
        <v>1111</v>
      </c>
      <c r="I281" t="s">
        <v>1068</v>
      </c>
      <c r="J281" t="s">
        <v>1104</v>
      </c>
      <c r="K281" t="str">
        <f>tblTeamFixtures[[#This Row],[Team_name]]&amp;"_"&amp;tblTeamFixtures[[#This Row],[GW]]</f>
        <v>ARS_14</v>
      </c>
      <c r="L281">
        <f>IFERROR(INDEX(TEAM_ANALYSIS!$Y:$Y,MATCH($E281,TEAM_ANALYSIS!$A:$A,0)),1)</f>
        <v>1.2058823529411764</v>
      </c>
      <c r="M281">
        <f>IFERROR(INDEX(TEAM_ANALYSIS!$Z:$Z,MATCH($E281,TEAM_ANALYSIS!$A:$A,0)),1)</f>
        <v>0.61764705882352944</v>
      </c>
      <c r="N281">
        <f>IFERROR(INDEX(TEAM_ANALYSIS!$Y:$Y,MATCH($F281,TEAM_ANALYSIS!$A:$A,0)),1)</f>
        <v>0.5</v>
      </c>
      <c r="O281">
        <f>IFERROR(INDEX(TEAM_ANALYSIS!$Z:$Z,MATCH($F281,TEAM_ANALYSIS!$A:$A,0)),1)</f>
        <v>1.088235294117647</v>
      </c>
      <c r="P281">
        <f>MAX(0.05,AVERAGE(TEAM_ANALYSIS!$W$2:$W$21)*L281*O281)</f>
        <v>2.7886029411764706</v>
      </c>
      <c r="Q281">
        <f>MAX(0.05,AVERAGE(TEAM_ANALYSIS!$W$2:$W$21)*N281*M281)</f>
        <v>0.65625</v>
      </c>
      <c r="R281" s="23">
        <f>MAX(0.8,MIN(1.2,P281/AVERAGE(TEAM_ANALYSIS!$W$2:$W$21)))</f>
        <v>1.2</v>
      </c>
      <c r="S281">
        <f>MAX(0.8,MIN(1.2,AVERAGE(TEAM_ANALYSIS!$W$2:$W$21)/Q281))</f>
        <v>1.2</v>
      </c>
      <c r="T281">
        <f>AVERAGE(R281,S281)</f>
        <v>1.2</v>
      </c>
    </row>
    <row r="282" spans="1:20" x14ac:dyDescent="0.25">
      <c r="A282">
        <v>15</v>
      </c>
      <c r="B282" t="b">
        <v>0</v>
      </c>
      <c r="C282" s="6">
        <v>46368.625</v>
      </c>
      <c r="D282" t="b">
        <v>0</v>
      </c>
      <c r="E282">
        <v>1</v>
      </c>
      <c r="F282">
        <v>3</v>
      </c>
      <c r="G282">
        <v>3</v>
      </c>
      <c r="H282" t="s">
        <v>1110</v>
      </c>
      <c r="I282" t="s">
        <v>1068</v>
      </c>
      <c r="J282" t="s">
        <v>1072</v>
      </c>
      <c r="K282" t="str">
        <f>tblTeamFixtures[[#This Row],[Team_name]]&amp;"_"&amp;tblTeamFixtures[[#This Row],[GW]]</f>
        <v>ARS_15</v>
      </c>
      <c r="L282">
        <f>IFERROR(INDEX(TEAM_ANALYSIS!$Y:$Y,MATCH($E282,TEAM_ANALYSIS!$A:$A,0)),1)</f>
        <v>1.2058823529411764</v>
      </c>
      <c r="M282">
        <f>IFERROR(INDEX(TEAM_ANALYSIS!$Z:$Z,MATCH($E282,TEAM_ANALYSIS!$A:$A,0)),1)</f>
        <v>0.61764705882352944</v>
      </c>
      <c r="N282">
        <f>IFERROR(INDEX(TEAM_ANALYSIS!$Y:$Y,MATCH($F282,TEAM_ANALYSIS!$A:$A,0)),1)</f>
        <v>0.97058823529411764</v>
      </c>
      <c r="O282">
        <f>IFERROR(INDEX(TEAM_ANALYSIS!$Z:$Z,MATCH($F282,TEAM_ANALYSIS!$A:$A,0)),1)</f>
        <v>1.088235294117647</v>
      </c>
      <c r="P282">
        <f>MAX(0.05,AVERAGE(TEAM_ANALYSIS!$W$2:$W$21)*L282*O282)</f>
        <v>2.7886029411764706</v>
      </c>
      <c r="Q282">
        <f>MAX(0.05,AVERAGE(TEAM_ANALYSIS!$W$2:$W$21)*N282*M282)</f>
        <v>1.2738970588235294</v>
      </c>
      <c r="R282" s="23">
        <f>MAX(0.8,MIN(1.2,P282/AVERAGE(TEAM_ANALYSIS!$W$2:$W$21)))</f>
        <v>1.2</v>
      </c>
      <c r="S282">
        <f>MAX(0.8,MIN(1.2,AVERAGE(TEAM_ANALYSIS!$W$2:$W$21)/Q282))</f>
        <v>1.2</v>
      </c>
      <c r="T282">
        <f>AVERAGE(R282,S282)</f>
        <v>1.2</v>
      </c>
    </row>
    <row r="283" spans="1:20" x14ac:dyDescent="0.25">
      <c r="A283">
        <v>15</v>
      </c>
      <c r="B283" t="b">
        <v>0</v>
      </c>
      <c r="C283" s="6">
        <v>46368.625</v>
      </c>
      <c r="D283" t="b">
        <v>0</v>
      </c>
      <c r="E283">
        <v>5</v>
      </c>
      <c r="F283">
        <v>9</v>
      </c>
      <c r="G283">
        <v>3</v>
      </c>
      <c r="H283" t="s">
        <v>1110</v>
      </c>
      <c r="I283" t="s">
        <v>1076</v>
      </c>
      <c r="J283" t="s">
        <v>1084</v>
      </c>
      <c r="K283" t="str">
        <f>tblTeamFixtures[[#This Row],[Team_name]]&amp;"_"&amp;tblTeamFixtures[[#This Row],[GW]]</f>
        <v>BHA_15</v>
      </c>
      <c r="L283">
        <f>IFERROR(INDEX(TEAM_ANALYSIS!$Y:$Y,MATCH($E283,TEAM_ANALYSIS!$A:$A,0)),1)</f>
        <v>1.4411764705882353</v>
      </c>
      <c r="M283">
        <f>IFERROR(INDEX(TEAM_ANALYSIS!$Z:$Z,MATCH($E283,TEAM_ANALYSIS!$A:$A,0)),1)</f>
        <v>1.088235294117647</v>
      </c>
      <c r="N283">
        <f>IFERROR(INDEX(TEAM_ANALYSIS!$Y:$Y,MATCH($F283,TEAM_ANALYSIS!$A:$A,0)),1)</f>
        <v>1.088235294117647</v>
      </c>
      <c r="O283">
        <f>IFERROR(INDEX(TEAM_ANALYSIS!$Z:$Z,MATCH($F283,TEAM_ANALYSIS!$A:$A,0)),1)</f>
        <v>0.8529411764705882</v>
      </c>
      <c r="P283">
        <f>MAX(0.05,AVERAGE(TEAM_ANALYSIS!$W$2:$W$21)*L283*O283)</f>
        <v>2.6121323529411762</v>
      </c>
      <c r="Q283">
        <f>MAX(0.05,AVERAGE(TEAM_ANALYSIS!$W$2:$W$21)*N283*M283)</f>
        <v>2.5165441176470584</v>
      </c>
      <c r="R283" s="23">
        <f>MAX(0.8,MIN(1.2,P283/AVERAGE(TEAM_ANALYSIS!$W$2:$W$21)))</f>
        <v>1.2</v>
      </c>
      <c r="S283">
        <f>MAX(0.8,MIN(1.2,AVERAGE(TEAM_ANALYSIS!$W$2:$W$21)/Q283))</f>
        <v>0.84441197954711478</v>
      </c>
      <c r="T283">
        <f>AVERAGE(R283,S283)</f>
        <v>1.0222059897735574</v>
      </c>
    </row>
    <row r="284" spans="1:20" x14ac:dyDescent="0.25">
      <c r="A284">
        <v>15</v>
      </c>
      <c r="B284" t="b">
        <v>0</v>
      </c>
      <c r="C284" s="6">
        <v>46368.625</v>
      </c>
      <c r="D284" t="b">
        <v>0</v>
      </c>
      <c r="E284">
        <v>7</v>
      </c>
      <c r="F284">
        <v>2</v>
      </c>
      <c r="G284">
        <v>3</v>
      </c>
      <c r="H284" t="s">
        <v>1110</v>
      </c>
      <c r="I284" t="s">
        <v>1080</v>
      </c>
      <c r="J284" t="s">
        <v>1070</v>
      </c>
      <c r="K284" t="str">
        <f>tblTeamFixtures[[#This Row],[Team_name]]&amp;"_"&amp;tblTeamFixtures[[#This Row],[GW]]</f>
        <v>COV_15</v>
      </c>
      <c r="L284">
        <f>IFERROR(INDEX(TEAM_ANALYSIS!$Y:$Y,MATCH($E284,TEAM_ANALYSIS!$A:$A,0)),1)</f>
        <v>0.5</v>
      </c>
      <c r="M284">
        <f>IFERROR(INDEX(TEAM_ANALYSIS!$Z:$Z,MATCH($E284,TEAM_ANALYSIS!$A:$A,0)),1)</f>
        <v>1.088235294117647</v>
      </c>
      <c r="N284">
        <f>IFERROR(INDEX(TEAM_ANALYSIS!$Y:$Y,MATCH($F284,TEAM_ANALYSIS!$A:$A,0)),1)</f>
        <v>0.5</v>
      </c>
      <c r="O284">
        <f>IFERROR(INDEX(TEAM_ANALYSIS!$Z:$Z,MATCH($F284,TEAM_ANALYSIS!$A:$A,0)),1)</f>
        <v>1.088235294117647</v>
      </c>
      <c r="P284">
        <f>MAX(0.05,AVERAGE(TEAM_ANALYSIS!$W$2:$W$21)*L284*O284)</f>
        <v>1.15625</v>
      </c>
      <c r="Q284">
        <f>MAX(0.05,AVERAGE(TEAM_ANALYSIS!$W$2:$W$21)*N284*M284)</f>
        <v>1.15625</v>
      </c>
      <c r="R284" s="23">
        <f>MAX(0.8,MIN(1.2,P284/AVERAGE(TEAM_ANALYSIS!$W$2:$W$21)))</f>
        <v>0.8</v>
      </c>
      <c r="S284">
        <f>MAX(0.8,MIN(1.2,AVERAGE(TEAM_ANALYSIS!$W$2:$W$21)/Q284))</f>
        <v>1.2</v>
      </c>
      <c r="T284">
        <f>AVERAGE(R284,S284)</f>
        <v>1</v>
      </c>
    </row>
    <row r="285" spans="1:20" x14ac:dyDescent="0.25">
      <c r="A285">
        <v>15</v>
      </c>
      <c r="B285" t="b">
        <v>0</v>
      </c>
      <c r="C285" s="6">
        <v>46368.625</v>
      </c>
      <c r="D285" t="b">
        <v>0</v>
      </c>
      <c r="E285">
        <v>8</v>
      </c>
      <c r="F285">
        <v>16</v>
      </c>
      <c r="G285">
        <v>4</v>
      </c>
      <c r="H285" t="s">
        <v>1110</v>
      </c>
      <c r="I285" t="s">
        <v>1082</v>
      </c>
      <c r="J285" t="s">
        <v>1098</v>
      </c>
      <c r="K285" t="str">
        <f>tblTeamFixtures[[#This Row],[Team_name]]&amp;"_"&amp;tblTeamFixtures[[#This Row],[GW]]</f>
        <v>CRY_15</v>
      </c>
      <c r="L285">
        <f>IFERROR(INDEX(TEAM_ANALYSIS!$Y:$Y,MATCH($E285,TEAM_ANALYSIS!$A:$A,0)),1)</f>
        <v>0.97058823529411764</v>
      </c>
      <c r="M285">
        <f>IFERROR(INDEX(TEAM_ANALYSIS!$Z:$Z,MATCH($E285,TEAM_ANALYSIS!$A:$A,0)),1)</f>
        <v>1.4411764705882353</v>
      </c>
      <c r="N285">
        <f>IFERROR(INDEX(TEAM_ANALYSIS!$Y:$Y,MATCH($F285,TEAM_ANALYSIS!$A:$A,0)),1)</f>
        <v>1.3235294117647058</v>
      </c>
      <c r="O285">
        <f>IFERROR(INDEX(TEAM_ANALYSIS!$Z:$Z,MATCH($F285,TEAM_ANALYSIS!$A:$A,0)),1)</f>
        <v>1.2058823529411764</v>
      </c>
      <c r="P285">
        <f>MAX(0.05,AVERAGE(TEAM_ANALYSIS!$W$2:$W$21)*L285*O285)</f>
        <v>2.4871323529411762</v>
      </c>
      <c r="Q285">
        <f>MAX(0.05,AVERAGE(TEAM_ANALYSIS!$W$2:$W$21)*N285*M285)</f>
        <v>4.0533088235294121</v>
      </c>
      <c r="R285" s="23">
        <f>MAX(0.8,MIN(1.2,P285/AVERAGE(TEAM_ANALYSIS!$W$2:$W$21)))</f>
        <v>1.1704152249134947</v>
      </c>
      <c r="S285">
        <f>MAX(0.8,MIN(1.2,AVERAGE(TEAM_ANALYSIS!$W$2:$W$21)/Q285))</f>
        <v>0.8</v>
      </c>
      <c r="T285">
        <f>AVERAGE(R285,S285)</f>
        <v>0.98520761245674737</v>
      </c>
    </row>
    <row r="286" spans="1:20" x14ac:dyDescent="0.25">
      <c r="A286">
        <v>15</v>
      </c>
      <c r="B286" t="b">
        <v>0</v>
      </c>
      <c r="C286" s="6">
        <v>46368.625</v>
      </c>
      <c r="D286" t="b">
        <v>0</v>
      </c>
      <c r="E286">
        <v>10</v>
      </c>
      <c r="F286">
        <v>4</v>
      </c>
      <c r="G286">
        <v>3</v>
      </c>
      <c r="H286" t="s">
        <v>1110</v>
      </c>
      <c r="I286" t="s">
        <v>1086</v>
      </c>
      <c r="J286" t="s">
        <v>1074</v>
      </c>
      <c r="K286" t="str">
        <f>tblTeamFixtures[[#This Row],[Team_name]]&amp;"_"&amp;tblTeamFixtures[[#This Row],[GW]]</f>
        <v>FUL_15</v>
      </c>
      <c r="L286">
        <f>IFERROR(INDEX(TEAM_ANALYSIS!$Y:$Y,MATCH($E286,TEAM_ANALYSIS!$A:$A,0)),1)</f>
        <v>0.97058823529411764</v>
      </c>
      <c r="M286">
        <f>IFERROR(INDEX(TEAM_ANALYSIS!$Z:$Z,MATCH($E286,TEAM_ANALYSIS!$A:$A,0)),1)</f>
        <v>1.3235294117647058</v>
      </c>
      <c r="N286">
        <f>IFERROR(INDEX(TEAM_ANALYSIS!$Y:$Y,MATCH($F286,TEAM_ANALYSIS!$A:$A,0)),1)</f>
        <v>1.088235294117647</v>
      </c>
      <c r="O286">
        <f>IFERROR(INDEX(TEAM_ANALYSIS!$Z:$Z,MATCH($F286,TEAM_ANALYSIS!$A:$A,0)),1)</f>
        <v>0.73529411764705888</v>
      </c>
      <c r="P286">
        <f>MAX(0.05,AVERAGE(TEAM_ANALYSIS!$W$2:$W$21)*L286*O286)</f>
        <v>1.5165441176470589</v>
      </c>
      <c r="Q286">
        <f>MAX(0.05,AVERAGE(TEAM_ANALYSIS!$W$2:$W$21)*N286*M286)</f>
        <v>3.0606617647058822</v>
      </c>
      <c r="R286" s="23">
        <f>MAX(0.8,MIN(1.2,P286/AVERAGE(TEAM_ANALYSIS!$W$2:$W$21)))</f>
        <v>0.8</v>
      </c>
      <c r="S286">
        <f>MAX(0.8,MIN(1.2,AVERAGE(TEAM_ANALYSIS!$W$2:$W$21)/Q286))</f>
        <v>0.8</v>
      </c>
      <c r="T286">
        <f>AVERAGE(R286,S286)</f>
        <v>0.8</v>
      </c>
    </row>
    <row r="287" spans="1:20" x14ac:dyDescent="0.25">
      <c r="A287">
        <v>15</v>
      </c>
      <c r="B287" t="b">
        <v>0</v>
      </c>
      <c r="C287" s="6">
        <v>46368.625</v>
      </c>
      <c r="D287" t="b">
        <v>0</v>
      </c>
      <c r="E287">
        <v>11</v>
      </c>
      <c r="F287">
        <v>19</v>
      </c>
      <c r="G287">
        <v>3</v>
      </c>
      <c r="H287" t="s">
        <v>1110</v>
      </c>
      <c r="I287" t="s">
        <v>1088</v>
      </c>
      <c r="J287" t="s">
        <v>1104</v>
      </c>
      <c r="K287" t="str">
        <f>tblTeamFixtures[[#This Row],[Team_name]]&amp;"_"&amp;tblTeamFixtures[[#This Row],[GW]]</f>
        <v>HUL_15</v>
      </c>
      <c r="L287">
        <f>IFERROR(INDEX(TEAM_ANALYSIS!$Y:$Y,MATCH($E287,TEAM_ANALYSIS!$A:$A,0)),1)</f>
        <v>0.8529411764705882</v>
      </c>
      <c r="M287">
        <f>IFERROR(INDEX(TEAM_ANALYSIS!$Z:$Z,MATCH($E287,TEAM_ANALYSIS!$A:$A,0)),1)</f>
        <v>0.5</v>
      </c>
      <c r="N287">
        <f>IFERROR(INDEX(TEAM_ANALYSIS!$Y:$Y,MATCH($F287,TEAM_ANALYSIS!$A:$A,0)),1)</f>
        <v>0.5</v>
      </c>
      <c r="O287">
        <f>IFERROR(INDEX(TEAM_ANALYSIS!$Z:$Z,MATCH($F287,TEAM_ANALYSIS!$A:$A,0)),1)</f>
        <v>1.088235294117647</v>
      </c>
      <c r="P287">
        <f>MAX(0.05,AVERAGE(TEAM_ANALYSIS!$W$2:$W$21)*L287*O287)</f>
        <v>1.9724264705882351</v>
      </c>
      <c r="Q287">
        <f>MAX(0.05,AVERAGE(TEAM_ANALYSIS!$W$2:$W$21)*N287*M287)</f>
        <v>0.53125</v>
      </c>
      <c r="R287" s="23">
        <f>MAX(0.8,MIN(1.2,P287/AVERAGE(TEAM_ANALYSIS!$W$2:$W$21)))</f>
        <v>0.92820069204152233</v>
      </c>
      <c r="S287">
        <f>MAX(0.8,MIN(1.2,AVERAGE(TEAM_ANALYSIS!$W$2:$W$21)/Q287))</f>
        <v>1.2</v>
      </c>
      <c r="T287">
        <f>AVERAGE(R287,S287)</f>
        <v>1.0641003460207612</v>
      </c>
    </row>
    <row r="288" spans="1:20" x14ac:dyDescent="0.25">
      <c r="A288">
        <v>15</v>
      </c>
      <c r="B288" t="b">
        <v>0</v>
      </c>
      <c r="C288" s="6">
        <v>46368.625</v>
      </c>
      <c r="D288" t="b">
        <v>0</v>
      </c>
      <c r="E288">
        <v>12</v>
      </c>
      <c r="F288">
        <v>17</v>
      </c>
      <c r="G288">
        <v>2</v>
      </c>
      <c r="H288" t="s">
        <v>1110</v>
      </c>
      <c r="I288" t="s">
        <v>1090</v>
      </c>
      <c r="J288" t="s">
        <v>1100</v>
      </c>
      <c r="K288" t="str">
        <f>tblTeamFixtures[[#This Row],[Team_name]]&amp;"_"&amp;tblTeamFixtures[[#This Row],[GW]]</f>
        <v>IPS_15</v>
      </c>
      <c r="L288">
        <f>IFERROR(INDEX(TEAM_ANALYSIS!$Y:$Y,MATCH($E288,TEAM_ANALYSIS!$A:$A,0)),1)</f>
        <v>0.97058823529411764</v>
      </c>
      <c r="M288">
        <f>IFERROR(INDEX(TEAM_ANALYSIS!$Z:$Z,MATCH($E288,TEAM_ANALYSIS!$A:$A,0)),1)</f>
        <v>1.4411764705882353</v>
      </c>
      <c r="N288">
        <f>IFERROR(INDEX(TEAM_ANALYSIS!$Y:$Y,MATCH($F288,TEAM_ANALYSIS!$A:$A,0)),1)</f>
        <v>1.2058823529411764</v>
      </c>
      <c r="O288">
        <f>IFERROR(INDEX(TEAM_ANALYSIS!$Z:$Z,MATCH($F288,TEAM_ANALYSIS!$A:$A,0)),1)</f>
        <v>0.97058823529411764</v>
      </c>
      <c r="P288">
        <f>MAX(0.05,AVERAGE(TEAM_ANALYSIS!$W$2:$W$21)*L288*O288)</f>
        <v>2.0018382352941178</v>
      </c>
      <c r="Q288">
        <f>MAX(0.05,AVERAGE(TEAM_ANALYSIS!$W$2:$W$21)*N288*M288)</f>
        <v>3.6930147058823528</v>
      </c>
      <c r="R288" s="23">
        <f>MAX(0.8,MIN(1.2,P288/AVERAGE(TEAM_ANALYSIS!$W$2:$W$21)))</f>
        <v>0.94204152249134954</v>
      </c>
      <c r="S288">
        <f>MAX(0.8,MIN(1.2,AVERAGE(TEAM_ANALYSIS!$W$2:$W$21)/Q288))</f>
        <v>0.8</v>
      </c>
      <c r="T288">
        <f>AVERAGE(R288,S288)</f>
        <v>0.87102076124567485</v>
      </c>
    </row>
    <row r="289" spans="1:20" x14ac:dyDescent="0.25">
      <c r="A289">
        <v>15</v>
      </c>
      <c r="B289" t="b">
        <v>0</v>
      </c>
      <c r="C289" s="6">
        <v>46368.625</v>
      </c>
      <c r="D289" t="b">
        <v>0</v>
      </c>
      <c r="E289">
        <v>14</v>
      </c>
      <c r="F289">
        <v>13</v>
      </c>
      <c r="G289">
        <v>2</v>
      </c>
      <c r="H289" t="s">
        <v>1110</v>
      </c>
      <c r="I289" t="s">
        <v>1094</v>
      </c>
      <c r="J289" t="s">
        <v>1092</v>
      </c>
      <c r="K289" t="str">
        <f>tblTeamFixtures[[#This Row],[Team_name]]&amp;"_"&amp;tblTeamFixtures[[#This Row],[GW]]</f>
        <v>LIV_15</v>
      </c>
      <c r="L289">
        <f>IFERROR(INDEX(TEAM_ANALYSIS!$Y:$Y,MATCH($E289,TEAM_ANALYSIS!$A:$A,0)),1)</f>
        <v>1.2058823529411764</v>
      </c>
      <c r="M289">
        <f>IFERROR(INDEX(TEAM_ANALYSIS!$Z:$Z,MATCH($E289,TEAM_ANALYSIS!$A:$A,0)),1)</f>
        <v>0.97058823529411764</v>
      </c>
      <c r="N289">
        <f>IFERROR(INDEX(TEAM_ANALYSIS!$Y:$Y,MATCH($F289,TEAM_ANALYSIS!$A:$A,0)),1)</f>
        <v>0.8529411764705882</v>
      </c>
      <c r="O289">
        <f>IFERROR(INDEX(TEAM_ANALYSIS!$Z:$Z,MATCH($F289,TEAM_ANALYSIS!$A:$A,0)),1)</f>
        <v>0.73529411764705888</v>
      </c>
      <c r="P289">
        <f>MAX(0.05,AVERAGE(TEAM_ANALYSIS!$W$2:$W$21)*L289*O289)</f>
        <v>1.8841911764705883</v>
      </c>
      <c r="Q289">
        <f>MAX(0.05,AVERAGE(TEAM_ANALYSIS!$W$2:$W$21)*N289*M289)</f>
        <v>1.7591911764705883</v>
      </c>
      <c r="R289" s="23">
        <f>MAX(0.8,MIN(1.2,P289/AVERAGE(TEAM_ANALYSIS!$W$2:$W$21)))</f>
        <v>0.88667820069204151</v>
      </c>
      <c r="S289">
        <f>MAX(0.8,MIN(1.2,AVERAGE(TEAM_ANALYSIS!$W$2:$W$21)/Q289))</f>
        <v>1.2</v>
      </c>
      <c r="T289">
        <f>AVERAGE(R289,S289)</f>
        <v>1.0433391003460208</v>
      </c>
    </row>
    <row r="290" spans="1:20" x14ac:dyDescent="0.25">
      <c r="A290">
        <v>15</v>
      </c>
      <c r="B290" t="b">
        <v>0</v>
      </c>
      <c r="C290" s="6">
        <v>46368.625</v>
      </c>
      <c r="D290" t="b">
        <v>0</v>
      </c>
      <c r="E290">
        <v>15</v>
      </c>
      <c r="F290">
        <v>6</v>
      </c>
      <c r="G290">
        <v>4</v>
      </c>
      <c r="H290" t="s">
        <v>1110</v>
      </c>
      <c r="I290" t="s">
        <v>1096</v>
      </c>
      <c r="J290" t="s">
        <v>1078</v>
      </c>
      <c r="K290" t="str">
        <f>tblTeamFixtures[[#This Row],[Team_name]]&amp;"_"&amp;tblTeamFixtures[[#This Row],[GW]]</f>
        <v>MCI_15</v>
      </c>
      <c r="L290">
        <f>IFERROR(INDEX(TEAM_ANALYSIS!$Y:$Y,MATCH($E290,TEAM_ANALYSIS!$A:$A,0)),1)</f>
        <v>1.3235294117647058</v>
      </c>
      <c r="M290">
        <f>IFERROR(INDEX(TEAM_ANALYSIS!$Z:$Z,MATCH($E290,TEAM_ANALYSIS!$A:$A,0)),1)</f>
        <v>0.73529411764705888</v>
      </c>
      <c r="N290">
        <f>IFERROR(INDEX(TEAM_ANALYSIS!$Y:$Y,MATCH($F290,TEAM_ANALYSIS!$A:$A,0)),1)</f>
        <v>1.4411764705882353</v>
      </c>
      <c r="O290">
        <f>IFERROR(INDEX(TEAM_ANALYSIS!$Z:$Z,MATCH($F290,TEAM_ANALYSIS!$A:$A,0)),1)</f>
        <v>1.3235294117647058</v>
      </c>
      <c r="P290">
        <f>MAX(0.05,AVERAGE(TEAM_ANALYSIS!$W$2:$W$21)*L290*O290)</f>
        <v>3.7224264705882351</v>
      </c>
      <c r="Q290">
        <f>MAX(0.05,AVERAGE(TEAM_ANALYSIS!$W$2:$W$21)*N290*M290)</f>
        <v>2.2518382352941178</v>
      </c>
      <c r="R290" s="23">
        <f>MAX(0.8,MIN(1.2,P290/AVERAGE(TEAM_ANALYSIS!$W$2:$W$21)))</f>
        <v>1.2</v>
      </c>
      <c r="S290">
        <f>MAX(0.8,MIN(1.2,AVERAGE(TEAM_ANALYSIS!$W$2:$W$21)/Q290))</f>
        <v>0.94367346938775509</v>
      </c>
      <c r="T290">
        <f>AVERAGE(R290,S290)</f>
        <v>1.0718367346938775</v>
      </c>
    </row>
    <row r="291" spans="1:20" x14ac:dyDescent="0.25">
      <c r="A291">
        <v>15</v>
      </c>
      <c r="B291" t="b">
        <v>0</v>
      </c>
      <c r="C291" s="6">
        <v>46368.625</v>
      </c>
      <c r="D291" t="b">
        <v>0</v>
      </c>
      <c r="E291">
        <v>20</v>
      </c>
      <c r="F291">
        <v>18</v>
      </c>
      <c r="G291">
        <v>3</v>
      </c>
      <c r="H291" t="s">
        <v>1110</v>
      </c>
      <c r="I291" t="s">
        <v>1106</v>
      </c>
      <c r="J291" t="s">
        <v>1102</v>
      </c>
      <c r="K291" t="str">
        <f>tblTeamFixtures[[#This Row],[Team_name]]&amp;"_"&amp;tblTeamFixtures[[#This Row],[GW]]</f>
        <v>SUN_15</v>
      </c>
      <c r="L291">
        <f>IFERROR(INDEX(TEAM_ANALYSIS!$Y:$Y,MATCH($E291,TEAM_ANALYSIS!$A:$A,0)),1)</f>
        <v>0.8529411764705882</v>
      </c>
      <c r="M291">
        <f>IFERROR(INDEX(TEAM_ANALYSIS!$Z:$Z,MATCH($E291,TEAM_ANALYSIS!$A:$A,0)),1)</f>
        <v>0.8529411764705882</v>
      </c>
      <c r="N291">
        <f>IFERROR(INDEX(TEAM_ANALYSIS!$Y:$Y,MATCH($F291,TEAM_ANALYSIS!$A:$A,0)),1)</f>
        <v>0.73529411764705888</v>
      </c>
      <c r="O291">
        <f>IFERROR(INDEX(TEAM_ANALYSIS!$Z:$Z,MATCH($F291,TEAM_ANALYSIS!$A:$A,0)),1)</f>
        <v>0.8529411764705882</v>
      </c>
      <c r="P291">
        <f>MAX(0.05,AVERAGE(TEAM_ANALYSIS!$W$2:$W$21)*L291*O291)</f>
        <v>1.5459558823529411</v>
      </c>
      <c r="Q291">
        <f>MAX(0.05,AVERAGE(TEAM_ANALYSIS!$W$2:$W$21)*N291*M291)</f>
        <v>1.3327205882352942</v>
      </c>
      <c r="R291" s="23">
        <f>MAX(0.8,MIN(1.2,P291/AVERAGE(TEAM_ANALYSIS!$W$2:$W$21)))</f>
        <v>0.8</v>
      </c>
      <c r="S291">
        <f>MAX(0.8,MIN(1.2,AVERAGE(TEAM_ANALYSIS!$W$2:$W$21)/Q291))</f>
        <v>1.2</v>
      </c>
      <c r="T291">
        <f>AVERAGE(R291,S291)</f>
        <v>1</v>
      </c>
    </row>
    <row r="292" spans="1:20" x14ac:dyDescent="0.25">
      <c r="A292">
        <v>15</v>
      </c>
      <c r="B292" t="b">
        <v>0</v>
      </c>
      <c r="C292" s="6">
        <v>46368.625</v>
      </c>
      <c r="D292" t="b">
        <v>0</v>
      </c>
      <c r="E292">
        <v>3</v>
      </c>
      <c r="F292">
        <v>1</v>
      </c>
      <c r="G292">
        <v>5</v>
      </c>
      <c r="H292" t="s">
        <v>1111</v>
      </c>
      <c r="I292" t="s">
        <v>1072</v>
      </c>
      <c r="J292" t="s">
        <v>1068</v>
      </c>
      <c r="K292" t="str">
        <f>tblTeamFixtures[[#This Row],[Team_name]]&amp;"_"&amp;tblTeamFixtures[[#This Row],[GW]]</f>
        <v>BOU_15</v>
      </c>
      <c r="L292">
        <f>IFERROR(INDEX(TEAM_ANALYSIS!$Y:$Y,MATCH($E292,TEAM_ANALYSIS!$A:$A,0)),1)</f>
        <v>0.97058823529411764</v>
      </c>
      <c r="M292">
        <f>IFERROR(INDEX(TEAM_ANALYSIS!$Z:$Z,MATCH($E292,TEAM_ANALYSIS!$A:$A,0)),1)</f>
        <v>1.088235294117647</v>
      </c>
      <c r="N292">
        <f>IFERROR(INDEX(TEAM_ANALYSIS!$Y:$Y,MATCH($F292,TEAM_ANALYSIS!$A:$A,0)),1)</f>
        <v>1.2058823529411764</v>
      </c>
      <c r="O292">
        <f>IFERROR(INDEX(TEAM_ANALYSIS!$Z:$Z,MATCH($F292,TEAM_ANALYSIS!$A:$A,0)),1)</f>
        <v>0.61764705882352944</v>
      </c>
      <c r="P292">
        <f>MAX(0.05,AVERAGE(TEAM_ANALYSIS!$W$2:$W$21)*L292*O292)</f>
        <v>1.2738970588235294</v>
      </c>
      <c r="Q292">
        <f>MAX(0.05,AVERAGE(TEAM_ANALYSIS!$W$2:$W$21)*N292*M292)</f>
        <v>2.7886029411764706</v>
      </c>
      <c r="R292" s="23">
        <f>MAX(0.8,MIN(1.2,P292/AVERAGE(TEAM_ANALYSIS!$W$2:$W$21)))</f>
        <v>0.8</v>
      </c>
      <c r="S292">
        <f>MAX(0.8,MIN(1.2,AVERAGE(TEAM_ANALYSIS!$W$2:$W$21)/Q292))</f>
        <v>0.8</v>
      </c>
      <c r="T292">
        <f>AVERAGE(R292,S292)</f>
        <v>0.8</v>
      </c>
    </row>
    <row r="293" spans="1:20" x14ac:dyDescent="0.25">
      <c r="A293">
        <v>15</v>
      </c>
      <c r="B293" t="b">
        <v>0</v>
      </c>
      <c r="C293" s="6">
        <v>46368.625</v>
      </c>
      <c r="D293" t="b">
        <v>0</v>
      </c>
      <c r="E293">
        <v>9</v>
      </c>
      <c r="F293">
        <v>5</v>
      </c>
      <c r="G293">
        <v>3</v>
      </c>
      <c r="H293" t="s">
        <v>1111</v>
      </c>
      <c r="I293" t="s">
        <v>1084</v>
      </c>
      <c r="J293" t="s">
        <v>1076</v>
      </c>
      <c r="K293" t="str">
        <f>tblTeamFixtures[[#This Row],[Team_name]]&amp;"_"&amp;tblTeamFixtures[[#This Row],[GW]]</f>
        <v>EVE_15</v>
      </c>
      <c r="L293">
        <f>IFERROR(INDEX(TEAM_ANALYSIS!$Y:$Y,MATCH($E293,TEAM_ANALYSIS!$A:$A,0)),1)</f>
        <v>1.088235294117647</v>
      </c>
      <c r="M293">
        <f>IFERROR(INDEX(TEAM_ANALYSIS!$Z:$Z,MATCH($E293,TEAM_ANALYSIS!$A:$A,0)),1)</f>
        <v>0.8529411764705882</v>
      </c>
      <c r="N293">
        <f>IFERROR(INDEX(TEAM_ANALYSIS!$Y:$Y,MATCH($F293,TEAM_ANALYSIS!$A:$A,0)),1)</f>
        <v>1.4411764705882353</v>
      </c>
      <c r="O293">
        <f>IFERROR(INDEX(TEAM_ANALYSIS!$Z:$Z,MATCH($F293,TEAM_ANALYSIS!$A:$A,0)),1)</f>
        <v>1.088235294117647</v>
      </c>
      <c r="P293">
        <f>MAX(0.05,AVERAGE(TEAM_ANALYSIS!$W$2:$W$21)*L293*O293)</f>
        <v>2.5165441176470584</v>
      </c>
      <c r="Q293">
        <f>MAX(0.05,AVERAGE(TEAM_ANALYSIS!$W$2:$W$21)*N293*M293)</f>
        <v>2.6121323529411762</v>
      </c>
      <c r="R293" s="23">
        <f>MAX(0.8,MIN(1.2,P293/AVERAGE(TEAM_ANALYSIS!$W$2:$W$21)))</f>
        <v>1.1842560553633217</v>
      </c>
      <c r="S293">
        <f>MAX(0.8,MIN(1.2,AVERAGE(TEAM_ANALYSIS!$W$2:$W$21)/Q293))</f>
        <v>0.81351161154116824</v>
      </c>
      <c r="T293">
        <f>AVERAGE(R293,S293)</f>
        <v>0.99888383345224496</v>
      </c>
    </row>
    <row r="294" spans="1:20" x14ac:dyDescent="0.25">
      <c r="A294">
        <v>15</v>
      </c>
      <c r="B294" t="b">
        <v>0</v>
      </c>
      <c r="C294" s="6">
        <v>46368.625</v>
      </c>
      <c r="D294" t="b">
        <v>0</v>
      </c>
      <c r="E294">
        <v>2</v>
      </c>
      <c r="F294">
        <v>7</v>
      </c>
      <c r="G294">
        <v>2</v>
      </c>
      <c r="H294" t="s">
        <v>1111</v>
      </c>
      <c r="I294" t="s">
        <v>1070</v>
      </c>
      <c r="J294" t="s">
        <v>1080</v>
      </c>
      <c r="K294" t="str">
        <f>tblTeamFixtures[[#This Row],[Team_name]]&amp;"_"&amp;tblTeamFixtures[[#This Row],[GW]]</f>
        <v>AVL_15</v>
      </c>
      <c r="L294">
        <f>IFERROR(INDEX(TEAM_ANALYSIS!$Y:$Y,MATCH($E294,TEAM_ANALYSIS!$A:$A,0)),1)</f>
        <v>0.5</v>
      </c>
      <c r="M294">
        <f>IFERROR(INDEX(TEAM_ANALYSIS!$Z:$Z,MATCH($E294,TEAM_ANALYSIS!$A:$A,0)),1)</f>
        <v>1.088235294117647</v>
      </c>
      <c r="N294">
        <f>IFERROR(INDEX(TEAM_ANALYSIS!$Y:$Y,MATCH($F294,TEAM_ANALYSIS!$A:$A,0)),1)</f>
        <v>0.5</v>
      </c>
      <c r="O294">
        <f>IFERROR(INDEX(TEAM_ANALYSIS!$Z:$Z,MATCH($F294,TEAM_ANALYSIS!$A:$A,0)),1)</f>
        <v>1.088235294117647</v>
      </c>
      <c r="P294">
        <f>MAX(0.05,AVERAGE(TEAM_ANALYSIS!$W$2:$W$21)*L294*O294)</f>
        <v>1.15625</v>
      </c>
      <c r="Q294">
        <f>MAX(0.05,AVERAGE(TEAM_ANALYSIS!$W$2:$W$21)*N294*M294)</f>
        <v>1.15625</v>
      </c>
      <c r="R294" s="23">
        <f>MAX(0.8,MIN(1.2,P294/AVERAGE(TEAM_ANALYSIS!$W$2:$W$21)))</f>
        <v>0.8</v>
      </c>
      <c r="S294">
        <f>MAX(0.8,MIN(1.2,AVERAGE(TEAM_ANALYSIS!$W$2:$W$21)/Q294))</f>
        <v>1.2</v>
      </c>
      <c r="T294">
        <f>AVERAGE(R294,S294)</f>
        <v>1</v>
      </c>
    </row>
    <row r="295" spans="1:20" x14ac:dyDescent="0.25">
      <c r="A295">
        <v>15</v>
      </c>
      <c r="B295" t="b">
        <v>0</v>
      </c>
      <c r="C295" s="6">
        <v>46368.625</v>
      </c>
      <c r="D295" t="b">
        <v>0</v>
      </c>
      <c r="E295">
        <v>16</v>
      </c>
      <c r="F295">
        <v>8</v>
      </c>
      <c r="G295">
        <v>3</v>
      </c>
      <c r="H295" t="s">
        <v>1111</v>
      </c>
      <c r="I295" t="s">
        <v>1098</v>
      </c>
      <c r="J295" t="s">
        <v>1082</v>
      </c>
      <c r="K295" t="str">
        <f>tblTeamFixtures[[#This Row],[Team_name]]&amp;"_"&amp;tblTeamFixtures[[#This Row],[GW]]</f>
        <v>MUN_15</v>
      </c>
      <c r="L295">
        <f>IFERROR(INDEX(TEAM_ANALYSIS!$Y:$Y,MATCH($E295,TEAM_ANALYSIS!$A:$A,0)),1)</f>
        <v>1.3235294117647058</v>
      </c>
      <c r="M295">
        <f>IFERROR(INDEX(TEAM_ANALYSIS!$Z:$Z,MATCH($E295,TEAM_ANALYSIS!$A:$A,0)),1)</f>
        <v>1.2058823529411764</v>
      </c>
      <c r="N295">
        <f>IFERROR(INDEX(TEAM_ANALYSIS!$Y:$Y,MATCH($F295,TEAM_ANALYSIS!$A:$A,0)),1)</f>
        <v>0.97058823529411764</v>
      </c>
      <c r="O295">
        <f>IFERROR(INDEX(TEAM_ANALYSIS!$Z:$Z,MATCH($F295,TEAM_ANALYSIS!$A:$A,0)),1)</f>
        <v>1.4411764705882353</v>
      </c>
      <c r="P295">
        <f>MAX(0.05,AVERAGE(TEAM_ANALYSIS!$W$2:$W$21)*L295*O295)</f>
        <v>4.0533088235294121</v>
      </c>
      <c r="Q295">
        <f>MAX(0.05,AVERAGE(TEAM_ANALYSIS!$W$2:$W$21)*N295*M295)</f>
        <v>2.4871323529411762</v>
      </c>
      <c r="R295" s="23">
        <f>MAX(0.8,MIN(1.2,P295/AVERAGE(TEAM_ANALYSIS!$W$2:$W$21)))</f>
        <v>1.2</v>
      </c>
      <c r="S295">
        <f>MAX(0.8,MIN(1.2,AVERAGE(TEAM_ANALYSIS!$W$2:$W$21)/Q295))</f>
        <v>0.85439763488543985</v>
      </c>
      <c r="T295">
        <f>AVERAGE(R295,S295)</f>
        <v>1.02719881744272</v>
      </c>
    </row>
    <row r="296" spans="1:20" x14ac:dyDescent="0.25">
      <c r="A296">
        <v>15</v>
      </c>
      <c r="B296" t="b">
        <v>0</v>
      </c>
      <c r="C296" s="6">
        <v>46368.625</v>
      </c>
      <c r="D296" t="b">
        <v>0</v>
      </c>
      <c r="E296">
        <v>4</v>
      </c>
      <c r="F296">
        <v>10</v>
      </c>
      <c r="G296">
        <v>3</v>
      </c>
      <c r="H296" t="s">
        <v>1111</v>
      </c>
      <c r="I296" t="s">
        <v>1074</v>
      </c>
      <c r="J296" t="s">
        <v>1086</v>
      </c>
      <c r="K296" t="str">
        <f>tblTeamFixtures[[#This Row],[Team_name]]&amp;"_"&amp;tblTeamFixtures[[#This Row],[GW]]</f>
        <v>BRE_15</v>
      </c>
      <c r="L296">
        <f>IFERROR(INDEX(TEAM_ANALYSIS!$Y:$Y,MATCH($E296,TEAM_ANALYSIS!$A:$A,0)),1)</f>
        <v>1.088235294117647</v>
      </c>
      <c r="M296">
        <f>IFERROR(INDEX(TEAM_ANALYSIS!$Z:$Z,MATCH($E296,TEAM_ANALYSIS!$A:$A,0)),1)</f>
        <v>0.73529411764705888</v>
      </c>
      <c r="N296">
        <f>IFERROR(INDEX(TEAM_ANALYSIS!$Y:$Y,MATCH($F296,TEAM_ANALYSIS!$A:$A,0)),1)</f>
        <v>0.97058823529411764</v>
      </c>
      <c r="O296">
        <f>IFERROR(INDEX(TEAM_ANALYSIS!$Z:$Z,MATCH($F296,TEAM_ANALYSIS!$A:$A,0)),1)</f>
        <v>1.3235294117647058</v>
      </c>
      <c r="P296">
        <f>MAX(0.05,AVERAGE(TEAM_ANALYSIS!$W$2:$W$21)*L296*O296)</f>
        <v>3.0606617647058822</v>
      </c>
      <c r="Q296">
        <f>MAX(0.05,AVERAGE(TEAM_ANALYSIS!$W$2:$W$21)*N296*M296)</f>
        <v>1.5165441176470589</v>
      </c>
      <c r="R296" s="23">
        <f>MAX(0.8,MIN(1.2,P296/AVERAGE(TEAM_ANALYSIS!$W$2:$W$21)))</f>
        <v>1.2</v>
      </c>
      <c r="S296">
        <f>MAX(0.8,MIN(1.2,AVERAGE(TEAM_ANALYSIS!$W$2:$W$21)/Q296))</f>
        <v>1.2</v>
      </c>
      <c r="T296">
        <f>AVERAGE(R296,S296)</f>
        <v>1.2</v>
      </c>
    </row>
    <row r="297" spans="1:20" x14ac:dyDescent="0.25">
      <c r="A297">
        <v>15</v>
      </c>
      <c r="B297" t="b">
        <v>0</v>
      </c>
      <c r="C297" s="6">
        <v>46368.625</v>
      </c>
      <c r="D297" t="b">
        <v>0</v>
      </c>
      <c r="E297">
        <v>19</v>
      </c>
      <c r="F297">
        <v>11</v>
      </c>
      <c r="G297">
        <v>2</v>
      </c>
      <c r="H297" t="s">
        <v>1111</v>
      </c>
      <c r="I297" t="s">
        <v>1104</v>
      </c>
      <c r="J297" t="s">
        <v>1088</v>
      </c>
      <c r="K297" t="str">
        <f>tblTeamFixtures[[#This Row],[Team_name]]&amp;"_"&amp;tblTeamFixtures[[#This Row],[GW]]</f>
        <v>TOT_15</v>
      </c>
      <c r="L297">
        <f>IFERROR(INDEX(TEAM_ANALYSIS!$Y:$Y,MATCH($E297,TEAM_ANALYSIS!$A:$A,0)),1)</f>
        <v>0.5</v>
      </c>
      <c r="M297">
        <f>IFERROR(INDEX(TEAM_ANALYSIS!$Z:$Z,MATCH($E297,TEAM_ANALYSIS!$A:$A,0)),1)</f>
        <v>1.088235294117647</v>
      </c>
      <c r="N297">
        <f>IFERROR(INDEX(TEAM_ANALYSIS!$Y:$Y,MATCH($F297,TEAM_ANALYSIS!$A:$A,0)),1)</f>
        <v>0.8529411764705882</v>
      </c>
      <c r="O297">
        <f>IFERROR(INDEX(TEAM_ANALYSIS!$Z:$Z,MATCH($F297,TEAM_ANALYSIS!$A:$A,0)),1)</f>
        <v>0.5</v>
      </c>
      <c r="P297">
        <f>MAX(0.05,AVERAGE(TEAM_ANALYSIS!$W$2:$W$21)*L297*O297)</f>
        <v>0.53125</v>
      </c>
      <c r="Q297">
        <f>MAX(0.05,AVERAGE(TEAM_ANALYSIS!$W$2:$W$21)*N297*M297)</f>
        <v>1.9724264705882351</v>
      </c>
      <c r="R297" s="23">
        <f>MAX(0.8,MIN(1.2,P297/AVERAGE(TEAM_ANALYSIS!$W$2:$W$21)))</f>
        <v>0.8</v>
      </c>
      <c r="S297">
        <f>MAX(0.8,MIN(1.2,AVERAGE(TEAM_ANALYSIS!$W$2:$W$21)/Q297))</f>
        <v>1.07735321528425</v>
      </c>
      <c r="T297">
        <f>AVERAGE(R297,S297)</f>
        <v>0.93867660764212502</v>
      </c>
    </row>
    <row r="298" spans="1:20" x14ac:dyDescent="0.25">
      <c r="A298">
        <v>15</v>
      </c>
      <c r="B298" t="b">
        <v>0</v>
      </c>
      <c r="C298" s="6">
        <v>46368.625</v>
      </c>
      <c r="D298" t="b">
        <v>0</v>
      </c>
      <c r="E298">
        <v>17</v>
      </c>
      <c r="F298">
        <v>12</v>
      </c>
      <c r="G298">
        <v>2</v>
      </c>
      <c r="H298" t="s">
        <v>1111</v>
      </c>
      <c r="I298" t="s">
        <v>1100</v>
      </c>
      <c r="J298" t="s">
        <v>1090</v>
      </c>
      <c r="K298" t="str">
        <f>tblTeamFixtures[[#This Row],[Team_name]]&amp;"_"&amp;tblTeamFixtures[[#This Row],[GW]]</f>
        <v>NEW_15</v>
      </c>
      <c r="L298">
        <f>IFERROR(INDEX(TEAM_ANALYSIS!$Y:$Y,MATCH($E298,TEAM_ANALYSIS!$A:$A,0)),1)</f>
        <v>1.2058823529411764</v>
      </c>
      <c r="M298">
        <f>IFERROR(INDEX(TEAM_ANALYSIS!$Z:$Z,MATCH($E298,TEAM_ANALYSIS!$A:$A,0)),1)</f>
        <v>0.97058823529411764</v>
      </c>
      <c r="N298">
        <f>IFERROR(INDEX(TEAM_ANALYSIS!$Y:$Y,MATCH($F298,TEAM_ANALYSIS!$A:$A,0)),1)</f>
        <v>0.97058823529411764</v>
      </c>
      <c r="O298">
        <f>IFERROR(INDEX(TEAM_ANALYSIS!$Z:$Z,MATCH($F298,TEAM_ANALYSIS!$A:$A,0)),1)</f>
        <v>1.4411764705882353</v>
      </c>
      <c r="P298">
        <f>MAX(0.05,AVERAGE(TEAM_ANALYSIS!$W$2:$W$21)*L298*O298)</f>
        <v>3.6930147058823528</v>
      </c>
      <c r="Q298">
        <f>MAX(0.05,AVERAGE(TEAM_ANALYSIS!$W$2:$W$21)*N298*M298)</f>
        <v>2.0018382352941178</v>
      </c>
      <c r="R298" s="23">
        <f>MAX(0.8,MIN(1.2,P298/AVERAGE(TEAM_ANALYSIS!$W$2:$W$21)))</f>
        <v>1.2</v>
      </c>
      <c r="S298">
        <f>MAX(0.8,MIN(1.2,AVERAGE(TEAM_ANALYSIS!$W$2:$W$21)/Q298))</f>
        <v>1.061524334251607</v>
      </c>
      <c r="T298">
        <f>AVERAGE(R298,S298)</f>
        <v>1.1307621671258035</v>
      </c>
    </row>
    <row r="299" spans="1:20" x14ac:dyDescent="0.25">
      <c r="A299">
        <v>15</v>
      </c>
      <c r="B299" t="b">
        <v>0</v>
      </c>
      <c r="C299" s="6">
        <v>46368.625</v>
      </c>
      <c r="D299" t="b">
        <v>0</v>
      </c>
      <c r="E299">
        <v>13</v>
      </c>
      <c r="F299">
        <v>14</v>
      </c>
      <c r="G299">
        <v>4</v>
      </c>
      <c r="H299" t="s">
        <v>1111</v>
      </c>
      <c r="I299" t="s">
        <v>1092</v>
      </c>
      <c r="J299" t="s">
        <v>1094</v>
      </c>
      <c r="K299" t="str">
        <f>tblTeamFixtures[[#This Row],[Team_name]]&amp;"_"&amp;tblTeamFixtures[[#This Row],[GW]]</f>
        <v>LEE_15</v>
      </c>
      <c r="L299">
        <f>IFERROR(INDEX(TEAM_ANALYSIS!$Y:$Y,MATCH($E299,TEAM_ANALYSIS!$A:$A,0)),1)</f>
        <v>0.8529411764705882</v>
      </c>
      <c r="M299">
        <f>IFERROR(INDEX(TEAM_ANALYSIS!$Z:$Z,MATCH($E299,TEAM_ANALYSIS!$A:$A,0)),1)</f>
        <v>0.73529411764705888</v>
      </c>
      <c r="N299">
        <f>IFERROR(INDEX(TEAM_ANALYSIS!$Y:$Y,MATCH($F299,TEAM_ANALYSIS!$A:$A,0)),1)</f>
        <v>1.2058823529411764</v>
      </c>
      <c r="O299">
        <f>IFERROR(INDEX(TEAM_ANALYSIS!$Z:$Z,MATCH($F299,TEAM_ANALYSIS!$A:$A,0)),1)</f>
        <v>0.97058823529411764</v>
      </c>
      <c r="P299">
        <f>MAX(0.05,AVERAGE(TEAM_ANALYSIS!$W$2:$W$21)*L299*O299)</f>
        <v>1.7591911764705883</v>
      </c>
      <c r="Q299">
        <f>MAX(0.05,AVERAGE(TEAM_ANALYSIS!$W$2:$W$21)*N299*M299)</f>
        <v>1.8841911764705883</v>
      </c>
      <c r="R299" s="23">
        <f>MAX(0.8,MIN(1.2,P299/AVERAGE(TEAM_ANALYSIS!$W$2:$W$21)))</f>
        <v>0.8278546712802769</v>
      </c>
      <c r="S299">
        <f>MAX(0.8,MIN(1.2,AVERAGE(TEAM_ANALYSIS!$W$2:$W$21)/Q299))</f>
        <v>1.1278048780487804</v>
      </c>
      <c r="T299">
        <f>AVERAGE(R299,S299)</f>
        <v>0.97782977466452858</v>
      </c>
    </row>
    <row r="300" spans="1:20" x14ac:dyDescent="0.25">
      <c r="A300">
        <v>15</v>
      </c>
      <c r="B300" t="b">
        <v>0</v>
      </c>
      <c r="C300" s="6">
        <v>46368.625</v>
      </c>
      <c r="D300" t="b">
        <v>0</v>
      </c>
      <c r="E300">
        <v>6</v>
      </c>
      <c r="F300">
        <v>15</v>
      </c>
      <c r="G300">
        <v>5</v>
      </c>
      <c r="H300" t="s">
        <v>1111</v>
      </c>
      <c r="I300" t="s">
        <v>1078</v>
      </c>
      <c r="J300" t="s">
        <v>1096</v>
      </c>
      <c r="K300" t="str">
        <f>tblTeamFixtures[[#This Row],[Team_name]]&amp;"_"&amp;tblTeamFixtures[[#This Row],[GW]]</f>
        <v>CHE_15</v>
      </c>
      <c r="L300">
        <f>IFERROR(INDEX(TEAM_ANALYSIS!$Y:$Y,MATCH($E300,TEAM_ANALYSIS!$A:$A,0)),1)</f>
        <v>1.4411764705882353</v>
      </c>
      <c r="M300">
        <f>IFERROR(INDEX(TEAM_ANALYSIS!$Z:$Z,MATCH($E300,TEAM_ANALYSIS!$A:$A,0)),1)</f>
        <v>1.3235294117647058</v>
      </c>
      <c r="N300">
        <f>IFERROR(INDEX(TEAM_ANALYSIS!$Y:$Y,MATCH($F300,TEAM_ANALYSIS!$A:$A,0)),1)</f>
        <v>1.3235294117647058</v>
      </c>
      <c r="O300">
        <f>IFERROR(INDEX(TEAM_ANALYSIS!$Z:$Z,MATCH($F300,TEAM_ANALYSIS!$A:$A,0)),1)</f>
        <v>0.73529411764705888</v>
      </c>
      <c r="P300">
        <f>MAX(0.05,AVERAGE(TEAM_ANALYSIS!$W$2:$W$21)*L300*O300)</f>
        <v>2.2518382352941178</v>
      </c>
      <c r="Q300">
        <f>MAX(0.05,AVERAGE(TEAM_ANALYSIS!$W$2:$W$21)*N300*M300)</f>
        <v>3.7224264705882351</v>
      </c>
      <c r="R300" s="23">
        <f>MAX(0.8,MIN(1.2,P300/AVERAGE(TEAM_ANALYSIS!$W$2:$W$21)))</f>
        <v>1.0596885813148789</v>
      </c>
      <c r="S300">
        <f>MAX(0.8,MIN(1.2,AVERAGE(TEAM_ANALYSIS!$W$2:$W$21)/Q300))</f>
        <v>0.8</v>
      </c>
      <c r="T300">
        <f>AVERAGE(R300,S300)</f>
        <v>0.92984429065743945</v>
      </c>
    </row>
    <row r="301" spans="1:20" x14ac:dyDescent="0.25">
      <c r="A301">
        <v>15</v>
      </c>
      <c r="B301" t="b">
        <v>0</v>
      </c>
      <c r="C301" s="6">
        <v>46368.625</v>
      </c>
      <c r="D301" t="b">
        <v>0</v>
      </c>
      <c r="E301">
        <v>18</v>
      </c>
      <c r="F301">
        <v>20</v>
      </c>
      <c r="G301">
        <v>3</v>
      </c>
      <c r="H301" t="s">
        <v>1111</v>
      </c>
      <c r="I301" t="s">
        <v>1102</v>
      </c>
      <c r="J301" t="s">
        <v>1106</v>
      </c>
      <c r="K301" t="str">
        <f>tblTeamFixtures[[#This Row],[Team_name]]&amp;"_"&amp;tblTeamFixtures[[#This Row],[GW]]</f>
        <v>NFO_15</v>
      </c>
      <c r="L301">
        <f>IFERROR(INDEX(TEAM_ANALYSIS!$Y:$Y,MATCH($E301,TEAM_ANALYSIS!$A:$A,0)),1)</f>
        <v>0.73529411764705888</v>
      </c>
      <c r="M301">
        <f>IFERROR(INDEX(TEAM_ANALYSIS!$Z:$Z,MATCH($E301,TEAM_ANALYSIS!$A:$A,0)),1)</f>
        <v>0.8529411764705882</v>
      </c>
      <c r="N301">
        <f>IFERROR(INDEX(TEAM_ANALYSIS!$Y:$Y,MATCH($F301,TEAM_ANALYSIS!$A:$A,0)),1)</f>
        <v>0.8529411764705882</v>
      </c>
      <c r="O301">
        <f>IFERROR(INDEX(TEAM_ANALYSIS!$Z:$Z,MATCH($F301,TEAM_ANALYSIS!$A:$A,0)),1)</f>
        <v>0.8529411764705882</v>
      </c>
      <c r="P301">
        <f>MAX(0.05,AVERAGE(TEAM_ANALYSIS!$W$2:$W$21)*L301*O301)</f>
        <v>1.3327205882352942</v>
      </c>
      <c r="Q301">
        <f>MAX(0.05,AVERAGE(TEAM_ANALYSIS!$W$2:$W$21)*N301*M301)</f>
        <v>1.5459558823529411</v>
      </c>
      <c r="R301" s="23">
        <f>MAX(0.8,MIN(1.2,P301/AVERAGE(TEAM_ANALYSIS!$W$2:$W$21)))</f>
        <v>0.8</v>
      </c>
      <c r="S301">
        <f>MAX(0.8,MIN(1.2,AVERAGE(TEAM_ANALYSIS!$W$2:$W$21)/Q301))</f>
        <v>1.2</v>
      </c>
      <c r="T301">
        <f>AVERAGE(R301,S301)</f>
        <v>1</v>
      </c>
    </row>
    <row r="302" spans="1:20" x14ac:dyDescent="0.25">
      <c r="A302">
        <v>16</v>
      </c>
      <c r="B302" t="b">
        <v>0</v>
      </c>
      <c r="C302" s="6">
        <v>46375.625</v>
      </c>
      <c r="D302" t="b">
        <v>0</v>
      </c>
      <c r="E302">
        <v>1</v>
      </c>
      <c r="F302">
        <v>16</v>
      </c>
      <c r="G302">
        <v>4</v>
      </c>
      <c r="H302" t="s">
        <v>1110</v>
      </c>
      <c r="I302" t="s">
        <v>1068</v>
      </c>
      <c r="J302" t="s">
        <v>1098</v>
      </c>
      <c r="K302" t="str">
        <f>tblTeamFixtures[[#This Row],[Team_name]]&amp;"_"&amp;tblTeamFixtures[[#This Row],[GW]]</f>
        <v>ARS_16</v>
      </c>
      <c r="L302">
        <f>IFERROR(INDEX(TEAM_ANALYSIS!$Y:$Y,MATCH($E302,TEAM_ANALYSIS!$A:$A,0)),1)</f>
        <v>1.2058823529411764</v>
      </c>
      <c r="M302">
        <f>IFERROR(INDEX(TEAM_ANALYSIS!$Z:$Z,MATCH($E302,TEAM_ANALYSIS!$A:$A,0)),1)</f>
        <v>0.61764705882352944</v>
      </c>
      <c r="N302">
        <f>IFERROR(INDEX(TEAM_ANALYSIS!$Y:$Y,MATCH($F302,TEAM_ANALYSIS!$A:$A,0)),1)</f>
        <v>1.3235294117647058</v>
      </c>
      <c r="O302">
        <f>IFERROR(INDEX(TEAM_ANALYSIS!$Z:$Z,MATCH($F302,TEAM_ANALYSIS!$A:$A,0)),1)</f>
        <v>1.2058823529411764</v>
      </c>
      <c r="P302">
        <f>MAX(0.05,AVERAGE(TEAM_ANALYSIS!$W$2:$W$21)*L302*O302)</f>
        <v>3.0900735294117645</v>
      </c>
      <c r="Q302">
        <f>MAX(0.05,AVERAGE(TEAM_ANALYSIS!$W$2:$W$21)*N302*M302)</f>
        <v>1.7371323529411766</v>
      </c>
      <c r="R302" s="23">
        <f>MAX(0.8,MIN(1.2,P302/AVERAGE(TEAM_ANALYSIS!$W$2:$W$21)))</f>
        <v>1.2</v>
      </c>
      <c r="S302">
        <f>MAX(0.8,MIN(1.2,AVERAGE(TEAM_ANALYSIS!$W$2:$W$21)/Q302))</f>
        <v>1.2</v>
      </c>
      <c r="T302">
        <f>AVERAGE(R302,S302)</f>
        <v>1.2</v>
      </c>
    </row>
    <row r="303" spans="1:20" x14ac:dyDescent="0.25">
      <c r="A303">
        <v>16</v>
      </c>
      <c r="B303" t="b">
        <v>0</v>
      </c>
      <c r="C303" s="6">
        <v>46375.625</v>
      </c>
      <c r="D303" t="b">
        <v>0</v>
      </c>
      <c r="E303">
        <v>3</v>
      </c>
      <c r="F303">
        <v>7</v>
      </c>
      <c r="G303">
        <v>2</v>
      </c>
      <c r="H303" t="s">
        <v>1110</v>
      </c>
      <c r="I303" t="s">
        <v>1072</v>
      </c>
      <c r="J303" t="s">
        <v>1080</v>
      </c>
      <c r="K303" t="str">
        <f>tblTeamFixtures[[#This Row],[Team_name]]&amp;"_"&amp;tblTeamFixtures[[#This Row],[GW]]</f>
        <v>BOU_16</v>
      </c>
      <c r="L303">
        <f>IFERROR(INDEX(TEAM_ANALYSIS!$Y:$Y,MATCH($E303,TEAM_ANALYSIS!$A:$A,0)),1)</f>
        <v>0.97058823529411764</v>
      </c>
      <c r="M303">
        <f>IFERROR(INDEX(TEAM_ANALYSIS!$Z:$Z,MATCH($E303,TEAM_ANALYSIS!$A:$A,0)),1)</f>
        <v>1.088235294117647</v>
      </c>
      <c r="N303">
        <f>IFERROR(INDEX(TEAM_ANALYSIS!$Y:$Y,MATCH($F303,TEAM_ANALYSIS!$A:$A,0)),1)</f>
        <v>0.5</v>
      </c>
      <c r="O303">
        <f>IFERROR(INDEX(TEAM_ANALYSIS!$Z:$Z,MATCH($F303,TEAM_ANALYSIS!$A:$A,0)),1)</f>
        <v>1.088235294117647</v>
      </c>
      <c r="P303">
        <f>MAX(0.05,AVERAGE(TEAM_ANALYSIS!$W$2:$W$21)*L303*O303)</f>
        <v>2.2444852941176467</v>
      </c>
      <c r="Q303">
        <f>MAX(0.05,AVERAGE(TEAM_ANALYSIS!$W$2:$W$21)*N303*M303)</f>
        <v>1.15625</v>
      </c>
      <c r="R303" s="23">
        <f>MAX(0.8,MIN(1.2,P303/AVERAGE(TEAM_ANALYSIS!$W$2:$W$21)))</f>
        <v>1.0562283737024221</v>
      </c>
      <c r="S303">
        <f>MAX(0.8,MIN(1.2,AVERAGE(TEAM_ANALYSIS!$W$2:$W$21)/Q303))</f>
        <v>1.2</v>
      </c>
      <c r="T303">
        <f>AVERAGE(R303,S303)</f>
        <v>1.128114186851211</v>
      </c>
    </row>
    <row r="304" spans="1:20" x14ac:dyDescent="0.25">
      <c r="A304">
        <v>16</v>
      </c>
      <c r="B304" t="b">
        <v>0</v>
      </c>
      <c r="C304" s="6">
        <v>46375.625</v>
      </c>
      <c r="D304" t="b">
        <v>0</v>
      </c>
      <c r="E304">
        <v>4</v>
      </c>
      <c r="F304">
        <v>17</v>
      </c>
      <c r="G304">
        <v>2</v>
      </c>
      <c r="H304" t="s">
        <v>1110</v>
      </c>
      <c r="I304" t="s">
        <v>1074</v>
      </c>
      <c r="J304" t="s">
        <v>1100</v>
      </c>
      <c r="K304" t="str">
        <f>tblTeamFixtures[[#This Row],[Team_name]]&amp;"_"&amp;tblTeamFixtures[[#This Row],[GW]]</f>
        <v>BRE_16</v>
      </c>
      <c r="L304">
        <f>IFERROR(INDEX(TEAM_ANALYSIS!$Y:$Y,MATCH($E304,TEAM_ANALYSIS!$A:$A,0)),1)</f>
        <v>1.088235294117647</v>
      </c>
      <c r="M304">
        <f>IFERROR(INDEX(TEAM_ANALYSIS!$Z:$Z,MATCH($E304,TEAM_ANALYSIS!$A:$A,0)),1)</f>
        <v>0.73529411764705888</v>
      </c>
      <c r="N304">
        <f>IFERROR(INDEX(TEAM_ANALYSIS!$Y:$Y,MATCH($F304,TEAM_ANALYSIS!$A:$A,0)),1)</f>
        <v>1.2058823529411764</v>
      </c>
      <c r="O304">
        <f>IFERROR(INDEX(TEAM_ANALYSIS!$Z:$Z,MATCH($F304,TEAM_ANALYSIS!$A:$A,0)),1)</f>
        <v>0.97058823529411764</v>
      </c>
      <c r="P304">
        <f>MAX(0.05,AVERAGE(TEAM_ANALYSIS!$W$2:$W$21)*L304*O304)</f>
        <v>2.2444852941176472</v>
      </c>
      <c r="Q304">
        <f>MAX(0.05,AVERAGE(TEAM_ANALYSIS!$W$2:$W$21)*N304*M304)</f>
        <v>1.8841911764705883</v>
      </c>
      <c r="R304" s="23">
        <f>MAX(0.8,MIN(1.2,P304/AVERAGE(TEAM_ANALYSIS!$W$2:$W$21)))</f>
        <v>1.0562283737024223</v>
      </c>
      <c r="S304">
        <f>MAX(0.8,MIN(1.2,AVERAGE(TEAM_ANALYSIS!$W$2:$W$21)/Q304))</f>
        <v>1.1278048780487804</v>
      </c>
      <c r="T304">
        <f>AVERAGE(R304,S304)</f>
        <v>1.0920166258756012</v>
      </c>
    </row>
    <row r="305" spans="1:20" x14ac:dyDescent="0.25">
      <c r="A305">
        <v>16</v>
      </c>
      <c r="B305" t="b">
        <v>0</v>
      </c>
      <c r="C305" s="6">
        <v>46375.625</v>
      </c>
      <c r="D305" t="b">
        <v>0</v>
      </c>
      <c r="E305">
        <v>5</v>
      </c>
      <c r="F305">
        <v>12</v>
      </c>
      <c r="G305">
        <v>2</v>
      </c>
      <c r="H305" t="s">
        <v>1110</v>
      </c>
      <c r="I305" t="s">
        <v>1076</v>
      </c>
      <c r="J305" t="s">
        <v>1090</v>
      </c>
      <c r="K305" t="str">
        <f>tblTeamFixtures[[#This Row],[Team_name]]&amp;"_"&amp;tblTeamFixtures[[#This Row],[GW]]</f>
        <v>BHA_16</v>
      </c>
      <c r="L305">
        <f>IFERROR(INDEX(TEAM_ANALYSIS!$Y:$Y,MATCH($E305,TEAM_ANALYSIS!$A:$A,0)),1)</f>
        <v>1.4411764705882353</v>
      </c>
      <c r="M305">
        <f>IFERROR(INDEX(TEAM_ANALYSIS!$Z:$Z,MATCH($E305,TEAM_ANALYSIS!$A:$A,0)),1)</f>
        <v>1.088235294117647</v>
      </c>
      <c r="N305">
        <f>IFERROR(INDEX(TEAM_ANALYSIS!$Y:$Y,MATCH($F305,TEAM_ANALYSIS!$A:$A,0)),1)</f>
        <v>0.97058823529411764</v>
      </c>
      <c r="O305">
        <f>IFERROR(INDEX(TEAM_ANALYSIS!$Z:$Z,MATCH($F305,TEAM_ANALYSIS!$A:$A,0)),1)</f>
        <v>1.4411764705882353</v>
      </c>
      <c r="P305">
        <f>MAX(0.05,AVERAGE(TEAM_ANALYSIS!$W$2:$W$21)*L305*O305)</f>
        <v>4.4136029411764701</v>
      </c>
      <c r="Q305">
        <f>MAX(0.05,AVERAGE(TEAM_ANALYSIS!$W$2:$W$21)*N305*M305)</f>
        <v>2.2444852941176467</v>
      </c>
      <c r="R305" s="23">
        <f>MAX(0.8,MIN(1.2,P305/AVERAGE(TEAM_ANALYSIS!$W$2:$W$21)))</f>
        <v>1.2</v>
      </c>
      <c r="S305">
        <f>MAX(0.8,MIN(1.2,AVERAGE(TEAM_ANALYSIS!$W$2:$W$21)/Q305))</f>
        <v>0.94676494676494694</v>
      </c>
      <c r="T305">
        <f>AVERAGE(R305,S305)</f>
        <v>1.0733824733824735</v>
      </c>
    </row>
    <row r="306" spans="1:20" x14ac:dyDescent="0.25">
      <c r="A306">
        <v>16</v>
      </c>
      <c r="B306" t="b">
        <v>0</v>
      </c>
      <c r="C306" s="6">
        <v>46375.625</v>
      </c>
      <c r="D306" t="b">
        <v>0</v>
      </c>
      <c r="E306">
        <v>6</v>
      </c>
      <c r="F306">
        <v>2</v>
      </c>
      <c r="G306">
        <v>3</v>
      </c>
      <c r="H306" t="s">
        <v>1110</v>
      </c>
      <c r="I306" t="s">
        <v>1078</v>
      </c>
      <c r="J306" t="s">
        <v>1070</v>
      </c>
      <c r="K306" t="str">
        <f>tblTeamFixtures[[#This Row],[Team_name]]&amp;"_"&amp;tblTeamFixtures[[#This Row],[GW]]</f>
        <v>CHE_16</v>
      </c>
      <c r="L306">
        <f>IFERROR(INDEX(TEAM_ANALYSIS!$Y:$Y,MATCH($E306,TEAM_ANALYSIS!$A:$A,0)),1)</f>
        <v>1.4411764705882353</v>
      </c>
      <c r="M306">
        <f>IFERROR(INDEX(TEAM_ANALYSIS!$Z:$Z,MATCH($E306,TEAM_ANALYSIS!$A:$A,0)),1)</f>
        <v>1.3235294117647058</v>
      </c>
      <c r="N306">
        <f>IFERROR(INDEX(TEAM_ANALYSIS!$Y:$Y,MATCH($F306,TEAM_ANALYSIS!$A:$A,0)),1)</f>
        <v>0.5</v>
      </c>
      <c r="O306">
        <f>IFERROR(INDEX(TEAM_ANALYSIS!$Z:$Z,MATCH($F306,TEAM_ANALYSIS!$A:$A,0)),1)</f>
        <v>1.088235294117647</v>
      </c>
      <c r="P306">
        <f>MAX(0.05,AVERAGE(TEAM_ANALYSIS!$W$2:$W$21)*L306*O306)</f>
        <v>3.3327205882352939</v>
      </c>
      <c r="Q306">
        <f>MAX(0.05,AVERAGE(TEAM_ANALYSIS!$W$2:$W$21)*N306*M306)</f>
        <v>1.40625</v>
      </c>
      <c r="R306" s="23">
        <f>MAX(0.8,MIN(1.2,P306/AVERAGE(TEAM_ANALYSIS!$W$2:$W$21)))</f>
        <v>1.2</v>
      </c>
      <c r="S306">
        <f>MAX(0.8,MIN(1.2,AVERAGE(TEAM_ANALYSIS!$W$2:$W$21)/Q306))</f>
        <v>1.2</v>
      </c>
      <c r="T306">
        <f>AVERAGE(R306,S306)</f>
        <v>1.2</v>
      </c>
    </row>
    <row r="307" spans="1:20" x14ac:dyDescent="0.25">
      <c r="A307">
        <v>16</v>
      </c>
      <c r="B307" t="b">
        <v>0</v>
      </c>
      <c r="C307" s="6">
        <v>46375.625</v>
      </c>
      <c r="D307" t="b">
        <v>0</v>
      </c>
      <c r="E307">
        <v>13</v>
      </c>
      <c r="F307">
        <v>10</v>
      </c>
      <c r="G307">
        <v>2</v>
      </c>
      <c r="H307" t="s">
        <v>1110</v>
      </c>
      <c r="I307" t="s">
        <v>1092</v>
      </c>
      <c r="J307" t="s">
        <v>1086</v>
      </c>
      <c r="K307" t="str">
        <f>tblTeamFixtures[[#This Row],[Team_name]]&amp;"_"&amp;tblTeamFixtures[[#This Row],[GW]]</f>
        <v>LEE_16</v>
      </c>
      <c r="L307">
        <f>IFERROR(INDEX(TEAM_ANALYSIS!$Y:$Y,MATCH($E307,TEAM_ANALYSIS!$A:$A,0)),1)</f>
        <v>0.8529411764705882</v>
      </c>
      <c r="M307">
        <f>IFERROR(INDEX(TEAM_ANALYSIS!$Z:$Z,MATCH($E307,TEAM_ANALYSIS!$A:$A,0)),1)</f>
        <v>0.73529411764705888</v>
      </c>
      <c r="N307">
        <f>IFERROR(INDEX(TEAM_ANALYSIS!$Y:$Y,MATCH($F307,TEAM_ANALYSIS!$A:$A,0)),1)</f>
        <v>0.97058823529411764</v>
      </c>
      <c r="O307">
        <f>IFERROR(INDEX(TEAM_ANALYSIS!$Z:$Z,MATCH($F307,TEAM_ANALYSIS!$A:$A,0)),1)</f>
        <v>1.3235294117647058</v>
      </c>
      <c r="P307">
        <f>MAX(0.05,AVERAGE(TEAM_ANALYSIS!$W$2:$W$21)*L307*O307)</f>
        <v>2.3988970588235294</v>
      </c>
      <c r="Q307">
        <f>MAX(0.05,AVERAGE(TEAM_ANALYSIS!$W$2:$W$21)*N307*M307)</f>
        <v>1.5165441176470589</v>
      </c>
      <c r="R307" s="23">
        <f>MAX(0.8,MIN(1.2,P307/AVERAGE(TEAM_ANALYSIS!$W$2:$W$21)))</f>
        <v>1.1288927335640138</v>
      </c>
      <c r="S307">
        <f>MAX(0.8,MIN(1.2,AVERAGE(TEAM_ANALYSIS!$W$2:$W$21)/Q307))</f>
        <v>1.2</v>
      </c>
      <c r="T307">
        <f>AVERAGE(R307,S307)</f>
        <v>1.1644463667820069</v>
      </c>
    </row>
    <row r="308" spans="1:20" x14ac:dyDescent="0.25">
      <c r="A308">
        <v>16</v>
      </c>
      <c r="B308" t="b">
        <v>0</v>
      </c>
      <c r="C308" s="6">
        <v>46375.625</v>
      </c>
      <c r="D308" t="b">
        <v>0</v>
      </c>
      <c r="E308">
        <v>14</v>
      </c>
      <c r="F308">
        <v>19</v>
      </c>
      <c r="G308">
        <v>3</v>
      </c>
      <c r="H308" t="s">
        <v>1110</v>
      </c>
      <c r="I308" t="s">
        <v>1094</v>
      </c>
      <c r="J308" t="s">
        <v>1104</v>
      </c>
      <c r="K308" t="str">
        <f>tblTeamFixtures[[#This Row],[Team_name]]&amp;"_"&amp;tblTeamFixtures[[#This Row],[GW]]</f>
        <v>LIV_16</v>
      </c>
      <c r="L308">
        <f>IFERROR(INDEX(TEAM_ANALYSIS!$Y:$Y,MATCH($E308,TEAM_ANALYSIS!$A:$A,0)),1)</f>
        <v>1.2058823529411764</v>
      </c>
      <c r="M308">
        <f>IFERROR(INDEX(TEAM_ANALYSIS!$Z:$Z,MATCH($E308,TEAM_ANALYSIS!$A:$A,0)),1)</f>
        <v>0.97058823529411764</v>
      </c>
      <c r="N308">
        <f>IFERROR(INDEX(TEAM_ANALYSIS!$Y:$Y,MATCH($F308,TEAM_ANALYSIS!$A:$A,0)),1)</f>
        <v>0.5</v>
      </c>
      <c r="O308">
        <f>IFERROR(INDEX(TEAM_ANALYSIS!$Z:$Z,MATCH($F308,TEAM_ANALYSIS!$A:$A,0)),1)</f>
        <v>1.088235294117647</v>
      </c>
      <c r="P308">
        <f>MAX(0.05,AVERAGE(TEAM_ANALYSIS!$W$2:$W$21)*L308*O308)</f>
        <v>2.7886029411764706</v>
      </c>
      <c r="Q308">
        <f>MAX(0.05,AVERAGE(TEAM_ANALYSIS!$W$2:$W$21)*N308*M308)</f>
        <v>1.03125</v>
      </c>
      <c r="R308" s="23">
        <f>MAX(0.8,MIN(1.2,P308/AVERAGE(TEAM_ANALYSIS!$W$2:$W$21)))</f>
        <v>1.2</v>
      </c>
      <c r="S308">
        <f>MAX(0.8,MIN(1.2,AVERAGE(TEAM_ANALYSIS!$W$2:$W$21)/Q308))</f>
        <v>1.2</v>
      </c>
      <c r="T308">
        <f>AVERAGE(R308,S308)</f>
        <v>1.2</v>
      </c>
    </row>
    <row r="309" spans="1:20" x14ac:dyDescent="0.25">
      <c r="A309">
        <v>16</v>
      </c>
      <c r="B309" t="b">
        <v>0</v>
      </c>
      <c r="C309" s="6">
        <v>46375.625</v>
      </c>
      <c r="D309" t="b">
        <v>0</v>
      </c>
      <c r="E309">
        <v>15</v>
      </c>
      <c r="F309">
        <v>11</v>
      </c>
      <c r="G309">
        <v>2</v>
      </c>
      <c r="H309" t="s">
        <v>1110</v>
      </c>
      <c r="I309" t="s">
        <v>1096</v>
      </c>
      <c r="J309" t="s">
        <v>1088</v>
      </c>
      <c r="K309" t="str">
        <f>tblTeamFixtures[[#This Row],[Team_name]]&amp;"_"&amp;tblTeamFixtures[[#This Row],[GW]]</f>
        <v>MCI_16</v>
      </c>
      <c r="L309">
        <f>IFERROR(INDEX(TEAM_ANALYSIS!$Y:$Y,MATCH($E309,TEAM_ANALYSIS!$A:$A,0)),1)</f>
        <v>1.3235294117647058</v>
      </c>
      <c r="M309">
        <f>IFERROR(INDEX(TEAM_ANALYSIS!$Z:$Z,MATCH($E309,TEAM_ANALYSIS!$A:$A,0)),1)</f>
        <v>0.73529411764705888</v>
      </c>
      <c r="N309">
        <f>IFERROR(INDEX(TEAM_ANALYSIS!$Y:$Y,MATCH($F309,TEAM_ANALYSIS!$A:$A,0)),1)</f>
        <v>0.8529411764705882</v>
      </c>
      <c r="O309">
        <f>IFERROR(INDEX(TEAM_ANALYSIS!$Z:$Z,MATCH($F309,TEAM_ANALYSIS!$A:$A,0)),1)</f>
        <v>0.5</v>
      </c>
      <c r="P309">
        <f>MAX(0.05,AVERAGE(TEAM_ANALYSIS!$W$2:$W$21)*L309*O309)</f>
        <v>1.40625</v>
      </c>
      <c r="Q309">
        <f>MAX(0.05,AVERAGE(TEAM_ANALYSIS!$W$2:$W$21)*N309*M309)</f>
        <v>1.3327205882352942</v>
      </c>
      <c r="R309" s="23">
        <f>MAX(0.8,MIN(1.2,P309/AVERAGE(TEAM_ANALYSIS!$W$2:$W$21)))</f>
        <v>0.8</v>
      </c>
      <c r="S309">
        <f>MAX(0.8,MIN(1.2,AVERAGE(TEAM_ANALYSIS!$W$2:$W$21)/Q309))</f>
        <v>1.2</v>
      </c>
      <c r="T309">
        <f>AVERAGE(R309,S309)</f>
        <v>1</v>
      </c>
    </row>
    <row r="310" spans="1:20" x14ac:dyDescent="0.25">
      <c r="A310">
        <v>16</v>
      </c>
      <c r="B310" t="b">
        <v>0</v>
      </c>
      <c r="C310" s="6">
        <v>46375.625</v>
      </c>
      <c r="D310" t="b">
        <v>0</v>
      </c>
      <c r="E310">
        <v>18</v>
      </c>
      <c r="F310">
        <v>9</v>
      </c>
      <c r="G310">
        <v>3</v>
      </c>
      <c r="H310" t="s">
        <v>1110</v>
      </c>
      <c r="I310" t="s">
        <v>1102</v>
      </c>
      <c r="J310" t="s">
        <v>1084</v>
      </c>
      <c r="K310" t="str">
        <f>tblTeamFixtures[[#This Row],[Team_name]]&amp;"_"&amp;tblTeamFixtures[[#This Row],[GW]]</f>
        <v>NFO_16</v>
      </c>
      <c r="L310">
        <f>IFERROR(INDEX(TEAM_ANALYSIS!$Y:$Y,MATCH($E310,TEAM_ANALYSIS!$A:$A,0)),1)</f>
        <v>0.73529411764705888</v>
      </c>
      <c r="M310">
        <f>IFERROR(INDEX(TEAM_ANALYSIS!$Z:$Z,MATCH($E310,TEAM_ANALYSIS!$A:$A,0)),1)</f>
        <v>0.8529411764705882</v>
      </c>
      <c r="N310">
        <f>IFERROR(INDEX(TEAM_ANALYSIS!$Y:$Y,MATCH($F310,TEAM_ANALYSIS!$A:$A,0)),1)</f>
        <v>1.088235294117647</v>
      </c>
      <c r="O310">
        <f>IFERROR(INDEX(TEAM_ANALYSIS!$Z:$Z,MATCH($F310,TEAM_ANALYSIS!$A:$A,0)),1)</f>
        <v>0.8529411764705882</v>
      </c>
      <c r="P310">
        <f>MAX(0.05,AVERAGE(TEAM_ANALYSIS!$W$2:$W$21)*L310*O310)</f>
        <v>1.3327205882352942</v>
      </c>
      <c r="Q310">
        <f>MAX(0.05,AVERAGE(TEAM_ANALYSIS!$W$2:$W$21)*N310*M310)</f>
        <v>1.9724264705882353</v>
      </c>
      <c r="R310" s="23">
        <f>MAX(0.8,MIN(1.2,P310/AVERAGE(TEAM_ANALYSIS!$W$2:$W$21)))</f>
        <v>0.8</v>
      </c>
      <c r="S310">
        <f>MAX(0.8,MIN(1.2,AVERAGE(TEAM_ANALYSIS!$W$2:$W$21)/Q310))</f>
        <v>1.0773532152842498</v>
      </c>
      <c r="T310">
        <f>AVERAGE(R310,S310)</f>
        <v>0.9386766076421249</v>
      </c>
    </row>
    <row r="311" spans="1:20" x14ac:dyDescent="0.25">
      <c r="A311">
        <v>16</v>
      </c>
      <c r="B311" t="b">
        <v>0</v>
      </c>
      <c r="C311" s="6">
        <v>46375.625</v>
      </c>
      <c r="D311" t="b">
        <v>0</v>
      </c>
      <c r="E311">
        <v>20</v>
      </c>
      <c r="F311">
        <v>8</v>
      </c>
      <c r="G311">
        <v>3</v>
      </c>
      <c r="H311" t="s">
        <v>1110</v>
      </c>
      <c r="I311" t="s">
        <v>1106</v>
      </c>
      <c r="J311" t="s">
        <v>1082</v>
      </c>
      <c r="K311" t="str">
        <f>tblTeamFixtures[[#This Row],[Team_name]]&amp;"_"&amp;tblTeamFixtures[[#This Row],[GW]]</f>
        <v>SUN_16</v>
      </c>
      <c r="L311">
        <f>IFERROR(INDEX(TEAM_ANALYSIS!$Y:$Y,MATCH($E311,TEAM_ANALYSIS!$A:$A,0)),1)</f>
        <v>0.8529411764705882</v>
      </c>
      <c r="M311">
        <f>IFERROR(INDEX(TEAM_ANALYSIS!$Z:$Z,MATCH($E311,TEAM_ANALYSIS!$A:$A,0)),1)</f>
        <v>0.8529411764705882</v>
      </c>
      <c r="N311">
        <f>IFERROR(INDEX(TEAM_ANALYSIS!$Y:$Y,MATCH($F311,TEAM_ANALYSIS!$A:$A,0)),1)</f>
        <v>0.97058823529411764</v>
      </c>
      <c r="O311">
        <f>IFERROR(INDEX(TEAM_ANALYSIS!$Z:$Z,MATCH($F311,TEAM_ANALYSIS!$A:$A,0)),1)</f>
        <v>1.4411764705882353</v>
      </c>
      <c r="P311">
        <f>MAX(0.05,AVERAGE(TEAM_ANALYSIS!$W$2:$W$21)*L311*O311)</f>
        <v>2.6121323529411766</v>
      </c>
      <c r="Q311">
        <f>MAX(0.05,AVERAGE(TEAM_ANALYSIS!$W$2:$W$21)*N311*M311)</f>
        <v>1.7591911764705881</v>
      </c>
      <c r="R311" s="23">
        <f>MAX(0.8,MIN(1.2,P311/AVERAGE(TEAM_ANALYSIS!$W$2:$W$21)))</f>
        <v>1.2</v>
      </c>
      <c r="S311">
        <f>MAX(0.8,MIN(1.2,AVERAGE(TEAM_ANALYSIS!$W$2:$W$21)/Q311))</f>
        <v>1.2</v>
      </c>
      <c r="T311">
        <f>AVERAGE(R311,S311)</f>
        <v>1.2</v>
      </c>
    </row>
    <row r="312" spans="1:20" x14ac:dyDescent="0.25">
      <c r="A312">
        <v>16</v>
      </c>
      <c r="B312" t="b">
        <v>0</v>
      </c>
      <c r="C312" s="6">
        <v>46375.625</v>
      </c>
      <c r="D312" t="b">
        <v>0</v>
      </c>
      <c r="E312">
        <v>16</v>
      </c>
      <c r="F312">
        <v>1</v>
      </c>
      <c r="G312">
        <v>5</v>
      </c>
      <c r="H312" t="s">
        <v>1111</v>
      </c>
      <c r="I312" t="s">
        <v>1098</v>
      </c>
      <c r="J312" t="s">
        <v>1068</v>
      </c>
      <c r="K312" t="str">
        <f>tblTeamFixtures[[#This Row],[Team_name]]&amp;"_"&amp;tblTeamFixtures[[#This Row],[GW]]</f>
        <v>MUN_16</v>
      </c>
      <c r="L312">
        <f>IFERROR(INDEX(TEAM_ANALYSIS!$Y:$Y,MATCH($E312,TEAM_ANALYSIS!$A:$A,0)),1)</f>
        <v>1.3235294117647058</v>
      </c>
      <c r="M312">
        <f>IFERROR(INDEX(TEAM_ANALYSIS!$Z:$Z,MATCH($E312,TEAM_ANALYSIS!$A:$A,0)),1)</f>
        <v>1.2058823529411764</v>
      </c>
      <c r="N312">
        <f>IFERROR(INDEX(TEAM_ANALYSIS!$Y:$Y,MATCH($F312,TEAM_ANALYSIS!$A:$A,0)),1)</f>
        <v>1.2058823529411764</v>
      </c>
      <c r="O312">
        <f>IFERROR(INDEX(TEAM_ANALYSIS!$Z:$Z,MATCH($F312,TEAM_ANALYSIS!$A:$A,0)),1)</f>
        <v>0.61764705882352944</v>
      </c>
      <c r="P312">
        <f>MAX(0.05,AVERAGE(TEAM_ANALYSIS!$W$2:$W$21)*L312*O312)</f>
        <v>1.7371323529411766</v>
      </c>
      <c r="Q312">
        <f>MAX(0.05,AVERAGE(TEAM_ANALYSIS!$W$2:$W$21)*N312*M312)</f>
        <v>3.0900735294117645</v>
      </c>
      <c r="R312" s="23">
        <f>MAX(0.8,MIN(1.2,P312/AVERAGE(TEAM_ANALYSIS!$W$2:$W$21)))</f>
        <v>0.81747404844290661</v>
      </c>
      <c r="S312">
        <f>MAX(0.8,MIN(1.2,AVERAGE(TEAM_ANALYSIS!$W$2:$W$21)/Q312))</f>
        <v>0.8</v>
      </c>
      <c r="T312">
        <f>AVERAGE(R312,S312)</f>
        <v>0.80873702422145333</v>
      </c>
    </row>
    <row r="313" spans="1:20" x14ac:dyDescent="0.25">
      <c r="A313">
        <v>16</v>
      </c>
      <c r="B313" t="b">
        <v>0</v>
      </c>
      <c r="C313" s="6">
        <v>46375.625</v>
      </c>
      <c r="D313" t="b">
        <v>0</v>
      </c>
      <c r="E313">
        <v>7</v>
      </c>
      <c r="F313">
        <v>3</v>
      </c>
      <c r="G313">
        <v>3</v>
      </c>
      <c r="H313" t="s">
        <v>1111</v>
      </c>
      <c r="I313" t="s">
        <v>1080</v>
      </c>
      <c r="J313" t="s">
        <v>1072</v>
      </c>
      <c r="K313" t="str">
        <f>tblTeamFixtures[[#This Row],[Team_name]]&amp;"_"&amp;tblTeamFixtures[[#This Row],[GW]]</f>
        <v>COV_16</v>
      </c>
      <c r="L313">
        <f>IFERROR(INDEX(TEAM_ANALYSIS!$Y:$Y,MATCH($E313,TEAM_ANALYSIS!$A:$A,0)),1)</f>
        <v>0.5</v>
      </c>
      <c r="M313">
        <f>IFERROR(INDEX(TEAM_ANALYSIS!$Z:$Z,MATCH($E313,TEAM_ANALYSIS!$A:$A,0)),1)</f>
        <v>1.088235294117647</v>
      </c>
      <c r="N313">
        <f>IFERROR(INDEX(TEAM_ANALYSIS!$Y:$Y,MATCH($F313,TEAM_ANALYSIS!$A:$A,0)),1)</f>
        <v>0.97058823529411764</v>
      </c>
      <c r="O313">
        <f>IFERROR(INDEX(TEAM_ANALYSIS!$Z:$Z,MATCH($F313,TEAM_ANALYSIS!$A:$A,0)),1)</f>
        <v>1.088235294117647</v>
      </c>
      <c r="P313">
        <f>MAX(0.05,AVERAGE(TEAM_ANALYSIS!$W$2:$W$21)*L313*O313)</f>
        <v>1.15625</v>
      </c>
      <c r="Q313">
        <f>MAX(0.05,AVERAGE(TEAM_ANALYSIS!$W$2:$W$21)*N313*M313)</f>
        <v>2.2444852941176467</v>
      </c>
      <c r="R313" s="23">
        <f>MAX(0.8,MIN(1.2,P313/AVERAGE(TEAM_ANALYSIS!$W$2:$W$21)))</f>
        <v>0.8</v>
      </c>
      <c r="S313">
        <f>MAX(0.8,MIN(1.2,AVERAGE(TEAM_ANALYSIS!$W$2:$W$21)/Q313))</f>
        <v>0.94676494676494694</v>
      </c>
      <c r="T313">
        <f>AVERAGE(R313,S313)</f>
        <v>0.87338247338247355</v>
      </c>
    </row>
    <row r="314" spans="1:20" x14ac:dyDescent="0.25">
      <c r="A314">
        <v>16</v>
      </c>
      <c r="B314" t="b">
        <v>0</v>
      </c>
      <c r="C314" s="6">
        <v>46375.625</v>
      </c>
      <c r="D314" t="b">
        <v>0</v>
      </c>
      <c r="E314">
        <v>17</v>
      </c>
      <c r="F314">
        <v>4</v>
      </c>
      <c r="G314">
        <v>3</v>
      </c>
      <c r="H314" t="s">
        <v>1111</v>
      </c>
      <c r="I314" t="s">
        <v>1100</v>
      </c>
      <c r="J314" t="s">
        <v>1074</v>
      </c>
      <c r="K314" t="str">
        <f>tblTeamFixtures[[#This Row],[Team_name]]&amp;"_"&amp;tblTeamFixtures[[#This Row],[GW]]</f>
        <v>NEW_16</v>
      </c>
      <c r="L314">
        <f>IFERROR(INDEX(TEAM_ANALYSIS!$Y:$Y,MATCH($E314,TEAM_ANALYSIS!$A:$A,0)),1)</f>
        <v>1.2058823529411764</v>
      </c>
      <c r="M314">
        <f>IFERROR(INDEX(TEAM_ANALYSIS!$Z:$Z,MATCH($E314,TEAM_ANALYSIS!$A:$A,0)),1)</f>
        <v>0.97058823529411764</v>
      </c>
      <c r="N314">
        <f>IFERROR(INDEX(TEAM_ANALYSIS!$Y:$Y,MATCH($F314,TEAM_ANALYSIS!$A:$A,0)),1)</f>
        <v>1.088235294117647</v>
      </c>
      <c r="O314">
        <f>IFERROR(INDEX(TEAM_ANALYSIS!$Z:$Z,MATCH($F314,TEAM_ANALYSIS!$A:$A,0)),1)</f>
        <v>0.73529411764705888</v>
      </c>
      <c r="P314">
        <f>MAX(0.05,AVERAGE(TEAM_ANALYSIS!$W$2:$W$21)*L314*O314)</f>
        <v>1.8841911764705883</v>
      </c>
      <c r="Q314">
        <f>MAX(0.05,AVERAGE(TEAM_ANALYSIS!$W$2:$W$21)*N314*M314)</f>
        <v>2.2444852941176472</v>
      </c>
      <c r="R314" s="23">
        <f>MAX(0.8,MIN(1.2,P314/AVERAGE(TEAM_ANALYSIS!$W$2:$W$21)))</f>
        <v>0.88667820069204151</v>
      </c>
      <c r="S314">
        <f>MAX(0.8,MIN(1.2,AVERAGE(TEAM_ANALYSIS!$W$2:$W$21)/Q314))</f>
        <v>0.94676494676494671</v>
      </c>
      <c r="T314">
        <f>AVERAGE(R314,S314)</f>
        <v>0.91672157372849417</v>
      </c>
    </row>
    <row r="315" spans="1:20" x14ac:dyDescent="0.25">
      <c r="A315">
        <v>16</v>
      </c>
      <c r="B315" t="b">
        <v>0</v>
      </c>
      <c r="C315" s="6">
        <v>46375.625</v>
      </c>
      <c r="D315" t="b">
        <v>0</v>
      </c>
      <c r="E315">
        <v>12</v>
      </c>
      <c r="F315">
        <v>5</v>
      </c>
      <c r="G315">
        <v>3</v>
      </c>
      <c r="H315" t="s">
        <v>1111</v>
      </c>
      <c r="I315" t="s">
        <v>1090</v>
      </c>
      <c r="J315" t="s">
        <v>1076</v>
      </c>
      <c r="K315" t="str">
        <f>tblTeamFixtures[[#This Row],[Team_name]]&amp;"_"&amp;tblTeamFixtures[[#This Row],[GW]]</f>
        <v>IPS_16</v>
      </c>
      <c r="L315">
        <f>IFERROR(INDEX(TEAM_ANALYSIS!$Y:$Y,MATCH($E315,TEAM_ANALYSIS!$A:$A,0)),1)</f>
        <v>0.97058823529411764</v>
      </c>
      <c r="M315">
        <f>IFERROR(INDEX(TEAM_ANALYSIS!$Z:$Z,MATCH($E315,TEAM_ANALYSIS!$A:$A,0)),1)</f>
        <v>1.4411764705882353</v>
      </c>
      <c r="N315">
        <f>IFERROR(INDEX(TEAM_ANALYSIS!$Y:$Y,MATCH($F315,TEAM_ANALYSIS!$A:$A,0)),1)</f>
        <v>1.4411764705882353</v>
      </c>
      <c r="O315">
        <f>IFERROR(INDEX(TEAM_ANALYSIS!$Z:$Z,MATCH($F315,TEAM_ANALYSIS!$A:$A,0)),1)</f>
        <v>1.088235294117647</v>
      </c>
      <c r="P315">
        <f>MAX(0.05,AVERAGE(TEAM_ANALYSIS!$W$2:$W$21)*L315*O315)</f>
        <v>2.2444852941176467</v>
      </c>
      <c r="Q315">
        <f>MAX(0.05,AVERAGE(TEAM_ANALYSIS!$W$2:$W$21)*N315*M315)</f>
        <v>4.4136029411764701</v>
      </c>
      <c r="R315" s="23">
        <f>MAX(0.8,MIN(1.2,P315/AVERAGE(TEAM_ANALYSIS!$W$2:$W$21)))</f>
        <v>1.0562283737024221</v>
      </c>
      <c r="S315">
        <f>MAX(0.8,MIN(1.2,AVERAGE(TEAM_ANALYSIS!$W$2:$W$21)/Q315))</f>
        <v>0.8</v>
      </c>
      <c r="T315">
        <f>AVERAGE(R315,S315)</f>
        <v>0.92811418685121105</v>
      </c>
    </row>
    <row r="316" spans="1:20" x14ac:dyDescent="0.25">
      <c r="A316">
        <v>16</v>
      </c>
      <c r="B316" t="b">
        <v>0</v>
      </c>
      <c r="C316" s="6">
        <v>46375.625</v>
      </c>
      <c r="D316" t="b">
        <v>0</v>
      </c>
      <c r="E316">
        <v>2</v>
      </c>
      <c r="F316">
        <v>6</v>
      </c>
      <c r="G316">
        <v>4</v>
      </c>
      <c r="H316" t="s">
        <v>1111</v>
      </c>
      <c r="I316" t="s">
        <v>1070</v>
      </c>
      <c r="J316" t="s">
        <v>1078</v>
      </c>
      <c r="K316" t="str">
        <f>tblTeamFixtures[[#This Row],[Team_name]]&amp;"_"&amp;tblTeamFixtures[[#This Row],[GW]]</f>
        <v>AVL_16</v>
      </c>
      <c r="L316">
        <f>IFERROR(INDEX(TEAM_ANALYSIS!$Y:$Y,MATCH($E316,TEAM_ANALYSIS!$A:$A,0)),1)</f>
        <v>0.5</v>
      </c>
      <c r="M316">
        <f>IFERROR(INDEX(TEAM_ANALYSIS!$Z:$Z,MATCH($E316,TEAM_ANALYSIS!$A:$A,0)),1)</f>
        <v>1.088235294117647</v>
      </c>
      <c r="N316">
        <f>IFERROR(INDEX(TEAM_ANALYSIS!$Y:$Y,MATCH($F316,TEAM_ANALYSIS!$A:$A,0)),1)</f>
        <v>1.4411764705882353</v>
      </c>
      <c r="O316">
        <f>IFERROR(INDEX(TEAM_ANALYSIS!$Z:$Z,MATCH($F316,TEAM_ANALYSIS!$A:$A,0)),1)</f>
        <v>1.3235294117647058</v>
      </c>
      <c r="P316">
        <f>MAX(0.05,AVERAGE(TEAM_ANALYSIS!$W$2:$W$21)*L316*O316)</f>
        <v>1.40625</v>
      </c>
      <c r="Q316">
        <f>MAX(0.05,AVERAGE(TEAM_ANALYSIS!$W$2:$W$21)*N316*M316)</f>
        <v>3.3327205882352939</v>
      </c>
      <c r="R316" s="23">
        <f>MAX(0.8,MIN(1.2,P316/AVERAGE(TEAM_ANALYSIS!$W$2:$W$21)))</f>
        <v>0.8</v>
      </c>
      <c r="S316">
        <f>MAX(0.8,MIN(1.2,AVERAGE(TEAM_ANALYSIS!$W$2:$W$21)/Q316))</f>
        <v>0.8</v>
      </c>
      <c r="T316">
        <f>AVERAGE(R316,S316)</f>
        <v>0.8</v>
      </c>
    </row>
    <row r="317" spans="1:20" x14ac:dyDescent="0.25">
      <c r="A317">
        <v>16</v>
      </c>
      <c r="B317" t="b">
        <v>0</v>
      </c>
      <c r="C317" s="6">
        <v>46375.625</v>
      </c>
      <c r="D317" t="b">
        <v>0</v>
      </c>
      <c r="E317">
        <v>10</v>
      </c>
      <c r="F317">
        <v>13</v>
      </c>
      <c r="G317">
        <v>3</v>
      </c>
      <c r="H317" t="s">
        <v>1111</v>
      </c>
      <c r="I317" t="s">
        <v>1086</v>
      </c>
      <c r="J317" t="s">
        <v>1092</v>
      </c>
      <c r="K317" t="str">
        <f>tblTeamFixtures[[#This Row],[Team_name]]&amp;"_"&amp;tblTeamFixtures[[#This Row],[GW]]</f>
        <v>FUL_16</v>
      </c>
      <c r="L317">
        <f>IFERROR(INDEX(TEAM_ANALYSIS!$Y:$Y,MATCH($E317,TEAM_ANALYSIS!$A:$A,0)),1)</f>
        <v>0.97058823529411764</v>
      </c>
      <c r="M317">
        <f>IFERROR(INDEX(TEAM_ANALYSIS!$Z:$Z,MATCH($E317,TEAM_ANALYSIS!$A:$A,0)),1)</f>
        <v>1.3235294117647058</v>
      </c>
      <c r="N317">
        <f>IFERROR(INDEX(TEAM_ANALYSIS!$Y:$Y,MATCH($F317,TEAM_ANALYSIS!$A:$A,0)),1)</f>
        <v>0.8529411764705882</v>
      </c>
      <c r="O317">
        <f>IFERROR(INDEX(TEAM_ANALYSIS!$Z:$Z,MATCH($F317,TEAM_ANALYSIS!$A:$A,0)),1)</f>
        <v>0.73529411764705888</v>
      </c>
      <c r="P317">
        <f>MAX(0.05,AVERAGE(TEAM_ANALYSIS!$W$2:$W$21)*L317*O317)</f>
        <v>1.5165441176470589</v>
      </c>
      <c r="Q317">
        <f>MAX(0.05,AVERAGE(TEAM_ANALYSIS!$W$2:$W$21)*N317*M317)</f>
        <v>2.3988970588235294</v>
      </c>
      <c r="R317" s="23">
        <f>MAX(0.8,MIN(1.2,P317/AVERAGE(TEAM_ANALYSIS!$W$2:$W$21)))</f>
        <v>0.8</v>
      </c>
      <c r="S317">
        <f>MAX(0.8,MIN(1.2,AVERAGE(TEAM_ANALYSIS!$W$2:$W$21)/Q317))</f>
        <v>0.885823754789272</v>
      </c>
      <c r="T317">
        <f>AVERAGE(R317,S317)</f>
        <v>0.84291187739463602</v>
      </c>
    </row>
    <row r="318" spans="1:20" x14ac:dyDescent="0.25">
      <c r="A318">
        <v>16</v>
      </c>
      <c r="B318" t="b">
        <v>0</v>
      </c>
      <c r="C318" s="6">
        <v>46375.625</v>
      </c>
      <c r="D318" t="b">
        <v>0</v>
      </c>
      <c r="E318">
        <v>19</v>
      </c>
      <c r="F318">
        <v>14</v>
      </c>
      <c r="G318">
        <v>4</v>
      </c>
      <c r="H318" t="s">
        <v>1111</v>
      </c>
      <c r="I318" t="s">
        <v>1104</v>
      </c>
      <c r="J318" t="s">
        <v>1094</v>
      </c>
      <c r="K318" t="str">
        <f>tblTeamFixtures[[#This Row],[Team_name]]&amp;"_"&amp;tblTeamFixtures[[#This Row],[GW]]</f>
        <v>TOT_16</v>
      </c>
      <c r="L318">
        <f>IFERROR(INDEX(TEAM_ANALYSIS!$Y:$Y,MATCH($E318,TEAM_ANALYSIS!$A:$A,0)),1)</f>
        <v>0.5</v>
      </c>
      <c r="M318">
        <f>IFERROR(INDEX(TEAM_ANALYSIS!$Z:$Z,MATCH($E318,TEAM_ANALYSIS!$A:$A,0)),1)</f>
        <v>1.088235294117647</v>
      </c>
      <c r="N318">
        <f>IFERROR(INDEX(TEAM_ANALYSIS!$Y:$Y,MATCH($F318,TEAM_ANALYSIS!$A:$A,0)),1)</f>
        <v>1.2058823529411764</v>
      </c>
      <c r="O318">
        <f>IFERROR(INDEX(TEAM_ANALYSIS!$Z:$Z,MATCH($F318,TEAM_ANALYSIS!$A:$A,0)),1)</f>
        <v>0.97058823529411764</v>
      </c>
      <c r="P318">
        <f>MAX(0.05,AVERAGE(TEAM_ANALYSIS!$W$2:$W$21)*L318*O318)</f>
        <v>1.03125</v>
      </c>
      <c r="Q318">
        <f>MAX(0.05,AVERAGE(TEAM_ANALYSIS!$W$2:$W$21)*N318*M318)</f>
        <v>2.7886029411764706</v>
      </c>
      <c r="R318" s="23">
        <f>MAX(0.8,MIN(1.2,P318/AVERAGE(TEAM_ANALYSIS!$W$2:$W$21)))</f>
        <v>0.8</v>
      </c>
      <c r="S318">
        <f>MAX(0.8,MIN(1.2,AVERAGE(TEAM_ANALYSIS!$W$2:$W$21)/Q318))</f>
        <v>0.8</v>
      </c>
      <c r="T318">
        <f>AVERAGE(R318,S318)</f>
        <v>0.8</v>
      </c>
    </row>
    <row r="319" spans="1:20" x14ac:dyDescent="0.25">
      <c r="A319">
        <v>16</v>
      </c>
      <c r="B319" t="b">
        <v>0</v>
      </c>
      <c r="C319" s="6">
        <v>46375.625</v>
      </c>
      <c r="D319" t="b">
        <v>0</v>
      </c>
      <c r="E319">
        <v>11</v>
      </c>
      <c r="F319">
        <v>15</v>
      </c>
      <c r="G319">
        <v>5</v>
      </c>
      <c r="H319" t="s">
        <v>1111</v>
      </c>
      <c r="I319" t="s">
        <v>1088</v>
      </c>
      <c r="J319" t="s">
        <v>1096</v>
      </c>
      <c r="K319" t="str">
        <f>tblTeamFixtures[[#This Row],[Team_name]]&amp;"_"&amp;tblTeamFixtures[[#This Row],[GW]]</f>
        <v>HUL_16</v>
      </c>
      <c r="L319">
        <f>IFERROR(INDEX(TEAM_ANALYSIS!$Y:$Y,MATCH($E319,TEAM_ANALYSIS!$A:$A,0)),1)</f>
        <v>0.8529411764705882</v>
      </c>
      <c r="M319">
        <f>IFERROR(INDEX(TEAM_ANALYSIS!$Z:$Z,MATCH($E319,TEAM_ANALYSIS!$A:$A,0)),1)</f>
        <v>0.5</v>
      </c>
      <c r="N319">
        <f>IFERROR(INDEX(TEAM_ANALYSIS!$Y:$Y,MATCH($F319,TEAM_ANALYSIS!$A:$A,0)),1)</f>
        <v>1.3235294117647058</v>
      </c>
      <c r="O319">
        <f>IFERROR(INDEX(TEAM_ANALYSIS!$Z:$Z,MATCH($F319,TEAM_ANALYSIS!$A:$A,0)),1)</f>
        <v>0.73529411764705888</v>
      </c>
      <c r="P319">
        <f>MAX(0.05,AVERAGE(TEAM_ANALYSIS!$W$2:$W$21)*L319*O319)</f>
        <v>1.3327205882352942</v>
      </c>
      <c r="Q319">
        <f>MAX(0.05,AVERAGE(TEAM_ANALYSIS!$W$2:$W$21)*N319*M319)</f>
        <v>1.40625</v>
      </c>
      <c r="R319" s="23">
        <f>MAX(0.8,MIN(1.2,P319/AVERAGE(TEAM_ANALYSIS!$W$2:$W$21)))</f>
        <v>0.8</v>
      </c>
      <c r="S319">
        <f>MAX(0.8,MIN(1.2,AVERAGE(TEAM_ANALYSIS!$W$2:$W$21)/Q319))</f>
        <v>1.2</v>
      </c>
      <c r="T319">
        <f>AVERAGE(R319,S319)</f>
        <v>1</v>
      </c>
    </row>
    <row r="320" spans="1:20" x14ac:dyDescent="0.25">
      <c r="A320">
        <v>16</v>
      </c>
      <c r="B320" t="b">
        <v>0</v>
      </c>
      <c r="C320" s="6">
        <v>46375.625</v>
      </c>
      <c r="D320" t="b">
        <v>0</v>
      </c>
      <c r="E320">
        <v>9</v>
      </c>
      <c r="F320">
        <v>18</v>
      </c>
      <c r="G320">
        <v>3</v>
      </c>
      <c r="H320" t="s">
        <v>1111</v>
      </c>
      <c r="I320" t="s">
        <v>1084</v>
      </c>
      <c r="J320" t="s">
        <v>1102</v>
      </c>
      <c r="K320" t="str">
        <f>tblTeamFixtures[[#This Row],[Team_name]]&amp;"_"&amp;tblTeamFixtures[[#This Row],[GW]]</f>
        <v>EVE_16</v>
      </c>
      <c r="L320">
        <f>IFERROR(INDEX(TEAM_ANALYSIS!$Y:$Y,MATCH($E320,TEAM_ANALYSIS!$A:$A,0)),1)</f>
        <v>1.088235294117647</v>
      </c>
      <c r="M320">
        <f>IFERROR(INDEX(TEAM_ANALYSIS!$Z:$Z,MATCH($E320,TEAM_ANALYSIS!$A:$A,0)),1)</f>
        <v>0.8529411764705882</v>
      </c>
      <c r="N320">
        <f>IFERROR(INDEX(TEAM_ANALYSIS!$Y:$Y,MATCH($F320,TEAM_ANALYSIS!$A:$A,0)),1)</f>
        <v>0.73529411764705888</v>
      </c>
      <c r="O320">
        <f>IFERROR(INDEX(TEAM_ANALYSIS!$Z:$Z,MATCH($F320,TEAM_ANALYSIS!$A:$A,0)),1)</f>
        <v>0.8529411764705882</v>
      </c>
      <c r="P320">
        <f>MAX(0.05,AVERAGE(TEAM_ANALYSIS!$W$2:$W$21)*L320*O320)</f>
        <v>1.9724264705882353</v>
      </c>
      <c r="Q320">
        <f>MAX(0.05,AVERAGE(TEAM_ANALYSIS!$W$2:$W$21)*N320*M320)</f>
        <v>1.3327205882352942</v>
      </c>
      <c r="R320" s="23">
        <f>MAX(0.8,MIN(1.2,P320/AVERAGE(TEAM_ANALYSIS!$W$2:$W$21)))</f>
        <v>0.92820069204152245</v>
      </c>
      <c r="S320">
        <f>MAX(0.8,MIN(1.2,AVERAGE(TEAM_ANALYSIS!$W$2:$W$21)/Q320))</f>
        <v>1.2</v>
      </c>
      <c r="T320">
        <f>AVERAGE(R320,S320)</f>
        <v>1.0641003460207612</v>
      </c>
    </row>
    <row r="321" spans="1:20" x14ac:dyDescent="0.25">
      <c r="A321">
        <v>16</v>
      </c>
      <c r="B321" t="b">
        <v>0</v>
      </c>
      <c r="C321" s="6">
        <v>46375.625</v>
      </c>
      <c r="D321" t="b">
        <v>0</v>
      </c>
      <c r="E321">
        <v>8</v>
      </c>
      <c r="F321">
        <v>20</v>
      </c>
      <c r="G321">
        <v>3</v>
      </c>
      <c r="H321" t="s">
        <v>1111</v>
      </c>
      <c r="I321" t="s">
        <v>1082</v>
      </c>
      <c r="J321" t="s">
        <v>1106</v>
      </c>
      <c r="K321" t="str">
        <f>tblTeamFixtures[[#This Row],[Team_name]]&amp;"_"&amp;tblTeamFixtures[[#This Row],[GW]]</f>
        <v>CRY_16</v>
      </c>
      <c r="L321">
        <f>IFERROR(INDEX(TEAM_ANALYSIS!$Y:$Y,MATCH($E321,TEAM_ANALYSIS!$A:$A,0)),1)</f>
        <v>0.97058823529411764</v>
      </c>
      <c r="M321">
        <f>IFERROR(INDEX(TEAM_ANALYSIS!$Z:$Z,MATCH($E321,TEAM_ANALYSIS!$A:$A,0)),1)</f>
        <v>1.4411764705882353</v>
      </c>
      <c r="N321">
        <f>IFERROR(INDEX(TEAM_ANALYSIS!$Y:$Y,MATCH($F321,TEAM_ANALYSIS!$A:$A,0)),1)</f>
        <v>0.8529411764705882</v>
      </c>
      <c r="O321">
        <f>IFERROR(INDEX(TEAM_ANALYSIS!$Z:$Z,MATCH($F321,TEAM_ANALYSIS!$A:$A,0)),1)</f>
        <v>0.8529411764705882</v>
      </c>
      <c r="P321">
        <f>MAX(0.05,AVERAGE(TEAM_ANALYSIS!$W$2:$W$21)*L321*O321)</f>
        <v>1.7591911764705881</v>
      </c>
      <c r="Q321">
        <f>MAX(0.05,AVERAGE(TEAM_ANALYSIS!$W$2:$W$21)*N321*M321)</f>
        <v>2.6121323529411766</v>
      </c>
      <c r="R321" s="23">
        <f>MAX(0.8,MIN(1.2,P321/AVERAGE(TEAM_ANALYSIS!$W$2:$W$21)))</f>
        <v>0.82785467128027679</v>
      </c>
      <c r="S321">
        <f>MAX(0.8,MIN(1.2,AVERAGE(TEAM_ANALYSIS!$W$2:$W$21)/Q321))</f>
        <v>0.81351161154116813</v>
      </c>
      <c r="T321">
        <f>AVERAGE(R321,S321)</f>
        <v>0.82068314141072252</v>
      </c>
    </row>
    <row r="322" spans="1:20" x14ac:dyDescent="0.25">
      <c r="A322">
        <v>17</v>
      </c>
      <c r="B322" t="b">
        <v>0</v>
      </c>
      <c r="C322" s="6">
        <v>46382.625</v>
      </c>
      <c r="D322" t="b">
        <v>0</v>
      </c>
      <c r="E322">
        <v>2</v>
      </c>
      <c r="F322">
        <v>13</v>
      </c>
      <c r="G322">
        <v>2</v>
      </c>
      <c r="H322" t="s">
        <v>1110</v>
      </c>
      <c r="I322" t="s">
        <v>1070</v>
      </c>
      <c r="J322" t="s">
        <v>1092</v>
      </c>
      <c r="K322" t="str">
        <f>tblTeamFixtures[[#This Row],[Team_name]]&amp;"_"&amp;tblTeamFixtures[[#This Row],[GW]]</f>
        <v>AVL_17</v>
      </c>
      <c r="L322">
        <f>IFERROR(INDEX(TEAM_ANALYSIS!$Y:$Y,MATCH($E322,TEAM_ANALYSIS!$A:$A,0)),1)</f>
        <v>0.5</v>
      </c>
      <c r="M322">
        <f>IFERROR(INDEX(TEAM_ANALYSIS!$Z:$Z,MATCH($E322,TEAM_ANALYSIS!$A:$A,0)),1)</f>
        <v>1.088235294117647</v>
      </c>
      <c r="N322">
        <f>IFERROR(INDEX(TEAM_ANALYSIS!$Y:$Y,MATCH($F322,TEAM_ANALYSIS!$A:$A,0)),1)</f>
        <v>0.8529411764705882</v>
      </c>
      <c r="O322">
        <f>IFERROR(INDEX(TEAM_ANALYSIS!$Z:$Z,MATCH($F322,TEAM_ANALYSIS!$A:$A,0)),1)</f>
        <v>0.73529411764705888</v>
      </c>
      <c r="P322">
        <f>MAX(0.05,AVERAGE(TEAM_ANALYSIS!$W$2:$W$21)*L322*O322)</f>
        <v>0.78125</v>
      </c>
      <c r="Q322">
        <f>MAX(0.05,AVERAGE(TEAM_ANALYSIS!$W$2:$W$21)*N322*M322)</f>
        <v>1.9724264705882351</v>
      </c>
      <c r="R322" s="23">
        <f>MAX(0.8,MIN(1.2,P322/AVERAGE(TEAM_ANALYSIS!$W$2:$W$21)))</f>
        <v>0.8</v>
      </c>
      <c r="S322">
        <f>MAX(0.8,MIN(1.2,AVERAGE(TEAM_ANALYSIS!$W$2:$W$21)/Q322))</f>
        <v>1.07735321528425</v>
      </c>
      <c r="T322">
        <f>AVERAGE(R322,S322)</f>
        <v>0.93867660764212502</v>
      </c>
    </row>
    <row r="323" spans="1:20" x14ac:dyDescent="0.25">
      <c r="A323">
        <v>17</v>
      </c>
      <c r="B323" t="b">
        <v>0</v>
      </c>
      <c r="C323" s="6">
        <v>46382.625</v>
      </c>
      <c r="D323" t="b">
        <v>0</v>
      </c>
      <c r="E323">
        <v>7</v>
      </c>
      <c r="F323">
        <v>6</v>
      </c>
      <c r="G323">
        <v>4</v>
      </c>
      <c r="H323" t="s">
        <v>1110</v>
      </c>
      <c r="I323" t="s">
        <v>1080</v>
      </c>
      <c r="J323" t="s">
        <v>1078</v>
      </c>
      <c r="K323" t="str">
        <f>tblTeamFixtures[[#This Row],[Team_name]]&amp;"_"&amp;tblTeamFixtures[[#This Row],[GW]]</f>
        <v>COV_17</v>
      </c>
      <c r="L323">
        <f>IFERROR(INDEX(TEAM_ANALYSIS!$Y:$Y,MATCH($E323,TEAM_ANALYSIS!$A:$A,0)),1)</f>
        <v>0.5</v>
      </c>
      <c r="M323">
        <f>IFERROR(INDEX(TEAM_ANALYSIS!$Z:$Z,MATCH($E323,TEAM_ANALYSIS!$A:$A,0)),1)</f>
        <v>1.088235294117647</v>
      </c>
      <c r="N323">
        <f>IFERROR(INDEX(TEAM_ANALYSIS!$Y:$Y,MATCH($F323,TEAM_ANALYSIS!$A:$A,0)),1)</f>
        <v>1.4411764705882353</v>
      </c>
      <c r="O323">
        <f>IFERROR(INDEX(TEAM_ANALYSIS!$Z:$Z,MATCH($F323,TEAM_ANALYSIS!$A:$A,0)),1)</f>
        <v>1.3235294117647058</v>
      </c>
      <c r="P323">
        <f>MAX(0.05,AVERAGE(TEAM_ANALYSIS!$W$2:$W$21)*L323*O323)</f>
        <v>1.40625</v>
      </c>
      <c r="Q323">
        <f>MAX(0.05,AVERAGE(TEAM_ANALYSIS!$W$2:$W$21)*N323*M323)</f>
        <v>3.3327205882352939</v>
      </c>
      <c r="R323" s="23">
        <f>MAX(0.8,MIN(1.2,P323/AVERAGE(TEAM_ANALYSIS!$W$2:$W$21)))</f>
        <v>0.8</v>
      </c>
      <c r="S323">
        <f>MAX(0.8,MIN(1.2,AVERAGE(TEAM_ANALYSIS!$W$2:$W$21)/Q323))</f>
        <v>0.8</v>
      </c>
      <c r="T323">
        <f>AVERAGE(R323,S323)</f>
        <v>0.8</v>
      </c>
    </row>
    <row r="324" spans="1:20" x14ac:dyDescent="0.25">
      <c r="A324">
        <v>17</v>
      </c>
      <c r="B324" t="b">
        <v>0</v>
      </c>
      <c r="C324" s="6">
        <v>46382.625</v>
      </c>
      <c r="D324" t="b">
        <v>0</v>
      </c>
      <c r="E324">
        <v>8</v>
      </c>
      <c r="F324">
        <v>1</v>
      </c>
      <c r="G324">
        <v>4</v>
      </c>
      <c r="H324" t="s">
        <v>1110</v>
      </c>
      <c r="I324" t="s">
        <v>1082</v>
      </c>
      <c r="J324" t="s">
        <v>1068</v>
      </c>
      <c r="K324" t="str">
        <f>tblTeamFixtures[[#This Row],[Team_name]]&amp;"_"&amp;tblTeamFixtures[[#This Row],[GW]]</f>
        <v>CRY_17</v>
      </c>
      <c r="L324">
        <f>IFERROR(INDEX(TEAM_ANALYSIS!$Y:$Y,MATCH($E324,TEAM_ANALYSIS!$A:$A,0)),1)</f>
        <v>0.97058823529411764</v>
      </c>
      <c r="M324">
        <f>IFERROR(INDEX(TEAM_ANALYSIS!$Z:$Z,MATCH($E324,TEAM_ANALYSIS!$A:$A,0)),1)</f>
        <v>1.4411764705882353</v>
      </c>
      <c r="N324">
        <f>IFERROR(INDEX(TEAM_ANALYSIS!$Y:$Y,MATCH($F324,TEAM_ANALYSIS!$A:$A,0)),1)</f>
        <v>1.2058823529411764</v>
      </c>
      <c r="O324">
        <f>IFERROR(INDEX(TEAM_ANALYSIS!$Z:$Z,MATCH($F324,TEAM_ANALYSIS!$A:$A,0)),1)</f>
        <v>0.61764705882352944</v>
      </c>
      <c r="P324">
        <f>MAX(0.05,AVERAGE(TEAM_ANALYSIS!$W$2:$W$21)*L324*O324)</f>
        <v>1.2738970588235294</v>
      </c>
      <c r="Q324">
        <f>MAX(0.05,AVERAGE(TEAM_ANALYSIS!$W$2:$W$21)*N324*M324)</f>
        <v>3.6930147058823528</v>
      </c>
      <c r="R324" s="23">
        <f>MAX(0.8,MIN(1.2,P324/AVERAGE(TEAM_ANALYSIS!$W$2:$W$21)))</f>
        <v>0.8</v>
      </c>
      <c r="S324">
        <f>MAX(0.8,MIN(1.2,AVERAGE(TEAM_ANALYSIS!$W$2:$W$21)/Q324))</f>
        <v>0.8</v>
      </c>
      <c r="T324">
        <f>AVERAGE(R324,S324)</f>
        <v>0.8</v>
      </c>
    </row>
    <row r="325" spans="1:20" x14ac:dyDescent="0.25">
      <c r="A325">
        <v>17</v>
      </c>
      <c r="B325" t="b">
        <v>0</v>
      </c>
      <c r="C325" s="6">
        <v>46382.625</v>
      </c>
      <c r="D325" t="b">
        <v>0</v>
      </c>
      <c r="E325">
        <v>9</v>
      </c>
      <c r="F325">
        <v>20</v>
      </c>
      <c r="G325">
        <v>2</v>
      </c>
      <c r="H325" t="s">
        <v>1110</v>
      </c>
      <c r="I325" t="s">
        <v>1084</v>
      </c>
      <c r="J325" t="s">
        <v>1106</v>
      </c>
      <c r="K325" t="str">
        <f>tblTeamFixtures[[#This Row],[Team_name]]&amp;"_"&amp;tblTeamFixtures[[#This Row],[GW]]</f>
        <v>EVE_17</v>
      </c>
      <c r="L325">
        <f>IFERROR(INDEX(TEAM_ANALYSIS!$Y:$Y,MATCH($E325,TEAM_ANALYSIS!$A:$A,0)),1)</f>
        <v>1.088235294117647</v>
      </c>
      <c r="M325">
        <f>IFERROR(INDEX(TEAM_ANALYSIS!$Z:$Z,MATCH($E325,TEAM_ANALYSIS!$A:$A,0)),1)</f>
        <v>0.8529411764705882</v>
      </c>
      <c r="N325">
        <f>IFERROR(INDEX(TEAM_ANALYSIS!$Y:$Y,MATCH($F325,TEAM_ANALYSIS!$A:$A,0)),1)</f>
        <v>0.8529411764705882</v>
      </c>
      <c r="O325">
        <f>IFERROR(INDEX(TEAM_ANALYSIS!$Z:$Z,MATCH($F325,TEAM_ANALYSIS!$A:$A,0)),1)</f>
        <v>0.8529411764705882</v>
      </c>
      <c r="P325">
        <f>MAX(0.05,AVERAGE(TEAM_ANALYSIS!$W$2:$W$21)*L325*O325)</f>
        <v>1.9724264705882353</v>
      </c>
      <c r="Q325">
        <f>MAX(0.05,AVERAGE(TEAM_ANALYSIS!$W$2:$W$21)*N325*M325)</f>
        <v>1.5459558823529411</v>
      </c>
      <c r="R325" s="23">
        <f>MAX(0.8,MIN(1.2,P325/AVERAGE(TEAM_ANALYSIS!$W$2:$W$21)))</f>
        <v>0.92820069204152245</v>
      </c>
      <c r="S325">
        <f>MAX(0.8,MIN(1.2,AVERAGE(TEAM_ANALYSIS!$W$2:$W$21)/Q325))</f>
        <v>1.2</v>
      </c>
      <c r="T325">
        <f>AVERAGE(R325,S325)</f>
        <v>1.0641003460207612</v>
      </c>
    </row>
    <row r="326" spans="1:20" x14ac:dyDescent="0.25">
      <c r="A326">
        <v>17</v>
      </c>
      <c r="B326" t="b">
        <v>0</v>
      </c>
      <c r="C326" s="6">
        <v>46382.625</v>
      </c>
      <c r="D326" t="b">
        <v>0</v>
      </c>
      <c r="E326">
        <v>10</v>
      </c>
      <c r="F326">
        <v>5</v>
      </c>
      <c r="G326">
        <v>2</v>
      </c>
      <c r="H326" t="s">
        <v>1110</v>
      </c>
      <c r="I326" t="s">
        <v>1086</v>
      </c>
      <c r="J326" t="s">
        <v>1076</v>
      </c>
      <c r="K326" t="str">
        <f>tblTeamFixtures[[#This Row],[Team_name]]&amp;"_"&amp;tblTeamFixtures[[#This Row],[GW]]</f>
        <v>FUL_17</v>
      </c>
      <c r="L326">
        <f>IFERROR(INDEX(TEAM_ANALYSIS!$Y:$Y,MATCH($E326,TEAM_ANALYSIS!$A:$A,0)),1)</f>
        <v>0.97058823529411764</v>
      </c>
      <c r="M326">
        <f>IFERROR(INDEX(TEAM_ANALYSIS!$Z:$Z,MATCH($E326,TEAM_ANALYSIS!$A:$A,0)),1)</f>
        <v>1.3235294117647058</v>
      </c>
      <c r="N326">
        <f>IFERROR(INDEX(TEAM_ANALYSIS!$Y:$Y,MATCH($F326,TEAM_ANALYSIS!$A:$A,0)),1)</f>
        <v>1.4411764705882353</v>
      </c>
      <c r="O326">
        <f>IFERROR(INDEX(TEAM_ANALYSIS!$Z:$Z,MATCH($F326,TEAM_ANALYSIS!$A:$A,0)),1)</f>
        <v>1.088235294117647</v>
      </c>
      <c r="P326">
        <f>MAX(0.05,AVERAGE(TEAM_ANALYSIS!$W$2:$W$21)*L326*O326)</f>
        <v>2.2444852941176467</v>
      </c>
      <c r="Q326">
        <f>MAX(0.05,AVERAGE(TEAM_ANALYSIS!$W$2:$W$21)*N326*M326)</f>
        <v>4.0533088235294112</v>
      </c>
      <c r="R326" s="23">
        <f>MAX(0.8,MIN(1.2,P326/AVERAGE(TEAM_ANALYSIS!$W$2:$W$21)))</f>
        <v>1.0562283737024221</v>
      </c>
      <c r="S326">
        <f>MAX(0.8,MIN(1.2,AVERAGE(TEAM_ANALYSIS!$W$2:$W$21)/Q326))</f>
        <v>0.8</v>
      </c>
      <c r="T326">
        <f>AVERAGE(R326,S326)</f>
        <v>0.92811418685121105</v>
      </c>
    </row>
    <row r="327" spans="1:20" x14ac:dyDescent="0.25">
      <c r="A327">
        <v>17</v>
      </c>
      <c r="B327" t="b">
        <v>0</v>
      </c>
      <c r="C327" s="6">
        <v>46382.625</v>
      </c>
      <c r="D327" t="b">
        <v>0</v>
      </c>
      <c r="E327">
        <v>11</v>
      </c>
      <c r="F327">
        <v>14</v>
      </c>
      <c r="G327">
        <v>4</v>
      </c>
      <c r="H327" t="s">
        <v>1110</v>
      </c>
      <c r="I327" t="s">
        <v>1088</v>
      </c>
      <c r="J327" t="s">
        <v>1094</v>
      </c>
      <c r="K327" t="str">
        <f>tblTeamFixtures[[#This Row],[Team_name]]&amp;"_"&amp;tblTeamFixtures[[#This Row],[GW]]</f>
        <v>HUL_17</v>
      </c>
      <c r="L327">
        <f>IFERROR(INDEX(TEAM_ANALYSIS!$Y:$Y,MATCH($E327,TEAM_ANALYSIS!$A:$A,0)),1)</f>
        <v>0.8529411764705882</v>
      </c>
      <c r="M327">
        <f>IFERROR(INDEX(TEAM_ANALYSIS!$Z:$Z,MATCH($E327,TEAM_ANALYSIS!$A:$A,0)),1)</f>
        <v>0.5</v>
      </c>
      <c r="N327">
        <f>IFERROR(INDEX(TEAM_ANALYSIS!$Y:$Y,MATCH($F327,TEAM_ANALYSIS!$A:$A,0)),1)</f>
        <v>1.2058823529411764</v>
      </c>
      <c r="O327">
        <f>IFERROR(INDEX(TEAM_ANALYSIS!$Z:$Z,MATCH($F327,TEAM_ANALYSIS!$A:$A,0)),1)</f>
        <v>0.97058823529411764</v>
      </c>
      <c r="P327">
        <f>MAX(0.05,AVERAGE(TEAM_ANALYSIS!$W$2:$W$21)*L327*O327)</f>
        <v>1.7591911764705883</v>
      </c>
      <c r="Q327">
        <f>MAX(0.05,AVERAGE(TEAM_ANALYSIS!$W$2:$W$21)*N327*M327)</f>
        <v>1.28125</v>
      </c>
      <c r="R327" s="23">
        <f>MAX(0.8,MIN(1.2,P327/AVERAGE(TEAM_ANALYSIS!$W$2:$W$21)))</f>
        <v>0.8278546712802769</v>
      </c>
      <c r="S327">
        <f>MAX(0.8,MIN(1.2,AVERAGE(TEAM_ANALYSIS!$W$2:$W$21)/Q327))</f>
        <v>1.2</v>
      </c>
      <c r="T327">
        <f>AVERAGE(R327,S327)</f>
        <v>1.0139273356401384</v>
      </c>
    </row>
    <row r="328" spans="1:20" x14ac:dyDescent="0.25">
      <c r="A328">
        <v>17</v>
      </c>
      <c r="B328" t="b">
        <v>0</v>
      </c>
      <c r="C328" s="6">
        <v>46382.625</v>
      </c>
      <c r="D328" t="b">
        <v>0</v>
      </c>
      <c r="E328">
        <v>12</v>
      </c>
      <c r="F328">
        <v>4</v>
      </c>
      <c r="G328">
        <v>3</v>
      </c>
      <c r="H328" t="s">
        <v>1110</v>
      </c>
      <c r="I328" t="s">
        <v>1090</v>
      </c>
      <c r="J328" t="s">
        <v>1074</v>
      </c>
      <c r="K328" t="str">
        <f>tblTeamFixtures[[#This Row],[Team_name]]&amp;"_"&amp;tblTeamFixtures[[#This Row],[GW]]</f>
        <v>IPS_17</v>
      </c>
      <c r="L328">
        <f>IFERROR(INDEX(TEAM_ANALYSIS!$Y:$Y,MATCH($E328,TEAM_ANALYSIS!$A:$A,0)),1)</f>
        <v>0.97058823529411764</v>
      </c>
      <c r="M328">
        <f>IFERROR(INDEX(TEAM_ANALYSIS!$Z:$Z,MATCH($E328,TEAM_ANALYSIS!$A:$A,0)),1)</f>
        <v>1.4411764705882353</v>
      </c>
      <c r="N328">
        <f>IFERROR(INDEX(TEAM_ANALYSIS!$Y:$Y,MATCH($F328,TEAM_ANALYSIS!$A:$A,0)),1)</f>
        <v>1.088235294117647</v>
      </c>
      <c r="O328">
        <f>IFERROR(INDEX(TEAM_ANALYSIS!$Z:$Z,MATCH($F328,TEAM_ANALYSIS!$A:$A,0)),1)</f>
        <v>0.73529411764705888</v>
      </c>
      <c r="P328">
        <f>MAX(0.05,AVERAGE(TEAM_ANALYSIS!$W$2:$W$21)*L328*O328)</f>
        <v>1.5165441176470589</v>
      </c>
      <c r="Q328">
        <f>MAX(0.05,AVERAGE(TEAM_ANALYSIS!$W$2:$W$21)*N328*M328)</f>
        <v>3.3327205882352939</v>
      </c>
      <c r="R328" s="23">
        <f>MAX(0.8,MIN(1.2,P328/AVERAGE(TEAM_ANALYSIS!$W$2:$W$21)))</f>
        <v>0.8</v>
      </c>
      <c r="S328">
        <f>MAX(0.8,MIN(1.2,AVERAGE(TEAM_ANALYSIS!$W$2:$W$21)/Q328))</f>
        <v>0.8</v>
      </c>
      <c r="T328">
        <f>AVERAGE(R328,S328)</f>
        <v>0.8</v>
      </c>
    </row>
    <row r="329" spans="1:20" x14ac:dyDescent="0.25">
      <c r="A329">
        <v>17</v>
      </c>
      <c r="B329" t="b">
        <v>0</v>
      </c>
      <c r="C329" s="6">
        <v>46382.625</v>
      </c>
      <c r="D329" t="b">
        <v>0</v>
      </c>
      <c r="E329">
        <v>16</v>
      </c>
      <c r="F329">
        <v>18</v>
      </c>
      <c r="G329">
        <v>3</v>
      </c>
      <c r="H329" t="s">
        <v>1110</v>
      </c>
      <c r="I329" t="s">
        <v>1098</v>
      </c>
      <c r="J329" t="s">
        <v>1102</v>
      </c>
      <c r="K329" t="str">
        <f>tblTeamFixtures[[#This Row],[Team_name]]&amp;"_"&amp;tblTeamFixtures[[#This Row],[GW]]</f>
        <v>MUN_17</v>
      </c>
      <c r="L329">
        <f>IFERROR(INDEX(TEAM_ANALYSIS!$Y:$Y,MATCH($E329,TEAM_ANALYSIS!$A:$A,0)),1)</f>
        <v>1.3235294117647058</v>
      </c>
      <c r="M329">
        <f>IFERROR(INDEX(TEAM_ANALYSIS!$Z:$Z,MATCH($E329,TEAM_ANALYSIS!$A:$A,0)),1)</f>
        <v>1.2058823529411764</v>
      </c>
      <c r="N329">
        <f>IFERROR(INDEX(TEAM_ANALYSIS!$Y:$Y,MATCH($F329,TEAM_ANALYSIS!$A:$A,0)),1)</f>
        <v>0.73529411764705888</v>
      </c>
      <c r="O329">
        <f>IFERROR(INDEX(TEAM_ANALYSIS!$Z:$Z,MATCH($F329,TEAM_ANALYSIS!$A:$A,0)),1)</f>
        <v>0.8529411764705882</v>
      </c>
      <c r="P329">
        <f>MAX(0.05,AVERAGE(TEAM_ANALYSIS!$W$2:$W$21)*L329*O329)</f>
        <v>2.3988970588235294</v>
      </c>
      <c r="Q329">
        <f>MAX(0.05,AVERAGE(TEAM_ANALYSIS!$W$2:$W$21)*N329*M329)</f>
        <v>1.8841911764705881</v>
      </c>
      <c r="R329" s="23">
        <f>MAX(0.8,MIN(1.2,P329/AVERAGE(TEAM_ANALYSIS!$W$2:$W$21)))</f>
        <v>1.1288927335640138</v>
      </c>
      <c r="S329">
        <f>MAX(0.8,MIN(1.2,AVERAGE(TEAM_ANALYSIS!$W$2:$W$21)/Q329))</f>
        <v>1.1278048780487806</v>
      </c>
      <c r="T329">
        <f>AVERAGE(R329,S329)</f>
        <v>1.1283488058063971</v>
      </c>
    </row>
    <row r="330" spans="1:20" x14ac:dyDescent="0.25">
      <c r="A330">
        <v>17</v>
      </c>
      <c r="B330" t="b">
        <v>0</v>
      </c>
      <c r="C330" s="6">
        <v>46382.625</v>
      </c>
      <c r="D330" t="b">
        <v>0</v>
      </c>
      <c r="E330">
        <v>17</v>
      </c>
      <c r="F330">
        <v>15</v>
      </c>
      <c r="G330">
        <v>4</v>
      </c>
      <c r="H330" t="s">
        <v>1110</v>
      </c>
      <c r="I330" t="s">
        <v>1100</v>
      </c>
      <c r="J330" t="s">
        <v>1096</v>
      </c>
      <c r="K330" t="str">
        <f>tblTeamFixtures[[#This Row],[Team_name]]&amp;"_"&amp;tblTeamFixtures[[#This Row],[GW]]</f>
        <v>NEW_17</v>
      </c>
      <c r="L330">
        <f>IFERROR(INDEX(TEAM_ANALYSIS!$Y:$Y,MATCH($E330,TEAM_ANALYSIS!$A:$A,0)),1)</f>
        <v>1.2058823529411764</v>
      </c>
      <c r="M330">
        <f>IFERROR(INDEX(TEAM_ANALYSIS!$Z:$Z,MATCH($E330,TEAM_ANALYSIS!$A:$A,0)),1)</f>
        <v>0.97058823529411764</v>
      </c>
      <c r="N330">
        <f>IFERROR(INDEX(TEAM_ANALYSIS!$Y:$Y,MATCH($F330,TEAM_ANALYSIS!$A:$A,0)),1)</f>
        <v>1.3235294117647058</v>
      </c>
      <c r="O330">
        <f>IFERROR(INDEX(TEAM_ANALYSIS!$Z:$Z,MATCH($F330,TEAM_ANALYSIS!$A:$A,0)),1)</f>
        <v>0.73529411764705888</v>
      </c>
      <c r="P330">
        <f>MAX(0.05,AVERAGE(TEAM_ANALYSIS!$W$2:$W$21)*L330*O330)</f>
        <v>1.8841911764705883</v>
      </c>
      <c r="Q330">
        <f>MAX(0.05,AVERAGE(TEAM_ANALYSIS!$W$2:$W$21)*N330*M330)</f>
        <v>2.7297794117647061</v>
      </c>
      <c r="R330" s="23">
        <f>MAX(0.8,MIN(1.2,P330/AVERAGE(TEAM_ANALYSIS!$W$2:$W$21)))</f>
        <v>0.88667820069204151</v>
      </c>
      <c r="S330">
        <f>MAX(0.8,MIN(1.2,AVERAGE(TEAM_ANALYSIS!$W$2:$W$21)/Q330))</f>
        <v>0.8</v>
      </c>
      <c r="T330">
        <f>AVERAGE(R330,S330)</f>
        <v>0.84333910034602078</v>
      </c>
    </row>
    <row r="331" spans="1:20" x14ac:dyDescent="0.25">
      <c r="A331">
        <v>17</v>
      </c>
      <c r="B331" t="b">
        <v>0</v>
      </c>
      <c r="C331" s="6">
        <v>46382.625</v>
      </c>
      <c r="D331" t="b">
        <v>0</v>
      </c>
      <c r="E331">
        <v>19</v>
      </c>
      <c r="F331">
        <v>3</v>
      </c>
      <c r="G331">
        <v>3</v>
      </c>
      <c r="H331" t="s">
        <v>1110</v>
      </c>
      <c r="I331" t="s">
        <v>1104</v>
      </c>
      <c r="J331" t="s">
        <v>1072</v>
      </c>
      <c r="K331" t="str">
        <f>tblTeamFixtures[[#This Row],[Team_name]]&amp;"_"&amp;tblTeamFixtures[[#This Row],[GW]]</f>
        <v>TOT_17</v>
      </c>
      <c r="L331">
        <f>IFERROR(INDEX(TEAM_ANALYSIS!$Y:$Y,MATCH($E331,TEAM_ANALYSIS!$A:$A,0)),1)</f>
        <v>0.5</v>
      </c>
      <c r="M331">
        <f>IFERROR(INDEX(TEAM_ANALYSIS!$Z:$Z,MATCH($E331,TEAM_ANALYSIS!$A:$A,0)),1)</f>
        <v>1.088235294117647</v>
      </c>
      <c r="N331">
        <f>IFERROR(INDEX(TEAM_ANALYSIS!$Y:$Y,MATCH($F331,TEAM_ANALYSIS!$A:$A,0)),1)</f>
        <v>0.97058823529411764</v>
      </c>
      <c r="O331">
        <f>IFERROR(INDEX(TEAM_ANALYSIS!$Z:$Z,MATCH($F331,TEAM_ANALYSIS!$A:$A,0)),1)</f>
        <v>1.088235294117647</v>
      </c>
      <c r="P331">
        <f>MAX(0.05,AVERAGE(TEAM_ANALYSIS!$W$2:$W$21)*L331*O331)</f>
        <v>1.15625</v>
      </c>
      <c r="Q331">
        <f>MAX(0.05,AVERAGE(TEAM_ANALYSIS!$W$2:$W$21)*N331*M331)</f>
        <v>2.2444852941176467</v>
      </c>
      <c r="R331" s="23">
        <f>MAX(0.8,MIN(1.2,P331/AVERAGE(TEAM_ANALYSIS!$W$2:$W$21)))</f>
        <v>0.8</v>
      </c>
      <c r="S331">
        <f>MAX(0.8,MIN(1.2,AVERAGE(TEAM_ANALYSIS!$W$2:$W$21)/Q331))</f>
        <v>0.94676494676494694</v>
      </c>
      <c r="T331">
        <f>AVERAGE(R331,S331)</f>
        <v>0.87338247338247355</v>
      </c>
    </row>
    <row r="332" spans="1:20" x14ac:dyDescent="0.25">
      <c r="A332">
        <v>17</v>
      </c>
      <c r="B332" t="b">
        <v>0</v>
      </c>
      <c r="C332" s="6">
        <v>46382.625</v>
      </c>
      <c r="D332" t="b">
        <v>0</v>
      </c>
      <c r="E332">
        <v>13</v>
      </c>
      <c r="F332">
        <v>2</v>
      </c>
      <c r="G332">
        <v>4</v>
      </c>
      <c r="H332" t="s">
        <v>1111</v>
      </c>
      <c r="I332" t="s">
        <v>1092</v>
      </c>
      <c r="J332" t="s">
        <v>1070</v>
      </c>
      <c r="K332" t="str">
        <f>tblTeamFixtures[[#This Row],[Team_name]]&amp;"_"&amp;tblTeamFixtures[[#This Row],[GW]]</f>
        <v>LEE_17</v>
      </c>
      <c r="L332">
        <f>IFERROR(INDEX(TEAM_ANALYSIS!$Y:$Y,MATCH($E332,TEAM_ANALYSIS!$A:$A,0)),1)</f>
        <v>0.8529411764705882</v>
      </c>
      <c r="M332">
        <f>IFERROR(INDEX(TEAM_ANALYSIS!$Z:$Z,MATCH($E332,TEAM_ANALYSIS!$A:$A,0)),1)</f>
        <v>0.73529411764705888</v>
      </c>
      <c r="N332">
        <f>IFERROR(INDEX(TEAM_ANALYSIS!$Y:$Y,MATCH($F332,TEAM_ANALYSIS!$A:$A,0)),1)</f>
        <v>0.5</v>
      </c>
      <c r="O332">
        <f>IFERROR(INDEX(TEAM_ANALYSIS!$Z:$Z,MATCH($F332,TEAM_ANALYSIS!$A:$A,0)),1)</f>
        <v>1.088235294117647</v>
      </c>
      <c r="P332">
        <f>MAX(0.05,AVERAGE(TEAM_ANALYSIS!$W$2:$W$21)*L332*O332)</f>
        <v>1.9724264705882351</v>
      </c>
      <c r="Q332">
        <f>MAX(0.05,AVERAGE(TEAM_ANALYSIS!$W$2:$W$21)*N332*M332)</f>
        <v>0.78125</v>
      </c>
      <c r="R332" s="23">
        <f>MAX(0.8,MIN(1.2,P332/AVERAGE(TEAM_ANALYSIS!$W$2:$W$21)))</f>
        <v>0.92820069204152233</v>
      </c>
      <c r="S332">
        <f>MAX(0.8,MIN(1.2,AVERAGE(TEAM_ANALYSIS!$W$2:$W$21)/Q332))</f>
        <v>1.2</v>
      </c>
      <c r="T332">
        <f>AVERAGE(R332,S332)</f>
        <v>1.0641003460207612</v>
      </c>
    </row>
    <row r="333" spans="1:20" x14ac:dyDescent="0.25">
      <c r="A333">
        <v>17</v>
      </c>
      <c r="B333" t="b">
        <v>0</v>
      </c>
      <c r="C333" s="6">
        <v>46382.625</v>
      </c>
      <c r="D333" t="b">
        <v>0</v>
      </c>
      <c r="E333">
        <v>6</v>
      </c>
      <c r="F333">
        <v>7</v>
      </c>
      <c r="G333">
        <v>2</v>
      </c>
      <c r="H333" t="s">
        <v>1111</v>
      </c>
      <c r="I333" t="s">
        <v>1078</v>
      </c>
      <c r="J333" t="s">
        <v>1080</v>
      </c>
      <c r="K333" t="str">
        <f>tblTeamFixtures[[#This Row],[Team_name]]&amp;"_"&amp;tblTeamFixtures[[#This Row],[GW]]</f>
        <v>CHE_17</v>
      </c>
      <c r="L333">
        <f>IFERROR(INDEX(TEAM_ANALYSIS!$Y:$Y,MATCH($E333,TEAM_ANALYSIS!$A:$A,0)),1)</f>
        <v>1.4411764705882353</v>
      </c>
      <c r="M333">
        <f>IFERROR(INDEX(TEAM_ANALYSIS!$Z:$Z,MATCH($E333,TEAM_ANALYSIS!$A:$A,0)),1)</f>
        <v>1.3235294117647058</v>
      </c>
      <c r="N333">
        <f>IFERROR(INDEX(TEAM_ANALYSIS!$Y:$Y,MATCH($F333,TEAM_ANALYSIS!$A:$A,0)),1)</f>
        <v>0.5</v>
      </c>
      <c r="O333">
        <f>IFERROR(INDEX(TEAM_ANALYSIS!$Z:$Z,MATCH($F333,TEAM_ANALYSIS!$A:$A,0)),1)</f>
        <v>1.088235294117647</v>
      </c>
      <c r="P333">
        <f>MAX(0.05,AVERAGE(TEAM_ANALYSIS!$W$2:$W$21)*L333*O333)</f>
        <v>3.3327205882352939</v>
      </c>
      <c r="Q333">
        <f>MAX(0.05,AVERAGE(TEAM_ANALYSIS!$W$2:$W$21)*N333*M333)</f>
        <v>1.40625</v>
      </c>
      <c r="R333" s="23">
        <f>MAX(0.8,MIN(1.2,P333/AVERAGE(TEAM_ANALYSIS!$W$2:$W$21)))</f>
        <v>1.2</v>
      </c>
      <c r="S333">
        <f>MAX(0.8,MIN(1.2,AVERAGE(TEAM_ANALYSIS!$W$2:$W$21)/Q333))</f>
        <v>1.2</v>
      </c>
      <c r="T333">
        <f>AVERAGE(R333,S333)</f>
        <v>1.2</v>
      </c>
    </row>
    <row r="334" spans="1:20" x14ac:dyDescent="0.25">
      <c r="A334">
        <v>17</v>
      </c>
      <c r="B334" t="b">
        <v>0</v>
      </c>
      <c r="C334" s="6">
        <v>46382.625</v>
      </c>
      <c r="D334" t="b">
        <v>0</v>
      </c>
      <c r="E334">
        <v>1</v>
      </c>
      <c r="F334">
        <v>8</v>
      </c>
      <c r="G334">
        <v>3</v>
      </c>
      <c r="H334" t="s">
        <v>1111</v>
      </c>
      <c r="I334" t="s">
        <v>1068</v>
      </c>
      <c r="J334" t="s">
        <v>1082</v>
      </c>
      <c r="K334" t="str">
        <f>tblTeamFixtures[[#This Row],[Team_name]]&amp;"_"&amp;tblTeamFixtures[[#This Row],[GW]]</f>
        <v>ARS_17</v>
      </c>
      <c r="L334">
        <f>IFERROR(INDEX(TEAM_ANALYSIS!$Y:$Y,MATCH($E334,TEAM_ANALYSIS!$A:$A,0)),1)</f>
        <v>1.2058823529411764</v>
      </c>
      <c r="M334">
        <f>IFERROR(INDEX(TEAM_ANALYSIS!$Z:$Z,MATCH($E334,TEAM_ANALYSIS!$A:$A,0)),1)</f>
        <v>0.61764705882352944</v>
      </c>
      <c r="N334">
        <f>IFERROR(INDEX(TEAM_ANALYSIS!$Y:$Y,MATCH($F334,TEAM_ANALYSIS!$A:$A,0)),1)</f>
        <v>0.97058823529411764</v>
      </c>
      <c r="O334">
        <f>IFERROR(INDEX(TEAM_ANALYSIS!$Z:$Z,MATCH($F334,TEAM_ANALYSIS!$A:$A,0)),1)</f>
        <v>1.4411764705882353</v>
      </c>
      <c r="P334">
        <f>MAX(0.05,AVERAGE(TEAM_ANALYSIS!$W$2:$W$21)*L334*O334)</f>
        <v>3.6930147058823528</v>
      </c>
      <c r="Q334">
        <f>MAX(0.05,AVERAGE(TEAM_ANALYSIS!$W$2:$W$21)*N334*M334)</f>
        <v>1.2738970588235294</v>
      </c>
      <c r="R334" s="23">
        <f>MAX(0.8,MIN(1.2,P334/AVERAGE(TEAM_ANALYSIS!$W$2:$W$21)))</f>
        <v>1.2</v>
      </c>
      <c r="S334">
        <f>MAX(0.8,MIN(1.2,AVERAGE(TEAM_ANALYSIS!$W$2:$W$21)/Q334))</f>
        <v>1.2</v>
      </c>
      <c r="T334">
        <f>AVERAGE(R334,S334)</f>
        <v>1.2</v>
      </c>
    </row>
    <row r="335" spans="1:20" x14ac:dyDescent="0.25">
      <c r="A335">
        <v>17</v>
      </c>
      <c r="B335" t="b">
        <v>0</v>
      </c>
      <c r="C335" s="6">
        <v>46382.625</v>
      </c>
      <c r="D335" t="b">
        <v>0</v>
      </c>
      <c r="E335">
        <v>20</v>
      </c>
      <c r="F335">
        <v>9</v>
      </c>
      <c r="G335">
        <v>3</v>
      </c>
      <c r="H335" t="s">
        <v>1111</v>
      </c>
      <c r="I335" t="s">
        <v>1106</v>
      </c>
      <c r="J335" t="s">
        <v>1084</v>
      </c>
      <c r="K335" t="str">
        <f>tblTeamFixtures[[#This Row],[Team_name]]&amp;"_"&amp;tblTeamFixtures[[#This Row],[GW]]</f>
        <v>SUN_17</v>
      </c>
      <c r="L335">
        <f>IFERROR(INDEX(TEAM_ANALYSIS!$Y:$Y,MATCH($E335,TEAM_ANALYSIS!$A:$A,0)),1)</f>
        <v>0.8529411764705882</v>
      </c>
      <c r="M335">
        <f>IFERROR(INDEX(TEAM_ANALYSIS!$Z:$Z,MATCH($E335,TEAM_ANALYSIS!$A:$A,0)),1)</f>
        <v>0.8529411764705882</v>
      </c>
      <c r="N335">
        <f>IFERROR(INDEX(TEAM_ANALYSIS!$Y:$Y,MATCH($F335,TEAM_ANALYSIS!$A:$A,0)),1)</f>
        <v>1.088235294117647</v>
      </c>
      <c r="O335">
        <f>IFERROR(INDEX(TEAM_ANALYSIS!$Z:$Z,MATCH($F335,TEAM_ANALYSIS!$A:$A,0)),1)</f>
        <v>0.8529411764705882</v>
      </c>
      <c r="P335">
        <f>MAX(0.05,AVERAGE(TEAM_ANALYSIS!$W$2:$W$21)*L335*O335)</f>
        <v>1.5459558823529411</v>
      </c>
      <c r="Q335">
        <f>MAX(0.05,AVERAGE(TEAM_ANALYSIS!$W$2:$W$21)*N335*M335)</f>
        <v>1.9724264705882353</v>
      </c>
      <c r="R335" s="23">
        <f>MAX(0.8,MIN(1.2,P335/AVERAGE(TEAM_ANALYSIS!$W$2:$W$21)))</f>
        <v>0.8</v>
      </c>
      <c r="S335">
        <f>MAX(0.8,MIN(1.2,AVERAGE(TEAM_ANALYSIS!$W$2:$W$21)/Q335))</f>
        <v>1.0773532152842498</v>
      </c>
      <c r="T335">
        <f>AVERAGE(R335,S335)</f>
        <v>0.9386766076421249</v>
      </c>
    </row>
    <row r="336" spans="1:20" x14ac:dyDescent="0.25">
      <c r="A336">
        <v>17</v>
      </c>
      <c r="B336" t="b">
        <v>0</v>
      </c>
      <c r="C336" s="6">
        <v>46382.625</v>
      </c>
      <c r="D336" t="b">
        <v>0</v>
      </c>
      <c r="E336">
        <v>5</v>
      </c>
      <c r="F336">
        <v>10</v>
      </c>
      <c r="G336">
        <v>3</v>
      </c>
      <c r="H336" t="s">
        <v>1111</v>
      </c>
      <c r="I336" t="s">
        <v>1076</v>
      </c>
      <c r="J336" t="s">
        <v>1086</v>
      </c>
      <c r="K336" t="str">
        <f>tblTeamFixtures[[#This Row],[Team_name]]&amp;"_"&amp;tblTeamFixtures[[#This Row],[GW]]</f>
        <v>BHA_17</v>
      </c>
      <c r="L336">
        <f>IFERROR(INDEX(TEAM_ANALYSIS!$Y:$Y,MATCH($E336,TEAM_ANALYSIS!$A:$A,0)),1)</f>
        <v>1.4411764705882353</v>
      </c>
      <c r="M336">
        <f>IFERROR(INDEX(TEAM_ANALYSIS!$Z:$Z,MATCH($E336,TEAM_ANALYSIS!$A:$A,0)),1)</f>
        <v>1.088235294117647</v>
      </c>
      <c r="N336">
        <f>IFERROR(INDEX(TEAM_ANALYSIS!$Y:$Y,MATCH($F336,TEAM_ANALYSIS!$A:$A,0)),1)</f>
        <v>0.97058823529411764</v>
      </c>
      <c r="O336">
        <f>IFERROR(INDEX(TEAM_ANALYSIS!$Z:$Z,MATCH($F336,TEAM_ANALYSIS!$A:$A,0)),1)</f>
        <v>1.3235294117647058</v>
      </c>
      <c r="P336">
        <f>MAX(0.05,AVERAGE(TEAM_ANALYSIS!$W$2:$W$21)*L336*O336)</f>
        <v>4.0533088235294112</v>
      </c>
      <c r="Q336">
        <f>MAX(0.05,AVERAGE(TEAM_ANALYSIS!$W$2:$W$21)*N336*M336)</f>
        <v>2.2444852941176467</v>
      </c>
      <c r="R336" s="23">
        <f>MAX(0.8,MIN(1.2,P336/AVERAGE(TEAM_ANALYSIS!$W$2:$W$21)))</f>
        <v>1.2</v>
      </c>
      <c r="S336">
        <f>MAX(0.8,MIN(1.2,AVERAGE(TEAM_ANALYSIS!$W$2:$W$21)/Q336))</f>
        <v>0.94676494676494694</v>
      </c>
      <c r="T336">
        <f>AVERAGE(R336,S336)</f>
        <v>1.0733824733824735</v>
      </c>
    </row>
    <row r="337" spans="1:20" x14ac:dyDescent="0.25">
      <c r="A337">
        <v>17</v>
      </c>
      <c r="B337" t="b">
        <v>0</v>
      </c>
      <c r="C337" s="6">
        <v>46382.625</v>
      </c>
      <c r="D337" t="b">
        <v>0</v>
      </c>
      <c r="E337">
        <v>14</v>
      </c>
      <c r="F337">
        <v>11</v>
      </c>
      <c r="G337">
        <v>2</v>
      </c>
      <c r="H337" t="s">
        <v>1111</v>
      </c>
      <c r="I337" t="s">
        <v>1094</v>
      </c>
      <c r="J337" t="s">
        <v>1088</v>
      </c>
      <c r="K337" t="str">
        <f>tblTeamFixtures[[#This Row],[Team_name]]&amp;"_"&amp;tblTeamFixtures[[#This Row],[GW]]</f>
        <v>LIV_17</v>
      </c>
      <c r="L337">
        <f>IFERROR(INDEX(TEAM_ANALYSIS!$Y:$Y,MATCH($E337,TEAM_ANALYSIS!$A:$A,0)),1)</f>
        <v>1.2058823529411764</v>
      </c>
      <c r="M337">
        <f>IFERROR(INDEX(TEAM_ANALYSIS!$Z:$Z,MATCH($E337,TEAM_ANALYSIS!$A:$A,0)),1)</f>
        <v>0.97058823529411764</v>
      </c>
      <c r="N337">
        <f>IFERROR(INDEX(TEAM_ANALYSIS!$Y:$Y,MATCH($F337,TEAM_ANALYSIS!$A:$A,0)),1)</f>
        <v>0.8529411764705882</v>
      </c>
      <c r="O337">
        <f>IFERROR(INDEX(TEAM_ANALYSIS!$Z:$Z,MATCH($F337,TEAM_ANALYSIS!$A:$A,0)),1)</f>
        <v>0.5</v>
      </c>
      <c r="P337">
        <f>MAX(0.05,AVERAGE(TEAM_ANALYSIS!$W$2:$W$21)*L337*O337)</f>
        <v>1.28125</v>
      </c>
      <c r="Q337">
        <f>MAX(0.05,AVERAGE(TEAM_ANALYSIS!$W$2:$W$21)*N337*M337)</f>
        <v>1.7591911764705883</v>
      </c>
      <c r="R337" s="23">
        <f>MAX(0.8,MIN(1.2,P337/AVERAGE(TEAM_ANALYSIS!$W$2:$W$21)))</f>
        <v>0.8</v>
      </c>
      <c r="S337">
        <f>MAX(0.8,MIN(1.2,AVERAGE(TEAM_ANALYSIS!$W$2:$W$21)/Q337))</f>
        <v>1.2</v>
      </c>
      <c r="T337">
        <f>AVERAGE(R337,S337)</f>
        <v>1</v>
      </c>
    </row>
    <row r="338" spans="1:20" x14ac:dyDescent="0.25">
      <c r="A338">
        <v>17</v>
      </c>
      <c r="B338" t="b">
        <v>0</v>
      </c>
      <c r="C338" s="6">
        <v>46382.625</v>
      </c>
      <c r="D338" t="b">
        <v>0</v>
      </c>
      <c r="E338">
        <v>4</v>
      </c>
      <c r="F338">
        <v>12</v>
      </c>
      <c r="G338">
        <v>2</v>
      </c>
      <c r="H338" t="s">
        <v>1111</v>
      </c>
      <c r="I338" t="s">
        <v>1074</v>
      </c>
      <c r="J338" t="s">
        <v>1090</v>
      </c>
      <c r="K338" t="str">
        <f>tblTeamFixtures[[#This Row],[Team_name]]&amp;"_"&amp;tblTeamFixtures[[#This Row],[GW]]</f>
        <v>BRE_17</v>
      </c>
      <c r="L338">
        <f>IFERROR(INDEX(TEAM_ANALYSIS!$Y:$Y,MATCH($E338,TEAM_ANALYSIS!$A:$A,0)),1)</f>
        <v>1.088235294117647</v>
      </c>
      <c r="M338">
        <f>IFERROR(INDEX(TEAM_ANALYSIS!$Z:$Z,MATCH($E338,TEAM_ANALYSIS!$A:$A,0)),1)</f>
        <v>0.73529411764705888</v>
      </c>
      <c r="N338">
        <f>IFERROR(INDEX(TEAM_ANALYSIS!$Y:$Y,MATCH($F338,TEAM_ANALYSIS!$A:$A,0)),1)</f>
        <v>0.97058823529411764</v>
      </c>
      <c r="O338">
        <f>IFERROR(INDEX(TEAM_ANALYSIS!$Z:$Z,MATCH($F338,TEAM_ANALYSIS!$A:$A,0)),1)</f>
        <v>1.4411764705882353</v>
      </c>
      <c r="P338">
        <f>MAX(0.05,AVERAGE(TEAM_ANALYSIS!$W$2:$W$21)*L338*O338)</f>
        <v>3.3327205882352939</v>
      </c>
      <c r="Q338">
        <f>MAX(0.05,AVERAGE(TEAM_ANALYSIS!$W$2:$W$21)*N338*M338)</f>
        <v>1.5165441176470589</v>
      </c>
      <c r="R338" s="23">
        <f>MAX(0.8,MIN(1.2,P338/AVERAGE(TEAM_ANALYSIS!$W$2:$W$21)))</f>
        <v>1.2</v>
      </c>
      <c r="S338">
        <f>MAX(0.8,MIN(1.2,AVERAGE(TEAM_ANALYSIS!$W$2:$W$21)/Q338))</f>
        <v>1.2</v>
      </c>
      <c r="T338">
        <f>AVERAGE(R338,S338)</f>
        <v>1.2</v>
      </c>
    </row>
    <row r="339" spans="1:20" x14ac:dyDescent="0.25">
      <c r="A339">
        <v>17</v>
      </c>
      <c r="B339" t="b">
        <v>0</v>
      </c>
      <c r="C339" s="6">
        <v>46382.625</v>
      </c>
      <c r="D339" t="b">
        <v>0</v>
      </c>
      <c r="E339">
        <v>18</v>
      </c>
      <c r="F339">
        <v>16</v>
      </c>
      <c r="G339">
        <v>4</v>
      </c>
      <c r="H339" t="s">
        <v>1111</v>
      </c>
      <c r="I339" t="s">
        <v>1102</v>
      </c>
      <c r="J339" t="s">
        <v>1098</v>
      </c>
      <c r="K339" t="str">
        <f>tblTeamFixtures[[#This Row],[Team_name]]&amp;"_"&amp;tblTeamFixtures[[#This Row],[GW]]</f>
        <v>NFO_17</v>
      </c>
      <c r="L339">
        <f>IFERROR(INDEX(TEAM_ANALYSIS!$Y:$Y,MATCH($E339,TEAM_ANALYSIS!$A:$A,0)),1)</f>
        <v>0.73529411764705888</v>
      </c>
      <c r="M339">
        <f>IFERROR(INDEX(TEAM_ANALYSIS!$Z:$Z,MATCH($E339,TEAM_ANALYSIS!$A:$A,0)),1)</f>
        <v>0.8529411764705882</v>
      </c>
      <c r="N339">
        <f>IFERROR(INDEX(TEAM_ANALYSIS!$Y:$Y,MATCH($F339,TEAM_ANALYSIS!$A:$A,0)),1)</f>
        <v>1.3235294117647058</v>
      </c>
      <c r="O339">
        <f>IFERROR(INDEX(TEAM_ANALYSIS!$Z:$Z,MATCH($F339,TEAM_ANALYSIS!$A:$A,0)),1)</f>
        <v>1.2058823529411764</v>
      </c>
      <c r="P339">
        <f>MAX(0.05,AVERAGE(TEAM_ANALYSIS!$W$2:$W$21)*L339*O339)</f>
        <v>1.8841911764705881</v>
      </c>
      <c r="Q339">
        <f>MAX(0.05,AVERAGE(TEAM_ANALYSIS!$W$2:$W$21)*N339*M339)</f>
        <v>2.3988970588235294</v>
      </c>
      <c r="R339" s="23">
        <f>MAX(0.8,MIN(1.2,P339/AVERAGE(TEAM_ANALYSIS!$W$2:$W$21)))</f>
        <v>0.88667820069204151</v>
      </c>
      <c r="S339">
        <f>MAX(0.8,MIN(1.2,AVERAGE(TEAM_ANALYSIS!$W$2:$W$21)/Q339))</f>
        <v>0.885823754789272</v>
      </c>
      <c r="T339">
        <f>AVERAGE(R339,S339)</f>
        <v>0.88625097774065675</v>
      </c>
    </row>
    <row r="340" spans="1:20" x14ac:dyDescent="0.25">
      <c r="A340">
        <v>17</v>
      </c>
      <c r="B340" t="b">
        <v>0</v>
      </c>
      <c r="C340" s="6">
        <v>46382.625</v>
      </c>
      <c r="D340" t="b">
        <v>0</v>
      </c>
      <c r="E340">
        <v>15</v>
      </c>
      <c r="F340">
        <v>17</v>
      </c>
      <c r="G340">
        <v>3</v>
      </c>
      <c r="H340" t="s">
        <v>1111</v>
      </c>
      <c r="I340" t="s">
        <v>1096</v>
      </c>
      <c r="J340" t="s">
        <v>1100</v>
      </c>
      <c r="K340" t="str">
        <f>tblTeamFixtures[[#This Row],[Team_name]]&amp;"_"&amp;tblTeamFixtures[[#This Row],[GW]]</f>
        <v>MCI_17</v>
      </c>
      <c r="L340">
        <f>IFERROR(INDEX(TEAM_ANALYSIS!$Y:$Y,MATCH($E340,TEAM_ANALYSIS!$A:$A,0)),1)</f>
        <v>1.3235294117647058</v>
      </c>
      <c r="M340">
        <f>IFERROR(INDEX(TEAM_ANALYSIS!$Z:$Z,MATCH($E340,TEAM_ANALYSIS!$A:$A,0)),1)</f>
        <v>0.73529411764705888</v>
      </c>
      <c r="N340">
        <f>IFERROR(INDEX(TEAM_ANALYSIS!$Y:$Y,MATCH($F340,TEAM_ANALYSIS!$A:$A,0)),1)</f>
        <v>1.2058823529411764</v>
      </c>
      <c r="O340">
        <f>IFERROR(INDEX(TEAM_ANALYSIS!$Z:$Z,MATCH($F340,TEAM_ANALYSIS!$A:$A,0)),1)</f>
        <v>0.97058823529411764</v>
      </c>
      <c r="P340">
        <f>MAX(0.05,AVERAGE(TEAM_ANALYSIS!$W$2:$W$21)*L340*O340)</f>
        <v>2.7297794117647061</v>
      </c>
      <c r="Q340">
        <f>MAX(0.05,AVERAGE(TEAM_ANALYSIS!$W$2:$W$21)*N340*M340)</f>
        <v>1.8841911764705883</v>
      </c>
      <c r="R340" s="23">
        <f>MAX(0.8,MIN(1.2,P340/AVERAGE(TEAM_ANALYSIS!$W$2:$W$21)))</f>
        <v>1.2</v>
      </c>
      <c r="S340">
        <f>MAX(0.8,MIN(1.2,AVERAGE(TEAM_ANALYSIS!$W$2:$W$21)/Q340))</f>
        <v>1.1278048780487804</v>
      </c>
      <c r="T340">
        <f>AVERAGE(R340,S340)</f>
        <v>1.1639024390243902</v>
      </c>
    </row>
    <row r="341" spans="1:20" x14ac:dyDescent="0.25">
      <c r="A341">
        <v>17</v>
      </c>
      <c r="B341" t="b">
        <v>0</v>
      </c>
      <c r="C341" s="6">
        <v>46382.625</v>
      </c>
      <c r="D341" t="b">
        <v>0</v>
      </c>
      <c r="E341">
        <v>3</v>
      </c>
      <c r="F341">
        <v>19</v>
      </c>
      <c r="G341">
        <v>3</v>
      </c>
      <c r="H341" t="s">
        <v>1111</v>
      </c>
      <c r="I341" t="s">
        <v>1072</v>
      </c>
      <c r="J341" t="s">
        <v>1104</v>
      </c>
      <c r="K341" t="str">
        <f>tblTeamFixtures[[#This Row],[Team_name]]&amp;"_"&amp;tblTeamFixtures[[#This Row],[GW]]</f>
        <v>BOU_17</v>
      </c>
      <c r="L341">
        <f>IFERROR(INDEX(TEAM_ANALYSIS!$Y:$Y,MATCH($E341,TEAM_ANALYSIS!$A:$A,0)),1)</f>
        <v>0.97058823529411764</v>
      </c>
      <c r="M341">
        <f>IFERROR(INDEX(TEAM_ANALYSIS!$Z:$Z,MATCH($E341,TEAM_ANALYSIS!$A:$A,0)),1)</f>
        <v>1.088235294117647</v>
      </c>
      <c r="N341">
        <f>IFERROR(INDEX(TEAM_ANALYSIS!$Y:$Y,MATCH($F341,TEAM_ANALYSIS!$A:$A,0)),1)</f>
        <v>0.5</v>
      </c>
      <c r="O341">
        <f>IFERROR(INDEX(TEAM_ANALYSIS!$Z:$Z,MATCH($F341,TEAM_ANALYSIS!$A:$A,0)),1)</f>
        <v>1.088235294117647</v>
      </c>
      <c r="P341">
        <f>MAX(0.05,AVERAGE(TEAM_ANALYSIS!$W$2:$W$21)*L341*O341)</f>
        <v>2.2444852941176467</v>
      </c>
      <c r="Q341">
        <f>MAX(0.05,AVERAGE(TEAM_ANALYSIS!$W$2:$W$21)*N341*M341)</f>
        <v>1.15625</v>
      </c>
      <c r="R341" s="23">
        <f>MAX(0.8,MIN(1.2,P341/AVERAGE(TEAM_ANALYSIS!$W$2:$W$21)))</f>
        <v>1.0562283737024221</v>
      </c>
      <c r="S341">
        <f>MAX(0.8,MIN(1.2,AVERAGE(TEAM_ANALYSIS!$W$2:$W$21)/Q341))</f>
        <v>1.2</v>
      </c>
      <c r="T341">
        <f>AVERAGE(R341,S341)</f>
        <v>1.128114186851211</v>
      </c>
    </row>
    <row r="342" spans="1:20" x14ac:dyDescent="0.25">
      <c r="A342">
        <v>18</v>
      </c>
      <c r="B342" t="b">
        <v>0</v>
      </c>
      <c r="C342" s="6">
        <v>46386.833333333336</v>
      </c>
      <c r="D342" t="b">
        <v>0</v>
      </c>
      <c r="E342">
        <v>2</v>
      </c>
      <c r="F342">
        <v>14</v>
      </c>
      <c r="G342">
        <v>4</v>
      </c>
      <c r="H342" t="s">
        <v>1110</v>
      </c>
      <c r="I342" t="s">
        <v>1070</v>
      </c>
      <c r="J342" t="s">
        <v>1094</v>
      </c>
      <c r="K342" t="str">
        <f>tblTeamFixtures[[#This Row],[Team_name]]&amp;"_"&amp;tblTeamFixtures[[#This Row],[GW]]</f>
        <v>AVL_18</v>
      </c>
      <c r="L342">
        <f>IFERROR(INDEX(TEAM_ANALYSIS!$Y:$Y,MATCH($E342,TEAM_ANALYSIS!$A:$A,0)),1)</f>
        <v>0.5</v>
      </c>
      <c r="M342">
        <f>IFERROR(INDEX(TEAM_ANALYSIS!$Z:$Z,MATCH($E342,TEAM_ANALYSIS!$A:$A,0)),1)</f>
        <v>1.088235294117647</v>
      </c>
      <c r="N342">
        <f>IFERROR(INDEX(TEAM_ANALYSIS!$Y:$Y,MATCH($F342,TEAM_ANALYSIS!$A:$A,0)),1)</f>
        <v>1.2058823529411764</v>
      </c>
      <c r="O342">
        <f>IFERROR(INDEX(TEAM_ANALYSIS!$Z:$Z,MATCH($F342,TEAM_ANALYSIS!$A:$A,0)),1)</f>
        <v>0.97058823529411764</v>
      </c>
      <c r="P342">
        <f>MAX(0.05,AVERAGE(TEAM_ANALYSIS!$W$2:$W$21)*L342*O342)</f>
        <v>1.03125</v>
      </c>
      <c r="Q342">
        <f>MAX(0.05,AVERAGE(TEAM_ANALYSIS!$W$2:$W$21)*N342*M342)</f>
        <v>2.7886029411764706</v>
      </c>
      <c r="R342" s="23">
        <f>MAX(0.8,MIN(1.2,P342/AVERAGE(TEAM_ANALYSIS!$W$2:$W$21)))</f>
        <v>0.8</v>
      </c>
      <c r="S342">
        <f>MAX(0.8,MIN(1.2,AVERAGE(TEAM_ANALYSIS!$W$2:$W$21)/Q342))</f>
        <v>0.8</v>
      </c>
      <c r="T342">
        <f>AVERAGE(R342,S342)</f>
        <v>0.8</v>
      </c>
    </row>
    <row r="343" spans="1:20" x14ac:dyDescent="0.25">
      <c r="A343">
        <v>18</v>
      </c>
      <c r="B343" t="b">
        <v>0</v>
      </c>
      <c r="C343" s="6">
        <v>46386.833333333336</v>
      </c>
      <c r="D343" t="b">
        <v>0</v>
      </c>
      <c r="E343">
        <v>7</v>
      </c>
      <c r="F343">
        <v>4</v>
      </c>
      <c r="G343">
        <v>3</v>
      </c>
      <c r="H343" t="s">
        <v>1110</v>
      </c>
      <c r="I343" t="s">
        <v>1080</v>
      </c>
      <c r="J343" t="s">
        <v>1074</v>
      </c>
      <c r="K343" t="str">
        <f>tblTeamFixtures[[#This Row],[Team_name]]&amp;"_"&amp;tblTeamFixtures[[#This Row],[GW]]</f>
        <v>COV_18</v>
      </c>
      <c r="L343">
        <f>IFERROR(INDEX(TEAM_ANALYSIS!$Y:$Y,MATCH($E343,TEAM_ANALYSIS!$A:$A,0)),1)</f>
        <v>0.5</v>
      </c>
      <c r="M343">
        <f>IFERROR(INDEX(TEAM_ANALYSIS!$Z:$Z,MATCH($E343,TEAM_ANALYSIS!$A:$A,0)),1)</f>
        <v>1.088235294117647</v>
      </c>
      <c r="N343">
        <f>IFERROR(INDEX(TEAM_ANALYSIS!$Y:$Y,MATCH($F343,TEAM_ANALYSIS!$A:$A,0)),1)</f>
        <v>1.088235294117647</v>
      </c>
      <c r="O343">
        <f>IFERROR(INDEX(TEAM_ANALYSIS!$Z:$Z,MATCH($F343,TEAM_ANALYSIS!$A:$A,0)),1)</f>
        <v>0.73529411764705888</v>
      </c>
      <c r="P343">
        <f>MAX(0.05,AVERAGE(TEAM_ANALYSIS!$W$2:$W$21)*L343*O343)</f>
        <v>0.78125</v>
      </c>
      <c r="Q343">
        <f>MAX(0.05,AVERAGE(TEAM_ANALYSIS!$W$2:$W$21)*N343*M343)</f>
        <v>2.5165441176470584</v>
      </c>
      <c r="R343" s="23">
        <f>MAX(0.8,MIN(1.2,P343/AVERAGE(TEAM_ANALYSIS!$W$2:$W$21)))</f>
        <v>0.8</v>
      </c>
      <c r="S343">
        <f>MAX(0.8,MIN(1.2,AVERAGE(TEAM_ANALYSIS!$W$2:$W$21)/Q343))</f>
        <v>0.84441197954711478</v>
      </c>
      <c r="T343">
        <f>AVERAGE(R343,S343)</f>
        <v>0.82220598977355741</v>
      </c>
    </row>
    <row r="344" spans="1:20" x14ac:dyDescent="0.25">
      <c r="A344">
        <v>18</v>
      </c>
      <c r="B344" t="b">
        <v>0</v>
      </c>
      <c r="C344" s="6">
        <v>46386.833333333336</v>
      </c>
      <c r="D344" t="b">
        <v>0</v>
      </c>
      <c r="E344">
        <v>8</v>
      </c>
      <c r="F344">
        <v>3</v>
      </c>
      <c r="G344">
        <v>3</v>
      </c>
      <c r="H344" t="s">
        <v>1110</v>
      </c>
      <c r="I344" t="s">
        <v>1082</v>
      </c>
      <c r="J344" t="s">
        <v>1072</v>
      </c>
      <c r="K344" t="str">
        <f>tblTeamFixtures[[#This Row],[Team_name]]&amp;"_"&amp;tblTeamFixtures[[#This Row],[GW]]</f>
        <v>CRY_18</v>
      </c>
      <c r="L344">
        <f>IFERROR(INDEX(TEAM_ANALYSIS!$Y:$Y,MATCH($E344,TEAM_ANALYSIS!$A:$A,0)),1)</f>
        <v>0.97058823529411764</v>
      </c>
      <c r="M344">
        <f>IFERROR(INDEX(TEAM_ANALYSIS!$Z:$Z,MATCH($E344,TEAM_ANALYSIS!$A:$A,0)),1)</f>
        <v>1.4411764705882353</v>
      </c>
      <c r="N344">
        <f>IFERROR(INDEX(TEAM_ANALYSIS!$Y:$Y,MATCH($F344,TEAM_ANALYSIS!$A:$A,0)),1)</f>
        <v>0.97058823529411764</v>
      </c>
      <c r="O344">
        <f>IFERROR(INDEX(TEAM_ANALYSIS!$Z:$Z,MATCH($F344,TEAM_ANALYSIS!$A:$A,0)),1)</f>
        <v>1.088235294117647</v>
      </c>
      <c r="P344">
        <f>MAX(0.05,AVERAGE(TEAM_ANALYSIS!$W$2:$W$21)*L344*O344)</f>
        <v>2.2444852941176467</v>
      </c>
      <c r="Q344">
        <f>MAX(0.05,AVERAGE(TEAM_ANALYSIS!$W$2:$W$21)*N344*M344)</f>
        <v>2.9724264705882351</v>
      </c>
      <c r="R344" s="23">
        <f>MAX(0.8,MIN(1.2,P344/AVERAGE(TEAM_ANALYSIS!$W$2:$W$21)))</f>
        <v>1.0562283737024221</v>
      </c>
      <c r="S344">
        <f>MAX(0.8,MIN(1.2,AVERAGE(TEAM_ANALYSIS!$W$2:$W$21)/Q344))</f>
        <v>0.8</v>
      </c>
      <c r="T344">
        <f>AVERAGE(R344,S344)</f>
        <v>0.92811418685121105</v>
      </c>
    </row>
    <row r="345" spans="1:20" x14ac:dyDescent="0.25">
      <c r="A345">
        <v>18</v>
      </c>
      <c r="B345" t="b">
        <v>0</v>
      </c>
      <c r="C345" s="6">
        <v>46386.833333333336</v>
      </c>
      <c r="D345" t="b">
        <v>0</v>
      </c>
      <c r="E345">
        <v>9</v>
      </c>
      <c r="F345">
        <v>15</v>
      </c>
      <c r="G345">
        <v>4</v>
      </c>
      <c r="H345" t="s">
        <v>1110</v>
      </c>
      <c r="I345" t="s">
        <v>1084</v>
      </c>
      <c r="J345" t="s">
        <v>1096</v>
      </c>
      <c r="K345" t="str">
        <f>tblTeamFixtures[[#This Row],[Team_name]]&amp;"_"&amp;tblTeamFixtures[[#This Row],[GW]]</f>
        <v>EVE_18</v>
      </c>
      <c r="L345">
        <f>IFERROR(INDEX(TEAM_ANALYSIS!$Y:$Y,MATCH($E345,TEAM_ANALYSIS!$A:$A,0)),1)</f>
        <v>1.088235294117647</v>
      </c>
      <c r="M345">
        <f>IFERROR(INDEX(TEAM_ANALYSIS!$Z:$Z,MATCH($E345,TEAM_ANALYSIS!$A:$A,0)),1)</f>
        <v>0.8529411764705882</v>
      </c>
      <c r="N345">
        <f>IFERROR(INDEX(TEAM_ANALYSIS!$Y:$Y,MATCH($F345,TEAM_ANALYSIS!$A:$A,0)),1)</f>
        <v>1.3235294117647058</v>
      </c>
      <c r="O345">
        <f>IFERROR(INDEX(TEAM_ANALYSIS!$Z:$Z,MATCH($F345,TEAM_ANALYSIS!$A:$A,0)),1)</f>
        <v>0.73529411764705888</v>
      </c>
      <c r="P345">
        <f>MAX(0.05,AVERAGE(TEAM_ANALYSIS!$W$2:$W$21)*L345*O345)</f>
        <v>1.7003676470588236</v>
      </c>
      <c r="Q345">
        <f>MAX(0.05,AVERAGE(TEAM_ANALYSIS!$W$2:$W$21)*N345*M345)</f>
        <v>2.3988970588235294</v>
      </c>
      <c r="R345" s="23">
        <f>MAX(0.8,MIN(1.2,P345/AVERAGE(TEAM_ANALYSIS!$W$2:$W$21)))</f>
        <v>0.80017301038062283</v>
      </c>
      <c r="S345">
        <f>MAX(0.8,MIN(1.2,AVERAGE(TEAM_ANALYSIS!$W$2:$W$21)/Q345))</f>
        <v>0.885823754789272</v>
      </c>
      <c r="T345">
        <f>AVERAGE(R345,S345)</f>
        <v>0.84299838258494741</v>
      </c>
    </row>
    <row r="346" spans="1:20" x14ac:dyDescent="0.25">
      <c r="A346">
        <v>18</v>
      </c>
      <c r="B346" t="b">
        <v>0</v>
      </c>
      <c r="C346" s="6">
        <v>46386.833333333336</v>
      </c>
      <c r="D346" t="b">
        <v>0</v>
      </c>
      <c r="E346">
        <v>10</v>
      </c>
      <c r="F346">
        <v>1</v>
      </c>
      <c r="G346">
        <v>4</v>
      </c>
      <c r="H346" t="s">
        <v>1110</v>
      </c>
      <c r="I346" t="s">
        <v>1086</v>
      </c>
      <c r="J346" t="s">
        <v>1068</v>
      </c>
      <c r="K346" t="str">
        <f>tblTeamFixtures[[#This Row],[Team_name]]&amp;"_"&amp;tblTeamFixtures[[#This Row],[GW]]</f>
        <v>FUL_18</v>
      </c>
      <c r="L346">
        <f>IFERROR(INDEX(TEAM_ANALYSIS!$Y:$Y,MATCH($E346,TEAM_ANALYSIS!$A:$A,0)),1)</f>
        <v>0.97058823529411764</v>
      </c>
      <c r="M346">
        <f>IFERROR(INDEX(TEAM_ANALYSIS!$Z:$Z,MATCH($E346,TEAM_ANALYSIS!$A:$A,0)),1)</f>
        <v>1.3235294117647058</v>
      </c>
      <c r="N346">
        <f>IFERROR(INDEX(TEAM_ANALYSIS!$Y:$Y,MATCH($F346,TEAM_ANALYSIS!$A:$A,0)),1)</f>
        <v>1.2058823529411764</v>
      </c>
      <c r="O346">
        <f>IFERROR(INDEX(TEAM_ANALYSIS!$Z:$Z,MATCH($F346,TEAM_ANALYSIS!$A:$A,0)),1)</f>
        <v>0.61764705882352944</v>
      </c>
      <c r="P346">
        <f>MAX(0.05,AVERAGE(TEAM_ANALYSIS!$W$2:$W$21)*L346*O346)</f>
        <v>1.2738970588235294</v>
      </c>
      <c r="Q346">
        <f>MAX(0.05,AVERAGE(TEAM_ANALYSIS!$W$2:$W$21)*N346*M346)</f>
        <v>3.3915441176470589</v>
      </c>
      <c r="R346" s="23">
        <f>MAX(0.8,MIN(1.2,P346/AVERAGE(TEAM_ANALYSIS!$W$2:$W$21)))</f>
        <v>0.8</v>
      </c>
      <c r="S346">
        <f>MAX(0.8,MIN(1.2,AVERAGE(TEAM_ANALYSIS!$W$2:$W$21)/Q346))</f>
        <v>0.8</v>
      </c>
      <c r="T346">
        <f>AVERAGE(R346,S346)</f>
        <v>0.8</v>
      </c>
    </row>
    <row r="347" spans="1:20" x14ac:dyDescent="0.25">
      <c r="A347">
        <v>18</v>
      </c>
      <c r="B347" t="b">
        <v>0</v>
      </c>
      <c r="C347" s="6">
        <v>46386.833333333336</v>
      </c>
      <c r="D347" t="b">
        <v>0</v>
      </c>
      <c r="E347">
        <v>11</v>
      </c>
      <c r="F347">
        <v>13</v>
      </c>
      <c r="G347">
        <v>2</v>
      </c>
      <c r="H347" t="s">
        <v>1110</v>
      </c>
      <c r="I347" t="s">
        <v>1088</v>
      </c>
      <c r="J347" t="s">
        <v>1092</v>
      </c>
      <c r="K347" t="str">
        <f>tblTeamFixtures[[#This Row],[Team_name]]&amp;"_"&amp;tblTeamFixtures[[#This Row],[GW]]</f>
        <v>HUL_18</v>
      </c>
      <c r="L347">
        <f>IFERROR(INDEX(TEAM_ANALYSIS!$Y:$Y,MATCH($E347,TEAM_ANALYSIS!$A:$A,0)),1)</f>
        <v>0.8529411764705882</v>
      </c>
      <c r="M347">
        <f>IFERROR(INDEX(TEAM_ANALYSIS!$Z:$Z,MATCH($E347,TEAM_ANALYSIS!$A:$A,0)),1)</f>
        <v>0.5</v>
      </c>
      <c r="N347">
        <f>IFERROR(INDEX(TEAM_ANALYSIS!$Y:$Y,MATCH($F347,TEAM_ANALYSIS!$A:$A,0)),1)</f>
        <v>0.8529411764705882</v>
      </c>
      <c r="O347">
        <f>IFERROR(INDEX(TEAM_ANALYSIS!$Z:$Z,MATCH($F347,TEAM_ANALYSIS!$A:$A,0)),1)</f>
        <v>0.73529411764705888</v>
      </c>
      <c r="P347">
        <f>MAX(0.05,AVERAGE(TEAM_ANALYSIS!$W$2:$W$21)*L347*O347)</f>
        <v>1.3327205882352942</v>
      </c>
      <c r="Q347">
        <f>MAX(0.05,AVERAGE(TEAM_ANALYSIS!$W$2:$W$21)*N347*M347)</f>
        <v>0.90625</v>
      </c>
      <c r="R347" s="23">
        <f>MAX(0.8,MIN(1.2,P347/AVERAGE(TEAM_ANALYSIS!$W$2:$W$21)))</f>
        <v>0.8</v>
      </c>
      <c r="S347">
        <f>MAX(0.8,MIN(1.2,AVERAGE(TEAM_ANALYSIS!$W$2:$W$21)/Q347))</f>
        <v>1.2</v>
      </c>
      <c r="T347">
        <f>AVERAGE(R347,S347)</f>
        <v>1</v>
      </c>
    </row>
    <row r="348" spans="1:20" x14ac:dyDescent="0.25">
      <c r="A348">
        <v>18</v>
      </c>
      <c r="B348" t="b">
        <v>0</v>
      </c>
      <c r="C348" s="6">
        <v>46386.833333333336</v>
      </c>
      <c r="D348" t="b">
        <v>0</v>
      </c>
      <c r="E348">
        <v>12</v>
      </c>
      <c r="F348">
        <v>6</v>
      </c>
      <c r="G348">
        <v>4</v>
      </c>
      <c r="H348" t="s">
        <v>1110</v>
      </c>
      <c r="I348" t="s">
        <v>1090</v>
      </c>
      <c r="J348" t="s">
        <v>1078</v>
      </c>
      <c r="K348" t="str">
        <f>tblTeamFixtures[[#This Row],[Team_name]]&amp;"_"&amp;tblTeamFixtures[[#This Row],[GW]]</f>
        <v>IPS_18</v>
      </c>
      <c r="L348">
        <f>IFERROR(INDEX(TEAM_ANALYSIS!$Y:$Y,MATCH($E348,TEAM_ANALYSIS!$A:$A,0)),1)</f>
        <v>0.97058823529411764</v>
      </c>
      <c r="M348">
        <f>IFERROR(INDEX(TEAM_ANALYSIS!$Z:$Z,MATCH($E348,TEAM_ANALYSIS!$A:$A,0)),1)</f>
        <v>1.4411764705882353</v>
      </c>
      <c r="N348">
        <f>IFERROR(INDEX(TEAM_ANALYSIS!$Y:$Y,MATCH($F348,TEAM_ANALYSIS!$A:$A,0)),1)</f>
        <v>1.4411764705882353</v>
      </c>
      <c r="O348">
        <f>IFERROR(INDEX(TEAM_ANALYSIS!$Z:$Z,MATCH($F348,TEAM_ANALYSIS!$A:$A,0)),1)</f>
        <v>1.3235294117647058</v>
      </c>
      <c r="P348">
        <f>MAX(0.05,AVERAGE(TEAM_ANALYSIS!$W$2:$W$21)*L348*O348)</f>
        <v>2.7297794117647056</v>
      </c>
      <c r="Q348">
        <f>MAX(0.05,AVERAGE(TEAM_ANALYSIS!$W$2:$W$21)*N348*M348)</f>
        <v>4.4136029411764701</v>
      </c>
      <c r="R348" s="23">
        <f>MAX(0.8,MIN(1.2,P348/AVERAGE(TEAM_ANALYSIS!$W$2:$W$21)))</f>
        <v>1.2</v>
      </c>
      <c r="S348">
        <f>MAX(0.8,MIN(1.2,AVERAGE(TEAM_ANALYSIS!$W$2:$W$21)/Q348))</f>
        <v>0.8</v>
      </c>
      <c r="T348">
        <f>AVERAGE(R348,S348)</f>
        <v>1</v>
      </c>
    </row>
    <row r="349" spans="1:20" x14ac:dyDescent="0.25">
      <c r="A349">
        <v>18</v>
      </c>
      <c r="B349" t="b">
        <v>0</v>
      </c>
      <c r="C349" s="6">
        <v>46386.833333333336</v>
      </c>
      <c r="D349" t="b">
        <v>0</v>
      </c>
      <c r="E349">
        <v>16</v>
      </c>
      <c r="F349">
        <v>20</v>
      </c>
      <c r="G349">
        <v>2</v>
      </c>
      <c r="H349" t="s">
        <v>1110</v>
      </c>
      <c r="I349" t="s">
        <v>1098</v>
      </c>
      <c r="J349" t="s">
        <v>1106</v>
      </c>
      <c r="K349" t="str">
        <f>tblTeamFixtures[[#This Row],[Team_name]]&amp;"_"&amp;tblTeamFixtures[[#This Row],[GW]]</f>
        <v>MUN_18</v>
      </c>
      <c r="L349">
        <f>IFERROR(INDEX(TEAM_ANALYSIS!$Y:$Y,MATCH($E349,TEAM_ANALYSIS!$A:$A,0)),1)</f>
        <v>1.3235294117647058</v>
      </c>
      <c r="M349">
        <f>IFERROR(INDEX(TEAM_ANALYSIS!$Z:$Z,MATCH($E349,TEAM_ANALYSIS!$A:$A,0)),1)</f>
        <v>1.2058823529411764</v>
      </c>
      <c r="N349">
        <f>IFERROR(INDEX(TEAM_ANALYSIS!$Y:$Y,MATCH($F349,TEAM_ANALYSIS!$A:$A,0)),1)</f>
        <v>0.8529411764705882</v>
      </c>
      <c r="O349">
        <f>IFERROR(INDEX(TEAM_ANALYSIS!$Z:$Z,MATCH($F349,TEAM_ANALYSIS!$A:$A,0)),1)</f>
        <v>0.8529411764705882</v>
      </c>
      <c r="P349">
        <f>MAX(0.05,AVERAGE(TEAM_ANALYSIS!$W$2:$W$21)*L349*O349)</f>
        <v>2.3988970588235294</v>
      </c>
      <c r="Q349">
        <f>MAX(0.05,AVERAGE(TEAM_ANALYSIS!$W$2:$W$21)*N349*M349)</f>
        <v>2.1856617647058822</v>
      </c>
      <c r="R349" s="23">
        <f>MAX(0.8,MIN(1.2,P349/AVERAGE(TEAM_ANALYSIS!$W$2:$W$21)))</f>
        <v>1.1288927335640138</v>
      </c>
      <c r="S349">
        <f>MAX(0.8,MIN(1.2,AVERAGE(TEAM_ANALYSIS!$W$2:$W$21)/Q349))</f>
        <v>0.9722455845248108</v>
      </c>
      <c r="T349">
        <f>AVERAGE(R349,S349)</f>
        <v>1.0505691590444122</v>
      </c>
    </row>
    <row r="350" spans="1:20" x14ac:dyDescent="0.25">
      <c r="A350">
        <v>18</v>
      </c>
      <c r="B350" t="b">
        <v>0</v>
      </c>
      <c r="C350" s="6">
        <v>46386.833333333336</v>
      </c>
      <c r="D350" t="b">
        <v>0</v>
      </c>
      <c r="E350">
        <v>17</v>
      </c>
      <c r="F350">
        <v>18</v>
      </c>
      <c r="G350">
        <v>3</v>
      </c>
      <c r="H350" t="s">
        <v>1110</v>
      </c>
      <c r="I350" t="s">
        <v>1100</v>
      </c>
      <c r="J350" t="s">
        <v>1102</v>
      </c>
      <c r="K350" t="str">
        <f>tblTeamFixtures[[#This Row],[Team_name]]&amp;"_"&amp;tblTeamFixtures[[#This Row],[GW]]</f>
        <v>NEW_18</v>
      </c>
      <c r="L350">
        <f>IFERROR(INDEX(TEAM_ANALYSIS!$Y:$Y,MATCH($E350,TEAM_ANALYSIS!$A:$A,0)),1)</f>
        <v>1.2058823529411764</v>
      </c>
      <c r="M350">
        <f>IFERROR(INDEX(TEAM_ANALYSIS!$Z:$Z,MATCH($E350,TEAM_ANALYSIS!$A:$A,0)),1)</f>
        <v>0.97058823529411764</v>
      </c>
      <c r="N350">
        <f>IFERROR(INDEX(TEAM_ANALYSIS!$Y:$Y,MATCH($F350,TEAM_ANALYSIS!$A:$A,0)),1)</f>
        <v>0.73529411764705888</v>
      </c>
      <c r="O350">
        <f>IFERROR(INDEX(TEAM_ANALYSIS!$Z:$Z,MATCH($F350,TEAM_ANALYSIS!$A:$A,0)),1)</f>
        <v>0.8529411764705882</v>
      </c>
      <c r="P350">
        <f>MAX(0.05,AVERAGE(TEAM_ANALYSIS!$W$2:$W$21)*L350*O350)</f>
        <v>2.1856617647058822</v>
      </c>
      <c r="Q350">
        <f>MAX(0.05,AVERAGE(TEAM_ANALYSIS!$W$2:$W$21)*N350*M350)</f>
        <v>1.5165441176470589</v>
      </c>
      <c r="R350" s="23">
        <f>MAX(0.8,MIN(1.2,P350/AVERAGE(TEAM_ANALYSIS!$W$2:$W$21)))</f>
        <v>1.0285467128027681</v>
      </c>
      <c r="S350">
        <f>MAX(0.8,MIN(1.2,AVERAGE(TEAM_ANALYSIS!$W$2:$W$21)/Q350))</f>
        <v>1.2</v>
      </c>
      <c r="T350">
        <f>AVERAGE(R350,S350)</f>
        <v>1.114273356401384</v>
      </c>
    </row>
    <row r="351" spans="1:20" x14ac:dyDescent="0.25">
      <c r="A351">
        <v>18</v>
      </c>
      <c r="B351" t="b">
        <v>0</v>
      </c>
      <c r="C351" s="6">
        <v>46386.833333333336</v>
      </c>
      <c r="D351" t="b">
        <v>0</v>
      </c>
      <c r="E351">
        <v>19</v>
      </c>
      <c r="F351">
        <v>5</v>
      </c>
      <c r="G351">
        <v>2</v>
      </c>
      <c r="H351" t="s">
        <v>1110</v>
      </c>
      <c r="I351" t="s">
        <v>1104</v>
      </c>
      <c r="J351" t="s">
        <v>1076</v>
      </c>
      <c r="K351" t="str">
        <f>tblTeamFixtures[[#This Row],[Team_name]]&amp;"_"&amp;tblTeamFixtures[[#This Row],[GW]]</f>
        <v>TOT_18</v>
      </c>
      <c r="L351">
        <f>IFERROR(INDEX(TEAM_ANALYSIS!$Y:$Y,MATCH($E351,TEAM_ANALYSIS!$A:$A,0)),1)</f>
        <v>0.5</v>
      </c>
      <c r="M351">
        <f>IFERROR(INDEX(TEAM_ANALYSIS!$Z:$Z,MATCH($E351,TEAM_ANALYSIS!$A:$A,0)),1)</f>
        <v>1.088235294117647</v>
      </c>
      <c r="N351">
        <f>IFERROR(INDEX(TEAM_ANALYSIS!$Y:$Y,MATCH($F351,TEAM_ANALYSIS!$A:$A,0)),1)</f>
        <v>1.4411764705882353</v>
      </c>
      <c r="O351">
        <f>IFERROR(INDEX(TEAM_ANALYSIS!$Z:$Z,MATCH($F351,TEAM_ANALYSIS!$A:$A,0)),1)</f>
        <v>1.088235294117647</v>
      </c>
      <c r="P351">
        <f>MAX(0.05,AVERAGE(TEAM_ANALYSIS!$W$2:$W$21)*L351*O351)</f>
        <v>1.15625</v>
      </c>
      <c r="Q351">
        <f>MAX(0.05,AVERAGE(TEAM_ANALYSIS!$W$2:$W$21)*N351*M351)</f>
        <v>3.3327205882352939</v>
      </c>
      <c r="R351" s="23">
        <f>MAX(0.8,MIN(1.2,P351/AVERAGE(TEAM_ANALYSIS!$W$2:$W$21)))</f>
        <v>0.8</v>
      </c>
      <c r="S351">
        <f>MAX(0.8,MIN(1.2,AVERAGE(TEAM_ANALYSIS!$W$2:$W$21)/Q351))</f>
        <v>0.8</v>
      </c>
      <c r="T351">
        <f>AVERAGE(R351,S351)</f>
        <v>0.8</v>
      </c>
    </row>
    <row r="352" spans="1:20" x14ac:dyDescent="0.25">
      <c r="A352">
        <v>18</v>
      </c>
      <c r="B352" t="b">
        <v>0</v>
      </c>
      <c r="C352" s="6">
        <v>46386.833333333336</v>
      </c>
      <c r="D352" t="b">
        <v>0</v>
      </c>
      <c r="E352">
        <v>14</v>
      </c>
      <c r="F352">
        <v>2</v>
      </c>
      <c r="G352">
        <v>4</v>
      </c>
      <c r="H352" t="s">
        <v>1111</v>
      </c>
      <c r="I352" t="s">
        <v>1094</v>
      </c>
      <c r="J352" t="s">
        <v>1070</v>
      </c>
      <c r="K352" t="str">
        <f>tblTeamFixtures[[#This Row],[Team_name]]&amp;"_"&amp;tblTeamFixtures[[#This Row],[GW]]</f>
        <v>LIV_18</v>
      </c>
      <c r="L352">
        <f>IFERROR(INDEX(TEAM_ANALYSIS!$Y:$Y,MATCH($E352,TEAM_ANALYSIS!$A:$A,0)),1)</f>
        <v>1.2058823529411764</v>
      </c>
      <c r="M352">
        <f>IFERROR(INDEX(TEAM_ANALYSIS!$Z:$Z,MATCH($E352,TEAM_ANALYSIS!$A:$A,0)),1)</f>
        <v>0.97058823529411764</v>
      </c>
      <c r="N352">
        <f>IFERROR(INDEX(TEAM_ANALYSIS!$Y:$Y,MATCH($F352,TEAM_ANALYSIS!$A:$A,0)),1)</f>
        <v>0.5</v>
      </c>
      <c r="O352">
        <f>IFERROR(INDEX(TEAM_ANALYSIS!$Z:$Z,MATCH($F352,TEAM_ANALYSIS!$A:$A,0)),1)</f>
        <v>1.088235294117647</v>
      </c>
      <c r="P352">
        <f>MAX(0.05,AVERAGE(TEAM_ANALYSIS!$W$2:$W$21)*L352*O352)</f>
        <v>2.7886029411764706</v>
      </c>
      <c r="Q352">
        <f>MAX(0.05,AVERAGE(TEAM_ANALYSIS!$W$2:$W$21)*N352*M352)</f>
        <v>1.03125</v>
      </c>
      <c r="R352" s="23">
        <f>MAX(0.8,MIN(1.2,P352/AVERAGE(TEAM_ANALYSIS!$W$2:$W$21)))</f>
        <v>1.2</v>
      </c>
      <c r="S352">
        <f>MAX(0.8,MIN(1.2,AVERAGE(TEAM_ANALYSIS!$W$2:$W$21)/Q352))</f>
        <v>1.2</v>
      </c>
      <c r="T352">
        <f>AVERAGE(R352,S352)</f>
        <v>1.2</v>
      </c>
    </row>
    <row r="353" spans="1:20" x14ac:dyDescent="0.25">
      <c r="A353">
        <v>18</v>
      </c>
      <c r="B353" t="b">
        <v>0</v>
      </c>
      <c r="C353" s="6">
        <v>46386.833333333336</v>
      </c>
      <c r="D353" t="b">
        <v>0</v>
      </c>
      <c r="E353">
        <v>4</v>
      </c>
      <c r="F353">
        <v>7</v>
      </c>
      <c r="G353">
        <v>2</v>
      </c>
      <c r="H353" t="s">
        <v>1111</v>
      </c>
      <c r="I353" t="s">
        <v>1074</v>
      </c>
      <c r="J353" t="s">
        <v>1080</v>
      </c>
      <c r="K353" t="str">
        <f>tblTeamFixtures[[#This Row],[Team_name]]&amp;"_"&amp;tblTeamFixtures[[#This Row],[GW]]</f>
        <v>BRE_18</v>
      </c>
      <c r="L353">
        <f>IFERROR(INDEX(TEAM_ANALYSIS!$Y:$Y,MATCH($E353,TEAM_ANALYSIS!$A:$A,0)),1)</f>
        <v>1.088235294117647</v>
      </c>
      <c r="M353">
        <f>IFERROR(INDEX(TEAM_ANALYSIS!$Z:$Z,MATCH($E353,TEAM_ANALYSIS!$A:$A,0)),1)</f>
        <v>0.73529411764705888</v>
      </c>
      <c r="N353">
        <f>IFERROR(INDEX(TEAM_ANALYSIS!$Y:$Y,MATCH($F353,TEAM_ANALYSIS!$A:$A,0)),1)</f>
        <v>0.5</v>
      </c>
      <c r="O353">
        <f>IFERROR(INDEX(TEAM_ANALYSIS!$Z:$Z,MATCH($F353,TEAM_ANALYSIS!$A:$A,0)),1)</f>
        <v>1.088235294117647</v>
      </c>
      <c r="P353">
        <f>MAX(0.05,AVERAGE(TEAM_ANALYSIS!$W$2:$W$21)*L353*O353)</f>
        <v>2.5165441176470584</v>
      </c>
      <c r="Q353">
        <f>MAX(0.05,AVERAGE(TEAM_ANALYSIS!$W$2:$W$21)*N353*M353)</f>
        <v>0.78125</v>
      </c>
      <c r="R353" s="23">
        <f>MAX(0.8,MIN(1.2,P353/AVERAGE(TEAM_ANALYSIS!$W$2:$W$21)))</f>
        <v>1.1842560553633217</v>
      </c>
      <c r="S353">
        <f>MAX(0.8,MIN(1.2,AVERAGE(TEAM_ANALYSIS!$W$2:$W$21)/Q353))</f>
        <v>1.2</v>
      </c>
      <c r="T353">
        <f>AVERAGE(R353,S353)</f>
        <v>1.1921280276816608</v>
      </c>
    </row>
    <row r="354" spans="1:20" x14ac:dyDescent="0.25">
      <c r="A354">
        <v>18</v>
      </c>
      <c r="B354" t="b">
        <v>0</v>
      </c>
      <c r="C354" s="6">
        <v>46386.833333333336</v>
      </c>
      <c r="D354" t="b">
        <v>0</v>
      </c>
      <c r="E354">
        <v>3</v>
      </c>
      <c r="F354">
        <v>8</v>
      </c>
      <c r="G354">
        <v>3</v>
      </c>
      <c r="H354" t="s">
        <v>1111</v>
      </c>
      <c r="I354" t="s">
        <v>1072</v>
      </c>
      <c r="J354" t="s">
        <v>1082</v>
      </c>
      <c r="K354" t="str">
        <f>tblTeamFixtures[[#This Row],[Team_name]]&amp;"_"&amp;tblTeamFixtures[[#This Row],[GW]]</f>
        <v>BOU_18</v>
      </c>
      <c r="L354">
        <f>IFERROR(INDEX(TEAM_ANALYSIS!$Y:$Y,MATCH($E354,TEAM_ANALYSIS!$A:$A,0)),1)</f>
        <v>0.97058823529411764</v>
      </c>
      <c r="M354">
        <f>IFERROR(INDEX(TEAM_ANALYSIS!$Z:$Z,MATCH($E354,TEAM_ANALYSIS!$A:$A,0)),1)</f>
        <v>1.088235294117647</v>
      </c>
      <c r="N354">
        <f>IFERROR(INDEX(TEAM_ANALYSIS!$Y:$Y,MATCH($F354,TEAM_ANALYSIS!$A:$A,0)),1)</f>
        <v>0.97058823529411764</v>
      </c>
      <c r="O354">
        <f>IFERROR(INDEX(TEAM_ANALYSIS!$Z:$Z,MATCH($F354,TEAM_ANALYSIS!$A:$A,0)),1)</f>
        <v>1.4411764705882353</v>
      </c>
      <c r="P354">
        <f>MAX(0.05,AVERAGE(TEAM_ANALYSIS!$W$2:$W$21)*L354*O354)</f>
        <v>2.9724264705882351</v>
      </c>
      <c r="Q354">
        <f>MAX(0.05,AVERAGE(TEAM_ANALYSIS!$W$2:$W$21)*N354*M354)</f>
        <v>2.2444852941176467</v>
      </c>
      <c r="R354" s="23">
        <f>MAX(0.8,MIN(1.2,P354/AVERAGE(TEAM_ANALYSIS!$W$2:$W$21)))</f>
        <v>1.2</v>
      </c>
      <c r="S354">
        <f>MAX(0.8,MIN(1.2,AVERAGE(TEAM_ANALYSIS!$W$2:$W$21)/Q354))</f>
        <v>0.94676494676494694</v>
      </c>
      <c r="T354">
        <f>AVERAGE(R354,S354)</f>
        <v>1.0733824733824735</v>
      </c>
    </row>
    <row r="355" spans="1:20" x14ac:dyDescent="0.25">
      <c r="A355">
        <v>18</v>
      </c>
      <c r="B355" t="b">
        <v>0</v>
      </c>
      <c r="C355" s="6">
        <v>46386.833333333336</v>
      </c>
      <c r="D355" t="b">
        <v>0</v>
      </c>
      <c r="E355">
        <v>15</v>
      </c>
      <c r="F355">
        <v>9</v>
      </c>
      <c r="G355">
        <v>3</v>
      </c>
      <c r="H355" t="s">
        <v>1111</v>
      </c>
      <c r="I355" t="s">
        <v>1096</v>
      </c>
      <c r="J355" t="s">
        <v>1084</v>
      </c>
      <c r="K355" t="str">
        <f>tblTeamFixtures[[#This Row],[Team_name]]&amp;"_"&amp;tblTeamFixtures[[#This Row],[GW]]</f>
        <v>MCI_18</v>
      </c>
      <c r="L355">
        <f>IFERROR(INDEX(TEAM_ANALYSIS!$Y:$Y,MATCH($E355,TEAM_ANALYSIS!$A:$A,0)),1)</f>
        <v>1.3235294117647058</v>
      </c>
      <c r="M355">
        <f>IFERROR(INDEX(TEAM_ANALYSIS!$Z:$Z,MATCH($E355,TEAM_ANALYSIS!$A:$A,0)),1)</f>
        <v>0.73529411764705888</v>
      </c>
      <c r="N355">
        <f>IFERROR(INDEX(TEAM_ANALYSIS!$Y:$Y,MATCH($F355,TEAM_ANALYSIS!$A:$A,0)),1)</f>
        <v>1.088235294117647</v>
      </c>
      <c r="O355">
        <f>IFERROR(INDEX(TEAM_ANALYSIS!$Z:$Z,MATCH($F355,TEAM_ANALYSIS!$A:$A,0)),1)</f>
        <v>0.8529411764705882</v>
      </c>
      <c r="P355">
        <f>MAX(0.05,AVERAGE(TEAM_ANALYSIS!$W$2:$W$21)*L355*O355)</f>
        <v>2.3988970588235294</v>
      </c>
      <c r="Q355">
        <f>MAX(0.05,AVERAGE(TEAM_ANALYSIS!$W$2:$W$21)*N355*M355)</f>
        <v>1.7003676470588236</v>
      </c>
      <c r="R355" s="23">
        <f>MAX(0.8,MIN(1.2,P355/AVERAGE(TEAM_ANALYSIS!$W$2:$W$21)))</f>
        <v>1.1288927335640138</v>
      </c>
      <c r="S355">
        <f>MAX(0.8,MIN(1.2,AVERAGE(TEAM_ANALYSIS!$W$2:$W$21)/Q355))</f>
        <v>1.2</v>
      </c>
      <c r="T355">
        <f>AVERAGE(R355,S355)</f>
        <v>1.1644463667820069</v>
      </c>
    </row>
    <row r="356" spans="1:20" x14ac:dyDescent="0.25">
      <c r="A356">
        <v>18</v>
      </c>
      <c r="B356" t="b">
        <v>0</v>
      </c>
      <c r="C356" s="6">
        <v>46386.833333333336</v>
      </c>
      <c r="D356" t="b">
        <v>0</v>
      </c>
      <c r="E356">
        <v>1</v>
      </c>
      <c r="F356">
        <v>10</v>
      </c>
      <c r="G356">
        <v>3</v>
      </c>
      <c r="H356" t="s">
        <v>1111</v>
      </c>
      <c r="I356" t="s">
        <v>1068</v>
      </c>
      <c r="J356" t="s">
        <v>1086</v>
      </c>
      <c r="K356" t="str">
        <f>tblTeamFixtures[[#This Row],[Team_name]]&amp;"_"&amp;tblTeamFixtures[[#This Row],[GW]]</f>
        <v>ARS_18</v>
      </c>
      <c r="L356">
        <f>IFERROR(INDEX(TEAM_ANALYSIS!$Y:$Y,MATCH($E356,TEAM_ANALYSIS!$A:$A,0)),1)</f>
        <v>1.2058823529411764</v>
      </c>
      <c r="M356">
        <f>IFERROR(INDEX(TEAM_ANALYSIS!$Z:$Z,MATCH($E356,TEAM_ANALYSIS!$A:$A,0)),1)</f>
        <v>0.61764705882352944</v>
      </c>
      <c r="N356">
        <f>IFERROR(INDEX(TEAM_ANALYSIS!$Y:$Y,MATCH($F356,TEAM_ANALYSIS!$A:$A,0)),1)</f>
        <v>0.97058823529411764</v>
      </c>
      <c r="O356">
        <f>IFERROR(INDEX(TEAM_ANALYSIS!$Z:$Z,MATCH($F356,TEAM_ANALYSIS!$A:$A,0)),1)</f>
        <v>1.3235294117647058</v>
      </c>
      <c r="P356">
        <f>MAX(0.05,AVERAGE(TEAM_ANALYSIS!$W$2:$W$21)*L356*O356)</f>
        <v>3.3915441176470589</v>
      </c>
      <c r="Q356">
        <f>MAX(0.05,AVERAGE(TEAM_ANALYSIS!$W$2:$W$21)*N356*M356)</f>
        <v>1.2738970588235294</v>
      </c>
      <c r="R356" s="23">
        <f>MAX(0.8,MIN(1.2,P356/AVERAGE(TEAM_ANALYSIS!$W$2:$W$21)))</f>
        <v>1.2</v>
      </c>
      <c r="S356">
        <f>MAX(0.8,MIN(1.2,AVERAGE(TEAM_ANALYSIS!$W$2:$W$21)/Q356))</f>
        <v>1.2</v>
      </c>
      <c r="T356">
        <f>AVERAGE(R356,S356)</f>
        <v>1.2</v>
      </c>
    </row>
    <row r="357" spans="1:20" x14ac:dyDescent="0.25">
      <c r="A357">
        <v>18</v>
      </c>
      <c r="B357" t="b">
        <v>0</v>
      </c>
      <c r="C357" s="6">
        <v>46386.833333333336</v>
      </c>
      <c r="D357" t="b">
        <v>0</v>
      </c>
      <c r="E357">
        <v>13</v>
      </c>
      <c r="F357">
        <v>11</v>
      </c>
      <c r="G357">
        <v>2</v>
      </c>
      <c r="H357" t="s">
        <v>1111</v>
      </c>
      <c r="I357" t="s">
        <v>1092</v>
      </c>
      <c r="J357" t="s">
        <v>1088</v>
      </c>
      <c r="K357" t="str">
        <f>tblTeamFixtures[[#This Row],[Team_name]]&amp;"_"&amp;tblTeamFixtures[[#This Row],[GW]]</f>
        <v>LEE_18</v>
      </c>
      <c r="L357">
        <f>IFERROR(INDEX(TEAM_ANALYSIS!$Y:$Y,MATCH($E357,TEAM_ANALYSIS!$A:$A,0)),1)</f>
        <v>0.8529411764705882</v>
      </c>
      <c r="M357">
        <f>IFERROR(INDEX(TEAM_ANALYSIS!$Z:$Z,MATCH($E357,TEAM_ANALYSIS!$A:$A,0)),1)</f>
        <v>0.73529411764705888</v>
      </c>
      <c r="N357">
        <f>IFERROR(INDEX(TEAM_ANALYSIS!$Y:$Y,MATCH($F357,TEAM_ANALYSIS!$A:$A,0)),1)</f>
        <v>0.8529411764705882</v>
      </c>
      <c r="O357">
        <f>IFERROR(INDEX(TEAM_ANALYSIS!$Z:$Z,MATCH($F357,TEAM_ANALYSIS!$A:$A,0)),1)</f>
        <v>0.5</v>
      </c>
      <c r="P357">
        <f>MAX(0.05,AVERAGE(TEAM_ANALYSIS!$W$2:$W$21)*L357*O357)</f>
        <v>0.90625</v>
      </c>
      <c r="Q357">
        <f>MAX(0.05,AVERAGE(TEAM_ANALYSIS!$W$2:$W$21)*N357*M357)</f>
        <v>1.3327205882352942</v>
      </c>
      <c r="R357" s="23">
        <f>MAX(0.8,MIN(1.2,P357/AVERAGE(TEAM_ANALYSIS!$W$2:$W$21)))</f>
        <v>0.8</v>
      </c>
      <c r="S357">
        <f>MAX(0.8,MIN(1.2,AVERAGE(TEAM_ANALYSIS!$W$2:$W$21)/Q357))</f>
        <v>1.2</v>
      </c>
      <c r="T357">
        <f>AVERAGE(R357,S357)</f>
        <v>1</v>
      </c>
    </row>
    <row r="358" spans="1:20" x14ac:dyDescent="0.25">
      <c r="A358">
        <v>18</v>
      </c>
      <c r="B358" t="b">
        <v>0</v>
      </c>
      <c r="C358" s="6">
        <v>46386.833333333336</v>
      </c>
      <c r="D358" t="b">
        <v>0</v>
      </c>
      <c r="E358">
        <v>6</v>
      </c>
      <c r="F358">
        <v>12</v>
      </c>
      <c r="G358">
        <v>2</v>
      </c>
      <c r="H358" t="s">
        <v>1111</v>
      </c>
      <c r="I358" t="s">
        <v>1078</v>
      </c>
      <c r="J358" t="s">
        <v>1090</v>
      </c>
      <c r="K358" t="str">
        <f>tblTeamFixtures[[#This Row],[Team_name]]&amp;"_"&amp;tblTeamFixtures[[#This Row],[GW]]</f>
        <v>CHE_18</v>
      </c>
      <c r="L358">
        <f>IFERROR(INDEX(TEAM_ANALYSIS!$Y:$Y,MATCH($E358,TEAM_ANALYSIS!$A:$A,0)),1)</f>
        <v>1.4411764705882353</v>
      </c>
      <c r="M358">
        <f>IFERROR(INDEX(TEAM_ANALYSIS!$Z:$Z,MATCH($E358,TEAM_ANALYSIS!$A:$A,0)),1)</f>
        <v>1.3235294117647058</v>
      </c>
      <c r="N358">
        <f>IFERROR(INDEX(TEAM_ANALYSIS!$Y:$Y,MATCH($F358,TEAM_ANALYSIS!$A:$A,0)),1)</f>
        <v>0.97058823529411764</v>
      </c>
      <c r="O358">
        <f>IFERROR(INDEX(TEAM_ANALYSIS!$Z:$Z,MATCH($F358,TEAM_ANALYSIS!$A:$A,0)),1)</f>
        <v>1.4411764705882353</v>
      </c>
      <c r="P358">
        <f>MAX(0.05,AVERAGE(TEAM_ANALYSIS!$W$2:$W$21)*L358*O358)</f>
        <v>4.4136029411764701</v>
      </c>
      <c r="Q358">
        <f>MAX(0.05,AVERAGE(TEAM_ANALYSIS!$W$2:$W$21)*N358*M358)</f>
        <v>2.7297794117647056</v>
      </c>
      <c r="R358" s="23">
        <f>MAX(0.8,MIN(1.2,P358/AVERAGE(TEAM_ANALYSIS!$W$2:$W$21)))</f>
        <v>1.2</v>
      </c>
      <c r="S358">
        <f>MAX(0.8,MIN(1.2,AVERAGE(TEAM_ANALYSIS!$W$2:$W$21)/Q358))</f>
        <v>0.8</v>
      </c>
      <c r="T358">
        <f>AVERAGE(R358,S358)</f>
        <v>1</v>
      </c>
    </row>
    <row r="359" spans="1:20" x14ac:dyDescent="0.25">
      <c r="A359">
        <v>18</v>
      </c>
      <c r="B359" t="b">
        <v>0</v>
      </c>
      <c r="C359" s="6">
        <v>46386.833333333336</v>
      </c>
      <c r="D359" t="b">
        <v>0</v>
      </c>
      <c r="E359">
        <v>20</v>
      </c>
      <c r="F359">
        <v>16</v>
      </c>
      <c r="G359">
        <v>4</v>
      </c>
      <c r="H359" t="s">
        <v>1111</v>
      </c>
      <c r="I359" t="s">
        <v>1106</v>
      </c>
      <c r="J359" t="s">
        <v>1098</v>
      </c>
      <c r="K359" t="str">
        <f>tblTeamFixtures[[#This Row],[Team_name]]&amp;"_"&amp;tblTeamFixtures[[#This Row],[GW]]</f>
        <v>SUN_18</v>
      </c>
      <c r="L359">
        <f>IFERROR(INDEX(TEAM_ANALYSIS!$Y:$Y,MATCH($E359,TEAM_ANALYSIS!$A:$A,0)),1)</f>
        <v>0.8529411764705882</v>
      </c>
      <c r="M359">
        <f>IFERROR(INDEX(TEAM_ANALYSIS!$Z:$Z,MATCH($E359,TEAM_ANALYSIS!$A:$A,0)),1)</f>
        <v>0.8529411764705882</v>
      </c>
      <c r="N359">
        <f>IFERROR(INDEX(TEAM_ANALYSIS!$Y:$Y,MATCH($F359,TEAM_ANALYSIS!$A:$A,0)),1)</f>
        <v>1.3235294117647058</v>
      </c>
      <c r="O359">
        <f>IFERROR(INDEX(TEAM_ANALYSIS!$Z:$Z,MATCH($F359,TEAM_ANALYSIS!$A:$A,0)),1)</f>
        <v>1.2058823529411764</v>
      </c>
      <c r="P359">
        <f>MAX(0.05,AVERAGE(TEAM_ANALYSIS!$W$2:$W$21)*L359*O359)</f>
        <v>2.1856617647058822</v>
      </c>
      <c r="Q359">
        <f>MAX(0.05,AVERAGE(TEAM_ANALYSIS!$W$2:$W$21)*N359*M359)</f>
        <v>2.3988970588235294</v>
      </c>
      <c r="R359" s="23">
        <f>MAX(0.8,MIN(1.2,P359/AVERAGE(TEAM_ANALYSIS!$W$2:$W$21)))</f>
        <v>1.0285467128027681</v>
      </c>
      <c r="S359">
        <f>MAX(0.8,MIN(1.2,AVERAGE(TEAM_ANALYSIS!$W$2:$W$21)/Q359))</f>
        <v>0.885823754789272</v>
      </c>
      <c r="T359">
        <f>AVERAGE(R359,S359)</f>
        <v>0.95718523379602005</v>
      </c>
    </row>
    <row r="360" spans="1:20" x14ac:dyDescent="0.25">
      <c r="A360">
        <v>18</v>
      </c>
      <c r="B360" t="b">
        <v>0</v>
      </c>
      <c r="C360" s="6">
        <v>46386.833333333336</v>
      </c>
      <c r="D360" t="b">
        <v>0</v>
      </c>
      <c r="E360">
        <v>18</v>
      </c>
      <c r="F360">
        <v>17</v>
      </c>
      <c r="G360">
        <v>3</v>
      </c>
      <c r="H360" t="s">
        <v>1111</v>
      </c>
      <c r="I360" t="s">
        <v>1102</v>
      </c>
      <c r="J360" t="s">
        <v>1100</v>
      </c>
      <c r="K360" t="str">
        <f>tblTeamFixtures[[#This Row],[Team_name]]&amp;"_"&amp;tblTeamFixtures[[#This Row],[GW]]</f>
        <v>NFO_18</v>
      </c>
      <c r="L360">
        <f>IFERROR(INDEX(TEAM_ANALYSIS!$Y:$Y,MATCH($E360,TEAM_ANALYSIS!$A:$A,0)),1)</f>
        <v>0.73529411764705888</v>
      </c>
      <c r="M360">
        <f>IFERROR(INDEX(TEAM_ANALYSIS!$Z:$Z,MATCH($E360,TEAM_ANALYSIS!$A:$A,0)),1)</f>
        <v>0.8529411764705882</v>
      </c>
      <c r="N360">
        <f>IFERROR(INDEX(TEAM_ANALYSIS!$Y:$Y,MATCH($F360,TEAM_ANALYSIS!$A:$A,0)),1)</f>
        <v>1.2058823529411764</v>
      </c>
      <c r="O360">
        <f>IFERROR(INDEX(TEAM_ANALYSIS!$Z:$Z,MATCH($F360,TEAM_ANALYSIS!$A:$A,0)),1)</f>
        <v>0.97058823529411764</v>
      </c>
      <c r="P360">
        <f>MAX(0.05,AVERAGE(TEAM_ANALYSIS!$W$2:$W$21)*L360*O360)</f>
        <v>1.5165441176470589</v>
      </c>
      <c r="Q360">
        <f>MAX(0.05,AVERAGE(TEAM_ANALYSIS!$W$2:$W$21)*N360*M360)</f>
        <v>2.1856617647058822</v>
      </c>
      <c r="R360" s="23">
        <f>MAX(0.8,MIN(1.2,P360/AVERAGE(TEAM_ANALYSIS!$W$2:$W$21)))</f>
        <v>0.8</v>
      </c>
      <c r="S360">
        <f>MAX(0.8,MIN(1.2,AVERAGE(TEAM_ANALYSIS!$W$2:$W$21)/Q360))</f>
        <v>0.9722455845248108</v>
      </c>
      <c r="T360">
        <f>AVERAGE(R360,S360)</f>
        <v>0.88612279226240542</v>
      </c>
    </row>
    <row r="361" spans="1:20" x14ac:dyDescent="0.25">
      <c r="A361">
        <v>18</v>
      </c>
      <c r="B361" t="b">
        <v>0</v>
      </c>
      <c r="C361" s="6">
        <v>46386.833333333336</v>
      </c>
      <c r="D361" t="b">
        <v>0</v>
      </c>
      <c r="E361">
        <v>5</v>
      </c>
      <c r="F361">
        <v>19</v>
      </c>
      <c r="G361">
        <v>3</v>
      </c>
      <c r="H361" t="s">
        <v>1111</v>
      </c>
      <c r="I361" t="s">
        <v>1076</v>
      </c>
      <c r="J361" t="s">
        <v>1104</v>
      </c>
      <c r="K361" t="str">
        <f>tblTeamFixtures[[#This Row],[Team_name]]&amp;"_"&amp;tblTeamFixtures[[#This Row],[GW]]</f>
        <v>BHA_18</v>
      </c>
      <c r="L361">
        <f>IFERROR(INDEX(TEAM_ANALYSIS!$Y:$Y,MATCH($E361,TEAM_ANALYSIS!$A:$A,0)),1)</f>
        <v>1.4411764705882353</v>
      </c>
      <c r="M361">
        <f>IFERROR(INDEX(TEAM_ANALYSIS!$Z:$Z,MATCH($E361,TEAM_ANALYSIS!$A:$A,0)),1)</f>
        <v>1.088235294117647</v>
      </c>
      <c r="N361">
        <f>IFERROR(INDEX(TEAM_ANALYSIS!$Y:$Y,MATCH($F361,TEAM_ANALYSIS!$A:$A,0)),1)</f>
        <v>0.5</v>
      </c>
      <c r="O361">
        <f>IFERROR(INDEX(TEAM_ANALYSIS!$Z:$Z,MATCH($F361,TEAM_ANALYSIS!$A:$A,0)),1)</f>
        <v>1.088235294117647</v>
      </c>
      <c r="P361">
        <f>MAX(0.05,AVERAGE(TEAM_ANALYSIS!$W$2:$W$21)*L361*O361)</f>
        <v>3.3327205882352939</v>
      </c>
      <c r="Q361">
        <f>MAX(0.05,AVERAGE(TEAM_ANALYSIS!$W$2:$W$21)*N361*M361)</f>
        <v>1.15625</v>
      </c>
      <c r="R361" s="23">
        <f>MAX(0.8,MIN(1.2,P361/AVERAGE(TEAM_ANALYSIS!$W$2:$W$21)))</f>
        <v>1.2</v>
      </c>
      <c r="S361">
        <f>MAX(0.8,MIN(1.2,AVERAGE(TEAM_ANALYSIS!$W$2:$W$21)/Q361))</f>
        <v>1.2</v>
      </c>
      <c r="T361">
        <f>AVERAGE(R361,S361)</f>
        <v>1.2</v>
      </c>
    </row>
    <row r="362" spans="1:20" x14ac:dyDescent="0.25">
      <c r="A362">
        <v>19</v>
      </c>
      <c r="B362" t="b">
        <v>0</v>
      </c>
      <c r="C362" s="6">
        <v>46389.625</v>
      </c>
      <c r="D362" t="b">
        <v>0</v>
      </c>
      <c r="E362">
        <v>1</v>
      </c>
      <c r="F362">
        <v>12</v>
      </c>
      <c r="G362">
        <v>2</v>
      </c>
      <c r="H362" t="s">
        <v>1110</v>
      </c>
      <c r="I362" t="s">
        <v>1068</v>
      </c>
      <c r="J362" t="s">
        <v>1090</v>
      </c>
      <c r="K362" t="str">
        <f>tblTeamFixtures[[#This Row],[Team_name]]&amp;"_"&amp;tblTeamFixtures[[#This Row],[GW]]</f>
        <v>ARS_19</v>
      </c>
      <c r="L362">
        <f>IFERROR(INDEX(TEAM_ANALYSIS!$Y:$Y,MATCH($E362,TEAM_ANALYSIS!$A:$A,0)),1)</f>
        <v>1.2058823529411764</v>
      </c>
      <c r="M362">
        <f>IFERROR(INDEX(TEAM_ANALYSIS!$Z:$Z,MATCH($E362,TEAM_ANALYSIS!$A:$A,0)),1)</f>
        <v>0.61764705882352944</v>
      </c>
      <c r="N362">
        <f>IFERROR(INDEX(TEAM_ANALYSIS!$Y:$Y,MATCH($F362,TEAM_ANALYSIS!$A:$A,0)),1)</f>
        <v>0.97058823529411764</v>
      </c>
      <c r="O362">
        <f>IFERROR(INDEX(TEAM_ANALYSIS!$Z:$Z,MATCH($F362,TEAM_ANALYSIS!$A:$A,0)),1)</f>
        <v>1.4411764705882353</v>
      </c>
      <c r="P362">
        <f>MAX(0.05,AVERAGE(TEAM_ANALYSIS!$W$2:$W$21)*L362*O362)</f>
        <v>3.6930147058823528</v>
      </c>
      <c r="Q362">
        <f>MAX(0.05,AVERAGE(TEAM_ANALYSIS!$W$2:$W$21)*N362*M362)</f>
        <v>1.2738970588235294</v>
      </c>
      <c r="R362" s="23">
        <f>MAX(0.8,MIN(1.2,P362/AVERAGE(TEAM_ANALYSIS!$W$2:$W$21)))</f>
        <v>1.2</v>
      </c>
      <c r="S362">
        <f>MAX(0.8,MIN(1.2,AVERAGE(TEAM_ANALYSIS!$W$2:$W$21)/Q362))</f>
        <v>1.2</v>
      </c>
      <c r="T362">
        <f>AVERAGE(R362,S362)</f>
        <v>1.2</v>
      </c>
    </row>
    <row r="363" spans="1:20" x14ac:dyDescent="0.25">
      <c r="A363">
        <v>19</v>
      </c>
      <c r="B363" t="b">
        <v>0</v>
      </c>
      <c r="C363" s="6">
        <v>46389.625</v>
      </c>
      <c r="D363" t="b">
        <v>0</v>
      </c>
      <c r="E363">
        <v>3</v>
      </c>
      <c r="F363">
        <v>2</v>
      </c>
      <c r="G363">
        <v>3</v>
      </c>
      <c r="H363" t="s">
        <v>1110</v>
      </c>
      <c r="I363" t="s">
        <v>1072</v>
      </c>
      <c r="J363" t="s">
        <v>1070</v>
      </c>
      <c r="K363" t="str">
        <f>tblTeamFixtures[[#This Row],[Team_name]]&amp;"_"&amp;tblTeamFixtures[[#This Row],[GW]]</f>
        <v>BOU_19</v>
      </c>
      <c r="L363">
        <f>IFERROR(INDEX(TEAM_ANALYSIS!$Y:$Y,MATCH($E363,TEAM_ANALYSIS!$A:$A,0)),1)</f>
        <v>0.97058823529411764</v>
      </c>
      <c r="M363">
        <f>IFERROR(INDEX(TEAM_ANALYSIS!$Z:$Z,MATCH($E363,TEAM_ANALYSIS!$A:$A,0)),1)</f>
        <v>1.088235294117647</v>
      </c>
      <c r="N363">
        <f>IFERROR(INDEX(TEAM_ANALYSIS!$Y:$Y,MATCH($F363,TEAM_ANALYSIS!$A:$A,0)),1)</f>
        <v>0.5</v>
      </c>
      <c r="O363">
        <f>IFERROR(INDEX(TEAM_ANALYSIS!$Z:$Z,MATCH($F363,TEAM_ANALYSIS!$A:$A,0)),1)</f>
        <v>1.088235294117647</v>
      </c>
      <c r="P363">
        <f>MAX(0.05,AVERAGE(TEAM_ANALYSIS!$W$2:$W$21)*L363*O363)</f>
        <v>2.2444852941176467</v>
      </c>
      <c r="Q363">
        <f>MAX(0.05,AVERAGE(TEAM_ANALYSIS!$W$2:$W$21)*N363*M363)</f>
        <v>1.15625</v>
      </c>
      <c r="R363" s="23">
        <f>MAX(0.8,MIN(1.2,P363/AVERAGE(TEAM_ANALYSIS!$W$2:$W$21)))</f>
        <v>1.0562283737024221</v>
      </c>
      <c r="S363">
        <f>MAX(0.8,MIN(1.2,AVERAGE(TEAM_ANALYSIS!$W$2:$W$21)/Q363))</f>
        <v>1.2</v>
      </c>
      <c r="T363">
        <f>AVERAGE(R363,S363)</f>
        <v>1.128114186851211</v>
      </c>
    </row>
    <row r="364" spans="1:20" x14ac:dyDescent="0.25">
      <c r="A364">
        <v>19</v>
      </c>
      <c r="B364" t="b">
        <v>0</v>
      </c>
      <c r="C364" s="6">
        <v>46389.625</v>
      </c>
      <c r="D364" t="b">
        <v>0</v>
      </c>
      <c r="E364">
        <v>4</v>
      </c>
      <c r="F364">
        <v>8</v>
      </c>
      <c r="G364">
        <v>3</v>
      </c>
      <c r="H364" t="s">
        <v>1110</v>
      </c>
      <c r="I364" t="s">
        <v>1074</v>
      </c>
      <c r="J364" t="s">
        <v>1082</v>
      </c>
      <c r="K364" t="str">
        <f>tblTeamFixtures[[#This Row],[Team_name]]&amp;"_"&amp;tblTeamFixtures[[#This Row],[GW]]</f>
        <v>BRE_19</v>
      </c>
      <c r="L364">
        <f>IFERROR(INDEX(TEAM_ANALYSIS!$Y:$Y,MATCH($E364,TEAM_ANALYSIS!$A:$A,0)),1)</f>
        <v>1.088235294117647</v>
      </c>
      <c r="M364">
        <f>IFERROR(INDEX(TEAM_ANALYSIS!$Z:$Z,MATCH($E364,TEAM_ANALYSIS!$A:$A,0)),1)</f>
        <v>0.73529411764705888</v>
      </c>
      <c r="N364">
        <f>IFERROR(INDEX(TEAM_ANALYSIS!$Y:$Y,MATCH($F364,TEAM_ANALYSIS!$A:$A,0)),1)</f>
        <v>0.97058823529411764</v>
      </c>
      <c r="O364">
        <f>IFERROR(INDEX(TEAM_ANALYSIS!$Z:$Z,MATCH($F364,TEAM_ANALYSIS!$A:$A,0)),1)</f>
        <v>1.4411764705882353</v>
      </c>
      <c r="P364">
        <f>MAX(0.05,AVERAGE(TEAM_ANALYSIS!$W$2:$W$21)*L364*O364)</f>
        <v>3.3327205882352939</v>
      </c>
      <c r="Q364">
        <f>MAX(0.05,AVERAGE(TEAM_ANALYSIS!$W$2:$W$21)*N364*M364)</f>
        <v>1.5165441176470589</v>
      </c>
      <c r="R364" s="23">
        <f>MAX(0.8,MIN(1.2,P364/AVERAGE(TEAM_ANALYSIS!$W$2:$W$21)))</f>
        <v>1.2</v>
      </c>
      <c r="S364">
        <f>MAX(0.8,MIN(1.2,AVERAGE(TEAM_ANALYSIS!$W$2:$W$21)/Q364))</f>
        <v>1.2</v>
      </c>
      <c r="T364">
        <f>AVERAGE(R364,S364)</f>
        <v>1.2</v>
      </c>
    </row>
    <row r="365" spans="1:20" x14ac:dyDescent="0.25">
      <c r="A365">
        <v>19</v>
      </c>
      <c r="B365" t="b">
        <v>0</v>
      </c>
      <c r="C365" s="6">
        <v>46389.625</v>
      </c>
      <c r="D365" t="b">
        <v>0</v>
      </c>
      <c r="E365">
        <v>5</v>
      </c>
      <c r="F365">
        <v>16</v>
      </c>
      <c r="G365">
        <v>4</v>
      </c>
      <c r="H365" t="s">
        <v>1110</v>
      </c>
      <c r="I365" t="s">
        <v>1076</v>
      </c>
      <c r="J365" t="s">
        <v>1098</v>
      </c>
      <c r="K365" t="str">
        <f>tblTeamFixtures[[#This Row],[Team_name]]&amp;"_"&amp;tblTeamFixtures[[#This Row],[GW]]</f>
        <v>BHA_19</v>
      </c>
      <c r="L365">
        <f>IFERROR(INDEX(TEAM_ANALYSIS!$Y:$Y,MATCH($E365,TEAM_ANALYSIS!$A:$A,0)),1)</f>
        <v>1.4411764705882353</v>
      </c>
      <c r="M365">
        <f>IFERROR(INDEX(TEAM_ANALYSIS!$Z:$Z,MATCH($E365,TEAM_ANALYSIS!$A:$A,0)),1)</f>
        <v>1.088235294117647</v>
      </c>
      <c r="N365">
        <f>IFERROR(INDEX(TEAM_ANALYSIS!$Y:$Y,MATCH($F365,TEAM_ANALYSIS!$A:$A,0)),1)</f>
        <v>1.3235294117647058</v>
      </c>
      <c r="O365">
        <f>IFERROR(INDEX(TEAM_ANALYSIS!$Z:$Z,MATCH($F365,TEAM_ANALYSIS!$A:$A,0)),1)</f>
        <v>1.2058823529411764</v>
      </c>
      <c r="P365">
        <f>MAX(0.05,AVERAGE(TEAM_ANALYSIS!$W$2:$W$21)*L365*O365)</f>
        <v>3.6930147058823528</v>
      </c>
      <c r="Q365">
        <f>MAX(0.05,AVERAGE(TEAM_ANALYSIS!$W$2:$W$21)*N365*M365)</f>
        <v>3.0606617647058822</v>
      </c>
      <c r="R365" s="23">
        <f>MAX(0.8,MIN(1.2,P365/AVERAGE(TEAM_ANALYSIS!$W$2:$W$21)))</f>
        <v>1.2</v>
      </c>
      <c r="S365">
        <f>MAX(0.8,MIN(1.2,AVERAGE(TEAM_ANALYSIS!$W$2:$W$21)/Q365))</f>
        <v>0.8</v>
      </c>
      <c r="T365">
        <f>AVERAGE(R365,S365)</f>
        <v>1</v>
      </c>
    </row>
    <row r="366" spans="1:20" x14ac:dyDescent="0.25">
      <c r="A366">
        <v>19</v>
      </c>
      <c r="B366" t="b">
        <v>0</v>
      </c>
      <c r="C366" s="6">
        <v>46389.625</v>
      </c>
      <c r="D366" t="b">
        <v>0</v>
      </c>
      <c r="E366">
        <v>6</v>
      </c>
      <c r="F366">
        <v>17</v>
      </c>
      <c r="G366">
        <v>2</v>
      </c>
      <c r="H366" t="s">
        <v>1110</v>
      </c>
      <c r="I366" t="s">
        <v>1078</v>
      </c>
      <c r="J366" t="s">
        <v>1100</v>
      </c>
      <c r="K366" t="str">
        <f>tblTeamFixtures[[#This Row],[Team_name]]&amp;"_"&amp;tblTeamFixtures[[#This Row],[GW]]</f>
        <v>CHE_19</v>
      </c>
      <c r="L366">
        <f>IFERROR(INDEX(TEAM_ANALYSIS!$Y:$Y,MATCH($E366,TEAM_ANALYSIS!$A:$A,0)),1)</f>
        <v>1.4411764705882353</v>
      </c>
      <c r="M366">
        <f>IFERROR(INDEX(TEAM_ANALYSIS!$Z:$Z,MATCH($E366,TEAM_ANALYSIS!$A:$A,0)),1)</f>
        <v>1.3235294117647058</v>
      </c>
      <c r="N366">
        <f>IFERROR(INDEX(TEAM_ANALYSIS!$Y:$Y,MATCH($F366,TEAM_ANALYSIS!$A:$A,0)),1)</f>
        <v>1.2058823529411764</v>
      </c>
      <c r="O366">
        <f>IFERROR(INDEX(TEAM_ANALYSIS!$Z:$Z,MATCH($F366,TEAM_ANALYSIS!$A:$A,0)),1)</f>
        <v>0.97058823529411764</v>
      </c>
      <c r="P366">
        <f>MAX(0.05,AVERAGE(TEAM_ANALYSIS!$W$2:$W$21)*L366*O366)</f>
        <v>2.9724264705882351</v>
      </c>
      <c r="Q366">
        <f>MAX(0.05,AVERAGE(TEAM_ANALYSIS!$W$2:$W$21)*N366*M366)</f>
        <v>3.3915441176470589</v>
      </c>
      <c r="R366" s="23">
        <f>MAX(0.8,MIN(1.2,P366/AVERAGE(TEAM_ANALYSIS!$W$2:$W$21)))</f>
        <v>1.2</v>
      </c>
      <c r="S366">
        <f>MAX(0.8,MIN(1.2,AVERAGE(TEAM_ANALYSIS!$W$2:$W$21)/Q366))</f>
        <v>0.8</v>
      </c>
      <c r="T366">
        <f>AVERAGE(R366,S366)</f>
        <v>1</v>
      </c>
    </row>
    <row r="367" spans="1:20" x14ac:dyDescent="0.25">
      <c r="A367">
        <v>19</v>
      </c>
      <c r="B367" t="b">
        <v>0</v>
      </c>
      <c r="C367" s="6">
        <v>46389.625</v>
      </c>
      <c r="D367" t="b">
        <v>0</v>
      </c>
      <c r="E367">
        <v>13</v>
      </c>
      <c r="F367">
        <v>9</v>
      </c>
      <c r="G367">
        <v>3</v>
      </c>
      <c r="H367" t="s">
        <v>1110</v>
      </c>
      <c r="I367" t="s">
        <v>1092</v>
      </c>
      <c r="J367" t="s">
        <v>1084</v>
      </c>
      <c r="K367" t="str">
        <f>tblTeamFixtures[[#This Row],[Team_name]]&amp;"_"&amp;tblTeamFixtures[[#This Row],[GW]]</f>
        <v>LEE_19</v>
      </c>
      <c r="L367">
        <f>IFERROR(INDEX(TEAM_ANALYSIS!$Y:$Y,MATCH($E367,TEAM_ANALYSIS!$A:$A,0)),1)</f>
        <v>0.8529411764705882</v>
      </c>
      <c r="M367">
        <f>IFERROR(INDEX(TEAM_ANALYSIS!$Z:$Z,MATCH($E367,TEAM_ANALYSIS!$A:$A,0)),1)</f>
        <v>0.73529411764705888</v>
      </c>
      <c r="N367">
        <f>IFERROR(INDEX(TEAM_ANALYSIS!$Y:$Y,MATCH($F367,TEAM_ANALYSIS!$A:$A,0)),1)</f>
        <v>1.088235294117647</v>
      </c>
      <c r="O367">
        <f>IFERROR(INDEX(TEAM_ANALYSIS!$Z:$Z,MATCH($F367,TEAM_ANALYSIS!$A:$A,0)),1)</f>
        <v>0.8529411764705882</v>
      </c>
      <c r="P367">
        <f>MAX(0.05,AVERAGE(TEAM_ANALYSIS!$W$2:$W$21)*L367*O367)</f>
        <v>1.5459558823529411</v>
      </c>
      <c r="Q367">
        <f>MAX(0.05,AVERAGE(TEAM_ANALYSIS!$W$2:$W$21)*N367*M367)</f>
        <v>1.7003676470588236</v>
      </c>
      <c r="R367" s="23">
        <f>MAX(0.8,MIN(1.2,P367/AVERAGE(TEAM_ANALYSIS!$W$2:$W$21)))</f>
        <v>0.8</v>
      </c>
      <c r="S367">
        <f>MAX(0.8,MIN(1.2,AVERAGE(TEAM_ANALYSIS!$W$2:$W$21)/Q367))</f>
        <v>1.2</v>
      </c>
      <c r="T367">
        <f>AVERAGE(R367,S367)</f>
        <v>1</v>
      </c>
    </row>
    <row r="368" spans="1:20" x14ac:dyDescent="0.25">
      <c r="A368">
        <v>19</v>
      </c>
      <c r="B368" t="b">
        <v>0</v>
      </c>
      <c r="C368" s="6">
        <v>46389.625</v>
      </c>
      <c r="D368" t="b">
        <v>0</v>
      </c>
      <c r="E368">
        <v>14</v>
      </c>
      <c r="F368">
        <v>7</v>
      </c>
      <c r="G368">
        <v>2</v>
      </c>
      <c r="H368" t="s">
        <v>1110</v>
      </c>
      <c r="I368" t="s">
        <v>1094</v>
      </c>
      <c r="J368" t="s">
        <v>1080</v>
      </c>
      <c r="K368" t="str">
        <f>tblTeamFixtures[[#This Row],[Team_name]]&amp;"_"&amp;tblTeamFixtures[[#This Row],[GW]]</f>
        <v>LIV_19</v>
      </c>
      <c r="L368">
        <f>IFERROR(INDEX(TEAM_ANALYSIS!$Y:$Y,MATCH($E368,TEAM_ANALYSIS!$A:$A,0)),1)</f>
        <v>1.2058823529411764</v>
      </c>
      <c r="M368">
        <f>IFERROR(INDEX(TEAM_ANALYSIS!$Z:$Z,MATCH($E368,TEAM_ANALYSIS!$A:$A,0)),1)</f>
        <v>0.97058823529411764</v>
      </c>
      <c r="N368">
        <f>IFERROR(INDEX(TEAM_ANALYSIS!$Y:$Y,MATCH($F368,TEAM_ANALYSIS!$A:$A,0)),1)</f>
        <v>0.5</v>
      </c>
      <c r="O368">
        <f>IFERROR(INDEX(TEAM_ANALYSIS!$Z:$Z,MATCH($F368,TEAM_ANALYSIS!$A:$A,0)),1)</f>
        <v>1.088235294117647</v>
      </c>
      <c r="P368">
        <f>MAX(0.05,AVERAGE(TEAM_ANALYSIS!$W$2:$W$21)*L368*O368)</f>
        <v>2.7886029411764706</v>
      </c>
      <c r="Q368">
        <f>MAX(0.05,AVERAGE(TEAM_ANALYSIS!$W$2:$W$21)*N368*M368)</f>
        <v>1.03125</v>
      </c>
      <c r="R368" s="23">
        <f>MAX(0.8,MIN(1.2,P368/AVERAGE(TEAM_ANALYSIS!$W$2:$W$21)))</f>
        <v>1.2</v>
      </c>
      <c r="S368">
        <f>MAX(0.8,MIN(1.2,AVERAGE(TEAM_ANALYSIS!$W$2:$W$21)/Q368))</f>
        <v>1.2</v>
      </c>
      <c r="T368">
        <f>AVERAGE(R368,S368)</f>
        <v>1.2</v>
      </c>
    </row>
    <row r="369" spans="1:20" x14ac:dyDescent="0.25">
      <c r="A369">
        <v>19</v>
      </c>
      <c r="B369" t="b">
        <v>0</v>
      </c>
      <c r="C369" s="6">
        <v>46389.625</v>
      </c>
      <c r="D369" t="b">
        <v>0</v>
      </c>
      <c r="E369">
        <v>15</v>
      </c>
      <c r="F369">
        <v>19</v>
      </c>
      <c r="G369">
        <v>3</v>
      </c>
      <c r="H369" t="s">
        <v>1110</v>
      </c>
      <c r="I369" t="s">
        <v>1096</v>
      </c>
      <c r="J369" t="s">
        <v>1104</v>
      </c>
      <c r="K369" t="str">
        <f>tblTeamFixtures[[#This Row],[Team_name]]&amp;"_"&amp;tblTeamFixtures[[#This Row],[GW]]</f>
        <v>MCI_19</v>
      </c>
      <c r="L369">
        <f>IFERROR(INDEX(TEAM_ANALYSIS!$Y:$Y,MATCH($E369,TEAM_ANALYSIS!$A:$A,0)),1)</f>
        <v>1.3235294117647058</v>
      </c>
      <c r="M369">
        <f>IFERROR(INDEX(TEAM_ANALYSIS!$Z:$Z,MATCH($E369,TEAM_ANALYSIS!$A:$A,0)),1)</f>
        <v>0.73529411764705888</v>
      </c>
      <c r="N369">
        <f>IFERROR(INDEX(TEAM_ANALYSIS!$Y:$Y,MATCH($F369,TEAM_ANALYSIS!$A:$A,0)),1)</f>
        <v>0.5</v>
      </c>
      <c r="O369">
        <f>IFERROR(INDEX(TEAM_ANALYSIS!$Z:$Z,MATCH($F369,TEAM_ANALYSIS!$A:$A,0)),1)</f>
        <v>1.088235294117647</v>
      </c>
      <c r="P369">
        <f>MAX(0.05,AVERAGE(TEAM_ANALYSIS!$W$2:$W$21)*L369*O369)</f>
        <v>3.0606617647058822</v>
      </c>
      <c r="Q369">
        <f>MAX(0.05,AVERAGE(TEAM_ANALYSIS!$W$2:$W$21)*N369*M369)</f>
        <v>0.78125</v>
      </c>
      <c r="R369" s="23">
        <f>MAX(0.8,MIN(1.2,P369/AVERAGE(TEAM_ANALYSIS!$W$2:$W$21)))</f>
        <v>1.2</v>
      </c>
      <c r="S369">
        <f>MAX(0.8,MIN(1.2,AVERAGE(TEAM_ANALYSIS!$W$2:$W$21)/Q369))</f>
        <v>1.2</v>
      </c>
      <c r="T369">
        <f>AVERAGE(R369,S369)</f>
        <v>1.2</v>
      </c>
    </row>
    <row r="370" spans="1:20" x14ac:dyDescent="0.25">
      <c r="A370">
        <v>19</v>
      </c>
      <c r="B370" t="b">
        <v>0</v>
      </c>
      <c r="C370" s="6">
        <v>46389.625</v>
      </c>
      <c r="D370" t="b">
        <v>0</v>
      </c>
      <c r="E370">
        <v>18</v>
      </c>
      <c r="F370">
        <v>10</v>
      </c>
      <c r="G370">
        <v>2</v>
      </c>
      <c r="H370" t="s">
        <v>1110</v>
      </c>
      <c r="I370" t="s">
        <v>1102</v>
      </c>
      <c r="J370" t="s">
        <v>1086</v>
      </c>
      <c r="K370" t="str">
        <f>tblTeamFixtures[[#This Row],[Team_name]]&amp;"_"&amp;tblTeamFixtures[[#This Row],[GW]]</f>
        <v>NFO_19</v>
      </c>
      <c r="L370">
        <f>IFERROR(INDEX(TEAM_ANALYSIS!$Y:$Y,MATCH($E370,TEAM_ANALYSIS!$A:$A,0)),1)</f>
        <v>0.73529411764705888</v>
      </c>
      <c r="M370">
        <f>IFERROR(INDEX(TEAM_ANALYSIS!$Z:$Z,MATCH($E370,TEAM_ANALYSIS!$A:$A,0)),1)</f>
        <v>0.8529411764705882</v>
      </c>
      <c r="N370">
        <f>IFERROR(INDEX(TEAM_ANALYSIS!$Y:$Y,MATCH($F370,TEAM_ANALYSIS!$A:$A,0)),1)</f>
        <v>0.97058823529411764</v>
      </c>
      <c r="O370">
        <f>IFERROR(INDEX(TEAM_ANALYSIS!$Z:$Z,MATCH($F370,TEAM_ANALYSIS!$A:$A,0)),1)</f>
        <v>1.3235294117647058</v>
      </c>
      <c r="P370">
        <f>MAX(0.05,AVERAGE(TEAM_ANALYSIS!$W$2:$W$21)*L370*O370)</f>
        <v>2.0680147058823528</v>
      </c>
      <c r="Q370">
        <f>MAX(0.05,AVERAGE(TEAM_ANALYSIS!$W$2:$W$21)*N370*M370)</f>
        <v>1.7591911764705881</v>
      </c>
      <c r="R370" s="23">
        <f>MAX(0.8,MIN(1.2,P370/AVERAGE(TEAM_ANALYSIS!$W$2:$W$21)))</f>
        <v>0.97318339100346019</v>
      </c>
      <c r="S370">
        <f>MAX(0.8,MIN(1.2,AVERAGE(TEAM_ANALYSIS!$W$2:$W$21)/Q370))</f>
        <v>1.2</v>
      </c>
      <c r="T370">
        <f>AVERAGE(R370,S370)</f>
        <v>1.0865916955017301</v>
      </c>
    </row>
    <row r="371" spans="1:20" x14ac:dyDescent="0.25">
      <c r="A371">
        <v>19</v>
      </c>
      <c r="B371" t="b">
        <v>0</v>
      </c>
      <c r="C371" s="6">
        <v>46389.625</v>
      </c>
      <c r="D371" t="b">
        <v>0</v>
      </c>
      <c r="E371">
        <v>20</v>
      </c>
      <c r="F371">
        <v>11</v>
      </c>
      <c r="G371">
        <v>2</v>
      </c>
      <c r="H371" t="s">
        <v>1110</v>
      </c>
      <c r="I371" t="s">
        <v>1106</v>
      </c>
      <c r="J371" t="s">
        <v>1088</v>
      </c>
      <c r="K371" t="str">
        <f>tblTeamFixtures[[#This Row],[Team_name]]&amp;"_"&amp;tblTeamFixtures[[#This Row],[GW]]</f>
        <v>SUN_19</v>
      </c>
      <c r="L371">
        <f>IFERROR(INDEX(TEAM_ANALYSIS!$Y:$Y,MATCH($E371,TEAM_ANALYSIS!$A:$A,0)),1)</f>
        <v>0.8529411764705882</v>
      </c>
      <c r="M371">
        <f>IFERROR(INDEX(TEAM_ANALYSIS!$Z:$Z,MATCH($E371,TEAM_ANALYSIS!$A:$A,0)),1)</f>
        <v>0.8529411764705882</v>
      </c>
      <c r="N371">
        <f>IFERROR(INDEX(TEAM_ANALYSIS!$Y:$Y,MATCH($F371,TEAM_ANALYSIS!$A:$A,0)),1)</f>
        <v>0.8529411764705882</v>
      </c>
      <c r="O371">
        <f>IFERROR(INDEX(TEAM_ANALYSIS!$Z:$Z,MATCH($F371,TEAM_ANALYSIS!$A:$A,0)),1)</f>
        <v>0.5</v>
      </c>
      <c r="P371">
        <f>MAX(0.05,AVERAGE(TEAM_ANALYSIS!$W$2:$W$21)*L371*O371)</f>
        <v>0.90625</v>
      </c>
      <c r="Q371">
        <f>MAX(0.05,AVERAGE(TEAM_ANALYSIS!$W$2:$W$21)*N371*M371)</f>
        <v>1.5459558823529411</v>
      </c>
      <c r="R371" s="23">
        <f>MAX(0.8,MIN(1.2,P371/AVERAGE(TEAM_ANALYSIS!$W$2:$W$21)))</f>
        <v>0.8</v>
      </c>
      <c r="S371">
        <f>MAX(0.8,MIN(1.2,AVERAGE(TEAM_ANALYSIS!$W$2:$W$21)/Q371))</f>
        <v>1.2</v>
      </c>
      <c r="T371">
        <f>AVERAGE(R371,S371)</f>
        <v>1</v>
      </c>
    </row>
    <row r="372" spans="1:20" x14ac:dyDescent="0.25">
      <c r="A372">
        <v>19</v>
      </c>
      <c r="B372" t="b">
        <v>0</v>
      </c>
      <c r="C372" s="6">
        <v>46389.625</v>
      </c>
      <c r="D372" t="b">
        <v>0</v>
      </c>
      <c r="E372">
        <v>12</v>
      </c>
      <c r="F372">
        <v>1</v>
      </c>
      <c r="G372">
        <v>5</v>
      </c>
      <c r="H372" t="s">
        <v>1111</v>
      </c>
      <c r="I372" t="s">
        <v>1090</v>
      </c>
      <c r="J372" t="s">
        <v>1068</v>
      </c>
      <c r="K372" t="str">
        <f>tblTeamFixtures[[#This Row],[Team_name]]&amp;"_"&amp;tblTeamFixtures[[#This Row],[GW]]</f>
        <v>IPS_19</v>
      </c>
      <c r="L372">
        <f>IFERROR(INDEX(TEAM_ANALYSIS!$Y:$Y,MATCH($E372,TEAM_ANALYSIS!$A:$A,0)),1)</f>
        <v>0.97058823529411764</v>
      </c>
      <c r="M372">
        <f>IFERROR(INDEX(TEAM_ANALYSIS!$Z:$Z,MATCH($E372,TEAM_ANALYSIS!$A:$A,0)),1)</f>
        <v>1.4411764705882353</v>
      </c>
      <c r="N372">
        <f>IFERROR(INDEX(TEAM_ANALYSIS!$Y:$Y,MATCH($F372,TEAM_ANALYSIS!$A:$A,0)),1)</f>
        <v>1.2058823529411764</v>
      </c>
      <c r="O372">
        <f>IFERROR(INDEX(TEAM_ANALYSIS!$Z:$Z,MATCH($F372,TEAM_ANALYSIS!$A:$A,0)),1)</f>
        <v>0.61764705882352944</v>
      </c>
      <c r="P372">
        <f>MAX(0.05,AVERAGE(TEAM_ANALYSIS!$W$2:$W$21)*L372*O372)</f>
        <v>1.2738970588235294</v>
      </c>
      <c r="Q372">
        <f>MAX(0.05,AVERAGE(TEAM_ANALYSIS!$W$2:$W$21)*N372*M372)</f>
        <v>3.6930147058823528</v>
      </c>
      <c r="R372" s="23">
        <f>MAX(0.8,MIN(1.2,P372/AVERAGE(TEAM_ANALYSIS!$W$2:$W$21)))</f>
        <v>0.8</v>
      </c>
      <c r="S372">
        <f>MAX(0.8,MIN(1.2,AVERAGE(TEAM_ANALYSIS!$W$2:$W$21)/Q372))</f>
        <v>0.8</v>
      </c>
      <c r="T372">
        <f>AVERAGE(R372,S372)</f>
        <v>0.8</v>
      </c>
    </row>
    <row r="373" spans="1:20" x14ac:dyDescent="0.25">
      <c r="A373">
        <v>19</v>
      </c>
      <c r="B373" t="b">
        <v>0</v>
      </c>
      <c r="C373" s="6">
        <v>46389.625</v>
      </c>
      <c r="D373" t="b">
        <v>0</v>
      </c>
      <c r="E373">
        <v>2</v>
      </c>
      <c r="F373">
        <v>3</v>
      </c>
      <c r="G373">
        <v>3</v>
      </c>
      <c r="H373" t="s">
        <v>1111</v>
      </c>
      <c r="I373" t="s">
        <v>1070</v>
      </c>
      <c r="J373" t="s">
        <v>1072</v>
      </c>
      <c r="K373" t="str">
        <f>tblTeamFixtures[[#This Row],[Team_name]]&amp;"_"&amp;tblTeamFixtures[[#This Row],[GW]]</f>
        <v>AVL_19</v>
      </c>
      <c r="L373">
        <f>IFERROR(INDEX(TEAM_ANALYSIS!$Y:$Y,MATCH($E373,TEAM_ANALYSIS!$A:$A,0)),1)</f>
        <v>0.5</v>
      </c>
      <c r="M373">
        <f>IFERROR(INDEX(TEAM_ANALYSIS!$Z:$Z,MATCH($E373,TEAM_ANALYSIS!$A:$A,0)),1)</f>
        <v>1.088235294117647</v>
      </c>
      <c r="N373">
        <f>IFERROR(INDEX(TEAM_ANALYSIS!$Y:$Y,MATCH($F373,TEAM_ANALYSIS!$A:$A,0)),1)</f>
        <v>0.97058823529411764</v>
      </c>
      <c r="O373">
        <f>IFERROR(INDEX(TEAM_ANALYSIS!$Z:$Z,MATCH($F373,TEAM_ANALYSIS!$A:$A,0)),1)</f>
        <v>1.088235294117647</v>
      </c>
      <c r="P373">
        <f>MAX(0.05,AVERAGE(TEAM_ANALYSIS!$W$2:$W$21)*L373*O373)</f>
        <v>1.15625</v>
      </c>
      <c r="Q373">
        <f>MAX(0.05,AVERAGE(TEAM_ANALYSIS!$W$2:$W$21)*N373*M373)</f>
        <v>2.2444852941176467</v>
      </c>
      <c r="R373" s="23">
        <f>MAX(0.8,MIN(1.2,P373/AVERAGE(TEAM_ANALYSIS!$W$2:$W$21)))</f>
        <v>0.8</v>
      </c>
      <c r="S373">
        <f>MAX(0.8,MIN(1.2,AVERAGE(TEAM_ANALYSIS!$W$2:$W$21)/Q373))</f>
        <v>0.94676494676494694</v>
      </c>
      <c r="T373">
        <f>AVERAGE(R373,S373)</f>
        <v>0.87338247338247355</v>
      </c>
    </row>
    <row r="374" spans="1:20" x14ac:dyDescent="0.25">
      <c r="A374">
        <v>19</v>
      </c>
      <c r="B374" t="b">
        <v>0</v>
      </c>
      <c r="C374" s="6">
        <v>46389.625</v>
      </c>
      <c r="D374" t="b">
        <v>0</v>
      </c>
      <c r="E374">
        <v>8</v>
      </c>
      <c r="F374">
        <v>4</v>
      </c>
      <c r="G374">
        <v>3</v>
      </c>
      <c r="H374" t="s">
        <v>1111</v>
      </c>
      <c r="I374" t="s">
        <v>1082</v>
      </c>
      <c r="J374" t="s">
        <v>1074</v>
      </c>
      <c r="K374" t="str">
        <f>tblTeamFixtures[[#This Row],[Team_name]]&amp;"_"&amp;tblTeamFixtures[[#This Row],[GW]]</f>
        <v>CRY_19</v>
      </c>
      <c r="L374">
        <f>IFERROR(INDEX(TEAM_ANALYSIS!$Y:$Y,MATCH($E374,TEAM_ANALYSIS!$A:$A,0)),1)</f>
        <v>0.97058823529411764</v>
      </c>
      <c r="M374">
        <f>IFERROR(INDEX(TEAM_ANALYSIS!$Z:$Z,MATCH($E374,TEAM_ANALYSIS!$A:$A,0)),1)</f>
        <v>1.4411764705882353</v>
      </c>
      <c r="N374">
        <f>IFERROR(INDEX(TEAM_ANALYSIS!$Y:$Y,MATCH($F374,TEAM_ANALYSIS!$A:$A,0)),1)</f>
        <v>1.088235294117647</v>
      </c>
      <c r="O374">
        <f>IFERROR(INDEX(TEAM_ANALYSIS!$Z:$Z,MATCH($F374,TEAM_ANALYSIS!$A:$A,0)),1)</f>
        <v>0.73529411764705888</v>
      </c>
      <c r="P374">
        <f>MAX(0.05,AVERAGE(TEAM_ANALYSIS!$W$2:$W$21)*L374*O374)</f>
        <v>1.5165441176470589</v>
      </c>
      <c r="Q374">
        <f>MAX(0.05,AVERAGE(TEAM_ANALYSIS!$W$2:$W$21)*N374*M374)</f>
        <v>3.3327205882352939</v>
      </c>
      <c r="R374" s="23">
        <f>MAX(0.8,MIN(1.2,P374/AVERAGE(TEAM_ANALYSIS!$W$2:$W$21)))</f>
        <v>0.8</v>
      </c>
      <c r="S374">
        <f>MAX(0.8,MIN(1.2,AVERAGE(TEAM_ANALYSIS!$W$2:$W$21)/Q374))</f>
        <v>0.8</v>
      </c>
      <c r="T374">
        <f>AVERAGE(R374,S374)</f>
        <v>0.8</v>
      </c>
    </row>
    <row r="375" spans="1:20" x14ac:dyDescent="0.25">
      <c r="A375">
        <v>19</v>
      </c>
      <c r="B375" t="b">
        <v>0</v>
      </c>
      <c r="C375" s="6">
        <v>46389.625</v>
      </c>
      <c r="D375" t="b">
        <v>0</v>
      </c>
      <c r="E375">
        <v>16</v>
      </c>
      <c r="F375">
        <v>5</v>
      </c>
      <c r="G375">
        <v>3</v>
      </c>
      <c r="H375" t="s">
        <v>1111</v>
      </c>
      <c r="I375" t="s">
        <v>1098</v>
      </c>
      <c r="J375" t="s">
        <v>1076</v>
      </c>
      <c r="K375" t="str">
        <f>tblTeamFixtures[[#This Row],[Team_name]]&amp;"_"&amp;tblTeamFixtures[[#This Row],[GW]]</f>
        <v>MUN_19</v>
      </c>
      <c r="L375">
        <f>IFERROR(INDEX(TEAM_ANALYSIS!$Y:$Y,MATCH($E375,TEAM_ANALYSIS!$A:$A,0)),1)</f>
        <v>1.3235294117647058</v>
      </c>
      <c r="M375">
        <f>IFERROR(INDEX(TEAM_ANALYSIS!$Z:$Z,MATCH($E375,TEAM_ANALYSIS!$A:$A,0)),1)</f>
        <v>1.2058823529411764</v>
      </c>
      <c r="N375">
        <f>IFERROR(INDEX(TEAM_ANALYSIS!$Y:$Y,MATCH($F375,TEAM_ANALYSIS!$A:$A,0)),1)</f>
        <v>1.4411764705882353</v>
      </c>
      <c r="O375">
        <f>IFERROR(INDEX(TEAM_ANALYSIS!$Z:$Z,MATCH($F375,TEAM_ANALYSIS!$A:$A,0)),1)</f>
        <v>1.088235294117647</v>
      </c>
      <c r="P375">
        <f>MAX(0.05,AVERAGE(TEAM_ANALYSIS!$W$2:$W$21)*L375*O375)</f>
        <v>3.0606617647058822</v>
      </c>
      <c r="Q375">
        <f>MAX(0.05,AVERAGE(TEAM_ANALYSIS!$W$2:$W$21)*N375*M375)</f>
        <v>3.6930147058823528</v>
      </c>
      <c r="R375" s="23">
        <f>MAX(0.8,MIN(1.2,P375/AVERAGE(TEAM_ANALYSIS!$W$2:$W$21)))</f>
        <v>1.2</v>
      </c>
      <c r="S375">
        <f>MAX(0.8,MIN(1.2,AVERAGE(TEAM_ANALYSIS!$W$2:$W$21)/Q375))</f>
        <v>0.8</v>
      </c>
      <c r="T375">
        <f>AVERAGE(R375,S375)</f>
        <v>1</v>
      </c>
    </row>
    <row r="376" spans="1:20" x14ac:dyDescent="0.25">
      <c r="A376">
        <v>19</v>
      </c>
      <c r="B376" t="b">
        <v>0</v>
      </c>
      <c r="C376" s="6">
        <v>46389.625</v>
      </c>
      <c r="D376" t="b">
        <v>0</v>
      </c>
      <c r="E376">
        <v>17</v>
      </c>
      <c r="F376">
        <v>6</v>
      </c>
      <c r="G376">
        <v>4</v>
      </c>
      <c r="H376" t="s">
        <v>1111</v>
      </c>
      <c r="I376" t="s">
        <v>1100</v>
      </c>
      <c r="J376" t="s">
        <v>1078</v>
      </c>
      <c r="K376" t="str">
        <f>tblTeamFixtures[[#This Row],[Team_name]]&amp;"_"&amp;tblTeamFixtures[[#This Row],[GW]]</f>
        <v>NEW_19</v>
      </c>
      <c r="L376">
        <f>IFERROR(INDEX(TEAM_ANALYSIS!$Y:$Y,MATCH($E376,TEAM_ANALYSIS!$A:$A,0)),1)</f>
        <v>1.2058823529411764</v>
      </c>
      <c r="M376">
        <f>IFERROR(INDEX(TEAM_ANALYSIS!$Z:$Z,MATCH($E376,TEAM_ANALYSIS!$A:$A,0)),1)</f>
        <v>0.97058823529411764</v>
      </c>
      <c r="N376">
        <f>IFERROR(INDEX(TEAM_ANALYSIS!$Y:$Y,MATCH($F376,TEAM_ANALYSIS!$A:$A,0)),1)</f>
        <v>1.4411764705882353</v>
      </c>
      <c r="O376">
        <f>IFERROR(INDEX(TEAM_ANALYSIS!$Z:$Z,MATCH($F376,TEAM_ANALYSIS!$A:$A,0)),1)</f>
        <v>1.3235294117647058</v>
      </c>
      <c r="P376">
        <f>MAX(0.05,AVERAGE(TEAM_ANALYSIS!$W$2:$W$21)*L376*O376)</f>
        <v>3.3915441176470589</v>
      </c>
      <c r="Q376">
        <f>MAX(0.05,AVERAGE(TEAM_ANALYSIS!$W$2:$W$21)*N376*M376)</f>
        <v>2.9724264705882351</v>
      </c>
      <c r="R376" s="23">
        <f>MAX(0.8,MIN(1.2,P376/AVERAGE(TEAM_ANALYSIS!$W$2:$W$21)))</f>
        <v>1.2</v>
      </c>
      <c r="S376">
        <f>MAX(0.8,MIN(1.2,AVERAGE(TEAM_ANALYSIS!$W$2:$W$21)/Q376))</f>
        <v>0.8</v>
      </c>
      <c r="T376">
        <f>AVERAGE(R376,S376)</f>
        <v>1</v>
      </c>
    </row>
    <row r="377" spans="1:20" x14ac:dyDescent="0.25">
      <c r="A377">
        <v>19</v>
      </c>
      <c r="B377" t="b">
        <v>0</v>
      </c>
      <c r="C377" s="6">
        <v>46389.625</v>
      </c>
      <c r="D377" t="b">
        <v>0</v>
      </c>
      <c r="E377">
        <v>9</v>
      </c>
      <c r="F377">
        <v>13</v>
      </c>
      <c r="G377">
        <v>3</v>
      </c>
      <c r="H377" t="s">
        <v>1111</v>
      </c>
      <c r="I377" t="s">
        <v>1084</v>
      </c>
      <c r="J377" t="s">
        <v>1092</v>
      </c>
      <c r="K377" t="str">
        <f>tblTeamFixtures[[#This Row],[Team_name]]&amp;"_"&amp;tblTeamFixtures[[#This Row],[GW]]</f>
        <v>EVE_19</v>
      </c>
      <c r="L377">
        <f>IFERROR(INDEX(TEAM_ANALYSIS!$Y:$Y,MATCH($E377,TEAM_ANALYSIS!$A:$A,0)),1)</f>
        <v>1.088235294117647</v>
      </c>
      <c r="M377">
        <f>IFERROR(INDEX(TEAM_ANALYSIS!$Z:$Z,MATCH($E377,TEAM_ANALYSIS!$A:$A,0)),1)</f>
        <v>0.8529411764705882</v>
      </c>
      <c r="N377">
        <f>IFERROR(INDEX(TEAM_ANALYSIS!$Y:$Y,MATCH($F377,TEAM_ANALYSIS!$A:$A,0)),1)</f>
        <v>0.8529411764705882</v>
      </c>
      <c r="O377">
        <f>IFERROR(INDEX(TEAM_ANALYSIS!$Z:$Z,MATCH($F377,TEAM_ANALYSIS!$A:$A,0)),1)</f>
        <v>0.73529411764705888</v>
      </c>
      <c r="P377">
        <f>MAX(0.05,AVERAGE(TEAM_ANALYSIS!$W$2:$W$21)*L377*O377)</f>
        <v>1.7003676470588236</v>
      </c>
      <c r="Q377">
        <f>MAX(0.05,AVERAGE(TEAM_ANALYSIS!$W$2:$W$21)*N377*M377)</f>
        <v>1.5459558823529411</v>
      </c>
      <c r="R377" s="23">
        <f>MAX(0.8,MIN(1.2,P377/AVERAGE(TEAM_ANALYSIS!$W$2:$W$21)))</f>
        <v>0.80017301038062283</v>
      </c>
      <c r="S377">
        <f>MAX(0.8,MIN(1.2,AVERAGE(TEAM_ANALYSIS!$W$2:$W$21)/Q377))</f>
        <v>1.2</v>
      </c>
      <c r="T377">
        <f>AVERAGE(R377,S377)</f>
        <v>1.0000865051903114</v>
      </c>
    </row>
    <row r="378" spans="1:20" x14ac:dyDescent="0.25">
      <c r="A378">
        <v>19</v>
      </c>
      <c r="B378" t="b">
        <v>0</v>
      </c>
      <c r="C378" s="6">
        <v>46389.625</v>
      </c>
      <c r="D378" t="b">
        <v>0</v>
      </c>
      <c r="E378">
        <v>7</v>
      </c>
      <c r="F378">
        <v>14</v>
      </c>
      <c r="G378">
        <v>4</v>
      </c>
      <c r="H378" t="s">
        <v>1111</v>
      </c>
      <c r="I378" t="s">
        <v>1080</v>
      </c>
      <c r="J378" t="s">
        <v>1094</v>
      </c>
      <c r="K378" t="str">
        <f>tblTeamFixtures[[#This Row],[Team_name]]&amp;"_"&amp;tblTeamFixtures[[#This Row],[GW]]</f>
        <v>COV_19</v>
      </c>
      <c r="L378">
        <f>IFERROR(INDEX(TEAM_ANALYSIS!$Y:$Y,MATCH($E378,TEAM_ANALYSIS!$A:$A,0)),1)</f>
        <v>0.5</v>
      </c>
      <c r="M378">
        <f>IFERROR(INDEX(TEAM_ANALYSIS!$Z:$Z,MATCH($E378,TEAM_ANALYSIS!$A:$A,0)),1)</f>
        <v>1.088235294117647</v>
      </c>
      <c r="N378">
        <f>IFERROR(INDEX(TEAM_ANALYSIS!$Y:$Y,MATCH($F378,TEAM_ANALYSIS!$A:$A,0)),1)</f>
        <v>1.2058823529411764</v>
      </c>
      <c r="O378">
        <f>IFERROR(INDEX(TEAM_ANALYSIS!$Z:$Z,MATCH($F378,TEAM_ANALYSIS!$A:$A,0)),1)</f>
        <v>0.97058823529411764</v>
      </c>
      <c r="P378">
        <f>MAX(0.05,AVERAGE(TEAM_ANALYSIS!$W$2:$W$21)*L378*O378)</f>
        <v>1.03125</v>
      </c>
      <c r="Q378">
        <f>MAX(0.05,AVERAGE(TEAM_ANALYSIS!$W$2:$W$21)*N378*M378)</f>
        <v>2.7886029411764706</v>
      </c>
      <c r="R378" s="23">
        <f>MAX(0.8,MIN(1.2,P378/AVERAGE(TEAM_ANALYSIS!$W$2:$W$21)))</f>
        <v>0.8</v>
      </c>
      <c r="S378">
        <f>MAX(0.8,MIN(1.2,AVERAGE(TEAM_ANALYSIS!$W$2:$W$21)/Q378))</f>
        <v>0.8</v>
      </c>
      <c r="T378">
        <f>AVERAGE(R378,S378)</f>
        <v>0.8</v>
      </c>
    </row>
    <row r="379" spans="1:20" x14ac:dyDescent="0.25">
      <c r="A379">
        <v>19</v>
      </c>
      <c r="B379" t="b">
        <v>0</v>
      </c>
      <c r="C379" s="6">
        <v>46389.625</v>
      </c>
      <c r="D379" t="b">
        <v>0</v>
      </c>
      <c r="E379">
        <v>19</v>
      </c>
      <c r="F379">
        <v>15</v>
      </c>
      <c r="G379">
        <v>5</v>
      </c>
      <c r="H379" t="s">
        <v>1111</v>
      </c>
      <c r="I379" t="s">
        <v>1104</v>
      </c>
      <c r="J379" t="s">
        <v>1096</v>
      </c>
      <c r="K379" t="str">
        <f>tblTeamFixtures[[#This Row],[Team_name]]&amp;"_"&amp;tblTeamFixtures[[#This Row],[GW]]</f>
        <v>TOT_19</v>
      </c>
      <c r="L379">
        <f>IFERROR(INDEX(TEAM_ANALYSIS!$Y:$Y,MATCH($E379,TEAM_ANALYSIS!$A:$A,0)),1)</f>
        <v>0.5</v>
      </c>
      <c r="M379">
        <f>IFERROR(INDEX(TEAM_ANALYSIS!$Z:$Z,MATCH($E379,TEAM_ANALYSIS!$A:$A,0)),1)</f>
        <v>1.088235294117647</v>
      </c>
      <c r="N379">
        <f>IFERROR(INDEX(TEAM_ANALYSIS!$Y:$Y,MATCH($F379,TEAM_ANALYSIS!$A:$A,0)),1)</f>
        <v>1.3235294117647058</v>
      </c>
      <c r="O379">
        <f>IFERROR(INDEX(TEAM_ANALYSIS!$Z:$Z,MATCH($F379,TEAM_ANALYSIS!$A:$A,0)),1)</f>
        <v>0.73529411764705888</v>
      </c>
      <c r="P379">
        <f>MAX(0.05,AVERAGE(TEAM_ANALYSIS!$W$2:$W$21)*L379*O379)</f>
        <v>0.78125</v>
      </c>
      <c r="Q379">
        <f>MAX(0.05,AVERAGE(TEAM_ANALYSIS!$W$2:$W$21)*N379*M379)</f>
        <v>3.0606617647058822</v>
      </c>
      <c r="R379" s="23">
        <f>MAX(0.8,MIN(1.2,P379/AVERAGE(TEAM_ANALYSIS!$W$2:$W$21)))</f>
        <v>0.8</v>
      </c>
      <c r="S379">
        <f>MAX(0.8,MIN(1.2,AVERAGE(TEAM_ANALYSIS!$W$2:$W$21)/Q379))</f>
        <v>0.8</v>
      </c>
      <c r="T379">
        <f>AVERAGE(R379,S379)</f>
        <v>0.8</v>
      </c>
    </row>
    <row r="380" spans="1:20" x14ac:dyDescent="0.25">
      <c r="A380">
        <v>19</v>
      </c>
      <c r="B380" t="b">
        <v>0</v>
      </c>
      <c r="C380" s="6">
        <v>46389.625</v>
      </c>
      <c r="D380" t="b">
        <v>0</v>
      </c>
      <c r="E380">
        <v>10</v>
      </c>
      <c r="F380">
        <v>18</v>
      </c>
      <c r="G380">
        <v>3</v>
      </c>
      <c r="H380" t="s">
        <v>1111</v>
      </c>
      <c r="I380" t="s">
        <v>1086</v>
      </c>
      <c r="J380" t="s">
        <v>1102</v>
      </c>
      <c r="K380" t="str">
        <f>tblTeamFixtures[[#This Row],[Team_name]]&amp;"_"&amp;tblTeamFixtures[[#This Row],[GW]]</f>
        <v>FUL_19</v>
      </c>
      <c r="L380">
        <f>IFERROR(INDEX(TEAM_ANALYSIS!$Y:$Y,MATCH($E380,TEAM_ANALYSIS!$A:$A,0)),1)</f>
        <v>0.97058823529411764</v>
      </c>
      <c r="M380">
        <f>IFERROR(INDEX(TEAM_ANALYSIS!$Z:$Z,MATCH($E380,TEAM_ANALYSIS!$A:$A,0)),1)</f>
        <v>1.3235294117647058</v>
      </c>
      <c r="N380">
        <f>IFERROR(INDEX(TEAM_ANALYSIS!$Y:$Y,MATCH($F380,TEAM_ANALYSIS!$A:$A,0)),1)</f>
        <v>0.73529411764705888</v>
      </c>
      <c r="O380">
        <f>IFERROR(INDEX(TEAM_ANALYSIS!$Z:$Z,MATCH($F380,TEAM_ANALYSIS!$A:$A,0)),1)</f>
        <v>0.8529411764705882</v>
      </c>
      <c r="P380">
        <f>MAX(0.05,AVERAGE(TEAM_ANALYSIS!$W$2:$W$21)*L380*O380)</f>
        <v>1.7591911764705881</v>
      </c>
      <c r="Q380">
        <f>MAX(0.05,AVERAGE(TEAM_ANALYSIS!$W$2:$W$21)*N380*M380)</f>
        <v>2.0680147058823528</v>
      </c>
      <c r="R380" s="23">
        <f>MAX(0.8,MIN(1.2,P380/AVERAGE(TEAM_ANALYSIS!$W$2:$W$21)))</f>
        <v>0.82785467128027679</v>
      </c>
      <c r="S380">
        <f>MAX(0.8,MIN(1.2,AVERAGE(TEAM_ANALYSIS!$W$2:$W$21)/Q380))</f>
        <v>1.0275555555555556</v>
      </c>
      <c r="T380">
        <f>AVERAGE(R380,S380)</f>
        <v>0.92770511341791617</v>
      </c>
    </row>
    <row r="381" spans="1:20" x14ac:dyDescent="0.25">
      <c r="A381">
        <v>19</v>
      </c>
      <c r="B381" t="b">
        <v>0</v>
      </c>
      <c r="C381" s="6">
        <v>46389.625</v>
      </c>
      <c r="D381" t="b">
        <v>0</v>
      </c>
      <c r="E381">
        <v>11</v>
      </c>
      <c r="F381">
        <v>20</v>
      </c>
      <c r="G381">
        <v>3</v>
      </c>
      <c r="H381" t="s">
        <v>1111</v>
      </c>
      <c r="I381" t="s">
        <v>1088</v>
      </c>
      <c r="J381" t="s">
        <v>1106</v>
      </c>
      <c r="K381" t="str">
        <f>tblTeamFixtures[[#This Row],[Team_name]]&amp;"_"&amp;tblTeamFixtures[[#This Row],[GW]]</f>
        <v>HUL_19</v>
      </c>
      <c r="L381">
        <f>IFERROR(INDEX(TEAM_ANALYSIS!$Y:$Y,MATCH($E381,TEAM_ANALYSIS!$A:$A,0)),1)</f>
        <v>0.8529411764705882</v>
      </c>
      <c r="M381">
        <f>IFERROR(INDEX(TEAM_ANALYSIS!$Z:$Z,MATCH($E381,TEAM_ANALYSIS!$A:$A,0)),1)</f>
        <v>0.5</v>
      </c>
      <c r="N381">
        <f>IFERROR(INDEX(TEAM_ANALYSIS!$Y:$Y,MATCH($F381,TEAM_ANALYSIS!$A:$A,0)),1)</f>
        <v>0.8529411764705882</v>
      </c>
      <c r="O381">
        <f>IFERROR(INDEX(TEAM_ANALYSIS!$Z:$Z,MATCH($F381,TEAM_ANALYSIS!$A:$A,0)),1)</f>
        <v>0.8529411764705882</v>
      </c>
      <c r="P381">
        <f>MAX(0.05,AVERAGE(TEAM_ANALYSIS!$W$2:$W$21)*L381*O381)</f>
        <v>1.5459558823529411</v>
      </c>
      <c r="Q381">
        <f>MAX(0.05,AVERAGE(TEAM_ANALYSIS!$W$2:$W$21)*N381*M381)</f>
        <v>0.90625</v>
      </c>
      <c r="R381" s="23">
        <f>MAX(0.8,MIN(1.2,P381/AVERAGE(TEAM_ANALYSIS!$W$2:$W$21)))</f>
        <v>0.8</v>
      </c>
      <c r="S381">
        <f>MAX(0.8,MIN(1.2,AVERAGE(TEAM_ANALYSIS!$W$2:$W$21)/Q381))</f>
        <v>1.2</v>
      </c>
      <c r="T381">
        <f>AVERAGE(R381,S381)</f>
        <v>1</v>
      </c>
    </row>
    <row r="382" spans="1:20" x14ac:dyDescent="0.25">
      <c r="A382">
        <v>20</v>
      </c>
      <c r="B382" t="b">
        <v>0</v>
      </c>
      <c r="C382" s="6">
        <v>46393.833333333336</v>
      </c>
      <c r="D382" t="b">
        <v>0</v>
      </c>
      <c r="E382">
        <v>1</v>
      </c>
      <c r="F382">
        <v>4</v>
      </c>
      <c r="G382">
        <v>3</v>
      </c>
      <c r="H382" t="s">
        <v>1110</v>
      </c>
      <c r="I382" t="s">
        <v>1068</v>
      </c>
      <c r="J382" t="s">
        <v>1074</v>
      </c>
      <c r="K382" t="str">
        <f>tblTeamFixtures[[#This Row],[Team_name]]&amp;"_"&amp;tblTeamFixtures[[#This Row],[GW]]</f>
        <v>ARS_20</v>
      </c>
      <c r="L382">
        <f>IFERROR(INDEX(TEAM_ANALYSIS!$Y:$Y,MATCH($E382,TEAM_ANALYSIS!$A:$A,0)),1)</f>
        <v>1.2058823529411764</v>
      </c>
      <c r="M382">
        <f>IFERROR(INDEX(TEAM_ANALYSIS!$Z:$Z,MATCH($E382,TEAM_ANALYSIS!$A:$A,0)),1)</f>
        <v>0.61764705882352944</v>
      </c>
      <c r="N382">
        <f>IFERROR(INDEX(TEAM_ANALYSIS!$Y:$Y,MATCH($F382,TEAM_ANALYSIS!$A:$A,0)),1)</f>
        <v>1.088235294117647</v>
      </c>
      <c r="O382">
        <f>IFERROR(INDEX(TEAM_ANALYSIS!$Z:$Z,MATCH($F382,TEAM_ANALYSIS!$A:$A,0)),1)</f>
        <v>0.73529411764705888</v>
      </c>
      <c r="P382">
        <f>MAX(0.05,AVERAGE(TEAM_ANALYSIS!$W$2:$W$21)*L382*O382)</f>
        <v>1.8841911764705883</v>
      </c>
      <c r="Q382">
        <f>MAX(0.05,AVERAGE(TEAM_ANALYSIS!$W$2:$W$21)*N382*M382)</f>
        <v>1.4283088235294119</v>
      </c>
      <c r="R382" s="23">
        <f>MAX(0.8,MIN(1.2,P382/AVERAGE(TEAM_ANALYSIS!$W$2:$W$21)))</f>
        <v>0.88667820069204151</v>
      </c>
      <c r="S382">
        <f>MAX(0.8,MIN(1.2,AVERAGE(TEAM_ANALYSIS!$W$2:$W$21)/Q382))</f>
        <v>1.2</v>
      </c>
      <c r="T382">
        <f>AVERAGE(R382,S382)</f>
        <v>1.0433391003460208</v>
      </c>
    </row>
    <row r="383" spans="1:20" x14ac:dyDescent="0.25">
      <c r="A383">
        <v>20</v>
      </c>
      <c r="B383" t="b">
        <v>0</v>
      </c>
      <c r="C383" s="6">
        <v>46393.833333333336</v>
      </c>
      <c r="D383" t="b">
        <v>0</v>
      </c>
      <c r="E383">
        <v>5</v>
      </c>
      <c r="F383">
        <v>3</v>
      </c>
      <c r="G383">
        <v>3</v>
      </c>
      <c r="H383" t="s">
        <v>1110</v>
      </c>
      <c r="I383" t="s">
        <v>1076</v>
      </c>
      <c r="J383" t="s">
        <v>1072</v>
      </c>
      <c r="K383" t="str">
        <f>tblTeamFixtures[[#This Row],[Team_name]]&amp;"_"&amp;tblTeamFixtures[[#This Row],[GW]]</f>
        <v>BHA_20</v>
      </c>
      <c r="L383">
        <f>IFERROR(INDEX(TEAM_ANALYSIS!$Y:$Y,MATCH($E383,TEAM_ANALYSIS!$A:$A,0)),1)</f>
        <v>1.4411764705882353</v>
      </c>
      <c r="M383">
        <f>IFERROR(INDEX(TEAM_ANALYSIS!$Z:$Z,MATCH($E383,TEAM_ANALYSIS!$A:$A,0)),1)</f>
        <v>1.088235294117647</v>
      </c>
      <c r="N383">
        <f>IFERROR(INDEX(TEAM_ANALYSIS!$Y:$Y,MATCH($F383,TEAM_ANALYSIS!$A:$A,0)),1)</f>
        <v>0.97058823529411764</v>
      </c>
      <c r="O383">
        <f>IFERROR(INDEX(TEAM_ANALYSIS!$Z:$Z,MATCH($F383,TEAM_ANALYSIS!$A:$A,0)),1)</f>
        <v>1.088235294117647</v>
      </c>
      <c r="P383">
        <f>MAX(0.05,AVERAGE(TEAM_ANALYSIS!$W$2:$W$21)*L383*O383)</f>
        <v>3.3327205882352939</v>
      </c>
      <c r="Q383">
        <f>MAX(0.05,AVERAGE(TEAM_ANALYSIS!$W$2:$W$21)*N383*M383)</f>
        <v>2.2444852941176467</v>
      </c>
      <c r="R383" s="23">
        <f>MAX(0.8,MIN(1.2,P383/AVERAGE(TEAM_ANALYSIS!$W$2:$W$21)))</f>
        <v>1.2</v>
      </c>
      <c r="S383">
        <f>MAX(0.8,MIN(1.2,AVERAGE(TEAM_ANALYSIS!$W$2:$W$21)/Q383))</f>
        <v>0.94676494676494694</v>
      </c>
      <c r="T383">
        <f>AVERAGE(R383,S383)</f>
        <v>1.0733824733824735</v>
      </c>
    </row>
    <row r="384" spans="1:20" x14ac:dyDescent="0.25">
      <c r="A384">
        <v>20</v>
      </c>
      <c r="B384" t="b">
        <v>0</v>
      </c>
      <c r="C384" s="6">
        <v>46393.833333333336</v>
      </c>
      <c r="D384" t="b">
        <v>0</v>
      </c>
      <c r="E384">
        <v>8</v>
      </c>
      <c r="F384">
        <v>6</v>
      </c>
      <c r="G384">
        <v>4</v>
      </c>
      <c r="H384" t="s">
        <v>1110</v>
      </c>
      <c r="I384" t="s">
        <v>1082</v>
      </c>
      <c r="J384" t="s">
        <v>1078</v>
      </c>
      <c r="K384" t="str">
        <f>tblTeamFixtures[[#This Row],[Team_name]]&amp;"_"&amp;tblTeamFixtures[[#This Row],[GW]]</f>
        <v>CRY_20</v>
      </c>
      <c r="L384">
        <f>IFERROR(INDEX(TEAM_ANALYSIS!$Y:$Y,MATCH($E384,TEAM_ANALYSIS!$A:$A,0)),1)</f>
        <v>0.97058823529411764</v>
      </c>
      <c r="M384">
        <f>IFERROR(INDEX(TEAM_ANALYSIS!$Z:$Z,MATCH($E384,TEAM_ANALYSIS!$A:$A,0)),1)</f>
        <v>1.4411764705882353</v>
      </c>
      <c r="N384">
        <f>IFERROR(INDEX(TEAM_ANALYSIS!$Y:$Y,MATCH($F384,TEAM_ANALYSIS!$A:$A,0)),1)</f>
        <v>1.4411764705882353</v>
      </c>
      <c r="O384">
        <f>IFERROR(INDEX(TEAM_ANALYSIS!$Z:$Z,MATCH($F384,TEAM_ANALYSIS!$A:$A,0)),1)</f>
        <v>1.3235294117647058</v>
      </c>
      <c r="P384">
        <f>MAX(0.05,AVERAGE(TEAM_ANALYSIS!$W$2:$W$21)*L384*O384)</f>
        <v>2.7297794117647056</v>
      </c>
      <c r="Q384">
        <f>MAX(0.05,AVERAGE(TEAM_ANALYSIS!$W$2:$W$21)*N384*M384)</f>
        <v>4.4136029411764701</v>
      </c>
      <c r="R384" s="23">
        <f>MAX(0.8,MIN(1.2,P384/AVERAGE(TEAM_ANALYSIS!$W$2:$W$21)))</f>
        <v>1.2</v>
      </c>
      <c r="S384">
        <f>MAX(0.8,MIN(1.2,AVERAGE(TEAM_ANALYSIS!$W$2:$W$21)/Q384))</f>
        <v>0.8</v>
      </c>
      <c r="T384">
        <f>AVERAGE(R384,S384)</f>
        <v>1</v>
      </c>
    </row>
    <row r="385" spans="1:20" x14ac:dyDescent="0.25">
      <c r="A385">
        <v>20</v>
      </c>
      <c r="B385" t="b">
        <v>0</v>
      </c>
      <c r="C385" s="6">
        <v>46393.833333333336</v>
      </c>
      <c r="D385" t="b">
        <v>0</v>
      </c>
      <c r="E385">
        <v>9</v>
      </c>
      <c r="F385">
        <v>2</v>
      </c>
      <c r="G385">
        <v>3</v>
      </c>
      <c r="H385" t="s">
        <v>1110</v>
      </c>
      <c r="I385" t="s">
        <v>1084</v>
      </c>
      <c r="J385" t="s">
        <v>1070</v>
      </c>
      <c r="K385" t="str">
        <f>tblTeamFixtures[[#This Row],[Team_name]]&amp;"_"&amp;tblTeamFixtures[[#This Row],[GW]]</f>
        <v>EVE_20</v>
      </c>
      <c r="L385">
        <f>IFERROR(INDEX(TEAM_ANALYSIS!$Y:$Y,MATCH($E385,TEAM_ANALYSIS!$A:$A,0)),1)</f>
        <v>1.088235294117647</v>
      </c>
      <c r="M385">
        <f>IFERROR(INDEX(TEAM_ANALYSIS!$Z:$Z,MATCH($E385,TEAM_ANALYSIS!$A:$A,0)),1)</f>
        <v>0.8529411764705882</v>
      </c>
      <c r="N385">
        <f>IFERROR(INDEX(TEAM_ANALYSIS!$Y:$Y,MATCH($F385,TEAM_ANALYSIS!$A:$A,0)),1)</f>
        <v>0.5</v>
      </c>
      <c r="O385">
        <f>IFERROR(INDEX(TEAM_ANALYSIS!$Z:$Z,MATCH($F385,TEAM_ANALYSIS!$A:$A,0)),1)</f>
        <v>1.088235294117647</v>
      </c>
      <c r="P385">
        <f>MAX(0.05,AVERAGE(TEAM_ANALYSIS!$W$2:$W$21)*L385*O385)</f>
        <v>2.5165441176470584</v>
      </c>
      <c r="Q385">
        <f>MAX(0.05,AVERAGE(TEAM_ANALYSIS!$W$2:$W$21)*N385*M385)</f>
        <v>0.90625</v>
      </c>
      <c r="R385" s="23">
        <f>MAX(0.8,MIN(1.2,P385/AVERAGE(TEAM_ANALYSIS!$W$2:$W$21)))</f>
        <v>1.1842560553633217</v>
      </c>
      <c r="S385">
        <f>MAX(0.8,MIN(1.2,AVERAGE(TEAM_ANALYSIS!$W$2:$W$21)/Q385))</f>
        <v>1.2</v>
      </c>
      <c r="T385">
        <f>AVERAGE(R385,S385)</f>
        <v>1.1921280276816608</v>
      </c>
    </row>
    <row r="386" spans="1:20" x14ac:dyDescent="0.25">
      <c r="A386">
        <v>20</v>
      </c>
      <c r="B386" t="b">
        <v>0</v>
      </c>
      <c r="C386" s="6">
        <v>46393.833333333336</v>
      </c>
      <c r="D386" t="b">
        <v>0</v>
      </c>
      <c r="E386">
        <v>10</v>
      </c>
      <c r="F386">
        <v>19</v>
      </c>
      <c r="G386">
        <v>3</v>
      </c>
      <c r="H386" t="s">
        <v>1110</v>
      </c>
      <c r="I386" t="s">
        <v>1086</v>
      </c>
      <c r="J386" t="s">
        <v>1104</v>
      </c>
      <c r="K386" t="str">
        <f>tblTeamFixtures[[#This Row],[Team_name]]&amp;"_"&amp;tblTeamFixtures[[#This Row],[GW]]</f>
        <v>FUL_20</v>
      </c>
      <c r="L386">
        <f>IFERROR(INDEX(TEAM_ANALYSIS!$Y:$Y,MATCH($E386,TEAM_ANALYSIS!$A:$A,0)),1)</f>
        <v>0.97058823529411764</v>
      </c>
      <c r="M386">
        <f>IFERROR(INDEX(TEAM_ANALYSIS!$Z:$Z,MATCH($E386,TEAM_ANALYSIS!$A:$A,0)),1)</f>
        <v>1.3235294117647058</v>
      </c>
      <c r="N386">
        <f>IFERROR(INDEX(TEAM_ANALYSIS!$Y:$Y,MATCH($F386,TEAM_ANALYSIS!$A:$A,0)),1)</f>
        <v>0.5</v>
      </c>
      <c r="O386">
        <f>IFERROR(INDEX(TEAM_ANALYSIS!$Z:$Z,MATCH($F386,TEAM_ANALYSIS!$A:$A,0)),1)</f>
        <v>1.088235294117647</v>
      </c>
      <c r="P386">
        <f>MAX(0.05,AVERAGE(TEAM_ANALYSIS!$W$2:$W$21)*L386*O386)</f>
        <v>2.2444852941176467</v>
      </c>
      <c r="Q386">
        <f>MAX(0.05,AVERAGE(TEAM_ANALYSIS!$W$2:$W$21)*N386*M386)</f>
        <v>1.40625</v>
      </c>
      <c r="R386" s="23">
        <f>MAX(0.8,MIN(1.2,P386/AVERAGE(TEAM_ANALYSIS!$W$2:$W$21)))</f>
        <v>1.0562283737024221</v>
      </c>
      <c r="S386">
        <f>MAX(0.8,MIN(1.2,AVERAGE(TEAM_ANALYSIS!$W$2:$W$21)/Q386))</f>
        <v>1.2</v>
      </c>
      <c r="T386">
        <f>AVERAGE(R386,S386)</f>
        <v>1.128114186851211</v>
      </c>
    </row>
    <row r="387" spans="1:20" x14ac:dyDescent="0.25">
      <c r="A387">
        <v>20</v>
      </c>
      <c r="B387" t="b">
        <v>0</v>
      </c>
      <c r="C387" s="6">
        <v>46393.833333333336</v>
      </c>
      <c r="D387" t="b">
        <v>0</v>
      </c>
      <c r="E387">
        <v>12</v>
      </c>
      <c r="F387">
        <v>7</v>
      </c>
      <c r="G387">
        <v>2</v>
      </c>
      <c r="H387" t="s">
        <v>1110</v>
      </c>
      <c r="I387" t="s">
        <v>1090</v>
      </c>
      <c r="J387" t="s">
        <v>1080</v>
      </c>
      <c r="K387" t="str">
        <f>tblTeamFixtures[[#This Row],[Team_name]]&amp;"_"&amp;tblTeamFixtures[[#This Row],[GW]]</f>
        <v>IPS_20</v>
      </c>
      <c r="L387">
        <f>IFERROR(INDEX(TEAM_ANALYSIS!$Y:$Y,MATCH($E387,TEAM_ANALYSIS!$A:$A,0)),1)</f>
        <v>0.97058823529411764</v>
      </c>
      <c r="M387">
        <f>IFERROR(INDEX(TEAM_ANALYSIS!$Z:$Z,MATCH($E387,TEAM_ANALYSIS!$A:$A,0)),1)</f>
        <v>1.4411764705882353</v>
      </c>
      <c r="N387">
        <f>IFERROR(INDEX(TEAM_ANALYSIS!$Y:$Y,MATCH($F387,TEAM_ANALYSIS!$A:$A,0)),1)</f>
        <v>0.5</v>
      </c>
      <c r="O387">
        <f>IFERROR(INDEX(TEAM_ANALYSIS!$Z:$Z,MATCH($F387,TEAM_ANALYSIS!$A:$A,0)),1)</f>
        <v>1.088235294117647</v>
      </c>
      <c r="P387">
        <f>MAX(0.05,AVERAGE(TEAM_ANALYSIS!$W$2:$W$21)*L387*O387)</f>
        <v>2.2444852941176467</v>
      </c>
      <c r="Q387">
        <f>MAX(0.05,AVERAGE(TEAM_ANALYSIS!$W$2:$W$21)*N387*M387)</f>
        <v>1.53125</v>
      </c>
      <c r="R387" s="23">
        <f>MAX(0.8,MIN(1.2,P387/AVERAGE(TEAM_ANALYSIS!$W$2:$W$21)))</f>
        <v>1.0562283737024221</v>
      </c>
      <c r="S387">
        <f>MAX(0.8,MIN(1.2,AVERAGE(TEAM_ANALYSIS!$W$2:$W$21)/Q387))</f>
        <v>1.2</v>
      </c>
      <c r="T387">
        <f>AVERAGE(R387,S387)</f>
        <v>1.128114186851211</v>
      </c>
    </row>
    <row r="388" spans="1:20" x14ac:dyDescent="0.25">
      <c r="A388">
        <v>20</v>
      </c>
      <c r="B388" t="b">
        <v>0</v>
      </c>
      <c r="C388" s="6">
        <v>46393.833333333336</v>
      </c>
      <c r="D388" t="b">
        <v>0</v>
      </c>
      <c r="E388">
        <v>13</v>
      </c>
      <c r="F388">
        <v>15</v>
      </c>
      <c r="G388">
        <v>4</v>
      </c>
      <c r="H388" t="s">
        <v>1110</v>
      </c>
      <c r="I388" t="s">
        <v>1092</v>
      </c>
      <c r="J388" t="s">
        <v>1096</v>
      </c>
      <c r="K388" t="str">
        <f>tblTeamFixtures[[#This Row],[Team_name]]&amp;"_"&amp;tblTeamFixtures[[#This Row],[GW]]</f>
        <v>LEE_20</v>
      </c>
      <c r="L388">
        <f>IFERROR(INDEX(TEAM_ANALYSIS!$Y:$Y,MATCH($E388,TEAM_ANALYSIS!$A:$A,0)),1)</f>
        <v>0.8529411764705882</v>
      </c>
      <c r="M388">
        <f>IFERROR(INDEX(TEAM_ANALYSIS!$Z:$Z,MATCH($E388,TEAM_ANALYSIS!$A:$A,0)),1)</f>
        <v>0.73529411764705888</v>
      </c>
      <c r="N388">
        <f>IFERROR(INDEX(TEAM_ANALYSIS!$Y:$Y,MATCH($F388,TEAM_ANALYSIS!$A:$A,0)),1)</f>
        <v>1.3235294117647058</v>
      </c>
      <c r="O388">
        <f>IFERROR(INDEX(TEAM_ANALYSIS!$Z:$Z,MATCH($F388,TEAM_ANALYSIS!$A:$A,0)),1)</f>
        <v>0.73529411764705888</v>
      </c>
      <c r="P388">
        <f>MAX(0.05,AVERAGE(TEAM_ANALYSIS!$W$2:$W$21)*L388*O388)</f>
        <v>1.3327205882352942</v>
      </c>
      <c r="Q388">
        <f>MAX(0.05,AVERAGE(TEAM_ANALYSIS!$W$2:$W$21)*N388*M388)</f>
        <v>2.0680147058823533</v>
      </c>
      <c r="R388" s="23">
        <f>MAX(0.8,MIN(1.2,P388/AVERAGE(TEAM_ANALYSIS!$W$2:$W$21)))</f>
        <v>0.8</v>
      </c>
      <c r="S388">
        <f>MAX(0.8,MIN(1.2,AVERAGE(TEAM_ANALYSIS!$W$2:$W$21)/Q388))</f>
        <v>1.0275555555555553</v>
      </c>
      <c r="T388">
        <f>AVERAGE(R388,S388)</f>
        <v>0.91377777777777769</v>
      </c>
    </row>
    <row r="389" spans="1:20" x14ac:dyDescent="0.25">
      <c r="A389">
        <v>20</v>
      </c>
      <c r="B389" t="b">
        <v>0</v>
      </c>
      <c r="C389" s="6">
        <v>46393.833333333336</v>
      </c>
      <c r="D389" t="b">
        <v>0</v>
      </c>
      <c r="E389">
        <v>16</v>
      </c>
      <c r="F389">
        <v>17</v>
      </c>
      <c r="G389">
        <v>2</v>
      </c>
      <c r="H389" t="s">
        <v>1110</v>
      </c>
      <c r="I389" t="s">
        <v>1098</v>
      </c>
      <c r="J389" t="s">
        <v>1100</v>
      </c>
      <c r="K389" t="str">
        <f>tblTeamFixtures[[#This Row],[Team_name]]&amp;"_"&amp;tblTeamFixtures[[#This Row],[GW]]</f>
        <v>MUN_20</v>
      </c>
      <c r="L389">
        <f>IFERROR(INDEX(TEAM_ANALYSIS!$Y:$Y,MATCH($E389,TEAM_ANALYSIS!$A:$A,0)),1)</f>
        <v>1.3235294117647058</v>
      </c>
      <c r="M389">
        <f>IFERROR(INDEX(TEAM_ANALYSIS!$Z:$Z,MATCH($E389,TEAM_ANALYSIS!$A:$A,0)),1)</f>
        <v>1.2058823529411764</v>
      </c>
      <c r="N389">
        <f>IFERROR(INDEX(TEAM_ANALYSIS!$Y:$Y,MATCH($F389,TEAM_ANALYSIS!$A:$A,0)),1)</f>
        <v>1.2058823529411764</v>
      </c>
      <c r="O389">
        <f>IFERROR(INDEX(TEAM_ANALYSIS!$Z:$Z,MATCH($F389,TEAM_ANALYSIS!$A:$A,0)),1)</f>
        <v>0.97058823529411764</v>
      </c>
      <c r="P389">
        <f>MAX(0.05,AVERAGE(TEAM_ANALYSIS!$W$2:$W$21)*L389*O389)</f>
        <v>2.7297794117647061</v>
      </c>
      <c r="Q389">
        <f>MAX(0.05,AVERAGE(TEAM_ANALYSIS!$W$2:$W$21)*N389*M389)</f>
        <v>3.0900735294117645</v>
      </c>
      <c r="R389" s="23">
        <f>MAX(0.8,MIN(1.2,P389/AVERAGE(TEAM_ANALYSIS!$W$2:$W$21)))</f>
        <v>1.2</v>
      </c>
      <c r="S389">
        <f>MAX(0.8,MIN(1.2,AVERAGE(TEAM_ANALYSIS!$W$2:$W$21)/Q389))</f>
        <v>0.8</v>
      </c>
      <c r="T389">
        <f>AVERAGE(R389,S389)</f>
        <v>1</v>
      </c>
    </row>
    <row r="390" spans="1:20" x14ac:dyDescent="0.25">
      <c r="A390">
        <v>20</v>
      </c>
      <c r="B390" t="b">
        <v>0</v>
      </c>
      <c r="C390" s="6">
        <v>46393.833333333336</v>
      </c>
      <c r="D390" t="b">
        <v>0</v>
      </c>
      <c r="E390">
        <v>18</v>
      </c>
      <c r="F390">
        <v>11</v>
      </c>
      <c r="G390">
        <v>2</v>
      </c>
      <c r="H390" t="s">
        <v>1110</v>
      </c>
      <c r="I390" t="s">
        <v>1102</v>
      </c>
      <c r="J390" t="s">
        <v>1088</v>
      </c>
      <c r="K390" t="str">
        <f>tblTeamFixtures[[#This Row],[Team_name]]&amp;"_"&amp;tblTeamFixtures[[#This Row],[GW]]</f>
        <v>NFO_20</v>
      </c>
      <c r="L390">
        <f>IFERROR(INDEX(TEAM_ANALYSIS!$Y:$Y,MATCH($E390,TEAM_ANALYSIS!$A:$A,0)),1)</f>
        <v>0.73529411764705888</v>
      </c>
      <c r="M390">
        <f>IFERROR(INDEX(TEAM_ANALYSIS!$Z:$Z,MATCH($E390,TEAM_ANALYSIS!$A:$A,0)),1)</f>
        <v>0.8529411764705882</v>
      </c>
      <c r="N390">
        <f>IFERROR(INDEX(TEAM_ANALYSIS!$Y:$Y,MATCH($F390,TEAM_ANALYSIS!$A:$A,0)),1)</f>
        <v>0.8529411764705882</v>
      </c>
      <c r="O390">
        <f>IFERROR(INDEX(TEAM_ANALYSIS!$Z:$Z,MATCH($F390,TEAM_ANALYSIS!$A:$A,0)),1)</f>
        <v>0.5</v>
      </c>
      <c r="P390">
        <f>MAX(0.05,AVERAGE(TEAM_ANALYSIS!$W$2:$W$21)*L390*O390)</f>
        <v>0.78125</v>
      </c>
      <c r="Q390">
        <f>MAX(0.05,AVERAGE(TEAM_ANALYSIS!$W$2:$W$21)*N390*M390)</f>
        <v>1.5459558823529411</v>
      </c>
      <c r="R390" s="23">
        <f>MAX(0.8,MIN(1.2,P390/AVERAGE(TEAM_ANALYSIS!$W$2:$W$21)))</f>
        <v>0.8</v>
      </c>
      <c r="S390">
        <f>MAX(0.8,MIN(1.2,AVERAGE(TEAM_ANALYSIS!$W$2:$W$21)/Q390))</f>
        <v>1.2</v>
      </c>
      <c r="T390">
        <f>AVERAGE(R390,S390)</f>
        <v>1</v>
      </c>
    </row>
    <row r="391" spans="1:20" x14ac:dyDescent="0.25">
      <c r="A391">
        <v>20</v>
      </c>
      <c r="B391" t="b">
        <v>0</v>
      </c>
      <c r="C391" s="6">
        <v>46393.833333333336</v>
      </c>
      <c r="D391" t="b">
        <v>0</v>
      </c>
      <c r="E391">
        <v>20</v>
      </c>
      <c r="F391">
        <v>14</v>
      </c>
      <c r="G391">
        <v>4</v>
      </c>
      <c r="H391" t="s">
        <v>1110</v>
      </c>
      <c r="I391" t="s">
        <v>1106</v>
      </c>
      <c r="J391" t="s">
        <v>1094</v>
      </c>
      <c r="K391" t="str">
        <f>tblTeamFixtures[[#This Row],[Team_name]]&amp;"_"&amp;tblTeamFixtures[[#This Row],[GW]]</f>
        <v>SUN_20</v>
      </c>
      <c r="L391">
        <f>IFERROR(INDEX(TEAM_ANALYSIS!$Y:$Y,MATCH($E391,TEAM_ANALYSIS!$A:$A,0)),1)</f>
        <v>0.8529411764705882</v>
      </c>
      <c r="M391">
        <f>IFERROR(INDEX(TEAM_ANALYSIS!$Z:$Z,MATCH($E391,TEAM_ANALYSIS!$A:$A,0)),1)</f>
        <v>0.8529411764705882</v>
      </c>
      <c r="N391">
        <f>IFERROR(INDEX(TEAM_ANALYSIS!$Y:$Y,MATCH($F391,TEAM_ANALYSIS!$A:$A,0)),1)</f>
        <v>1.2058823529411764</v>
      </c>
      <c r="O391">
        <f>IFERROR(INDEX(TEAM_ANALYSIS!$Z:$Z,MATCH($F391,TEAM_ANALYSIS!$A:$A,0)),1)</f>
        <v>0.97058823529411764</v>
      </c>
      <c r="P391">
        <f>MAX(0.05,AVERAGE(TEAM_ANALYSIS!$W$2:$W$21)*L391*O391)</f>
        <v>1.7591911764705883</v>
      </c>
      <c r="Q391">
        <f>MAX(0.05,AVERAGE(TEAM_ANALYSIS!$W$2:$W$21)*N391*M391)</f>
        <v>2.1856617647058822</v>
      </c>
      <c r="R391" s="23">
        <f>MAX(0.8,MIN(1.2,P391/AVERAGE(TEAM_ANALYSIS!$W$2:$W$21)))</f>
        <v>0.8278546712802769</v>
      </c>
      <c r="S391">
        <f>MAX(0.8,MIN(1.2,AVERAGE(TEAM_ANALYSIS!$W$2:$W$21)/Q391))</f>
        <v>0.9722455845248108</v>
      </c>
      <c r="T391">
        <f>AVERAGE(R391,S391)</f>
        <v>0.90005012790254391</v>
      </c>
    </row>
    <row r="392" spans="1:20" x14ac:dyDescent="0.25">
      <c r="A392">
        <v>20</v>
      </c>
      <c r="B392" t="b">
        <v>0</v>
      </c>
      <c r="C392" s="6">
        <v>46393.833333333336</v>
      </c>
      <c r="D392" t="b">
        <v>0</v>
      </c>
      <c r="E392">
        <v>4</v>
      </c>
      <c r="F392">
        <v>1</v>
      </c>
      <c r="G392">
        <v>5</v>
      </c>
      <c r="H392" t="s">
        <v>1111</v>
      </c>
      <c r="I392" t="s">
        <v>1074</v>
      </c>
      <c r="J392" t="s">
        <v>1068</v>
      </c>
      <c r="K392" t="str">
        <f>tblTeamFixtures[[#This Row],[Team_name]]&amp;"_"&amp;tblTeamFixtures[[#This Row],[GW]]</f>
        <v>BRE_20</v>
      </c>
      <c r="L392">
        <f>IFERROR(INDEX(TEAM_ANALYSIS!$Y:$Y,MATCH($E392,TEAM_ANALYSIS!$A:$A,0)),1)</f>
        <v>1.088235294117647</v>
      </c>
      <c r="M392">
        <f>IFERROR(INDEX(TEAM_ANALYSIS!$Z:$Z,MATCH($E392,TEAM_ANALYSIS!$A:$A,0)),1)</f>
        <v>0.73529411764705888</v>
      </c>
      <c r="N392">
        <f>IFERROR(INDEX(TEAM_ANALYSIS!$Y:$Y,MATCH($F392,TEAM_ANALYSIS!$A:$A,0)),1)</f>
        <v>1.2058823529411764</v>
      </c>
      <c r="O392">
        <f>IFERROR(INDEX(TEAM_ANALYSIS!$Z:$Z,MATCH($F392,TEAM_ANALYSIS!$A:$A,0)),1)</f>
        <v>0.61764705882352944</v>
      </c>
      <c r="P392">
        <f>MAX(0.05,AVERAGE(TEAM_ANALYSIS!$W$2:$W$21)*L392*O392)</f>
        <v>1.4283088235294119</v>
      </c>
      <c r="Q392">
        <f>MAX(0.05,AVERAGE(TEAM_ANALYSIS!$W$2:$W$21)*N392*M392)</f>
        <v>1.8841911764705883</v>
      </c>
      <c r="R392" s="23">
        <f>MAX(0.8,MIN(1.2,P392/AVERAGE(TEAM_ANALYSIS!$W$2:$W$21)))</f>
        <v>0.8</v>
      </c>
      <c r="S392">
        <f>MAX(0.8,MIN(1.2,AVERAGE(TEAM_ANALYSIS!$W$2:$W$21)/Q392))</f>
        <v>1.1278048780487804</v>
      </c>
      <c r="T392">
        <f>AVERAGE(R392,S392)</f>
        <v>0.96390243902439021</v>
      </c>
    </row>
    <row r="393" spans="1:20" x14ac:dyDescent="0.25">
      <c r="A393">
        <v>20</v>
      </c>
      <c r="B393" t="b">
        <v>0</v>
      </c>
      <c r="C393" s="6">
        <v>46393.833333333336</v>
      </c>
      <c r="D393" t="b">
        <v>0</v>
      </c>
      <c r="E393">
        <v>3</v>
      </c>
      <c r="F393">
        <v>5</v>
      </c>
      <c r="G393">
        <v>3</v>
      </c>
      <c r="H393" t="s">
        <v>1111</v>
      </c>
      <c r="I393" t="s">
        <v>1072</v>
      </c>
      <c r="J393" t="s">
        <v>1076</v>
      </c>
      <c r="K393" t="str">
        <f>tblTeamFixtures[[#This Row],[Team_name]]&amp;"_"&amp;tblTeamFixtures[[#This Row],[GW]]</f>
        <v>BOU_20</v>
      </c>
      <c r="L393">
        <f>IFERROR(INDEX(TEAM_ANALYSIS!$Y:$Y,MATCH($E393,TEAM_ANALYSIS!$A:$A,0)),1)</f>
        <v>0.97058823529411764</v>
      </c>
      <c r="M393">
        <f>IFERROR(INDEX(TEAM_ANALYSIS!$Z:$Z,MATCH($E393,TEAM_ANALYSIS!$A:$A,0)),1)</f>
        <v>1.088235294117647</v>
      </c>
      <c r="N393">
        <f>IFERROR(INDEX(TEAM_ANALYSIS!$Y:$Y,MATCH($F393,TEAM_ANALYSIS!$A:$A,0)),1)</f>
        <v>1.4411764705882353</v>
      </c>
      <c r="O393">
        <f>IFERROR(INDEX(TEAM_ANALYSIS!$Z:$Z,MATCH($F393,TEAM_ANALYSIS!$A:$A,0)),1)</f>
        <v>1.088235294117647</v>
      </c>
      <c r="P393">
        <f>MAX(0.05,AVERAGE(TEAM_ANALYSIS!$W$2:$W$21)*L393*O393)</f>
        <v>2.2444852941176467</v>
      </c>
      <c r="Q393">
        <f>MAX(0.05,AVERAGE(TEAM_ANALYSIS!$W$2:$W$21)*N393*M393)</f>
        <v>3.3327205882352939</v>
      </c>
      <c r="R393" s="23">
        <f>MAX(0.8,MIN(1.2,P393/AVERAGE(TEAM_ANALYSIS!$W$2:$W$21)))</f>
        <v>1.0562283737024221</v>
      </c>
      <c r="S393">
        <f>MAX(0.8,MIN(1.2,AVERAGE(TEAM_ANALYSIS!$W$2:$W$21)/Q393))</f>
        <v>0.8</v>
      </c>
      <c r="T393">
        <f>AVERAGE(R393,S393)</f>
        <v>0.92811418685121105</v>
      </c>
    </row>
    <row r="394" spans="1:20" x14ac:dyDescent="0.25">
      <c r="A394">
        <v>20</v>
      </c>
      <c r="B394" t="b">
        <v>0</v>
      </c>
      <c r="C394" s="6">
        <v>46393.833333333336</v>
      </c>
      <c r="D394" t="b">
        <v>0</v>
      </c>
      <c r="E394">
        <v>6</v>
      </c>
      <c r="F394">
        <v>8</v>
      </c>
      <c r="G394">
        <v>3</v>
      </c>
      <c r="H394" t="s">
        <v>1111</v>
      </c>
      <c r="I394" t="s">
        <v>1078</v>
      </c>
      <c r="J394" t="s">
        <v>1082</v>
      </c>
      <c r="K394" t="str">
        <f>tblTeamFixtures[[#This Row],[Team_name]]&amp;"_"&amp;tblTeamFixtures[[#This Row],[GW]]</f>
        <v>CHE_20</v>
      </c>
      <c r="L394">
        <f>IFERROR(INDEX(TEAM_ANALYSIS!$Y:$Y,MATCH($E394,TEAM_ANALYSIS!$A:$A,0)),1)</f>
        <v>1.4411764705882353</v>
      </c>
      <c r="M394">
        <f>IFERROR(INDEX(TEAM_ANALYSIS!$Z:$Z,MATCH($E394,TEAM_ANALYSIS!$A:$A,0)),1)</f>
        <v>1.3235294117647058</v>
      </c>
      <c r="N394">
        <f>IFERROR(INDEX(TEAM_ANALYSIS!$Y:$Y,MATCH($F394,TEAM_ANALYSIS!$A:$A,0)),1)</f>
        <v>0.97058823529411764</v>
      </c>
      <c r="O394">
        <f>IFERROR(INDEX(TEAM_ANALYSIS!$Z:$Z,MATCH($F394,TEAM_ANALYSIS!$A:$A,0)),1)</f>
        <v>1.4411764705882353</v>
      </c>
      <c r="P394">
        <f>MAX(0.05,AVERAGE(TEAM_ANALYSIS!$W$2:$W$21)*L394*O394)</f>
        <v>4.4136029411764701</v>
      </c>
      <c r="Q394">
        <f>MAX(0.05,AVERAGE(TEAM_ANALYSIS!$W$2:$W$21)*N394*M394)</f>
        <v>2.7297794117647056</v>
      </c>
      <c r="R394" s="23">
        <f>MAX(0.8,MIN(1.2,P394/AVERAGE(TEAM_ANALYSIS!$W$2:$W$21)))</f>
        <v>1.2</v>
      </c>
      <c r="S394">
        <f>MAX(0.8,MIN(1.2,AVERAGE(TEAM_ANALYSIS!$W$2:$W$21)/Q394))</f>
        <v>0.8</v>
      </c>
      <c r="T394">
        <f>AVERAGE(R394,S394)</f>
        <v>1</v>
      </c>
    </row>
    <row r="395" spans="1:20" x14ac:dyDescent="0.25">
      <c r="A395">
        <v>20</v>
      </c>
      <c r="B395" t="b">
        <v>0</v>
      </c>
      <c r="C395" s="6">
        <v>46393.833333333336</v>
      </c>
      <c r="D395" t="b">
        <v>0</v>
      </c>
      <c r="E395">
        <v>2</v>
      </c>
      <c r="F395">
        <v>9</v>
      </c>
      <c r="G395">
        <v>3</v>
      </c>
      <c r="H395" t="s">
        <v>1111</v>
      </c>
      <c r="I395" t="s">
        <v>1070</v>
      </c>
      <c r="J395" t="s">
        <v>1084</v>
      </c>
      <c r="K395" t="str">
        <f>tblTeamFixtures[[#This Row],[Team_name]]&amp;"_"&amp;tblTeamFixtures[[#This Row],[GW]]</f>
        <v>AVL_20</v>
      </c>
      <c r="L395">
        <f>IFERROR(INDEX(TEAM_ANALYSIS!$Y:$Y,MATCH($E395,TEAM_ANALYSIS!$A:$A,0)),1)</f>
        <v>0.5</v>
      </c>
      <c r="M395">
        <f>IFERROR(INDEX(TEAM_ANALYSIS!$Z:$Z,MATCH($E395,TEAM_ANALYSIS!$A:$A,0)),1)</f>
        <v>1.088235294117647</v>
      </c>
      <c r="N395">
        <f>IFERROR(INDEX(TEAM_ANALYSIS!$Y:$Y,MATCH($F395,TEAM_ANALYSIS!$A:$A,0)),1)</f>
        <v>1.088235294117647</v>
      </c>
      <c r="O395">
        <f>IFERROR(INDEX(TEAM_ANALYSIS!$Z:$Z,MATCH($F395,TEAM_ANALYSIS!$A:$A,0)),1)</f>
        <v>0.8529411764705882</v>
      </c>
      <c r="P395">
        <f>MAX(0.05,AVERAGE(TEAM_ANALYSIS!$W$2:$W$21)*L395*O395)</f>
        <v>0.90625</v>
      </c>
      <c r="Q395">
        <f>MAX(0.05,AVERAGE(TEAM_ANALYSIS!$W$2:$W$21)*N395*M395)</f>
        <v>2.5165441176470584</v>
      </c>
      <c r="R395" s="23">
        <f>MAX(0.8,MIN(1.2,P395/AVERAGE(TEAM_ANALYSIS!$W$2:$W$21)))</f>
        <v>0.8</v>
      </c>
      <c r="S395">
        <f>MAX(0.8,MIN(1.2,AVERAGE(TEAM_ANALYSIS!$W$2:$W$21)/Q395))</f>
        <v>0.84441197954711478</v>
      </c>
      <c r="T395">
        <f>AVERAGE(R395,S395)</f>
        <v>0.82220598977355741</v>
      </c>
    </row>
    <row r="396" spans="1:20" x14ac:dyDescent="0.25">
      <c r="A396">
        <v>20</v>
      </c>
      <c r="B396" t="b">
        <v>0</v>
      </c>
      <c r="C396" s="6">
        <v>46393.833333333336</v>
      </c>
      <c r="D396" t="b">
        <v>0</v>
      </c>
      <c r="E396">
        <v>19</v>
      </c>
      <c r="F396">
        <v>10</v>
      </c>
      <c r="G396">
        <v>3</v>
      </c>
      <c r="H396" t="s">
        <v>1111</v>
      </c>
      <c r="I396" t="s">
        <v>1104</v>
      </c>
      <c r="J396" t="s">
        <v>1086</v>
      </c>
      <c r="K396" t="str">
        <f>tblTeamFixtures[[#This Row],[Team_name]]&amp;"_"&amp;tblTeamFixtures[[#This Row],[GW]]</f>
        <v>TOT_20</v>
      </c>
      <c r="L396">
        <f>IFERROR(INDEX(TEAM_ANALYSIS!$Y:$Y,MATCH($E396,TEAM_ANALYSIS!$A:$A,0)),1)</f>
        <v>0.5</v>
      </c>
      <c r="M396">
        <f>IFERROR(INDEX(TEAM_ANALYSIS!$Z:$Z,MATCH($E396,TEAM_ANALYSIS!$A:$A,0)),1)</f>
        <v>1.088235294117647</v>
      </c>
      <c r="N396">
        <f>IFERROR(INDEX(TEAM_ANALYSIS!$Y:$Y,MATCH($F396,TEAM_ANALYSIS!$A:$A,0)),1)</f>
        <v>0.97058823529411764</v>
      </c>
      <c r="O396">
        <f>IFERROR(INDEX(TEAM_ANALYSIS!$Z:$Z,MATCH($F396,TEAM_ANALYSIS!$A:$A,0)),1)</f>
        <v>1.3235294117647058</v>
      </c>
      <c r="P396">
        <f>MAX(0.05,AVERAGE(TEAM_ANALYSIS!$W$2:$W$21)*L396*O396)</f>
        <v>1.40625</v>
      </c>
      <c r="Q396">
        <f>MAX(0.05,AVERAGE(TEAM_ANALYSIS!$W$2:$W$21)*N396*M396)</f>
        <v>2.2444852941176467</v>
      </c>
      <c r="R396" s="23">
        <f>MAX(0.8,MIN(1.2,P396/AVERAGE(TEAM_ANALYSIS!$W$2:$W$21)))</f>
        <v>0.8</v>
      </c>
      <c r="S396">
        <f>MAX(0.8,MIN(1.2,AVERAGE(TEAM_ANALYSIS!$W$2:$W$21)/Q396))</f>
        <v>0.94676494676494694</v>
      </c>
      <c r="T396">
        <f>AVERAGE(R396,S396)</f>
        <v>0.87338247338247355</v>
      </c>
    </row>
    <row r="397" spans="1:20" x14ac:dyDescent="0.25">
      <c r="A397">
        <v>20</v>
      </c>
      <c r="B397" t="b">
        <v>0</v>
      </c>
      <c r="C397" s="6">
        <v>46393.833333333336</v>
      </c>
      <c r="D397" t="b">
        <v>0</v>
      </c>
      <c r="E397">
        <v>7</v>
      </c>
      <c r="F397">
        <v>12</v>
      </c>
      <c r="G397">
        <v>2</v>
      </c>
      <c r="H397" t="s">
        <v>1111</v>
      </c>
      <c r="I397" t="s">
        <v>1080</v>
      </c>
      <c r="J397" t="s">
        <v>1090</v>
      </c>
      <c r="K397" t="str">
        <f>tblTeamFixtures[[#This Row],[Team_name]]&amp;"_"&amp;tblTeamFixtures[[#This Row],[GW]]</f>
        <v>COV_20</v>
      </c>
      <c r="L397">
        <f>IFERROR(INDEX(TEAM_ANALYSIS!$Y:$Y,MATCH($E397,TEAM_ANALYSIS!$A:$A,0)),1)</f>
        <v>0.5</v>
      </c>
      <c r="M397">
        <f>IFERROR(INDEX(TEAM_ANALYSIS!$Z:$Z,MATCH($E397,TEAM_ANALYSIS!$A:$A,0)),1)</f>
        <v>1.088235294117647</v>
      </c>
      <c r="N397">
        <f>IFERROR(INDEX(TEAM_ANALYSIS!$Y:$Y,MATCH($F397,TEAM_ANALYSIS!$A:$A,0)),1)</f>
        <v>0.97058823529411764</v>
      </c>
      <c r="O397">
        <f>IFERROR(INDEX(TEAM_ANALYSIS!$Z:$Z,MATCH($F397,TEAM_ANALYSIS!$A:$A,0)),1)</f>
        <v>1.4411764705882353</v>
      </c>
      <c r="P397">
        <f>MAX(0.05,AVERAGE(TEAM_ANALYSIS!$W$2:$W$21)*L397*O397)</f>
        <v>1.53125</v>
      </c>
      <c r="Q397">
        <f>MAX(0.05,AVERAGE(TEAM_ANALYSIS!$W$2:$W$21)*N397*M397)</f>
        <v>2.2444852941176467</v>
      </c>
      <c r="R397" s="23">
        <f>MAX(0.8,MIN(1.2,P397/AVERAGE(TEAM_ANALYSIS!$W$2:$W$21)))</f>
        <v>0.8</v>
      </c>
      <c r="S397">
        <f>MAX(0.8,MIN(1.2,AVERAGE(TEAM_ANALYSIS!$W$2:$W$21)/Q397))</f>
        <v>0.94676494676494694</v>
      </c>
      <c r="T397">
        <f>AVERAGE(R397,S397)</f>
        <v>0.87338247338247355</v>
      </c>
    </row>
    <row r="398" spans="1:20" x14ac:dyDescent="0.25">
      <c r="A398">
        <v>20</v>
      </c>
      <c r="B398" t="b">
        <v>0</v>
      </c>
      <c r="C398" s="6">
        <v>46393.833333333336</v>
      </c>
      <c r="D398" t="b">
        <v>0</v>
      </c>
      <c r="E398">
        <v>15</v>
      </c>
      <c r="F398">
        <v>13</v>
      </c>
      <c r="G398">
        <v>3</v>
      </c>
      <c r="H398" t="s">
        <v>1111</v>
      </c>
      <c r="I398" t="s">
        <v>1096</v>
      </c>
      <c r="J398" t="s">
        <v>1092</v>
      </c>
      <c r="K398" t="str">
        <f>tblTeamFixtures[[#This Row],[Team_name]]&amp;"_"&amp;tblTeamFixtures[[#This Row],[GW]]</f>
        <v>MCI_20</v>
      </c>
      <c r="L398">
        <f>IFERROR(INDEX(TEAM_ANALYSIS!$Y:$Y,MATCH($E398,TEAM_ANALYSIS!$A:$A,0)),1)</f>
        <v>1.3235294117647058</v>
      </c>
      <c r="M398">
        <f>IFERROR(INDEX(TEAM_ANALYSIS!$Z:$Z,MATCH($E398,TEAM_ANALYSIS!$A:$A,0)),1)</f>
        <v>0.73529411764705888</v>
      </c>
      <c r="N398">
        <f>IFERROR(INDEX(TEAM_ANALYSIS!$Y:$Y,MATCH($F398,TEAM_ANALYSIS!$A:$A,0)),1)</f>
        <v>0.8529411764705882</v>
      </c>
      <c r="O398">
        <f>IFERROR(INDEX(TEAM_ANALYSIS!$Z:$Z,MATCH($F398,TEAM_ANALYSIS!$A:$A,0)),1)</f>
        <v>0.73529411764705888</v>
      </c>
      <c r="P398">
        <f>MAX(0.05,AVERAGE(TEAM_ANALYSIS!$W$2:$W$21)*L398*O398)</f>
        <v>2.0680147058823533</v>
      </c>
      <c r="Q398">
        <f>MAX(0.05,AVERAGE(TEAM_ANALYSIS!$W$2:$W$21)*N398*M398)</f>
        <v>1.3327205882352942</v>
      </c>
      <c r="R398" s="23">
        <f>MAX(0.8,MIN(1.2,P398/AVERAGE(TEAM_ANALYSIS!$W$2:$W$21)))</f>
        <v>0.97318339100346041</v>
      </c>
      <c r="S398">
        <f>MAX(0.8,MIN(1.2,AVERAGE(TEAM_ANALYSIS!$W$2:$W$21)/Q398))</f>
        <v>1.2</v>
      </c>
      <c r="T398">
        <f>AVERAGE(R398,S398)</f>
        <v>1.0865916955017303</v>
      </c>
    </row>
    <row r="399" spans="1:20" x14ac:dyDescent="0.25">
      <c r="A399">
        <v>20</v>
      </c>
      <c r="B399" t="b">
        <v>0</v>
      </c>
      <c r="C399" s="6">
        <v>46393.833333333336</v>
      </c>
      <c r="D399" t="b">
        <v>0</v>
      </c>
      <c r="E399">
        <v>17</v>
      </c>
      <c r="F399">
        <v>16</v>
      </c>
      <c r="G399">
        <v>4</v>
      </c>
      <c r="H399" t="s">
        <v>1111</v>
      </c>
      <c r="I399" t="s">
        <v>1100</v>
      </c>
      <c r="J399" t="s">
        <v>1098</v>
      </c>
      <c r="K399" t="str">
        <f>tblTeamFixtures[[#This Row],[Team_name]]&amp;"_"&amp;tblTeamFixtures[[#This Row],[GW]]</f>
        <v>NEW_20</v>
      </c>
      <c r="L399">
        <f>IFERROR(INDEX(TEAM_ANALYSIS!$Y:$Y,MATCH($E399,TEAM_ANALYSIS!$A:$A,0)),1)</f>
        <v>1.2058823529411764</v>
      </c>
      <c r="M399">
        <f>IFERROR(INDEX(TEAM_ANALYSIS!$Z:$Z,MATCH($E399,TEAM_ANALYSIS!$A:$A,0)),1)</f>
        <v>0.97058823529411764</v>
      </c>
      <c r="N399">
        <f>IFERROR(INDEX(TEAM_ANALYSIS!$Y:$Y,MATCH($F399,TEAM_ANALYSIS!$A:$A,0)),1)</f>
        <v>1.3235294117647058</v>
      </c>
      <c r="O399">
        <f>IFERROR(INDEX(TEAM_ANALYSIS!$Z:$Z,MATCH($F399,TEAM_ANALYSIS!$A:$A,0)),1)</f>
        <v>1.2058823529411764</v>
      </c>
      <c r="P399">
        <f>MAX(0.05,AVERAGE(TEAM_ANALYSIS!$W$2:$W$21)*L399*O399)</f>
        <v>3.0900735294117645</v>
      </c>
      <c r="Q399">
        <f>MAX(0.05,AVERAGE(TEAM_ANALYSIS!$W$2:$W$21)*N399*M399)</f>
        <v>2.7297794117647061</v>
      </c>
      <c r="R399" s="23">
        <f>MAX(0.8,MIN(1.2,P399/AVERAGE(TEAM_ANALYSIS!$W$2:$W$21)))</f>
        <v>1.2</v>
      </c>
      <c r="S399">
        <f>MAX(0.8,MIN(1.2,AVERAGE(TEAM_ANALYSIS!$W$2:$W$21)/Q399))</f>
        <v>0.8</v>
      </c>
      <c r="T399">
        <f>AVERAGE(R399,S399)</f>
        <v>1</v>
      </c>
    </row>
    <row r="400" spans="1:20" x14ac:dyDescent="0.25">
      <c r="A400">
        <v>20</v>
      </c>
      <c r="B400" t="b">
        <v>0</v>
      </c>
      <c r="C400" s="6">
        <v>46393.833333333336</v>
      </c>
      <c r="D400" t="b">
        <v>0</v>
      </c>
      <c r="E400">
        <v>11</v>
      </c>
      <c r="F400">
        <v>18</v>
      </c>
      <c r="G400">
        <v>3</v>
      </c>
      <c r="H400" t="s">
        <v>1111</v>
      </c>
      <c r="I400" t="s">
        <v>1088</v>
      </c>
      <c r="J400" t="s">
        <v>1102</v>
      </c>
      <c r="K400" t="str">
        <f>tblTeamFixtures[[#This Row],[Team_name]]&amp;"_"&amp;tblTeamFixtures[[#This Row],[GW]]</f>
        <v>HUL_20</v>
      </c>
      <c r="L400">
        <f>IFERROR(INDEX(TEAM_ANALYSIS!$Y:$Y,MATCH($E400,TEAM_ANALYSIS!$A:$A,0)),1)</f>
        <v>0.8529411764705882</v>
      </c>
      <c r="M400">
        <f>IFERROR(INDEX(TEAM_ANALYSIS!$Z:$Z,MATCH($E400,TEAM_ANALYSIS!$A:$A,0)),1)</f>
        <v>0.5</v>
      </c>
      <c r="N400">
        <f>IFERROR(INDEX(TEAM_ANALYSIS!$Y:$Y,MATCH($F400,TEAM_ANALYSIS!$A:$A,0)),1)</f>
        <v>0.73529411764705888</v>
      </c>
      <c r="O400">
        <f>IFERROR(INDEX(TEAM_ANALYSIS!$Z:$Z,MATCH($F400,TEAM_ANALYSIS!$A:$A,0)),1)</f>
        <v>0.8529411764705882</v>
      </c>
      <c r="P400">
        <f>MAX(0.05,AVERAGE(TEAM_ANALYSIS!$W$2:$W$21)*L400*O400)</f>
        <v>1.5459558823529411</v>
      </c>
      <c r="Q400">
        <f>MAX(0.05,AVERAGE(TEAM_ANALYSIS!$W$2:$W$21)*N400*M400)</f>
        <v>0.78125</v>
      </c>
      <c r="R400" s="23">
        <f>MAX(0.8,MIN(1.2,P400/AVERAGE(TEAM_ANALYSIS!$W$2:$W$21)))</f>
        <v>0.8</v>
      </c>
      <c r="S400">
        <f>MAX(0.8,MIN(1.2,AVERAGE(TEAM_ANALYSIS!$W$2:$W$21)/Q400))</f>
        <v>1.2</v>
      </c>
      <c r="T400">
        <f>AVERAGE(R400,S400)</f>
        <v>1</v>
      </c>
    </row>
    <row r="401" spans="1:20" x14ac:dyDescent="0.25">
      <c r="A401">
        <v>20</v>
      </c>
      <c r="B401" t="b">
        <v>0</v>
      </c>
      <c r="C401" s="6">
        <v>46393.833333333336</v>
      </c>
      <c r="D401" t="b">
        <v>0</v>
      </c>
      <c r="E401">
        <v>14</v>
      </c>
      <c r="F401">
        <v>20</v>
      </c>
      <c r="G401">
        <v>3</v>
      </c>
      <c r="H401" t="s">
        <v>1111</v>
      </c>
      <c r="I401" t="s">
        <v>1094</v>
      </c>
      <c r="J401" t="s">
        <v>1106</v>
      </c>
      <c r="K401" t="str">
        <f>tblTeamFixtures[[#This Row],[Team_name]]&amp;"_"&amp;tblTeamFixtures[[#This Row],[GW]]</f>
        <v>LIV_20</v>
      </c>
      <c r="L401">
        <f>IFERROR(INDEX(TEAM_ANALYSIS!$Y:$Y,MATCH($E401,TEAM_ANALYSIS!$A:$A,0)),1)</f>
        <v>1.2058823529411764</v>
      </c>
      <c r="M401">
        <f>IFERROR(INDEX(TEAM_ANALYSIS!$Z:$Z,MATCH($E401,TEAM_ANALYSIS!$A:$A,0)),1)</f>
        <v>0.97058823529411764</v>
      </c>
      <c r="N401">
        <f>IFERROR(INDEX(TEAM_ANALYSIS!$Y:$Y,MATCH($F401,TEAM_ANALYSIS!$A:$A,0)),1)</f>
        <v>0.8529411764705882</v>
      </c>
      <c r="O401">
        <f>IFERROR(INDEX(TEAM_ANALYSIS!$Z:$Z,MATCH($F401,TEAM_ANALYSIS!$A:$A,0)),1)</f>
        <v>0.8529411764705882</v>
      </c>
      <c r="P401">
        <f>MAX(0.05,AVERAGE(TEAM_ANALYSIS!$W$2:$W$21)*L401*O401)</f>
        <v>2.1856617647058822</v>
      </c>
      <c r="Q401">
        <f>MAX(0.05,AVERAGE(TEAM_ANALYSIS!$W$2:$W$21)*N401*M401)</f>
        <v>1.7591911764705883</v>
      </c>
      <c r="R401" s="23">
        <f>MAX(0.8,MIN(1.2,P401/AVERAGE(TEAM_ANALYSIS!$W$2:$W$21)))</f>
        <v>1.0285467128027681</v>
      </c>
      <c r="S401">
        <f>MAX(0.8,MIN(1.2,AVERAGE(TEAM_ANALYSIS!$W$2:$W$21)/Q401))</f>
        <v>1.2</v>
      </c>
      <c r="T401">
        <f>AVERAGE(R401,S401)</f>
        <v>1.114273356401384</v>
      </c>
    </row>
    <row r="402" spans="1:20" x14ac:dyDescent="0.25">
      <c r="A402">
        <v>21</v>
      </c>
      <c r="B402" t="b">
        <v>0</v>
      </c>
      <c r="C402" s="6">
        <v>46403.625</v>
      </c>
      <c r="D402" t="b">
        <v>0</v>
      </c>
      <c r="E402">
        <v>2</v>
      </c>
      <c r="F402">
        <v>16</v>
      </c>
      <c r="G402">
        <v>4</v>
      </c>
      <c r="H402" t="s">
        <v>1110</v>
      </c>
      <c r="I402" t="s">
        <v>1070</v>
      </c>
      <c r="J402" t="s">
        <v>1098</v>
      </c>
      <c r="K402" t="str">
        <f>tblTeamFixtures[[#This Row],[Team_name]]&amp;"_"&amp;tblTeamFixtures[[#This Row],[GW]]</f>
        <v>AVL_21</v>
      </c>
      <c r="L402">
        <f>IFERROR(INDEX(TEAM_ANALYSIS!$Y:$Y,MATCH($E402,TEAM_ANALYSIS!$A:$A,0)),1)</f>
        <v>0.5</v>
      </c>
      <c r="M402">
        <f>IFERROR(INDEX(TEAM_ANALYSIS!$Z:$Z,MATCH($E402,TEAM_ANALYSIS!$A:$A,0)),1)</f>
        <v>1.088235294117647</v>
      </c>
      <c r="N402">
        <f>IFERROR(INDEX(TEAM_ANALYSIS!$Y:$Y,MATCH($F402,TEAM_ANALYSIS!$A:$A,0)),1)</f>
        <v>1.3235294117647058</v>
      </c>
      <c r="O402">
        <f>IFERROR(INDEX(TEAM_ANALYSIS!$Z:$Z,MATCH($F402,TEAM_ANALYSIS!$A:$A,0)),1)</f>
        <v>1.2058823529411764</v>
      </c>
      <c r="P402">
        <f>MAX(0.05,AVERAGE(TEAM_ANALYSIS!$W$2:$W$21)*L402*O402)</f>
        <v>1.28125</v>
      </c>
      <c r="Q402">
        <f>MAX(0.05,AVERAGE(TEAM_ANALYSIS!$W$2:$W$21)*N402*M402)</f>
        <v>3.0606617647058822</v>
      </c>
      <c r="R402" s="23">
        <f>MAX(0.8,MIN(1.2,P402/AVERAGE(TEAM_ANALYSIS!$W$2:$W$21)))</f>
        <v>0.8</v>
      </c>
      <c r="S402">
        <f>MAX(0.8,MIN(1.2,AVERAGE(TEAM_ANALYSIS!$W$2:$W$21)/Q402))</f>
        <v>0.8</v>
      </c>
      <c r="T402">
        <f>AVERAGE(R402,S402)</f>
        <v>0.8</v>
      </c>
    </row>
    <row r="403" spans="1:20" x14ac:dyDescent="0.25">
      <c r="A403">
        <v>21</v>
      </c>
      <c r="B403" t="b">
        <v>0</v>
      </c>
      <c r="C403" s="6">
        <v>46403.625</v>
      </c>
      <c r="D403" t="b">
        <v>0</v>
      </c>
      <c r="E403">
        <v>3</v>
      </c>
      <c r="F403">
        <v>12</v>
      </c>
      <c r="G403">
        <v>2</v>
      </c>
      <c r="H403" t="s">
        <v>1110</v>
      </c>
      <c r="I403" t="s">
        <v>1072</v>
      </c>
      <c r="J403" t="s">
        <v>1090</v>
      </c>
      <c r="K403" t="str">
        <f>tblTeamFixtures[[#This Row],[Team_name]]&amp;"_"&amp;tblTeamFixtures[[#This Row],[GW]]</f>
        <v>BOU_21</v>
      </c>
      <c r="L403">
        <f>IFERROR(INDEX(TEAM_ANALYSIS!$Y:$Y,MATCH($E403,TEAM_ANALYSIS!$A:$A,0)),1)</f>
        <v>0.97058823529411764</v>
      </c>
      <c r="M403">
        <f>IFERROR(INDEX(TEAM_ANALYSIS!$Z:$Z,MATCH($E403,TEAM_ANALYSIS!$A:$A,0)),1)</f>
        <v>1.088235294117647</v>
      </c>
      <c r="N403">
        <f>IFERROR(INDEX(TEAM_ANALYSIS!$Y:$Y,MATCH($F403,TEAM_ANALYSIS!$A:$A,0)),1)</f>
        <v>0.97058823529411764</v>
      </c>
      <c r="O403">
        <f>IFERROR(INDEX(TEAM_ANALYSIS!$Z:$Z,MATCH($F403,TEAM_ANALYSIS!$A:$A,0)),1)</f>
        <v>1.4411764705882353</v>
      </c>
      <c r="P403">
        <f>MAX(0.05,AVERAGE(TEAM_ANALYSIS!$W$2:$W$21)*L403*O403)</f>
        <v>2.9724264705882351</v>
      </c>
      <c r="Q403">
        <f>MAX(0.05,AVERAGE(TEAM_ANALYSIS!$W$2:$W$21)*N403*M403)</f>
        <v>2.2444852941176467</v>
      </c>
      <c r="R403" s="23">
        <f>MAX(0.8,MIN(1.2,P403/AVERAGE(TEAM_ANALYSIS!$W$2:$W$21)))</f>
        <v>1.2</v>
      </c>
      <c r="S403">
        <f>MAX(0.8,MIN(1.2,AVERAGE(TEAM_ANALYSIS!$W$2:$W$21)/Q403))</f>
        <v>0.94676494676494694</v>
      </c>
      <c r="T403">
        <f>AVERAGE(R403,S403)</f>
        <v>1.0733824733824735</v>
      </c>
    </row>
    <row r="404" spans="1:20" x14ac:dyDescent="0.25">
      <c r="A404">
        <v>21</v>
      </c>
      <c r="B404" t="b">
        <v>0</v>
      </c>
      <c r="C404" s="6">
        <v>46403.625</v>
      </c>
      <c r="D404" t="b">
        <v>0</v>
      </c>
      <c r="E404">
        <v>4</v>
      </c>
      <c r="F404">
        <v>5</v>
      </c>
      <c r="G404">
        <v>2</v>
      </c>
      <c r="H404" t="s">
        <v>1110</v>
      </c>
      <c r="I404" t="s">
        <v>1074</v>
      </c>
      <c r="J404" t="s">
        <v>1076</v>
      </c>
      <c r="K404" t="str">
        <f>tblTeamFixtures[[#This Row],[Team_name]]&amp;"_"&amp;tblTeamFixtures[[#This Row],[GW]]</f>
        <v>BRE_21</v>
      </c>
      <c r="L404">
        <f>IFERROR(INDEX(TEAM_ANALYSIS!$Y:$Y,MATCH($E404,TEAM_ANALYSIS!$A:$A,0)),1)</f>
        <v>1.088235294117647</v>
      </c>
      <c r="M404">
        <f>IFERROR(INDEX(TEAM_ANALYSIS!$Z:$Z,MATCH($E404,TEAM_ANALYSIS!$A:$A,0)),1)</f>
        <v>0.73529411764705888</v>
      </c>
      <c r="N404">
        <f>IFERROR(INDEX(TEAM_ANALYSIS!$Y:$Y,MATCH($F404,TEAM_ANALYSIS!$A:$A,0)),1)</f>
        <v>1.4411764705882353</v>
      </c>
      <c r="O404">
        <f>IFERROR(INDEX(TEAM_ANALYSIS!$Z:$Z,MATCH($F404,TEAM_ANALYSIS!$A:$A,0)),1)</f>
        <v>1.088235294117647</v>
      </c>
      <c r="P404">
        <f>MAX(0.05,AVERAGE(TEAM_ANALYSIS!$W$2:$W$21)*L404*O404)</f>
        <v>2.5165441176470584</v>
      </c>
      <c r="Q404">
        <f>MAX(0.05,AVERAGE(TEAM_ANALYSIS!$W$2:$W$21)*N404*M404)</f>
        <v>2.2518382352941178</v>
      </c>
      <c r="R404" s="23">
        <f>MAX(0.8,MIN(1.2,P404/AVERAGE(TEAM_ANALYSIS!$W$2:$W$21)))</f>
        <v>1.1842560553633217</v>
      </c>
      <c r="S404">
        <f>MAX(0.8,MIN(1.2,AVERAGE(TEAM_ANALYSIS!$W$2:$W$21)/Q404))</f>
        <v>0.94367346938775509</v>
      </c>
      <c r="T404">
        <f>AVERAGE(R404,S404)</f>
        <v>1.0639647623755384</v>
      </c>
    </row>
    <row r="405" spans="1:20" x14ac:dyDescent="0.25">
      <c r="A405">
        <v>21</v>
      </c>
      <c r="B405" t="b">
        <v>0</v>
      </c>
      <c r="C405" s="6">
        <v>46403.625</v>
      </c>
      <c r="D405" t="b">
        <v>0</v>
      </c>
      <c r="E405">
        <v>6</v>
      </c>
      <c r="F405">
        <v>20</v>
      </c>
      <c r="G405">
        <v>2</v>
      </c>
      <c r="H405" t="s">
        <v>1110</v>
      </c>
      <c r="I405" t="s">
        <v>1078</v>
      </c>
      <c r="J405" t="s">
        <v>1106</v>
      </c>
      <c r="K405" t="str">
        <f>tblTeamFixtures[[#This Row],[Team_name]]&amp;"_"&amp;tblTeamFixtures[[#This Row],[GW]]</f>
        <v>CHE_21</v>
      </c>
      <c r="L405">
        <f>IFERROR(INDEX(TEAM_ANALYSIS!$Y:$Y,MATCH($E405,TEAM_ANALYSIS!$A:$A,0)),1)</f>
        <v>1.4411764705882353</v>
      </c>
      <c r="M405">
        <f>IFERROR(INDEX(TEAM_ANALYSIS!$Z:$Z,MATCH($E405,TEAM_ANALYSIS!$A:$A,0)),1)</f>
        <v>1.3235294117647058</v>
      </c>
      <c r="N405">
        <f>IFERROR(INDEX(TEAM_ANALYSIS!$Y:$Y,MATCH($F405,TEAM_ANALYSIS!$A:$A,0)),1)</f>
        <v>0.8529411764705882</v>
      </c>
      <c r="O405">
        <f>IFERROR(INDEX(TEAM_ANALYSIS!$Z:$Z,MATCH($F405,TEAM_ANALYSIS!$A:$A,0)),1)</f>
        <v>0.8529411764705882</v>
      </c>
      <c r="P405">
        <f>MAX(0.05,AVERAGE(TEAM_ANALYSIS!$W$2:$W$21)*L405*O405)</f>
        <v>2.6121323529411762</v>
      </c>
      <c r="Q405">
        <f>MAX(0.05,AVERAGE(TEAM_ANALYSIS!$W$2:$W$21)*N405*M405)</f>
        <v>2.3988970588235294</v>
      </c>
      <c r="R405" s="23">
        <f>MAX(0.8,MIN(1.2,P405/AVERAGE(TEAM_ANALYSIS!$W$2:$W$21)))</f>
        <v>1.2</v>
      </c>
      <c r="S405">
        <f>MAX(0.8,MIN(1.2,AVERAGE(TEAM_ANALYSIS!$W$2:$W$21)/Q405))</f>
        <v>0.885823754789272</v>
      </c>
      <c r="T405">
        <f>AVERAGE(R405,S405)</f>
        <v>1.042911877394636</v>
      </c>
    </row>
    <row r="406" spans="1:20" x14ac:dyDescent="0.25">
      <c r="A406">
        <v>21</v>
      </c>
      <c r="B406" t="b">
        <v>0</v>
      </c>
      <c r="C406" s="6">
        <v>46403.625</v>
      </c>
      <c r="D406" t="b">
        <v>0</v>
      </c>
      <c r="E406">
        <v>7</v>
      </c>
      <c r="F406">
        <v>9</v>
      </c>
      <c r="G406">
        <v>3</v>
      </c>
      <c r="H406" t="s">
        <v>1110</v>
      </c>
      <c r="I406" t="s">
        <v>1080</v>
      </c>
      <c r="J406" t="s">
        <v>1084</v>
      </c>
      <c r="K406" t="str">
        <f>tblTeamFixtures[[#This Row],[Team_name]]&amp;"_"&amp;tblTeamFixtures[[#This Row],[GW]]</f>
        <v>COV_21</v>
      </c>
      <c r="L406">
        <f>IFERROR(INDEX(TEAM_ANALYSIS!$Y:$Y,MATCH($E406,TEAM_ANALYSIS!$A:$A,0)),1)</f>
        <v>0.5</v>
      </c>
      <c r="M406">
        <f>IFERROR(INDEX(TEAM_ANALYSIS!$Z:$Z,MATCH($E406,TEAM_ANALYSIS!$A:$A,0)),1)</f>
        <v>1.088235294117647</v>
      </c>
      <c r="N406">
        <f>IFERROR(INDEX(TEAM_ANALYSIS!$Y:$Y,MATCH($F406,TEAM_ANALYSIS!$A:$A,0)),1)</f>
        <v>1.088235294117647</v>
      </c>
      <c r="O406">
        <f>IFERROR(INDEX(TEAM_ANALYSIS!$Z:$Z,MATCH($F406,TEAM_ANALYSIS!$A:$A,0)),1)</f>
        <v>0.8529411764705882</v>
      </c>
      <c r="P406">
        <f>MAX(0.05,AVERAGE(TEAM_ANALYSIS!$W$2:$W$21)*L406*O406)</f>
        <v>0.90625</v>
      </c>
      <c r="Q406">
        <f>MAX(0.05,AVERAGE(TEAM_ANALYSIS!$W$2:$W$21)*N406*M406)</f>
        <v>2.5165441176470584</v>
      </c>
      <c r="R406" s="23">
        <f>MAX(0.8,MIN(1.2,P406/AVERAGE(TEAM_ANALYSIS!$W$2:$W$21)))</f>
        <v>0.8</v>
      </c>
      <c r="S406">
        <f>MAX(0.8,MIN(1.2,AVERAGE(TEAM_ANALYSIS!$W$2:$W$21)/Q406))</f>
        <v>0.84441197954711478</v>
      </c>
      <c r="T406">
        <f>AVERAGE(R406,S406)</f>
        <v>0.82220598977355741</v>
      </c>
    </row>
    <row r="407" spans="1:20" x14ac:dyDescent="0.25">
      <c r="A407">
        <v>21</v>
      </c>
      <c r="B407" t="b">
        <v>0</v>
      </c>
      <c r="C407" s="6">
        <v>46403.625</v>
      </c>
      <c r="D407" t="b">
        <v>0</v>
      </c>
      <c r="E407">
        <v>11</v>
      </c>
      <c r="F407">
        <v>1</v>
      </c>
      <c r="G407">
        <v>4</v>
      </c>
      <c r="H407" t="s">
        <v>1110</v>
      </c>
      <c r="I407" t="s">
        <v>1088</v>
      </c>
      <c r="J407" t="s">
        <v>1068</v>
      </c>
      <c r="K407" t="str">
        <f>tblTeamFixtures[[#This Row],[Team_name]]&amp;"_"&amp;tblTeamFixtures[[#This Row],[GW]]</f>
        <v>HUL_21</v>
      </c>
      <c r="L407">
        <f>IFERROR(INDEX(TEAM_ANALYSIS!$Y:$Y,MATCH($E407,TEAM_ANALYSIS!$A:$A,0)),1)</f>
        <v>0.8529411764705882</v>
      </c>
      <c r="M407">
        <f>IFERROR(INDEX(TEAM_ANALYSIS!$Z:$Z,MATCH($E407,TEAM_ANALYSIS!$A:$A,0)),1)</f>
        <v>0.5</v>
      </c>
      <c r="N407">
        <f>IFERROR(INDEX(TEAM_ANALYSIS!$Y:$Y,MATCH($F407,TEAM_ANALYSIS!$A:$A,0)),1)</f>
        <v>1.2058823529411764</v>
      </c>
      <c r="O407">
        <f>IFERROR(INDEX(TEAM_ANALYSIS!$Z:$Z,MATCH($F407,TEAM_ANALYSIS!$A:$A,0)),1)</f>
        <v>0.61764705882352944</v>
      </c>
      <c r="P407">
        <f>MAX(0.05,AVERAGE(TEAM_ANALYSIS!$W$2:$W$21)*L407*O407)</f>
        <v>1.1194852941176472</v>
      </c>
      <c r="Q407">
        <f>MAX(0.05,AVERAGE(TEAM_ANALYSIS!$W$2:$W$21)*N407*M407)</f>
        <v>1.28125</v>
      </c>
      <c r="R407" s="23">
        <f>MAX(0.8,MIN(1.2,P407/AVERAGE(TEAM_ANALYSIS!$W$2:$W$21)))</f>
        <v>0.8</v>
      </c>
      <c r="S407">
        <f>MAX(0.8,MIN(1.2,AVERAGE(TEAM_ANALYSIS!$W$2:$W$21)/Q407))</f>
        <v>1.2</v>
      </c>
      <c r="T407">
        <f>AVERAGE(R407,S407)</f>
        <v>1</v>
      </c>
    </row>
    <row r="408" spans="1:20" x14ac:dyDescent="0.25">
      <c r="A408">
        <v>21</v>
      </c>
      <c r="B408" t="b">
        <v>0</v>
      </c>
      <c r="C408" s="6">
        <v>46403.625</v>
      </c>
      <c r="D408" t="b">
        <v>0</v>
      </c>
      <c r="E408">
        <v>14</v>
      </c>
      <c r="F408">
        <v>8</v>
      </c>
      <c r="G408">
        <v>3</v>
      </c>
      <c r="H408" t="s">
        <v>1110</v>
      </c>
      <c r="I408" t="s">
        <v>1094</v>
      </c>
      <c r="J408" t="s">
        <v>1082</v>
      </c>
      <c r="K408" t="str">
        <f>tblTeamFixtures[[#This Row],[Team_name]]&amp;"_"&amp;tblTeamFixtures[[#This Row],[GW]]</f>
        <v>LIV_21</v>
      </c>
      <c r="L408">
        <f>IFERROR(INDEX(TEAM_ANALYSIS!$Y:$Y,MATCH($E408,TEAM_ANALYSIS!$A:$A,0)),1)</f>
        <v>1.2058823529411764</v>
      </c>
      <c r="M408">
        <f>IFERROR(INDEX(TEAM_ANALYSIS!$Z:$Z,MATCH($E408,TEAM_ANALYSIS!$A:$A,0)),1)</f>
        <v>0.97058823529411764</v>
      </c>
      <c r="N408">
        <f>IFERROR(INDEX(TEAM_ANALYSIS!$Y:$Y,MATCH($F408,TEAM_ANALYSIS!$A:$A,0)),1)</f>
        <v>0.97058823529411764</v>
      </c>
      <c r="O408">
        <f>IFERROR(INDEX(TEAM_ANALYSIS!$Z:$Z,MATCH($F408,TEAM_ANALYSIS!$A:$A,0)),1)</f>
        <v>1.4411764705882353</v>
      </c>
      <c r="P408">
        <f>MAX(0.05,AVERAGE(TEAM_ANALYSIS!$W$2:$W$21)*L408*O408)</f>
        <v>3.6930147058823528</v>
      </c>
      <c r="Q408">
        <f>MAX(0.05,AVERAGE(TEAM_ANALYSIS!$W$2:$W$21)*N408*M408)</f>
        <v>2.0018382352941178</v>
      </c>
      <c r="R408" s="23">
        <f>MAX(0.8,MIN(1.2,P408/AVERAGE(TEAM_ANALYSIS!$W$2:$W$21)))</f>
        <v>1.2</v>
      </c>
      <c r="S408">
        <f>MAX(0.8,MIN(1.2,AVERAGE(TEAM_ANALYSIS!$W$2:$W$21)/Q408))</f>
        <v>1.061524334251607</v>
      </c>
      <c r="T408">
        <f>AVERAGE(R408,S408)</f>
        <v>1.1307621671258035</v>
      </c>
    </row>
    <row r="409" spans="1:20" x14ac:dyDescent="0.25">
      <c r="A409">
        <v>21</v>
      </c>
      <c r="B409" t="b">
        <v>0</v>
      </c>
      <c r="C409" s="6">
        <v>46403.625</v>
      </c>
      <c r="D409" t="b">
        <v>0</v>
      </c>
      <c r="E409">
        <v>15</v>
      </c>
      <c r="F409">
        <v>18</v>
      </c>
      <c r="G409">
        <v>3</v>
      </c>
      <c r="H409" t="s">
        <v>1110</v>
      </c>
      <c r="I409" t="s">
        <v>1096</v>
      </c>
      <c r="J409" t="s">
        <v>1102</v>
      </c>
      <c r="K409" t="str">
        <f>tblTeamFixtures[[#This Row],[Team_name]]&amp;"_"&amp;tblTeamFixtures[[#This Row],[GW]]</f>
        <v>MCI_21</v>
      </c>
      <c r="L409">
        <f>IFERROR(INDEX(TEAM_ANALYSIS!$Y:$Y,MATCH($E409,TEAM_ANALYSIS!$A:$A,0)),1)</f>
        <v>1.3235294117647058</v>
      </c>
      <c r="M409">
        <f>IFERROR(INDEX(TEAM_ANALYSIS!$Z:$Z,MATCH($E409,TEAM_ANALYSIS!$A:$A,0)),1)</f>
        <v>0.73529411764705888</v>
      </c>
      <c r="N409">
        <f>IFERROR(INDEX(TEAM_ANALYSIS!$Y:$Y,MATCH($F409,TEAM_ANALYSIS!$A:$A,0)),1)</f>
        <v>0.73529411764705888</v>
      </c>
      <c r="O409">
        <f>IFERROR(INDEX(TEAM_ANALYSIS!$Z:$Z,MATCH($F409,TEAM_ANALYSIS!$A:$A,0)),1)</f>
        <v>0.8529411764705882</v>
      </c>
      <c r="P409">
        <f>MAX(0.05,AVERAGE(TEAM_ANALYSIS!$W$2:$W$21)*L409*O409)</f>
        <v>2.3988970588235294</v>
      </c>
      <c r="Q409">
        <f>MAX(0.05,AVERAGE(TEAM_ANALYSIS!$W$2:$W$21)*N409*M409)</f>
        <v>1.1488970588235294</v>
      </c>
      <c r="R409" s="23">
        <f>MAX(0.8,MIN(1.2,P409/AVERAGE(TEAM_ANALYSIS!$W$2:$W$21)))</f>
        <v>1.1288927335640138</v>
      </c>
      <c r="S409">
        <f>MAX(0.8,MIN(1.2,AVERAGE(TEAM_ANALYSIS!$W$2:$W$21)/Q409))</f>
        <v>1.2</v>
      </c>
      <c r="T409">
        <f>AVERAGE(R409,S409)</f>
        <v>1.1644463667820069</v>
      </c>
    </row>
    <row r="410" spans="1:20" x14ac:dyDescent="0.25">
      <c r="A410">
        <v>21</v>
      </c>
      <c r="B410" t="b">
        <v>0</v>
      </c>
      <c r="C410" s="6">
        <v>46403.625</v>
      </c>
      <c r="D410" t="b">
        <v>0</v>
      </c>
      <c r="E410">
        <v>17</v>
      </c>
      <c r="F410">
        <v>10</v>
      </c>
      <c r="G410">
        <v>2</v>
      </c>
      <c r="H410" t="s">
        <v>1110</v>
      </c>
      <c r="I410" t="s">
        <v>1100</v>
      </c>
      <c r="J410" t="s">
        <v>1086</v>
      </c>
      <c r="K410" t="str">
        <f>tblTeamFixtures[[#This Row],[Team_name]]&amp;"_"&amp;tblTeamFixtures[[#This Row],[GW]]</f>
        <v>NEW_21</v>
      </c>
      <c r="L410">
        <f>IFERROR(INDEX(TEAM_ANALYSIS!$Y:$Y,MATCH($E410,TEAM_ANALYSIS!$A:$A,0)),1)</f>
        <v>1.2058823529411764</v>
      </c>
      <c r="M410">
        <f>IFERROR(INDEX(TEAM_ANALYSIS!$Z:$Z,MATCH($E410,TEAM_ANALYSIS!$A:$A,0)),1)</f>
        <v>0.97058823529411764</v>
      </c>
      <c r="N410">
        <f>IFERROR(INDEX(TEAM_ANALYSIS!$Y:$Y,MATCH($F410,TEAM_ANALYSIS!$A:$A,0)),1)</f>
        <v>0.97058823529411764</v>
      </c>
      <c r="O410">
        <f>IFERROR(INDEX(TEAM_ANALYSIS!$Z:$Z,MATCH($F410,TEAM_ANALYSIS!$A:$A,0)),1)</f>
        <v>1.3235294117647058</v>
      </c>
      <c r="P410">
        <f>MAX(0.05,AVERAGE(TEAM_ANALYSIS!$W$2:$W$21)*L410*O410)</f>
        <v>3.3915441176470589</v>
      </c>
      <c r="Q410">
        <f>MAX(0.05,AVERAGE(TEAM_ANALYSIS!$W$2:$W$21)*N410*M410)</f>
        <v>2.0018382352941178</v>
      </c>
      <c r="R410" s="23">
        <f>MAX(0.8,MIN(1.2,P410/AVERAGE(TEAM_ANALYSIS!$W$2:$W$21)))</f>
        <v>1.2</v>
      </c>
      <c r="S410">
        <f>MAX(0.8,MIN(1.2,AVERAGE(TEAM_ANALYSIS!$W$2:$W$21)/Q410))</f>
        <v>1.061524334251607</v>
      </c>
      <c r="T410">
        <f>AVERAGE(R410,S410)</f>
        <v>1.1307621671258035</v>
      </c>
    </row>
    <row r="411" spans="1:20" x14ac:dyDescent="0.25">
      <c r="A411">
        <v>21</v>
      </c>
      <c r="B411" t="b">
        <v>0</v>
      </c>
      <c r="C411" s="6">
        <v>46403.625</v>
      </c>
      <c r="D411" t="b">
        <v>0</v>
      </c>
      <c r="E411">
        <v>19</v>
      </c>
      <c r="F411">
        <v>13</v>
      </c>
      <c r="G411">
        <v>2</v>
      </c>
      <c r="H411" t="s">
        <v>1110</v>
      </c>
      <c r="I411" t="s">
        <v>1104</v>
      </c>
      <c r="J411" t="s">
        <v>1092</v>
      </c>
      <c r="K411" t="str">
        <f>tblTeamFixtures[[#This Row],[Team_name]]&amp;"_"&amp;tblTeamFixtures[[#This Row],[GW]]</f>
        <v>TOT_21</v>
      </c>
      <c r="L411">
        <f>IFERROR(INDEX(TEAM_ANALYSIS!$Y:$Y,MATCH($E411,TEAM_ANALYSIS!$A:$A,0)),1)</f>
        <v>0.5</v>
      </c>
      <c r="M411">
        <f>IFERROR(INDEX(TEAM_ANALYSIS!$Z:$Z,MATCH($E411,TEAM_ANALYSIS!$A:$A,0)),1)</f>
        <v>1.088235294117647</v>
      </c>
      <c r="N411">
        <f>IFERROR(INDEX(TEAM_ANALYSIS!$Y:$Y,MATCH($F411,TEAM_ANALYSIS!$A:$A,0)),1)</f>
        <v>0.8529411764705882</v>
      </c>
      <c r="O411">
        <f>IFERROR(INDEX(TEAM_ANALYSIS!$Z:$Z,MATCH($F411,TEAM_ANALYSIS!$A:$A,0)),1)</f>
        <v>0.73529411764705888</v>
      </c>
      <c r="P411">
        <f>MAX(0.05,AVERAGE(TEAM_ANALYSIS!$W$2:$W$21)*L411*O411)</f>
        <v>0.78125</v>
      </c>
      <c r="Q411">
        <f>MAX(0.05,AVERAGE(TEAM_ANALYSIS!$W$2:$W$21)*N411*M411)</f>
        <v>1.9724264705882351</v>
      </c>
      <c r="R411" s="23">
        <f>MAX(0.8,MIN(1.2,P411/AVERAGE(TEAM_ANALYSIS!$W$2:$W$21)))</f>
        <v>0.8</v>
      </c>
      <c r="S411">
        <f>MAX(0.8,MIN(1.2,AVERAGE(TEAM_ANALYSIS!$W$2:$W$21)/Q411))</f>
        <v>1.07735321528425</v>
      </c>
      <c r="T411">
        <f>AVERAGE(R411,S411)</f>
        <v>0.93867660764212502</v>
      </c>
    </row>
    <row r="412" spans="1:20" x14ac:dyDescent="0.25">
      <c r="A412">
        <v>21</v>
      </c>
      <c r="B412" t="b">
        <v>0</v>
      </c>
      <c r="C412" s="6">
        <v>46403.625</v>
      </c>
      <c r="D412" t="b">
        <v>0</v>
      </c>
      <c r="E412">
        <v>16</v>
      </c>
      <c r="F412">
        <v>2</v>
      </c>
      <c r="G412">
        <v>4</v>
      </c>
      <c r="H412" t="s">
        <v>1111</v>
      </c>
      <c r="I412" t="s">
        <v>1098</v>
      </c>
      <c r="J412" t="s">
        <v>1070</v>
      </c>
      <c r="K412" t="str">
        <f>tblTeamFixtures[[#This Row],[Team_name]]&amp;"_"&amp;tblTeamFixtures[[#This Row],[GW]]</f>
        <v>MUN_21</v>
      </c>
      <c r="L412">
        <f>IFERROR(INDEX(TEAM_ANALYSIS!$Y:$Y,MATCH($E412,TEAM_ANALYSIS!$A:$A,0)),1)</f>
        <v>1.3235294117647058</v>
      </c>
      <c r="M412">
        <f>IFERROR(INDEX(TEAM_ANALYSIS!$Z:$Z,MATCH($E412,TEAM_ANALYSIS!$A:$A,0)),1)</f>
        <v>1.2058823529411764</v>
      </c>
      <c r="N412">
        <f>IFERROR(INDEX(TEAM_ANALYSIS!$Y:$Y,MATCH($F412,TEAM_ANALYSIS!$A:$A,0)),1)</f>
        <v>0.5</v>
      </c>
      <c r="O412">
        <f>IFERROR(INDEX(TEAM_ANALYSIS!$Z:$Z,MATCH($F412,TEAM_ANALYSIS!$A:$A,0)),1)</f>
        <v>1.088235294117647</v>
      </c>
      <c r="P412">
        <f>MAX(0.05,AVERAGE(TEAM_ANALYSIS!$W$2:$W$21)*L412*O412)</f>
        <v>3.0606617647058822</v>
      </c>
      <c r="Q412">
        <f>MAX(0.05,AVERAGE(TEAM_ANALYSIS!$W$2:$W$21)*N412*M412)</f>
        <v>1.28125</v>
      </c>
      <c r="R412" s="23">
        <f>MAX(0.8,MIN(1.2,P412/AVERAGE(TEAM_ANALYSIS!$W$2:$W$21)))</f>
        <v>1.2</v>
      </c>
      <c r="S412">
        <f>MAX(0.8,MIN(1.2,AVERAGE(TEAM_ANALYSIS!$W$2:$W$21)/Q412))</f>
        <v>1.2</v>
      </c>
      <c r="T412">
        <f>AVERAGE(R412,S412)</f>
        <v>1.2</v>
      </c>
    </row>
    <row r="413" spans="1:20" x14ac:dyDescent="0.25">
      <c r="A413">
        <v>21</v>
      </c>
      <c r="B413" t="b">
        <v>0</v>
      </c>
      <c r="C413" s="6">
        <v>46403.625</v>
      </c>
      <c r="D413" t="b">
        <v>0</v>
      </c>
      <c r="E413">
        <v>12</v>
      </c>
      <c r="F413">
        <v>3</v>
      </c>
      <c r="G413">
        <v>3</v>
      </c>
      <c r="H413" t="s">
        <v>1111</v>
      </c>
      <c r="I413" t="s">
        <v>1090</v>
      </c>
      <c r="J413" t="s">
        <v>1072</v>
      </c>
      <c r="K413" t="str">
        <f>tblTeamFixtures[[#This Row],[Team_name]]&amp;"_"&amp;tblTeamFixtures[[#This Row],[GW]]</f>
        <v>IPS_21</v>
      </c>
      <c r="L413">
        <f>IFERROR(INDEX(TEAM_ANALYSIS!$Y:$Y,MATCH($E413,TEAM_ANALYSIS!$A:$A,0)),1)</f>
        <v>0.97058823529411764</v>
      </c>
      <c r="M413">
        <f>IFERROR(INDEX(TEAM_ANALYSIS!$Z:$Z,MATCH($E413,TEAM_ANALYSIS!$A:$A,0)),1)</f>
        <v>1.4411764705882353</v>
      </c>
      <c r="N413">
        <f>IFERROR(INDEX(TEAM_ANALYSIS!$Y:$Y,MATCH($F413,TEAM_ANALYSIS!$A:$A,0)),1)</f>
        <v>0.97058823529411764</v>
      </c>
      <c r="O413">
        <f>IFERROR(INDEX(TEAM_ANALYSIS!$Z:$Z,MATCH($F413,TEAM_ANALYSIS!$A:$A,0)),1)</f>
        <v>1.088235294117647</v>
      </c>
      <c r="P413">
        <f>MAX(0.05,AVERAGE(TEAM_ANALYSIS!$W$2:$W$21)*L413*O413)</f>
        <v>2.2444852941176467</v>
      </c>
      <c r="Q413">
        <f>MAX(0.05,AVERAGE(TEAM_ANALYSIS!$W$2:$W$21)*N413*M413)</f>
        <v>2.9724264705882351</v>
      </c>
      <c r="R413" s="23">
        <f>MAX(0.8,MIN(1.2,P413/AVERAGE(TEAM_ANALYSIS!$W$2:$W$21)))</f>
        <v>1.0562283737024221</v>
      </c>
      <c r="S413">
        <f>MAX(0.8,MIN(1.2,AVERAGE(TEAM_ANALYSIS!$W$2:$W$21)/Q413))</f>
        <v>0.8</v>
      </c>
      <c r="T413">
        <f>AVERAGE(R413,S413)</f>
        <v>0.92811418685121105</v>
      </c>
    </row>
    <row r="414" spans="1:20" x14ac:dyDescent="0.25">
      <c r="A414">
        <v>21</v>
      </c>
      <c r="B414" t="b">
        <v>0</v>
      </c>
      <c r="C414" s="6">
        <v>46403.625</v>
      </c>
      <c r="D414" t="b">
        <v>0</v>
      </c>
      <c r="E414">
        <v>5</v>
      </c>
      <c r="F414">
        <v>4</v>
      </c>
      <c r="G414">
        <v>3</v>
      </c>
      <c r="H414" t="s">
        <v>1111</v>
      </c>
      <c r="I414" t="s">
        <v>1076</v>
      </c>
      <c r="J414" t="s">
        <v>1074</v>
      </c>
      <c r="K414" t="str">
        <f>tblTeamFixtures[[#This Row],[Team_name]]&amp;"_"&amp;tblTeamFixtures[[#This Row],[GW]]</f>
        <v>BHA_21</v>
      </c>
      <c r="L414">
        <f>IFERROR(INDEX(TEAM_ANALYSIS!$Y:$Y,MATCH($E414,TEAM_ANALYSIS!$A:$A,0)),1)</f>
        <v>1.4411764705882353</v>
      </c>
      <c r="M414">
        <f>IFERROR(INDEX(TEAM_ANALYSIS!$Z:$Z,MATCH($E414,TEAM_ANALYSIS!$A:$A,0)),1)</f>
        <v>1.088235294117647</v>
      </c>
      <c r="N414">
        <f>IFERROR(INDEX(TEAM_ANALYSIS!$Y:$Y,MATCH($F414,TEAM_ANALYSIS!$A:$A,0)),1)</f>
        <v>1.088235294117647</v>
      </c>
      <c r="O414">
        <f>IFERROR(INDEX(TEAM_ANALYSIS!$Z:$Z,MATCH($F414,TEAM_ANALYSIS!$A:$A,0)),1)</f>
        <v>0.73529411764705888</v>
      </c>
      <c r="P414">
        <f>MAX(0.05,AVERAGE(TEAM_ANALYSIS!$W$2:$W$21)*L414*O414)</f>
        <v>2.2518382352941178</v>
      </c>
      <c r="Q414">
        <f>MAX(0.05,AVERAGE(TEAM_ANALYSIS!$W$2:$W$21)*N414*M414)</f>
        <v>2.5165441176470584</v>
      </c>
      <c r="R414" s="23">
        <f>MAX(0.8,MIN(1.2,P414/AVERAGE(TEAM_ANALYSIS!$W$2:$W$21)))</f>
        <v>1.0596885813148789</v>
      </c>
      <c r="S414">
        <f>MAX(0.8,MIN(1.2,AVERAGE(TEAM_ANALYSIS!$W$2:$W$21)/Q414))</f>
        <v>0.84441197954711478</v>
      </c>
      <c r="T414">
        <f>AVERAGE(R414,S414)</f>
        <v>0.95205028043099682</v>
      </c>
    </row>
    <row r="415" spans="1:20" x14ac:dyDescent="0.25">
      <c r="A415">
        <v>21</v>
      </c>
      <c r="B415" t="b">
        <v>0</v>
      </c>
      <c r="C415" s="6">
        <v>46403.625</v>
      </c>
      <c r="D415" t="b">
        <v>0</v>
      </c>
      <c r="E415">
        <v>20</v>
      </c>
      <c r="F415">
        <v>6</v>
      </c>
      <c r="G415">
        <v>4</v>
      </c>
      <c r="H415" t="s">
        <v>1111</v>
      </c>
      <c r="I415" t="s">
        <v>1106</v>
      </c>
      <c r="J415" t="s">
        <v>1078</v>
      </c>
      <c r="K415" t="str">
        <f>tblTeamFixtures[[#This Row],[Team_name]]&amp;"_"&amp;tblTeamFixtures[[#This Row],[GW]]</f>
        <v>SUN_21</v>
      </c>
      <c r="L415">
        <f>IFERROR(INDEX(TEAM_ANALYSIS!$Y:$Y,MATCH($E415,TEAM_ANALYSIS!$A:$A,0)),1)</f>
        <v>0.8529411764705882</v>
      </c>
      <c r="M415">
        <f>IFERROR(INDEX(TEAM_ANALYSIS!$Z:$Z,MATCH($E415,TEAM_ANALYSIS!$A:$A,0)),1)</f>
        <v>0.8529411764705882</v>
      </c>
      <c r="N415">
        <f>IFERROR(INDEX(TEAM_ANALYSIS!$Y:$Y,MATCH($F415,TEAM_ANALYSIS!$A:$A,0)),1)</f>
        <v>1.4411764705882353</v>
      </c>
      <c r="O415">
        <f>IFERROR(INDEX(TEAM_ANALYSIS!$Z:$Z,MATCH($F415,TEAM_ANALYSIS!$A:$A,0)),1)</f>
        <v>1.3235294117647058</v>
      </c>
      <c r="P415">
        <f>MAX(0.05,AVERAGE(TEAM_ANALYSIS!$W$2:$W$21)*L415*O415)</f>
        <v>2.3988970588235294</v>
      </c>
      <c r="Q415">
        <f>MAX(0.05,AVERAGE(TEAM_ANALYSIS!$W$2:$W$21)*N415*M415)</f>
        <v>2.6121323529411762</v>
      </c>
      <c r="R415" s="23">
        <f>MAX(0.8,MIN(1.2,P415/AVERAGE(TEAM_ANALYSIS!$W$2:$W$21)))</f>
        <v>1.1288927335640138</v>
      </c>
      <c r="S415">
        <f>MAX(0.8,MIN(1.2,AVERAGE(TEAM_ANALYSIS!$W$2:$W$21)/Q415))</f>
        <v>0.81351161154116824</v>
      </c>
      <c r="T415">
        <f>AVERAGE(R415,S415)</f>
        <v>0.971202172552591</v>
      </c>
    </row>
    <row r="416" spans="1:20" x14ac:dyDescent="0.25">
      <c r="A416">
        <v>21</v>
      </c>
      <c r="B416" t="b">
        <v>0</v>
      </c>
      <c r="C416" s="6">
        <v>46403.625</v>
      </c>
      <c r="D416" t="b">
        <v>0</v>
      </c>
      <c r="E416">
        <v>9</v>
      </c>
      <c r="F416">
        <v>7</v>
      </c>
      <c r="G416">
        <v>2</v>
      </c>
      <c r="H416" t="s">
        <v>1111</v>
      </c>
      <c r="I416" t="s">
        <v>1084</v>
      </c>
      <c r="J416" t="s">
        <v>1080</v>
      </c>
      <c r="K416" t="str">
        <f>tblTeamFixtures[[#This Row],[Team_name]]&amp;"_"&amp;tblTeamFixtures[[#This Row],[GW]]</f>
        <v>EVE_21</v>
      </c>
      <c r="L416">
        <f>IFERROR(INDEX(TEAM_ANALYSIS!$Y:$Y,MATCH($E416,TEAM_ANALYSIS!$A:$A,0)),1)</f>
        <v>1.088235294117647</v>
      </c>
      <c r="M416">
        <f>IFERROR(INDEX(TEAM_ANALYSIS!$Z:$Z,MATCH($E416,TEAM_ANALYSIS!$A:$A,0)),1)</f>
        <v>0.8529411764705882</v>
      </c>
      <c r="N416">
        <f>IFERROR(INDEX(TEAM_ANALYSIS!$Y:$Y,MATCH($F416,TEAM_ANALYSIS!$A:$A,0)),1)</f>
        <v>0.5</v>
      </c>
      <c r="O416">
        <f>IFERROR(INDEX(TEAM_ANALYSIS!$Z:$Z,MATCH($F416,TEAM_ANALYSIS!$A:$A,0)),1)</f>
        <v>1.088235294117647</v>
      </c>
      <c r="P416">
        <f>MAX(0.05,AVERAGE(TEAM_ANALYSIS!$W$2:$W$21)*L416*O416)</f>
        <v>2.5165441176470584</v>
      </c>
      <c r="Q416">
        <f>MAX(0.05,AVERAGE(TEAM_ANALYSIS!$W$2:$W$21)*N416*M416)</f>
        <v>0.90625</v>
      </c>
      <c r="R416" s="23">
        <f>MAX(0.8,MIN(1.2,P416/AVERAGE(TEAM_ANALYSIS!$W$2:$W$21)))</f>
        <v>1.1842560553633217</v>
      </c>
      <c r="S416">
        <f>MAX(0.8,MIN(1.2,AVERAGE(TEAM_ANALYSIS!$W$2:$W$21)/Q416))</f>
        <v>1.2</v>
      </c>
      <c r="T416">
        <f>AVERAGE(R416,S416)</f>
        <v>1.1921280276816608</v>
      </c>
    </row>
    <row r="417" spans="1:20" x14ac:dyDescent="0.25">
      <c r="A417">
        <v>21</v>
      </c>
      <c r="B417" t="b">
        <v>0</v>
      </c>
      <c r="C417" s="6">
        <v>46403.625</v>
      </c>
      <c r="D417" t="b">
        <v>0</v>
      </c>
      <c r="E417">
        <v>1</v>
      </c>
      <c r="F417">
        <v>11</v>
      </c>
      <c r="G417">
        <v>2</v>
      </c>
      <c r="H417" t="s">
        <v>1111</v>
      </c>
      <c r="I417" t="s">
        <v>1068</v>
      </c>
      <c r="J417" t="s">
        <v>1088</v>
      </c>
      <c r="K417" t="str">
        <f>tblTeamFixtures[[#This Row],[Team_name]]&amp;"_"&amp;tblTeamFixtures[[#This Row],[GW]]</f>
        <v>ARS_21</v>
      </c>
      <c r="L417">
        <f>IFERROR(INDEX(TEAM_ANALYSIS!$Y:$Y,MATCH($E417,TEAM_ANALYSIS!$A:$A,0)),1)</f>
        <v>1.2058823529411764</v>
      </c>
      <c r="M417">
        <f>IFERROR(INDEX(TEAM_ANALYSIS!$Z:$Z,MATCH($E417,TEAM_ANALYSIS!$A:$A,0)),1)</f>
        <v>0.61764705882352944</v>
      </c>
      <c r="N417">
        <f>IFERROR(INDEX(TEAM_ANALYSIS!$Y:$Y,MATCH($F417,TEAM_ANALYSIS!$A:$A,0)),1)</f>
        <v>0.8529411764705882</v>
      </c>
      <c r="O417">
        <f>IFERROR(INDEX(TEAM_ANALYSIS!$Z:$Z,MATCH($F417,TEAM_ANALYSIS!$A:$A,0)),1)</f>
        <v>0.5</v>
      </c>
      <c r="P417">
        <f>MAX(0.05,AVERAGE(TEAM_ANALYSIS!$W$2:$W$21)*L417*O417)</f>
        <v>1.28125</v>
      </c>
      <c r="Q417">
        <f>MAX(0.05,AVERAGE(TEAM_ANALYSIS!$W$2:$W$21)*N417*M417)</f>
        <v>1.1194852941176472</v>
      </c>
      <c r="R417" s="23">
        <f>MAX(0.8,MIN(1.2,P417/AVERAGE(TEAM_ANALYSIS!$W$2:$W$21)))</f>
        <v>0.8</v>
      </c>
      <c r="S417">
        <f>MAX(0.8,MIN(1.2,AVERAGE(TEAM_ANALYSIS!$W$2:$W$21)/Q417))</f>
        <v>1.2</v>
      </c>
      <c r="T417">
        <f>AVERAGE(R417,S417)</f>
        <v>1</v>
      </c>
    </row>
    <row r="418" spans="1:20" x14ac:dyDescent="0.25">
      <c r="A418">
        <v>21</v>
      </c>
      <c r="B418" t="b">
        <v>0</v>
      </c>
      <c r="C418" s="6">
        <v>46403.625</v>
      </c>
      <c r="D418" t="b">
        <v>0</v>
      </c>
      <c r="E418">
        <v>8</v>
      </c>
      <c r="F418">
        <v>14</v>
      </c>
      <c r="G418">
        <v>4</v>
      </c>
      <c r="H418" t="s">
        <v>1111</v>
      </c>
      <c r="I418" t="s">
        <v>1082</v>
      </c>
      <c r="J418" t="s">
        <v>1094</v>
      </c>
      <c r="K418" t="str">
        <f>tblTeamFixtures[[#This Row],[Team_name]]&amp;"_"&amp;tblTeamFixtures[[#This Row],[GW]]</f>
        <v>CRY_21</v>
      </c>
      <c r="L418">
        <f>IFERROR(INDEX(TEAM_ANALYSIS!$Y:$Y,MATCH($E418,TEAM_ANALYSIS!$A:$A,0)),1)</f>
        <v>0.97058823529411764</v>
      </c>
      <c r="M418">
        <f>IFERROR(INDEX(TEAM_ANALYSIS!$Z:$Z,MATCH($E418,TEAM_ANALYSIS!$A:$A,0)),1)</f>
        <v>1.4411764705882353</v>
      </c>
      <c r="N418">
        <f>IFERROR(INDEX(TEAM_ANALYSIS!$Y:$Y,MATCH($F418,TEAM_ANALYSIS!$A:$A,0)),1)</f>
        <v>1.2058823529411764</v>
      </c>
      <c r="O418">
        <f>IFERROR(INDEX(TEAM_ANALYSIS!$Z:$Z,MATCH($F418,TEAM_ANALYSIS!$A:$A,0)),1)</f>
        <v>0.97058823529411764</v>
      </c>
      <c r="P418">
        <f>MAX(0.05,AVERAGE(TEAM_ANALYSIS!$W$2:$W$21)*L418*O418)</f>
        <v>2.0018382352941178</v>
      </c>
      <c r="Q418">
        <f>MAX(0.05,AVERAGE(TEAM_ANALYSIS!$W$2:$W$21)*N418*M418)</f>
        <v>3.6930147058823528</v>
      </c>
      <c r="R418" s="23">
        <f>MAX(0.8,MIN(1.2,P418/AVERAGE(TEAM_ANALYSIS!$W$2:$W$21)))</f>
        <v>0.94204152249134954</v>
      </c>
      <c r="S418">
        <f>MAX(0.8,MIN(1.2,AVERAGE(TEAM_ANALYSIS!$W$2:$W$21)/Q418))</f>
        <v>0.8</v>
      </c>
      <c r="T418">
        <f>AVERAGE(R418,S418)</f>
        <v>0.87102076124567485</v>
      </c>
    </row>
    <row r="419" spans="1:20" x14ac:dyDescent="0.25">
      <c r="A419">
        <v>21</v>
      </c>
      <c r="B419" t="b">
        <v>0</v>
      </c>
      <c r="C419" s="6">
        <v>46403.625</v>
      </c>
      <c r="D419" t="b">
        <v>0</v>
      </c>
      <c r="E419">
        <v>18</v>
      </c>
      <c r="F419">
        <v>15</v>
      </c>
      <c r="G419">
        <v>5</v>
      </c>
      <c r="H419" t="s">
        <v>1111</v>
      </c>
      <c r="I419" t="s">
        <v>1102</v>
      </c>
      <c r="J419" t="s">
        <v>1096</v>
      </c>
      <c r="K419" t="str">
        <f>tblTeamFixtures[[#This Row],[Team_name]]&amp;"_"&amp;tblTeamFixtures[[#This Row],[GW]]</f>
        <v>NFO_21</v>
      </c>
      <c r="L419">
        <f>IFERROR(INDEX(TEAM_ANALYSIS!$Y:$Y,MATCH($E419,TEAM_ANALYSIS!$A:$A,0)),1)</f>
        <v>0.73529411764705888</v>
      </c>
      <c r="M419">
        <f>IFERROR(INDEX(TEAM_ANALYSIS!$Z:$Z,MATCH($E419,TEAM_ANALYSIS!$A:$A,0)),1)</f>
        <v>0.8529411764705882</v>
      </c>
      <c r="N419">
        <f>IFERROR(INDEX(TEAM_ANALYSIS!$Y:$Y,MATCH($F419,TEAM_ANALYSIS!$A:$A,0)),1)</f>
        <v>1.3235294117647058</v>
      </c>
      <c r="O419">
        <f>IFERROR(INDEX(TEAM_ANALYSIS!$Z:$Z,MATCH($F419,TEAM_ANALYSIS!$A:$A,0)),1)</f>
        <v>0.73529411764705888</v>
      </c>
      <c r="P419">
        <f>MAX(0.05,AVERAGE(TEAM_ANALYSIS!$W$2:$W$21)*L419*O419)</f>
        <v>1.1488970588235294</v>
      </c>
      <c r="Q419">
        <f>MAX(0.05,AVERAGE(TEAM_ANALYSIS!$W$2:$W$21)*N419*M419)</f>
        <v>2.3988970588235294</v>
      </c>
      <c r="R419" s="23">
        <f>MAX(0.8,MIN(1.2,P419/AVERAGE(TEAM_ANALYSIS!$W$2:$W$21)))</f>
        <v>0.8</v>
      </c>
      <c r="S419">
        <f>MAX(0.8,MIN(1.2,AVERAGE(TEAM_ANALYSIS!$W$2:$W$21)/Q419))</f>
        <v>0.885823754789272</v>
      </c>
      <c r="T419">
        <f>AVERAGE(R419,S419)</f>
        <v>0.84291187739463602</v>
      </c>
    </row>
    <row r="420" spans="1:20" x14ac:dyDescent="0.25">
      <c r="A420">
        <v>21</v>
      </c>
      <c r="B420" t="b">
        <v>0</v>
      </c>
      <c r="C420" s="6">
        <v>46403.625</v>
      </c>
      <c r="D420" t="b">
        <v>0</v>
      </c>
      <c r="E420">
        <v>10</v>
      </c>
      <c r="F420">
        <v>17</v>
      </c>
      <c r="G420">
        <v>3</v>
      </c>
      <c r="H420" t="s">
        <v>1111</v>
      </c>
      <c r="I420" t="s">
        <v>1086</v>
      </c>
      <c r="J420" t="s">
        <v>1100</v>
      </c>
      <c r="K420" t="str">
        <f>tblTeamFixtures[[#This Row],[Team_name]]&amp;"_"&amp;tblTeamFixtures[[#This Row],[GW]]</f>
        <v>FUL_21</v>
      </c>
      <c r="L420">
        <f>IFERROR(INDEX(TEAM_ANALYSIS!$Y:$Y,MATCH($E420,TEAM_ANALYSIS!$A:$A,0)),1)</f>
        <v>0.97058823529411764</v>
      </c>
      <c r="M420">
        <f>IFERROR(INDEX(TEAM_ANALYSIS!$Z:$Z,MATCH($E420,TEAM_ANALYSIS!$A:$A,0)),1)</f>
        <v>1.3235294117647058</v>
      </c>
      <c r="N420">
        <f>IFERROR(INDEX(TEAM_ANALYSIS!$Y:$Y,MATCH($F420,TEAM_ANALYSIS!$A:$A,0)),1)</f>
        <v>1.2058823529411764</v>
      </c>
      <c r="O420">
        <f>IFERROR(INDEX(TEAM_ANALYSIS!$Z:$Z,MATCH($F420,TEAM_ANALYSIS!$A:$A,0)),1)</f>
        <v>0.97058823529411764</v>
      </c>
      <c r="P420">
        <f>MAX(0.05,AVERAGE(TEAM_ANALYSIS!$W$2:$W$21)*L420*O420)</f>
        <v>2.0018382352941178</v>
      </c>
      <c r="Q420">
        <f>MAX(0.05,AVERAGE(TEAM_ANALYSIS!$W$2:$W$21)*N420*M420)</f>
        <v>3.3915441176470589</v>
      </c>
      <c r="R420" s="23">
        <f>MAX(0.8,MIN(1.2,P420/AVERAGE(TEAM_ANALYSIS!$W$2:$W$21)))</f>
        <v>0.94204152249134954</v>
      </c>
      <c r="S420">
        <f>MAX(0.8,MIN(1.2,AVERAGE(TEAM_ANALYSIS!$W$2:$W$21)/Q420))</f>
        <v>0.8</v>
      </c>
      <c r="T420">
        <f>AVERAGE(R420,S420)</f>
        <v>0.87102076124567485</v>
      </c>
    </row>
    <row r="421" spans="1:20" x14ac:dyDescent="0.25">
      <c r="A421">
        <v>21</v>
      </c>
      <c r="B421" t="b">
        <v>0</v>
      </c>
      <c r="C421" s="6">
        <v>46403.625</v>
      </c>
      <c r="D421" t="b">
        <v>0</v>
      </c>
      <c r="E421">
        <v>13</v>
      </c>
      <c r="F421">
        <v>19</v>
      </c>
      <c r="G421">
        <v>3</v>
      </c>
      <c r="H421" t="s">
        <v>1111</v>
      </c>
      <c r="I421" t="s">
        <v>1092</v>
      </c>
      <c r="J421" t="s">
        <v>1104</v>
      </c>
      <c r="K421" t="str">
        <f>tblTeamFixtures[[#This Row],[Team_name]]&amp;"_"&amp;tblTeamFixtures[[#This Row],[GW]]</f>
        <v>LEE_21</v>
      </c>
      <c r="L421">
        <f>IFERROR(INDEX(TEAM_ANALYSIS!$Y:$Y,MATCH($E421,TEAM_ANALYSIS!$A:$A,0)),1)</f>
        <v>0.8529411764705882</v>
      </c>
      <c r="M421">
        <f>IFERROR(INDEX(TEAM_ANALYSIS!$Z:$Z,MATCH($E421,TEAM_ANALYSIS!$A:$A,0)),1)</f>
        <v>0.73529411764705888</v>
      </c>
      <c r="N421">
        <f>IFERROR(INDEX(TEAM_ANALYSIS!$Y:$Y,MATCH($F421,TEAM_ANALYSIS!$A:$A,0)),1)</f>
        <v>0.5</v>
      </c>
      <c r="O421">
        <f>IFERROR(INDEX(TEAM_ANALYSIS!$Z:$Z,MATCH($F421,TEAM_ANALYSIS!$A:$A,0)),1)</f>
        <v>1.088235294117647</v>
      </c>
      <c r="P421">
        <f>MAX(0.05,AVERAGE(TEAM_ANALYSIS!$W$2:$W$21)*L421*O421)</f>
        <v>1.9724264705882351</v>
      </c>
      <c r="Q421">
        <f>MAX(0.05,AVERAGE(TEAM_ANALYSIS!$W$2:$W$21)*N421*M421)</f>
        <v>0.78125</v>
      </c>
      <c r="R421" s="23">
        <f>MAX(0.8,MIN(1.2,P421/AVERAGE(TEAM_ANALYSIS!$W$2:$W$21)))</f>
        <v>0.92820069204152233</v>
      </c>
      <c r="S421">
        <f>MAX(0.8,MIN(1.2,AVERAGE(TEAM_ANALYSIS!$W$2:$W$21)/Q421))</f>
        <v>1.2</v>
      </c>
      <c r="T421">
        <f>AVERAGE(R421,S421)</f>
        <v>1.0641003460207612</v>
      </c>
    </row>
    <row r="422" spans="1:20" x14ac:dyDescent="0.25">
      <c r="A422">
        <v>22</v>
      </c>
      <c r="B422" t="b">
        <v>0</v>
      </c>
      <c r="C422" s="6">
        <v>46410.625</v>
      </c>
      <c r="D422" t="b">
        <v>0</v>
      </c>
      <c r="E422">
        <v>1</v>
      </c>
      <c r="F422">
        <v>17</v>
      </c>
      <c r="G422">
        <v>2</v>
      </c>
      <c r="H422" t="s">
        <v>1110</v>
      </c>
      <c r="I422" t="s">
        <v>1068</v>
      </c>
      <c r="J422" t="s">
        <v>1100</v>
      </c>
      <c r="K422" t="str">
        <f>tblTeamFixtures[[#This Row],[Team_name]]&amp;"_"&amp;tblTeamFixtures[[#This Row],[GW]]</f>
        <v>ARS_22</v>
      </c>
      <c r="L422">
        <f>IFERROR(INDEX(TEAM_ANALYSIS!$Y:$Y,MATCH($E422,TEAM_ANALYSIS!$A:$A,0)),1)</f>
        <v>1.2058823529411764</v>
      </c>
      <c r="M422">
        <f>IFERROR(INDEX(TEAM_ANALYSIS!$Z:$Z,MATCH($E422,TEAM_ANALYSIS!$A:$A,0)),1)</f>
        <v>0.61764705882352944</v>
      </c>
      <c r="N422">
        <f>IFERROR(INDEX(TEAM_ANALYSIS!$Y:$Y,MATCH($F422,TEAM_ANALYSIS!$A:$A,0)),1)</f>
        <v>1.2058823529411764</v>
      </c>
      <c r="O422">
        <f>IFERROR(INDEX(TEAM_ANALYSIS!$Z:$Z,MATCH($F422,TEAM_ANALYSIS!$A:$A,0)),1)</f>
        <v>0.97058823529411764</v>
      </c>
      <c r="P422">
        <f>MAX(0.05,AVERAGE(TEAM_ANALYSIS!$W$2:$W$21)*L422*O422)</f>
        <v>2.4871323529411766</v>
      </c>
      <c r="Q422">
        <f>MAX(0.05,AVERAGE(TEAM_ANALYSIS!$W$2:$W$21)*N422*M422)</f>
        <v>1.5827205882352942</v>
      </c>
      <c r="R422" s="23">
        <f>MAX(0.8,MIN(1.2,P422/AVERAGE(TEAM_ANALYSIS!$W$2:$W$21)))</f>
        <v>1.1704152249134949</v>
      </c>
      <c r="S422">
        <f>MAX(0.8,MIN(1.2,AVERAGE(TEAM_ANALYSIS!$W$2:$W$21)/Q422))</f>
        <v>1.2</v>
      </c>
      <c r="T422">
        <f>AVERAGE(R422,S422)</f>
        <v>1.1852076124567474</v>
      </c>
    </row>
    <row r="423" spans="1:20" x14ac:dyDescent="0.25">
      <c r="A423">
        <v>22</v>
      </c>
      <c r="B423" t="b">
        <v>0</v>
      </c>
      <c r="C423" s="6">
        <v>46410.625</v>
      </c>
      <c r="D423" t="b">
        <v>0</v>
      </c>
      <c r="E423">
        <v>5</v>
      </c>
      <c r="F423">
        <v>15</v>
      </c>
      <c r="G423">
        <v>4</v>
      </c>
      <c r="H423" t="s">
        <v>1110</v>
      </c>
      <c r="I423" t="s">
        <v>1076</v>
      </c>
      <c r="J423" t="s">
        <v>1096</v>
      </c>
      <c r="K423" t="str">
        <f>tblTeamFixtures[[#This Row],[Team_name]]&amp;"_"&amp;tblTeamFixtures[[#This Row],[GW]]</f>
        <v>BHA_22</v>
      </c>
      <c r="L423">
        <f>IFERROR(INDEX(TEAM_ANALYSIS!$Y:$Y,MATCH($E423,TEAM_ANALYSIS!$A:$A,0)),1)</f>
        <v>1.4411764705882353</v>
      </c>
      <c r="M423">
        <f>IFERROR(INDEX(TEAM_ANALYSIS!$Z:$Z,MATCH($E423,TEAM_ANALYSIS!$A:$A,0)),1)</f>
        <v>1.088235294117647</v>
      </c>
      <c r="N423">
        <f>IFERROR(INDEX(TEAM_ANALYSIS!$Y:$Y,MATCH($F423,TEAM_ANALYSIS!$A:$A,0)),1)</f>
        <v>1.3235294117647058</v>
      </c>
      <c r="O423">
        <f>IFERROR(INDEX(TEAM_ANALYSIS!$Z:$Z,MATCH($F423,TEAM_ANALYSIS!$A:$A,0)),1)</f>
        <v>0.73529411764705888</v>
      </c>
      <c r="P423">
        <f>MAX(0.05,AVERAGE(TEAM_ANALYSIS!$W$2:$W$21)*L423*O423)</f>
        <v>2.2518382352941178</v>
      </c>
      <c r="Q423">
        <f>MAX(0.05,AVERAGE(TEAM_ANALYSIS!$W$2:$W$21)*N423*M423)</f>
        <v>3.0606617647058822</v>
      </c>
      <c r="R423" s="23">
        <f>MAX(0.8,MIN(1.2,P423/AVERAGE(TEAM_ANALYSIS!$W$2:$W$21)))</f>
        <v>1.0596885813148789</v>
      </c>
      <c r="S423">
        <f>MAX(0.8,MIN(1.2,AVERAGE(TEAM_ANALYSIS!$W$2:$W$21)/Q423))</f>
        <v>0.8</v>
      </c>
      <c r="T423">
        <f>AVERAGE(R423,S423)</f>
        <v>0.92984429065743945</v>
      </c>
    </row>
    <row r="424" spans="1:20" x14ac:dyDescent="0.25">
      <c r="A424">
        <v>22</v>
      </c>
      <c r="B424" t="b">
        <v>0</v>
      </c>
      <c r="C424" s="6">
        <v>46410.625</v>
      </c>
      <c r="D424" t="b">
        <v>0</v>
      </c>
      <c r="E424">
        <v>8</v>
      </c>
      <c r="F424">
        <v>19</v>
      </c>
      <c r="G424">
        <v>3</v>
      </c>
      <c r="H424" t="s">
        <v>1110</v>
      </c>
      <c r="I424" t="s">
        <v>1082</v>
      </c>
      <c r="J424" t="s">
        <v>1104</v>
      </c>
      <c r="K424" t="str">
        <f>tblTeamFixtures[[#This Row],[Team_name]]&amp;"_"&amp;tblTeamFixtures[[#This Row],[GW]]</f>
        <v>CRY_22</v>
      </c>
      <c r="L424">
        <f>IFERROR(INDEX(TEAM_ANALYSIS!$Y:$Y,MATCH($E424,TEAM_ANALYSIS!$A:$A,0)),1)</f>
        <v>0.97058823529411764</v>
      </c>
      <c r="M424">
        <f>IFERROR(INDEX(TEAM_ANALYSIS!$Z:$Z,MATCH($E424,TEAM_ANALYSIS!$A:$A,0)),1)</f>
        <v>1.4411764705882353</v>
      </c>
      <c r="N424">
        <f>IFERROR(INDEX(TEAM_ANALYSIS!$Y:$Y,MATCH($F424,TEAM_ANALYSIS!$A:$A,0)),1)</f>
        <v>0.5</v>
      </c>
      <c r="O424">
        <f>IFERROR(INDEX(TEAM_ANALYSIS!$Z:$Z,MATCH($F424,TEAM_ANALYSIS!$A:$A,0)),1)</f>
        <v>1.088235294117647</v>
      </c>
      <c r="P424">
        <f>MAX(0.05,AVERAGE(TEAM_ANALYSIS!$W$2:$W$21)*L424*O424)</f>
        <v>2.2444852941176467</v>
      </c>
      <c r="Q424">
        <f>MAX(0.05,AVERAGE(TEAM_ANALYSIS!$W$2:$W$21)*N424*M424)</f>
        <v>1.53125</v>
      </c>
      <c r="R424" s="23">
        <f>MAX(0.8,MIN(1.2,P424/AVERAGE(TEAM_ANALYSIS!$W$2:$W$21)))</f>
        <v>1.0562283737024221</v>
      </c>
      <c r="S424">
        <f>MAX(0.8,MIN(1.2,AVERAGE(TEAM_ANALYSIS!$W$2:$W$21)/Q424))</f>
        <v>1.2</v>
      </c>
      <c r="T424">
        <f>AVERAGE(R424,S424)</f>
        <v>1.128114186851211</v>
      </c>
    </row>
    <row r="425" spans="1:20" x14ac:dyDescent="0.25">
      <c r="A425">
        <v>22</v>
      </c>
      <c r="B425" t="b">
        <v>0</v>
      </c>
      <c r="C425" s="6">
        <v>46410.625</v>
      </c>
      <c r="D425" t="b">
        <v>0</v>
      </c>
      <c r="E425">
        <v>9</v>
      </c>
      <c r="F425">
        <v>4</v>
      </c>
      <c r="G425">
        <v>3</v>
      </c>
      <c r="H425" t="s">
        <v>1110</v>
      </c>
      <c r="I425" t="s">
        <v>1084</v>
      </c>
      <c r="J425" t="s">
        <v>1074</v>
      </c>
      <c r="K425" t="str">
        <f>tblTeamFixtures[[#This Row],[Team_name]]&amp;"_"&amp;tblTeamFixtures[[#This Row],[GW]]</f>
        <v>EVE_22</v>
      </c>
      <c r="L425">
        <f>IFERROR(INDEX(TEAM_ANALYSIS!$Y:$Y,MATCH($E425,TEAM_ANALYSIS!$A:$A,0)),1)</f>
        <v>1.088235294117647</v>
      </c>
      <c r="M425">
        <f>IFERROR(INDEX(TEAM_ANALYSIS!$Z:$Z,MATCH($E425,TEAM_ANALYSIS!$A:$A,0)),1)</f>
        <v>0.8529411764705882</v>
      </c>
      <c r="N425">
        <f>IFERROR(INDEX(TEAM_ANALYSIS!$Y:$Y,MATCH($F425,TEAM_ANALYSIS!$A:$A,0)),1)</f>
        <v>1.088235294117647</v>
      </c>
      <c r="O425">
        <f>IFERROR(INDEX(TEAM_ANALYSIS!$Z:$Z,MATCH($F425,TEAM_ANALYSIS!$A:$A,0)),1)</f>
        <v>0.73529411764705888</v>
      </c>
      <c r="P425">
        <f>MAX(0.05,AVERAGE(TEAM_ANALYSIS!$W$2:$W$21)*L425*O425)</f>
        <v>1.7003676470588236</v>
      </c>
      <c r="Q425">
        <f>MAX(0.05,AVERAGE(TEAM_ANALYSIS!$W$2:$W$21)*N425*M425)</f>
        <v>1.9724264705882353</v>
      </c>
      <c r="R425" s="23">
        <f>MAX(0.8,MIN(1.2,P425/AVERAGE(TEAM_ANALYSIS!$W$2:$W$21)))</f>
        <v>0.80017301038062283</v>
      </c>
      <c r="S425">
        <f>MAX(0.8,MIN(1.2,AVERAGE(TEAM_ANALYSIS!$W$2:$W$21)/Q425))</f>
        <v>1.0773532152842498</v>
      </c>
      <c r="T425">
        <f>AVERAGE(R425,S425)</f>
        <v>0.9387631128324363</v>
      </c>
    </row>
    <row r="426" spans="1:20" x14ac:dyDescent="0.25">
      <c r="A426">
        <v>22</v>
      </c>
      <c r="B426" t="b">
        <v>0</v>
      </c>
      <c r="C426" s="6">
        <v>46410.625</v>
      </c>
      <c r="D426" t="b">
        <v>0</v>
      </c>
      <c r="E426">
        <v>10</v>
      </c>
      <c r="F426">
        <v>2</v>
      </c>
      <c r="G426">
        <v>3</v>
      </c>
      <c r="H426" t="s">
        <v>1110</v>
      </c>
      <c r="I426" t="s">
        <v>1086</v>
      </c>
      <c r="J426" t="s">
        <v>1070</v>
      </c>
      <c r="K426" t="str">
        <f>tblTeamFixtures[[#This Row],[Team_name]]&amp;"_"&amp;tblTeamFixtures[[#This Row],[GW]]</f>
        <v>FUL_22</v>
      </c>
      <c r="L426">
        <f>IFERROR(INDEX(TEAM_ANALYSIS!$Y:$Y,MATCH($E426,TEAM_ANALYSIS!$A:$A,0)),1)</f>
        <v>0.97058823529411764</v>
      </c>
      <c r="M426">
        <f>IFERROR(INDEX(TEAM_ANALYSIS!$Z:$Z,MATCH($E426,TEAM_ANALYSIS!$A:$A,0)),1)</f>
        <v>1.3235294117647058</v>
      </c>
      <c r="N426">
        <f>IFERROR(INDEX(TEAM_ANALYSIS!$Y:$Y,MATCH($F426,TEAM_ANALYSIS!$A:$A,0)),1)</f>
        <v>0.5</v>
      </c>
      <c r="O426">
        <f>IFERROR(INDEX(TEAM_ANALYSIS!$Z:$Z,MATCH($F426,TEAM_ANALYSIS!$A:$A,0)),1)</f>
        <v>1.088235294117647</v>
      </c>
      <c r="P426">
        <f>MAX(0.05,AVERAGE(TEAM_ANALYSIS!$W$2:$W$21)*L426*O426)</f>
        <v>2.2444852941176467</v>
      </c>
      <c r="Q426">
        <f>MAX(0.05,AVERAGE(TEAM_ANALYSIS!$W$2:$W$21)*N426*M426)</f>
        <v>1.40625</v>
      </c>
      <c r="R426" s="23">
        <f>MAX(0.8,MIN(1.2,P426/AVERAGE(TEAM_ANALYSIS!$W$2:$W$21)))</f>
        <v>1.0562283737024221</v>
      </c>
      <c r="S426">
        <f>MAX(0.8,MIN(1.2,AVERAGE(TEAM_ANALYSIS!$W$2:$W$21)/Q426))</f>
        <v>1.2</v>
      </c>
      <c r="T426">
        <f>AVERAGE(R426,S426)</f>
        <v>1.128114186851211</v>
      </c>
    </row>
    <row r="427" spans="1:20" x14ac:dyDescent="0.25">
      <c r="A427">
        <v>22</v>
      </c>
      <c r="B427" t="b">
        <v>0</v>
      </c>
      <c r="C427" s="6">
        <v>46410.625</v>
      </c>
      <c r="D427" t="b">
        <v>0</v>
      </c>
      <c r="E427">
        <v>12</v>
      </c>
      <c r="F427">
        <v>11</v>
      </c>
      <c r="G427">
        <v>2</v>
      </c>
      <c r="H427" t="s">
        <v>1110</v>
      </c>
      <c r="I427" t="s">
        <v>1090</v>
      </c>
      <c r="J427" t="s">
        <v>1088</v>
      </c>
      <c r="K427" t="str">
        <f>tblTeamFixtures[[#This Row],[Team_name]]&amp;"_"&amp;tblTeamFixtures[[#This Row],[GW]]</f>
        <v>IPS_22</v>
      </c>
      <c r="L427">
        <f>IFERROR(INDEX(TEAM_ANALYSIS!$Y:$Y,MATCH($E427,TEAM_ANALYSIS!$A:$A,0)),1)</f>
        <v>0.97058823529411764</v>
      </c>
      <c r="M427">
        <f>IFERROR(INDEX(TEAM_ANALYSIS!$Z:$Z,MATCH($E427,TEAM_ANALYSIS!$A:$A,0)),1)</f>
        <v>1.4411764705882353</v>
      </c>
      <c r="N427">
        <f>IFERROR(INDEX(TEAM_ANALYSIS!$Y:$Y,MATCH($F427,TEAM_ANALYSIS!$A:$A,0)),1)</f>
        <v>0.8529411764705882</v>
      </c>
      <c r="O427">
        <f>IFERROR(INDEX(TEAM_ANALYSIS!$Z:$Z,MATCH($F427,TEAM_ANALYSIS!$A:$A,0)),1)</f>
        <v>0.5</v>
      </c>
      <c r="P427">
        <f>MAX(0.05,AVERAGE(TEAM_ANALYSIS!$W$2:$W$21)*L427*O427)</f>
        <v>1.03125</v>
      </c>
      <c r="Q427">
        <f>MAX(0.05,AVERAGE(TEAM_ANALYSIS!$W$2:$W$21)*N427*M427)</f>
        <v>2.6121323529411766</v>
      </c>
      <c r="R427" s="23">
        <f>MAX(0.8,MIN(1.2,P427/AVERAGE(TEAM_ANALYSIS!$W$2:$W$21)))</f>
        <v>0.8</v>
      </c>
      <c r="S427">
        <f>MAX(0.8,MIN(1.2,AVERAGE(TEAM_ANALYSIS!$W$2:$W$21)/Q427))</f>
        <v>0.81351161154116813</v>
      </c>
      <c r="T427">
        <f>AVERAGE(R427,S427)</f>
        <v>0.80675580577058414</v>
      </c>
    </row>
    <row r="428" spans="1:20" x14ac:dyDescent="0.25">
      <c r="A428">
        <v>22</v>
      </c>
      <c r="B428" t="b">
        <v>0</v>
      </c>
      <c r="C428" s="6">
        <v>46410.625</v>
      </c>
      <c r="D428" t="b">
        <v>0</v>
      </c>
      <c r="E428">
        <v>13</v>
      </c>
      <c r="F428">
        <v>6</v>
      </c>
      <c r="G428">
        <v>4</v>
      </c>
      <c r="H428" t="s">
        <v>1110</v>
      </c>
      <c r="I428" t="s">
        <v>1092</v>
      </c>
      <c r="J428" t="s">
        <v>1078</v>
      </c>
      <c r="K428" t="str">
        <f>tblTeamFixtures[[#This Row],[Team_name]]&amp;"_"&amp;tblTeamFixtures[[#This Row],[GW]]</f>
        <v>LEE_22</v>
      </c>
      <c r="L428">
        <f>IFERROR(INDEX(TEAM_ANALYSIS!$Y:$Y,MATCH($E428,TEAM_ANALYSIS!$A:$A,0)),1)</f>
        <v>0.8529411764705882</v>
      </c>
      <c r="M428">
        <f>IFERROR(INDEX(TEAM_ANALYSIS!$Z:$Z,MATCH($E428,TEAM_ANALYSIS!$A:$A,0)),1)</f>
        <v>0.73529411764705888</v>
      </c>
      <c r="N428">
        <f>IFERROR(INDEX(TEAM_ANALYSIS!$Y:$Y,MATCH($F428,TEAM_ANALYSIS!$A:$A,0)),1)</f>
        <v>1.4411764705882353</v>
      </c>
      <c r="O428">
        <f>IFERROR(INDEX(TEAM_ANALYSIS!$Z:$Z,MATCH($F428,TEAM_ANALYSIS!$A:$A,0)),1)</f>
        <v>1.3235294117647058</v>
      </c>
      <c r="P428">
        <f>MAX(0.05,AVERAGE(TEAM_ANALYSIS!$W$2:$W$21)*L428*O428)</f>
        <v>2.3988970588235294</v>
      </c>
      <c r="Q428">
        <f>MAX(0.05,AVERAGE(TEAM_ANALYSIS!$W$2:$W$21)*N428*M428)</f>
        <v>2.2518382352941178</v>
      </c>
      <c r="R428" s="23">
        <f>MAX(0.8,MIN(1.2,P428/AVERAGE(TEAM_ANALYSIS!$W$2:$W$21)))</f>
        <v>1.1288927335640138</v>
      </c>
      <c r="S428">
        <f>MAX(0.8,MIN(1.2,AVERAGE(TEAM_ANALYSIS!$W$2:$W$21)/Q428))</f>
        <v>0.94367346938775509</v>
      </c>
      <c r="T428">
        <f>AVERAGE(R428,S428)</f>
        <v>1.0362831014758844</v>
      </c>
    </row>
    <row r="429" spans="1:20" x14ac:dyDescent="0.25">
      <c r="A429">
        <v>22</v>
      </c>
      <c r="B429" t="b">
        <v>0</v>
      </c>
      <c r="C429" s="6">
        <v>46410.625</v>
      </c>
      <c r="D429" t="b">
        <v>0</v>
      </c>
      <c r="E429">
        <v>16</v>
      </c>
      <c r="F429">
        <v>14</v>
      </c>
      <c r="G429">
        <v>4</v>
      </c>
      <c r="H429" t="s">
        <v>1110</v>
      </c>
      <c r="I429" t="s">
        <v>1098</v>
      </c>
      <c r="J429" t="s">
        <v>1094</v>
      </c>
      <c r="K429" t="str">
        <f>tblTeamFixtures[[#This Row],[Team_name]]&amp;"_"&amp;tblTeamFixtures[[#This Row],[GW]]</f>
        <v>MUN_22</v>
      </c>
      <c r="L429">
        <f>IFERROR(INDEX(TEAM_ANALYSIS!$Y:$Y,MATCH($E429,TEAM_ANALYSIS!$A:$A,0)),1)</f>
        <v>1.3235294117647058</v>
      </c>
      <c r="M429">
        <f>IFERROR(INDEX(TEAM_ANALYSIS!$Z:$Z,MATCH($E429,TEAM_ANALYSIS!$A:$A,0)),1)</f>
        <v>1.2058823529411764</v>
      </c>
      <c r="N429">
        <f>IFERROR(INDEX(TEAM_ANALYSIS!$Y:$Y,MATCH($F429,TEAM_ANALYSIS!$A:$A,0)),1)</f>
        <v>1.2058823529411764</v>
      </c>
      <c r="O429">
        <f>IFERROR(INDEX(TEAM_ANALYSIS!$Z:$Z,MATCH($F429,TEAM_ANALYSIS!$A:$A,0)),1)</f>
        <v>0.97058823529411764</v>
      </c>
      <c r="P429">
        <f>MAX(0.05,AVERAGE(TEAM_ANALYSIS!$W$2:$W$21)*L429*O429)</f>
        <v>2.7297794117647061</v>
      </c>
      <c r="Q429">
        <f>MAX(0.05,AVERAGE(TEAM_ANALYSIS!$W$2:$W$21)*N429*M429)</f>
        <v>3.0900735294117645</v>
      </c>
      <c r="R429" s="23">
        <f>MAX(0.8,MIN(1.2,P429/AVERAGE(TEAM_ANALYSIS!$W$2:$W$21)))</f>
        <v>1.2</v>
      </c>
      <c r="S429">
        <f>MAX(0.8,MIN(1.2,AVERAGE(TEAM_ANALYSIS!$W$2:$W$21)/Q429))</f>
        <v>0.8</v>
      </c>
      <c r="T429">
        <f>AVERAGE(R429,S429)</f>
        <v>1</v>
      </c>
    </row>
    <row r="430" spans="1:20" x14ac:dyDescent="0.25">
      <c r="A430">
        <v>22</v>
      </c>
      <c r="B430" t="b">
        <v>0</v>
      </c>
      <c r="C430" s="6">
        <v>46410.625</v>
      </c>
      <c r="D430" t="b">
        <v>0</v>
      </c>
      <c r="E430">
        <v>18</v>
      </c>
      <c r="F430">
        <v>3</v>
      </c>
      <c r="G430">
        <v>3</v>
      </c>
      <c r="H430" t="s">
        <v>1110</v>
      </c>
      <c r="I430" t="s">
        <v>1102</v>
      </c>
      <c r="J430" t="s">
        <v>1072</v>
      </c>
      <c r="K430" t="str">
        <f>tblTeamFixtures[[#This Row],[Team_name]]&amp;"_"&amp;tblTeamFixtures[[#This Row],[GW]]</f>
        <v>NFO_22</v>
      </c>
      <c r="L430">
        <f>IFERROR(INDEX(TEAM_ANALYSIS!$Y:$Y,MATCH($E430,TEAM_ANALYSIS!$A:$A,0)),1)</f>
        <v>0.73529411764705888</v>
      </c>
      <c r="M430">
        <f>IFERROR(INDEX(TEAM_ANALYSIS!$Z:$Z,MATCH($E430,TEAM_ANALYSIS!$A:$A,0)),1)</f>
        <v>0.8529411764705882</v>
      </c>
      <c r="N430">
        <f>IFERROR(INDEX(TEAM_ANALYSIS!$Y:$Y,MATCH($F430,TEAM_ANALYSIS!$A:$A,0)),1)</f>
        <v>0.97058823529411764</v>
      </c>
      <c r="O430">
        <f>IFERROR(INDEX(TEAM_ANALYSIS!$Z:$Z,MATCH($F430,TEAM_ANALYSIS!$A:$A,0)),1)</f>
        <v>1.088235294117647</v>
      </c>
      <c r="P430">
        <f>MAX(0.05,AVERAGE(TEAM_ANALYSIS!$W$2:$W$21)*L430*O430)</f>
        <v>1.7003676470588234</v>
      </c>
      <c r="Q430">
        <f>MAX(0.05,AVERAGE(TEAM_ANALYSIS!$W$2:$W$21)*N430*M430)</f>
        <v>1.7591911764705881</v>
      </c>
      <c r="R430" s="23">
        <f>MAX(0.8,MIN(1.2,P430/AVERAGE(TEAM_ANALYSIS!$W$2:$W$21)))</f>
        <v>0.80017301038062272</v>
      </c>
      <c r="S430">
        <f>MAX(0.8,MIN(1.2,AVERAGE(TEAM_ANALYSIS!$W$2:$W$21)/Q430))</f>
        <v>1.2</v>
      </c>
      <c r="T430">
        <f>AVERAGE(R430,S430)</f>
        <v>1.0000865051903114</v>
      </c>
    </row>
    <row r="431" spans="1:20" x14ac:dyDescent="0.25">
      <c r="A431">
        <v>22</v>
      </c>
      <c r="B431" t="b">
        <v>0</v>
      </c>
      <c r="C431" s="6">
        <v>46410.625</v>
      </c>
      <c r="D431" t="b">
        <v>0</v>
      </c>
      <c r="E431">
        <v>20</v>
      </c>
      <c r="F431">
        <v>7</v>
      </c>
      <c r="G431">
        <v>2</v>
      </c>
      <c r="H431" t="s">
        <v>1110</v>
      </c>
      <c r="I431" t="s">
        <v>1106</v>
      </c>
      <c r="J431" t="s">
        <v>1080</v>
      </c>
      <c r="K431" t="str">
        <f>tblTeamFixtures[[#This Row],[Team_name]]&amp;"_"&amp;tblTeamFixtures[[#This Row],[GW]]</f>
        <v>SUN_22</v>
      </c>
      <c r="L431">
        <f>IFERROR(INDEX(TEAM_ANALYSIS!$Y:$Y,MATCH($E431,TEAM_ANALYSIS!$A:$A,0)),1)</f>
        <v>0.8529411764705882</v>
      </c>
      <c r="M431">
        <f>IFERROR(INDEX(TEAM_ANALYSIS!$Z:$Z,MATCH($E431,TEAM_ANALYSIS!$A:$A,0)),1)</f>
        <v>0.8529411764705882</v>
      </c>
      <c r="N431">
        <f>IFERROR(INDEX(TEAM_ANALYSIS!$Y:$Y,MATCH($F431,TEAM_ANALYSIS!$A:$A,0)),1)</f>
        <v>0.5</v>
      </c>
      <c r="O431">
        <f>IFERROR(INDEX(TEAM_ANALYSIS!$Z:$Z,MATCH($F431,TEAM_ANALYSIS!$A:$A,0)),1)</f>
        <v>1.088235294117647</v>
      </c>
      <c r="P431">
        <f>MAX(0.05,AVERAGE(TEAM_ANALYSIS!$W$2:$W$21)*L431*O431)</f>
        <v>1.9724264705882351</v>
      </c>
      <c r="Q431">
        <f>MAX(0.05,AVERAGE(TEAM_ANALYSIS!$W$2:$W$21)*N431*M431)</f>
        <v>0.90625</v>
      </c>
      <c r="R431" s="23">
        <f>MAX(0.8,MIN(1.2,P431/AVERAGE(TEAM_ANALYSIS!$W$2:$W$21)))</f>
        <v>0.92820069204152233</v>
      </c>
      <c r="S431">
        <f>MAX(0.8,MIN(1.2,AVERAGE(TEAM_ANALYSIS!$W$2:$W$21)/Q431))</f>
        <v>1.2</v>
      </c>
      <c r="T431">
        <f>AVERAGE(R431,S431)</f>
        <v>1.0641003460207612</v>
      </c>
    </row>
    <row r="432" spans="1:20" x14ac:dyDescent="0.25">
      <c r="A432">
        <v>22</v>
      </c>
      <c r="B432" t="b">
        <v>0</v>
      </c>
      <c r="C432" s="6">
        <v>46410.625</v>
      </c>
      <c r="D432" t="b">
        <v>0</v>
      </c>
      <c r="E432">
        <v>17</v>
      </c>
      <c r="F432">
        <v>1</v>
      </c>
      <c r="G432">
        <v>5</v>
      </c>
      <c r="H432" t="s">
        <v>1111</v>
      </c>
      <c r="I432" t="s">
        <v>1100</v>
      </c>
      <c r="J432" t="s">
        <v>1068</v>
      </c>
      <c r="K432" t="str">
        <f>tblTeamFixtures[[#This Row],[Team_name]]&amp;"_"&amp;tblTeamFixtures[[#This Row],[GW]]</f>
        <v>NEW_22</v>
      </c>
      <c r="L432">
        <f>IFERROR(INDEX(TEAM_ANALYSIS!$Y:$Y,MATCH($E432,TEAM_ANALYSIS!$A:$A,0)),1)</f>
        <v>1.2058823529411764</v>
      </c>
      <c r="M432">
        <f>IFERROR(INDEX(TEAM_ANALYSIS!$Z:$Z,MATCH($E432,TEAM_ANALYSIS!$A:$A,0)),1)</f>
        <v>0.97058823529411764</v>
      </c>
      <c r="N432">
        <f>IFERROR(INDEX(TEAM_ANALYSIS!$Y:$Y,MATCH($F432,TEAM_ANALYSIS!$A:$A,0)),1)</f>
        <v>1.2058823529411764</v>
      </c>
      <c r="O432">
        <f>IFERROR(INDEX(TEAM_ANALYSIS!$Z:$Z,MATCH($F432,TEAM_ANALYSIS!$A:$A,0)),1)</f>
        <v>0.61764705882352944</v>
      </c>
      <c r="P432">
        <f>MAX(0.05,AVERAGE(TEAM_ANALYSIS!$W$2:$W$21)*L432*O432)</f>
        <v>1.5827205882352942</v>
      </c>
      <c r="Q432">
        <f>MAX(0.05,AVERAGE(TEAM_ANALYSIS!$W$2:$W$21)*N432*M432)</f>
        <v>2.4871323529411766</v>
      </c>
      <c r="R432" s="23">
        <f>MAX(0.8,MIN(1.2,P432/AVERAGE(TEAM_ANALYSIS!$W$2:$W$21)))</f>
        <v>0.8</v>
      </c>
      <c r="S432">
        <f>MAX(0.8,MIN(1.2,AVERAGE(TEAM_ANALYSIS!$W$2:$W$21)/Q432))</f>
        <v>0.85439763488543974</v>
      </c>
      <c r="T432">
        <f>AVERAGE(R432,S432)</f>
        <v>0.82719881744271984</v>
      </c>
    </row>
    <row r="433" spans="1:20" x14ac:dyDescent="0.25">
      <c r="A433">
        <v>22</v>
      </c>
      <c r="B433" t="b">
        <v>0</v>
      </c>
      <c r="C433" s="6">
        <v>46410.625</v>
      </c>
      <c r="D433" t="b">
        <v>0</v>
      </c>
      <c r="E433">
        <v>15</v>
      </c>
      <c r="F433">
        <v>5</v>
      </c>
      <c r="G433">
        <v>3</v>
      </c>
      <c r="H433" t="s">
        <v>1111</v>
      </c>
      <c r="I433" t="s">
        <v>1096</v>
      </c>
      <c r="J433" t="s">
        <v>1076</v>
      </c>
      <c r="K433" t="str">
        <f>tblTeamFixtures[[#This Row],[Team_name]]&amp;"_"&amp;tblTeamFixtures[[#This Row],[GW]]</f>
        <v>MCI_22</v>
      </c>
      <c r="L433">
        <f>IFERROR(INDEX(TEAM_ANALYSIS!$Y:$Y,MATCH($E433,TEAM_ANALYSIS!$A:$A,0)),1)</f>
        <v>1.3235294117647058</v>
      </c>
      <c r="M433">
        <f>IFERROR(INDEX(TEAM_ANALYSIS!$Z:$Z,MATCH($E433,TEAM_ANALYSIS!$A:$A,0)),1)</f>
        <v>0.73529411764705888</v>
      </c>
      <c r="N433">
        <f>IFERROR(INDEX(TEAM_ANALYSIS!$Y:$Y,MATCH($F433,TEAM_ANALYSIS!$A:$A,0)),1)</f>
        <v>1.4411764705882353</v>
      </c>
      <c r="O433">
        <f>IFERROR(INDEX(TEAM_ANALYSIS!$Z:$Z,MATCH($F433,TEAM_ANALYSIS!$A:$A,0)),1)</f>
        <v>1.088235294117647</v>
      </c>
      <c r="P433">
        <f>MAX(0.05,AVERAGE(TEAM_ANALYSIS!$W$2:$W$21)*L433*O433)</f>
        <v>3.0606617647058822</v>
      </c>
      <c r="Q433">
        <f>MAX(0.05,AVERAGE(TEAM_ANALYSIS!$W$2:$W$21)*N433*M433)</f>
        <v>2.2518382352941178</v>
      </c>
      <c r="R433" s="23">
        <f>MAX(0.8,MIN(1.2,P433/AVERAGE(TEAM_ANALYSIS!$W$2:$W$21)))</f>
        <v>1.2</v>
      </c>
      <c r="S433">
        <f>MAX(0.8,MIN(1.2,AVERAGE(TEAM_ANALYSIS!$W$2:$W$21)/Q433))</f>
        <v>0.94367346938775509</v>
      </c>
      <c r="T433">
        <f>AVERAGE(R433,S433)</f>
        <v>1.0718367346938775</v>
      </c>
    </row>
    <row r="434" spans="1:20" x14ac:dyDescent="0.25">
      <c r="A434">
        <v>22</v>
      </c>
      <c r="B434" t="b">
        <v>0</v>
      </c>
      <c r="C434" s="6">
        <v>46410.625</v>
      </c>
      <c r="D434" t="b">
        <v>0</v>
      </c>
      <c r="E434">
        <v>19</v>
      </c>
      <c r="F434">
        <v>8</v>
      </c>
      <c r="G434">
        <v>3</v>
      </c>
      <c r="H434" t="s">
        <v>1111</v>
      </c>
      <c r="I434" t="s">
        <v>1104</v>
      </c>
      <c r="J434" t="s">
        <v>1082</v>
      </c>
      <c r="K434" t="str">
        <f>tblTeamFixtures[[#This Row],[Team_name]]&amp;"_"&amp;tblTeamFixtures[[#This Row],[GW]]</f>
        <v>TOT_22</v>
      </c>
      <c r="L434">
        <f>IFERROR(INDEX(TEAM_ANALYSIS!$Y:$Y,MATCH($E434,TEAM_ANALYSIS!$A:$A,0)),1)</f>
        <v>0.5</v>
      </c>
      <c r="M434">
        <f>IFERROR(INDEX(TEAM_ANALYSIS!$Z:$Z,MATCH($E434,TEAM_ANALYSIS!$A:$A,0)),1)</f>
        <v>1.088235294117647</v>
      </c>
      <c r="N434">
        <f>IFERROR(INDEX(TEAM_ANALYSIS!$Y:$Y,MATCH($F434,TEAM_ANALYSIS!$A:$A,0)),1)</f>
        <v>0.97058823529411764</v>
      </c>
      <c r="O434">
        <f>IFERROR(INDEX(TEAM_ANALYSIS!$Z:$Z,MATCH($F434,TEAM_ANALYSIS!$A:$A,0)),1)</f>
        <v>1.4411764705882353</v>
      </c>
      <c r="P434">
        <f>MAX(0.05,AVERAGE(TEAM_ANALYSIS!$W$2:$W$21)*L434*O434)</f>
        <v>1.53125</v>
      </c>
      <c r="Q434">
        <f>MAX(0.05,AVERAGE(TEAM_ANALYSIS!$W$2:$W$21)*N434*M434)</f>
        <v>2.2444852941176467</v>
      </c>
      <c r="R434" s="23">
        <f>MAX(0.8,MIN(1.2,P434/AVERAGE(TEAM_ANALYSIS!$W$2:$W$21)))</f>
        <v>0.8</v>
      </c>
      <c r="S434">
        <f>MAX(0.8,MIN(1.2,AVERAGE(TEAM_ANALYSIS!$W$2:$W$21)/Q434))</f>
        <v>0.94676494676494694</v>
      </c>
      <c r="T434">
        <f>AVERAGE(R434,S434)</f>
        <v>0.87338247338247355</v>
      </c>
    </row>
    <row r="435" spans="1:20" x14ac:dyDescent="0.25">
      <c r="A435">
        <v>22</v>
      </c>
      <c r="B435" t="b">
        <v>0</v>
      </c>
      <c r="C435" s="6">
        <v>46410.625</v>
      </c>
      <c r="D435" t="b">
        <v>0</v>
      </c>
      <c r="E435">
        <v>4</v>
      </c>
      <c r="F435">
        <v>9</v>
      </c>
      <c r="G435">
        <v>3</v>
      </c>
      <c r="H435" t="s">
        <v>1111</v>
      </c>
      <c r="I435" t="s">
        <v>1074</v>
      </c>
      <c r="J435" t="s">
        <v>1084</v>
      </c>
      <c r="K435" t="str">
        <f>tblTeamFixtures[[#This Row],[Team_name]]&amp;"_"&amp;tblTeamFixtures[[#This Row],[GW]]</f>
        <v>BRE_22</v>
      </c>
      <c r="L435">
        <f>IFERROR(INDEX(TEAM_ANALYSIS!$Y:$Y,MATCH($E435,TEAM_ANALYSIS!$A:$A,0)),1)</f>
        <v>1.088235294117647</v>
      </c>
      <c r="M435">
        <f>IFERROR(INDEX(TEAM_ANALYSIS!$Z:$Z,MATCH($E435,TEAM_ANALYSIS!$A:$A,0)),1)</f>
        <v>0.73529411764705888</v>
      </c>
      <c r="N435">
        <f>IFERROR(INDEX(TEAM_ANALYSIS!$Y:$Y,MATCH($F435,TEAM_ANALYSIS!$A:$A,0)),1)</f>
        <v>1.088235294117647</v>
      </c>
      <c r="O435">
        <f>IFERROR(INDEX(TEAM_ANALYSIS!$Z:$Z,MATCH($F435,TEAM_ANALYSIS!$A:$A,0)),1)</f>
        <v>0.8529411764705882</v>
      </c>
      <c r="P435">
        <f>MAX(0.05,AVERAGE(TEAM_ANALYSIS!$W$2:$W$21)*L435*O435)</f>
        <v>1.9724264705882353</v>
      </c>
      <c r="Q435">
        <f>MAX(0.05,AVERAGE(TEAM_ANALYSIS!$W$2:$W$21)*N435*M435)</f>
        <v>1.7003676470588236</v>
      </c>
      <c r="R435" s="23">
        <f>MAX(0.8,MIN(1.2,P435/AVERAGE(TEAM_ANALYSIS!$W$2:$W$21)))</f>
        <v>0.92820069204152245</v>
      </c>
      <c r="S435">
        <f>MAX(0.8,MIN(1.2,AVERAGE(TEAM_ANALYSIS!$W$2:$W$21)/Q435))</f>
        <v>1.2</v>
      </c>
      <c r="T435">
        <f>AVERAGE(R435,S435)</f>
        <v>1.0641003460207612</v>
      </c>
    </row>
    <row r="436" spans="1:20" x14ac:dyDescent="0.25">
      <c r="A436">
        <v>22</v>
      </c>
      <c r="B436" t="b">
        <v>0</v>
      </c>
      <c r="C436" s="6">
        <v>46410.625</v>
      </c>
      <c r="D436" t="b">
        <v>0</v>
      </c>
      <c r="E436">
        <v>2</v>
      </c>
      <c r="F436">
        <v>10</v>
      </c>
      <c r="G436">
        <v>3</v>
      </c>
      <c r="H436" t="s">
        <v>1111</v>
      </c>
      <c r="I436" t="s">
        <v>1070</v>
      </c>
      <c r="J436" t="s">
        <v>1086</v>
      </c>
      <c r="K436" t="str">
        <f>tblTeamFixtures[[#This Row],[Team_name]]&amp;"_"&amp;tblTeamFixtures[[#This Row],[GW]]</f>
        <v>AVL_22</v>
      </c>
      <c r="L436">
        <f>IFERROR(INDEX(TEAM_ANALYSIS!$Y:$Y,MATCH($E436,TEAM_ANALYSIS!$A:$A,0)),1)</f>
        <v>0.5</v>
      </c>
      <c r="M436">
        <f>IFERROR(INDEX(TEAM_ANALYSIS!$Z:$Z,MATCH($E436,TEAM_ANALYSIS!$A:$A,0)),1)</f>
        <v>1.088235294117647</v>
      </c>
      <c r="N436">
        <f>IFERROR(INDEX(TEAM_ANALYSIS!$Y:$Y,MATCH($F436,TEAM_ANALYSIS!$A:$A,0)),1)</f>
        <v>0.97058823529411764</v>
      </c>
      <c r="O436">
        <f>IFERROR(INDEX(TEAM_ANALYSIS!$Z:$Z,MATCH($F436,TEAM_ANALYSIS!$A:$A,0)),1)</f>
        <v>1.3235294117647058</v>
      </c>
      <c r="P436">
        <f>MAX(0.05,AVERAGE(TEAM_ANALYSIS!$W$2:$W$21)*L436*O436)</f>
        <v>1.40625</v>
      </c>
      <c r="Q436">
        <f>MAX(0.05,AVERAGE(TEAM_ANALYSIS!$W$2:$W$21)*N436*M436)</f>
        <v>2.2444852941176467</v>
      </c>
      <c r="R436" s="23">
        <f>MAX(0.8,MIN(1.2,P436/AVERAGE(TEAM_ANALYSIS!$W$2:$W$21)))</f>
        <v>0.8</v>
      </c>
      <c r="S436">
        <f>MAX(0.8,MIN(1.2,AVERAGE(TEAM_ANALYSIS!$W$2:$W$21)/Q436))</f>
        <v>0.94676494676494694</v>
      </c>
      <c r="T436">
        <f>AVERAGE(R436,S436)</f>
        <v>0.87338247338247355</v>
      </c>
    </row>
    <row r="437" spans="1:20" x14ac:dyDescent="0.25">
      <c r="A437">
        <v>22</v>
      </c>
      <c r="B437" t="b">
        <v>0</v>
      </c>
      <c r="C437" s="6">
        <v>46410.625</v>
      </c>
      <c r="D437" t="b">
        <v>0</v>
      </c>
      <c r="E437">
        <v>11</v>
      </c>
      <c r="F437">
        <v>12</v>
      </c>
      <c r="G437">
        <v>2</v>
      </c>
      <c r="H437" t="s">
        <v>1111</v>
      </c>
      <c r="I437" t="s">
        <v>1088</v>
      </c>
      <c r="J437" t="s">
        <v>1090</v>
      </c>
      <c r="K437" t="str">
        <f>tblTeamFixtures[[#This Row],[Team_name]]&amp;"_"&amp;tblTeamFixtures[[#This Row],[GW]]</f>
        <v>HUL_22</v>
      </c>
      <c r="L437">
        <f>IFERROR(INDEX(TEAM_ANALYSIS!$Y:$Y,MATCH($E437,TEAM_ANALYSIS!$A:$A,0)),1)</f>
        <v>0.8529411764705882</v>
      </c>
      <c r="M437">
        <f>IFERROR(INDEX(TEAM_ANALYSIS!$Z:$Z,MATCH($E437,TEAM_ANALYSIS!$A:$A,0)),1)</f>
        <v>0.5</v>
      </c>
      <c r="N437">
        <f>IFERROR(INDEX(TEAM_ANALYSIS!$Y:$Y,MATCH($F437,TEAM_ANALYSIS!$A:$A,0)),1)</f>
        <v>0.97058823529411764</v>
      </c>
      <c r="O437">
        <f>IFERROR(INDEX(TEAM_ANALYSIS!$Z:$Z,MATCH($F437,TEAM_ANALYSIS!$A:$A,0)),1)</f>
        <v>1.4411764705882353</v>
      </c>
      <c r="P437">
        <f>MAX(0.05,AVERAGE(TEAM_ANALYSIS!$W$2:$W$21)*L437*O437)</f>
        <v>2.6121323529411766</v>
      </c>
      <c r="Q437">
        <f>MAX(0.05,AVERAGE(TEAM_ANALYSIS!$W$2:$W$21)*N437*M437)</f>
        <v>1.03125</v>
      </c>
      <c r="R437" s="23">
        <f>MAX(0.8,MIN(1.2,P437/AVERAGE(TEAM_ANALYSIS!$W$2:$W$21)))</f>
        <v>1.2</v>
      </c>
      <c r="S437">
        <f>MAX(0.8,MIN(1.2,AVERAGE(TEAM_ANALYSIS!$W$2:$W$21)/Q437))</f>
        <v>1.2</v>
      </c>
      <c r="T437">
        <f>AVERAGE(R437,S437)</f>
        <v>1.2</v>
      </c>
    </row>
    <row r="438" spans="1:20" x14ac:dyDescent="0.25">
      <c r="A438">
        <v>22</v>
      </c>
      <c r="B438" t="b">
        <v>0</v>
      </c>
      <c r="C438" s="6">
        <v>46410.625</v>
      </c>
      <c r="D438" t="b">
        <v>0</v>
      </c>
      <c r="E438">
        <v>6</v>
      </c>
      <c r="F438">
        <v>13</v>
      </c>
      <c r="G438">
        <v>3</v>
      </c>
      <c r="H438" t="s">
        <v>1111</v>
      </c>
      <c r="I438" t="s">
        <v>1078</v>
      </c>
      <c r="J438" t="s">
        <v>1092</v>
      </c>
      <c r="K438" t="str">
        <f>tblTeamFixtures[[#This Row],[Team_name]]&amp;"_"&amp;tblTeamFixtures[[#This Row],[GW]]</f>
        <v>CHE_22</v>
      </c>
      <c r="L438">
        <f>IFERROR(INDEX(TEAM_ANALYSIS!$Y:$Y,MATCH($E438,TEAM_ANALYSIS!$A:$A,0)),1)</f>
        <v>1.4411764705882353</v>
      </c>
      <c r="M438">
        <f>IFERROR(INDEX(TEAM_ANALYSIS!$Z:$Z,MATCH($E438,TEAM_ANALYSIS!$A:$A,0)),1)</f>
        <v>1.3235294117647058</v>
      </c>
      <c r="N438">
        <f>IFERROR(INDEX(TEAM_ANALYSIS!$Y:$Y,MATCH($F438,TEAM_ANALYSIS!$A:$A,0)),1)</f>
        <v>0.8529411764705882</v>
      </c>
      <c r="O438">
        <f>IFERROR(INDEX(TEAM_ANALYSIS!$Z:$Z,MATCH($F438,TEAM_ANALYSIS!$A:$A,0)),1)</f>
        <v>0.73529411764705888</v>
      </c>
      <c r="P438">
        <f>MAX(0.05,AVERAGE(TEAM_ANALYSIS!$W$2:$W$21)*L438*O438)</f>
        <v>2.2518382352941178</v>
      </c>
      <c r="Q438">
        <f>MAX(0.05,AVERAGE(TEAM_ANALYSIS!$W$2:$W$21)*N438*M438)</f>
        <v>2.3988970588235294</v>
      </c>
      <c r="R438" s="23">
        <f>MAX(0.8,MIN(1.2,P438/AVERAGE(TEAM_ANALYSIS!$W$2:$W$21)))</f>
        <v>1.0596885813148789</v>
      </c>
      <c r="S438">
        <f>MAX(0.8,MIN(1.2,AVERAGE(TEAM_ANALYSIS!$W$2:$W$21)/Q438))</f>
        <v>0.885823754789272</v>
      </c>
      <c r="T438">
        <f>AVERAGE(R438,S438)</f>
        <v>0.97275616805207543</v>
      </c>
    </row>
    <row r="439" spans="1:20" x14ac:dyDescent="0.25">
      <c r="A439">
        <v>22</v>
      </c>
      <c r="B439" t="b">
        <v>0</v>
      </c>
      <c r="C439" s="6">
        <v>46410.625</v>
      </c>
      <c r="D439" t="b">
        <v>0</v>
      </c>
      <c r="E439">
        <v>14</v>
      </c>
      <c r="F439">
        <v>16</v>
      </c>
      <c r="G439">
        <v>4</v>
      </c>
      <c r="H439" t="s">
        <v>1111</v>
      </c>
      <c r="I439" t="s">
        <v>1094</v>
      </c>
      <c r="J439" t="s">
        <v>1098</v>
      </c>
      <c r="K439" t="str">
        <f>tblTeamFixtures[[#This Row],[Team_name]]&amp;"_"&amp;tblTeamFixtures[[#This Row],[GW]]</f>
        <v>LIV_22</v>
      </c>
      <c r="L439">
        <f>IFERROR(INDEX(TEAM_ANALYSIS!$Y:$Y,MATCH($E439,TEAM_ANALYSIS!$A:$A,0)),1)</f>
        <v>1.2058823529411764</v>
      </c>
      <c r="M439">
        <f>IFERROR(INDEX(TEAM_ANALYSIS!$Z:$Z,MATCH($E439,TEAM_ANALYSIS!$A:$A,0)),1)</f>
        <v>0.97058823529411764</v>
      </c>
      <c r="N439">
        <f>IFERROR(INDEX(TEAM_ANALYSIS!$Y:$Y,MATCH($F439,TEAM_ANALYSIS!$A:$A,0)),1)</f>
        <v>1.3235294117647058</v>
      </c>
      <c r="O439">
        <f>IFERROR(INDEX(TEAM_ANALYSIS!$Z:$Z,MATCH($F439,TEAM_ANALYSIS!$A:$A,0)),1)</f>
        <v>1.2058823529411764</v>
      </c>
      <c r="P439">
        <f>MAX(0.05,AVERAGE(TEAM_ANALYSIS!$W$2:$W$21)*L439*O439)</f>
        <v>3.0900735294117645</v>
      </c>
      <c r="Q439">
        <f>MAX(0.05,AVERAGE(TEAM_ANALYSIS!$W$2:$W$21)*N439*M439)</f>
        <v>2.7297794117647061</v>
      </c>
      <c r="R439" s="23">
        <f>MAX(0.8,MIN(1.2,P439/AVERAGE(TEAM_ANALYSIS!$W$2:$W$21)))</f>
        <v>1.2</v>
      </c>
      <c r="S439">
        <f>MAX(0.8,MIN(1.2,AVERAGE(TEAM_ANALYSIS!$W$2:$W$21)/Q439))</f>
        <v>0.8</v>
      </c>
      <c r="T439">
        <f>AVERAGE(R439,S439)</f>
        <v>1</v>
      </c>
    </row>
    <row r="440" spans="1:20" x14ac:dyDescent="0.25">
      <c r="A440">
        <v>22</v>
      </c>
      <c r="B440" t="b">
        <v>0</v>
      </c>
      <c r="C440" s="6">
        <v>46410.625</v>
      </c>
      <c r="D440" t="b">
        <v>0</v>
      </c>
      <c r="E440">
        <v>3</v>
      </c>
      <c r="F440">
        <v>18</v>
      </c>
      <c r="G440">
        <v>3</v>
      </c>
      <c r="H440" t="s">
        <v>1111</v>
      </c>
      <c r="I440" t="s">
        <v>1072</v>
      </c>
      <c r="J440" t="s">
        <v>1102</v>
      </c>
      <c r="K440" t="str">
        <f>tblTeamFixtures[[#This Row],[Team_name]]&amp;"_"&amp;tblTeamFixtures[[#This Row],[GW]]</f>
        <v>BOU_22</v>
      </c>
      <c r="L440">
        <f>IFERROR(INDEX(TEAM_ANALYSIS!$Y:$Y,MATCH($E440,TEAM_ANALYSIS!$A:$A,0)),1)</f>
        <v>0.97058823529411764</v>
      </c>
      <c r="M440">
        <f>IFERROR(INDEX(TEAM_ANALYSIS!$Z:$Z,MATCH($E440,TEAM_ANALYSIS!$A:$A,0)),1)</f>
        <v>1.088235294117647</v>
      </c>
      <c r="N440">
        <f>IFERROR(INDEX(TEAM_ANALYSIS!$Y:$Y,MATCH($F440,TEAM_ANALYSIS!$A:$A,0)),1)</f>
        <v>0.73529411764705888</v>
      </c>
      <c r="O440">
        <f>IFERROR(INDEX(TEAM_ANALYSIS!$Z:$Z,MATCH($F440,TEAM_ANALYSIS!$A:$A,0)),1)</f>
        <v>0.8529411764705882</v>
      </c>
      <c r="P440">
        <f>MAX(0.05,AVERAGE(TEAM_ANALYSIS!$W$2:$W$21)*L440*O440)</f>
        <v>1.7591911764705881</v>
      </c>
      <c r="Q440">
        <f>MAX(0.05,AVERAGE(TEAM_ANALYSIS!$W$2:$W$21)*N440*M440)</f>
        <v>1.7003676470588234</v>
      </c>
      <c r="R440" s="23">
        <f>MAX(0.8,MIN(1.2,P440/AVERAGE(TEAM_ANALYSIS!$W$2:$W$21)))</f>
        <v>0.82785467128027679</v>
      </c>
      <c r="S440">
        <f>MAX(0.8,MIN(1.2,AVERAGE(TEAM_ANALYSIS!$W$2:$W$21)/Q440))</f>
        <v>1.2</v>
      </c>
      <c r="T440">
        <f>AVERAGE(R440,S440)</f>
        <v>1.0139273356401384</v>
      </c>
    </row>
    <row r="441" spans="1:20" x14ac:dyDescent="0.25">
      <c r="A441">
        <v>22</v>
      </c>
      <c r="B441" t="b">
        <v>0</v>
      </c>
      <c r="C441" s="6">
        <v>46410.625</v>
      </c>
      <c r="D441" t="b">
        <v>0</v>
      </c>
      <c r="E441">
        <v>7</v>
      </c>
      <c r="F441">
        <v>20</v>
      </c>
      <c r="G441">
        <v>3</v>
      </c>
      <c r="H441" t="s">
        <v>1111</v>
      </c>
      <c r="I441" t="s">
        <v>1080</v>
      </c>
      <c r="J441" t="s">
        <v>1106</v>
      </c>
      <c r="K441" t="str">
        <f>tblTeamFixtures[[#This Row],[Team_name]]&amp;"_"&amp;tblTeamFixtures[[#This Row],[GW]]</f>
        <v>COV_22</v>
      </c>
      <c r="L441">
        <f>IFERROR(INDEX(TEAM_ANALYSIS!$Y:$Y,MATCH($E441,TEAM_ANALYSIS!$A:$A,0)),1)</f>
        <v>0.5</v>
      </c>
      <c r="M441">
        <f>IFERROR(INDEX(TEAM_ANALYSIS!$Z:$Z,MATCH($E441,TEAM_ANALYSIS!$A:$A,0)),1)</f>
        <v>1.088235294117647</v>
      </c>
      <c r="N441">
        <f>IFERROR(INDEX(TEAM_ANALYSIS!$Y:$Y,MATCH($F441,TEAM_ANALYSIS!$A:$A,0)),1)</f>
        <v>0.8529411764705882</v>
      </c>
      <c r="O441">
        <f>IFERROR(INDEX(TEAM_ANALYSIS!$Z:$Z,MATCH($F441,TEAM_ANALYSIS!$A:$A,0)),1)</f>
        <v>0.8529411764705882</v>
      </c>
      <c r="P441">
        <f>MAX(0.05,AVERAGE(TEAM_ANALYSIS!$W$2:$W$21)*L441*O441)</f>
        <v>0.90625</v>
      </c>
      <c r="Q441">
        <f>MAX(0.05,AVERAGE(TEAM_ANALYSIS!$W$2:$W$21)*N441*M441)</f>
        <v>1.9724264705882351</v>
      </c>
      <c r="R441" s="23">
        <f>MAX(0.8,MIN(1.2,P441/AVERAGE(TEAM_ANALYSIS!$W$2:$W$21)))</f>
        <v>0.8</v>
      </c>
      <c r="S441">
        <f>MAX(0.8,MIN(1.2,AVERAGE(TEAM_ANALYSIS!$W$2:$W$21)/Q441))</f>
        <v>1.07735321528425</v>
      </c>
      <c r="T441">
        <f>AVERAGE(R441,S441)</f>
        <v>0.93867660764212502</v>
      </c>
    </row>
    <row r="442" spans="1:20" x14ac:dyDescent="0.25">
      <c r="A442">
        <v>23</v>
      </c>
      <c r="B442" t="b">
        <v>0</v>
      </c>
      <c r="C442" s="6">
        <v>46417.625</v>
      </c>
      <c r="D442" t="b">
        <v>0</v>
      </c>
      <c r="E442">
        <v>2</v>
      </c>
      <c r="F442">
        <v>12</v>
      </c>
      <c r="G442">
        <v>2</v>
      </c>
      <c r="H442" t="s">
        <v>1110</v>
      </c>
      <c r="I442" t="s">
        <v>1070</v>
      </c>
      <c r="J442" t="s">
        <v>1090</v>
      </c>
      <c r="K442" t="str">
        <f>tblTeamFixtures[[#This Row],[Team_name]]&amp;"_"&amp;tblTeamFixtures[[#This Row],[GW]]</f>
        <v>AVL_23</v>
      </c>
      <c r="L442">
        <f>IFERROR(INDEX(TEAM_ANALYSIS!$Y:$Y,MATCH($E442,TEAM_ANALYSIS!$A:$A,0)),1)</f>
        <v>0.5</v>
      </c>
      <c r="M442">
        <f>IFERROR(INDEX(TEAM_ANALYSIS!$Z:$Z,MATCH($E442,TEAM_ANALYSIS!$A:$A,0)),1)</f>
        <v>1.088235294117647</v>
      </c>
      <c r="N442">
        <f>IFERROR(INDEX(TEAM_ANALYSIS!$Y:$Y,MATCH($F442,TEAM_ANALYSIS!$A:$A,0)),1)</f>
        <v>0.97058823529411764</v>
      </c>
      <c r="O442">
        <f>IFERROR(INDEX(TEAM_ANALYSIS!$Z:$Z,MATCH($F442,TEAM_ANALYSIS!$A:$A,0)),1)</f>
        <v>1.4411764705882353</v>
      </c>
      <c r="P442">
        <f>MAX(0.05,AVERAGE(TEAM_ANALYSIS!$W$2:$W$21)*L442*O442)</f>
        <v>1.53125</v>
      </c>
      <c r="Q442">
        <f>MAX(0.05,AVERAGE(TEAM_ANALYSIS!$W$2:$W$21)*N442*M442)</f>
        <v>2.2444852941176467</v>
      </c>
      <c r="R442" s="23">
        <f>MAX(0.8,MIN(1.2,P442/AVERAGE(TEAM_ANALYSIS!$W$2:$W$21)))</f>
        <v>0.8</v>
      </c>
      <c r="S442">
        <f>MAX(0.8,MIN(1.2,AVERAGE(TEAM_ANALYSIS!$W$2:$W$21)/Q442))</f>
        <v>0.94676494676494694</v>
      </c>
      <c r="T442">
        <f>AVERAGE(R442,S442)</f>
        <v>0.87338247338247355</v>
      </c>
    </row>
    <row r="443" spans="1:20" x14ac:dyDescent="0.25">
      <c r="A443">
        <v>23</v>
      </c>
      <c r="B443" t="b">
        <v>0</v>
      </c>
      <c r="C443" s="6">
        <v>46417.625</v>
      </c>
      <c r="D443" t="b">
        <v>0</v>
      </c>
      <c r="E443">
        <v>3</v>
      </c>
      <c r="F443">
        <v>10</v>
      </c>
      <c r="G443">
        <v>2</v>
      </c>
      <c r="H443" t="s">
        <v>1110</v>
      </c>
      <c r="I443" t="s">
        <v>1072</v>
      </c>
      <c r="J443" t="s">
        <v>1086</v>
      </c>
      <c r="K443" t="str">
        <f>tblTeamFixtures[[#This Row],[Team_name]]&amp;"_"&amp;tblTeamFixtures[[#This Row],[GW]]</f>
        <v>BOU_23</v>
      </c>
      <c r="L443">
        <f>IFERROR(INDEX(TEAM_ANALYSIS!$Y:$Y,MATCH($E443,TEAM_ANALYSIS!$A:$A,0)),1)</f>
        <v>0.97058823529411764</v>
      </c>
      <c r="M443">
        <f>IFERROR(INDEX(TEAM_ANALYSIS!$Z:$Z,MATCH($E443,TEAM_ANALYSIS!$A:$A,0)),1)</f>
        <v>1.088235294117647</v>
      </c>
      <c r="N443">
        <f>IFERROR(INDEX(TEAM_ANALYSIS!$Y:$Y,MATCH($F443,TEAM_ANALYSIS!$A:$A,0)),1)</f>
        <v>0.97058823529411764</v>
      </c>
      <c r="O443">
        <f>IFERROR(INDEX(TEAM_ANALYSIS!$Z:$Z,MATCH($F443,TEAM_ANALYSIS!$A:$A,0)),1)</f>
        <v>1.3235294117647058</v>
      </c>
      <c r="P443">
        <f>MAX(0.05,AVERAGE(TEAM_ANALYSIS!$W$2:$W$21)*L443*O443)</f>
        <v>2.7297794117647056</v>
      </c>
      <c r="Q443">
        <f>MAX(0.05,AVERAGE(TEAM_ANALYSIS!$W$2:$W$21)*N443*M443)</f>
        <v>2.2444852941176467</v>
      </c>
      <c r="R443" s="23">
        <f>MAX(0.8,MIN(1.2,P443/AVERAGE(TEAM_ANALYSIS!$W$2:$W$21)))</f>
        <v>1.2</v>
      </c>
      <c r="S443">
        <f>MAX(0.8,MIN(1.2,AVERAGE(TEAM_ANALYSIS!$W$2:$W$21)/Q443))</f>
        <v>0.94676494676494694</v>
      </c>
      <c r="T443">
        <f>AVERAGE(R443,S443)</f>
        <v>1.0733824733824735</v>
      </c>
    </row>
    <row r="444" spans="1:20" x14ac:dyDescent="0.25">
      <c r="A444">
        <v>23</v>
      </c>
      <c r="B444" t="b">
        <v>0</v>
      </c>
      <c r="C444" s="6">
        <v>46417.625</v>
      </c>
      <c r="D444" t="b">
        <v>0</v>
      </c>
      <c r="E444">
        <v>4</v>
      </c>
      <c r="F444">
        <v>16</v>
      </c>
      <c r="G444">
        <v>4</v>
      </c>
      <c r="H444" t="s">
        <v>1110</v>
      </c>
      <c r="I444" t="s">
        <v>1074</v>
      </c>
      <c r="J444" t="s">
        <v>1098</v>
      </c>
      <c r="K444" t="str">
        <f>tblTeamFixtures[[#This Row],[Team_name]]&amp;"_"&amp;tblTeamFixtures[[#This Row],[GW]]</f>
        <v>BRE_23</v>
      </c>
      <c r="L444">
        <f>IFERROR(INDEX(TEAM_ANALYSIS!$Y:$Y,MATCH($E444,TEAM_ANALYSIS!$A:$A,0)),1)</f>
        <v>1.088235294117647</v>
      </c>
      <c r="M444">
        <f>IFERROR(INDEX(TEAM_ANALYSIS!$Z:$Z,MATCH($E444,TEAM_ANALYSIS!$A:$A,0)),1)</f>
        <v>0.73529411764705888</v>
      </c>
      <c r="N444">
        <f>IFERROR(INDEX(TEAM_ANALYSIS!$Y:$Y,MATCH($F444,TEAM_ANALYSIS!$A:$A,0)),1)</f>
        <v>1.3235294117647058</v>
      </c>
      <c r="O444">
        <f>IFERROR(INDEX(TEAM_ANALYSIS!$Z:$Z,MATCH($F444,TEAM_ANALYSIS!$A:$A,0)),1)</f>
        <v>1.2058823529411764</v>
      </c>
      <c r="P444">
        <f>MAX(0.05,AVERAGE(TEAM_ANALYSIS!$W$2:$W$21)*L444*O444)</f>
        <v>2.7886029411764706</v>
      </c>
      <c r="Q444">
        <f>MAX(0.05,AVERAGE(TEAM_ANALYSIS!$W$2:$W$21)*N444*M444)</f>
        <v>2.0680147058823533</v>
      </c>
      <c r="R444" s="23">
        <f>MAX(0.8,MIN(1.2,P444/AVERAGE(TEAM_ANALYSIS!$W$2:$W$21)))</f>
        <v>1.2</v>
      </c>
      <c r="S444">
        <f>MAX(0.8,MIN(1.2,AVERAGE(TEAM_ANALYSIS!$W$2:$W$21)/Q444))</f>
        <v>1.0275555555555553</v>
      </c>
      <c r="T444">
        <f>AVERAGE(R444,S444)</f>
        <v>1.1137777777777775</v>
      </c>
    </row>
    <row r="445" spans="1:20" x14ac:dyDescent="0.25">
      <c r="A445">
        <v>23</v>
      </c>
      <c r="B445" t="b">
        <v>0</v>
      </c>
      <c r="C445" s="6">
        <v>46417.625</v>
      </c>
      <c r="D445" t="b">
        <v>0</v>
      </c>
      <c r="E445">
        <v>6</v>
      </c>
      <c r="F445">
        <v>18</v>
      </c>
      <c r="G445">
        <v>3</v>
      </c>
      <c r="H445" t="s">
        <v>1110</v>
      </c>
      <c r="I445" t="s">
        <v>1078</v>
      </c>
      <c r="J445" t="s">
        <v>1102</v>
      </c>
      <c r="K445" t="str">
        <f>tblTeamFixtures[[#This Row],[Team_name]]&amp;"_"&amp;tblTeamFixtures[[#This Row],[GW]]</f>
        <v>CHE_23</v>
      </c>
      <c r="L445">
        <f>IFERROR(INDEX(TEAM_ANALYSIS!$Y:$Y,MATCH($E445,TEAM_ANALYSIS!$A:$A,0)),1)</f>
        <v>1.4411764705882353</v>
      </c>
      <c r="M445">
        <f>IFERROR(INDEX(TEAM_ANALYSIS!$Z:$Z,MATCH($E445,TEAM_ANALYSIS!$A:$A,0)),1)</f>
        <v>1.3235294117647058</v>
      </c>
      <c r="N445">
        <f>IFERROR(INDEX(TEAM_ANALYSIS!$Y:$Y,MATCH($F445,TEAM_ANALYSIS!$A:$A,0)),1)</f>
        <v>0.73529411764705888</v>
      </c>
      <c r="O445">
        <f>IFERROR(INDEX(TEAM_ANALYSIS!$Z:$Z,MATCH($F445,TEAM_ANALYSIS!$A:$A,0)),1)</f>
        <v>0.8529411764705882</v>
      </c>
      <c r="P445">
        <f>MAX(0.05,AVERAGE(TEAM_ANALYSIS!$W$2:$W$21)*L445*O445)</f>
        <v>2.6121323529411762</v>
      </c>
      <c r="Q445">
        <f>MAX(0.05,AVERAGE(TEAM_ANALYSIS!$W$2:$W$21)*N445*M445)</f>
        <v>2.0680147058823528</v>
      </c>
      <c r="R445" s="23">
        <f>MAX(0.8,MIN(1.2,P445/AVERAGE(TEAM_ANALYSIS!$W$2:$W$21)))</f>
        <v>1.2</v>
      </c>
      <c r="S445">
        <f>MAX(0.8,MIN(1.2,AVERAGE(TEAM_ANALYSIS!$W$2:$W$21)/Q445))</f>
        <v>1.0275555555555556</v>
      </c>
      <c r="T445">
        <f>AVERAGE(R445,S445)</f>
        <v>1.1137777777777778</v>
      </c>
    </row>
    <row r="446" spans="1:20" x14ac:dyDescent="0.25">
      <c r="A446">
        <v>23</v>
      </c>
      <c r="B446" t="b">
        <v>0</v>
      </c>
      <c r="C446" s="6">
        <v>46417.625</v>
      </c>
      <c r="D446" t="b">
        <v>0</v>
      </c>
      <c r="E446">
        <v>7</v>
      </c>
      <c r="F446">
        <v>13</v>
      </c>
      <c r="G446">
        <v>2</v>
      </c>
      <c r="H446" t="s">
        <v>1110</v>
      </c>
      <c r="I446" t="s">
        <v>1080</v>
      </c>
      <c r="J446" t="s">
        <v>1092</v>
      </c>
      <c r="K446" t="str">
        <f>tblTeamFixtures[[#This Row],[Team_name]]&amp;"_"&amp;tblTeamFixtures[[#This Row],[GW]]</f>
        <v>COV_23</v>
      </c>
      <c r="L446">
        <f>IFERROR(INDEX(TEAM_ANALYSIS!$Y:$Y,MATCH($E446,TEAM_ANALYSIS!$A:$A,0)),1)</f>
        <v>0.5</v>
      </c>
      <c r="M446">
        <f>IFERROR(INDEX(TEAM_ANALYSIS!$Z:$Z,MATCH($E446,TEAM_ANALYSIS!$A:$A,0)),1)</f>
        <v>1.088235294117647</v>
      </c>
      <c r="N446">
        <f>IFERROR(INDEX(TEAM_ANALYSIS!$Y:$Y,MATCH($F446,TEAM_ANALYSIS!$A:$A,0)),1)</f>
        <v>0.8529411764705882</v>
      </c>
      <c r="O446">
        <f>IFERROR(INDEX(TEAM_ANALYSIS!$Z:$Z,MATCH($F446,TEAM_ANALYSIS!$A:$A,0)),1)</f>
        <v>0.73529411764705888</v>
      </c>
      <c r="P446">
        <f>MAX(0.05,AVERAGE(TEAM_ANALYSIS!$W$2:$W$21)*L446*O446)</f>
        <v>0.78125</v>
      </c>
      <c r="Q446">
        <f>MAX(0.05,AVERAGE(TEAM_ANALYSIS!$W$2:$W$21)*N446*M446)</f>
        <v>1.9724264705882351</v>
      </c>
      <c r="R446" s="23">
        <f>MAX(0.8,MIN(1.2,P446/AVERAGE(TEAM_ANALYSIS!$W$2:$W$21)))</f>
        <v>0.8</v>
      </c>
      <c r="S446">
        <f>MAX(0.8,MIN(1.2,AVERAGE(TEAM_ANALYSIS!$W$2:$W$21)/Q446))</f>
        <v>1.07735321528425</v>
      </c>
      <c r="T446">
        <f>AVERAGE(R446,S446)</f>
        <v>0.93867660764212502</v>
      </c>
    </row>
    <row r="447" spans="1:20" x14ac:dyDescent="0.25">
      <c r="A447">
        <v>23</v>
      </c>
      <c r="B447" t="b">
        <v>0</v>
      </c>
      <c r="C447" s="6">
        <v>46417.625</v>
      </c>
      <c r="D447" t="b">
        <v>0</v>
      </c>
      <c r="E447">
        <v>11</v>
      </c>
      <c r="F447">
        <v>8</v>
      </c>
      <c r="G447">
        <v>3</v>
      </c>
      <c r="H447" t="s">
        <v>1110</v>
      </c>
      <c r="I447" t="s">
        <v>1088</v>
      </c>
      <c r="J447" t="s">
        <v>1082</v>
      </c>
      <c r="K447" t="str">
        <f>tblTeamFixtures[[#This Row],[Team_name]]&amp;"_"&amp;tblTeamFixtures[[#This Row],[GW]]</f>
        <v>HUL_23</v>
      </c>
      <c r="L447">
        <f>IFERROR(INDEX(TEAM_ANALYSIS!$Y:$Y,MATCH($E447,TEAM_ANALYSIS!$A:$A,0)),1)</f>
        <v>0.8529411764705882</v>
      </c>
      <c r="M447">
        <f>IFERROR(INDEX(TEAM_ANALYSIS!$Z:$Z,MATCH($E447,TEAM_ANALYSIS!$A:$A,0)),1)</f>
        <v>0.5</v>
      </c>
      <c r="N447">
        <f>IFERROR(INDEX(TEAM_ANALYSIS!$Y:$Y,MATCH($F447,TEAM_ANALYSIS!$A:$A,0)),1)</f>
        <v>0.97058823529411764</v>
      </c>
      <c r="O447">
        <f>IFERROR(INDEX(TEAM_ANALYSIS!$Z:$Z,MATCH($F447,TEAM_ANALYSIS!$A:$A,0)),1)</f>
        <v>1.4411764705882353</v>
      </c>
      <c r="P447">
        <f>MAX(0.05,AVERAGE(TEAM_ANALYSIS!$W$2:$W$21)*L447*O447)</f>
        <v>2.6121323529411766</v>
      </c>
      <c r="Q447">
        <f>MAX(0.05,AVERAGE(TEAM_ANALYSIS!$W$2:$W$21)*N447*M447)</f>
        <v>1.03125</v>
      </c>
      <c r="R447" s="23">
        <f>MAX(0.8,MIN(1.2,P447/AVERAGE(TEAM_ANALYSIS!$W$2:$W$21)))</f>
        <v>1.2</v>
      </c>
      <c r="S447">
        <f>MAX(0.8,MIN(1.2,AVERAGE(TEAM_ANALYSIS!$W$2:$W$21)/Q447))</f>
        <v>1.2</v>
      </c>
      <c r="T447">
        <f>AVERAGE(R447,S447)</f>
        <v>1.2</v>
      </c>
    </row>
    <row r="448" spans="1:20" x14ac:dyDescent="0.25">
      <c r="A448">
        <v>23</v>
      </c>
      <c r="B448" t="b">
        <v>0</v>
      </c>
      <c r="C448" s="6">
        <v>46417.625</v>
      </c>
      <c r="D448" t="b">
        <v>0</v>
      </c>
      <c r="E448">
        <v>14</v>
      </c>
      <c r="F448">
        <v>9</v>
      </c>
      <c r="G448">
        <v>3</v>
      </c>
      <c r="H448" t="s">
        <v>1110</v>
      </c>
      <c r="I448" t="s">
        <v>1094</v>
      </c>
      <c r="J448" t="s">
        <v>1084</v>
      </c>
      <c r="K448" t="str">
        <f>tblTeamFixtures[[#This Row],[Team_name]]&amp;"_"&amp;tblTeamFixtures[[#This Row],[GW]]</f>
        <v>LIV_23</v>
      </c>
      <c r="L448">
        <f>IFERROR(INDEX(TEAM_ANALYSIS!$Y:$Y,MATCH($E448,TEAM_ANALYSIS!$A:$A,0)),1)</f>
        <v>1.2058823529411764</v>
      </c>
      <c r="M448">
        <f>IFERROR(INDEX(TEAM_ANALYSIS!$Z:$Z,MATCH($E448,TEAM_ANALYSIS!$A:$A,0)),1)</f>
        <v>0.97058823529411764</v>
      </c>
      <c r="N448">
        <f>IFERROR(INDEX(TEAM_ANALYSIS!$Y:$Y,MATCH($F448,TEAM_ANALYSIS!$A:$A,0)),1)</f>
        <v>1.088235294117647</v>
      </c>
      <c r="O448">
        <f>IFERROR(INDEX(TEAM_ANALYSIS!$Z:$Z,MATCH($F448,TEAM_ANALYSIS!$A:$A,0)),1)</f>
        <v>0.8529411764705882</v>
      </c>
      <c r="P448">
        <f>MAX(0.05,AVERAGE(TEAM_ANALYSIS!$W$2:$W$21)*L448*O448)</f>
        <v>2.1856617647058822</v>
      </c>
      <c r="Q448">
        <f>MAX(0.05,AVERAGE(TEAM_ANALYSIS!$W$2:$W$21)*N448*M448)</f>
        <v>2.2444852941176472</v>
      </c>
      <c r="R448" s="23">
        <f>MAX(0.8,MIN(1.2,P448/AVERAGE(TEAM_ANALYSIS!$W$2:$W$21)))</f>
        <v>1.0285467128027681</v>
      </c>
      <c r="S448">
        <f>MAX(0.8,MIN(1.2,AVERAGE(TEAM_ANALYSIS!$W$2:$W$21)/Q448))</f>
        <v>0.94676494676494671</v>
      </c>
      <c r="T448">
        <f>AVERAGE(R448,S448)</f>
        <v>0.98765582978385735</v>
      </c>
    </row>
    <row r="449" spans="1:20" x14ac:dyDescent="0.25">
      <c r="A449">
        <v>23</v>
      </c>
      <c r="B449" t="b">
        <v>0</v>
      </c>
      <c r="C449" s="6">
        <v>46417.625</v>
      </c>
      <c r="D449" t="b">
        <v>0</v>
      </c>
      <c r="E449">
        <v>15</v>
      </c>
      <c r="F449">
        <v>1</v>
      </c>
      <c r="G449">
        <v>4</v>
      </c>
      <c r="H449" t="s">
        <v>1110</v>
      </c>
      <c r="I449" t="s">
        <v>1096</v>
      </c>
      <c r="J449" t="s">
        <v>1068</v>
      </c>
      <c r="K449" t="str">
        <f>tblTeamFixtures[[#This Row],[Team_name]]&amp;"_"&amp;tblTeamFixtures[[#This Row],[GW]]</f>
        <v>MCI_23</v>
      </c>
      <c r="L449">
        <f>IFERROR(INDEX(TEAM_ANALYSIS!$Y:$Y,MATCH($E449,TEAM_ANALYSIS!$A:$A,0)),1)</f>
        <v>1.3235294117647058</v>
      </c>
      <c r="M449">
        <f>IFERROR(INDEX(TEAM_ANALYSIS!$Z:$Z,MATCH($E449,TEAM_ANALYSIS!$A:$A,0)),1)</f>
        <v>0.73529411764705888</v>
      </c>
      <c r="N449">
        <f>IFERROR(INDEX(TEAM_ANALYSIS!$Y:$Y,MATCH($F449,TEAM_ANALYSIS!$A:$A,0)),1)</f>
        <v>1.2058823529411764</v>
      </c>
      <c r="O449">
        <f>IFERROR(INDEX(TEAM_ANALYSIS!$Z:$Z,MATCH($F449,TEAM_ANALYSIS!$A:$A,0)),1)</f>
        <v>0.61764705882352944</v>
      </c>
      <c r="P449">
        <f>MAX(0.05,AVERAGE(TEAM_ANALYSIS!$W$2:$W$21)*L449*O449)</f>
        <v>1.7371323529411766</v>
      </c>
      <c r="Q449">
        <f>MAX(0.05,AVERAGE(TEAM_ANALYSIS!$W$2:$W$21)*N449*M449)</f>
        <v>1.8841911764705883</v>
      </c>
      <c r="R449" s="23">
        <f>MAX(0.8,MIN(1.2,P449/AVERAGE(TEAM_ANALYSIS!$W$2:$W$21)))</f>
        <v>0.81747404844290661</v>
      </c>
      <c r="S449">
        <f>MAX(0.8,MIN(1.2,AVERAGE(TEAM_ANALYSIS!$W$2:$W$21)/Q449))</f>
        <v>1.1278048780487804</v>
      </c>
      <c r="T449">
        <f>AVERAGE(R449,S449)</f>
        <v>0.97263946324584349</v>
      </c>
    </row>
    <row r="450" spans="1:20" x14ac:dyDescent="0.25">
      <c r="A450">
        <v>23</v>
      </c>
      <c r="B450" t="b">
        <v>0</v>
      </c>
      <c r="C450" s="6">
        <v>46417.625</v>
      </c>
      <c r="D450" t="b">
        <v>0</v>
      </c>
      <c r="E450">
        <v>17</v>
      </c>
      <c r="F450">
        <v>5</v>
      </c>
      <c r="G450">
        <v>2</v>
      </c>
      <c r="H450" t="s">
        <v>1110</v>
      </c>
      <c r="I450" t="s">
        <v>1100</v>
      </c>
      <c r="J450" t="s">
        <v>1076</v>
      </c>
      <c r="K450" t="str">
        <f>tblTeamFixtures[[#This Row],[Team_name]]&amp;"_"&amp;tblTeamFixtures[[#This Row],[GW]]</f>
        <v>NEW_23</v>
      </c>
      <c r="L450">
        <f>IFERROR(INDEX(TEAM_ANALYSIS!$Y:$Y,MATCH($E450,TEAM_ANALYSIS!$A:$A,0)),1)</f>
        <v>1.2058823529411764</v>
      </c>
      <c r="M450">
        <f>IFERROR(INDEX(TEAM_ANALYSIS!$Z:$Z,MATCH($E450,TEAM_ANALYSIS!$A:$A,0)),1)</f>
        <v>0.97058823529411764</v>
      </c>
      <c r="N450">
        <f>IFERROR(INDEX(TEAM_ANALYSIS!$Y:$Y,MATCH($F450,TEAM_ANALYSIS!$A:$A,0)),1)</f>
        <v>1.4411764705882353</v>
      </c>
      <c r="O450">
        <f>IFERROR(INDEX(TEAM_ANALYSIS!$Z:$Z,MATCH($F450,TEAM_ANALYSIS!$A:$A,0)),1)</f>
        <v>1.088235294117647</v>
      </c>
      <c r="P450">
        <f>MAX(0.05,AVERAGE(TEAM_ANALYSIS!$W$2:$W$21)*L450*O450)</f>
        <v>2.7886029411764706</v>
      </c>
      <c r="Q450">
        <f>MAX(0.05,AVERAGE(TEAM_ANALYSIS!$W$2:$W$21)*N450*M450)</f>
        <v>2.9724264705882351</v>
      </c>
      <c r="R450" s="23">
        <f>MAX(0.8,MIN(1.2,P450/AVERAGE(TEAM_ANALYSIS!$W$2:$W$21)))</f>
        <v>1.2</v>
      </c>
      <c r="S450">
        <f>MAX(0.8,MIN(1.2,AVERAGE(TEAM_ANALYSIS!$W$2:$W$21)/Q450))</f>
        <v>0.8</v>
      </c>
      <c r="T450">
        <f>AVERAGE(R450,S450)</f>
        <v>1</v>
      </c>
    </row>
    <row r="451" spans="1:20" x14ac:dyDescent="0.25">
      <c r="A451">
        <v>23</v>
      </c>
      <c r="B451" t="b">
        <v>0</v>
      </c>
      <c r="C451" s="6">
        <v>46417.625</v>
      </c>
      <c r="D451" t="b">
        <v>0</v>
      </c>
      <c r="E451">
        <v>19</v>
      </c>
      <c r="F451">
        <v>20</v>
      </c>
      <c r="G451">
        <v>2</v>
      </c>
      <c r="H451" t="s">
        <v>1110</v>
      </c>
      <c r="I451" t="s">
        <v>1104</v>
      </c>
      <c r="J451" t="s">
        <v>1106</v>
      </c>
      <c r="K451" t="str">
        <f>tblTeamFixtures[[#This Row],[Team_name]]&amp;"_"&amp;tblTeamFixtures[[#This Row],[GW]]</f>
        <v>TOT_23</v>
      </c>
      <c r="L451">
        <f>IFERROR(INDEX(TEAM_ANALYSIS!$Y:$Y,MATCH($E451,TEAM_ANALYSIS!$A:$A,0)),1)</f>
        <v>0.5</v>
      </c>
      <c r="M451">
        <f>IFERROR(INDEX(TEAM_ANALYSIS!$Z:$Z,MATCH($E451,TEAM_ANALYSIS!$A:$A,0)),1)</f>
        <v>1.088235294117647</v>
      </c>
      <c r="N451">
        <f>IFERROR(INDEX(TEAM_ANALYSIS!$Y:$Y,MATCH($F451,TEAM_ANALYSIS!$A:$A,0)),1)</f>
        <v>0.8529411764705882</v>
      </c>
      <c r="O451">
        <f>IFERROR(INDEX(TEAM_ANALYSIS!$Z:$Z,MATCH($F451,TEAM_ANALYSIS!$A:$A,0)),1)</f>
        <v>0.8529411764705882</v>
      </c>
      <c r="P451">
        <f>MAX(0.05,AVERAGE(TEAM_ANALYSIS!$W$2:$W$21)*L451*O451)</f>
        <v>0.90625</v>
      </c>
      <c r="Q451">
        <f>MAX(0.05,AVERAGE(TEAM_ANALYSIS!$W$2:$W$21)*N451*M451)</f>
        <v>1.9724264705882351</v>
      </c>
      <c r="R451" s="23">
        <f>MAX(0.8,MIN(1.2,P451/AVERAGE(TEAM_ANALYSIS!$W$2:$W$21)))</f>
        <v>0.8</v>
      </c>
      <c r="S451">
        <f>MAX(0.8,MIN(1.2,AVERAGE(TEAM_ANALYSIS!$W$2:$W$21)/Q451))</f>
        <v>1.07735321528425</v>
      </c>
      <c r="T451">
        <f>AVERAGE(R451,S451)</f>
        <v>0.93867660764212502</v>
      </c>
    </row>
    <row r="452" spans="1:20" x14ac:dyDescent="0.25">
      <c r="A452">
        <v>23</v>
      </c>
      <c r="B452" t="b">
        <v>0</v>
      </c>
      <c r="C452" s="6">
        <v>46417.625</v>
      </c>
      <c r="D452" t="b">
        <v>0</v>
      </c>
      <c r="E452">
        <v>12</v>
      </c>
      <c r="F452">
        <v>2</v>
      </c>
      <c r="G452">
        <v>4</v>
      </c>
      <c r="H452" t="s">
        <v>1111</v>
      </c>
      <c r="I452" t="s">
        <v>1090</v>
      </c>
      <c r="J452" t="s">
        <v>1070</v>
      </c>
      <c r="K452" t="str">
        <f>tblTeamFixtures[[#This Row],[Team_name]]&amp;"_"&amp;tblTeamFixtures[[#This Row],[GW]]</f>
        <v>IPS_23</v>
      </c>
      <c r="L452">
        <f>IFERROR(INDEX(TEAM_ANALYSIS!$Y:$Y,MATCH($E452,TEAM_ANALYSIS!$A:$A,0)),1)</f>
        <v>0.97058823529411764</v>
      </c>
      <c r="M452">
        <f>IFERROR(INDEX(TEAM_ANALYSIS!$Z:$Z,MATCH($E452,TEAM_ANALYSIS!$A:$A,0)),1)</f>
        <v>1.4411764705882353</v>
      </c>
      <c r="N452">
        <f>IFERROR(INDEX(TEAM_ANALYSIS!$Y:$Y,MATCH($F452,TEAM_ANALYSIS!$A:$A,0)),1)</f>
        <v>0.5</v>
      </c>
      <c r="O452">
        <f>IFERROR(INDEX(TEAM_ANALYSIS!$Z:$Z,MATCH($F452,TEAM_ANALYSIS!$A:$A,0)),1)</f>
        <v>1.088235294117647</v>
      </c>
      <c r="P452">
        <f>MAX(0.05,AVERAGE(TEAM_ANALYSIS!$W$2:$W$21)*L452*O452)</f>
        <v>2.2444852941176467</v>
      </c>
      <c r="Q452">
        <f>MAX(0.05,AVERAGE(TEAM_ANALYSIS!$W$2:$W$21)*N452*M452)</f>
        <v>1.53125</v>
      </c>
      <c r="R452" s="23">
        <f>MAX(0.8,MIN(1.2,P452/AVERAGE(TEAM_ANALYSIS!$W$2:$W$21)))</f>
        <v>1.0562283737024221</v>
      </c>
      <c r="S452">
        <f>MAX(0.8,MIN(1.2,AVERAGE(TEAM_ANALYSIS!$W$2:$W$21)/Q452))</f>
        <v>1.2</v>
      </c>
      <c r="T452">
        <f>AVERAGE(R452,S452)</f>
        <v>1.128114186851211</v>
      </c>
    </row>
    <row r="453" spans="1:20" x14ac:dyDescent="0.25">
      <c r="A453">
        <v>23</v>
      </c>
      <c r="B453" t="b">
        <v>0</v>
      </c>
      <c r="C453" s="6">
        <v>46417.625</v>
      </c>
      <c r="D453" t="b">
        <v>0</v>
      </c>
      <c r="E453">
        <v>10</v>
      </c>
      <c r="F453">
        <v>3</v>
      </c>
      <c r="G453">
        <v>3</v>
      </c>
      <c r="H453" t="s">
        <v>1111</v>
      </c>
      <c r="I453" t="s">
        <v>1086</v>
      </c>
      <c r="J453" t="s">
        <v>1072</v>
      </c>
      <c r="K453" t="str">
        <f>tblTeamFixtures[[#This Row],[Team_name]]&amp;"_"&amp;tblTeamFixtures[[#This Row],[GW]]</f>
        <v>FUL_23</v>
      </c>
      <c r="L453">
        <f>IFERROR(INDEX(TEAM_ANALYSIS!$Y:$Y,MATCH($E453,TEAM_ANALYSIS!$A:$A,0)),1)</f>
        <v>0.97058823529411764</v>
      </c>
      <c r="M453">
        <f>IFERROR(INDEX(TEAM_ANALYSIS!$Z:$Z,MATCH($E453,TEAM_ANALYSIS!$A:$A,0)),1)</f>
        <v>1.3235294117647058</v>
      </c>
      <c r="N453">
        <f>IFERROR(INDEX(TEAM_ANALYSIS!$Y:$Y,MATCH($F453,TEAM_ANALYSIS!$A:$A,0)),1)</f>
        <v>0.97058823529411764</v>
      </c>
      <c r="O453">
        <f>IFERROR(INDEX(TEAM_ANALYSIS!$Z:$Z,MATCH($F453,TEAM_ANALYSIS!$A:$A,0)),1)</f>
        <v>1.088235294117647</v>
      </c>
      <c r="P453">
        <f>MAX(0.05,AVERAGE(TEAM_ANALYSIS!$W$2:$W$21)*L453*O453)</f>
        <v>2.2444852941176467</v>
      </c>
      <c r="Q453">
        <f>MAX(0.05,AVERAGE(TEAM_ANALYSIS!$W$2:$W$21)*N453*M453)</f>
        <v>2.7297794117647056</v>
      </c>
      <c r="R453" s="23">
        <f>MAX(0.8,MIN(1.2,P453/AVERAGE(TEAM_ANALYSIS!$W$2:$W$21)))</f>
        <v>1.0562283737024221</v>
      </c>
      <c r="S453">
        <f>MAX(0.8,MIN(1.2,AVERAGE(TEAM_ANALYSIS!$W$2:$W$21)/Q453))</f>
        <v>0.8</v>
      </c>
      <c r="T453">
        <f>AVERAGE(R453,S453)</f>
        <v>0.92811418685121105</v>
      </c>
    </row>
    <row r="454" spans="1:20" x14ac:dyDescent="0.25">
      <c r="A454">
        <v>23</v>
      </c>
      <c r="B454" t="b">
        <v>0</v>
      </c>
      <c r="C454" s="6">
        <v>46417.625</v>
      </c>
      <c r="D454" t="b">
        <v>0</v>
      </c>
      <c r="E454">
        <v>16</v>
      </c>
      <c r="F454">
        <v>4</v>
      </c>
      <c r="G454">
        <v>3</v>
      </c>
      <c r="H454" t="s">
        <v>1111</v>
      </c>
      <c r="I454" t="s">
        <v>1098</v>
      </c>
      <c r="J454" t="s">
        <v>1074</v>
      </c>
      <c r="K454" t="str">
        <f>tblTeamFixtures[[#This Row],[Team_name]]&amp;"_"&amp;tblTeamFixtures[[#This Row],[GW]]</f>
        <v>MUN_23</v>
      </c>
      <c r="L454">
        <f>IFERROR(INDEX(TEAM_ANALYSIS!$Y:$Y,MATCH($E454,TEAM_ANALYSIS!$A:$A,0)),1)</f>
        <v>1.3235294117647058</v>
      </c>
      <c r="M454">
        <f>IFERROR(INDEX(TEAM_ANALYSIS!$Z:$Z,MATCH($E454,TEAM_ANALYSIS!$A:$A,0)),1)</f>
        <v>1.2058823529411764</v>
      </c>
      <c r="N454">
        <f>IFERROR(INDEX(TEAM_ANALYSIS!$Y:$Y,MATCH($F454,TEAM_ANALYSIS!$A:$A,0)),1)</f>
        <v>1.088235294117647</v>
      </c>
      <c r="O454">
        <f>IFERROR(INDEX(TEAM_ANALYSIS!$Z:$Z,MATCH($F454,TEAM_ANALYSIS!$A:$A,0)),1)</f>
        <v>0.73529411764705888</v>
      </c>
      <c r="P454">
        <f>MAX(0.05,AVERAGE(TEAM_ANALYSIS!$W$2:$W$21)*L454*O454)</f>
        <v>2.0680147058823533</v>
      </c>
      <c r="Q454">
        <f>MAX(0.05,AVERAGE(TEAM_ANALYSIS!$W$2:$W$21)*N454*M454)</f>
        <v>2.7886029411764706</v>
      </c>
      <c r="R454" s="23">
        <f>MAX(0.8,MIN(1.2,P454/AVERAGE(TEAM_ANALYSIS!$W$2:$W$21)))</f>
        <v>0.97318339100346041</v>
      </c>
      <c r="S454">
        <f>MAX(0.8,MIN(1.2,AVERAGE(TEAM_ANALYSIS!$W$2:$W$21)/Q454))</f>
        <v>0.8</v>
      </c>
      <c r="T454">
        <f>AVERAGE(R454,S454)</f>
        <v>0.88659169550173023</v>
      </c>
    </row>
    <row r="455" spans="1:20" x14ac:dyDescent="0.25">
      <c r="A455">
        <v>23</v>
      </c>
      <c r="B455" t="b">
        <v>0</v>
      </c>
      <c r="C455" s="6">
        <v>46417.625</v>
      </c>
      <c r="D455" t="b">
        <v>0</v>
      </c>
      <c r="E455">
        <v>18</v>
      </c>
      <c r="F455">
        <v>6</v>
      </c>
      <c r="G455">
        <v>4</v>
      </c>
      <c r="H455" t="s">
        <v>1111</v>
      </c>
      <c r="I455" t="s">
        <v>1102</v>
      </c>
      <c r="J455" t="s">
        <v>1078</v>
      </c>
      <c r="K455" t="str">
        <f>tblTeamFixtures[[#This Row],[Team_name]]&amp;"_"&amp;tblTeamFixtures[[#This Row],[GW]]</f>
        <v>NFO_23</v>
      </c>
      <c r="L455">
        <f>IFERROR(INDEX(TEAM_ANALYSIS!$Y:$Y,MATCH($E455,TEAM_ANALYSIS!$A:$A,0)),1)</f>
        <v>0.73529411764705888</v>
      </c>
      <c r="M455">
        <f>IFERROR(INDEX(TEAM_ANALYSIS!$Z:$Z,MATCH($E455,TEAM_ANALYSIS!$A:$A,0)),1)</f>
        <v>0.8529411764705882</v>
      </c>
      <c r="N455">
        <f>IFERROR(INDEX(TEAM_ANALYSIS!$Y:$Y,MATCH($F455,TEAM_ANALYSIS!$A:$A,0)),1)</f>
        <v>1.4411764705882353</v>
      </c>
      <c r="O455">
        <f>IFERROR(INDEX(TEAM_ANALYSIS!$Z:$Z,MATCH($F455,TEAM_ANALYSIS!$A:$A,0)),1)</f>
        <v>1.3235294117647058</v>
      </c>
      <c r="P455">
        <f>MAX(0.05,AVERAGE(TEAM_ANALYSIS!$W$2:$W$21)*L455*O455)</f>
        <v>2.0680147058823528</v>
      </c>
      <c r="Q455">
        <f>MAX(0.05,AVERAGE(TEAM_ANALYSIS!$W$2:$W$21)*N455*M455)</f>
        <v>2.6121323529411762</v>
      </c>
      <c r="R455" s="23">
        <f>MAX(0.8,MIN(1.2,P455/AVERAGE(TEAM_ANALYSIS!$W$2:$W$21)))</f>
        <v>0.97318339100346019</v>
      </c>
      <c r="S455">
        <f>MAX(0.8,MIN(1.2,AVERAGE(TEAM_ANALYSIS!$W$2:$W$21)/Q455))</f>
        <v>0.81351161154116824</v>
      </c>
      <c r="T455">
        <f>AVERAGE(R455,S455)</f>
        <v>0.89334750127231422</v>
      </c>
    </row>
    <row r="456" spans="1:20" x14ac:dyDescent="0.25">
      <c r="A456">
        <v>23</v>
      </c>
      <c r="B456" t="b">
        <v>0</v>
      </c>
      <c r="C456" s="6">
        <v>46417.625</v>
      </c>
      <c r="D456" t="b">
        <v>0</v>
      </c>
      <c r="E456">
        <v>13</v>
      </c>
      <c r="F456">
        <v>7</v>
      </c>
      <c r="G456">
        <v>2</v>
      </c>
      <c r="H456" t="s">
        <v>1111</v>
      </c>
      <c r="I456" t="s">
        <v>1092</v>
      </c>
      <c r="J456" t="s">
        <v>1080</v>
      </c>
      <c r="K456" t="str">
        <f>tblTeamFixtures[[#This Row],[Team_name]]&amp;"_"&amp;tblTeamFixtures[[#This Row],[GW]]</f>
        <v>LEE_23</v>
      </c>
      <c r="L456">
        <f>IFERROR(INDEX(TEAM_ANALYSIS!$Y:$Y,MATCH($E456,TEAM_ANALYSIS!$A:$A,0)),1)</f>
        <v>0.8529411764705882</v>
      </c>
      <c r="M456">
        <f>IFERROR(INDEX(TEAM_ANALYSIS!$Z:$Z,MATCH($E456,TEAM_ANALYSIS!$A:$A,0)),1)</f>
        <v>0.73529411764705888</v>
      </c>
      <c r="N456">
        <f>IFERROR(INDEX(TEAM_ANALYSIS!$Y:$Y,MATCH($F456,TEAM_ANALYSIS!$A:$A,0)),1)</f>
        <v>0.5</v>
      </c>
      <c r="O456">
        <f>IFERROR(INDEX(TEAM_ANALYSIS!$Z:$Z,MATCH($F456,TEAM_ANALYSIS!$A:$A,0)),1)</f>
        <v>1.088235294117647</v>
      </c>
      <c r="P456">
        <f>MAX(0.05,AVERAGE(TEAM_ANALYSIS!$W$2:$W$21)*L456*O456)</f>
        <v>1.9724264705882351</v>
      </c>
      <c r="Q456">
        <f>MAX(0.05,AVERAGE(TEAM_ANALYSIS!$W$2:$W$21)*N456*M456)</f>
        <v>0.78125</v>
      </c>
      <c r="R456" s="23">
        <f>MAX(0.8,MIN(1.2,P456/AVERAGE(TEAM_ANALYSIS!$W$2:$W$21)))</f>
        <v>0.92820069204152233</v>
      </c>
      <c r="S456">
        <f>MAX(0.8,MIN(1.2,AVERAGE(TEAM_ANALYSIS!$W$2:$W$21)/Q456))</f>
        <v>1.2</v>
      </c>
      <c r="T456">
        <f>AVERAGE(R456,S456)</f>
        <v>1.0641003460207612</v>
      </c>
    </row>
    <row r="457" spans="1:20" x14ac:dyDescent="0.25">
      <c r="A457">
        <v>23</v>
      </c>
      <c r="B457" t="b">
        <v>0</v>
      </c>
      <c r="C457" s="6">
        <v>46417.625</v>
      </c>
      <c r="D457" t="b">
        <v>0</v>
      </c>
      <c r="E457">
        <v>8</v>
      </c>
      <c r="F457">
        <v>11</v>
      </c>
      <c r="G457">
        <v>2</v>
      </c>
      <c r="H457" t="s">
        <v>1111</v>
      </c>
      <c r="I457" t="s">
        <v>1082</v>
      </c>
      <c r="J457" t="s">
        <v>1088</v>
      </c>
      <c r="K457" t="str">
        <f>tblTeamFixtures[[#This Row],[Team_name]]&amp;"_"&amp;tblTeamFixtures[[#This Row],[GW]]</f>
        <v>CRY_23</v>
      </c>
      <c r="L457">
        <f>IFERROR(INDEX(TEAM_ANALYSIS!$Y:$Y,MATCH($E457,TEAM_ANALYSIS!$A:$A,0)),1)</f>
        <v>0.97058823529411764</v>
      </c>
      <c r="M457">
        <f>IFERROR(INDEX(TEAM_ANALYSIS!$Z:$Z,MATCH($E457,TEAM_ANALYSIS!$A:$A,0)),1)</f>
        <v>1.4411764705882353</v>
      </c>
      <c r="N457">
        <f>IFERROR(INDEX(TEAM_ANALYSIS!$Y:$Y,MATCH($F457,TEAM_ANALYSIS!$A:$A,0)),1)</f>
        <v>0.8529411764705882</v>
      </c>
      <c r="O457">
        <f>IFERROR(INDEX(TEAM_ANALYSIS!$Z:$Z,MATCH($F457,TEAM_ANALYSIS!$A:$A,0)),1)</f>
        <v>0.5</v>
      </c>
      <c r="P457">
        <f>MAX(0.05,AVERAGE(TEAM_ANALYSIS!$W$2:$W$21)*L457*O457)</f>
        <v>1.03125</v>
      </c>
      <c r="Q457">
        <f>MAX(0.05,AVERAGE(TEAM_ANALYSIS!$W$2:$W$21)*N457*M457)</f>
        <v>2.6121323529411766</v>
      </c>
      <c r="R457" s="23">
        <f>MAX(0.8,MIN(1.2,P457/AVERAGE(TEAM_ANALYSIS!$W$2:$W$21)))</f>
        <v>0.8</v>
      </c>
      <c r="S457">
        <f>MAX(0.8,MIN(1.2,AVERAGE(TEAM_ANALYSIS!$W$2:$W$21)/Q457))</f>
        <v>0.81351161154116813</v>
      </c>
      <c r="T457">
        <f>AVERAGE(R457,S457)</f>
        <v>0.80675580577058414</v>
      </c>
    </row>
    <row r="458" spans="1:20" x14ac:dyDescent="0.25">
      <c r="A458">
        <v>23</v>
      </c>
      <c r="B458" t="b">
        <v>0</v>
      </c>
      <c r="C458" s="6">
        <v>46417.625</v>
      </c>
      <c r="D458" t="b">
        <v>0</v>
      </c>
      <c r="E458">
        <v>9</v>
      </c>
      <c r="F458">
        <v>14</v>
      </c>
      <c r="G458">
        <v>4</v>
      </c>
      <c r="H458" t="s">
        <v>1111</v>
      </c>
      <c r="I458" t="s">
        <v>1084</v>
      </c>
      <c r="J458" t="s">
        <v>1094</v>
      </c>
      <c r="K458" t="str">
        <f>tblTeamFixtures[[#This Row],[Team_name]]&amp;"_"&amp;tblTeamFixtures[[#This Row],[GW]]</f>
        <v>EVE_23</v>
      </c>
      <c r="L458">
        <f>IFERROR(INDEX(TEAM_ANALYSIS!$Y:$Y,MATCH($E458,TEAM_ANALYSIS!$A:$A,0)),1)</f>
        <v>1.088235294117647</v>
      </c>
      <c r="M458">
        <f>IFERROR(INDEX(TEAM_ANALYSIS!$Z:$Z,MATCH($E458,TEAM_ANALYSIS!$A:$A,0)),1)</f>
        <v>0.8529411764705882</v>
      </c>
      <c r="N458">
        <f>IFERROR(INDEX(TEAM_ANALYSIS!$Y:$Y,MATCH($F458,TEAM_ANALYSIS!$A:$A,0)),1)</f>
        <v>1.2058823529411764</v>
      </c>
      <c r="O458">
        <f>IFERROR(INDEX(TEAM_ANALYSIS!$Z:$Z,MATCH($F458,TEAM_ANALYSIS!$A:$A,0)),1)</f>
        <v>0.97058823529411764</v>
      </c>
      <c r="P458">
        <f>MAX(0.05,AVERAGE(TEAM_ANALYSIS!$W$2:$W$21)*L458*O458)</f>
        <v>2.2444852941176472</v>
      </c>
      <c r="Q458">
        <f>MAX(0.05,AVERAGE(TEAM_ANALYSIS!$W$2:$W$21)*N458*M458)</f>
        <v>2.1856617647058822</v>
      </c>
      <c r="R458" s="23">
        <f>MAX(0.8,MIN(1.2,P458/AVERAGE(TEAM_ANALYSIS!$W$2:$W$21)))</f>
        <v>1.0562283737024223</v>
      </c>
      <c r="S458">
        <f>MAX(0.8,MIN(1.2,AVERAGE(TEAM_ANALYSIS!$W$2:$W$21)/Q458))</f>
        <v>0.9722455845248108</v>
      </c>
      <c r="T458">
        <f>AVERAGE(R458,S458)</f>
        <v>1.0142369791136165</v>
      </c>
    </row>
    <row r="459" spans="1:20" x14ac:dyDescent="0.25">
      <c r="A459">
        <v>23</v>
      </c>
      <c r="B459" t="b">
        <v>0</v>
      </c>
      <c r="C459" s="6">
        <v>46417.625</v>
      </c>
      <c r="D459" t="b">
        <v>0</v>
      </c>
      <c r="E459">
        <v>1</v>
      </c>
      <c r="F459">
        <v>15</v>
      </c>
      <c r="G459">
        <v>5</v>
      </c>
      <c r="H459" t="s">
        <v>1111</v>
      </c>
      <c r="I459" t="s">
        <v>1068</v>
      </c>
      <c r="J459" t="s">
        <v>1096</v>
      </c>
      <c r="K459" t="str">
        <f>tblTeamFixtures[[#This Row],[Team_name]]&amp;"_"&amp;tblTeamFixtures[[#This Row],[GW]]</f>
        <v>ARS_23</v>
      </c>
      <c r="L459">
        <f>IFERROR(INDEX(TEAM_ANALYSIS!$Y:$Y,MATCH($E459,TEAM_ANALYSIS!$A:$A,0)),1)</f>
        <v>1.2058823529411764</v>
      </c>
      <c r="M459">
        <f>IFERROR(INDEX(TEAM_ANALYSIS!$Z:$Z,MATCH($E459,TEAM_ANALYSIS!$A:$A,0)),1)</f>
        <v>0.61764705882352944</v>
      </c>
      <c r="N459">
        <f>IFERROR(INDEX(TEAM_ANALYSIS!$Y:$Y,MATCH($F459,TEAM_ANALYSIS!$A:$A,0)),1)</f>
        <v>1.3235294117647058</v>
      </c>
      <c r="O459">
        <f>IFERROR(INDEX(TEAM_ANALYSIS!$Z:$Z,MATCH($F459,TEAM_ANALYSIS!$A:$A,0)),1)</f>
        <v>0.73529411764705888</v>
      </c>
      <c r="P459">
        <f>MAX(0.05,AVERAGE(TEAM_ANALYSIS!$W$2:$W$21)*L459*O459)</f>
        <v>1.8841911764705883</v>
      </c>
      <c r="Q459">
        <f>MAX(0.05,AVERAGE(TEAM_ANALYSIS!$W$2:$W$21)*N459*M459)</f>
        <v>1.7371323529411766</v>
      </c>
      <c r="R459" s="23">
        <f>MAX(0.8,MIN(1.2,P459/AVERAGE(TEAM_ANALYSIS!$W$2:$W$21)))</f>
        <v>0.88667820069204151</v>
      </c>
      <c r="S459">
        <f>MAX(0.8,MIN(1.2,AVERAGE(TEAM_ANALYSIS!$W$2:$W$21)/Q459))</f>
        <v>1.2</v>
      </c>
      <c r="T459">
        <f>AVERAGE(R459,S459)</f>
        <v>1.0433391003460208</v>
      </c>
    </row>
    <row r="460" spans="1:20" x14ac:dyDescent="0.25">
      <c r="A460">
        <v>23</v>
      </c>
      <c r="B460" t="b">
        <v>0</v>
      </c>
      <c r="C460" s="6">
        <v>46417.625</v>
      </c>
      <c r="D460" t="b">
        <v>0</v>
      </c>
      <c r="E460">
        <v>5</v>
      </c>
      <c r="F460">
        <v>17</v>
      </c>
      <c r="G460">
        <v>3</v>
      </c>
      <c r="H460" t="s">
        <v>1111</v>
      </c>
      <c r="I460" t="s">
        <v>1076</v>
      </c>
      <c r="J460" t="s">
        <v>1100</v>
      </c>
      <c r="K460" t="str">
        <f>tblTeamFixtures[[#This Row],[Team_name]]&amp;"_"&amp;tblTeamFixtures[[#This Row],[GW]]</f>
        <v>BHA_23</v>
      </c>
      <c r="L460">
        <f>IFERROR(INDEX(TEAM_ANALYSIS!$Y:$Y,MATCH($E460,TEAM_ANALYSIS!$A:$A,0)),1)</f>
        <v>1.4411764705882353</v>
      </c>
      <c r="M460">
        <f>IFERROR(INDEX(TEAM_ANALYSIS!$Z:$Z,MATCH($E460,TEAM_ANALYSIS!$A:$A,0)),1)</f>
        <v>1.088235294117647</v>
      </c>
      <c r="N460">
        <f>IFERROR(INDEX(TEAM_ANALYSIS!$Y:$Y,MATCH($F460,TEAM_ANALYSIS!$A:$A,0)),1)</f>
        <v>1.2058823529411764</v>
      </c>
      <c r="O460">
        <f>IFERROR(INDEX(TEAM_ANALYSIS!$Z:$Z,MATCH($F460,TEAM_ANALYSIS!$A:$A,0)),1)</f>
        <v>0.97058823529411764</v>
      </c>
      <c r="P460">
        <f>MAX(0.05,AVERAGE(TEAM_ANALYSIS!$W$2:$W$21)*L460*O460)</f>
        <v>2.9724264705882351</v>
      </c>
      <c r="Q460">
        <f>MAX(0.05,AVERAGE(TEAM_ANALYSIS!$W$2:$W$21)*N460*M460)</f>
        <v>2.7886029411764706</v>
      </c>
      <c r="R460" s="23">
        <f>MAX(0.8,MIN(1.2,P460/AVERAGE(TEAM_ANALYSIS!$W$2:$W$21)))</f>
        <v>1.2</v>
      </c>
      <c r="S460">
        <f>MAX(0.8,MIN(1.2,AVERAGE(TEAM_ANALYSIS!$W$2:$W$21)/Q460))</f>
        <v>0.8</v>
      </c>
      <c r="T460">
        <f>AVERAGE(R460,S460)</f>
        <v>1</v>
      </c>
    </row>
    <row r="461" spans="1:20" x14ac:dyDescent="0.25">
      <c r="A461">
        <v>23</v>
      </c>
      <c r="B461" t="b">
        <v>0</v>
      </c>
      <c r="C461" s="6">
        <v>46417.625</v>
      </c>
      <c r="D461" t="b">
        <v>0</v>
      </c>
      <c r="E461">
        <v>20</v>
      </c>
      <c r="F461">
        <v>19</v>
      </c>
      <c r="G461">
        <v>3</v>
      </c>
      <c r="H461" t="s">
        <v>1111</v>
      </c>
      <c r="I461" t="s">
        <v>1106</v>
      </c>
      <c r="J461" t="s">
        <v>1104</v>
      </c>
      <c r="K461" t="str">
        <f>tblTeamFixtures[[#This Row],[Team_name]]&amp;"_"&amp;tblTeamFixtures[[#This Row],[GW]]</f>
        <v>SUN_23</v>
      </c>
      <c r="L461">
        <f>IFERROR(INDEX(TEAM_ANALYSIS!$Y:$Y,MATCH($E461,TEAM_ANALYSIS!$A:$A,0)),1)</f>
        <v>0.8529411764705882</v>
      </c>
      <c r="M461">
        <f>IFERROR(INDEX(TEAM_ANALYSIS!$Z:$Z,MATCH($E461,TEAM_ANALYSIS!$A:$A,0)),1)</f>
        <v>0.8529411764705882</v>
      </c>
      <c r="N461">
        <f>IFERROR(INDEX(TEAM_ANALYSIS!$Y:$Y,MATCH($F461,TEAM_ANALYSIS!$A:$A,0)),1)</f>
        <v>0.5</v>
      </c>
      <c r="O461">
        <f>IFERROR(INDEX(TEAM_ANALYSIS!$Z:$Z,MATCH($F461,TEAM_ANALYSIS!$A:$A,0)),1)</f>
        <v>1.088235294117647</v>
      </c>
      <c r="P461">
        <f>MAX(0.05,AVERAGE(TEAM_ANALYSIS!$W$2:$W$21)*L461*O461)</f>
        <v>1.9724264705882351</v>
      </c>
      <c r="Q461">
        <f>MAX(0.05,AVERAGE(TEAM_ANALYSIS!$W$2:$W$21)*N461*M461)</f>
        <v>0.90625</v>
      </c>
      <c r="R461" s="23">
        <f>MAX(0.8,MIN(1.2,P461/AVERAGE(TEAM_ANALYSIS!$W$2:$W$21)))</f>
        <v>0.92820069204152233</v>
      </c>
      <c r="S461">
        <f>MAX(0.8,MIN(1.2,AVERAGE(TEAM_ANALYSIS!$W$2:$W$21)/Q461))</f>
        <v>1.2</v>
      </c>
      <c r="T461">
        <f>AVERAGE(R461,S461)</f>
        <v>1.0641003460207612</v>
      </c>
    </row>
    <row r="462" spans="1:20" x14ac:dyDescent="0.25">
      <c r="A462">
        <v>24</v>
      </c>
      <c r="B462" t="b">
        <v>0</v>
      </c>
      <c r="C462" s="6">
        <v>46424.625</v>
      </c>
      <c r="D462" t="b">
        <v>0</v>
      </c>
      <c r="E462">
        <v>1</v>
      </c>
      <c r="F462">
        <v>14</v>
      </c>
      <c r="G462">
        <v>4</v>
      </c>
      <c r="H462" t="s">
        <v>1110</v>
      </c>
      <c r="I462" t="s">
        <v>1068</v>
      </c>
      <c r="J462" t="s">
        <v>1094</v>
      </c>
      <c r="K462" t="str">
        <f>tblTeamFixtures[[#This Row],[Team_name]]&amp;"_"&amp;tblTeamFixtures[[#This Row],[GW]]</f>
        <v>ARS_24</v>
      </c>
      <c r="L462">
        <f>IFERROR(INDEX(TEAM_ANALYSIS!$Y:$Y,MATCH($E462,TEAM_ANALYSIS!$A:$A,0)),1)</f>
        <v>1.2058823529411764</v>
      </c>
      <c r="M462">
        <f>IFERROR(INDEX(TEAM_ANALYSIS!$Z:$Z,MATCH($E462,TEAM_ANALYSIS!$A:$A,0)),1)</f>
        <v>0.61764705882352944</v>
      </c>
      <c r="N462">
        <f>IFERROR(INDEX(TEAM_ANALYSIS!$Y:$Y,MATCH($F462,TEAM_ANALYSIS!$A:$A,0)),1)</f>
        <v>1.2058823529411764</v>
      </c>
      <c r="O462">
        <f>IFERROR(INDEX(TEAM_ANALYSIS!$Z:$Z,MATCH($F462,TEAM_ANALYSIS!$A:$A,0)),1)</f>
        <v>0.97058823529411764</v>
      </c>
      <c r="P462">
        <f>MAX(0.05,AVERAGE(TEAM_ANALYSIS!$W$2:$W$21)*L462*O462)</f>
        <v>2.4871323529411766</v>
      </c>
      <c r="Q462">
        <f>MAX(0.05,AVERAGE(TEAM_ANALYSIS!$W$2:$W$21)*N462*M462)</f>
        <v>1.5827205882352942</v>
      </c>
      <c r="R462" s="23">
        <f>MAX(0.8,MIN(1.2,P462/AVERAGE(TEAM_ANALYSIS!$W$2:$W$21)))</f>
        <v>1.1704152249134949</v>
      </c>
      <c r="S462">
        <f>MAX(0.8,MIN(1.2,AVERAGE(TEAM_ANALYSIS!$W$2:$W$21)/Q462))</f>
        <v>1.2</v>
      </c>
      <c r="T462">
        <f>AVERAGE(R462,S462)</f>
        <v>1.1852076124567474</v>
      </c>
    </row>
    <row r="463" spans="1:20" x14ac:dyDescent="0.25">
      <c r="A463">
        <v>24</v>
      </c>
      <c r="B463" t="b">
        <v>0</v>
      </c>
      <c r="C463" s="6">
        <v>46424.625</v>
      </c>
      <c r="D463" t="b">
        <v>0</v>
      </c>
      <c r="E463">
        <v>5</v>
      </c>
      <c r="F463">
        <v>11</v>
      </c>
      <c r="G463">
        <v>2</v>
      </c>
      <c r="H463" t="s">
        <v>1110</v>
      </c>
      <c r="I463" t="s">
        <v>1076</v>
      </c>
      <c r="J463" t="s">
        <v>1088</v>
      </c>
      <c r="K463" t="str">
        <f>tblTeamFixtures[[#This Row],[Team_name]]&amp;"_"&amp;tblTeamFixtures[[#This Row],[GW]]</f>
        <v>BHA_24</v>
      </c>
      <c r="L463">
        <f>IFERROR(INDEX(TEAM_ANALYSIS!$Y:$Y,MATCH($E463,TEAM_ANALYSIS!$A:$A,0)),1)</f>
        <v>1.4411764705882353</v>
      </c>
      <c r="M463">
        <f>IFERROR(INDEX(TEAM_ANALYSIS!$Z:$Z,MATCH($E463,TEAM_ANALYSIS!$A:$A,0)),1)</f>
        <v>1.088235294117647</v>
      </c>
      <c r="N463">
        <f>IFERROR(INDEX(TEAM_ANALYSIS!$Y:$Y,MATCH($F463,TEAM_ANALYSIS!$A:$A,0)),1)</f>
        <v>0.8529411764705882</v>
      </c>
      <c r="O463">
        <f>IFERROR(INDEX(TEAM_ANALYSIS!$Z:$Z,MATCH($F463,TEAM_ANALYSIS!$A:$A,0)),1)</f>
        <v>0.5</v>
      </c>
      <c r="P463">
        <f>MAX(0.05,AVERAGE(TEAM_ANALYSIS!$W$2:$W$21)*L463*O463)</f>
        <v>1.53125</v>
      </c>
      <c r="Q463">
        <f>MAX(0.05,AVERAGE(TEAM_ANALYSIS!$W$2:$W$21)*N463*M463)</f>
        <v>1.9724264705882351</v>
      </c>
      <c r="R463" s="23">
        <f>MAX(0.8,MIN(1.2,P463/AVERAGE(TEAM_ANALYSIS!$W$2:$W$21)))</f>
        <v>0.8</v>
      </c>
      <c r="S463">
        <f>MAX(0.8,MIN(1.2,AVERAGE(TEAM_ANALYSIS!$W$2:$W$21)/Q463))</f>
        <v>1.07735321528425</v>
      </c>
      <c r="T463">
        <f>AVERAGE(R463,S463)</f>
        <v>0.93867660764212502</v>
      </c>
    </row>
    <row r="464" spans="1:20" x14ac:dyDescent="0.25">
      <c r="A464">
        <v>24</v>
      </c>
      <c r="B464" t="b">
        <v>0</v>
      </c>
      <c r="C464" s="6">
        <v>46424.625</v>
      </c>
      <c r="D464" t="b">
        <v>0</v>
      </c>
      <c r="E464">
        <v>8</v>
      </c>
      <c r="F464">
        <v>7</v>
      </c>
      <c r="G464">
        <v>2</v>
      </c>
      <c r="H464" t="s">
        <v>1110</v>
      </c>
      <c r="I464" t="s">
        <v>1082</v>
      </c>
      <c r="J464" t="s">
        <v>1080</v>
      </c>
      <c r="K464" t="str">
        <f>tblTeamFixtures[[#This Row],[Team_name]]&amp;"_"&amp;tblTeamFixtures[[#This Row],[GW]]</f>
        <v>CRY_24</v>
      </c>
      <c r="L464">
        <f>IFERROR(INDEX(TEAM_ANALYSIS!$Y:$Y,MATCH($E464,TEAM_ANALYSIS!$A:$A,0)),1)</f>
        <v>0.97058823529411764</v>
      </c>
      <c r="M464">
        <f>IFERROR(INDEX(TEAM_ANALYSIS!$Z:$Z,MATCH($E464,TEAM_ANALYSIS!$A:$A,0)),1)</f>
        <v>1.4411764705882353</v>
      </c>
      <c r="N464">
        <f>IFERROR(INDEX(TEAM_ANALYSIS!$Y:$Y,MATCH($F464,TEAM_ANALYSIS!$A:$A,0)),1)</f>
        <v>0.5</v>
      </c>
      <c r="O464">
        <f>IFERROR(INDEX(TEAM_ANALYSIS!$Z:$Z,MATCH($F464,TEAM_ANALYSIS!$A:$A,0)),1)</f>
        <v>1.088235294117647</v>
      </c>
      <c r="P464">
        <f>MAX(0.05,AVERAGE(TEAM_ANALYSIS!$W$2:$W$21)*L464*O464)</f>
        <v>2.2444852941176467</v>
      </c>
      <c r="Q464">
        <f>MAX(0.05,AVERAGE(TEAM_ANALYSIS!$W$2:$W$21)*N464*M464)</f>
        <v>1.53125</v>
      </c>
      <c r="R464" s="23">
        <f>MAX(0.8,MIN(1.2,P464/AVERAGE(TEAM_ANALYSIS!$W$2:$W$21)))</f>
        <v>1.0562283737024221</v>
      </c>
      <c r="S464">
        <f>MAX(0.8,MIN(1.2,AVERAGE(TEAM_ANALYSIS!$W$2:$W$21)/Q464))</f>
        <v>1.2</v>
      </c>
      <c r="T464">
        <f>AVERAGE(R464,S464)</f>
        <v>1.128114186851211</v>
      </c>
    </row>
    <row r="465" spans="1:20" x14ac:dyDescent="0.25">
      <c r="A465">
        <v>24</v>
      </c>
      <c r="B465" t="b">
        <v>0</v>
      </c>
      <c r="C465" s="6">
        <v>46424.625</v>
      </c>
      <c r="D465" t="b">
        <v>0</v>
      </c>
      <c r="E465">
        <v>9</v>
      </c>
      <c r="F465">
        <v>17</v>
      </c>
      <c r="G465">
        <v>2</v>
      </c>
      <c r="H465" t="s">
        <v>1110</v>
      </c>
      <c r="I465" t="s">
        <v>1084</v>
      </c>
      <c r="J465" t="s">
        <v>1100</v>
      </c>
      <c r="K465" t="str">
        <f>tblTeamFixtures[[#This Row],[Team_name]]&amp;"_"&amp;tblTeamFixtures[[#This Row],[GW]]</f>
        <v>EVE_24</v>
      </c>
      <c r="L465">
        <f>IFERROR(INDEX(TEAM_ANALYSIS!$Y:$Y,MATCH($E465,TEAM_ANALYSIS!$A:$A,0)),1)</f>
        <v>1.088235294117647</v>
      </c>
      <c r="M465">
        <f>IFERROR(INDEX(TEAM_ANALYSIS!$Z:$Z,MATCH($E465,TEAM_ANALYSIS!$A:$A,0)),1)</f>
        <v>0.8529411764705882</v>
      </c>
      <c r="N465">
        <f>IFERROR(INDEX(TEAM_ANALYSIS!$Y:$Y,MATCH($F465,TEAM_ANALYSIS!$A:$A,0)),1)</f>
        <v>1.2058823529411764</v>
      </c>
      <c r="O465">
        <f>IFERROR(INDEX(TEAM_ANALYSIS!$Z:$Z,MATCH($F465,TEAM_ANALYSIS!$A:$A,0)),1)</f>
        <v>0.97058823529411764</v>
      </c>
      <c r="P465">
        <f>MAX(0.05,AVERAGE(TEAM_ANALYSIS!$W$2:$W$21)*L465*O465)</f>
        <v>2.2444852941176472</v>
      </c>
      <c r="Q465">
        <f>MAX(0.05,AVERAGE(TEAM_ANALYSIS!$W$2:$W$21)*N465*M465)</f>
        <v>2.1856617647058822</v>
      </c>
      <c r="R465" s="23">
        <f>MAX(0.8,MIN(1.2,P465/AVERAGE(TEAM_ANALYSIS!$W$2:$W$21)))</f>
        <v>1.0562283737024223</v>
      </c>
      <c r="S465">
        <f>MAX(0.8,MIN(1.2,AVERAGE(TEAM_ANALYSIS!$W$2:$W$21)/Q465))</f>
        <v>0.9722455845248108</v>
      </c>
      <c r="T465">
        <f>AVERAGE(R465,S465)</f>
        <v>1.0142369791136165</v>
      </c>
    </row>
    <row r="466" spans="1:20" x14ac:dyDescent="0.25">
      <c r="A466">
        <v>24</v>
      </c>
      <c r="B466" t="b">
        <v>0</v>
      </c>
      <c r="C466" s="6">
        <v>46424.625</v>
      </c>
      <c r="D466" t="b">
        <v>0</v>
      </c>
      <c r="E466">
        <v>10</v>
      </c>
      <c r="F466">
        <v>15</v>
      </c>
      <c r="G466">
        <v>4</v>
      </c>
      <c r="H466" t="s">
        <v>1110</v>
      </c>
      <c r="I466" t="s">
        <v>1086</v>
      </c>
      <c r="J466" t="s">
        <v>1096</v>
      </c>
      <c r="K466" t="str">
        <f>tblTeamFixtures[[#This Row],[Team_name]]&amp;"_"&amp;tblTeamFixtures[[#This Row],[GW]]</f>
        <v>FUL_24</v>
      </c>
      <c r="L466">
        <f>IFERROR(INDEX(TEAM_ANALYSIS!$Y:$Y,MATCH($E466,TEAM_ANALYSIS!$A:$A,0)),1)</f>
        <v>0.97058823529411764</v>
      </c>
      <c r="M466">
        <f>IFERROR(INDEX(TEAM_ANALYSIS!$Z:$Z,MATCH($E466,TEAM_ANALYSIS!$A:$A,0)),1)</f>
        <v>1.3235294117647058</v>
      </c>
      <c r="N466">
        <f>IFERROR(INDEX(TEAM_ANALYSIS!$Y:$Y,MATCH($F466,TEAM_ANALYSIS!$A:$A,0)),1)</f>
        <v>1.3235294117647058</v>
      </c>
      <c r="O466">
        <f>IFERROR(INDEX(TEAM_ANALYSIS!$Z:$Z,MATCH($F466,TEAM_ANALYSIS!$A:$A,0)),1)</f>
        <v>0.73529411764705888</v>
      </c>
      <c r="P466">
        <f>MAX(0.05,AVERAGE(TEAM_ANALYSIS!$W$2:$W$21)*L466*O466)</f>
        <v>1.5165441176470589</v>
      </c>
      <c r="Q466">
        <f>MAX(0.05,AVERAGE(TEAM_ANALYSIS!$W$2:$W$21)*N466*M466)</f>
        <v>3.7224264705882351</v>
      </c>
      <c r="R466" s="23">
        <f>MAX(0.8,MIN(1.2,P466/AVERAGE(TEAM_ANALYSIS!$W$2:$W$21)))</f>
        <v>0.8</v>
      </c>
      <c r="S466">
        <f>MAX(0.8,MIN(1.2,AVERAGE(TEAM_ANALYSIS!$W$2:$W$21)/Q466))</f>
        <v>0.8</v>
      </c>
      <c r="T466">
        <f>AVERAGE(R466,S466)</f>
        <v>0.8</v>
      </c>
    </row>
    <row r="467" spans="1:20" x14ac:dyDescent="0.25">
      <c r="A467">
        <v>24</v>
      </c>
      <c r="B467" t="b">
        <v>0</v>
      </c>
      <c r="C467" s="6">
        <v>46424.625</v>
      </c>
      <c r="D467" t="b">
        <v>0</v>
      </c>
      <c r="E467">
        <v>12</v>
      </c>
      <c r="F467">
        <v>19</v>
      </c>
      <c r="G467">
        <v>3</v>
      </c>
      <c r="H467" t="s">
        <v>1110</v>
      </c>
      <c r="I467" t="s">
        <v>1090</v>
      </c>
      <c r="J467" t="s">
        <v>1104</v>
      </c>
      <c r="K467" t="str">
        <f>tblTeamFixtures[[#This Row],[Team_name]]&amp;"_"&amp;tblTeamFixtures[[#This Row],[GW]]</f>
        <v>IPS_24</v>
      </c>
      <c r="L467">
        <f>IFERROR(INDEX(TEAM_ANALYSIS!$Y:$Y,MATCH($E467,TEAM_ANALYSIS!$A:$A,0)),1)</f>
        <v>0.97058823529411764</v>
      </c>
      <c r="M467">
        <f>IFERROR(INDEX(TEAM_ANALYSIS!$Z:$Z,MATCH($E467,TEAM_ANALYSIS!$A:$A,0)),1)</f>
        <v>1.4411764705882353</v>
      </c>
      <c r="N467">
        <f>IFERROR(INDEX(TEAM_ANALYSIS!$Y:$Y,MATCH($F467,TEAM_ANALYSIS!$A:$A,0)),1)</f>
        <v>0.5</v>
      </c>
      <c r="O467">
        <f>IFERROR(INDEX(TEAM_ANALYSIS!$Z:$Z,MATCH($F467,TEAM_ANALYSIS!$A:$A,0)),1)</f>
        <v>1.088235294117647</v>
      </c>
      <c r="P467">
        <f>MAX(0.05,AVERAGE(TEAM_ANALYSIS!$W$2:$W$21)*L467*O467)</f>
        <v>2.2444852941176467</v>
      </c>
      <c r="Q467">
        <f>MAX(0.05,AVERAGE(TEAM_ANALYSIS!$W$2:$W$21)*N467*M467)</f>
        <v>1.53125</v>
      </c>
      <c r="R467" s="23">
        <f>MAX(0.8,MIN(1.2,P467/AVERAGE(TEAM_ANALYSIS!$W$2:$W$21)))</f>
        <v>1.0562283737024221</v>
      </c>
      <c r="S467">
        <f>MAX(0.8,MIN(1.2,AVERAGE(TEAM_ANALYSIS!$W$2:$W$21)/Q467))</f>
        <v>1.2</v>
      </c>
      <c r="T467">
        <f>AVERAGE(R467,S467)</f>
        <v>1.128114186851211</v>
      </c>
    </row>
    <row r="468" spans="1:20" x14ac:dyDescent="0.25">
      <c r="A468">
        <v>24</v>
      </c>
      <c r="B468" t="b">
        <v>0</v>
      </c>
      <c r="C468" s="6">
        <v>46424.625</v>
      </c>
      <c r="D468" t="b">
        <v>0</v>
      </c>
      <c r="E468">
        <v>13</v>
      </c>
      <c r="F468">
        <v>3</v>
      </c>
      <c r="G468">
        <v>3</v>
      </c>
      <c r="H468" t="s">
        <v>1110</v>
      </c>
      <c r="I468" t="s">
        <v>1092</v>
      </c>
      <c r="J468" t="s">
        <v>1072</v>
      </c>
      <c r="K468" t="str">
        <f>tblTeamFixtures[[#This Row],[Team_name]]&amp;"_"&amp;tblTeamFixtures[[#This Row],[GW]]</f>
        <v>LEE_24</v>
      </c>
      <c r="L468">
        <f>IFERROR(INDEX(TEAM_ANALYSIS!$Y:$Y,MATCH($E468,TEAM_ANALYSIS!$A:$A,0)),1)</f>
        <v>0.8529411764705882</v>
      </c>
      <c r="M468">
        <f>IFERROR(INDEX(TEAM_ANALYSIS!$Z:$Z,MATCH($E468,TEAM_ANALYSIS!$A:$A,0)),1)</f>
        <v>0.73529411764705888</v>
      </c>
      <c r="N468">
        <f>IFERROR(INDEX(TEAM_ANALYSIS!$Y:$Y,MATCH($F468,TEAM_ANALYSIS!$A:$A,0)),1)</f>
        <v>0.97058823529411764</v>
      </c>
      <c r="O468">
        <f>IFERROR(INDEX(TEAM_ANALYSIS!$Z:$Z,MATCH($F468,TEAM_ANALYSIS!$A:$A,0)),1)</f>
        <v>1.088235294117647</v>
      </c>
      <c r="P468">
        <f>MAX(0.05,AVERAGE(TEAM_ANALYSIS!$W$2:$W$21)*L468*O468)</f>
        <v>1.9724264705882351</v>
      </c>
      <c r="Q468">
        <f>MAX(0.05,AVERAGE(TEAM_ANALYSIS!$W$2:$W$21)*N468*M468)</f>
        <v>1.5165441176470589</v>
      </c>
      <c r="R468" s="23">
        <f>MAX(0.8,MIN(1.2,P468/AVERAGE(TEAM_ANALYSIS!$W$2:$W$21)))</f>
        <v>0.92820069204152233</v>
      </c>
      <c r="S468">
        <f>MAX(0.8,MIN(1.2,AVERAGE(TEAM_ANALYSIS!$W$2:$W$21)/Q468))</f>
        <v>1.2</v>
      </c>
      <c r="T468">
        <f>AVERAGE(R468,S468)</f>
        <v>1.0641003460207612</v>
      </c>
    </row>
    <row r="469" spans="1:20" x14ac:dyDescent="0.25">
      <c r="A469">
        <v>24</v>
      </c>
      <c r="B469" t="b">
        <v>0</v>
      </c>
      <c r="C469" s="6">
        <v>46424.625</v>
      </c>
      <c r="D469" t="b">
        <v>0</v>
      </c>
      <c r="E469">
        <v>16</v>
      </c>
      <c r="F469">
        <v>6</v>
      </c>
      <c r="G469">
        <v>4</v>
      </c>
      <c r="H469" t="s">
        <v>1110</v>
      </c>
      <c r="I469" t="s">
        <v>1098</v>
      </c>
      <c r="J469" t="s">
        <v>1078</v>
      </c>
      <c r="K469" t="str">
        <f>tblTeamFixtures[[#This Row],[Team_name]]&amp;"_"&amp;tblTeamFixtures[[#This Row],[GW]]</f>
        <v>MUN_24</v>
      </c>
      <c r="L469">
        <f>IFERROR(INDEX(TEAM_ANALYSIS!$Y:$Y,MATCH($E469,TEAM_ANALYSIS!$A:$A,0)),1)</f>
        <v>1.3235294117647058</v>
      </c>
      <c r="M469">
        <f>IFERROR(INDEX(TEAM_ANALYSIS!$Z:$Z,MATCH($E469,TEAM_ANALYSIS!$A:$A,0)),1)</f>
        <v>1.2058823529411764</v>
      </c>
      <c r="N469">
        <f>IFERROR(INDEX(TEAM_ANALYSIS!$Y:$Y,MATCH($F469,TEAM_ANALYSIS!$A:$A,0)),1)</f>
        <v>1.4411764705882353</v>
      </c>
      <c r="O469">
        <f>IFERROR(INDEX(TEAM_ANALYSIS!$Z:$Z,MATCH($F469,TEAM_ANALYSIS!$A:$A,0)),1)</f>
        <v>1.3235294117647058</v>
      </c>
      <c r="P469">
        <f>MAX(0.05,AVERAGE(TEAM_ANALYSIS!$W$2:$W$21)*L469*O469)</f>
        <v>3.7224264705882351</v>
      </c>
      <c r="Q469">
        <f>MAX(0.05,AVERAGE(TEAM_ANALYSIS!$W$2:$W$21)*N469*M469)</f>
        <v>3.6930147058823528</v>
      </c>
      <c r="R469" s="23">
        <f>MAX(0.8,MIN(1.2,P469/AVERAGE(TEAM_ANALYSIS!$W$2:$W$21)))</f>
        <v>1.2</v>
      </c>
      <c r="S469">
        <f>MAX(0.8,MIN(1.2,AVERAGE(TEAM_ANALYSIS!$W$2:$W$21)/Q469))</f>
        <v>0.8</v>
      </c>
      <c r="T469">
        <f>AVERAGE(R469,S469)</f>
        <v>1</v>
      </c>
    </row>
    <row r="470" spans="1:20" x14ac:dyDescent="0.25">
      <c r="A470">
        <v>24</v>
      </c>
      <c r="B470" t="b">
        <v>0</v>
      </c>
      <c r="C470" s="6">
        <v>46424.625</v>
      </c>
      <c r="D470" t="b">
        <v>0</v>
      </c>
      <c r="E470">
        <v>18</v>
      </c>
      <c r="F470">
        <v>4</v>
      </c>
      <c r="G470">
        <v>3</v>
      </c>
      <c r="H470" t="s">
        <v>1110</v>
      </c>
      <c r="I470" t="s">
        <v>1102</v>
      </c>
      <c r="J470" t="s">
        <v>1074</v>
      </c>
      <c r="K470" t="str">
        <f>tblTeamFixtures[[#This Row],[Team_name]]&amp;"_"&amp;tblTeamFixtures[[#This Row],[GW]]</f>
        <v>NFO_24</v>
      </c>
      <c r="L470">
        <f>IFERROR(INDEX(TEAM_ANALYSIS!$Y:$Y,MATCH($E470,TEAM_ANALYSIS!$A:$A,0)),1)</f>
        <v>0.73529411764705888</v>
      </c>
      <c r="M470">
        <f>IFERROR(INDEX(TEAM_ANALYSIS!$Z:$Z,MATCH($E470,TEAM_ANALYSIS!$A:$A,0)),1)</f>
        <v>0.8529411764705882</v>
      </c>
      <c r="N470">
        <f>IFERROR(INDEX(TEAM_ANALYSIS!$Y:$Y,MATCH($F470,TEAM_ANALYSIS!$A:$A,0)),1)</f>
        <v>1.088235294117647</v>
      </c>
      <c r="O470">
        <f>IFERROR(INDEX(TEAM_ANALYSIS!$Z:$Z,MATCH($F470,TEAM_ANALYSIS!$A:$A,0)),1)</f>
        <v>0.73529411764705888</v>
      </c>
      <c r="P470">
        <f>MAX(0.05,AVERAGE(TEAM_ANALYSIS!$W$2:$W$21)*L470*O470)</f>
        <v>1.1488970588235294</v>
      </c>
      <c r="Q470">
        <f>MAX(0.05,AVERAGE(TEAM_ANALYSIS!$W$2:$W$21)*N470*M470)</f>
        <v>1.9724264705882353</v>
      </c>
      <c r="R470" s="23">
        <f>MAX(0.8,MIN(1.2,P470/AVERAGE(TEAM_ANALYSIS!$W$2:$W$21)))</f>
        <v>0.8</v>
      </c>
      <c r="S470">
        <f>MAX(0.8,MIN(1.2,AVERAGE(TEAM_ANALYSIS!$W$2:$W$21)/Q470))</f>
        <v>1.0773532152842498</v>
      </c>
      <c r="T470">
        <f>AVERAGE(R470,S470)</f>
        <v>0.9386766076421249</v>
      </c>
    </row>
    <row r="471" spans="1:20" x14ac:dyDescent="0.25">
      <c r="A471">
        <v>24</v>
      </c>
      <c r="B471" t="b">
        <v>0</v>
      </c>
      <c r="C471" s="6">
        <v>46424.625</v>
      </c>
      <c r="D471" t="b">
        <v>0</v>
      </c>
      <c r="E471">
        <v>20</v>
      </c>
      <c r="F471">
        <v>2</v>
      </c>
      <c r="G471">
        <v>3</v>
      </c>
      <c r="H471" t="s">
        <v>1110</v>
      </c>
      <c r="I471" t="s">
        <v>1106</v>
      </c>
      <c r="J471" t="s">
        <v>1070</v>
      </c>
      <c r="K471" t="str">
        <f>tblTeamFixtures[[#This Row],[Team_name]]&amp;"_"&amp;tblTeamFixtures[[#This Row],[GW]]</f>
        <v>SUN_24</v>
      </c>
      <c r="L471">
        <f>IFERROR(INDEX(TEAM_ANALYSIS!$Y:$Y,MATCH($E471,TEAM_ANALYSIS!$A:$A,0)),1)</f>
        <v>0.8529411764705882</v>
      </c>
      <c r="M471">
        <f>IFERROR(INDEX(TEAM_ANALYSIS!$Z:$Z,MATCH($E471,TEAM_ANALYSIS!$A:$A,0)),1)</f>
        <v>0.8529411764705882</v>
      </c>
      <c r="N471">
        <f>IFERROR(INDEX(TEAM_ANALYSIS!$Y:$Y,MATCH($F471,TEAM_ANALYSIS!$A:$A,0)),1)</f>
        <v>0.5</v>
      </c>
      <c r="O471">
        <f>IFERROR(INDEX(TEAM_ANALYSIS!$Z:$Z,MATCH($F471,TEAM_ANALYSIS!$A:$A,0)),1)</f>
        <v>1.088235294117647</v>
      </c>
      <c r="P471">
        <f>MAX(0.05,AVERAGE(TEAM_ANALYSIS!$W$2:$W$21)*L471*O471)</f>
        <v>1.9724264705882351</v>
      </c>
      <c r="Q471">
        <f>MAX(0.05,AVERAGE(TEAM_ANALYSIS!$W$2:$W$21)*N471*M471)</f>
        <v>0.90625</v>
      </c>
      <c r="R471" s="23">
        <f>MAX(0.8,MIN(1.2,P471/AVERAGE(TEAM_ANALYSIS!$W$2:$W$21)))</f>
        <v>0.92820069204152233</v>
      </c>
      <c r="S471">
        <f>MAX(0.8,MIN(1.2,AVERAGE(TEAM_ANALYSIS!$W$2:$W$21)/Q471))</f>
        <v>1.2</v>
      </c>
      <c r="T471">
        <f>AVERAGE(R471,S471)</f>
        <v>1.0641003460207612</v>
      </c>
    </row>
    <row r="472" spans="1:20" x14ac:dyDescent="0.25">
      <c r="A472">
        <v>24</v>
      </c>
      <c r="B472" t="b">
        <v>0</v>
      </c>
      <c r="C472" s="6">
        <v>46424.625</v>
      </c>
      <c r="D472" t="b">
        <v>0</v>
      </c>
      <c r="E472">
        <v>14</v>
      </c>
      <c r="F472">
        <v>1</v>
      </c>
      <c r="G472">
        <v>5</v>
      </c>
      <c r="H472" t="s">
        <v>1111</v>
      </c>
      <c r="I472" t="s">
        <v>1094</v>
      </c>
      <c r="J472" t="s">
        <v>1068</v>
      </c>
      <c r="K472" t="str">
        <f>tblTeamFixtures[[#This Row],[Team_name]]&amp;"_"&amp;tblTeamFixtures[[#This Row],[GW]]</f>
        <v>LIV_24</v>
      </c>
      <c r="L472">
        <f>IFERROR(INDEX(TEAM_ANALYSIS!$Y:$Y,MATCH($E472,TEAM_ANALYSIS!$A:$A,0)),1)</f>
        <v>1.2058823529411764</v>
      </c>
      <c r="M472">
        <f>IFERROR(INDEX(TEAM_ANALYSIS!$Z:$Z,MATCH($E472,TEAM_ANALYSIS!$A:$A,0)),1)</f>
        <v>0.97058823529411764</v>
      </c>
      <c r="N472">
        <f>IFERROR(INDEX(TEAM_ANALYSIS!$Y:$Y,MATCH($F472,TEAM_ANALYSIS!$A:$A,0)),1)</f>
        <v>1.2058823529411764</v>
      </c>
      <c r="O472">
        <f>IFERROR(INDEX(TEAM_ANALYSIS!$Z:$Z,MATCH($F472,TEAM_ANALYSIS!$A:$A,0)),1)</f>
        <v>0.61764705882352944</v>
      </c>
      <c r="P472">
        <f>MAX(0.05,AVERAGE(TEAM_ANALYSIS!$W$2:$W$21)*L472*O472)</f>
        <v>1.5827205882352942</v>
      </c>
      <c r="Q472">
        <f>MAX(0.05,AVERAGE(TEAM_ANALYSIS!$W$2:$W$21)*N472*M472)</f>
        <v>2.4871323529411766</v>
      </c>
      <c r="R472" s="23">
        <f>MAX(0.8,MIN(1.2,P472/AVERAGE(TEAM_ANALYSIS!$W$2:$W$21)))</f>
        <v>0.8</v>
      </c>
      <c r="S472">
        <f>MAX(0.8,MIN(1.2,AVERAGE(TEAM_ANALYSIS!$W$2:$W$21)/Q472))</f>
        <v>0.85439763488543974</v>
      </c>
      <c r="T472">
        <f>AVERAGE(R472,S472)</f>
        <v>0.82719881744271984</v>
      </c>
    </row>
    <row r="473" spans="1:20" x14ac:dyDescent="0.25">
      <c r="A473">
        <v>24</v>
      </c>
      <c r="B473" t="b">
        <v>0</v>
      </c>
      <c r="C473" s="6">
        <v>46424.625</v>
      </c>
      <c r="D473" t="b">
        <v>0</v>
      </c>
      <c r="E473">
        <v>11</v>
      </c>
      <c r="F473">
        <v>5</v>
      </c>
      <c r="G473">
        <v>3</v>
      </c>
      <c r="H473" t="s">
        <v>1111</v>
      </c>
      <c r="I473" t="s">
        <v>1088</v>
      </c>
      <c r="J473" t="s">
        <v>1076</v>
      </c>
      <c r="K473" t="str">
        <f>tblTeamFixtures[[#This Row],[Team_name]]&amp;"_"&amp;tblTeamFixtures[[#This Row],[GW]]</f>
        <v>HUL_24</v>
      </c>
      <c r="L473">
        <f>IFERROR(INDEX(TEAM_ANALYSIS!$Y:$Y,MATCH($E473,TEAM_ANALYSIS!$A:$A,0)),1)</f>
        <v>0.8529411764705882</v>
      </c>
      <c r="M473">
        <f>IFERROR(INDEX(TEAM_ANALYSIS!$Z:$Z,MATCH($E473,TEAM_ANALYSIS!$A:$A,0)),1)</f>
        <v>0.5</v>
      </c>
      <c r="N473">
        <f>IFERROR(INDEX(TEAM_ANALYSIS!$Y:$Y,MATCH($F473,TEAM_ANALYSIS!$A:$A,0)),1)</f>
        <v>1.4411764705882353</v>
      </c>
      <c r="O473">
        <f>IFERROR(INDEX(TEAM_ANALYSIS!$Z:$Z,MATCH($F473,TEAM_ANALYSIS!$A:$A,0)),1)</f>
        <v>1.088235294117647</v>
      </c>
      <c r="P473">
        <f>MAX(0.05,AVERAGE(TEAM_ANALYSIS!$W$2:$W$21)*L473*O473)</f>
        <v>1.9724264705882351</v>
      </c>
      <c r="Q473">
        <f>MAX(0.05,AVERAGE(TEAM_ANALYSIS!$W$2:$W$21)*N473*M473)</f>
        <v>1.53125</v>
      </c>
      <c r="R473" s="23">
        <f>MAX(0.8,MIN(1.2,P473/AVERAGE(TEAM_ANALYSIS!$W$2:$W$21)))</f>
        <v>0.92820069204152233</v>
      </c>
      <c r="S473">
        <f>MAX(0.8,MIN(1.2,AVERAGE(TEAM_ANALYSIS!$W$2:$W$21)/Q473))</f>
        <v>1.2</v>
      </c>
      <c r="T473">
        <f>AVERAGE(R473,S473)</f>
        <v>1.0641003460207612</v>
      </c>
    </row>
    <row r="474" spans="1:20" x14ac:dyDescent="0.25">
      <c r="A474">
        <v>24</v>
      </c>
      <c r="B474" t="b">
        <v>0</v>
      </c>
      <c r="C474" s="6">
        <v>46424.625</v>
      </c>
      <c r="D474" t="b">
        <v>0</v>
      </c>
      <c r="E474">
        <v>7</v>
      </c>
      <c r="F474">
        <v>8</v>
      </c>
      <c r="G474">
        <v>3</v>
      </c>
      <c r="H474" t="s">
        <v>1111</v>
      </c>
      <c r="I474" t="s">
        <v>1080</v>
      </c>
      <c r="J474" t="s">
        <v>1082</v>
      </c>
      <c r="K474" t="str">
        <f>tblTeamFixtures[[#This Row],[Team_name]]&amp;"_"&amp;tblTeamFixtures[[#This Row],[GW]]</f>
        <v>COV_24</v>
      </c>
      <c r="L474">
        <f>IFERROR(INDEX(TEAM_ANALYSIS!$Y:$Y,MATCH($E474,TEAM_ANALYSIS!$A:$A,0)),1)</f>
        <v>0.5</v>
      </c>
      <c r="M474">
        <f>IFERROR(INDEX(TEAM_ANALYSIS!$Z:$Z,MATCH($E474,TEAM_ANALYSIS!$A:$A,0)),1)</f>
        <v>1.088235294117647</v>
      </c>
      <c r="N474">
        <f>IFERROR(INDEX(TEAM_ANALYSIS!$Y:$Y,MATCH($F474,TEAM_ANALYSIS!$A:$A,0)),1)</f>
        <v>0.97058823529411764</v>
      </c>
      <c r="O474">
        <f>IFERROR(INDEX(TEAM_ANALYSIS!$Z:$Z,MATCH($F474,TEAM_ANALYSIS!$A:$A,0)),1)</f>
        <v>1.4411764705882353</v>
      </c>
      <c r="P474">
        <f>MAX(0.05,AVERAGE(TEAM_ANALYSIS!$W$2:$W$21)*L474*O474)</f>
        <v>1.53125</v>
      </c>
      <c r="Q474">
        <f>MAX(0.05,AVERAGE(TEAM_ANALYSIS!$W$2:$W$21)*N474*M474)</f>
        <v>2.2444852941176467</v>
      </c>
      <c r="R474" s="23">
        <f>MAX(0.8,MIN(1.2,P474/AVERAGE(TEAM_ANALYSIS!$W$2:$W$21)))</f>
        <v>0.8</v>
      </c>
      <c r="S474">
        <f>MAX(0.8,MIN(1.2,AVERAGE(TEAM_ANALYSIS!$W$2:$W$21)/Q474))</f>
        <v>0.94676494676494694</v>
      </c>
      <c r="T474">
        <f>AVERAGE(R474,S474)</f>
        <v>0.87338247338247355</v>
      </c>
    </row>
    <row r="475" spans="1:20" x14ac:dyDescent="0.25">
      <c r="A475">
        <v>24</v>
      </c>
      <c r="B475" t="b">
        <v>0</v>
      </c>
      <c r="C475" s="6">
        <v>46424.625</v>
      </c>
      <c r="D475" t="b">
        <v>0</v>
      </c>
      <c r="E475">
        <v>17</v>
      </c>
      <c r="F475">
        <v>9</v>
      </c>
      <c r="G475">
        <v>3</v>
      </c>
      <c r="H475" t="s">
        <v>1111</v>
      </c>
      <c r="I475" t="s">
        <v>1100</v>
      </c>
      <c r="J475" t="s">
        <v>1084</v>
      </c>
      <c r="K475" t="str">
        <f>tblTeamFixtures[[#This Row],[Team_name]]&amp;"_"&amp;tblTeamFixtures[[#This Row],[GW]]</f>
        <v>NEW_24</v>
      </c>
      <c r="L475">
        <f>IFERROR(INDEX(TEAM_ANALYSIS!$Y:$Y,MATCH($E475,TEAM_ANALYSIS!$A:$A,0)),1)</f>
        <v>1.2058823529411764</v>
      </c>
      <c r="M475">
        <f>IFERROR(INDEX(TEAM_ANALYSIS!$Z:$Z,MATCH($E475,TEAM_ANALYSIS!$A:$A,0)),1)</f>
        <v>0.97058823529411764</v>
      </c>
      <c r="N475">
        <f>IFERROR(INDEX(TEAM_ANALYSIS!$Y:$Y,MATCH($F475,TEAM_ANALYSIS!$A:$A,0)),1)</f>
        <v>1.088235294117647</v>
      </c>
      <c r="O475">
        <f>IFERROR(INDEX(TEAM_ANALYSIS!$Z:$Z,MATCH($F475,TEAM_ANALYSIS!$A:$A,0)),1)</f>
        <v>0.8529411764705882</v>
      </c>
      <c r="P475">
        <f>MAX(0.05,AVERAGE(TEAM_ANALYSIS!$W$2:$W$21)*L475*O475)</f>
        <v>2.1856617647058822</v>
      </c>
      <c r="Q475">
        <f>MAX(0.05,AVERAGE(TEAM_ANALYSIS!$W$2:$W$21)*N475*M475)</f>
        <v>2.2444852941176472</v>
      </c>
      <c r="R475" s="23">
        <f>MAX(0.8,MIN(1.2,P475/AVERAGE(TEAM_ANALYSIS!$W$2:$W$21)))</f>
        <v>1.0285467128027681</v>
      </c>
      <c r="S475">
        <f>MAX(0.8,MIN(1.2,AVERAGE(TEAM_ANALYSIS!$W$2:$W$21)/Q475))</f>
        <v>0.94676494676494671</v>
      </c>
      <c r="T475">
        <f>AVERAGE(R475,S475)</f>
        <v>0.98765582978385735</v>
      </c>
    </row>
    <row r="476" spans="1:20" x14ac:dyDescent="0.25">
      <c r="A476">
        <v>24</v>
      </c>
      <c r="B476" t="b">
        <v>0</v>
      </c>
      <c r="C476" s="6">
        <v>46424.625</v>
      </c>
      <c r="D476" t="b">
        <v>0</v>
      </c>
      <c r="E476">
        <v>15</v>
      </c>
      <c r="F476">
        <v>10</v>
      </c>
      <c r="G476">
        <v>3</v>
      </c>
      <c r="H476" t="s">
        <v>1111</v>
      </c>
      <c r="I476" t="s">
        <v>1096</v>
      </c>
      <c r="J476" t="s">
        <v>1086</v>
      </c>
      <c r="K476" t="str">
        <f>tblTeamFixtures[[#This Row],[Team_name]]&amp;"_"&amp;tblTeamFixtures[[#This Row],[GW]]</f>
        <v>MCI_24</v>
      </c>
      <c r="L476">
        <f>IFERROR(INDEX(TEAM_ANALYSIS!$Y:$Y,MATCH($E476,TEAM_ANALYSIS!$A:$A,0)),1)</f>
        <v>1.3235294117647058</v>
      </c>
      <c r="M476">
        <f>IFERROR(INDEX(TEAM_ANALYSIS!$Z:$Z,MATCH($E476,TEAM_ANALYSIS!$A:$A,0)),1)</f>
        <v>0.73529411764705888</v>
      </c>
      <c r="N476">
        <f>IFERROR(INDEX(TEAM_ANALYSIS!$Y:$Y,MATCH($F476,TEAM_ANALYSIS!$A:$A,0)),1)</f>
        <v>0.97058823529411764</v>
      </c>
      <c r="O476">
        <f>IFERROR(INDEX(TEAM_ANALYSIS!$Z:$Z,MATCH($F476,TEAM_ANALYSIS!$A:$A,0)),1)</f>
        <v>1.3235294117647058</v>
      </c>
      <c r="P476">
        <f>MAX(0.05,AVERAGE(TEAM_ANALYSIS!$W$2:$W$21)*L476*O476)</f>
        <v>3.7224264705882351</v>
      </c>
      <c r="Q476">
        <f>MAX(0.05,AVERAGE(TEAM_ANALYSIS!$W$2:$W$21)*N476*M476)</f>
        <v>1.5165441176470589</v>
      </c>
      <c r="R476" s="23">
        <f>MAX(0.8,MIN(1.2,P476/AVERAGE(TEAM_ANALYSIS!$W$2:$W$21)))</f>
        <v>1.2</v>
      </c>
      <c r="S476">
        <f>MAX(0.8,MIN(1.2,AVERAGE(TEAM_ANALYSIS!$W$2:$W$21)/Q476))</f>
        <v>1.2</v>
      </c>
      <c r="T476">
        <f>AVERAGE(R476,S476)</f>
        <v>1.2</v>
      </c>
    </row>
    <row r="477" spans="1:20" x14ac:dyDescent="0.25">
      <c r="A477">
        <v>24</v>
      </c>
      <c r="B477" t="b">
        <v>0</v>
      </c>
      <c r="C477" s="6">
        <v>46424.625</v>
      </c>
      <c r="D477" t="b">
        <v>0</v>
      </c>
      <c r="E477">
        <v>19</v>
      </c>
      <c r="F477">
        <v>12</v>
      </c>
      <c r="G477">
        <v>2</v>
      </c>
      <c r="H477" t="s">
        <v>1111</v>
      </c>
      <c r="I477" t="s">
        <v>1104</v>
      </c>
      <c r="J477" t="s">
        <v>1090</v>
      </c>
      <c r="K477" t="str">
        <f>tblTeamFixtures[[#This Row],[Team_name]]&amp;"_"&amp;tblTeamFixtures[[#This Row],[GW]]</f>
        <v>TOT_24</v>
      </c>
      <c r="L477">
        <f>IFERROR(INDEX(TEAM_ANALYSIS!$Y:$Y,MATCH($E477,TEAM_ANALYSIS!$A:$A,0)),1)</f>
        <v>0.5</v>
      </c>
      <c r="M477">
        <f>IFERROR(INDEX(TEAM_ANALYSIS!$Z:$Z,MATCH($E477,TEAM_ANALYSIS!$A:$A,0)),1)</f>
        <v>1.088235294117647</v>
      </c>
      <c r="N477">
        <f>IFERROR(INDEX(TEAM_ANALYSIS!$Y:$Y,MATCH($F477,TEAM_ANALYSIS!$A:$A,0)),1)</f>
        <v>0.97058823529411764</v>
      </c>
      <c r="O477">
        <f>IFERROR(INDEX(TEAM_ANALYSIS!$Z:$Z,MATCH($F477,TEAM_ANALYSIS!$A:$A,0)),1)</f>
        <v>1.4411764705882353</v>
      </c>
      <c r="P477">
        <f>MAX(0.05,AVERAGE(TEAM_ANALYSIS!$W$2:$W$21)*L477*O477)</f>
        <v>1.53125</v>
      </c>
      <c r="Q477">
        <f>MAX(0.05,AVERAGE(TEAM_ANALYSIS!$W$2:$W$21)*N477*M477)</f>
        <v>2.2444852941176467</v>
      </c>
      <c r="R477" s="23">
        <f>MAX(0.8,MIN(1.2,P477/AVERAGE(TEAM_ANALYSIS!$W$2:$W$21)))</f>
        <v>0.8</v>
      </c>
      <c r="S477">
        <f>MAX(0.8,MIN(1.2,AVERAGE(TEAM_ANALYSIS!$W$2:$W$21)/Q477))</f>
        <v>0.94676494676494694</v>
      </c>
      <c r="T477">
        <f>AVERAGE(R477,S477)</f>
        <v>0.87338247338247355</v>
      </c>
    </row>
    <row r="478" spans="1:20" x14ac:dyDescent="0.25">
      <c r="A478">
        <v>24</v>
      </c>
      <c r="B478" t="b">
        <v>0</v>
      </c>
      <c r="C478" s="6">
        <v>46424.625</v>
      </c>
      <c r="D478" t="b">
        <v>0</v>
      </c>
      <c r="E478">
        <v>3</v>
      </c>
      <c r="F478">
        <v>13</v>
      </c>
      <c r="G478">
        <v>3</v>
      </c>
      <c r="H478" t="s">
        <v>1111</v>
      </c>
      <c r="I478" t="s">
        <v>1072</v>
      </c>
      <c r="J478" t="s">
        <v>1092</v>
      </c>
      <c r="K478" t="str">
        <f>tblTeamFixtures[[#This Row],[Team_name]]&amp;"_"&amp;tblTeamFixtures[[#This Row],[GW]]</f>
        <v>BOU_24</v>
      </c>
      <c r="L478">
        <f>IFERROR(INDEX(TEAM_ANALYSIS!$Y:$Y,MATCH($E478,TEAM_ANALYSIS!$A:$A,0)),1)</f>
        <v>0.97058823529411764</v>
      </c>
      <c r="M478">
        <f>IFERROR(INDEX(TEAM_ANALYSIS!$Z:$Z,MATCH($E478,TEAM_ANALYSIS!$A:$A,0)),1)</f>
        <v>1.088235294117647</v>
      </c>
      <c r="N478">
        <f>IFERROR(INDEX(TEAM_ANALYSIS!$Y:$Y,MATCH($F478,TEAM_ANALYSIS!$A:$A,0)),1)</f>
        <v>0.8529411764705882</v>
      </c>
      <c r="O478">
        <f>IFERROR(INDEX(TEAM_ANALYSIS!$Z:$Z,MATCH($F478,TEAM_ANALYSIS!$A:$A,0)),1)</f>
        <v>0.73529411764705888</v>
      </c>
      <c r="P478">
        <f>MAX(0.05,AVERAGE(TEAM_ANALYSIS!$W$2:$W$21)*L478*O478)</f>
        <v>1.5165441176470589</v>
      </c>
      <c r="Q478">
        <f>MAX(0.05,AVERAGE(TEAM_ANALYSIS!$W$2:$W$21)*N478*M478)</f>
        <v>1.9724264705882351</v>
      </c>
      <c r="R478" s="23">
        <f>MAX(0.8,MIN(1.2,P478/AVERAGE(TEAM_ANALYSIS!$W$2:$W$21)))</f>
        <v>0.8</v>
      </c>
      <c r="S478">
        <f>MAX(0.8,MIN(1.2,AVERAGE(TEAM_ANALYSIS!$W$2:$W$21)/Q478))</f>
        <v>1.07735321528425</v>
      </c>
      <c r="T478">
        <f>AVERAGE(R478,S478)</f>
        <v>0.93867660764212502</v>
      </c>
    </row>
    <row r="479" spans="1:20" x14ac:dyDescent="0.25">
      <c r="A479">
        <v>24</v>
      </c>
      <c r="B479" t="b">
        <v>0</v>
      </c>
      <c r="C479" s="6">
        <v>46424.625</v>
      </c>
      <c r="D479" t="b">
        <v>0</v>
      </c>
      <c r="E479">
        <v>6</v>
      </c>
      <c r="F479">
        <v>16</v>
      </c>
      <c r="G479">
        <v>4</v>
      </c>
      <c r="H479" t="s">
        <v>1111</v>
      </c>
      <c r="I479" t="s">
        <v>1078</v>
      </c>
      <c r="J479" t="s">
        <v>1098</v>
      </c>
      <c r="K479" t="str">
        <f>tblTeamFixtures[[#This Row],[Team_name]]&amp;"_"&amp;tblTeamFixtures[[#This Row],[GW]]</f>
        <v>CHE_24</v>
      </c>
      <c r="L479">
        <f>IFERROR(INDEX(TEAM_ANALYSIS!$Y:$Y,MATCH($E479,TEAM_ANALYSIS!$A:$A,0)),1)</f>
        <v>1.4411764705882353</v>
      </c>
      <c r="M479">
        <f>IFERROR(INDEX(TEAM_ANALYSIS!$Z:$Z,MATCH($E479,TEAM_ANALYSIS!$A:$A,0)),1)</f>
        <v>1.3235294117647058</v>
      </c>
      <c r="N479">
        <f>IFERROR(INDEX(TEAM_ANALYSIS!$Y:$Y,MATCH($F479,TEAM_ANALYSIS!$A:$A,0)),1)</f>
        <v>1.3235294117647058</v>
      </c>
      <c r="O479">
        <f>IFERROR(INDEX(TEAM_ANALYSIS!$Z:$Z,MATCH($F479,TEAM_ANALYSIS!$A:$A,0)),1)</f>
        <v>1.2058823529411764</v>
      </c>
      <c r="P479">
        <f>MAX(0.05,AVERAGE(TEAM_ANALYSIS!$W$2:$W$21)*L479*O479)</f>
        <v>3.6930147058823528</v>
      </c>
      <c r="Q479">
        <f>MAX(0.05,AVERAGE(TEAM_ANALYSIS!$W$2:$W$21)*N479*M479)</f>
        <v>3.7224264705882351</v>
      </c>
      <c r="R479" s="23">
        <f>MAX(0.8,MIN(1.2,P479/AVERAGE(TEAM_ANALYSIS!$W$2:$W$21)))</f>
        <v>1.2</v>
      </c>
      <c r="S479">
        <f>MAX(0.8,MIN(1.2,AVERAGE(TEAM_ANALYSIS!$W$2:$W$21)/Q479))</f>
        <v>0.8</v>
      </c>
      <c r="T479">
        <f>AVERAGE(R479,S479)</f>
        <v>1</v>
      </c>
    </row>
    <row r="480" spans="1:20" x14ac:dyDescent="0.25">
      <c r="A480">
        <v>24</v>
      </c>
      <c r="B480" t="b">
        <v>0</v>
      </c>
      <c r="C480" s="6">
        <v>46424.625</v>
      </c>
      <c r="D480" t="b">
        <v>0</v>
      </c>
      <c r="E480">
        <v>4</v>
      </c>
      <c r="F480">
        <v>18</v>
      </c>
      <c r="G480">
        <v>3</v>
      </c>
      <c r="H480" t="s">
        <v>1111</v>
      </c>
      <c r="I480" t="s">
        <v>1074</v>
      </c>
      <c r="J480" t="s">
        <v>1102</v>
      </c>
      <c r="K480" t="str">
        <f>tblTeamFixtures[[#This Row],[Team_name]]&amp;"_"&amp;tblTeamFixtures[[#This Row],[GW]]</f>
        <v>BRE_24</v>
      </c>
      <c r="L480">
        <f>IFERROR(INDEX(TEAM_ANALYSIS!$Y:$Y,MATCH($E480,TEAM_ANALYSIS!$A:$A,0)),1)</f>
        <v>1.088235294117647</v>
      </c>
      <c r="M480">
        <f>IFERROR(INDEX(TEAM_ANALYSIS!$Z:$Z,MATCH($E480,TEAM_ANALYSIS!$A:$A,0)),1)</f>
        <v>0.73529411764705888</v>
      </c>
      <c r="N480">
        <f>IFERROR(INDEX(TEAM_ANALYSIS!$Y:$Y,MATCH($F480,TEAM_ANALYSIS!$A:$A,0)),1)</f>
        <v>0.73529411764705888</v>
      </c>
      <c r="O480">
        <f>IFERROR(INDEX(TEAM_ANALYSIS!$Z:$Z,MATCH($F480,TEAM_ANALYSIS!$A:$A,0)),1)</f>
        <v>0.8529411764705882</v>
      </c>
      <c r="P480">
        <f>MAX(0.05,AVERAGE(TEAM_ANALYSIS!$W$2:$W$21)*L480*O480)</f>
        <v>1.9724264705882353</v>
      </c>
      <c r="Q480">
        <f>MAX(0.05,AVERAGE(TEAM_ANALYSIS!$W$2:$W$21)*N480*M480)</f>
        <v>1.1488970588235294</v>
      </c>
      <c r="R480" s="23">
        <f>MAX(0.8,MIN(1.2,P480/AVERAGE(TEAM_ANALYSIS!$W$2:$W$21)))</f>
        <v>0.92820069204152245</v>
      </c>
      <c r="S480">
        <f>MAX(0.8,MIN(1.2,AVERAGE(TEAM_ANALYSIS!$W$2:$W$21)/Q480))</f>
        <v>1.2</v>
      </c>
      <c r="T480">
        <f>AVERAGE(R480,S480)</f>
        <v>1.0641003460207612</v>
      </c>
    </row>
    <row r="481" spans="1:20" x14ac:dyDescent="0.25">
      <c r="A481">
        <v>24</v>
      </c>
      <c r="B481" t="b">
        <v>0</v>
      </c>
      <c r="C481" s="6">
        <v>46424.625</v>
      </c>
      <c r="D481" t="b">
        <v>0</v>
      </c>
      <c r="E481">
        <v>2</v>
      </c>
      <c r="F481">
        <v>20</v>
      </c>
      <c r="G481">
        <v>3</v>
      </c>
      <c r="H481" t="s">
        <v>1111</v>
      </c>
      <c r="I481" t="s">
        <v>1070</v>
      </c>
      <c r="J481" t="s">
        <v>1106</v>
      </c>
      <c r="K481" t="str">
        <f>tblTeamFixtures[[#This Row],[Team_name]]&amp;"_"&amp;tblTeamFixtures[[#This Row],[GW]]</f>
        <v>AVL_24</v>
      </c>
      <c r="L481">
        <f>IFERROR(INDEX(TEAM_ANALYSIS!$Y:$Y,MATCH($E481,TEAM_ANALYSIS!$A:$A,0)),1)</f>
        <v>0.5</v>
      </c>
      <c r="M481">
        <f>IFERROR(INDEX(TEAM_ANALYSIS!$Z:$Z,MATCH($E481,TEAM_ANALYSIS!$A:$A,0)),1)</f>
        <v>1.088235294117647</v>
      </c>
      <c r="N481">
        <f>IFERROR(INDEX(TEAM_ANALYSIS!$Y:$Y,MATCH($F481,TEAM_ANALYSIS!$A:$A,0)),1)</f>
        <v>0.8529411764705882</v>
      </c>
      <c r="O481">
        <f>IFERROR(INDEX(TEAM_ANALYSIS!$Z:$Z,MATCH($F481,TEAM_ANALYSIS!$A:$A,0)),1)</f>
        <v>0.8529411764705882</v>
      </c>
      <c r="P481">
        <f>MAX(0.05,AVERAGE(TEAM_ANALYSIS!$W$2:$W$21)*L481*O481)</f>
        <v>0.90625</v>
      </c>
      <c r="Q481">
        <f>MAX(0.05,AVERAGE(TEAM_ANALYSIS!$W$2:$W$21)*N481*M481)</f>
        <v>1.9724264705882351</v>
      </c>
      <c r="R481" s="23">
        <f>MAX(0.8,MIN(1.2,P481/AVERAGE(TEAM_ANALYSIS!$W$2:$W$21)))</f>
        <v>0.8</v>
      </c>
      <c r="S481">
        <f>MAX(0.8,MIN(1.2,AVERAGE(TEAM_ANALYSIS!$W$2:$W$21)/Q481))</f>
        <v>1.07735321528425</v>
      </c>
      <c r="T481">
        <f>AVERAGE(R481,S481)</f>
        <v>0.93867660764212502</v>
      </c>
    </row>
    <row r="482" spans="1:20" x14ac:dyDescent="0.25">
      <c r="A482">
        <v>25</v>
      </c>
      <c r="B482" t="b">
        <v>0</v>
      </c>
      <c r="C482" s="6">
        <v>46428.833333333336</v>
      </c>
      <c r="D482" t="b">
        <v>0</v>
      </c>
      <c r="E482">
        <v>2</v>
      </c>
      <c r="F482">
        <v>3</v>
      </c>
      <c r="G482">
        <v>3</v>
      </c>
      <c r="H482" t="s">
        <v>1110</v>
      </c>
      <c r="I482" t="s">
        <v>1070</v>
      </c>
      <c r="J482" t="s">
        <v>1072</v>
      </c>
      <c r="K482" t="str">
        <f>tblTeamFixtures[[#This Row],[Team_name]]&amp;"_"&amp;tblTeamFixtures[[#This Row],[GW]]</f>
        <v>AVL_25</v>
      </c>
      <c r="L482">
        <f>IFERROR(INDEX(TEAM_ANALYSIS!$Y:$Y,MATCH($E482,TEAM_ANALYSIS!$A:$A,0)),1)</f>
        <v>0.5</v>
      </c>
      <c r="M482">
        <f>IFERROR(INDEX(TEAM_ANALYSIS!$Z:$Z,MATCH($E482,TEAM_ANALYSIS!$A:$A,0)),1)</f>
        <v>1.088235294117647</v>
      </c>
      <c r="N482">
        <f>IFERROR(INDEX(TEAM_ANALYSIS!$Y:$Y,MATCH($F482,TEAM_ANALYSIS!$A:$A,0)),1)</f>
        <v>0.97058823529411764</v>
      </c>
      <c r="O482">
        <f>IFERROR(INDEX(TEAM_ANALYSIS!$Z:$Z,MATCH($F482,TEAM_ANALYSIS!$A:$A,0)),1)</f>
        <v>1.088235294117647</v>
      </c>
      <c r="P482">
        <f>MAX(0.05,AVERAGE(TEAM_ANALYSIS!$W$2:$W$21)*L482*O482)</f>
        <v>1.15625</v>
      </c>
      <c r="Q482">
        <f>MAX(0.05,AVERAGE(TEAM_ANALYSIS!$W$2:$W$21)*N482*M482)</f>
        <v>2.2444852941176467</v>
      </c>
      <c r="R482" s="23">
        <f>MAX(0.8,MIN(1.2,P482/AVERAGE(TEAM_ANALYSIS!$W$2:$W$21)))</f>
        <v>0.8</v>
      </c>
      <c r="S482">
        <f>MAX(0.8,MIN(1.2,AVERAGE(TEAM_ANALYSIS!$W$2:$W$21)/Q482))</f>
        <v>0.94676494676494694</v>
      </c>
      <c r="T482">
        <f>AVERAGE(R482,S482)</f>
        <v>0.87338247338247355</v>
      </c>
    </row>
    <row r="483" spans="1:20" x14ac:dyDescent="0.25">
      <c r="A483">
        <v>25</v>
      </c>
      <c r="B483" t="b">
        <v>0</v>
      </c>
      <c r="C483" s="6">
        <v>46428.833333333336</v>
      </c>
      <c r="D483" t="b">
        <v>0</v>
      </c>
      <c r="E483">
        <v>7</v>
      </c>
      <c r="F483">
        <v>14</v>
      </c>
      <c r="G483">
        <v>4</v>
      </c>
      <c r="H483" t="s">
        <v>1110</v>
      </c>
      <c r="I483" t="s">
        <v>1080</v>
      </c>
      <c r="J483" t="s">
        <v>1094</v>
      </c>
      <c r="K483" t="str">
        <f>tblTeamFixtures[[#This Row],[Team_name]]&amp;"_"&amp;tblTeamFixtures[[#This Row],[GW]]</f>
        <v>COV_25</v>
      </c>
      <c r="L483">
        <f>IFERROR(INDEX(TEAM_ANALYSIS!$Y:$Y,MATCH($E483,TEAM_ANALYSIS!$A:$A,0)),1)</f>
        <v>0.5</v>
      </c>
      <c r="M483">
        <f>IFERROR(INDEX(TEAM_ANALYSIS!$Z:$Z,MATCH($E483,TEAM_ANALYSIS!$A:$A,0)),1)</f>
        <v>1.088235294117647</v>
      </c>
      <c r="N483">
        <f>IFERROR(INDEX(TEAM_ANALYSIS!$Y:$Y,MATCH($F483,TEAM_ANALYSIS!$A:$A,0)),1)</f>
        <v>1.2058823529411764</v>
      </c>
      <c r="O483">
        <f>IFERROR(INDEX(TEAM_ANALYSIS!$Z:$Z,MATCH($F483,TEAM_ANALYSIS!$A:$A,0)),1)</f>
        <v>0.97058823529411764</v>
      </c>
      <c r="P483">
        <f>MAX(0.05,AVERAGE(TEAM_ANALYSIS!$W$2:$W$21)*L483*O483)</f>
        <v>1.03125</v>
      </c>
      <c r="Q483">
        <f>MAX(0.05,AVERAGE(TEAM_ANALYSIS!$W$2:$W$21)*N483*M483)</f>
        <v>2.7886029411764706</v>
      </c>
      <c r="R483" s="23">
        <f>MAX(0.8,MIN(1.2,P483/AVERAGE(TEAM_ANALYSIS!$W$2:$W$21)))</f>
        <v>0.8</v>
      </c>
      <c r="S483">
        <f>MAX(0.8,MIN(1.2,AVERAGE(TEAM_ANALYSIS!$W$2:$W$21)/Q483))</f>
        <v>0.8</v>
      </c>
      <c r="T483">
        <f>AVERAGE(R483,S483)</f>
        <v>0.8</v>
      </c>
    </row>
    <row r="484" spans="1:20" x14ac:dyDescent="0.25">
      <c r="A484">
        <v>25</v>
      </c>
      <c r="B484" t="b">
        <v>0</v>
      </c>
      <c r="C484" s="6">
        <v>46428.833333333336</v>
      </c>
      <c r="D484" t="b">
        <v>0</v>
      </c>
      <c r="E484">
        <v>8</v>
      </c>
      <c r="F484">
        <v>4</v>
      </c>
      <c r="G484">
        <v>3</v>
      </c>
      <c r="H484" t="s">
        <v>1110</v>
      </c>
      <c r="I484" t="s">
        <v>1082</v>
      </c>
      <c r="J484" t="s">
        <v>1074</v>
      </c>
      <c r="K484" t="str">
        <f>tblTeamFixtures[[#This Row],[Team_name]]&amp;"_"&amp;tblTeamFixtures[[#This Row],[GW]]</f>
        <v>CRY_25</v>
      </c>
      <c r="L484">
        <f>IFERROR(INDEX(TEAM_ANALYSIS!$Y:$Y,MATCH($E484,TEAM_ANALYSIS!$A:$A,0)),1)</f>
        <v>0.97058823529411764</v>
      </c>
      <c r="M484">
        <f>IFERROR(INDEX(TEAM_ANALYSIS!$Z:$Z,MATCH($E484,TEAM_ANALYSIS!$A:$A,0)),1)</f>
        <v>1.4411764705882353</v>
      </c>
      <c r="N484">
        <f>IFERROR(INDEX(TEAM_ANALYSIS!$Y:$Y,MATCH($F484,TEAM_ANALYSIS!$A:$A,0)),1)</f>
        <v>1.088235294117647</v>
      </c>
      <c r="O484">
        <f>IFERROR(INDEX(TEAM_ANALYSIS!$Z:$Z,MATCH($F484,TEAM_ANALYSIS!$A:$A,0)),1)</f>
        <v>0.73529411764705888</v>
      </c>
      <c r="P484">
        <f>MAX(0.05,AVERAGE(TEAM_ANALYSIS!$W$2:$W$21)*L484*O484)</f>
        <v>1.5165441176470589</v>
      </c>
      <c r="Q484">
        <f>MAX(0.05,AVERAGE(TEAM_ANALYSIS!$W$2:$W$21)*N484*M484)</f>
        <v>3.3327205882352939</v>
      </c>
      <c r="R484" s="23">
        <f>MAX(0.8,MIN(1.2,P484/AVERAGE(TEAM_ANALYSIS!$W$2:$W$21)))</f>
        <v>0.8</v>
      </c>
      <c r="S484">
        <f>MAX(0.8,MIN(1.2,AVERAGE(TEAM_ANALYSIS!$W$2:$W$21)/Q484))</f>
        <v>0.8</v>
      </c>
      <c r="T484">
        <f>AVERAGE(R484,S484)</f>
        <v>0.8</v>
      </c>
    </row>
    <row r="485" spans="1:20" x14ac:dyDescent="0.25">
      <c r="A485">
        <v>25</v>
      </c>
      <c r="B485" t="b">
        <v>0</v>
      </c>
      <c r="C485" s="6">
        <v>46428.833333333336</v>
      </c>
      <c r="D485" t="b">
        <v>0</v>
      </c>
      <c r="E485">
        <v>9</v>
      </c>
      <c r="F485">
        <v>13</v>
      </c>
      <c r="G485">
        <v>2</v>
      </c>
      <c r="H485" t="s">
        <v>1110</v>
      </c>
      <c r="I485" t="s">
        <v>1084</v>
      </c>
      <c r="J485" t="s">
        <v>1092</v>
      </c>
      <c r="K485" t="str">
        <f>tblTeamFixtures[[#This Row],[Team_name]]&amp;"_"&amp;tblTeamFixtures[[#This Row],[GW]]</f>
        <v>EVE_25</v>
      </c>
      <c r="L485">
        <f>IFERROR(INDEX(TEAM_ANALYSIS!$Y:$Y,MATCH($E485,TEAM_ANALYSIS!$A:$A,0)),1)</f>
        <v>1.088235294117647</v>
      </c>
      <c r="M485">
        <f>IFERROR(INDEX(TEAM_ANALYSIS!$Z:$Z,MATCH($E485,TEAM_ANALYSIS!$A:$A,0)),1)</f>
        <v>0.8529411764705882</v>
      </c>
      <c r="N485">
        <f>IFERROR(INDEX(TEAM_ANALYSIS!$Y:$Y,MATCH($F485,TEAM_ANALYSIS!$A:$A,0)),1)</f>
        <v>0.8529411764705882</v>
      </c>
      <c r="O485">
        <f>IFERROR(INDEX(TEAM_ANALYSIS!$Z:$Z,MATCH($F485,TEAM_ANALYSIS!$A:$A,0)),1)</f>
        <v>0.73529411764705888</v>
      </c>
      <c r="P485">
        <f>MAX(0.05,AVERAGE(TEAM_ANALYSIS!$W$2:$W$21)*L485*O485)</f>
        <v>1.7003676470588236</v>
      </c>
      <c r="Q485">
        <f>MAX(0.05,AVERAGE(TEAM_ANALYSIS!$W$2:$W$21)*N485*M485)</f>
        <v>1.5459558823529411</v>
      </c>
      <c r="R485" s="23">
        <f>MAX(0.8,MIN(1.2,P485/AVERAGE(TEAM_ANALYSIS!$W$2:$W$21)))</f>
        <v>0.80017301038062283</v>
      </c>
      <c r="S485">
        <f>MAX(0.8,MIN(1.2,AVERAGE(TEAM_ANALYSIS!$W$2:$W$21)/Q485))</f>
        <v>1.2</v>
      </c>
      <c r="T485">
        <f>AVERAGE(R485,S485)</f>
        <v>1.0000865051903114</v>
      </c>
    </row>
    <row r="486" spans="1:20" x14ac:dyDescent="0.25">
      <c r="A486">
        <v>25</v>
      </c>
      <c r="B486" t="b">
        <v>0</v>
      </c>
      <c r="C486" s="6">
        <v>46428.833333333336</v>
      </c>
      <c r="D486" t="b">
        <v>0</v>
      </c>
      <c r="E486">
        <v>10</v>
      </c>
      <c r="F486">
        <v>18</v>
      </c>
      <c r="G486">
        <v>3</v>
      </c>
      <c r="H486" t="s">
        <v>1110</v>
      </c>
      <c r="I486" t="s">
        <v>1086</v>
      </c>
      <c r="J486" t="s">
        <v>1102</v>
      </c>
      <c r="K486" t="str">
        <f>tblTeamFixtures[[#This Row],[Team_name]]&amp;"_"&amp;tblTeamFixtures[[#This Row],[GW]]</f>
        <v>FUL_25</v>
      </c>
      <c r="L486">
        <f>IFERROR(INDEX(TEAM_ANALYSIS!$Y:$Y,MATCH($E486,TEAM_ANALYSIS!$A:$A,0)),1)</f>
        <v>0.97058823529411764</v>
      </c>
      <c r="M486">
        <f>IFERROR(INDEX(TEAM_ANALYSIS!$Z:$Z,MATCH($E486,TEAM_ANALYSIS!$A:$A,0)),1)</f>
        <v>1.3235294117647058</v>
      </c>
      <c r="N486">
        <f>IFERROR(INDEX(TEAM_ANALYSIS!$Y:$Y,MATCH($F486,TEAM_ANALYSIS!$A:$A,0)),1)</f>
        <v>0.73529411764705888</v>
      </c>
      <c r="O486">
        <f>IFERROR(INDEX(TEAM_ANALYSIS!$Z:$Z,MATCH($F486,TEAM_ANALYSIS!$A:$A,0)),1)</f>
        <v>0.8529411764705882</v>
      </c>
      <c r="P486">
        <f>MAX(0.05,AVERAGE(TEAM_ANALYSIS!$W$2:$W$21)*L486*O486)</f>
        <v>1.7591911764705881</v>
      </c>
      <c r="Q486">
        <f>MAX(0.05,AVERAGE(TEAM_ANALYSIS!$W$2:$W$21)*N486*M486)</f>
        <v>2.0680147058823528</v>
      </c>
      <c r="R486" s="23">
        <f>MAX(0.8,MIN(1.2,P486/AVERAGE(TEAM_ANALYSIS!$W$2:$W$21)))</f>
        <v>0.82785467128027679</v>
      </c>
      <c r="S486">
        <f>MAX(0.8,MIN(1.2,AVERAGE(TEAM_ANALYSIS!$W$2:$W$21)/Q486))</f>
        <v>1.0275555555555556</v>
      </c>
      <c r="T486">
        <f>AVERAGE(R486,S486)</f>
        <v>0.92770511341791617</v>
      </c>
    </row>
    <row r="487" spans="1:20" x14ac:dyDescent="0.25">
      <c r="A487">
        <v>25</v>
      </c>
      <c r="B487" t="b">
        <v>0</v>
      </c>
      <c r="C487" s="6">
        <v>46428.833333333336</v>
      </c>
      <c r="D487" t="b">
        <v>0</v>
      </c>
      <c r="E487">
        <v>11</v>
      </c>
      <c r="F487">
        <v>20</v>
      </c>
      <c r="G487">
        <v>2</v>
      </c>
      <c r="H487" t="s">
        <v>1110</v>
      </c>
      <c r="I487" t="s">
        <v>1088</v>
      </c>
      <c r="J487" t="s">
        <v>1106</v>
      </c>
      <c r="K487" t="str">
        <f>tblTeamFixtures[[#This Row],[Team_name]]&amp;"_"&amp;tblTeamFixtures[[#This Row],[GW]]</f>
        <v>HUL_25</v>
      </c>
      <c r="L487">
        <f>IFERROR(INDEX(TEAM_ANALYSIS!$Y:$Y,MATCH($E487,TEAM_ANALYSIS!$A:$A,0)),1)</f>
        <v>0.8529411764705882</v>
      </c>
      <c r="M487">
        <f>IFERROR(INDEX(TEAM_ANALYSIS!$Z:$Z,MATCH($E487,TEAM_ANALYSIS!$A:$A,0)),1)</f>
        <v>0.5</v>
      </c>
      <c r="N487">
        <f>IFERROR(INDEX(TEAM_ANALYSIS!$Y:$Y,MATCH($F487,TEAM_ANALYSIS!$A:$A,0)),1)</f>
        <v>0.8529411764705882</v>
      </c>
      <c r="O487">
        <f>IFERROR(INDEX(TEAM_ANALYSIS!$Z:$Z,MATCH($F487,TEAM_ANALYSIS!$A:$A,0)),1)</f>
        <v>0.8529411764705882</v>
      </c>
      <c r="P487">
        <f>MAX(0.05,AVERAGE(TEAM_ANALYSIS!$W$2:$W$21)*L487*O487)</f>
        <v>1.5459558823529411</v>
      </c>
      <c r="Q487">
        <f>MAX(0.05,AVERAGE(TEAM_ANALYSIS!$W$2:$W$21)*N487*M487)</f>
        <v>0.90625</v>
      </c>
      <c r="R487" s="23">
        <f>MAX(0.8,MIN(1.2,P487/AVERAGE(TEAM_ANALYSIS!$W$2:$W$21)))</f>
        <v>0.8</v>
      </c>
      <c r="S487">
        <f>MAX(0.8,MIN(1.2,AVERAGE(TEAM_ANALYSIS!$W$2:$W$21)/Q487))</f>
        <v>1.2</v>
      </c>
      <c r="T487">
        <f>AVERAGE(R487,S487)</f>
        <v>1</v>
      </c>
    </row>
    <row r="488" spans="1:20" x14ac:dyDescent="0.25">
      <c r="A488">
        <v>25</v>
      </c>
      <c r="B488" t="b">
        <v>0</v>
      </c>
      <c r="C488" s="6">
        <v>46428.833333333336</v>
      </c>
      <c r="D488" t="b">
        <v>0</v>
      </c>
      <c r="E488">
        <v>12</v>
      </c>
      <c r="F488">
        <v>1</v>
      </c>
      <c r="G488">
        <v>4</v>
      </c>
      <c r="H488" t="s">
        <v>1110</v>
      </c>
      <c r="I488" t="s">
        <v>1090</v>
      </c>
      <c r="J488" t="s">
        <v>1068</v>
      </c>
      <c r="K488" t="str">
        <f>tblTeamFixtures[[#This Row],[Team_name]]&amp;"_"&amp;tblTeamFixtures[[#This Row],[GW]]</f>
        <v>IPS_25</v>
      </c>
      <c r="L488">
        <f>IFERROR(INDEX(TEAM_ANALYSIS!$Y:$Y,MATCH($E488,TEAM_ANALYSIS!$A:$A,0)),1)</f>
        <v>0.97058823529411764</v>
      </c>
      <c r="M488">
        <f>IFERROR(INDEX(TEAM_ANALYSIS!$Z:$Z,MATCH($E488,TEAM_ANALYSIS!$A:$A,0)),1)</f>
        <v>1.4411764705882353</v>
      </c>
      <c r="N488">
        <f>IFERROR(INDEX(TEAM_ANALYSIS!$Y:$Y,MATCH($F488,TEAM_ANALYSIS!$A:$A,0)),1)</f>
        <v>1.2058823529411764</v>
      </c>
      <c r="O488">
        <f>IFERROR(INDEX(TEAM_ANALYSIS!$Z:$Z,MATCH($F488,TEAM_ANALYSIS!$A:$A,0)),1)</f>
        <v>0.61764705882352944</v>
      </c>
      <c r="P488">
        <f>MAX(0.05,AVERAGE(TEAM_ANALYSIS!$W$2:$W$21)*L488*O488)</f>
        <v>1.2738970588235294</v>
      </c>
      <c r="Q488">
        <f>MAX(0.05,AVERAGE(TEAM_ANALYSIS!$W$2:$W$21)*N488*M488)</f>
        <v>3.6930147058823528</v>
      </c>
      <c r="R488" s="23">
        <f>MAX(0.8,MIN(1.2,P488/AVERAGE(TEAM_ANALYSIS!$W$2:$W$21)))</f>
        <v>0.8</v>
      </c>
      <c r="S488">
        <f>MAX(0.8,MIN(1.2,AVERAGE(TEAM_ANALYSIS!$W$2:$W$21)/Q488))</f>
        <v>0.8</v>
      </c>
      <c r="T488">
        <f>AVERAGE(R488,S488)</f>
        <v>0.8</v>
      </c>
    </row>
    <row r="489" spans="1:20" x14ac:dyDescent="0.25">
      <c r="A489">
        <v>25</v>
      </c>
      <c r="B489" t="b">
        <v>0</v>
      </c>
      <c r="C489" s="6">
        <v>46428.833333333336</v>
      </c>
      <c r="D489" t="b">
        <v>0</v>
      </c>
      <c r="E489">
        <v>16</v>
      </c>
      <c r="F489">
        <v>5</v>
      </c>
      <c r="G489">
        <v>2</v>
      </c>
      <c r="H489" t="s">
        <v>1110</v>
      </c>
      <c r="I489" t="s">
        <v>1098</v>
      </c>
      <c r="J489" t="s">
        <v>1076</v>
      </c>
      <c r="K489" t="str">
        <f>tblTeamFixtures[[#This Row],[Team_name]]&amp;"_"&amp;tblTeamFixtures[[#This Row],[GW]]</f>
        <v>MUN_25</v>
      </c>
      <c r="L489">
        <f>IFERROR(INDEX(TEAM_ANALYSIS!$Y:$Y,MATCH($E489,TEAM_ANALYSIS!$A:$A,0)),1)</f>
        <v>1.3235294117647058</v>
      </c>
      <c r="M489">
        <f>IFERROR(INDEX(TEAM_ANALYSIS!$Z:$Z,MATCH($E489,TEAM_ANALYSIS!$A:$A,0)),1)</f>
        <v>1.2058823529411764</v>
      </c>
      <c r="N489">
        <f>IFERROR(INDEX(TEAM_ANALYSIS!$Y:$Y,MATCH($F489,TEAM_ANALYSIS!$A:$A,0)),1)</f>
        <v>1.4411764705882353</v>
      </c>
      <c r="O489">
        <f>IFERROR(INDEX(TEAM_ANALYSIS!$Z:$Z,MATCH($F489,TEAM_ANALYSIS!$A:$A,0)),1)</f>
        <v>1.088235294117647</v>
      </c>
      <c r="P489">
        <f>MAX(0.05,AVERAGE(TEAM_ANALYSIS!$W$2:$W$21)*L489*O489)</f>
        <v>3.0606617647058822</v>
      </c>
      <c r="Q489">
        <f>MAX(0.05,AVERAGE(TEAM_ANALYSIS!$W$2:$W$21)*N489*M489)</f>
        <v>3.6930147058823528</v>
      </c>
      <c r="R489" s="23">
        <f>MAX(0.8,MIN(1.2,P489/AVERAGE(TEAM_ANALYSIS!$W$2:$W$21)))</f>
        <v>1.2</v>
      </c>
      <c r="S489">
        <f>MAX(0.8,MIN(1.2,AVERAGE(TEAM_ANALYSIS!$W$2:$W$21)/Q489))</f>
        <v>0.8</v>
      </c>
      <c r="T489">
        <f>AVERAGE(R489,S489)</f>
        <v>1</v>
      </c>
    </row>
    <row r="490" spans="1:20" x14ac:dyDescent="0.25">
      <c r="A490">
        <v>25</v>
      </c>
      <c r="B490" t="b">
        <v>0</v>
      </c>
      <c r="C490" s="6">
        <v>46428.833333333336</v>
      </c>
      <c r="D490" t="b">
        <v>0</v>
      </c>
      <c r="E490">
        <v>17</v>
      </c>
      <c r="F490">
        <v>6</v>
      </c>
      <c r="G490">
        <v>4</v>
      </c>
      <c r="H490" t="s">
        <v>1110</v>
      </c>
      <c r="I490" t="s">
        <v>1100</v>
      </c>
      <c r="J490" t="s">
        <v>1078</v>
      </c>
      <c r="K490" t="str">
        <f>tblTeamFixtures[[#This Row],[Team_name]]&amp;"_"&amp;tblTeamFixtures[[#This Row],[GW]]</f>
        <v>NEW_25</v>
      </c>
      <c r="L490">
        <f>IFERROR(INDEX(TEAM_ANALYSIS!$Y:$Y,MATCH($E490,TEAM_ANALYSIS!$A:$A,0)),1)</f>
        <v>1.2058823529411764</v>
      </c>
      <c r="M490">
        <f>IFERROR(INDEX(TEAM_ANALYSIS!$Z:$Z,MATCH($E490,TEAM_ANALYSIS!$A:$A,0)),1)</f>
        <v>0.97058823529411764</v>
      </c>
      <c r="N490">
        <f>IFERROR(INDEX(TEAM_ANALYSIS!$Y:$Y,MATCH($F490,TEAM_ANALYSIS!$A:$A,0)),1)</f>
        <v>1.4411764705882353</v>
      </c>
      <c r="O490">
        <f>IFERROR(INDEX(TEAM_ANALYSIS!$Z:$Z,MATCH($F490,TEAM_ANALYSIS!$A:$A,0)),1)</f>
        <v>1.3235294117647058</v>
      </c>
      <c r="P490">
        <f>MAX(0.05,AVERAGE(TEAM_ANALYSIS!$W$2:$W$21)*L490*O490)</f>
        <v>3.3915441176470589</v>
      </c>
      <c r="Q490">
        <f>MAX(0.05,AVERAGE(TEAM_ANALYSIS!$W$2:$W$21)*N490*M490)</f>
        <v>2.9724264705882351</v>
      </c>
      <c r="R490" s="23">
        <f>MAX(0.8,MIN(1.2,P490/AVERAGE(TEAM_ANALYSIS!$W$2:$W$21)))</f>
        <v>1.2</v>
      </c>
      <c r="S490">
        <f>MAX(0.8,MIN(1.2,AVERAGE(TEAM_ANALYSIS!$W$2:$W$21)/Q490))</f>
        <v>0.8</v>
      </c>
      <c r="T490">
        <f>AVERAGE(R490,S490)</f>
        <v>1</v>
      </c>
    </row>
    <row r="491" spans="1:20" x14ac:dyDescent="0.25">
      <c r="A491">
        <v>25</v>
      </c>
      <c r="B491" t="b">
        <v>0</v>
      </c>
      <c r="C491" s="6">
        <v>46428.833333333336</v>
      </c>
      <c r="D491" t="b">
        <v>0</v>
      </c>
      <c r="E491">
        <v>19</v>
      </c>
      <c r="F491">
        <v>15</v>
      </c>
      <c r="G491">
        <v>4</v>
      </c>
      <c r="H491" t="s">
        <v>1110</v>
      </c>
      <c r="I491" t="s">
        <v>1104</v>
      </c>
      <c r="J491" t="s">
        <v>1096</v>
      </c>
      <c r="K491" t="str">
        <f>tblTeamFixtures[[#This Row],[Team_name]]&amp;"_"&amp;tblTeamFixtures[[#This Row],[GW]]</f>
        <v>TOT_25</v>
      </c>
      <c r="L491">
        <f>IFERROR(INDEX(TEAM_ANALYSIS!$Y:$Y,MATCH($E491,TEAM_ANALYSIS!$A:$A,0)),1)</f>
        <v>0.5</v>
      </c>
      <c r="M491">
        <f>IFERROR(INDEX(TEAM_ANALYSIS!$Z:$Z,MATCH($E491,TEAM_ANALYSIS!$A:$A,0)),1)</f>
        <v>1.088235294117647</v>
      </c>
      <c r="N491">
        <f>IFERROR(INDEX(TEAM_ANALYSIS!$Y:$Y,MATCH($F491,TEAM_ANALYSIS!$A:$A,0)),1)</f>
        <v>1.3235294117647058</v>
      </c>
      <c r="O491">
        <f>IFERROR(INDEX(TEAM_ANALYSIS!$Z:$Z,MATCH($F491,TEAM_ANALYSIS!$A:$A,0)),1)</f>
        <v>0.73529411764705888</v>
      </c>
      <c r="P491">
        <f>MAX(0.05,AVERAGE(TEAM_ANALYSIS!$W$2:$W$21)*L491*O491)</f>
        <v>0.78125</v>
      </c>
      <c r="Q491">
        <f>MAX(0.05,AVERAGE(TEAM_ANALYSIS!$W$2:$W$21)*N491*M491)</f>
        <v>3.0606617647058822</v>
      </c>
      <c r="R491" s="23">
        <f>MAX(0.8,MIN(1.2,P491/AVERAGE(TEAM_ANALYSIS!$W$2:$W$21)))</f>
        <v>0.8</v>
      </c>
      <c r="S491">
        <f>MAX(0.8,MIN(1.2,AVERAGE(TEAM_ANALYSIS!$W$2:$W$21)/Q491))</f>
        <v>0.8</v>
      </c>
      <c r="T491">
        <f>AVERAGE(R491,S491)</f>
        <v>0.8</v>
      </c>
    </row>
    <row r="492" spans="1:20" x14ac:dyDescent="0.25">
      <c r="A492">
        <v>25</v>
      </c>
      <c r="B492" t="b">
        <v>0</v>
      </c>
      <c r="C492" s="6">
        <v>46428.833333333336</v>
      </c>
      <c r="D492" t="b">
        <v>0</v>
      </c>
      <c r="E492">
        <v>3</v>
      </c>
      <c r="F492">
        <v>2</v>
      </c>
      <c r="G492">
        <v>4</v>
      </c>
      <c r="H492" t="s">
        <v>1111</v>
      </c>
      <c r="I492" t="s">
        <v>1072</v>
      </c>
      <c r="J492" t="s">
        <v>1070</v>
      </c>
      <c r="K492" t="str">
        <f>tblTeamFixtures[[#This Row],[Team_name]]&amp;"_"&amp;tblTeamFixtures[[#This Row],[GW]]</f>
        <v>BOU_25</v>
      </c>
      <c r="L492">
        <f>IFERROR(INDEX(TEAM_ANALYSIS!$Y:$Y,MATCH($E492,TEAM_ANALYSIS!$A:$A,0)),1)</f>
        <v>0.97058823529411764</v>
      </c>
      <c r="M492">
        <f>IFERROR(INDEX(TEAM_ANALYSIS!$Z:$Z,MATCH($E492,TEAM_ANALYSIS!$A:$A,0)),1)</f>
        <v>1.088235294117647</v>
      </c>
      <c r="N492">
        <f>IFERROR(INDEX(TEAM_ANALYSIS!$Y:$Y,MATCH($F492,TEAM_ANALYSIS!$A:$A,0)),1)</f>
        <v>0.5</v>
      </c>
      <c r="O492">
        <f>IFERROR(INDEX(TEAM_ANALYSIS!$Z:$Z,MATCH($F492,TEAM_ANALYSIS!$A:$A,0)),1)</f>
        <v>1.088235294117647</v>
      </c>
      <c r="P492">
        <f>MAX(0.05,AVERAGE(TEAM_ANALYSIS!$W$2:$W$21)*L492*O492)</f>
        <v>2.2444852941176467</v>
      </c>
      <c r="Q492">
        <f>MAX(0.05,AVERAGE(TEAM_ANALYSIS!$W$2:$W$21)*N492*M492)</f>
        <v>1.15625</v>
      </c>
      <c r="R492" s="23">
        <f>MAX(0.8,MIN(1.2,P492/AVERAGE(TEAM_ANALYSIS!$W$2:$W$21)))</f>
        <v>1.0562283737024221</v>
      </c>
      <c r="S492">
        <f>MAX(0.8,MIN(1.2,AVERAGE(TEAM_ANALYSIS!$W$2:$W$21)/Q492))</f>
        <v>1.2</v>
      </c>
      <c r="T492">
        <f>AVERAGE(R492,S492)</f>
        <v>1.128114186851211</v>
      </c>
    </row>
    <row r="493" spans="1:20" x14ac:dyDescent="0.25">
      <c r="A493">
        <v>25</v>
      </c>
      <c r="B493" t="b">
        <v>0</v>
      </c>
      <c r="C493" s="6">
        <v>46428.833333333336</v>
      </c>
      <c r="D493" t="b">
        <v>0</v>
      </c>
      <c r="E493">
        <v>14</v>
      </c>
      <c r="F493">
        <v>7</v>
      </c>
      <c r="G493">
        <v>2</v>
      </c>
      <c r="H493" t="s">
        <v>1111</v>
      </c>
      <c r="I493" t="s">
        <v>1094</v>
      </c>
      <c r="J493" t="s">
        <v>1080</v>
      </c>
      <c r="K493" t="str">
        <f>tblTeamFixtures[[#This Row],[Team_name]]&amp;"_"&amp;tblTeamFixtures[[#This Row],[GW]]</f>
        <v>LIV_25</v>
      </c>
      <c r="L493">
        <f>IFERROR(INDEX(TEAM_ANALYSIS!$Y:$Y,MATCH($E493,TEAM_ANALYSIS!$A:$A,0)),1)</f>
        <v>1.2058823529411764</v>
      </c>
      <c r="M493">
        <f>IFERROR(INDEX(TEAM_ANALYSIS!$Z:$Z,MATCH($E493,TEAM_ANALYSIS!$A:$A,0)),1)</f>
        <v>0.97058823529411764</v>
      </c>
      <c r="N493">
        <f>IFERROR(INDEX(TEAM_ANALYSIS!$Y:$Y,MATCH($F493,TEAM_ANALYSIS!$A:$A,0)),1)</f>
        <v>0.5</v>
      </c>
      <c r="O493">
        <f>IFERROR(INDEX(TEAM_ANALYSIS!$Z:$Z,MATCH($F493,TEAM_ANALYSIS!$A:$A,0)),1)</f>
        <v>1.088235294117647</v>
      </c>
      <c r="P493">
        <f>MAX(0.05,AVERAGE(TEAM_ANALYSIS!$W$2:$W$21)*L493*O493)</f>
        <v>2.7886029411764706</v>
      </c>
      <c r="Q493">
        <f>MAX(0.05,AVERAGE(TEAM_ANALYSIS!$W$2:$W$21)*N493*M493)</f>
        <v>1.03125</v>
      </c>
      <c r="R493" s="23">
        <f>MAX(0.8,MIN(1.2,P493/AVERAGE(TEAM_ANALYSIS!$W$2:$W$21)))</f>
        <v>1.2</v>
      </c>
      <c r="S493">
        <f>MAX(0.8,MIN(1.2,AVERAGE(TEAM_ANALYSIS!$W$2:$W$21)/Q493))</f>
        <v>1.2</v>
      </c>
      <c r="T493">
        <f>AVERAGE(R493,S493)</f>
        <v>1.2</v>
      </c>
    </row>
    <row r="494" spans="1:20" x14ac:dyDescent="0.25">
      <c r="A494">
        <v>25</v>
      </c>
      <c r="B494" t="b">
        <v>0</v>
      </c>
      <c r="C494" s="6">
        <v>46428.833333333336</v>
      </c>
      <c r="D494" t="b">
        <v>0</v>
      </c>
      <c r="E494">
        <v>4</v>
      </c>
      <c r="F494">
        <v>8</v>
      </c>
      <c r="G494">
        <v>3</v>
      </c>
      <c r="H494" t="s">
        <v>1111</v>
      </c>
      <c r="I494" t="s">
        <v>1074</v>
      </c>
      <c r="J494" t="s">
        <v>1082</v>
      </c>
      <c r="K494" t="str">
        <f>tblTeamFixtures[[#This Row],[Team_name]]&amp;"_"&amp;tblTeamFixtures[[#This Row],[GW]]</f>
        <v>BRE_25</v>
      </c>
      <c r="L494">
        <f>IFERROR(INDEX(TEAM_ANALYSIS!$Y:$Y,MATCH($E494,TEAM_ANALYSIS!$A:$A,0)),1)</f>
        <v>1.088235294117647</v>
      </c>
      <c r="M494">
        <f>IFERROR(INDEX(TEAM_ANALYSIS!$Z:$Z,MATCH($E494,TEAM_ANALYSIS!$A:$A,0)),1)</f>
        <v>0.73529411764705888</v>
      </c>
      <c r="N494">
        <f>IFERROR(INDEX(TEAM_ANALYSIS!$Y:$Y,MATCH($F494,TEAM_ANALYSIS!$A:$A,0)),1)</f>
        <v>0.97058823529411764</v>
      </c>
      <c r="O494">
        <f>IFERROR(INDEX(TEAM_ANALYSIS!$Z:$Z,MATCH($F494,TEAM_ANALYSIS!$A:$A,0)),1)</f>
        <v>1.4411764705882353</v>
      </c>
      <c r="P494">
        <f>MAX(0.05,AVERAGE(TEAM_ANALYSIS!$W$2:$W$21)*L494*O494)</f>
        <v>3.3327205882352939</v>
      </c>
      <c r="Q494">
        <f>MAX(0.05,AVERAGE(TEAM_ANALYSIS!$W$2:$W$21)*N494*M494)</f>
        <v>1.5165441176470589</v>
      </c>
      <c r="R494" s="23">
        <f>MAX(0.8,MIN(1.2,P494/AVERAGE(TEAM_ANALYSIS!$W$2:$W$21)))</f>
        <v>1.2</v>
      </c>
      <c r="S494">
        <f>MAX(0.8,MIN(1.2,AVERAGE(TEAM_ANALYSIS!$W$2:$W$21)/Q494))</f>
        <v>1.2</v>
      </c>
      <c r="T494">
        <f>AVERAGE(R494,S494)</f>
        <v>1.2</v>
      </c>
    </row>
    <row r="495" spans="1:20" x14ac:dyDescent="0.25">
      <c r="A495">
        <v>25</v>
      </c>
      <c r="B495" t="b">
        <v>0</v>
      </c>
      <c r="C495" s="6">
        <v>46428.833333333336</v>
      </c>
      <c r="D495" t="b">
        <v>0</v>
      </c>
      <c r="E495">
        <v>13</v>
      </c>
      <c r="F495">
        <v>9</v>
      </c>
      <c r="G495">
        <v>3</v>
      </c>
      <c r="H495" t="s">
        <v>1111</v>
      </c>
      <c r="I495" t="s">
        <v>1092</v>
      </c>
      <c r="J495" t="s">
        <v>1084</v>
      </c>
      <c r="K495" t="str">
        <f>tblTeamFixtures[[#This Row],[Team_name]]&amp;"_"&amp;tblTeamFixtures[[#This Row],[GW]]</f>
        <v>LEE_25</v>
      </c>
      <c r="L495">
        <f>IFERROR(INDEX(TEAM_ANALYSIS!$Y:$Y,MATCH($E495,TEAM_ANALYSIS!$A:$A,0)),1)</f>
        <v>0.8529411764705882</v>
      </c>
      <c r="M495">
        <f>IFERROR(INDEX(TEAM_ANALYSIS!$Z:$Z,MATCH($E495,TEAM_ANALYSIS!$A:$A,0)),1)</f>
        <v>0.73529411764705888</v>
      </c>
      <c r="N495">
        <f>IFERROR(INDEX(TEAM_ANALYSIS!$Y:$Y,MATCH($F495,TEAM_ANALYSIS!$A:$A,0)),1)</f>
        <v>1.088235294117647</v>
      </c>
      <c r="O495">
        <f>IFERROR(INDEX(TEAM_ANALYSIS!$Z:$Z,MATCH($F495,TEAM_ANALYSIS!$A:$A,0)),1)</f>
        <v>0.8529411764705882</v>
      </c>
      <c r="P495">
        <f>MAX(0.05,AVERAGE(TEAM_ANALYSIS!$W$2:$W$21)*L495*O495)</f>
        <v>1.5459558823529411</v>
      </c>
      <c r="Q495">
        <f>MAX(0.05,AVERAGE(TEAM_ANALYSIS!$W$2:$W$21)*N495*M495)</f>
        <v>1.7003676470588236</v>
      </c>
      <c r="R495" s="23">
        <f>MAX(0.8,MIN(1.2,P495/AVERAGE(TEAM_ANALYSIS!$W$2:$W$21)))</f>
        <v>0.8</v>
      </c>
      <c r="S495">
        <f>MAX(0.8,MIN(1.2,AVERAGE(TEAM_ANALYSIS!$W$2:$W$21)/Q495))</f>
        <v>1.2</v>
      </c>
      <c r="T495">
        <f>AVERAGE(R495,S495)</f>
        <v>1</v>
      </c>
    </row>
    <row r="496" spans="1:20" x14ac:dyDescent="0.25">
      <c r="A496">
        <v>25</v>
      </c>
      <c r="B496" t="b">
        <v>0</v>
      </c>
      <c r="C496" s="6">
        <v>46428.833333333336</v>
      </c>
      <c r="D496" t="b">
        <v>0</v>
      </c>
      <c r="E496">
        <v>18</v>
      </c>
      <c r="F496">
        <v>10</v>
      </c>
      <c r="G496">
        <v>3</v>
      </c>
      <c r="H496" t="s">
        <v>1111</v>
      </c>
      <c r="I496" t="s">
        <v>1102</v>
      </c>
      <c r="J496" t="s">
        <v>1086</v>
      </c>
      <c r="K496" t="str">
        <f>tblTeamFixtures[[#This Row],[Team_name]]&amp;"_"&amp;tblTeamFixtures[[#This Row],[GW]]</f>
        <v>NFO_25</v>
      </c>
      <c r="L496">
        <f>IFERROR(INDEX(TEAM_ANALYSIS!$Y:$Y,MATCH($E496,TEAM_ANALYSIS!$A:$A,0)),1)</f>
        <v>0.73529411764705888</v>
      </c>
      <c r="M496">
        <f>IFERROR(INDEX(TEAM_ANALYSIS!$Z:$Z,MATCH($E496,TEAM_ANALYSIS!$A:$A,0)),1)</f>
        <v>0.8529411764705882</v>
      </c>
      <c r="N496">
        <f>IFERROR(INDEX(TEAM_ANALYSIS!$Y:$Y,MATCH($F496,TEAM_ANALYSIS!$A:$A,0)),1)</f>
        <v>0.97058823529411764</v>
      </c>
      <c r="O496">
        <f>IFERROR(INDEX(TEAM_ANALYSIS!$Z:$Z,MATCH($F496,TEAM_ANALYSIS!$A:$A,0)),1)</f>
        <v>1.3235294117647058</v>
      </c>
      <c r="P496">
        <f>MAX(0.05,AVERAGE(TEAM_ANALYSIS!$W$2:$W$21)*L496*O496)</f>
        <v>2.0680147058823528</v>
      </c>
      <c r="Q496">
        <f>MAX(0.05,AVERAGE(TEAM_ANALYSIS!$W$2:$W$21)*N496*M496)</f>
        <v>1.7591911764705881</v>
      </c>
      <c r="R496" s="23">
        <f>MAX(0.8,MIN(1.2,P496/AVERAGE(TEAM_ANALYSIS!$W$2:$W$21)))</f>
        <v>0.97318339100346019</v>
      </c>
      <c r="S496">
        <f>MAX(0.8,MIN(1.2,AVERAGE(TEAM_ANALYSIS!$W$2:$W$21)/Q496))</f>
        <v>1.2</v>
      </c>
      <c r="T496">
        <f>AVERAGE(R496,S496)</f>
        <v>1.0865916955017301</v>
      </c>
    </row>
    <row r="497" spans="1:20" x14ac:dyDescent="0.25">
      <c r="A497">
        <v>25</v>
      </c>
      <c r="B497" t="b">
        <v>0</v>
      </c>
      <c r="C497" s="6">
        <v>46428.833333333336</v>
      </c>
      <c r="D497" t="b">
        <v>0</v>
      </c>
      <c r="E497">
        <v>20</v>
      </c>
      <c r="F497">
        <v>11</v>
      </c>
      <c r="G497">
        <v>2</v>
      </c>
      <c r="H497" t="s">
        <v>1111</v>
      </c>
      <c r="I497" t="s">
        <v>1106</v>
      </c>
      <c r="J497" t="s">
        <v>1088</v>
      </c>
      <c r="K497" t="str">
        <f>tblTeamFixtures[[#This Row],[Team_name]]&amp;"_"&amp;tblTeamFixtures[[#This Row],[GW]]</f>
        <v>SUN_25</v>
      </c>
      <c r="L497">
        <f>IFERROR(INDEX(TEAM_ANALYSIS!$Y:$Y,MATCH($E497,TEAM_ANALYSIS!$A:$A,0)),1)</f>
        <v>0.8529411764705882</v>
      </c>
      <c r="M497">
        <f>IFERROR(INDEX(TEAM_ANALYSIS!$Z:$Z,MATCH($E497,TEAM_ANALYSIS!$A:$A,0)),1)</f>
        <v>0.8529411764705882</v>
      </c>
      <c r="N497">
        <f>IFERROR(INDEX(TEAM_ANALYSIS!$Y:$Y,MATCH($F497,TEAM_ANALYSIS!$A:$A,0)),1)</f>
        <v>0.8529411764705882</v>
      </c>
      <c r="O497">
        <f>IFERROR(INDEX(TEAM_ANALYSIS!$Z:$Z,MATCH($F497,TEAM_ANALYSIS!$A:$A,0)),1)</f>
        <v>0.5</v>
      </c>
      <c r="P497">
        <f>MAX(0.05,AVERAGE(TEAM_ANALYSIS!$W$2:$W$21)*L497*O497)</f>
        <v>0.90625</v>
      </c>
      <c r="Q497">
        <f>MAX(0.05,AVERAGE(TEAM_ANALYSIS!$W$2:$W$21)*N497*M497)</f>
        <v>1.5459558823529411</v>
      </c>
      <c r="R497" s="23">
        <f>MAX(0.8,MIN(1.2,P497/AVERAGE(TEAM_ANALYSIS!$W$2:$W$21)))</f>
        <v>0.8</v>
      </c>
      <c r="S497">
        <f>MAX(0.8,MIN(1.2,AVERAGE(TEAM_ANALYSIS!$W$2:$W$21)/Q497))</f>
        <v>1.2</v>
      </c>
      <c r="T497">
        <f>AVERAGE(R497,S497)</f>
        <v>1</v>
      </c>
    </row>
    <row r="498" spans="1:20" x14ac:dyDescent="0.25">
      <c r="A498">
        <v>25</v>
      </c>
      <c r="B498" t="b">
        <v>0</v>
      </c>
      <c r="C498" s="6">
        <v>46428.833333333336</v>
      </c>
      <c r="D498" t="b">
        <v>0</v>
      </c>
      <c r="E498">
        <v>1</v>
      </c>
      <c r="F498">
        <v>12</v>
      </c>
      <c r="G498">
        <v>2</v>
      </c>
      <c r="H498" t="s">
        <v>1111</v>
      </c>
      <c r="I498" t="s">
        <v>1068</v>
      </c>
      <c r="J498" t="s">
        <v>1090</v>
      </c>
      <c r="K498" t="str">
        <f>tblTeamFixtures[[#This Row],[Team_name]]&amp;"_"&amp;tblTeamFixtures[[#This Row],[GW]]</f>
        <v>ARS_25</v>
      </c>
      <c r="L498">
        <f>IFERROR(INDEX(TEAM_ANALYSIS!$Y:$Y,MATCH($E498,TEAM_ANALYSIS!$A:$A,0)),1)</f>
        <v>1.2058823529411764</v>
      </c>
      <c r="M498">
        <f>IFERROR(INDEX(TEAM_ANALYSIS!$Z:$Z,MATCH($E498,TEAM_ANALYSIS!$A:$A,0)),1)</f>
        <v>0.61764705882352944</v>
      </c>
      <c r="N498">
        <f>IFERROR(INDEX(TEAM_ANALYSIS!$Y:$Y,MATCH($F498,TEAM_ANALYSIS!$A:$A,0)),1)</f>
        <v>0.97058823529411764</v>
      </c>
      <c r="O498">
        <f>IFERROR(INDEX(TEAM_ANALYSIS!$Z:$Z,MATCH($F498,TEAM_ANALYSIS!$A:$A,0)),1)</f>
        <v>1.4411764705882353</v>
      </c>
      <c r="P498">
        <f>MAX(0.05,AVERAGE(TEAM_ANALYSIS!$W$2:$W$21)*L498*O498)</f>
        <v>3.6930147058823528</v>
      </c>
      <c r="Q498">
        <f>MAX(0.05,AVERAGE(TEAM_ANALYSIS!$W$2:$W$21)*N498*M498)</f>
        <v>1.2738970588235294</v>
      </c>
      <c r="R498" s="23">
        <f>MAX(0.8,MIN(1.2,P498/AVERAGE(TEAM_ANALYSIS!$W$2:$W$21)))</f>
        <v>1.2</v>
      </c>
      <c r="S498">
        <f>MAX(0.8,MIN(1.2,AVERAGE(TEAM_ANALYSIS!$W$2:$W$21)/Q498))</f>
        <v>1.2</v>
      </c>
      <c r="T498">
        <f>AVERAGE(R498,S498)</f>
        <v>1.2</v>
      </c>
    </row>
    <row r="499" spans="1:20" x14ac:dyDescent="0.25">
      <c r="A499">
        <v>25</v>
      </c>
      <c r="B499" t="b">
        <v>0</v>
      </c>
      <c r="C499" s="6">
        <v>46428.833333333336</v>
      </c>
      <c r="D499" t="b">
        <v>0</v>
      </c>
      <c r="E499">
        <v>5</v>
      </c>
      <c r="F499">
        <v>16</v>
      </c>
      <c r="G499">
        <v>4</v>
      </c>
      <c r="H499" t="s">
        <v>1111</v>
      </c>
      <c r="I499" t="s">
        <v>1076</v>
      </c>
      <c r="J499" t="s">
        <v>1098</v>
      </c>
      <c r="K499" t="str">
        <f>tblTeamFixtures[[#This Row],[Team_name]]&amp;"_"&amp;tblTeamFixtures[[#This Row],[GW]]</f>
        <v>BHA_25</v>
      </c>
      <c r="L499">
        <f>IFERROR(INDEX(TEAM_ANALYSIS!$Y:$Y,MATCH($E499,TEAM_ANALYSIS!$A:$A,0)),1)</f>
        <v>1.4411764705882353</v>
      </c>
      <c r="M499">
        <f>IFERROR(INDEX(TEAM_ANALYSIS!$Z:$Z,MATCH($E499,TEAM_ANALYSIS!$A:$A,0)),1)</f>
        <v>1.088235294117647</v>
      </c>
      <c r="N499">
        <f>IFERROR(INDEX(TEAM_ANALYSIS!$Y:$Y,MATCH($F499,TEAM_ANALYSIS!$A:$A,0)),1)</f>
        <v>1.3235294117647058</v>
      </c>
      <c r="O499">
        <f>IFERROR(INDEX(TEAM_ANALYSIS!$Z:$Z,MATCH($F499,TEAM_ANALYSIS!$A:$A,0)),1)</f>
        <v>1.2058823529411764</v>
      </c>
      <c r="P499">
        <f>MAX(0.05,AVERAGE(TEAM_ANALYSIS!$W$2:$W$21)*L499*O499)</f>
        <v>3.6930147058823528</v>
      </c>
      <c r="Q499">
        <f>MAX(0.05,AVERAGE(TEAM_ANALYSIS!$W$2:$W$21)*N499*M499)</f>
        <v>3.0606617647058822</v>
      </c>
      <c r="R499" s="23">
        <f>MAX(0.8,MIN(1.2,P499/AVERAGE(TEAM_ANALYSIS!$W$2:$W$21)))</f>
        <v>1.2</v>
      </c>
      <c r="S499">
        <f>MAX(0.8,MIN(1.2,AVERAGE(TEAM_ANALYSIS!$W$2:$W$21)/Q499))</f>
        <v>0.8</v>
      </c>
      <c r="T499">
        <f>AVERAGE(R499,S499)</f>
        <v>1</v>
      </c>
    </row>
    <row r="500" spans="1:20" x14ac:dyDescent="0.25">
      <c r="A500">
        <v>25</v>
      </c>
      <c r="B500" t="b">
        <v>0</v>
      </c>
      <c r="C500" s="6">
        <v>46428.833333333336</v>
      </c>
      <c r="D500" t="b">
        <v>0</v>
      </c>
      <c r="E500">
        <v>6</v>
      </c>
      <c r="F500">
        <v>17</v>
      </c>
      <c r="G500">
        <v>3</v>
      </c>
      <c r="H500" t="s">
        <v>1111</v>
      </c>
      <c r="I500" t="s">
        <v>1078</v>
      </c>
      <c r="J500" t="s">
        <v>1100</v>
      </c>
      <c r="K500" t="str">
        <f>tblTeamFixtures[[#This Row],[Team_name]]&amp;"_"&amp;tblTeamFixtures[[#This Row],[GW]]</f>
        <v>CHE_25</v>
      </c>
      <c r="L500">
        <f>IFERROR(INDEX(TEAM_ANALYSIS!$Y:$Y,MATCH($E500,TEAM_ANALYSIS!$A:$A,0)),1)</f>
        <v>1.4411764705882353</v>
      </c>
      <c r="M500">
        <f>IFERROR(INDEX(TEAM_ANALYSIS!$Z:$Z,MATCH($E500,TEAM_ANALYSIS!$A:$A,0)),1)</f>
        <v>1.3235294117647058</v>
      </c>
      <c r="N500">
        <f>IFERROR(INDEX(TEAM_ANALYSIS!$Y:$Y,MATCH($F500,TEAM_ANALYSIS!$A:$A,0)),1)</f>
        <v>1.2058823529411764</v>
      </c>
      <c r="O500">
        <f>IFERROR(INDEX(TEAM_ANALYSIS!$Z:$Z,MATCH($F500,TEAM_ANALYSIS!$A:$A,0)),1)</f>
        <v>0.97058823529411764</v>
      </c>
      <c r="P500">
        <f>MAX(0.05,AVERAGE(TEAM_ANALYSIS!$W$2:$W$21)*L500*O500)</f>
        <v>2.9724264705882351</v>
      </c>
      <c r="Q500">
        <f>MAX(0.05,AVERAGE(TEAM_ANALYSIS!$W$2:$W$21)*N500*M500)</f>
        <v>3.3915441176470589</v>
      </c>
      <c r="R500" s="23">
        <f>MAX(0.8,MIN(1.2,P500/AVERAGE(TEAM_ANALYSIS!$W$2:$W$21)))</f>
        <v>1.2</v>
      </c>
      <c r="S500">
        <f>MAX(0.8,MIN(1.2,AVERAGE(TEAM_ANALYSIS!$W$2:$W$21)/Q500))</f>
        <v>0.8</v>
      </c>
      <c r="T500">
        <f>AVERAGE(R500,S500)</f>
        <v>1</v>
      </c>
    </row>
    <row r="501" spans="1:20" x14ac:dyDescent="0.25">
      <c r="A501">
        <v>25</v>
      </c>
      <c r="B501" t="b">
        <v>0</v>
      </c>
      <c r="C501" s="6">
        <v>46428.833333333336</v>
      </c>
      <c r="D501" t="b">
        <v>0</v>
      </c>
      <c r="E501">
        <v>15</v>
      </c>
      <c r="F501">
        <v>19</v>
      </c>
      <c r="G501">
        <v>3</v>
      </c>
      <c r="H501" t="s">
        <v>1111</v>
      </c>
      <c r="I501" t="s">
        <v>1096</v>
      </c>
      <c r="J501" t="s">
        <v>1104</v>
      </c>
      <c r="K501" t="str">
        <f>tblTeamFixtures[[#This Row],[Team_name]]&amp;"_"&amp;tblTeamFixtures[[#This Row],[GW]]</f>
        <v>MCI_25</v>
      </c>
      <c r="L501">
        <f>IFERROR(INDEX(TEAM_ANALYSIS!$Y:$Y,MATCH($E501,TEAM_ANALYSIS!$A:$A,0)),1)</f>
        <v>1.3235294117647058</v>
      </c>
      <c r="M501">
        <f>IFERROR(INDEX(TEAM_ANALYSIS!$Z:$Z,MATCH($E501,TEAM_ANALYSIS!$A:$A,0)),1)</f>
        <v>0.73529411764705888</v>
      </c>
      <c r="N501">
        <f>IFERROR(INDEX(TEAM_ANALYSIS!$Y:$Y,MATCH($F501,TEAM_ANALYSIS!$A:$A,0)),1)</f>
        <v>0.5</v>
      </c>
      <c r="O501">
        <f>IFERROR(INDEX(TEAM_ANALYSIS!$Z:$Z,MATCH($F501,TEAM_ANALYSIS!$A:$A,0)),1)</f>
        <v>1.088235294117647</v>
      </c>
      <c r="P501">
        <f>MAX(0.05,AVERAGE(TEAM_ANALYSIS!$W$2:$W$21)*L501*O501)</f>
        <v>3.0606617647058822</v>
      </c>
      <c r="Q501">
        <f>MAX(0.05,AVERAGE(TEAM_ANALYSIS!$W$2:$W$21)*N501*M501)</f>
        <v>0.78125</v>
      </c>
      <c r="R501" s="23">
        <f>MAX(0.8,MIN(1.2,P501/AVERAGE(TEAM_ANALYSIS!$W$2:$W$21)))</f>
        <v>1.2</v>
      </c>
      <c r="S501">
        <f>MAX(0.8,MIN(1.2,AVERAGE(TEAM_ANALYSIS!$W$2:$W$21)/Q501))</f>
        <v>1.2</v>
      </c>
      <c r="T501">
        <f>AVERAGE(R501,S501)</f>
        <v>1.2</v>
      </c>
    </row>
    <row r="502" spans="1:20" x14ac:dyDescent="0.25">
      <c r="A502">
        <v>26</v>
      </c>
      <c r="B502" t="b">
        <v>0</v>
      </c>
      <c r="C502" s="6">
        <v>46438.625</v>
      </c>
      <c r="D502" t="b">
        <v>0</v>
      </c>
      <c r="E502">
        <v>1</v>
      </c>
      <c r="F502">
        <v>10</v>
      </c>
      <c r="G502">
        <v>2</v>
      </c>
      <c r="H502" t="s">
        <v>1110</v>
      </c>
      <c r="I502" t="s">
        <v>1068</v>
      </c>
      <c r="J502" t="s">
        <v>1086</v>
      </c>
      <c r="K502" t="str">
        <f>tblTeamFixtures[[#This Row],[Team_name]]&amp;"_"&amp;tblTeamFixtures[[#This Row],[GW]]</f>
        <v>ARS_26</v>
      </c>
      <c r="L502">
        <f>IFERROR(INDEX(TEAM_ANALYSIS!$Y:$Y,MATCH($E502,TEAM_ANALYSIS!$A:$A,0)),1)</f>
        <v>1.2058823529411764</v>
      </c>
      <c r="M502">
        <f>IFERROR(INDEX(TEAM_ANALYSIS!$Z:$Z,MATCH($E502,TEAM_ANALYSIS!$A:$A,0)),1)</f>
        <v>0.61764705882352944</v>
      </c>
      <c r="N502">
        <f>IFERROR(INDEX(TEAM_ANALYSIS!$Y:$Y,MATCH($F502,TEAM_ANALYSIS!$A:$A,0)),1)</f>
        <v>0.97058823529411764</v>
      </c>
      <c r="O502">
        <f>IFERROR(INDEX(TEAM_ANALYSIS!$Z:$Z,MATCH($F502,TEAM_ANALYSIS!$A:$A,0)),1)</f>
        <v>1.3235294117647058</v>
      </c>
      <c r="P502">
        <f>MAX(0.05,AVERAGE(TEAM_ANALYSIS!$W$2:$W$21)*L502*O502)</f>
        <v>3.3915441176470589</v>
      </c>
      <c r="Q502">
        <f>MAX(0.05,AVERAGE(TEAM_ANALYSIS!$W$2:$W$21)*N502*M502)</f>
        <v>1.2738970588235294</v>
      </c>
      <c r="R502" s="23">
        <f>MAX(0.8,MIN(1.2,P502/AVERAGE(TEAM_ANALYSIS!$W$2:$W$21)))</f>
        <v>1.2</v>
      </c>
      <c r="S502">
        <f>MAX(0.8,MIN(1.2,AVERAGE(TEAM_ANALYSIS!$W$2:$W$21)/Q502))</f>
        <v>1.2</v>
      </c>
      <c r="T502">
        <f>AVERAGE(R502,S502)</f>
        <v>1.2</v>
      </c>
    </row>
    <row r="503" spans="1:20" x14ac:dyDescent="0.25">
      <c r="A503">
        <v>26</v>
      </c>
      <c r="B503" t="b">
        <v>0</v>
      </c>
      <c r="C503" s="6">
        <v>46438.625</v>
      </c>
      <c r="D503" t="b">
        <v>0</v>
      </c>
      <c r="E503">
        <v>3</v>
      </c>
      <c r="F503">
        <v>8</v>
      </c>
      <c r="G503">
        <v>3</v>
      </c>
      <c r="H503" t="s">
        <v>1110</v>
      </c>
      <c r="I503" t="s">
        <v>1072</v>
      </c>
      <c r="J503" t="s">
        <v>1082</v>
      </c>
      <c r="K503" t="str">
        <f>tblTeamFixtures[[#This Row],[Team_name]]&amp;"_"&amp;tblTeamFixtures[[#This Row],[GW]]</f>
        <v>BOU_26</v>
      </c>
      <c r="L503">
        <f>IFERROR(INDEX(TEAM_ANALYSIS!$Y:$Y,MATCH($E503,TEAM_ANALYSIS!$A:$A,0)),1)</f>
        <v>0.97058823529411764</v>
      </c>
      <c r="M503">
        <f>IFERROR(INDEX(TEAM_ANALYSIS!$Z:$Z,MATCH($E503,TEAM_ANALYSIS!$A:$A,0)),1)</f>
        <v>1.088235294117647</v>
      </c>
      <c r="N503">
        <f>IFERROR(INDEX(TEAM_ANALYSIS!$Y:$Y,MATCH($F503,TEAM_ANALYSIS!$A:$A,0)),1)</f>
        <v>0.97058823529411764</v>
      </c>
      <c r="O503">
        <f>IFERROR(INDEX(TEAM_ANALYSIS!$Z:$Z,MATCH($F503,TEAM_ANALYSIS!$A:$A,0)),1)</f>
        <v>1.4411764705882353</v>
      </c>
      <c r="P503">
        <f>MAX(0.05,AVERAGE(TEAM_ANALYSIS!$W$2:$W$21)*L503*O503)</f>
        <v>2.9724264705882351</v>
      </c>
      <c r="Q503">
        <f>MAX(0.05,AVERAGE(TEAM_ANALYSIS!$W$2:$W$21)*N503*M503)</f>
        <v>2.2444852941176467</v>
      </c>
      <c r="R503" s="23">
        <f>MAX(0.8,MIN(1.2,P503/AVERAGE(TEAM_ANALYSIS!$W$2:$W$21)))</f>
        <v>1.2</v>
      </c>
      <c r="S503">
        <f>MAX(0.8,MIN(1.2,AVERAGE(TEAM_ANALYSIS!$W$2:$W$21)/Q503))</f>
        <v>0.94676494676494694</v>
      </c>
      <c r="T503">
        <f>AVERAGE(R503,S503)</f>
        <v>1.0733824733824735</v>
      </c>
    </row>
    <row r="504" spans="1:20" x14ac:dyDescent="0.25">
      <c r="A504">
        <v>26</v>
      </c>
      <c r="B504" t="b">
        <v>0</v>
      </c>
      <c r="C504" s="6">
        <v>46438.625</v>
      </c>
      <c r="D504" t="b">
        <v>0</v>
      </c>
      <c r="E504">
        <v>4</v>
      </c>
      <c r="F504">
        <v>7</v>
      </c>
      <c r="G504">
        <v>2</v>
      </c>
      <c r="H504" t="s">
        <v>1110</v>
      </c>
      <c r="I504" t="s">
        <v>1074</v>
      </c>
      <c r="J504" t="s">
        <v>1080</v>
      </c>
      <c r="K504" t="str">
        <f>tblTeamFixtures[[#This Row],[Team_name]]&amp;"_"&amp;tblTeamFixtures[[#This Row],[GW]]</f>
        <v>BRE_26</v>
      </c>
      <c r="L504">
        <f>IFERROR(INDEX(TEAM_ANALYSIS!$Y:$Y,MATCH($E504,TEAM_ANALYSIS!$A:$A,0)),1)</f>
        <v>1.088235294117647</v>
      </c>
      <c r="M504">
        <f>IFERROR(INDEX(TEAM_ANALYSIS!$Z:$Z,MATCH($E504,TEAM_ANALYSIS!$A:$A,0)),1)</f>
        <v>0.73529411764705888</v>
      </c>
      <c r="N504">
        <f>IFERROR(INDEX(TEAM_ANALYSIS!$Y:$Y,MATCH($F504,TEAM_ANALYSIS!$A:$A,0)),1)</f>
        <v>0.5</v>
      </c>
      <c r="O504">
        <f>IFERROR(INDEX(TEAM_ANALYSIS!$Z:$Z,MATCH($F504,TEAM_ANALYSIS!$A:$A,0)),1)</f>
        <v>1.088235294117647</v>
      </c>
      <c r="P504">
        <f>MAX(0.05,AVERAGE(TEAM_ANALYSIS!$W$2:$W$21)*L504*O504)</f>
        <v>2.5165441176470584</v>
      </c>
      <c r="Q504">
        <f>MAX(0.05,AVERAGE(TEAM_ANALYSIS!$W$2:$W$21)*N504*M504)</f>
        <v>0.78125</v>
      </c>
      <c r="R504" s="23">
        <f>MAX(0.8,MIN(1.2,P504/AVERAGE(TEAM_ANALYSIS!$W$2:$W$21)))</f>
        <v>1.1842560553633217</v>
      </c>
      <c r="S504">
        <f>MAX(0.8,MIN(1.2,AVERAGE(TEAM_ANALYSIS!$W$2:$W$21)/Q504))</f>
        <v>1.2</v>
      </c>
      <c r="T504">
        <f>AVERAGE(R504,S504)</f>
        <v>1.1921280276816608</v>
      </c>
    </row>
    <row r="505" spans="1:20" x14ac:dyDescent="0.25">
      <c r="A505">
        <v>26</v>
      </c>
      <c r="B505" t="b">
        <v>0</v>
      </c>
      <c r="C505" s="6">
        <v>46438.625</v>
      </c>
      <c r="D505" t="b">
        <v>0</v>
      </c>
      <c r="E505">
        <v>5</v>
      </c>
      <c r="F505">
        <v>19</v>
      </c>
      <c r="G505">
        <v>3</v>
      </c>
      <c r="H505" t="s">
        <v>1110</v>
      </c>
      <c r="I505" t="s">
        <v>1076</v>
      </c>
      <c r="J505" t="s">
        <v>1104</v>
      </c>
      <c r="K505" t="str">
        <f>tblTeamFixtures[[#This Row],[Team_name]]&amp;"_"&amp;tblTeamFixtures[[#This Row],[GW]]</f>
        <v>BHA_26</v>
      </c>
      <c r="L505">
        <f>IFERROR(INDEX(TEAM_ANALYSIS!$Y:$Y,MATCH($E505,TEAM_ANALYSIS!$A:$A,0)),1)</f>
        <v>1.4411764705882353</v>
      </c>
      <c r="M505">
        <f>IFERROR(INDEX(TEAM_ANALYSIS!$Z:$Z,MATCH($E505,TEAM_ANALYSIS!$A:$A,0)),1)</f>
        <v>1.088235294117647</v>
      </c>
      <c r="N505">
        <f>IFERROR(INDEX(TEAM_ANALYSIS!$Y:$Y,MATCH($F505,TEAM_ANALYSIS!$A:$A,0)),1)</f>
        <v>0.5</v>
      </c>
      <c r="O505">
        <f>IFERROR(INDEX(TEAM_ANALYSIS!$Z:$Z,MATCH($F505,TEAM_ANALYSIS!$A:$A,0)),1)</f>
        <v>1.088235294117647</v>
      </c>
      <c r="P505">
        <f>MAX(0.05,AVERAGE(TEAM_ANALYSIS!$W$2:$W$21)*L505*O505)</f>
        <v>3.3327205882352939</v>
      </c>
      <c r="Q505">
        <f>MAX(0.05,AVERAGE(TEAM_ANALYSIS!$W$2:$W$21)*N505*M505)</f>
        <v>1.15625</v>
      </c>
      <c r="R505" s="23">
        <f>MAX(0.8,MIN(1.2,P505/AVERAGE(TEAM_ANALYSIS!$W$2:$W$21)))</f>
        <v>1.2</v>
      </c>
      <c r="S505">
        <f>MAX(0.8,MIN(1.2,AVERAGE(TEAM_ANALYSIS!$W$2:$W$21)/Q505))</f>
        <v>1.2</v>
      </c>
      <c r="T505">
        <f>AVERAGE(R505,S505)</f>
        <v>1.2</v>
      </c>
    </row>
    <row r="506" spans="1:20" x14ac:dyDescent="0.25">
      <c r="A506">
        <v>26</v>
      </c>
      <c r="B506" t="b">
        <v>0</v>
      </c>
      <c r="C506" s="6">
        <v>46438.625</v>
      </c>
      <c r="D506" t="b">
        <v>0</v>
      </c>
      <c r="E506">
        <v>6</v>
      </c>
      <c r="F506">
        <v>12</v>
      </c>
      <c r="G506">
        <v>2</v>
      </c>
      <c r="H506" t="s">
        <v>1110</v>
      </c>
      <c r="I506" t="s">
        <v>1078</v>
      </c>
      <c r="J506" t="s">
        <v>1090</v>
      </c>
      <c r="K506" t="str">
        <f>tblTeamFixtures[[#This Row],[Team_name]]&amp;"_"&amp;tblTeamFixtures[[#This Row],[GW]]</f>
        <v>CHE_26</v>
      </c>
      <c r="L506">
        <f>IFERROR(INDEX(TEAM_ANALYSIS!$Y:$Y,MATCH($E506,TEAM_ANALYSIS!$A:$A,0)),1)</f>
        <v>1.4411764705882353</v>
      </c>
      <c r="M506">
        <f>IFERROR(INDEX(TEAM_ANALYSIS!$Z:$Z,MATCH($E506,TEAM_ANALYSIS!$A:$A,0)),1)</f>
        <v>1.3235294117647058</v>
      </c>
      <c r="N506">
        <f>IFERROR(INDEX(TEAM_ANALYSIS!$Y:$Y,MATCH($F506,TEAM_ANALYSIS!$A:$A,0)),1)</f>
        <v>0.97058823529411764</v>
      </c>
      <c r="O506">
        <f>IFERROR(INDEX(TEAM_ANALYSIS!$Z:$Z,MATCH($F506,TEAM_ANALYSIS!$A:$A,0)),1)</f>
        <v>1.4411764705882353</v>
      </c>
      <c r="P506">
        <f>MAX(0.05,AVERAGE(TEAM_ANALYSIS!$W$2:$W$21)*L506*O506)</f>
        <v>4.4136029411764701</v>
      </c>
      <c r="Q506">
        <f>MAX(0.05,AVERAGE(TEAM_ANALYSIS!$W$2:$W$21)*N506*M506)</f>
        <v>2.7297794117647056</v>
      </c>
      <c r="R506" s="23">
        <f>MAX(0.8,MIN(1.2,P506/AVERAGE(TEAM_ANALYSIS!$W$2:$W$21)))</f>
        <v>1.2</v>
      </c>
      <c r="S506">
        <f>MAX(0.8,MIN(1.2,AVERAGE(TEAM_ANALYSIS!$W$2:$W$21)/Q506))</f>
        <v>0.8</v>
      </c>
      <c r="T506">
        <f>AVERAGE(R506,S506)</f>
        <v>1</v>
      </c>
    </row>
    <row r="507" spans="1:20" x14ac:dyDescent="0.25">
      <c r="A507">
        <v>26</v>
      </c>
      <c r="B507" t="b">
        <v>0</v>
      </c>
      <c r="C507" s="6">
        <v>46438.625</v>
      </c>
      <c r="D507" t="b">
        <v>0</v>
      </c>
      <c r="E507">
        <v>13</v>
      </c>
      <c r="F507">
        <v>2</v>
      </c>
      <c r="G507">
        <v>3</v>
      </c>
      <c r="H507" t="s">
        <v>1110</v>
      </c>
      <c r="I507" t="s">
        <v>1092</v>
      </c>
      <c r="J507" t="s">
        <v>1070</v>
      </c>
      <c r="K507" t="str">
        <f>tblTeamFixtures[[#This Row],[Team_name]]&amp;"_"&amp;tblTeamFixtures[[#This Row],[GW]]</f>
        <v>LEE_26</v>
      </c>
      <c r="L507">
        <f>IFERROR(INDEX(TEAM_ANALYSIS!$Y:$Y,MATCH($E507,TEAM_ANALYSIS!$A:$A,0)),1)</f>
        <v>0.8529411764705882</v>
      </c>
      <c r="M507">
        <f>IFERROR(INDEX(TEAM_ANALYSIS!$Z:$Z,MATCH($E507,TEAM_ANALYSIS!$A:$A,0)),1)</f>
        <v>0.73529411764705888</v>
      </c>
      <c r="N507">
        <f>IFERROR(INDEX(TEAM_ANALYSIS!$Y:$Y,MATCH($F507,TEAM_ANALYSIS!$A:$A,0)),1)</f>
        <v>0.5</v>
      </c>
      <c r="O507">
        <f>IFERROR(INDEX(TEAM_ANALYSIS!$Z:$Z,MATCH($F507,TEAM_ANALYSIS!$A:$A,0)),1)</f>
        <v>1.088235294117647</v>
      </c>
      <c r="P507">
        <f>MAX(0.05,AVERAGE(TEAM_ANALYSIS!$W$2:$W$21)*L507*O507)</f>
        <v>1.9724264705882351</v>
      </c>
      <c r="Q507">
        <f>MAX(0.05,AVERAGE(TEAM_ANALYSIS!$W$2:$W$21)*N507*M507)</f>
        <v>0.78125</v>
      </c>
      <c r="R507" s="23">
        <f>MAX(0.8,MIN(1.2,P507/AVERAGE(TEAM_ANALYSIS!$W$2:$W$21)))</f>
        <v>0.92820069204152233</v>
      </c>
      <c r="S507">
        <f>MAX(0.8,MIN(1.2,AVERAGE(TEAM_ANALYSIS!$W$2:$W$21)/Q507))</f>
        <v>1.2</v>
      </c>
      <c r="T507">
        <f>AVERAGE(R507,S507)</f>
        <v>1.0641003460207612</v>
      </c>
    </row>
    <row r="508" spans="1:20" x14ac:dyDescent="0.25">
      <c r="A508">
        <v>26</v>
      </c>
      <c r="B508" t="b">
        <v>0</v>
      </c>
      <c r="C508" s="6">
        <v>46438.625</v>
      </c>
      <c r="D508" t="b">
        <v>0</v>
      </c>
      <c r="E508">
        <v>14</v>
      </c>
      <c r="F508">
        <v>11</v>
      </c>
      <c r="G508">
        <v>2</v>
      </c>
      <c r="H508" t="s">
        <v>1110</v>
      </c>
      <c r="I508" t="s">
        <v>1094</v>
      </c>
      <c r="J508" t="s">
        <v>1088</v>
      </c>
      <c r="K508" t="str">
        <f>tblTeamFixtures[[#This Row],[Team_name]]&amp;"_"&amp;tblTeamFixtures[[#This Row],[GW]]</f>
        <v>LIV_26</v>
      </c>
      <c r="L508">
        <f>IFERROR(INDEX(TEAM_ANALYSIS!$Y:$Y,MATCH($E508,TEAM_ANALYSIS!$A:$A,0)),1)</f>
        <v>1.2058823529411764</v>
      </c>
      <c r="M508">
        <f>IFERROR(INDEX(TEAM_ANALYSIS!$Z:$Z,MATCH($E508,TEAM_ANALYSIS!$A:$A,0)),1)</f>
        <v>0.97058823529411764</v>
      </c>
      <c r="N508">
        <f>IFERROR(INDEX(TEAM_ANALYSIS!$Y:$Y,MATCH($F508,TEAM_ANALYSIS!$A:$A,0)),1)</f>
        <v>0.8529411764705882</v>
      </c>
      <c r="O508">
        <f>IFERROR(INDEX(TEAM_ANALYSIS!$Z:$Z,MATCH($F508,TEAM_ANALYSIS!$A:$A,0)),1)</f>
        <v>0.5</v>
      </c>
      <c r="P508">
        <f>MAX(0.05,AVERAGE(TEAM_ANALYSIS!$W$2:$W$21)*L508*O508)</f>
        <v>1.28125</v>
      </c>
      <c r="Q508">
        <f>MAX(0.05,AVERAGE(TEAM_ANALYSIS!$W$2:$W$21)*N508*M508)</f>
        <v>1.7591911764705883</v>
      </c>
      <c r="R508" s="23">
        <f>MAX(0.8,MIN(1.2,P508/AVERAGE(TEAM_ANALYSIS!$W$2:$W$21)))</f>
        <v>0.8</v>
      </c>
      <c r="S508">
        <f>MAX(0.8,MIN(1.2,AVERAGE(TEAM_ANALYSIS!$W$2:$W$21)/Q508))</f>
        <v>1.2</v>
      </c>
      <c r="T508">
        <f>AVERAGE(R508,S508)</f>
        <v>1</v>
      </c>
    </row>
    <row r="509" spans="1:20" x14ac:dyDescent="0.25">
      <c r="A509">
        <v>26</v>
      </c>
      <c r="B509" t="b">
        <v>0</v>
      </c>
      <c r="C509" s="6">
        <v>46438.625</v>
      </c>
      <c r="D509" t="b">
        <v>0</v>
      </c>
      <c r="E509">
        <v>15</v>
      </c>
      <c r="F509">
        <v>17</v>
      </c>
      <c r="G509">
        <v>2</v>
      </c>
      <c r="H509" t="s">
        <v>1110</v>
      </c>
      <c r="I509" t="s">
        <v>1096</v>
      </c>
      <c r="J509" t="s">
        <v>1100</v>
      </c>
      <c r="K509" t="str">
        <f>tblTeamFixtures[[#This Row],[Team_name]]&amp;"_"&amp;tblTeamFixtures[[#This Row],[GW]]</f>
        <v>MCI_26</v>
      </c>
      <c r="L509">
        <f>IFERROR(INDEX(TEAM_ANALYSIS!$Y:$Y,MATCH($E509,TEAM_ANALYSIS!$A:$A,0)),1)</f>
        <v>1.3235294117647058</v>
      </c>
      <c r="M509">
        <f>IFERROR(INDEX(TEAM_ANALYSIS!$Z:$Z,MATCH($E509,TEAM_ANALYSIS!$A:$A,0)),1)</f>
        <v>0.73529411764705888</v>
      </c>
      <c r="N509">
        <f>IFERROR(INDEX(TEAM_ANALYSIS!$Y:$Y,MATCH($F509,TEAM_ANALYSIS!$A:$A,0)),1)</f>
        <v>1.2058823529411764</v>
      </c>
      <c r="O509">
        <f>IFERROR(INDEX(TEAM_ANALYSIS!$Z:$Z,MATCH($F509,TEAM_ANALYSIS!$A:$A,0)),1)</f>
        <v>0.97058823529411764</v>
      </c>
      <c r="P509">
        <f>MAX(0.05,AVERAGE(TEAM_ANALYSIS!$W$2:$W$21)*L509*O509)</f>
        <v>2.7297794117647061</v>
      </c>
      <c r="Q509">
        <f>MAX(0.05,AVERAGE(TEAM_ANALYSIS!$W$2:$W$21)*N509*M509)</f>
        <v>1.8841911764705883</v>
      </c>
      <c r="R509" s="23">
        <f>MAX(0.8,MIN(1.2,P509/AVERAGE(TEAM_ANALYSIS!$W$2:$W$21)))</f>
        <v>1.2</v>
      </c>
      <c r="S509">
        <f>MAX(0.8,MIN(1.2,AVERAGE(TEAM_ANALYSIS!$W$2:$W$21)/Q509))</f>
        <v>1.1278048780487804</v>
      </c>
      <c r="T509">
        <f>AVERAGE(R509,S509)</f>
        <v>1.1639024390243902</v>
      </c>
    </row>
    <row r="510" spans="1:20" x14ac:dyDescent="0.25">
      <c r="A510">
        <v>26</v>
      </c>
      <c r="B510" t="b">
        <v>0</v>
      </c>
      <c r="C510" s="6">
        <v>46438.625</v>
      </c>
      <c r="D510" t="b">
        <v>0</v>
      </c>
      <c r="E510">
        <v>18</v>
      </c>
      <c r="F510">
        <v>16</v>
      </c>
      <c r="G510">
        <v>4</v>
      </c>
      <c r="H510" t="s">
        <v>1110</v>
      </c>
      <c r="I510" t="s">
        <v>1102</v>
      </c>
      <c r="J510" t="s">
        <v>1098</v>
      </c>
      <c r="K510" t="str">
        <f>tblTeamFixtures[[#This Row],[Team_name]]&amp;"_"&amp;tblTeamFixtures[[#This Row],[GW]]</f>
        <v>NFO_26</v>
      </c>
      <c r="L510">
        <f>IFERROR(INDEX(TEAM_ANALYSIS!$Y:$Y,MATCH($E510,TEAM_ANALYSIS!$A:$A,0)),1)</f>
        <v>0.73529411764705888</v>
      </c>
      <c r="M510">
        <f>IFERROR(INDEX(TEAM_ANALYSIS!$Z:$Z,MATCH($E510,TEAM_ANALYSIS!$A:$A,0)),1)</f>
        <v>0.8529411764705882</v>
      </c>
      <c r="N510">
        <f>IFERROR(INDEX(TEAM_ANALYSIS!$Y:$Y,MATCH($F510,TEAM_ANALYSIS!$A:$A,0)),1)</f>
        <v>1.3235294117647058</v>
      </c>
      <c r="O510">
        <f>IFERROR(INDEX(TEAM_ANALYSIS!$Z:$Z,MATCH($F510,TEAM_ANALYSIS!$A:$A,0)),1)</f>
        <v>1.2058823529411764</v>
      </c>
      <c r="P510">
        <f>MAX(0.05,AVERAGE(TEAM_ANALYSIS!$W$2:$W$21)*L510*O510)</f>
        <v>1.8841911764705881</v>
      </c>
      <c r="Q510">
        <f>MAX(0.05,AVERAGE(TEAM_ANALYSIS!$W$2:$W$21)*N510*M510)</f>
        <v>2.3988970588235294</v>
      </c>
      <c r="R510" s="23">
        <f>MAX(0.8,MIN(1.2,P510/AVERAGE(TEAM_ANALYSIS!$W$2:$W$21)))</f>
        <v>0.88667820069204151</v>
      </c>
      <c r="S510">
        <f>MAX(0.8,MIN(1.2,AVERAGE(TEAM_ANALYSIS!$W$2:$W$21)/Q510))</f>
        <v>0.885823754789272</v>
      </c>
      <c r="T510">
        <f>AVERAGE(R510,S510)</f>
        <v>0.88625097774065675</v>
      </c>
    </row>
    <row r="511" spans="1:20" x14ac:dyDescent="0.25">
      <c r="A511">
        <v>26</v>
      </c>
      <c r="B511" t="b">
        <v>0</v>
      </c>
      <c r="C511" s="6">
        <v>46438.625</v>
      </c>
      <c r="D511" t="b">
        <v>0</v>
      </c>
      <c r="E511">
        <v>20</v>
      </c>
      <c r="F511">
        <v>9</v>
      </c>
      <c r="G511">
        <v>3</v>
      </c>
      <c r="H511" t="s">
        <v>1110</v>
      </c>
      <c r="I511" t="s">
        <v>1106</v>
      </c>
      <c r="J511" t="s">
        <v>1084</v>
      </c>
      <c r="K511" t="str">
        <f>tblTeamFixtures[[#This Row],[Team_name]]&amp;"_"&amp;tblTeamFixtures[[#This Row],[GW]]</f>
        <v>SUN_26</v>
      </c>
      <c r="L511">
        <f>IFERROR(INDEX(TEAM_ANALYSIS!$Y:$Y,MATCH($E511,TEAM_ANALYSIS!$A:$A,0)),1)</f>
        <v>0.8529411764705882</v>
      </c>
      <c r="M511">
        <f>IFERROR(INDEX(TEAM_ANALYSIS!$Z:$Z,MATCH($E511,TEAM_ANALYSIS!$A:$A,0)),1)</f>
        <v>0.8529411764705882</v>
      </c>
      <c r="N511">
        <f>IFERROR(INDEX(TEAM_ANALYSIS!$Y:$Y,MATCH($F511,TEAM_ANALYSIS!$A:$A,0)),1)</f>
        <v>1.088235294117647</v>
      </c>
      <c r="O511">
        <f>IFERROR(INDEX(TEAM_ANALYSIS!$Z:$Z,MATCH($F511,TEAM_ANALYSIS!$A:$A,0)),1)</f>
        <v>0.8529411764705882</v>
      </c>
      <c r="P511">
        <f>MAX(0.05,AVERAGE(TEAM_ANALYSIS!$W$2:$W$21)*L511*O511)</f>
        <v>1.5459558823529411</v>
      </c>
      <c r="Q511">
        <f>MAX(0.05,AVERAGE(TEAM_ANALYSIS!$W$2:$W$21)*N511*M511)</f>
        <v>1.9724264705882353</v>
      </c>
      <c r="R511" s="23">
        <f>MAX(0.8,MIN(1.2,P511/AVERAGE(TEAM_ANALYSIS!$W$2:$W$21)))</f>
        <v>0.8</v>
      </c>
      <c r="S511">
        <f>MAX(0.8,MIN(1.2,AVERAGE(TEAM_ANALYSIS!$W$2:$W$21)/Q511))</f>
        <v>1.0773532152842498</v>
      </c>
      <c r="T511">
        <f>AVERAGE(R511,S511)</f>
        <v>0.9386766076421249</v>
      </c>
    </row>
    <row r="512" spans="1:20" x14ac:dyDescent="0.25">
      <c r="A512">
        <v>26</v>
      </c>
      <c r="B512" t="b">
        <v>0</v>
      </c>
      <c r="C512" s="6">
        <v>46438.625</v>
      </c>
      <c r="D512" t="b">
        <v>0</v>
      </c>
      <c r="E512">
        <v>10</v>
      </c>
      <c r="F512">
        <v>1</v>
      </c>
      <c r="G512">
        <v>5</v>
      </c>
      <c r="H512" t="s">
        <v>1111</v>
      </c>
      <c r="I512" t="s">
        <v>1086</v>
      </c>
      <c r="J512" t="s">
        <v>1068</v>
      </c>
      <c r="K512" t="str">
        <f>tblTeamFixtures[[#This Row],[Team_name]]&amp;"_"&amp;tblTeamFixtures[[#This Row],[GW]]</f>
        <v>FUL_26</v>
      </c>
      <c r="L512">
        <f>IFERROR(INDEX(TEAM_ANALYSIS!$Y:$Y,MATCH($E512,TEAM_ANALYSIS!$A:$A,0)),1)</f>
        <v>0.97058823529411764</v>
      </c>
      <c r="M512">
        <f>IFERROR(INDEX(TEAM_ANALYSIS!$Z:$Z,MATCH($E512,TEAM_ANALYSIS!$A:$A,0)),1)</f>
        <v>1.3235294117647058</v>
      </c>
      <c r="N512">
        <f>IFERROR(INDEX(TEAM_ANALYSIS!$Y:$Y,MATCH($F512,TEAM_ANALYSIS!$A:$A,0)),1)</f>
        <v>1.2058823529411764</v>
      </c>
      <c r="O512">
        <f>IFERROR(INDEX(TEAM_ANALYSIS!$Z:$Z,MATCH($F512,TEAM_ANALYSIS!$A:$A,0)),1)</f>
        <v>0.61764705882352944</v>
      </c>
      <c r="P512">
        <f>MAX(0.05,AVERAGE(TEAM_ANALYSIS!$W$2:$W$21)*L512*O512)</f>
        <v>1.2738970588235294</v>
      </c>
      <c r="Q512">
        <f>MAX(0.05,AVERAGE(TEAM_ANALYSIS!$W$2:$W$21)*N512*M512)</f>
        <v>3.3915441176470589</v>
      </c>
      <c r="R512" s="23">
        <f>MAX(0.8,MIN(1.2,P512/AVERAGE(TEAM_ANALYSIS!$W$2:$W$21)))</f>
        <v>0.8</v>
      </c>
      <c r="S512">
        <f>MAX(0.8,MIN(1.2,AVERAGE(TEAM_ANALYSIS!$W$2:$W$21)/Q512))</f>
        <v>0.8</v>
      </c>
      <c r="T512">
        <f>AVERAGE(R512,S512)</f>
        <v>0.8</v>
      </c>
    </row>
    <row r="513" spans="1:20" x14ac:dyDescent="0.25">
      <c r="A513">
        <v>26</v>
      </c>
      <c r="B513" t="b">
        <v>0</v>
      </c>
      <c r="C513" s="6">
        <v>46438.625</v>
      </c>
      <c r="D513" t="b">
        <v>0</v>
      </c>
      <c r="E513">
        <v>8</v>
      </c>
      <c r="F513">
        <v>3</v>
      </c>
      <c r="G513">
        <v>3</v>
      </c>
      <c r="H513" t="s">
        <v>1111</v>
      </c>
      <c r="I513" t="s">
        <v>1082</v>
      </c>
      <c r="J513" t="s">
        <v>1072</v>
      </c>
      <c r="K513" t="str">
        <f>tblTeamFixtures[[#This Row],[Team_name]]&amp;"_"&amp;tblTeamFixtures[[#This Row],[GW]]</f>
        <v>CRY_26</v>
      </c>
      <c r="L513">
        <f>IFERROR(INDEX(TEAM_ANALYSIS!$Y:$Y,MATCH($E513,TEAM_ANALYSIS!$A:$A,0)),1)</f>
        <v>0.97058823529411764</v>
      </c>
      <c r="M513">
        <f>IFERROR(INDEX(TEAM_ANALYSIS!$Z:$Z,MATCH($E513,TEAM_ANALYSIS!$A:$A,0)),1)</f>
        <v>1.4411764705882353</v>
      </c>
      <c r="N513">
        <f>IFERROR(INDEX(TEAM_ANALYSIS!$Y:$Y,MATCH($F513,TEAM_ANALYSIS!$A:$A,0)),1)</f>
        <v>0.97058823529411764</v>
      </c>
      <c r="O513">
        <f>IFERROR(INDEX(TEAM_ANALYSIS!$Z:$Z,MATCH($F513,TEAM_ANALYSIS!$A:$A,0)),1)</f>
        <v>1.088235294117647</v>
      </c>
      <c r="P513">
        <f>MAX(0.05,AVERAGE(TEAM_ANALYSIS!$W$2:$W$21)*L513*O513)</f>
        <v>2.2444852941176467</v>
      </c>
      <c r="Q513">
        <f>MAX(0.05,AVERAGE(TEAM_ANALYSIS!$W$2:$W$21)*N513*M513)</f>
        <v>2.9724264705882351</v>
      </c>
      <c r="R513" s="23">
        <f>MAX(0.8,MIN(1.2,P513/AVERAGE(TEAM_ANALYSIS!$W$2:$W$21)))</f>
        <v>1.0562283737024221</v>
      </c>
      <c r="S513">
        <f>MAX(0.8,MIN(1.2,AVERAGE(TEAM_ANALYSIS!$W$2:$W$21)/Q513))</f>
        <v>0.8</v>
      </c>
      <c r="T513">
        <f>AVERAGE(R513,S513)</f>
        <v>0.92811418685121105</v>
      </c>
    </row>
    <row r="514" spans="1:20" x14ac:dyDescent="0.25">
      <c r="A514">
        <v>26</v>
      </c>
      <c r="B514" t="b">
        <v>0</v>
      </c>
      <c r="C514" s="6">
        <v>46438.625</v>
      </c>
      <c r="D514" t="b">
        <v>0</v>
      </c>
      <c r="E514">
        <v>7</v>
      </c>
      <c r="F514">
        <v>4</v>
      </c>
      <c r="G514">
        <v>3</v>
      </c>
      <c r="H514" t="s">
        <v>1111</v>
      </c>
      <c r="I514" t="s">
        <v>1080</v>
      </c>
      <c r="J514" t="s">
        <v>1074</v>
      </c>
      <c r="K514" t="str">
        <f>tblTeamFixtures[[#This Row],[Team_name]]&amp;"_"&amp;tblTeamFixtures[[#This Row],[GW]]</f>
        <v>COV_26</v>
      </c>
      <c r="L514">
        <f>IFERROR(INDEX(TEAM_ANALYSIS!$Y:$Y,MATCH($E514,TEAM_ANALYSIS!$A:$A,0)),1)</f>
        <v>0.5</v>
      </c>
      <c r="M514">
        <f>IFERROR(INDEX(TEAM_ANALYSIS!$Z:$Z,MATCH($E514,TEAM_ANALYSIS!$A:$A,0)),1)</f>
        <v>1.088235294117647</v>
      </c>
      <c r="N514">
        <f>IFERROR(INDEX(TEAM_ANALYSIS!$Y:$Y,MATCH($F514,TEAM_ANALYSIS!$A:$A,0)),1)</f>
        <v>1.088235294117647</v>
      </c>
      <c r="O514">
        <f>IFERROR(INDEX(TEAM_ANALYSIS!$Z:$Z,MATCH($F514,TEAM_ANALYSIS!$A:$A,0)),1)</f>
        <v>0.73529411764705888</v>
      </c>
      <c r="P514">
        <f>MAX(0.05,AVERAGE(TEAM_ANALYSIS!$W$2:$W$21)*L514*O514)</f>
        <v>0.78125</v>
      </c>
      <c r="Q514">
        <f>MAX(0.05,AVERAGE(TEAM_ANALYSIS!$W$2:$W$21)*N514*M514)</f>
        <v>2.5165441176470584</v>
      </c>
      <c r="R514" s="23">
        <f>MAX(0.8,MIN(1.2,P514/AVERAGE(TEAM_ANALYSIS!$W$2:$W$21)))</f>
        <v>0.8</v>
      </c>
      <c r="S514">
        <f>MAX(0.8,MIN(1.2,AVERAGE(TEAM_ANALYSIS!$W$2:$W$21)/Q514))</f>
        <v>0.84441197954711478</v>
      </c>
      <c r="T514">
        <f>AVERAGE(R514,S514)</f>
        <v>0.82220598977355741</v>
      </c>
    </row>
    <row r="515" spans="1:20" x14ac:dyDescent="0.25">
      <c r="A515">
        <v>26</v>
      </c>
      <c r="B515" t="b">
        <v>0</v>
      </c>
      <c r="C515" s="6">
        <v>46438.625</v>
      </c>
      <c r="D515" t="b">
        <v>0</v>
      </c>
      <c r="E515">
        <v>19</v>
      </c>
      <c r="F515">
        <v>5</v>
      </c>
      <c r="G515">
        <v>3</v>
      </c>
      <c r="H515" t="s">
        <v>1111</v>
      </c>
      <c r="I515" t="s">
        <v>1104</v>
      </c>
      <c r="J515" t="s">
        <v>1076</v>
      </c>
      <c r="K515" t="str">
        <f>tblTeamFixtures[[#This Row],[Team_name]]&amp;"_"&amp;tblTeamFixtures[[#This Row],[GW]]</f>
        <v>TOT_26</v>
      </c>
      <c r="L515">
        <f>IFERROR(INDEX(TEAM_ANALYSIS!$Y:$Y,MATCH($E515,TEAM_ANALYSIS!$A:$A,0)),1)</f>
        <v>0.5</v>
      </c>
      <c r="M515">
        <f>IFERROR(INDEX(TEAM_ANALYSIS!$Z:$Z,MATCH($E515,TEAM_ANALYSIS!$A:$A,0)),1)</f>
        <v>1.088235294117647</v>
      </c>
      <c r="N515">
        <f>IFERROR(INDEX(TEAM_ANALYSIS!$Y:$Y,MATCH($F515,TEAM_ANALYSIS!$A:$A,0)),1)</f>
        <v>1.4411764705882353</v>
      </c>
      <c r="O515">
        <f>IFERROR(INDEX(TEAM_ANALYSIS!$Z:$Z,MATCH($F515,TEAM_ANALYSIS!$A:$A,0)),1)</f>
        <v>1.088235294117647</v>
      </c>
      <c r="P515">
        <f>MAX(0.05,AVERAGE(TEAM_ANALYSIS!$W$2:$W$21)*L515*O515)</f>
        <v>1.15625</v>
      </c>
      <c r="Q515">
        <f>MAX(0.05,AVERAGE(TEAM_ANALYSIS!$W$2:$W$21)*N515*M515)</f>
        <v>3.3327205882352939</v>
      </c>
      <c r="R515" s="23">
        <f>MAX(0.8,MIN(1.2,P515/AVERAGE(TEAM_ANALYSIS!$W$2:$W$21)))</f>
        <v>0.8</v>
      </c>
      <c r="S515">
        <f>MAX(0.8,MIN(1.2,AVERAGE(TEAM_ANALYSIS!$W$2:$W$21)/Q515))</f>
        <v>0.8</v>
      </c>
      <c r="T515">
        <f>AVERAGE(R515,S515)</f>
        <v>0.8</v>
      </c>
    </row>
    <row r="516" spans="1:20" x14ac:dyDescent="0.25">
      <c r="A516">
        <v>26</v>
      </c>
      <c r="B516" t="b">
        <v>0</v>
      </c>
      <c r="C516" s="6">
        <v>46438.625</v>
      </c>
      <c r="D516" t="b">
        <v>0</v>
      </c>
      <c r="E516">
        <v>12</v>
      </c>
      <c r="F516">
        <v>6</v>
      </c>
      <c r="G516">
        <v>4</v>
      </c>
      <c r="H516" t="s">
        <v>1111</v>
      </c>
      <c r="I516" t="s">
        <v>1090</v>
      </c>
      <c r="J516" t="s">
        <v>1078</v>
      </c>
      <c r="K516" t="str">
        <f>tblTeamFixtures[[#This Row],[Team_name]]&amp;"_"&amp;tblTeamFixtures[[#This Row],[GW]]</f>
        <v>IPS_26</v>
      </c>
      <c r="L516">
        <f>IFERROR(INDEX(TEAM_ANALYSIS!$Y:$Y,MATCH($E516,TEAM_ANALYSIS!$A:$A,0)),1)</f>
        <v>0.97058823529411764</v>
      </c>
      <c r="M516">
        <f>IFERROR(INDEX(TEAM_ANALYSIS!$Z:$Z,MATCH($E516,TEAM_ANALYSIS!$A:$A,0)),1)</f>
        <v>1.4411764705882353</v>
      </c>
      <c r="N516">
        <f>IFERROR(INDEX(TEAM_ANALYSIS!$Y:$Y,MATCH($F516,TEAM_ANALYSIS!$A:$A,0)),1)</f>
        <v>1.4411764705882353</v>
      </c>
      <c r="O516">
        <f>IFERROR(INDEX(TEAM_ANALYSIS!$Z:$Z,MATCH($F516,TEAM_ANALYSIS!$A:$A,0)),1)</f>
        <v>1.3235294117647058</v>
      </c>
      <c r="P516">
        <f>MAX(0.05,AVERAGE(TEAM_ANALYSIS!$W$2:$W$21)*L516*O516)</f>
        <v>2.7297794117647056</v>
      </c>
      <c r="Q516">
        <f>MAX(0.05,AVERAGE(TEAM_ANALYSIS!$W$2:$W$21)*N516*M516)</f>
        <v>4.4136029411764701</v>
      </c>
      <c r="R516" s="23">
        <f>MAX(0.8,MIN(1.2,P516/AVERAGE(TEAM_ANALYSIS!$W$2:$W$21)))</f>
        <v>1.2</v>
      </c>
      <c r="S516">
        <f>MAX(0.8,MIN(1.2,AVERAGE(TEAM_ANALYSIS!$W$2:$W$21)/Q516))</f>
        <v>0.8</v>
      </c>
      <c r="T516">
        <f>AVERAGE(R516,S516)</f>
        <v>1</v>
      </c>
    </row>
    <row r="517" spans="1:20" x14ac:dyDescent="0.25">
      <c r="A517">
        <v>26</v>
      </c>
      <c r="B517" t="b">
        <v>0</v>
      </c>
      <c r="C517" s="6">
        <v>46438.625</v>
      </c>
      <c r="D517" t="b">
        <v>0</v>
      </c>
      <c r="E517">
        <v>2</v>
      </c>
      <c r="F517">
        <v>13</v>
      </c>
      <c r="G517">
        <v>3</v>
      </c>
      <c r="H517" t="s">
        <v>1111</v>
      </c>
      <c r="I517" t="s">
        <v>1070</v>
      </c>
      <c r="J517" t="s">
        <v>1092</v>
      </c>
      <c r="K517" t="str">
        <f>tblTeamFixtures[[#This Row],[Team_name]]&amp;"_"&amp;tblTeamFixtures[[#This Row],[GW]]</f>
        <v>AVL_26</v>
      </c>
      <c r="L517">
        <f>IFERROR(INDEX(TEAM_ANALYSIS!$Y:$Y,MATCH($E517,TEAM_ANALYSIS!$A:$A,0)),1)</f>
        <v>0.5</v>
      </c>
      <c r="M517">
        <f>IFERROR(INDEX(TEAM_ANALYSIS!$Z:$Z,MATCH($E517,TEAM_ANALYSIS!$A:$A,0)),1)</f>
        <v>1.088235294117647</v>
      </c>
      <c r="N517">
        <f>IFERROR(INDEX(TEAM_ANALYSIS!$Y:$Y,MATCH($F517,TEAM_ANALYSIS!$A:$A,0)),1)</f>
        <v>0.8529411764705882</v>
      </c>
      <c r="O517">
        <f>IFERROR(INDEX(TEAM_ANALYSIS!$Z:$Z,MATCH($F517,TEAM_ANALYSIS!$A:$A,0)),1)</f>
        <v>0.73529411764705888</v>
      </c>
      <c r="P517">
        <f>MAX(0.05,AVERAGE(TEAM_ANALYSIS!$W$2:$W$21)*L517*O517)</f>
        <v>0.78125</v>
      </c>
      <c r="Q517">
        <f>MAX(0.05,AVERAGE(TEAM_ANALYSIS!$W$2:$W$21)*N517*M517)</f>
        <v>1.9724264705882351</v>
      </c>
      <c r="R517" s="23">
        <f>MAX(0.8,MIN(1.2,P517/AVERAGE(TEAM_ANALYSIS!$W$2:$W$21)))</f>
        <v>0.8</v>
      </c>
      <c r="S517">
        <f>MAX(0.8,MIN(1.2,AVERAGE(TEAM_ANALYSIS!$W$2:$W$21)/Q517))</f>
        <v>1.07735321528425</v>
      </c>
      <c r="T517">
        <f>AVERAGE(R517,S517)</f>
        <v>0.93867660764212502</v>
      </c>
    </row>
    <row r="518" spans="1:20" x14ac:dyDescent="0.25">
      <c r="A518">
        <v>26</v>
      </c>
      <c r="B518" t="b">
        <v>0</v>
      </c>
      <c r="C518" s="6">
        <v>46438.625</v>
      </c>
      <c r="D518" t="b">
        <v>0</v>
      </c>
      <c r="E518">
        <v>11</v>
      </c>
      <c r="F518">
        <v>14</v>
      </c>
      <c r="G518">
        <v>4</v>
      </c>
      <c r="H518" t="s">
        <v>1111</v>
      </c>
      <c r="I518" t="s">
        <v>1088</v>
      </c>
      <c r="J518" t="s">
        <v>1094</v>
      </c>
      <c r="K518" t="str">
        <f>tblTeamFixtures[[#This Row],[Team_name]]&amp;"_"&amp;tblTeamFixtures[[#This Row],[GW]]</f>
        <v>HUL_26</v>
      </c>
      <c r="L518">
        <f>IFERROR(INDEX(TEAM_ANALYSIS!$Y:$Y,MATCH($E518,TEAM_ANALYSIS!$A:$A,0)),1)</f>
        <v>0.8529411764705882</v>
      </c>
      <c r="M518">
        <f>IFERROR(INDEX(TEAM_ANALYSIS!$Z:$Z,MATCH($E518,TEAM_ANALYSIS!$A:$A,0)),1)</f>
        <v>0.5</v>
      </c>
      <c r="N518">
        <f>IFERROR(INDEX(TEAM_ANALYSIS!$Y:$Y,MATCH($F518,TEAM_ANALYSIS!$A:$A,0)),1)</f>
        <v>1.2058823529411764</v>
      </c>
      <c r="O518">
        <f>IFERROR(INDEX(TEAM_ANALYSIS!$Z:$Z,MATCH($F518,TEAM_ANALYSIS!$A:$A,0)),1)</f>
        <v>0.97058823529411764</v>
      </c>
      <c r="P518">
        <f>MAX(0.05,AVERAGE(TEAM_ANALYSIS!$W$2:$W$21)*L518*O518)</f>
        <v>1.7591911764705883</v>
      </c>
      <c r="Q518">
        <f>MAX(0.05,AVERAGE(TEAM_ANALYSIS!$W$2:$W$21)*N518*M518)</f>
        <v>1.28125</v>
      </c>
      <c r="R518" s="23">
        <f>MAX(0.8,MIN(1.2,P518/AVERAGE(TEAM_ANALYSIS!$W$2:$W$21)))</f>
        <v>0.8278546712802769</v>
      </c>
      <c r="S518">
        <f>MAX(0.8,MIN(1.2,AVERAGE(TEAM_ANALYSIS!$W$2:$W$21)/Q518))</f>
        <v>1.2</v>
      </c>
      <c r="T518">
        <f>AVERAGE(R518,S518)</f>
        <v>1.0139273356401384</v>
      </c>
    </row>
    <row r="519" spans="1:20" x14ac:dyDescent="0.25">
      <c r="A519">
        <v>26</v>
      </c>
      <c r="B519" t="b">
        <v>0</v>
      </c>
      <c r="C519" s="6">
        <v>46438.625</v>
      </c>
      <c r="D519" t="b">
        <v>0</v>
      </c>
      <c r="E519">
        <v>17</v>
      </c>
      <c r="F519">
        <v>15</v>
      </c>
      <c r="G519">
        <v>5</v>
      </c>
      <c r="H519" t="s">
        <v>1111</v>
      </c>
      <c r="I519" t="s">
        <v>1100</v>
      </c>
      <c r="J519" t="s">
        <v>1096</v>
      </c>
      <c r="K519" t="str">
        <f>tblTeamFixtures[[#This Row],[Team_name]]&amp;"_"&amp;tblTeamFixtures[[#This Row],[GW]]</f>
        <v>NEW_26</v>
      </c>
      <c r="L519">
        <f>IFERROR(INDEX(TEAM_ANALYSIS!$Y:$Y,MATCH($E519,TEAM_ANALYSIS!$A:$A,0)),1)</f>
        <v>1.2058823529411764</v>
      </c>
      <c r="M519">
        <f>IFERROR(INDEX(TEAM_ANALYSIS!$Z:$Z,MATCH($E519,TEAM_ANALYSIS!$A:$A,0)),1)</f>
        <v>0.97058823529411764</v>
      </c>
      <c r="N519">
        <f>IFERROR(INDEX(TEAM_ANALYSIS!$Y:$Y,MATCH($F519,TEAM_ANALYSIS!$A:$A,0)),1)</f>
        <v>1.3235294117647058</v>
      </c>
      <c r="O519">
        <f>IFERROR(INDEX(TEAM_ANALYSIS!$Z:$Z,MATCH($F519,TEAM_ANALYSIS!$A:$A,0)),1)</f>
        <v>0.73529411764705888</v>
      </c>
      <c r="P519">
        <f>MAX(0.05,AVERAGE(TEAM_ANALYSIS!$W$2:$W$21)*L519*O519)</f>
        <v>1.8841911764705883</v>
      </c>
      <c r="Q519">
        <f>MAX(0.05,AVERAGE(TEAM_ANALYSIS!$W$2:$W$21)*N519*M519)</f>
        <v>2.7297794117647061</v>
      </c>
      <c r="R519" s="23">
        <f>MAX(0.8,MIN(1.2,P519/AVERAGE(TEAM_ANALYSIS!$W$2:$W$21)))</f>
        <v>0.88667820069204151</v>
      </c>
      <c r="S519">
        <f>MAX(0.8,MIN(1.2,AVERAGE(TEAM_ANALYSIS!$W$2:$W$21)/Q519))</f>
        <v>0.8</v>
      </c>
      <c r="T519">
        <f>AVERAGE(R519,S519)</f>
        <v>0.84333910034602078</v>
      </c>
    </row>
    <row r="520" spans="1:20" x14ac:dyDescent="0.25">
      <c r="A520">
        <v>26</v>
      </c>
      <c r="B520" t="b">
        <v>0</v>
      </c>
      <c r="C520" s="6">
        <v>46438.625</v>
      </c>
      <c r="D520" t="b">
        <v>0</v>
      </c>
      <c r="E520">
        <v>16</v>
      </c>
      <c r="F520">
        <v>18</v>
      </c>
      <c r="G520">
        <v>3</v>
      </c>
      <c r="H520" t="s">
        <v>1111</v>
      </c>
      <c r="I520" t="s">
        <v>1098</v>
      </c>
      <c r="J520" t="s">
        <v>1102</v>
      </c>
      <c r="K520" t="str">
        <f>tblTeamFixtures[[#This Row],[Team_name]]&amp;"_"&amp;tblTeamFixtures[[#This Row],[GW]]</f>
        <v>MUN_26</v>
      </c>
      <c r="L520">
        <f>IFERROR(INDEX(TEAM_ANALYSIS!$Y:$Y,MATCH($E520,TEAM_ANALYSIS!$A:$A,0)),1)</f>
        <v>1.3235294117647058</v>
      </c>
      <c r="M520">
        <f>IFERROR(INDEX(TEAM_ANALYSIS!$Z:$Z,MATCH($E520,TEAM_ANALYSIS!$A:$A,0)),1)</f>
        <v>1.2058823529411764</v>
      </c>
      <c r="N520">
        <f>IFERROR(INDEX(TEAM_ANALYSIS!$Y:$Y,MATCH($F520,TEAM_ANALYSIS!$A:$A,0)),1)</f>
        <v>0.73529411764705888</v>
      </c>
      <c r="O520">
        <f>IFERROR(INDEX(TEAM_ANALYSIS!$Z:$Z,MATCH($F520,TEAM_ANALYSIS!$A:$A,0)),1)</f>
        <v>0.8529411764705882</v>
      </c>
      <c r="P520">
        <f>MAX(0.05,AVERAGE(TEAM_ANALYSIS!$W$2:$W$21)*L520*O520)</f>
        <v>2.3988970588235294</v>
      </c>
      <c r="Q520">
        <f>MAX(0.05,AVERAGE(TEAM_ANALYSIS!$W$2:$W$21)*N520*M520)</f>
        <v>1.8841911764705881</v>
      </c>
      <c r="R520" s="23">
        <f>MAX(0.8,MIN(1.2,P520/AVERAGE(TEAM_ANALYSIS!$W$2:$W$21)))</f>
        <v>1.1288927335640138</v>
      </c>
      <c r="S520">
        <f>MAX(0.8,MIN(1.2,AVERAGE(TEAM_ANALYSIS!$W$2:$W$21)/Q520))</f>
        <v>1.1278048780487806</v>
      </c>
      <c r="T520">
        <f>AVERAGE(R520,S520)</f>
        <v>1.1283488058063971</v>
      </c>
    </row>
    <row r="521" spans="1:20" x14ac:dyDescent="0.25">
      <c r="A521">
        <v>26</v>
      </c>
      <c r="B521" t="b">
        <v>0</v>
      </c>
      <c r="C521" s="6">
        <v>46438.625</v>
      </c>
      <c r="D521" t="b">
        <v>0</v>
      </c>
      <c r="E521">
        <v>9</v>
      </c>
      <c r="F521">
        <v>20</v>
      </c>
      <c r="G521">
        <v>3</v>
      </c>
      <c r="H521" t="s">
        <v>1111</v>
      </c>
      <c r="I521" t="s">
        <v>1084</v>
      </c>
      <c r="J521" t="s">
        <v>1106</v>
      </c>
      <c r="K521" t="str">
        <f>tblTeamFixtures[[#This Row],[Team_name]]&amp;"_"&amp;tblTeamFixtures[[#This Row],[GW]]</f>
        <v>EVE_26</v>
      </c>
      <c r="L521">
        <f>IFERROR(INDEX(TEAM_ANALYSIS!$Y:$Y,MATCH($E521,TEAM_ANALYSIS!$A:$A,0)),1)</f>
        <v>1.088235294117647</v>
      </c>
      <c r="M521">
        <f>IFERROR(INDEX(TEAM_ANALYSIS!$Z:$Z,MATCH($E521,TEAM_ANALYSIS!$A:$A,0)),1)</f>
        <v>0.8529411764705882</v>
      </c>
      <c r="N521">
        <f>IFERROR(INDEX(TEAM_ANALYSIS!$Y:$Y,MATCH($F521,TEAM_ANALYSIS!$A:$A,0)),1)</f>
        <v>0.8529411764705882</v>
      </c>
      <c r="O521">
        <f>IFERROR(INDEX(TEAM_ANALYSIS!$Z:$Z,MATCH($F521,TEAM_ANALYSIS!$A:$A,0)),1)</f>
        <v>0.8529411764705882</v>
      </c>
      <c r="P521">
        <f>MAX(0.05,AVERAGE(TEAM_ANALYSIS!$W$2:$W$21)*L521*O521)</f>
        <v>1.9724264705882353</v>
      </c>
      <c r="Q521">
        <f>MAX(0.05,AVERAGE(TEAM_ANALYSIS!$W$2:$W$21)*N521*M521)</f>
        <v>1.5459558823529411</v>
      </c>
      <c r="R521" s="23">
        <f>MAX(0.8,MIN(1.2,P521/AVERAGE(TEAM_ANALYSIS!$W$2:$W$21)))</f>
        <v>0.92820069204152245</v>
      </c>
      <c r="S521">
        <f>MAX(0.8,MIN(1.2,AVERAGE(TEAM_ANALYSIS!$W$2:$W$21)/Q521))</f>
        <v>1.2</v>
      </c>
      <c r="T521">
        <f>AVERAGE(R521,S521)</f>
        <v>1.0641003460207612</v>
      </c>
    </row>
    <row r="522" spans="1:20" x14ac:dyDescent="0.25">
      <c r="A522">
        <v>27</v>
      </c>
      <c r="B522" t="b">
        <v>0</v>
      </c>
      <c r="C522" s="6">
        <v>46445.625</v>
      </c>
      <c r="D522" t="b">
        <v>0</v>
      </c>
      <c r="E522">
        <v>2</v>
      </c>
      <c r="F522">
        <v>6</v>
      </c>
      <c r="G522">
        <v>4</v>
      </c>
      <c r="H522" t="s">
        <v>1110</v>
      </c>
      <c r="I522" t="s">
        <v>1070</v>
      </c>
      <c r="J522" t="s">
        <v>1078</v>
      </c>
      <c r="K522" t="str">
        <f>tblTeamFixtures[[#This Row],[Team_name]]&amp;"_"&amp;tblTeamFixtures[[#This Row],[GW]]</f>
        <v>AVL_27</v>
      </c>
      <c r="L522">
        <f>IFERROR(INDEX(TEAM_ANALYSIS!$Y:$Y,MATCH($E522,TEAM_ANALYSIS!$A:$A,0)),1)</f>
        <v>0.5</v>
      </c>
      <c r="M522">
        <f>IFERROR(INDEX(TEAM_ANALYSIS!$Z:$Z,MATCH($E522,TEAM_ANALYSIS!$A:$A,0)),1)</f>
        <v>1.088235294117647</v>
      </c>
      <c r="N522">
        <f>IFERROR(INDEX(TEAM_ANALYSIS!$Y:$Y,MATCH($F522,TEAM_ANALYSIS!$A:$A,0)),1)</f>
        <v>1.4411764705882353</v>
      </c>
      <c r="O522">
        <f>IFERROR(INDEX(TEAM_ANALYSIS!$Z:$Z,MATCH($F522,TEAM_ANALYSIS!$A:$A,0)),1)</f>
        <v>1.3235294117647058</v>
      </c>
      <c r="P522">
        <f>MAX(0.05,AVERAGE(TEAM_ANALYSIS!$W$2:$W$21)*L522*O522)</f>
        <v>1.40625</v>
      </c>
      <c r="Q522">
        <f>MAX(0.05,AVERAGE(TEAM_ANALYSIS!$W$2:$W$21)*N522*M522)</f>
        <v>3.3327205882352939</v>
      </c>
      <c r="R522" s="23">
        <f>MAX(0.8,MIN(1.2,P522/AVERAGE(TEAM_ANALYSIS!$W$2:$W$21)))</f>
        <v>0.8</v>
      </c>
      <c r="S522">
        <f>MAX(0.8,MIN(1.2,AVERAGE(TEAM_ANALYSIS!$W$2:$W$21)/Q522))</f>
        <v>0.8</v>
      </c>
      <c r="T522">
        <f>AVERAGE(R522,S522)</f>
        <v>0.8</v>
      </c>
    </row>
    <row r="523" spans="1:20" x14ac:dyDescent="0.25">
      <c r="A523">
        <v>27</v>
      </c>
      <c r="B523" t="b">
        <v>0</v>
      </c>
      <c r="C523" s="6">
        <v>46445.625</v>
      </c>
      <c r="D523" t="b">
        <v>0</v>
      </c>
      <c r="E523">
        <v>7</v>
      </c>
      <c r="F523">
        <v>3</v>
      </c>
      <c r="G523">
        <v>3</v>
      </c>
      <c r="H523" t="s">
        <v>1110</v>
      </c>
      <c r="I523" t="s">
        <v>1080</v>
      </c>
      <c r="J523" t="s">
        <v>1072</v>
      </c>
      <c r="K523" t="str">
        <f>tblTeamFixtures[[#This Row],[Team_name]]&amp;"_"&amp;tblTeamFixtures[[#This Row],[GW]]</f>
        <v>COV_27</v>
      </c>
      <c r="L523">
        <f>IFERROR(INDEX(TEAM_ANALYSIS!$Y:$Y,MATCH($E523,TEAM_ANALYSIS!$A:$A,0)),1)</f>
        <v>0.5</v>
      </c>
      <c r="M523">
        <f>IFERROR(INDEX(TEAM_ANALYSIS!$Z:$Z,MATCH($E523,TEAM_ANALYSIS!$A:$A,0)),1)</f>
        <v>1.088235294117647</v>
      </c>
      <c r="N523">
        <f>IFERROR(INDEX(TEAM_ANALYSIS!$Y:$Y,MATCH($F523,TEAM_ANALYSIS!$A:$A,0)),1)</f>
        <v>0.97058823529411764</v>
      </c>
      <c r="O523">
        <f>IFERROR(INDEX(TEAM_ANALYSIS!$Z:$Z,MATCH($F523,TEAM_ANALYSIS!$A:$A,0)),1)</f>
        <v>1.088235294117647</v>
      </c>
      <c r="P523">
        <f>MAX(0.05,AVERAGE(TEAM_ANALYSIS!$W$2:$W$21)*L523*O523)</f>
        <v>1.15625</v>
      </c>
      <c r="Q523">
        <f>MAX(0.05,AVERAGE(TEAM_ANALYSIS!$W$2:$W$21)*N523*M523)</f>
        <v>2.2444852941176467</v>
      </c>
      <c r="R523" s="23">
        <f>MAX(0.8,MIN(1.2,P523/AVERAGE(TEAM_ANALYSIS!$W$2:$W$21)))</f>
        <v>0.8</v>
      </c>
      <c r="S523">
        <f>MAX(0.8,MIN(1.2,AVERAGE(TEAM_ANALYSIS!$W$2:$W$21)/Q523))</f>
        <v>0.94676494676494694</v>
      </c>
      <c r="T523">
        <f>AVERAGE(R523,S523)</f>
        <v>0.87338247338247355</v>
      </c>
    </row>
    <row r="524" spans="1:20" x14ac:dyDescent="0.25">
      <c r="A524">
        <v>27</v>
      </c>
      <c r="B524" t="b">
        <v>0</v>
      </c>
      <c r="C524" s="6">
        <v>46445.625</v>
      </c>
      <c r="D524" t="b">
        <v>0</v>
      </c>
      <c r="E524">
        <v>8</v>
      </c>
      <c r="F524">
        <v>20</v>
      </c>
      <c r="G524">
        <v>2</v>
      </c>
      <c r="H524" t="s">
        <v>1110</v>
      </c>
      <c r="I524" t="s">
        <v>1082</v>
      </c>
      <c r="J524" t="s">
        <v>1106</v>
      </c>
      <c r="K524" t="str">
        <f>tblTeamFixtures[[#This Row],[Team_name]]&amp;"_"&amp;tblTeamFixtures[[#This Row],[GW]]</f>
        <v>CRY_27</v>
      </c>
      <c r="L524">
        <f>IFERROR(INDEX(TEAM_ANALYSIS!$Y:$Y,MATCH($E524,TEAM_ANALYSIS!$A:$A,0)),1)</f>
        <v>0.97058823529411764</v>
      </c>
      <c r="M524">
        <f>IFERROR(INDEX(TEAM_ANALYSIS!$Z:$Z,MATCH($E524,TEAM_ANALYSIS!$A:$A,0)),1)</f>
        <v>1.4411764705882353</v>
      </c>
      <c r="N524">
        <f>IFERROR(INDEX(TEAM_ANALYSIS!$Y:$Y,MATCH($F524,TEAM_ANALYSIS!$A:$A,0)),1)</f>
        <v>0.8529411764705882</v>
      </c>
      <c r="O524">
        <f>IFERROR(INDEX(TEAM_ANALYSIS!$Z:$Z,MATCH($F524,TEAM_ANALYSIS!$A:$A,0)),1)</f>
        <v>0.8529411764705882</v>
      </c>
      <c r="P524">
        <f>MAX(0.05,AVERAGE(TEAM_ANALYSIS!$W$2:$W$21)*L524*O524)</f>
        <v>1.7591911764705881</v>
      </c>
      <c r="Q524">
        <f>MAX(0.05,AVERAGE(TEAM_ANALYSIS!$W$2:$W$21)*N524*M524)</f>
        <v>2.6121323529411766</v>
      </c>
      <c r="R524" s="23">
        <f>MAX(0.8,MIN(1.2,P524/AVERAGE(TEAM_ANALYSIS!$W$2:$W$21)))</f>
        <v>0.82785467128027679</v>
      </c>
      <c r="S524">
        <f>MAX(0.8,MIN(1.2,AVERAGE(TEAM_ANALYSIS!$W$2:$W$21)/Q524))</f>
        <v>0.81351161154116813</v>
      </c>
      <c r="T524">
        <f>AVERAGE(R524,S524)</f>
        <v>0.82068314141072252</v>
      </c>
    </row>
    <row r="525" spans="1:20" x14ac:dyDescent="0.25">
      <c r="A525">
        <v>27</v>
      </c>
      <c r="B525" t="b">
        <v>0</v>
      </c>
      <c r="C525" s="6">
        <v>46445.625</v>
      </c>
      <c r="D525" t="b">
        <v>0</v>
      </c>
      <c r="E525">
        <v>9</v>
      </c>
      <c r="F525">
        <v>18</v>
      </c>
      <c r="G525">
        <v>3</v>
      </c>
      <c r="H525" t="s">
        <v>1110</v>
      </c>
      <c r="I525" t="s">
        <v>1084</v>
      </c>
      <c r="J525" t="s">
        <v>1102</v>
      </c>
      <c r="K525" t="str">
        <f>tblTeamFixtures[[#This Row],[Team_name]]&amp;"_"&amp;tblTeamFixtures[[#This Row],[GW]]</f>
        <v>EVE_27</v>
      </c>
      <c r="L525">
        <f>IFERROR(INDEX(TEAM_ANALYSIS!$Y:$Y,MATCH($E525,TEAM_ANALYSIS!$A:$A,0)),1)</f>
        <v>1.088235294117647</v>
      </c>
      <c r="M525">
        <f>IFERROR(INDEX(TEAM_ANALYSIS!$Z:$Z,MATCH($E525,TEAM_ANALYSIS!$A:$A,0)),1)</f>
        <v>0.8529411764705882</v>
      </c>
      <c r="N525">
        <f>IFERROR(INDEX(TEAM_ANALYSIS!$Y:$Y,MATCH($F525,TEAM_ANALYSIS!$A:$A,0)),1)</f>
        <v>0.73529411764705888</v>
      </c>
      <c r="O525">
        <f>IFERROR(INDEX(TEAM_ANALYSIS!$Z:$Z,MATCH($F525,TEAM_ANALYSIS!$A:$A,0)),1)</f>
        <v>0.8529411764705882</v>
      </c>
      <c r="P525">
        <f>MAX(0.05,AVERAGE(TEAM_ANALYSIS!$W$2:$W$21)*L525*O525)</f>
        <v>1.9724264705882353</v>
      </c>
      <c r="Q525">
        <f>MAX(0.05,AVERAGE(TEAM_ANALYSIS!$W$2:$W$21)*N525*M525)</f>
        <v>1.3327205882352942</v>
      </c>
      <c r="R525" s="23">
        <f>MAX(0.8,MIN(1.2,P525/AVERAGE(TEAM_ANALYSIS!$W$2:$W$21)))</f>
        <v>0.92820069204152245</v>
      </c>
      <c r="S525">
        <f>MAX(0.8,MIN(1.2,AVERAGE(TEAM_ANALYSIS!$W$2:$W$21)/Q525))</f>
        <v>1.2</v>
      </c>
      <c r="T525">
        <f>AVERAGE(R525,S525)</f>
        <v>1.0641003460207612</v>
      </c>
    </row>
    <row r="526" spans="1:20" x14ac:dyDescent="0.25">
      <c r="A526">
        <v>27</v>
      </c>
      <c r="B526" t="b">
        <v>0</v>
      </c>
      <c r="C526" s="6">
        <v>46445.625</v>
      </c>
      <c r="D526" t="b">
        <v>0</v>
      </c>
      <c r="E526">
        <v>10</v>
      </c>
      <c r="F526">
        <v>13</v>
      </c>
      <c r="G526">
        <v>2</v>
      </c>
      <c r="H526" t="s">
        <v>1110</v>
      </c>
      <c r="I526" t="s">
        <v>1086</v>
      </c>
      <c r="J526" t="s">
        <v>1092</v>
      </c>
      <c r="K526" t="str">
        <f>tblTeamFixtures[[#This Row],[Team_name]]&amp;"_"&amp;tblTeamFixtures[[#This Row],[GW]]</f>
        <v>FUL_27</v>
      </c>
      <c r="L526">
        <f>IFERROR(INDEX(TEAM_ANALYSIS!$Y:$Y,MATCH($E526,TEAM_ANALYSIS!$A:$A,0)),1)</f>
        <v>0.97058823529411764</v>
      </c>
      <c r="M526">
        <f>IFERROR(INDEX(TEAM_ANALYSIS!$Z:$Z,MATCH($E526,TEAM_ANALYSIS!$A:$A,0)),1)</f>
        <v>1.3235294117647058</v>
      </c>
      <c r="N526">
        <f>IFERROR(INDEX(TEAM_ANALYSIS!$Y:$Y,MATCH($F526,TEAM_ANALYSIS!$A:$A,0)),1)</f>
        <v>0.8529411764705882</v>
      </c>
      <c r="O526">
        <f>IFERROR(INDEX(TEAM_ANALYSIS!$Z:$Z,MATCH($F526,TEAM_ANALYSIS!$A:$A,0)),1)</f>
        <v>0.73529411764705888</v>
      </c>
      <c r="P526">
        <f>MAX(0.05,AVERAGE(TEAM_ANALYSIS!$W$2:$W$21)*L526*O526)</f>
        <v>1.5165441176470589</v>
      </c>
      <c r="Q526">
        <f>MAX(0.05,AVERAGE(TEAM_ANALYSIS!$W$2:$W$21)*N526*M526)</f>
        <v>2.3988970588235294</v>
      </c>
      <c r="R526" s="23">
        <f>MAX(0.8,MIN(1.2,P526/AVERAGE(TEAM_ANALYSIS!$W$2:$W$21)))</f>
        <v>0.8</v>
      </c>
      <c r="S526">
        <f>MAX(0.8,MIN(1.2,AVERAGE(TEAM_ANALYSIS!$W$2:$W$21)/Q526))</f>
        <v>0.885823754789272</v>
      </c>
      <c r="T526">
        <f>AVERAGE(R526,S526)</f>
        <v>0.84291187739463602</v>
      </c>
    </row>
    <row r="527" spans="1:20" x14ac:dyDescent="0.25">
      <c r="A527">
        <v>27</v>
      </c>
      <c r="B527" t="b">
        <v>0</v>
      </c>
      <c r="C527" s="6">
        <v>46445.625</v>
      </c>
      <c r="D527" t="b">
        <v>0</v>
      </c>
      <c r="E527">
        <v>11</v>
      </c>
      <c r="F527">
        <v>15</v>
      </c>
      <c r="G527">
        <v>4</v>
      </c>
      <c r="H527" t="s">
        <v>1110</v>
      </c>
      <c r="I527" t="s">
        <v>1088</v>
      </c>
      <c r="J527" t="s">
        <v>1096</v>
      </c>
      <c r="K527" t="str">
        <f>tblTeamFixtures[[#This Row],[Team_name]]&amp;"_"&amp;tblTeamFixtures[[#This Row],[GW]]</f>
        <v>HUL_27</v>
      </c>
      <c r="L527">
        <f>IFERROR(INDEX(TEAM_ANALYSIS!$Y:$Y,MATCH($E527,TEAM_ANALYSIS!$A:$A,0)),1)</f>
        <v>0.8529411764705882</v>
      </c>
      <c r="M527">
        <f>IFERROR(INDEX(TEAM_ANALYSIS!$Z:$Z,MATCH($E527,TEAM_ANALYSIS!$A:$A,0)),1)</f>
        <v>0.5</v>
      </c>
      <c r="N527">
        <f>IFERROR(INDEX(TEAM_ANALYSIS!$Y:$Y,MATCH($F527,TEAM_ANALYSIS!$A:$A,0)),1)</f>
        <v>1.3235294117647058</v>
      </c>
      <c r="O527">
        <f>IFERROR(INDEX(TEAM_ANALYSIS!$Z:$Z,MATCH($F527,TEAM_ANALYSIS!$A:$A,0)),1)</f>
        <v>0.73529411764705888</v>
      </c>
      <c r="P527">
        <f>MAX(0.05,AVERAGE(TEAM_ANALYSIS!$W$2:$W$21)*L527*O527)</f>
        <v>1.3327205882352942</v>
      </c>
      <c r="Q527">
        <f>MAX(0.05,AVERAGE(TEAM_ANALYSIS!$W$2:$W$21)*N527*M527)</f>
        <v>1.40625</v>
      </c>
      <c r="R527" s="23">
        <f>MAX(0.8,MIN(1.2,P527/AVERAGE(TEAM_ANALYSIS!$W$2:$W$21)))</f>
        <v>0.8</v>
      </c>
      <c r="S527">
        <f>MAX(0.8,MIN(1.2,AVERAGE(TEAM_ANALYSIS!$W$2:$W$21)/Q527))</f>
        <v>1.2</v>
      </c>
      <c r="T527">
        <f>AVERAGE(R527,S527)</f>
        <v>1</v>
      </c>
    </row>
    <row r="528" spans="1:20" x14ac:dyDescent="0.25">
      <c r="A528">
        <v>27</v>
      </c>
      <c r="B528" t="b">
        <v>0</v>
      </c>
      <c r="C528" s="6">
        <v>46445.625</v>
      </c>
      <c r="D528" t="b">
        <v>0</v>
      </c>
      <c r="E528">
        <v>12</v>
      </c>
      <c r="F528">
        <v>5</v>
      </c>
      <c r="G528">
        <v>2</v>
      </c>
      <c r="H528" t="s">
        <v>1110</v>
      </c>
      <c r="I528" t="s">
        <v>1090</v>
      </c>
      <c r="J528" t="s">
        <v>1076</v>
      </c>
      <c r="K528" t="str">
        <f>tblTeamFixtures[[#This Row],[Team_name]]&amp;"_"&amp;tblTeamFixtures[[#This Row],[GW]]</f>
        <v>IPS_27</v>
      </c>
      <c r="L528">
        <f>IFERROR(INDEX(TEAM_ANALYSIS!$Y:$Y,MATCH($E528,TEAM_ANALYSIS!$A:$A,0)),1)</f>
        <v>0.97058823529411764</v>
      </c>
      <c r="M528">
        <f>IFERROR(INDEX(TEAM_ANALYSIS!$Z:$Z,MATCH($E528,TEAM_ANALYSIS!$A:$A,0)),1)</f>
        <v>1.4411764705882353</v>
      </c>
      <c r="N528">
        <f>IFERROR(INDEX(TEAM_ANALYSIS!$Y:$Y,MATCH($F528,TEAM_ANALYSIS!$A:$A,0)),1)</f>
        <v>1.4411764705882353</v>
      </c>
      <c r="O528">
        <f>IFERROR(INDEX(TEAM_ANALYSIS!$Z:$Z,MATCH($F528,TEAM_ANALYSIS!$A:$A,0)),1)</f>
        <v>1.088235294117647</v>
      </c>
      <c r="P528">
        <f>MAX(0.05,AVERAGE(TEAM_ANALYSIS!$W$2:$W$21)*L528*O528)</f>
        <v>2.2444852941176467</v>
      </c>
      <c r="Q528">
        <f>MAX(0.05,AVERAGE(TEAM_ANALYSIS!$W$2:$W$21)*N528*M528)</f>
        <v>4.4136029411764701</v>
      </c>
      <c r="R528" s="23">
        <f>MAX(0.8,MIN(1.2,P528/AVERAGE(TEAM_ANALYSIS!$W$2:$W$21)))</f>
        <v>1.0562283737024221</v>
      </c>
      <c r="S528">
        <f>MAX(0.8,MIN(1.2,AVERAGE(TEAM_ANALYSIS!$W$2:$W$21)/Q528))</f>
        <v>0.8</v>
      </c>
      <c r="T528">
        <f>AVERAGE(R528,S528)</f>
        <v>0.92811418685121105</v>
      </c>
    </row>
    <row r="529" spans="1:20" x14ac:dyDescent="0.25">
      <c r="A529">
        <v>27</v>
      </c>
      <c r="B529" t="b">
        <v>0</v>
      </c>
      <c r="C529" s="6">
        <v>46445.625</v>
      </c>
      <c r="D529" t="b">
        <v>0</v>
      </c>
      <c r="E529">
        <v>16</v>
      </c>
      <c r="F529">
        <v>1</v>
      </c>
      <c r="G529">
        <v>4</v>
      </c>
      <c r="H529" t="s">
        <v>1110</v>
      </c>
      <c r="I529" t="s">
        <v>1098</v>
      </c>
      <c r="J529" t="s">
        <v>1068</v>
      </c>
      <c r="K529" t="str">
        <f>tblTeamFixtures[[#This Row],[Team_name]]&amp;"_"&amp;tblTeamFixtures[[#This Row],[GW]]</f>
        <v>MUN_27</v>
      </c>
      <c r="L529">
        <f>IFERROR(INDEX(TEAM_ANALYSIS!$Y:$Y,MATCH($E529,TEAM_ANALYSIS!$A:$A,0)),1)</f>
        <v>1.3235294117647058</v>
      </c>
      <c r="M529">
        <f>IFERROR(INDEX(TEAM_ANALYSIS!$Z:$Z,MATCH($E529,TEAM_ANALYSIS!$A:$A,0)),1)</f>
        <v>1.2058823529411764</v>
      </c>
      <c r="N529">
        <f>IFERROR(INDEX(TEAM_ANALYSIS!$Y:$Y,MATCH($F529,TEAM_ANALYSIS!$A:$A,0)),1)</f>
        <v>1.2058823529411764</v>
      </c>
      <c r="O529">
        <f>IFERROR(INDEX(TEAM_ANALYSIS!$Z:$Z,MATCH($F529,TEAM_ANALYSIS!$A:$A,0)),1)</f>
        <v>0.61764705882352944</v>
      </c>
      <c r="P529">
        <f>MAX(0.05,AVERAGE(TEAM_ANALYSIS!$W$2:$W$21)*L529*O529)</f>
        <v>1.7371323529411766</v>
      </c>
      <c r="Q529">
        <f>MAX(0.05,AVERAGE(TEAM_ANALYSIS!$W$2:$W$21)*N529*M529)</f>
        <v>3.0900735294117645</v>
      </c>
      <c r="R529" s="23">
        <f>MAX(0.8,MIN(1.2,P529/AVERAGE(TEAM_ANALYSIS!$W$2:$W$21)))</f>
        <v>0.81747404844290661</v>
      </c>
      <c r="S529">
        <f>MAX(0.8,MIN(1.2,AVERAGE(TEAM_ANALYSIS!$W$2:$W$21)/Q529))</f>
        <v>0.8</v>
      </c>
      <c r="T529">
        <f>AVERAGE(R529,S529)</f>
        <v>0.80873702422145333</v>
      </c>
    </row>
    <row r="530" spans="1:20" x14ac:dyDescent="0.25">
      <c r="A530">
        <v>27</v>
      </c>
      <c r="B530" t="b">
        <v>0</v>
      </c>
      <c r="C530" s="6">
        <v>46445.625</v>
      </c>
      <c r="D530" t="b">
        <v>0</v>
      </c>
      <c r="E530">
        <v>17</v>
      </c>
      <c r="F530">
        <v>4</v>
      </c>
      <c r="G530">
        <v>3</v>
      </c>
      <c r="H530" t="s">
        <v>1110</v>
      </c>
      <c r="I530" t="s">
        <v>1100</v>
      </c>
      <c r="J530" t="s">
        <v>1074</v>
      </c>
      <c r="K530" t="str">
        <f>tblTeamFixtures[[#This Row],[Team_name]]&amp;"_"&amp;tblTeamFixtures[[#This Row],[GW]]</f>
        <v>NEW_27</v>
      </c>
      <c r="L530">
        <f>IFERROR(INDEX(TEAM_ANALYSIS!$Y:$Y,MATCH($E530,TEAM_ANALYSIS!$A:$A,0)),1)</f>
        <v>1.2058823529411764</v>
      </c>
      <c r="M530">
        <f>IFERROR(INDEX(TEAM_ANALYSIS!$Z:$Z,MATCH($E530,TEAM_ANALYSIS!$A:$A,0)),1)</f>
        <v>0.97058823529411764</v>
      </c>
      <c r="N530">
        <f>IFERROR(INDEX(TEAM_ANALYSIS!$Y:$Y,MATCH($F530,TEAM_ANALYSIS!$A:$A,0)),1)</f>
        <v>1.088235294117647</v>
      </c>
      <c r="O530">
        <f>IFERROR(INDEX(TEAM_ANALYSIS!$Z:$Z,MATCH($F530,TEAM_ANALYSIS!$A:$A,0)),1)</f>
        <v>0.73529411764705888</v>
      </c>
      <c r="P530">
        <f>MAX(0.05,AVERAGE(TEAM_ANALYSIS!$W$2:$W$21)*L530*O530)</f>
        <v>1.8841911764705883</v>
      </c>
      <c r="Q530">
        <f>MAX(0.05,AVERAGE(TEAM_ANALYSIS!$W$2:$W$21)*N530*M530)</f>
        <v>2.2444852941176472</v>
      </c>
      <c r="R530" s="23">
        <f>MAX(0.8,MIN(1.2,P530/AVERAGE(TEAM_ANALYSIS!$W$2:$W$21)))</f>
        <v>0.88667820069204151</v>
      </c>
      <c r="S530">
        <f>MAX(0.8,MIN(1.2,AVERAGE(TEAM_ANALYSIS!$W$2:$W$21)/Q530))</f>
        <v>0.94676494676494671</v>
      </c>
      <c r="T530">
        <f>AVERAGE(R530,S530)</f>
        <v>0.91672157372849417</v>
      </c>
    </row>
    <row r="531" spans="1:20" x14ac:dyDescent="0.25">
      <c r="A531">
        <v>27</v>
      </c>
      <c r="B531" t="b">
        <v>0</v>
      </c>
      <c r="C531" s="6">
        <v>46445.625</v>
      </c>
      <c r="D531" t="b">
        <v>0</v>
      </c>
      <c r="E531">
        <v>19</v>
      </c>
      <c r="F531">
        <v>14</v>
      </c>
      <c r="G531">
        <v>4</v>
      </c>
      <c r="H531" t="s">
        <v>1110</v>
      </c>
      <c r="I531" t="s">
        <v>1104</v>
      </c>
      <c r="J531" t="s">
        <v>1094</v>
      </c>
      <c r="K531" t="str">
        <f>tblTeamFixtures[[#This Row],[Team_name]]&amp;"_"&amp;tblTeamFixtures[[#This Row],[GW]]</f>
        <v>TOT_27</v>
      </c>
      <c r="L531">
        <f>IFERROR(INDEX(TEAM_ANALYSIS!$Y:$Y,MATCH($E531,TEAM_ANALYSIS!$A:$A,0)),1)</f>
        <v>0.5</v>
      </c>
      <c r="M531">
        <f>IFERROR(INDEX(TEAM_ANALYSIS!$Z:$Z,MATCH($E531,TEAM_ANALYSIS!$A:$A,0)),1)</f>
        <v>1.088235294117647</v>
      </c>
      <c r="N531">
        <f>IFERROR(INDEX(TEAM_ANALYSIS!$Y:$Y,MATCH($F531,TEAM_ANALYSIS!$A:$A,0)),1)</f>
        <v>1.2058823529411764</v>
      </c>
      <c r="O531">
        <f>IFERROR(INDEX(TEAM_ANALYSIS!$Z:$Z,MATCH($F531,TEAM_ANALYSIS!$A:$A,0)),1)</f>
        <v>0.97058823529411764</v>
      </c>
      <c r="P531">
        <f>MAX(0.05,AVERAGE(TEAM_ANALYSIS!$W$2:$W$21)*L531*O531)</f>
        <v>1.03125</v>
      </c>
      <c r="Q531">
        <f>MAX(0.05,AVERAGE(TEAM_ANALYSIS!$W$2:$W$21)*N531*M531)</f>
        <v>2.7886029411764706</v>
      </c>
      <c r="R531" s="23">
        <f>MAX(0.8,MIN(1.2,P531/AVERAGE(TEAM_ANALYSIS!$W$2:$W$21)))</f>
        <v>0.8</v>
      </c>
      <c r="S531">
        <f>MAX(0.8,MIN(1.2,AVERAGE(TEAM_ANALYSIS!$W$2:$W$21)/Q531))</f>
        <v>0.8</v>
      </c>
      <c r="T531">
        <f>AVERAGE(R531,S531)</f>
        <v>0.8</v>
      </c>
    </row>
    <row r="532" spans="1:20" x14ac:dyDescent="0.25">
      <c r="A532">
        <v>27</v>
      </c>
      <c r="B532" t="b">
        <v>0</v>
      </c>
      <c r="C532" s="6">
        <v>46445.625</v>
      </c>
      <c r="D532" t="b">
        <v>0</v>
      </c>
      <c r="E532">
        <v>6</v>
      </c>
      <c r="F532">
        <v>2</v>
      </c>
      <c r="G532">
        <v>4</v>
      </c>
      <c r="H532" t="s">
        <v>1111</v>
      </c>
      <c r="I532" t="s">
        <v>1078</v>
      </c>
      <c r="J532" t="s">
        <v>1070</v>
      </c>
      <c r="K532" t="str">
        <f>tblTeamFixtures[[#This Row],[Team_name]]&amp;"_"&amp;tblTeamFixtures[[#This Row],[GW]]</f>
        <v>CHE_27</v>
      </c>
      <c r="L532">
        <f>IFERROR(INDEX(TEAM_ANALYSIS!$Y:$Y,MATCH($E532,TEAM_ANALYSIS!$A:$A,0)),1)</f>
        <v>1.4411764705882353</v>
      </c>
      <c r="M532">
        <f>IFERROR(INDEX(TEAM_ANALYSIS!$Z:$Z,MATCH($E532,TEAM_ANALYSIS!$A:$A,0)),1)</f>
        <v>1.3235294117647058</v>
      </c>
      <c r="N532">
        <f>IFERROR(INDEX(TEAM_ANALYSIS!$Y:$Y,MATCH($F532,TEAM_ANALYSIS!$A:$A,0)),1)</f>
        <v>0.5</v>
      </c>
      <c r="O532">
        <f>IFERROR(INDEX(TEAM_ANALYSIS!$Z:$Z,MATCH($F532,TEAM_ANALYSIS!$A:$A,0)),1)</f>
        <v>1.088235294117647</v>
      </c>
      <c r="P532">
        <f>MAX(0.05,AVERAGE(TEAM_ANALYSIS!$W$2:$W$21)*L532*O532)</f>
        <v>3.3327205882352939</v>
      </c>
      <c r="Q532">
        <f>MAX(0.05,AVERAGE(TEAM_ANALYSIS!$W$2:$W$21)*N532*M532)</f>
        <v>1.40625</v>
      </c>
      <c r="R532" s="23">
        <f>MAX(0.8,MIN(1.2,P532/AVERAGE(TEAM_ANALYSIS!$W$2:$W$21)))</f>
        <v>1.2</v>
      </c>
      <c r="S532">
        <f>MAX(0.8,MIN(1.2,AVERAGE(TEAM_ANALYSIS!$W$2:$W$21)/Q532))</f>
        <v>1.2</v>
      </c>
      <c r="T532">
        <f>AVERAGE(R532,S532)</f>
        <v>1.2</v>
      </c>
    </row>
    <row r="533" spans="1:20" x14ac:dyDescent="0.25">
      <c r="A533">
        <v>27</v>
      </c>
      <c r="B533" t="b">
        <v>0</v>
      </c>
      <c r="C533" s="6">
        <v>46445.625</v>
      </c>
      <c r="D533" t="b">
        <v>0</v>
      </c>
      <c r="E533">
        <v>3</v>
      </c>
      <c r="F533">
        <v>7</v>
      </c>
      <c r="G533">
        <v>2</v>
      </c>
      <c r="H533" t="s">
        <v>1111</v>
      </c>
      <c r="I533" t="s">
        <v>1072</v>
      </c>
      <c r="J533" t="s">
        <v>1080</v>
      </c>
      <c r="K533" t="str">
        <f>tblTeamFixtures[[#This Row],[Team_name]]&amp;"_"&amp;tblTeamFixtures[[#This Row],[GW]]</f>
        <v>BOU_27</v>
      </c>
      <c r="L533">
        <f>IFERROR(INDEX(TEAM_ANALYSIS!$Y:$Y,MATCH($E533,TEAM_ANALYSIS!$A:$A,0)),1)</f>
        <v>0.97058823529411764</v>
      </c>
      <c r="M533">
        <f>IFERROR(INDEX(TEAM_ANALYSIS!$Z:$Z,MATCH($E533,TEAM_ANALYSIS!$A:$A,0)),1)</f>
        <v>1.088235294117647</v>
      </c>
      <c r="N533">
        <f>IFERROR(INDEX(TEAM_ANALYSIS!$Y:$Y,MATCH($F533,TEAM_ANALYSIS!$A:$A,0)),1)</f>
        <v>0.5</v>
      </c>
      <c r="O533">
        <f>IFERROR(INDEX(TEAM_ANALYSIS!$Z:$Z,MATCH($F533,TEAM_ANALYSIS!$A:$A,0)),1)</f>
        <v>1.088235294117647</v>
      </c>
      <c r="P533">
        <f>MAX(0.05,AVERAGE(TEAM_ANALYSIS!$W$2:$W$21)*L533*O533)</f>
        <v>2.2444852941176467</v>
      </c>
      <c r="Q533">
        <f>MAX(0.05,AVERAGE(TEAM_ANALYSIS!$W$2:$W$21)*N533*M533)</f>
        <v>1.15625</v>
      </c>
      <c r="R533" s="23">
        <f>MAX(0.8,MIN(1.2,P533/AVERAGE(TEAM_ANALYSIS!$W$2:$W$21)))</f>
        <v>1.0562283737024221</v>
      </c>
      <c r="S533">
        <f>MAX(0.8,MIN(1.2,AVERAGE(TEAM_ANALYSIS!$W$2:$W$21)/Q533))</f>
        <v>1.2</v>
      </c>
      <c r="T533">
        <f>AVERAGE(R533,S533)</f>
        <v>1.128114186851211</v>
      </c>
    </row>
    <row r="534" spans="1:20" x14ac:dyDescent="0.25">
      <c r="A534">
        <v>27</v>
      </c>
      <c r="B534" t="b">
        <v>0</v>
      </c>
      <c r="C534" s="6">
        <v>46445.625</v>
      </c>
      <c r="D534" t="b">
        <v>0</v>
      </c>
      <c r="E534">
        <v>20</v>
      </c>
      <c r="F534">
        <v>8</v>
      </c>
      <c r="G534">
        <v>3</v>
      </c>
      <c r="H534" t="s">
        <v>1111</v>
      </c>
      <c r="I534" t="s">
        <v>1106</v>
      </c>
      <c r="J534" t="s">
        <v>1082</v>
      </c>
      <c r="K534" t="str">
        <f>tblTeamFixtures[[#This Row],[Team_name]]&amp;"_"&amp;tblTeamFixtures[[#This Row],[GW]]</f>
        <v>SUN_27</v>
      </c>
      <c r="L534">
        <f>IFERROR(INDEX(TEAM_ANALYSIS!$Y:$Y,MATCH($E534,TEAM_ANALYSIS!$A:$A,0)),1)</f>
        <v>0.8529411764705882</v>
      </c>
      <c r="M534">
        <f>IFERROR(INDEX(TEAM_ANALYSIS!$Z:$Z,MATCH($E534,TEAM_ANALYSIS!$A:$A,0)),1)</f>
        <v>0.8529411764705882</v>
      </c>
      <c r="N534">
        <f>IFERROR(INDEX(TEAM_ANALYSIS!$Y:$Y,MATCH($F534,TEAM_ANALYSIS!$A:$A,0)),1)</f>
        <v>0.97058823529411764</v>
      </c>
      <c r="O534">
        <f>IFERROR(INDEX(TEAM_ANALYSIS!$Z:$Z,MATCH($F534,TEAM_ANALYSIS!$A:$A,0)),1)</f>
        <v>1.4411764705882353</v>
      </c>
      <c r="P534">
        <f>MAX(0.05,AVERAGE(TEAM_ANALYSIS!$W$2:$W$21)*L534*O534)</f>
        <v>2.6121323529411766</v>
      </c>
      <c r="Q534">
        <f>MAX(0.05,AVERAGE(TEAM_ANALYSIS!$W$2:$W$21)*N534*M534)</f>
        <v>1.7591911764705881</v>
      </c>
      <c r="R534" s="23">
        <f>MAX(0.8,MIN(1.2,P534/AVERAGE(TEAM_ANALYSIS!$W$2:$W$21)))</f>
        <v>1.2</v>
      </c>
      <c r="S534">
        <f>MAX(0.8,MIN(1.2,AVERAGE(TEAM_ANALYSIS!$W$2:$W$21)/Q534))</f>
        <v>1.2</v>
      </c>
      <c r="T534">
        <f>AVERAGE(R534,S534)</f>
        <v>1.2</v>
      </c>
    </row>
    <row r="535" spans="1:20" x14ac:dyDescent="0.25">
      <c r="A535">
        <v>27</v>
      </c>
      <c r="B535" t="b">
        <v>0</v>
      </c>
      <c r="C535" s="6">
        <v>46445.625</v>
      </c>
      <c r="D535" t="b">
        <v>0</v>
      </c>
      <c r="E535">
        <v>18</v>
      </c>
      <c r="F535">
        <v>9</v>
      </c>
      <c r="G535">
        <v>3</v>
      </c>
      <c r="H535" t="s">
        <v>1111</v>
      </c>
      <c r="I535" t="s">
        <v>1102</v>
      </c>
      <c r="J535" t="s">
        <v>1084</v>
      </c>
      <c r="K535" t="str">
        <f>tblTeamFixtures[[#This Row],[Team_name]]&amp;"_"&amp;tblTeamFixtures[[#This Row],[GW]]</f>
        <v>NFO_27</v>
      </c>
      <c r="L535">
        <f>IFERROR(INDEX(TEAM_ANALYSIS!$Y:$Y,MATCH($E535,TEAM_ANALYSIS!$A:$A,0)),1)</f>
        <v>0.73529411764705888</v>
      </c>
      <c r="M535">
        <f>IFERROR(INDEX(TEAM_ANALYSIS!$Z:$Z,MATCH($E535,TEAM_ANALYSIS!$A:$A,0)),1)</f>
        <v>0.8529411764705882</v>
      </c>
      <c r="N535">
        <f>IFERROR(INDEX(TEAM_ANALYSIS!$Y:$Y,MATCH($F535,TEAM_ANALYSIS!$A:$A,0)),1)</f>
        <v>1.088235294117647</v>
      </c>
      <c r="O535">
        <f>IFERROR(INDEX(TEAM_ANALYSIS!$Z:$Z,MATCH($F535,TEAM_ANALYSIS!$A:$A,0)),1)</f>
        <v>0.8529411764705882</v>
      </c>
      <c r="P535">
        <f>MAX(0.05,AVERAGE(TEAM_ANALYSIS!$W$2:$W$21)*L535*O535)</f>
        <v>1.3327205882352942</v>
      </c>
      <c r="Q535">
        <f>MAX(0.05,AVERAGE(TEAM_ANALYSIS!$W$2:$W$21)*N535*M535)</f>
        <v>1.9724264705882353</v>
      </c>
      <c r="R535" s="23">
        <f>MAX(0.8,MIN(1.2,P535/AVERAGE(TEAM_ANALYSIS!$W$2:$W$21)))</f>
        <v>0.8</v>
      </c>
      <c r="S535">
        <f>MAX(0.8,MIN(1.2,AVERAGE(TEAM_ANALYSIS!$W$2:$W$21)/Q535))</f>
        <v>1.0773532152842498</v>
      </c>
      <c r="T535">
        <f>AVERAGE(R535,S535)</f>
        <v>0.9386766076421249</v>
      </c>
    </row>
    <row r="536" spans="1:20" x14ac:dyDescent="0.25">
      <c r="A536">
        <v>27</v>
      </c>
      <c r="B536" t="b">
        <v>0</v>
      </c>
      <c r="C536" s="6">
        <v>46445.625</v>
      </c>
      <c r="D536" t="b">
        <v>0</v>
      </c>
      <c r="E536">
        <v>13</v>
      </c>
      <c r="F536">
        <v>10</v>
      </c>
      <c r="G536">
        <v>3</v>
      </c>
      <c r="H536" t="s">
        <v>1111</v>
      </c>
      <c r="I536" t="s">
        <v>1092</v>
      </c>
      <c r="J536" t="s">
        <v>1086</v>
      </c>
      <c r="K536" t="str">
        <f>tblTeamFixtures[[#This Row],[Team_name]]&amp;"_"&amp;tblTeamFixtures[[#This Row],[GW]]</f>
        <v>LEE_27</v>
      </c>
      <c r="L536">
        <f>IFERROR(INDEX(TEAM_ANALYSIS!$Y:$Y,MATCH($E536,TEAM_ANALYSIS!$A:$A,0)),1)</f>
        <v>0.8529411764705882</v>
      </c>
      <c r="M536">
        <f>IFERROR(INDEX(TEAM_ANALYSIS!$Z:$Z,MATCH($E536,TEAM_ANALYSIS!$A:$A,0)),1)</f>
        <v>0.73529411764705888</v>
      </c>
      <c r="N536">
        <f>IFERROR(INDEX(TEAM_ANALYSIS!$Y:$Y,MATCH($F536,TEAM_ANALYSIS!$A:$A,0)),1)</f>
        <v>0.97058823529411764</v>
      </c>
      <c r="O536">
        <f>IFERROR(INDEX(TEAM_ANALYSIS!$Z:$Z,MATCH($F536,TEAM_ANALYSIS!$A:$A,0)),1)</f>
        <v>1.3235294117647058</v>
      </c>
      <c r="P536">
        <f>MAX(0.05,AVERAGE(TEAM_ANALYSIS!$W$2:$W$21)*L536*O536)</f>
        <v>2.3988970588235294</v>
      </c>
      <c r="Q536">
        <f>MAX(0.05,AVERAGE(TEAM_ANALYSIS!$W$2:$W$21)*N536*M536)</f>
        <v>1.5165441176470589</v>
      </c>
      <c r="R536" s="23">
        <f>MAX(0.8,MIN(1.2,P536/AVERAGE(TEAM_ANALYSIS!$W$2:$W$21)))</f>
        <v>1.1288927335640138</v>
      </c>
      <c r="S536">
        <f>MAX(0.8,MIN(1.2,AVERAGE(TEAM_ANALYSIS!$W$2:$W$21)/Q536))</f>
        <v>1.2</v>
      </c>
      <c r="T536">
        <f>AVERAGE(R536,S536)</f>
        <v>1.1644463667820069</v>
      </c>
    </row>
    <row r="537" spans="1:20" x14ac:dyDescent="0.25">
      <c r="A537">
        <v>27</v>
      </c>
      <c r="B537" t="b">
        <v>0</v>
      </c>
      <c r="C537" s="6">
        <v>46445.625</v>
      </c>
      <c r="D537" t="b">
        <v>0</v>
      </c>
      <c r="E537">
        <v>15</v>
      </c>
      <c r="F537">
        <v>11</v>
      </c>
      <c r="G537">
        <v>2</v>
      </c>
      <c r="H537" t="s">
        <v>1111</v>
      </c>
      <c r="I537" t="s">
        <v>1096</v>
      </c>
      <c r="J537" t="s">
        <v>1088</v>
      </c>
      <c r="K537" t="str">
        <f>tblTeamFixtures[[#This Row],[Team_name]]&amp;"_"&amp;tblTeamFixtures[[#This Row],[GW]]</f>
        <v>MCI_27</v>
      </c>
      <c r="L537">
        <f>IFERROR(INDEX(TEAM_ANALYSIS!$Y:$Y,MATCH($E537,TEAM_ANALYSIS!$A:$A,0)),1)</f>
        <v>1.3235294117647058</v>
      </c>
      <c r="M537">
        <f>IFERROR(INDEX(TEAM_ANALYSIS!$Z:$Z,MATCH($E537,TEAM_ANALYSIS!$A:$A,0)),1)</f>
        <v>0.73529411764705888</v>
      </c>
      <c r="N537">
        <f>IFERROR(INDEX(TEAM_ANALYSIS!$Y:$Y,MATCH($F537,TEAM_ANALYSIS!$A:$A,0)),1)</f>
        <v>0.8529411764705882</v>
      </c>
      <c r="O537">
        <f>IFERROR(INDEX(TEAM_ANALYSIS!$Z:$Z,MATCH($F537,TEAM_ANALYSIS!$A:$A,0)),1)</f>
        <v>0.5</v>
      </c>
      <c r="P537">
        <f>MAX(0.05,AVERAGE(TEAM_ANALYSIS!$W$2:$W$21)*L537*O537)</f>
        <v>1.40625</v>
      </c>
      <c r="Q537">
        <f>MAX(0.05,AVERAGE(TEAM_ANALYSIS!$W$2:$W$21)*N537*M537)</f>
        <v>1.3327205882352942</v>
      </c>
      <c r="R537" s="23">
        <f>MAX(0.8,MIN(1.2,P537/AVERAGE(TEAM_ANALYSIS!$W$2:$W$21)))</f>
        <v>0.8</v>
      </c>
      <c r="S537">
        <f>MAX(0.8,MIN(1.2,AVERAGE(TEAM_ANALYSIS!$W$2:$W$21)/Q537))</f>
        <v>1.2</v>
      </c>
      <c r="T537">
        <f>AVERAGE(R537,S537)</f>
        <v>1</v>
      </c>
    </row>
    <row r="538" spans="1:20" x14ac:dyDescent="0.25">
      <c r="A538">
        <v>27</v>
      </c>
      <c r="B538" t="b">
        <v>0</v>
      </c>
      <c r="C538" s="6">
        <v>46445.625</v>
      </c>
      <c r="D538" t="b">
        <v>0</v>
      </c>
      <c r="E538">
        <v>5</v>
      </c>
      <c r="F538">
        <v>12</v>
      </c>
      <c r="G538">
        <v>2</v>
      </c>
      <c r="H538" t="s">
        <v>1111</v>
      </c>
      <c r="I538" t="s">
        <v>1076</v>
      </c>
      <c r="J538" t="s">
        <v>1090</v>
      </c>
      <c r="K538" t="str">
        <f>tblTeamFixtures[[#This Row],[Team_name]]&amp;"_"&amp;tblTeamFixtures[[#This Row],[GW]]</f>
        <v>BHA_27</v>
      </c>
      <c r="L538">
        <f>IFERROR(INDEX(TEAM_ANALYSIS!$Y:$Y,MATCH($E538,TEAM_ANALYSIS!$A:$A,0)),1)</f>
        <v>1.4411764705882353</v>
      </c>
      <c r="M538">
        <f>IFERROR(INDEX(TEAM_ANALYSIS!$Z:$Z,MATCH($E538,TEAM_ANALYSIS!$A:$A,0)),1)</f>
        <v>1.088235294117647</v>
      </c>
      <c r="N538">
        <f>IFERROR(INDEX(TEAM_ANALYSIS!$Y:$Y,MATCH($F538,TEAM_ANALYSIS!$A:$A,0)),1)</f>
        <v>0.97058823529411764</v>
      </c>
      <c r="O538">
        <f>IFERROR(INDEX(TEAM_ANALYSIS!$Z:$Z,MATCH($F538,TEAM_ANALYSIS!$A:$A,0)),1)</f>
        <v>1.4411764705882353</v>
      </c>
      <c r="P538">
        <f>MAX(0.05,AVERAGE(TEAM_ANALYSIS!$W$2:$W$21)*L538*O538)</f>
        <v>4.4136029411764701</v>
      </c>
      <c r="Q538">
        <f>MAX(0.05,AVERAGE(TEAM_ANALYSIS!$W$2:$W$21)*N538*M538)</f>
        <v>2.2444852941176467</v>
      </c>
      <c r="R538" s="23">
        <f>MAX(0.8,MIN(1.2,P538/AVERAGE(TEAM_ANALYSIS!$W$2:$W$21)))</f>
        <v>1.2</v>
      </c>
      <c r="S538">
        <f>MAX(0.8,MIN(1.2,AVERAGE(TEAM_ANALYSIS!$W$2:$W$21)/Q538))</f>
        <v>0.94676494676494694</v>
      </c>
      <c r="T538">
        <f>AVERAGE(R538,S538)</f>
        <v>1.0733824733824735</v>
      </c>
    </row>
    <row r="539" spans="1:20" x14ac:dyDescent="0.25">
      <c r="A539">
        <v>27</v>
      </c>
      <c r="B539" t="b">
        <v>0</v>
      </c>
      <c r="C539" s="6">
        <v>46445.625</v>
      </c>
      <c r="D539" t="b">
        <v>0</v>
      </c>
      <c r="E539">
        <v>1</v>
      </c>
      <c r="F539">
        <v>16</v>
      </c>
      <c r="G539">
        <v>4</v>
      </c>
      <c r="H539" t="s">
        <v>1111</v>
      </c>
      <c r="I539" t="s">
        <v>1068</v>
      </c>
      <c r="J539" t="s">
        <v>1098</v>
      </c>
      <c r="K539" t="str">
        <f>tblTeamFixtures[[#This Row],[Team_name]]&amp;"_"&amp;tblTeamFixtures[[#This Row],[GW]]</f>
        <v>ARS_27</v>
      </c>
      <c r="L539">
        <f>IFERROR(INDEX(TEAM_ANALYSIS!$Y:$Y,MATCH($E539,TEAM_ANALYSIS!$A:$A,0)),1)</f>
        <v>1.2058823529411764</v>
      </c>
      <c r="M539">
        <f>IFERROR(INDEX(TEAM_ANALYSIS!$Z:$Z,MATCH($E539,TEAM_ANALYSIS!$A:$A,0)),1)</f>
        <v>0.61764705882352944</v>
      </c>
      <c r="N539">
        <f>IFERROR(INDEX(TEAM_ANALYSIS!$Y:$Y,MATCH($F539,TEAM_ANALYSIS!$A:$A,0)),1)</f>
        <v>1.3235294117647058</v>
      </c>
      <c r="O539">
        <f>IFERROR(INDEX(TEAM_ANALYSIS!$Z:$Z,MATCH($F539,TEAM_ANALYSIS!$A:$A,0)),1)</f>
        <v>1.2058823529411764</v>
      </c>
      <c r="P539">
        <f>MAX(0.05,AVERAGE(TEAM_ANALYSIS!$W$2:$W$21)*L539*O539)</f>
        <v>3.0900735294117645</v>
      </c>
      <c r="Q539">
        <f>MAX(0.05,AVERAGE(TEAM_ANALYSIS!$W$2:$W$21)*N539*M539)</f>
        <v>1.7371323529411766</v>
      </c>
      <c r="R539" s="23">
        <f>MAX(0.8,MIN(1.2,P539/AVERAGE(TEAM_ANALYSIS!$W$2:$W$21)))</f>
        <v>1.2</v>
      </c>
      <c r="S539">
        <f>MAX(0.8,MIN(1.2,AVERAGE(TEAM_ANALYSIS!$W$2:$W$21)/Q539))</f>
        <v>1.2</v>
      </c>
      <c r="T539">
        <f>AVERAGE(R539,S539)</f>
        <v>1.2</v>
      </c>
    </row>
    <row r="540" spans="1:20" x14ac:dyDescent="0.25">
      <c r="A540">
        <v>27</v>
      </c>
      <c r="B540" t="b">
        <v>0</v>
      </c>
      <c r="C540" s="6">
        <v>46445.625</v>
      </c>
      <c r="D540" t="b">
        <v>0</v>
      </c>
      <c r="E540">
        <v>4</v>
      </c>
      <c r="F540">
        <v>17</v>
      </c>
      <c r="G540">
        <v>3</v>
      </c>
      <c r="H540" t="s">
        <v>1111</v>
      </c>
      <c r="I540" t="s">
        <v>1074</v>
      </c>
      <c r="J540" t="s">
        <v>1100</v>
      </c>
      <c r="K540" t="str">
        <f>tblTeamFixtures[[#This Row],[Team_name]]&amp;"_"&amp;tblTeamFixtures[[#This Row],[GW]]</f>
        <v>BRE_27</v>
      </c>
      <c r="L540">
        <f>IFERROR(INDEX(TEAM_ANALYSIS!$Y:$Y,MATCH($E540,TEAM_ANALYSIS!$A:$A,0)),1)</f>
        <v>1.088235294117647</v>
      </c>
      <c r="M540">
        <f>IFERROR(INDEX(TEAM_ANALYSIS!$Z:$Z,MATCH($E540,TEAM_ANALYSIS!$A:$A,0)),1)</f>
        <v>0.73529411764705888</v>
      </c>
      <c r="N540">
        <f>IFERROR(INDEX(TEAM_ANALYSIS!$Y:$Y,MATCH($F540,TEAM_ANALYSIS!$A:$A,0)),1)</f>
        <v>1.2058823529411764</v>
      </c>
      <c r="O540">
        <f>IFERROR(INDEX(TEAM_ANALYSIS!$Z:$Z,MATCH($F540,TEAM_ANALYSIS!$A:$A,0)),1)</f>
        <v>0.97058823529411764</v>
      </c>
      <c r="P540">
        <f>MAX(0.05,AVERAGE(TEAM_ANALYSIS!$W$2:$W$21)*L540*O540)</f>
        <v>2.2444852941176472</v>
      </c>
      <c r="Q540">
        <f>MAX(0.05,AVERAGE(TEAM_ANALYSIS!$W$2:$W$21)*N540*M540)</f>
        <v>1.8841911764705883</v>
      </c>
      <c r="R540" s="23">
        <f>MAX(0.8,MIN(1.2,P540/AVERAGE(TEAM_ANALYSIS!$W$2:$W$21)))</f>
        <v>1.0562283737024223</v>
      </c>
      <c r="S540">
        <f>MAX(0.8,MIN(1.2,AVERAGE(TEAM_ANALYSIS!$W$2:$W$21)/Q540))</f>
        <v>1.1278048780487804</v>
      </c>
      <c r="T540">
        <f>AVERAGE(R540,S540)</f>
        <v>1.0920166258756012</v>
      </c>
    </row>
    <row r="541" spans="1:20" x14ac:dyDescent="0.25">
      <c r="A541">
        <v>27</v>
      </c>
      <c r="B541" t="b">
        <v>0</v>
      </c>
      <c r="C541" s="6">
        <v>46445.625</v>
      </c>
      <c r="D541" t="b">
        <v>0</v>
      </c>
      <c r="E541">
        <v>14</v>
      </c>
      <c r="F541">
        <v>19</v>
      </c>
      <c r="G541">
        <v>3</v>
      </c>
      <c r="H541" t="s">
        <v>1111</v>
      </c>
      <c r="I541" t="s">
        <v>1094</v>
      </c>
      <c r="J541" t="s">
        <v>1104</v>
      </c>
      <c r="K541" t="str">
        <f>tblTeamFixtures[[#This Row],[Team_name]]&amp;"_"&amp;tblTeamFixtures[[#This Row],[GW]]</f>
        <v>LIV_27</v>
      </c>
      <c r="L541">
        <f>IFERROR(INDEX(TEAM_ANALYSIS!$Y:$Y,MATCH($E541,TEAM_ANALYSIS!$A:$A,0)),1)</f>
        <v>1.2058823529411764</v>
      </c>
      <c r="M541">
        <f>IFERROR(INDEX(TEAM_ANALYSIS!$Z:$Z,MATCH($E541,TEAM_ANALYSIS!$A:$A,0)),1)</f>
        <v>0.97058823529411764</v>
      </c>
      <c r="N541">
        <f>IFERROR(INDEX(TEAM_ANALYSIS!$Y:$Y,MATCH($F541,TEAM_ANALYSIS!$A:$A,0)),1)</f>
        <v>0.5</v>
      </c>
      <c r="O541">
        <f>IFERROR(INDEX(TEAM_ANALYSIS!$Z:$Z,MATCH($F541,TEAM_ANALYSIS!$A:$A,0)),1)</f>
        <v>1.088235294117647</v>
      </c>
      <c r="P541">
        <f>MAX(0.05,AVERAGE(TEAM_ANALYSIS!$W$2:$W$21)*L541*O541)</f>
        <v>2.7886029411764706</v>
      </c>
      <c r="Q541">
        <f>MAX(0.05,AVERAGE(TEAM_ANALYSIS!$W$2:$W$21)*N541*M541)</f>
        <v>1.03125</v>
      </c>
      <c r="R541" s="23">
        <f>MAX(0.8,MIN(1.2,P541/AVERAGE(TEAM_ANALYSIS!$W$2:$W$21)))</f>
        <v>1.2</v>
      </c>
      <c r="S541">
        <f>MAX(0.8,MIN(1.2,AVERAGE(TEAM_ANALYSIS!$W$2:$W$21)/Q541))</f>
        <v>1.2</v>
      </c>
      <c r="T541">
        <f>AVERAGE(R541,S541)</f>
        <v>1.2</v>
      </c>
    </row>
    <row r="542" spans="1:20" x14ac:dyDescent="0.25">
      <c r="A542">
        <v>28</v>
      </c>
      <c r="B542" t="b">
        <v>0</v>
      </c>
      <c r="C542" s="6">
        <v>46449.833333333336</v>
      </c>
      <c r="D542" t="b">
        <v>0</v>
      </c>
      <c r="E542">
        <v>1</v>
      </c>
      <c r="F542">
        <v>8</v>
      </c>
      <c r="G542">
        <v>3</v>
      </c>
      <c r="H542" t="s">
        <v>1110</v>
      </c>
      <c r="I542" t="s">
        <v>1068</v>
      </c>
      <c r="J542" t="s">
        <v>1082</v>
      </c>
      <c r="K542" t="str">
        <f>tblTeamFixtures[[#This Row],[Team_name]]&amp;"_"&amp;tblTeamFixtures[[#This Row],[GW]]</f>
        <v>ARS_28</v>
      </c>
      <c r="L542">
        <f>IFERROR(INDEX(TEAM_ANALYSIS!$Y:$Y,MATCH($E542,TEAM_ANALYSIS!$A:$A,0)),1)</f>
        <v>1.2058823529411764</v>
      </c>
      <c r="M542">
        <f>IFERROR(INDEX(TEAM_ANALYSIS!$Z:$Z,MATCH($E542,TEAM_ANALYSIS!$A:$A,0)),1)</f>
        <v>0.61764705882352944</v>
      </c>
      <c r="N542">
        <f>IFERROR(INDEX(TEAM_ANALYSIS!$Y:$Y,MATCH($F542,TEAM_ANALYSIS!$A:$A,0)),1)</f>
        <v>0.97058823529411764</v>
      </c>
      <c r="O542">
        <f>IFERROR(INDEX(TEAM_ANALYSIS!$Z:$Z,MATCH($F542,TEAM_ANALYSIS!$A:$A,0)),1)</f>
        <v>1.4411764705882353</v>
      </c>
      <c r="P542">
        <f>MAX(0.05,AVERAGE(TEAM_ANALYSIS!$W$2:$W$21)*L542*O542)</f>
        <v>3.6930147058823528</v>
      </c>
      <c r="Q542">
        <f>MAX(0.05,AVERAGE(TEAM_ANALYSIS!$W$2:$W$21)*N542*M542)</f>
        <v>1.2738970588235294</v>
      </c>
      <c r="R542" s="23">
        <f>MAX(0.8,MIN(1.2,P542/AVERAGE(TEAM_ANALYSIS!$W$2:$W$21)))</f>
        <v>1.2</v>
      </c>
      <c r="S542">
        <f>MAX(0.8,MIN(1.2,AVERAGE(TEAM_ANALYSIS!$W$2:$W$21)/Q542))</f>
        <v>1.2</v>
      </c>
      <c r="T542">
        <f>AVERAGE(R542,S542)</f>
        <v>1.2</v>
      </c>
    </row>
    <row r="543" spans="1:20" x14ac:dyDescent="0.25">
      <c r="A543">
        <v>28</v>
      </c>
      <c r="B543" t="b">
        <v>0</v>
      </c>
      <c r="C543" s="6">
        <v>46449.833333333336</v>
      </c>
      <c r="D543" t="b">
        <v>0</v>
      </c>
      <c r="E543">
        <v>3</v>
      </c>
      <c r="F543">
        <v>19</v>
      </c>
      <c r="G543">
        <v>3</v>
      </c>
      <c r="H543" t="s">
        <v>1110</v>
      </c>
      <c r="I543" t="s">
        <v>1072</v>
      </c>
      <c r="J543" t="s">
        <v>1104</v>
      </c>
      <c r="K543" t="str">
        <f>tblTeamFixtures[[#This Row],[Team_name]]&amp;"_"&amp;tblTeamFixtures[[#This Row],[GW]]</f>
        <v>BOU_28</v>
      </c>
      <c r="L543">
        <f>IFERROR(INDEX(TEAM_ANALYSIS!$Y:$Y,MATCH($E543,TEAM_ANALYSIS!$A:$A,0)),1)</f>
        <v>0.97058823529411764</v>
      </c>
      <c r="M543">
        <f>IFERROR(INDEX(TEAM_ANALYSIS!$Z:$Z,MATCH($E543,TEAM_ANALYSIS!$A:$A,0)),1)</f>
        <v>1.088235294117647</v>
      </c>
      <c r="N543">
        <f>IFERROR(INDEX(TEAM_ANALYSIS!$Y:$Y,MATCH($F543,TEAM_ANALYSIS!$A:$A,0)),1)</f>
        <v>0.5</v>
      </c>
      <c r="O543">
        <f>IFERROR(INDEX(TEAM_ANALYSIS!$Z:$Z,MATCH($F543,TEAM_ANALYSIS!$A:$A,0)),1)</f>
        <v>1.088235294117647</v>
      </c>
      <c r="P543">
        <f>MAX(0.05,AVERAGE(TEAM_ANALYSIS!$W$2:$W$21)*L543*O543)</f>
        <v>2.2444852941176467</v>
      </c>
      <c r="Q543">
        <f>MAX(0.05,AVERAGE(TEAM_ANALYSIS!$W$2:$W$21)*N543*M543)</f>
        <v>1.15625</v>
      </c>
      <c r="R543" s="23">
        <f>MAX(0.8,MIN(1.2,P543/AVERAGE(TEAM_ANALYSIS!$W$2:$W$21)))</f>
        <v>1.0562283737024221</v>
      </c>
      <c r="S543">
        <f>MAX(0.8,MIN(1.2,AVERAGE(TEAM_ANALYSIS!$W$2:$W$21)/Q543))</f>
        <v>1.2</v>
      </c>
      <c r="T543">
        <f>AVERAGE(R543,S543)</f>
        <v>1.128114186851211</v>
      </c>
    </row>
    <row r="544" spans="1:20" x14ac:dyDescent="0.25">
      <c r="A544">
        <v>28</v>
      </c>
      <c r="B544" t="b">
        <v>0</v>
      </c>
      <c r="C544" s="6">
        <v>46449.833333333336</v>
      </c>
      <c r="D544" t="b">
        <v>0</v>
      </c>
      <c r="E544">
        <v>4</v>
      </c>
      <c r="F544">
        <v>12</v>
      </c>
      <c r="G544">
        <v>2</v>
      </c>
      <c r="H544" t="s">
        <v>1110</v>
      </c>
      <c r="I544" t="s">
        <v>1074</v>
      </c>
      <c r="J544" t="s">
        <v>1090</v>
      </c>
      <c r="K544" t="str">
        <f>tblTeamFixtures[[#This Row],[Team_name]]&amp;"_"&amp;tblTeamFixtures[[#This Row],[GW]]</f>
        <v>BRE_28</v>
      </c>
      <c r="L544">
        <f>IFERROR(INDEX(TEAM_ANALYSIS!$Y:$Y,MATCH($E544,TEAM_ANALYSIS!$A:$A,0)),1)</f>
        <v>1.088235294117647</v>
      </c>
      <c r="M544">
        <f>IFERROR(INDEX(TEAM_ANALYSIS!$Z:$Z,MATCH($E544,TEAM_ANALYSIS!$A:$A,0)),1)</f>
        <v>0.73529411764705888</v>
      </c>
      <c r="N544">
        <f>IFERROR(INDEX(TEAM_ANALYSIS!$Y:$Y,MATCH($F544,TEAM_ANALYSIS!$A:$A,0)),1)</f>
        <v>0.97058823529411764</v>
      </c>
      <c r="O544">
        <f>IFERROR(INDEX(TEAM_ANALYSIS!$Z:$Z,MATCH($F544,TEAM_ANALYSIS!$A:$A,0)),1)</f>
        <v>1.4411764705882353</v>
      </c>
      <c r="P544">
        <f>MAX(0.05,AVERAGE(TEAM_ANALYSIS!$W$2:$W$21)*L544*O544)</f>
        <v>3.3327205882352939</v>
      </c>
      <c r="Q544">
        <f>MAX(0.05,AVERAGE(TEAM_ANALYSIS!$W$2:$W$21)*N544*M544)</f>
        <v>1.5165441176470589</v>
      </c>
      <c r="R544" s="23">
        <f>MAX(0.8,MIN(1.2,P544/AVERAGE(TEAM_ANALYSIS!$W$2:$W$21)))</f>
        <v>1.2</v>
      </c>
      <c r="S544">
        <f>MAX(0.8,MIN(1.2,AVERAGE(TEAM_ANALYSIS!$W$2:$W$21)/Q544))</f>
        <v>1.2</v>
      </c>
      <c r="T544">
        <f>AVERAGE(R544,S544)</f>
        <v>1.2</v>
      </c>
    </row>
    <row r="545" spans="1:20" x14ac:dyDescent="0.25">
      <c r="A545">
        <v>28</v>
      </c>
      <c r="B545" t="b">
        <v>0</v>
      </c>
      <c r="C545" s="6">
        <v>46449.833333333336</v>
      </c>
      <c r="D545" t="b">
        <v>0</v>
      </c>
      <c r="E545">
        <v>5</v>
      </c>
      <c r="F545">
        <v>10</v>
      </c>
      <c r="G545">
        <v>2</v>
      </c>
      <c r="H545" t="s">
        <v>1110</v>
      </c>
      <c r="I545" t="s">
        <v>1076</v>
      </c>
      <c r="J545" t="s">
        <v>1086</v>
      </c>
      <c r="K545" t="str">
        <f>tblTeamFixtures[[#This Row],[Team_name]]&amp;"_"&amp;tblTeamFixtures[[#This Row],[GW]]</f>
        <v>BHA_28</v>
      </c>
      <c r="L545">
        <f>IFERROR(INDEX(TEAM_ANALYSIS!$Y:$Y,MATCH($E545,TEAM_ANALYSIS!$A:$A,0)),1)</f>
        <v>1.4411764705882353</v>
      </c>
      <c r="M545">
        <f>IFERROR(INDEX(TEAM_ANALYSIS!$Z:$Z,MATCH($E545,TEAM_ANALYSIS!$A:$A,0)),1)</f>
        <v>1.088235294117647</v>
      </c>
      <c r="N545">
        <f>IFERROR(INDEX(TEAM_ANALYSIS!$Y:$Y,MATCH($F545,TEAM_ANALYSIS!$A:$A,0)),1)</f>
        <v>0.97058823529411764</v>
      </c>
      <c r="O545">
        <f>IFERROR(INDEX(TEAM_ANALYSIS!$Z:$Z,MATCH($F545,TEAM_ANALYSIS!$A:$A,0)),1)</f>
        <v>1.3235294117647058</v>
      </c>
      <c r="P545">
        <f>MAX(0.05,AVERAGE(TEAM_ANALYSIS!$W$2:$W$21)*L545*O545)</f>
        <v>4.0533088235294112</v>
      </c>
      <c r="Q545">
        <f>MAX(0.05,AVERAGE(TEAM_ANALYSIS!$W$2:$W$21)*N545*M545)</f>
        <v>2.2444852941176467</v>
      </c>
      <c r="R545" s="23">
        <f>MAX(0.8,MIN(1.2,P545/AVERAGE(TEAM_ANALYSIS!$W$2:$W$21)))</f>
        <v>1.2</v>
      </c>
      <c r="S545">
        <f>MAX(0.8,MIN(1.2,AVERAGE(TEAM_ANALYSIS!$W$2:$W$21)/Q545))</f>
        <v>0.94676494676494694</v>
      </c>
      <c r="T545">
        <f>AVERAGE(R545,S545)</f>
        <v>1.0733824733824735</v>
      </c>
    </row>
    <row r="546" spans="1:20" x14ac:dyDescent="0.25">
      <c r="A546">
        <v>28</v>
      </c>
      <c r="B546" t="b">
        <v>0</v>
      </c>
      <c r="C546" s="6">
        <v>46449.833333333336</v>
      </c>
      <c r="D546" t="b">
        <v>0</v>
      </c>
      <c r="E546">
        <v>6</v>
      </c>
      <c r="F546">
        <v>7</v>
      </c>
      <c r="G546">
        <v>2</v>
      </c>
      <c r="H546" t="s">
        <v>1110</v>
      </c>
      <c r="I546" t="s">
        <v>1078</v>
      </c>
      <c r="J546" t="s">
        <v>1080</v>
      </c>
      <c r="K546" t="str">
        <f>tblTeamFixtures[[#This Row],[Team_name]]&amp;"_"&amp;tblTeamFixtures[[#This Row],[GW]]</f>
        <v>CHE_28</v>
      </c>
      <c r="L546">
        <f>IFERROR(INDEX(TEAM_ANALYSIS!$Y:$Y,MATCH($E546,TEAM_ANALYSIS!$A:$A,0)),1)</f>
        <v>1.4411764705882353</v>
      </c>
      <c r="M546">
        <f>IFERROR(INDEX(TEAM_ANALYSIS!$Z:$Z,MATCH($E546,TEAM_ANALYSIS!$A:$A,0)),1)</f>
        <v>1.3235294117647058</v>
      </c>
      <c r="N546">
        <f>IFERROR(INDEX(TEAM_ANALYSIS!$Y:$Y,MATCH($F546,TEAM_ANALYSIS!$A:$A,0)),1)</f>
        <v>0.5</v>
      </c>
      <c r="O546">
        <f>IFERROR(INDEX(TEAM_ANALYSIS!$Z:$Z,MATCH($F546,TEAM_ANALYSIS!$A:$A,0)),1)</f>
        <v>1.088235294117647</v>
      </c>
      <c r="P546">
        <f>MAX(0.05,AVERAGE(TEAM_ANALYSIS!$W$2:$W$21)*L546*O546)</f>
        <v>3.3327205882352939</v>
      </c>
      <c r="Q546">
        <f>MAX(0.05,AVERAGE(TEAM_ANALYSIS!$W$2:$W$21)*N546*M546)</f>
        <v>1.40625</v>
      </c>
      <c r="R546" s="23">
        <f>MAX(0.8,MIN(1.2,P546/AVERAGE(TEAM_ANALYSIS!$W$2:$W$21)))</f>
        <v>1.2</v>
      </c>
      <c r="S546">
        <f>MAX(0.8,MIN(1.2,AVERAGE(TEAM_ANALYSIS!$W$2:$W$21)/Q546))</f>
        <v>1.2</v>
      </c>
      <c r="T546">
        <f>AVERAGE(R546,S546)</f>
        <v>1.2</v>
      </c>
    </row>
    <row r="547" spans="1:20" x14ac:dyDescent="0.25">
      <c r="A547">
        <v>28</v>
      </c>
      <c r="B547" t="b">
        <v>0</v>
      </c>
      <c r="C547" s="6">
        <v>46449.833333333336</v>
      </c>
      <c r="D547" t="b">
        <v>0</v>
      </c>
      <c r="E547">
        <v>13</v>
      </c>
      <c r="F547">
        <v>11</v>
      </c>
      <c r="G547">
        <v>2</v>
      </c>
      <c r="H547" t="s">
        <v>1110</v>
      </c>
      <c r="I547" t="s">
        <v>1092</v>
      </c>
      <c r="J547" t="s">
        <v>1088</v>
      </c>
      <c r="K547" t="str">
        <f>tblTeamFixtures[[#This Row],[Team_name]]&amp;"_"&amp;tblTeamFixtures[[#This Row],[GW]]</f>
        <v>LEE_28</v>
      </c>
      <c r="L547">
        <f>IFERROR(INDEX(TEAM_ANALYSIS!$Y:$Y,MATCH($E547,TEAM_ANALYSIS!$A:$A,0)),1)</f>
        <v>0.8529411764705882</v>
      </c>
      <c r="M547">
        <f>IFERROR(INDEX(TEAM_ANALYSIS!$Z:$Z,MATCH($E547,TEAM_ANALYSIS!$A:$A,0)),1)</f>
        <v>0.73529411764705888</v>
      </c>
      <c r="N547">
        <f>IFERROR(INDEX(TEAM_ANALYSIS!$Y:$Y,MATCH($F547,TEAM_ANALYSIS!$A:$A,0)),1)</f>
        <v>0.8529411764705882</v>
      </c>
      <c r="O547">
        <f>IFERROR(INDEX(TEAM_ANALYSIS!$Z:$Z,MATCH($F547,TEAM_ANALYSIS!$A:$A,0)),1)</f>
        <v>0.5</v>
      </c>
      <c r="P547">
        <f>MAX(0.05,AVERAGE(TEAM_ANALYSIS!$W$2:$W$21)*L547*O547)</f>
        <v>0.90625</v>
      </c>
      <c r="Q547">
        <f>MAX(0.05,AVERAGE(TEAM_ANALYSIS!$W$2:$W$21)*N547*M547)</f>
        <v>1.3327205882352942</v>
      </c>
      <c r="R547" s="23">
        <f>MAX(0.8,MIN(1.2,P547/AVERAGE(TEAM_ANALYSIS!$W$2:$W$21)))</f>
        <v>0.8</v>
      </c>
      <c r="S547">
        <f>MAX(0.8,MIN(1.2,AVERAGE(TEAM_ANALYSIS!$W$2:$W$21)/Q547))</f>
        <v>1.2</v>
      </c>
      <c r="T547">
        <f>AVERAGE(R547,S547)</f>
        <v>1</v>
      </c>
    </row>
    <row r="548" spans="1:20" x14ac:dyDescent="0.25">
      <c r="A548">
        <v>28</v>
      </c>
      <c r="B548" t="b">
        <v>0</v>
      </c>
      <c r="C548" s="6">
        <v>46449.833333333336</v>
      </c>
      <c r="D548" t="b">
        <v>0</v>
      </c>
      <c r="E548">
        <v>14</v>
      </c>
      <c r="F548">
        <v>2</v>
      </c>
      <c r="G548">
        <v>3</v>
      </c>
      <c r="H548" t="s">
        <v>1110</v>
      </c>
      <c r="I548" t="s">
        <v>1094</v>
      </c>
      <c r="J548" t="s">
        <v>1070</v>
      </c>
      <c r="K548" t="str">
        <f>tblTeamFixtures[[#This Row],[Team_name]]&amp;"_"&amp;tblTeamFixtures[[#This Row],[GW]]</f>
        <v>LIV_28</v>
      </c>
      <c r="L548">
        <f>IFERROR(INDEX(TEAM_ANALYSIS!$Y:$Y,MATCH($E548,TEAM_ANALYSIS!$A:$A,0)),1)</f>
        <v>1.2058823529411764</v>
      </c>
      <c r="M548">
        <f>IFERROR(INDEX(TEAM_ANALYSIS!$Z:$Z,MATCH($E548,TEAM_ANALYSIS!$A:$A,0)),1)</f>
        <v>0.97058823529411764</v>
      </c>
      <c r="N548">
        <f>IFERROR(INDEX(TEAM_ANALYSIS!$Y:$Y,MATCH($F548,TEAM_ANALYSIS!$A:$A,0)),1)</f>
        <v>0.5</v>
      </c>
      <c r="O548">
        <f>IFERROR(INDEX(TEAM_ANALYSIS!$Z:$Z,MATCH($F548,TEAM_ANALYSIS!$A:$A,0)),1)</f>
        <v>1.088235294117647</v>
      </c>
      <c r="P548">
        <f>MAX(0.05,AVERAGE(TEAM_ANALYSIS!$W$2:$W$21)*L548*O548)</f>
        <v>2.7886029411764706</v>
      </c>
      <c r="Q548">
        <f>MAX(0.05,AVERAGE(TEAM_ANALYSIS!$W$2:$W$21)*N548*M548)</f>
        <v>1.03125</v>
      </c>
      <c r="R548" s="23">
        <f>MAX(0.8,MIN(1.2,P548/AVERAGE(TEAM_ANALYSIS!$W$2:$W$21)))</f>
        <v>1.2</v>
      </c>
      <c r="S548">
        <f>MAX(0.8,MIN(1.2,AVERAGE(TEAM_ANALYSIS!$W$2:$W$21)/Q548))</f>
        <v>1.2</v>
      </c>
      <c r="T548">
        <f>AVERAGE(R548,S548)</f>
        <v>1.2</v>
      </c>
    </row>
    <row r="549" spans="1:20" x14ac:dyDescent="0.25">
      <c r="A549">
        <v>28</v>
      </c>
      <c r="B549" t="b">
        <v>0</v>
      </c>
      <c r="C549" s="6">
        <v>46449.833333333336</v>
      </c>
      <c r="D549" t="b">
        <v>0</v>
      </c>
      <c r="E549">
        <v>15</v>
      </c>
      <c r="F549">
        <v>9</v>
      </c>
      <c r="G549">
        <v>3</v>
      </c>
      <c r="H549" t="s">
        <v>1110</v>
      </c>
      <c r="I549" t="s">
        <v>1096</v>
      </c>
      <c r="J549" t="s">
        <v>1084</v>
      </c>
      <c r="K549" t="str">
        <f>tblTeamFixtures[[#This Row],[Team_name]]&amp;"_"&amp;tblTeamFixtures[[#This Row],[GW]]</f>
        <v>MCI_28</v>
      </c>
      <c r="L549">
        <f>IFERROR(INDEX(TEAM_ANALYSIS!$Y:$Y,MATCH($E549,TEAM_ANALYSIS!$A:$A,0)),1)</f>
        <v>1.3235294117647058</v>
      </c>
      <c r="M549">
        <f>IFERROR(INDEX(TEAM_ANALYSIS!$Z:$Z,MATCH($E549,TEAM_ANALYSIS!$A:$A,0)),1)</f>
        <v>0.73529411764705888</v>
      </c>
      <c r="N549">
        <f>IFERROR(INDEX(TEAM_ANALYSIS!$Y:$Y,MATCH($F549,TEAM_ANALYSIS!$A:$A,0)),1)</f>
        <v>1.088235294117647</v>
      </c>
      <c r="O549">
        <f>IFERROR(INDEX(TEAM_ANALYSIS!$Z:$Z,MATCH($F549,TEAM_ANALYSIS!$A:$A,0)),1)</f>
        <v>0.8529411764705882</v>
      </c>
      <c r="P549">
        <f>MAX(0.05,AVERAGE(TEAM_ANALYSIS!$W$2:$W$21)*L549*O549)</f>
        <v>2.3988970588235294</v>
      </c>
      <c r="Q549">
        <f>MAX(0.05,AVERAGE(TEAM_ANALYSIS!$W$2:$W$21)*N549*M549)</f>
        <v>1.7003676470588236</v>
      </c>
      <c r="R549" s="23">
        <f>MAX(0.8,MIN(1.2,P549/AVERAGE(TEAM_ANALYSIS!$W$2:$W$21)))</f>
        <v>1.1288927335640138</v>
      </c>
      <c r="S549">
        <f>MAX(0.8,MIN(1.2,AVERAGE(TEAM_ANALYSIS!$W$2:$W$21)/Q549))</f>
        <v>1.2</v>
      </c>
      <c r="T549">
        <f>AVERAGE(R549,S549)</f>
        <v>1.1644463667820069</v>
      </c>
    </row>
    <row r="550" spans="1:20" x14ac:dyDescent="0.25">
      <c r="A550">
        <v>28</v>
      </c>
      <c r="B550" t="b">
        <v>0</v>
      </c>
      <c r="C550" s="6">
        <v>46449.833333333336</v>
      </c>
      <c r="D550" t="b">
        <v>0</v>
      </c>
      <c r="E550">
        <v>18</v>
      </c>
      <c r="F550">
        <v>17</v>
      </c>
      <c r="G550">
        <v>2</v>
      </c>
      <c r="H550" t="s">
        <v>1110</v>
      </c>
      <c r="I550" t="s">
        <v>1102</v>
      </c>
      <c r="J550" t="s">
        <v>1100</v>
      </c>
      <c r="K550" t="str">
        <f>tblTeamFixtures[[#This Row],[Team_name]]&amp;"_"&amp;tblTeamFixtures[[#This Row],[GW]]</f>
        <v>NFO_28</v>
      </c>
      <c r="L550">
        <f>IFERROR(INDEX(TEAM_ANALYSIS!$Y:$Y,MATCH($E550,TEAM_ANALYSIS!$A:$A,0)),1)</f>
        <v>0.73529411764705888</v>
      </c>
      <c r="M550">
        <f>IFERROR(INDEX(TEAM_ANALYSIS!$Z:$Z,MATCH($E550,TEAM_ANALYSIS!$A:$A,0)),1)</f>
        <v>0.8529411764705882</v>
      </c>
      <c r="N550">
        <f>IFERROR(INDEX(TEAM_ANALYSIS!$Y:$Y,MATCH($F550,TEAM_ANALYSIS!$A:$A,0)),1)</f>
        <v>1.2058823529411764</v>
      </c>
      <c r="O550">
        <f>IFERROR(INDEX(TEAM_ANALYSIS!$Z:$Z,MATCH($F550,TEAM_ANALYSIS!$A:$A,0)),1)</f>
        <v>0.97058823529411764</v>
      </c>
      <c r="P550">
        <f>MAX(0.05,AVERAGE(TEAM_ANALYSIS!$W$2:$W$21)*L550*O550)</f>
        <v>1.5165441176470589</v>
      </c>
      <c r="Q550">
        <f>MAX(0.05,AVERAGE(TEAM_ANALYSIS!$W$2:$W$21)*N550*M550)</f>
        <v>2.1856617647058822</v>
      </c>
      <c r="R550" s="23">
        <f>MAX(0.8,MIN(1.2,P550/AVERAGE(TEAM_ANALYSIS!$W$2:$W$21)))</f>
        <v>0.8</v>
      </c>
      <c r="S550">
        <f>MAX(0.8,MIN(1.2,AVERAGE(TEAM_ANALYSIS!$W$2:$W$21)/Q550))</f>
        <v>0.9722455845248108</v>
      </c>
      <c r="T550">
        <f>AVERAGE(R550,S550)</f>
        <v>0.88612279226240542</v>
      </c>
    </row>
    <row r="551" spans="1:20" x14ac:dyDescent="0.25">
      <c r="A551">
        <v>28</v>
      </c>
      <c r="B551" t="b">
        <v>0</v>
      </c>
      <c r="C551" s="6">
        <v>46449.833333333336</v>
      </c>
      <c r="D551" t="b">
        <v>0</v>
      </c>
      <c r="E551">
        <v>20</v>
      </c>
      <c r="F551">
        <v>16</v>
      </c>
      <c r="G551">
        <v>4</v>
      </c>
      <c r="H551" t="s">
        <v>1110</v>
      </c>
      <c r="I551" t="s">
        <v>1106</v>
      </c>
      <c r="J551" t="s">
        <v>1098</v>
      </c>
      <c r="K551" t="str">
        <f>tblTeamFixtures[[#This Row],[Team_name]]&amp;"_"&amp;tblTeamFixtures[[#This Row],[GW]]</f>
        <v>SUN_28</v>
      </c>
      <c r="L551">
        <f>IFERROR(INDEX(TEAM_ANALYSIS!$Y:$Y,MATCH($E551,TEAM_ANALYSIS!$A:$A,0)),1)</f>
        <v>0.8529411764705882</v>
      </c>
      <c r="M551">
        <f>IFERROR(INDEX(TEAM_ANALYSIS!$Z:$Z,MATCH($E551,TEAM_ANALYSIS!$A:$A,0)),1)</f>
        <v>0.8529411764705882</v>
      </c>
      <c r="N551">
        <f>IFERROR(INDEX(TEAM_ANALYSIS!$Y:$Y,MATCH($F551,TEAM_ANALYSIS!$A:$A,0)),1)</f>
        <v>1.3235294117647058</v>
      </c>
      <c r="O551">
        <f>IFERROR(INDEX(TEAM_ANALYSIS!$Z:$Z,MATCH($F551,TEAM_ANALYSIS!$A:$A,0)),1)</f>
        <v>1.2058823529411764</v>
      </c>
      <c r="P551">
        <f>MAX(0.05,AVERAGE(TEAM_ANALYSIS!$W$2:$W$21)*L551*O551)</f>
        <v>2.1856617647058822</v>
      </c>
      <c r="Q551">
        <f>MAX(0.05,AVERAGE(TEAM_ANALYSIS!$W$2:$W$21)*N551*M551)</f>
        <v>2.3988970588235294</v>
      </c>
      <c r="R551" s="23">
        <f>MAX(0.8,MIN(1.2,P551/AVERAGE(TEAM_ANALYSIS!$W$2:$W$21)))</f>
        <v>1.0285467128027681</v>
      </c>
      <c r="S551">
        <f>MAX(0.8,MIN(1.2,AVERAGE(TEAM_ANALYSIS!$W$2:$W$21)/Q551))</f>
        <v>0.885823754789272</v>
      </c>
      <c r="T551">
        <f>AVERAGE(R551,S551)</f>
        <v>0.95718523379602005</v>
      </c>
    </row>
    <row r="552" spans="1:20" x14ac:dyDescent="0.25">
      <c r="A552">
        <v>28</v>
      </c>
      <c r="B552" t="b">
        <v>0</v>
      </c>
      <c r="C552" s="6">
        <v>46449.833333333336</v>
      </c>
      <c r="D552" t="b">
        <v>0</v>
      </c>
      <c r="E552">
        <v>8</v>
      </c>
      <c r="F552">
        <v>1</v>
      </c>
      <c r="G552">
        <v>5</v>
      </c>
      <c r="H552" t="s">
        <v>1111</v>
      </c>
      <c r="I552" t="s">
        <v>1082</v>
      </c>
      <c r="J552" t="s">
        <v>1068</v>
      </c>
      <c r="K552" t="str">
        <f>tblTeamFixtures[[#This Row],[Team_name]]&amp;"_"&amp;tblTeamFixtures[[#This Row],[GW]]</f>
        <v>CRY_28</v>
      </c>
      <c r="L552">
        <f>IFERROR(INDEX(TEAM_ANALYSIS!$Y:$Y,MATCH($E552,TEAM_ANALYSIS!$A:$A,0)),1)</f>
        <v>0.97058823529411764</v>
      </c>
      <c r="M552">
        <f>IFERROR(INDEX(TEAM_ANALYSIS!$Z:$Z,MATCH($E552,TEAM_ANALYSIS!$A:$A,0)),1)</f>
        <v>1.4411764705882353</v>
      </c>
      <c r="N552">
        <f>IFERROR(INDEX(TEAM_ANALYSIS!$Y:$Y,MATCH($F552,TEAM_ANALYSIS!$A:$A,0)),1)</f>
        <v>1.2058823529411764</v>
      </c>
      <c r="O552">
        <f>IFERROR(INDEX(TEAM_ANALYSIS!$Z:$Z,MATCH($F552,TEAM_ANALYSIS!$A:$A,0)),1)</f>
        <v>0.61764705882352944</v>
      </c>
      <c r="P552">
        <f>MAX(0.05,AVERAGE(TEAM_ANALYSIS!$W$2:$W$21)*L552*O552)</f>
        <v>1.2738970588235294</v>
      </c>
      <c r="Q552">
        <f>MAX(0.05,AVERAGE(TEAM_ANALYSIS!$W$2:$W$21)*N552*M552)</f>
        <v>3.6930147058823528</v>
      </c>
      <c r="R552" s="23">
        <f>MAX(0.8,MIN(1.2,P552/AVERAGE(TEAM_ANALYSIS!$W$2:$W$21)))</f>
        <v>0.8</v>
      </c>
      <c r="S552">
        <f>MAX(0.8,MIN(1.2,AVERAGE(TEAM_ANALYSIS!$W$2:$W$21)/Q552))</f>
        <v>0.8</v>
      </c>
      <c r="T552">
        <f>AVERAGE(R552,S552)</f>
        <v>0.8</v>
      </c>
    </row>
    <row r="553" spans="1:20" x14ac:dyDescent="0.25">
      <c r="A553">
        <v>28</v>
      </c>
      <c r="B553" t="b">
        <v>0</v>
      </c>
      <c r="C553" s="6">
        <v>46449.833333333336</v>
      </c>
      <c r="D553" t="b">
        <v>0</v>
      </c>
      <c r="E553">
        <v>19</v>
      </c>
      <c r="F553">
        <v>3</v>
      </c>
      <c r="G553">
        <v>3</v>
      </c>
      <c r="H553" t="s">
        <v>1111</v>
      </c>
      <c r="I553" t="s">
        <v>1104</v>
      </c>
      <c r="J553" t="s">
        <v>1072</v>
      </c>
      <c r="K553" t="str">
        <f>tblTeamFixtures[[#This Row],[Team_name]]&amp;"_"&amp;tblTeamFixtures[[#This Row],[GW]]</f>
        <v>TOT_28</v>
      </c>
      <c r="L553">
        <f>IFERROR(INDEX(TEAM_ANALYSIS!$Y:$Y,MATCH($E553,TEAM_ANALYSIS!$A:$A,0)),1)</f>
        <v>0.5</v>
      </c>
      <c r="M553">
        <f>IFERROR(INDEX(TEAM_ANALYSIS!$Z:$Z,MATCH($E553,TEAM_ANALYSIS!$A:$A,0)),1)</f>
        <v>1.088235294117647</v>
      </c>
      <c r="N553">
        <f>IFERROR(INDEX(TEAM_ANALYSIS!$Y:$Y,MATCH($F553,TEAM_ANALYSIS!$A:$A,0)),1)</f>
        <v>0.97058823529411764</v>
      </c>
      <c r="O553">
        <f>IFERROR(INDEX(TEAM_ANALYSIS!$Z:$Z,MATCH($F553,TEAM_ANALYSIS!$A:$A,0)),1)</f>
        <v>1.088235294117647</v>
      </c>
      <c r="P553">
        <f>MAX(0.05,AVERAGE(TEAM_ANALYSIS!$W$2:$W$21)*L553*O553)</f>
        <v>1.15625</v>
      </c>
      <c r="Q553">
        <f>MAX(0.05,AVERAGE(TEAM_ANALYSIS!$W$2:$W$21)*N553*M553)</f>
        <v>2.2444852941176467</v>
      </c>
      <c r="R553" s="23">
        <f>MAX(0.8,MIN(1.2,P553/AVERAGE(TEAM_ANALYSIS!$W$2:$W$21)))</f>
        <v>0.8</v>
      </c>
      <c r="S553">
        <f>MAX(0.8,MIN(1.2,AVERAGE(TEAM_ANALYSIS!$W$2:$W$21)/Q553))</f>
        <v>0.94676494676494694</v>
      </c>
      <c r="T553">
        <f>AVERAGE(R553,S553)</f>
        <v>0.87338247338247355</v>
      </c>
    </row>
    <row r="554" spans="1:20" x14ac:dyDescent="0.25">
      <c r="A554">
        <v>28</v>
      </c>
      <c r="B554" t="b">
        <v>0</v>
      </c>
      <c r="C554" s="6">
        <v>46449.833333333336</v>
      </c>
      <c r="D554" t="b">
        <v>0</v>
      </c>
      <c r="E554">
        <v>12</v>
      </c>
      <c r="F554">
        <v>4</v>
      </c>
      <c r="G554">
        <v>3</v>
      </c>
      <c r="H554" t="s">
        <v>1111</v>
      </c>
      <c r="I554" t="s">
        <v>1090</v>
      </c>
      <c r="J554" t="s">
        <v>1074</v>
      </c>
      <c r="K554" t="str">
        <f>tblTeamFixtures[[#This Row],[Team_name]]&amp;"_"&amp;tblTeamFixtures[[#This Row],[GW]]</f>
        <v>IPS_28</v>
      </c>
      <c r="L554">
        <f>IFERROR(INDEX(TEAM_ANALYSIS!$Y:$Y,MATCH($E554,TEAM_ANALYSIS!$A:$A,0)),1)</f>
        <v>0.97058823529411764</v>
      </c>
      <c r="M554">
        <f>IFERROR(INDEX(TEAM_ANALYSIS!$Z:$Z,MATCH($E554,TEAM_ANALYSIS!$A:$A,0)),1)</f>
        <v>1.4411764705882353</v>
      </c>
      <c r="N554">
        <f>IFERROR(INDEX(TEAM_ANALYSIS!$Y:$Y,MATCH($F554,TEAM_ANALYSIS!$A:$A,0)),1)</f>
        <v>1.088235294117647</v>
      </c>
      <c r="O554">
        <f>IFERROR(INDEX(TEAM_ANALYSIS!$Z:$Z,MATCH($F554,TEAM_ANALYSIS!$A:$A,0)),1)</f>
        <v>0.73529411764705888</v>
      </c>
      <c r="P554">
        <f>MAX(0.05,AVERAGE(TEAM_ANALYSIS!$W$2:$W$21)*L554*O554)</f>
        <v>1.5165441176470589</v>
      </c>
      <c r="Q554">
        <f>MAX(0.05,AVERAGE(TEAM_ANALYSIS!$W$2:$W$21)*N554*M554)</f>
        <v>3.3327205882352939</v>
      </c>
      <c r="R554" s="23">
        <f>MAX(0.8,MIN(1.2,P554/AVERAGE(TEAM_ANALYSIS!$W$2:$W$21)))</f>
        <v>0.8</v>
      </c>
      <c r="S554">
        <f>MAX(0.8,MIN(1.2,AVERAGE(TEAM_ANALYSIS!$W$2:$W$21)/Q554))</f>
        <v>0.8</v>
      </c>
      <c r="T554">
        <f>AVERAGE(R554,S554)</f>
        <v>0.8</v>
      </c>
    </row>
    <row r="555" spans="1:20" x14ac:dyDescent="0.25">
      <c r="A555">
        <v>28</v>
      </c>
      <c r="B555" t="b">
        <v>0</v>
      </c>
      <c r="C555" s="6">
        <v>46449.833333333336</v>
      </c>
      <c r="D555" t="b">
        <v>0</v>
      </c>
      <c r="E555">
        <v>10</v>
      </c>
      <c r="F555">
        <v>5</v>
      </c>
      <c r="G555">
        <v>3</v>
      </c>
      <c r="H555" t="s">
        <v>1111</v>
      </c>
      <c r="I555" t="s">
        <v>1086</v>
      </c>
      <c r="J555" t="s">
        <v>1076</v>
      </c>
      <c r="K555" t="str">
        <f>tblTeamFixtures[[#This Row],[Team_name]]&amp;"_"&amp;tblTeamFixtures[[#This Row],[GW]]</f>
        <v>FUL_28</v>
      </c>
      <c r="L555">
        <f>IFERROR(INDEX(TEAM_ANALYSIS!$Y:$Y,MATCH($E555,TEAM_ANALYSIS!$A:$A,0)),1)</f>
        <v>0.97058823529411764</v>
      </c>
      <c r="M555">
        <f>IFERROR(INDEX(TEAM_ANALYSIS!$Z:$Z,MATCH($E555,TEAM_ANALYSIS!$A:$A,0)),1)</f>
        <v>1.3235294117647058</v>
      </c>
      <c r="N555">
        <f>IFERROR(INDEX(TEAM_ANALYSIS!$Y:$Y,MATCH($F555,TEAM_ANALYSIS!$A:$A,0)),1)</f>
        <v>1.4411764705882353</v>
      </c>
      <c r="O555">
        <f>IFERROR(INDEX(TEAM_ANALYSIS!$Z:$Z,MATCH($F555,TEAM_ANALYSIS!$A:$A,0)),1)</f>
        <v>1.088235294117647</v>
      </c>
      <c r="P555">
        <f>MAX(0.05,AVERAGE(TEAM_ANALYSIS!$W$2:$W$21)*L555*O555)</f>
        <v>2.2444852941176467</v>
      </c>
      <c r="Q555">
        <f>MAX(0.05,AVERAGE(TEAM_ANALYSIS!$W$2:$W$21)*N555*M555)</f>
        <v>4.0533088235294112</v>
      </c>
      <c r="R555" s="23">
        <f>MAX(0.8,MIN(1.2,P555/AVERAGE(TEAM_ANALYSIS!$W$2:$W$21)))</f>
        <v>1.0562283737024221</v>
      </c>
      <c r="S555">
        <f>MAX(0.8,MIN(1.2,AVERAGE(TEAM_ANALYSIS!$W$2:$W$21)/Q555))</f>
        <v>0.8</v>
      </c>
      <c r="T555">
        <f>AVERAGE(R555,S555)</f>
        <v>0.92811418685121105</v>
      </c>
    </row>
    <row r="556" spans="1:20" x14ac:dyDescent="0.25">
      <c r="A556">
        <v>28</v>
      </c>
      <c r="B556" t="b">
        <v>0</v>
      </c>
      <c r="C556" s="6">
        <v>46449.833333333336</v>
      </c>
      <c r="D556" t="b">
        <v>0</v>
      </c>
      <c r="E556">
        <v>7</v>
      </c>
      <c r="F556">
        <v>6</v>
      </c>
      <c r="G556">
        <v>4</v>
      </c>
      <c r="H556" t="s">
        <v>1111</v>
      </c>
      <c r="I556" t="s">
        <v>1080</v>
      </c>
      <c r="J556" t="s">
        <v>1078</v>
      </c>
      <c r="K556" t="str">
        <f>tblTeamFixtures[[#This Row],[Team_name]]&amp;"_"&amp;tblTeamFixtures[[#This Row],[GW]]</f>
        <v>COV_28</v>
      </c>
      <c r="L556">
        <f>IFERROR(INDEX(TEAM_ANALYSIS!$Y:$Y,MATCH($E556,TEAM_ANALYSIS!$A:$A,0)),1)</f>
        <v>0.5</v>
      </c>
      <c r="M556">
        <f>IFERROR(INDEX(TEAM_ANALYSIS!$Z:$Z,MATCH($E556,TEAM_ANALYSIS!$A:$A,0)),1)</f>
        <v>1.088235294117647</v>
      </c>
      <c r="N556">
        <f>IFERROR(INDEX(TEAM_ANALYSIS!$Y:$Y,MATCH($F556,TEAM_ANALYSIS!$A:$A,0)),1)</f>
        <v>1.4411764705882353</v>
      </c>
      <c r="O556">
        <f>IFERROR(INDEX(TEAM_ANALYSIS!$Z:$Z,MATCH($F556,TEAM_ANALYSIS!$A:$A,0)),1)</f>
        <v>1.3235294117647058</v>
      </c>
      <c r="P556">
        <f>MAX(0.05,AVERAGE(TEAM_ANALYSIS!$W$2:$W$21)*L556*O556)</f>
        <v>1.40625</v>
      </c>
      <c r="Q556">
        <f>MAX(0.05,AVERAGE(TEAM_ANALYSIS!$W$2:$W$21)*N556*M556)</f>
        <v>3.3327205882352939</v>
      </c>
      <c r="R556" s="23">
        <f>MAX(0.8,MIN(1.2,P556/AVERAGE(TEAM_ANALYSIS!$W$2:$W$21)))</f>
        <v>0.8</v>
      </c>
      <c r="S556">
        <f>MAX(0.8,MIN(1.2,AVERAGE(TEAM_ANALYSIS!$W$2:$W$21)/Q556))</f>
        <v>0.8</v>
      </c>
      <c r="T556">
        <f>AVERAGE(R556,S556)</f>
        <v>0.8</v>
      </c>
    </row>
    <row r="557" spans="1:20" x14ac:dyDescent="0.25">
      <c r="A557">
        <v>28</v>
      </c>
      <c r="B557" t="b">
        <v>0</v>
      </c>
      <c r="C557" s="6">
        <v>46449.833333333336</v>
      </c>
      <c r="D557" t="b">
        <v>0</v>
      </c>
      <c r="E557">
        <v>11</v>
      </c>
      <c r="F557">
        <v>13</v>
      </c>
      <c r="G557">
        <v>3</v>
      </c>
      <c r="H557" t="s">
        <v>1111</v>
      </c>
      <c r="I557" t="s">
        <v>1088</v>
      </c>
      <c r="J557" t="s">
        <v>1092</v>
      </c>
      <c r="K557" t="str">
        <f>tblTeamFixtures[[#This Row],[Team_name]]&amp;"_"&amp;tblTeamFixtures[[#This Row],[GW]]</f>
        <v>HUL_28</v>
      </c>
      <c r="L557">
        <f>IFERROR(INDEX(TEAM_ANALYSIS!$Y:$Y,MATCH($E557,TEAM_ANALYSIS!$A:$A,0)),1)</f>
        <v>0.8529411764705882</v>
      </c>
      <c r="M557">
        <f>IFERROR(INDEX(TEAM_ANALYSIS!$Z:$Z,MATCH($E557,TEAM_ANALYSIS!$A:$A,0)),1)</f>
        <v>0.5</v>
      </c>
      <c r="N557">
        <f>IFERROR(INDEX(TEAM_ANALYSIS!$Y:$Y,MATCH($F557,TEAM_ANALYSIS!$A:$A,0)),1)</f>
        <v>0.8529411764705882</v>
      </c>
      <c r="O557">
        <f>IFERROR(INDEX(TEAM_ANALYSIS!$Z:$Z,MATCH($F557,TEAM_ANALYSIS!$A:$A,0)),1)</f>
        <v>0.73529411764705888</v>
      </c>
      <c r="P557">
        <f>MAX(0.05,AVERAGE(TEAM_ANALYSIS!$W$2:$W$21)*L557*O557)</f>
        <v>1.3327205882352942</v>
      </c>
      <c r="Q557">
        <f>MAX(0.05,AVERAGE(TEAM_ANALYSIS!$W$2:$W$21)*N557*M557)</f>
        <v>0.90625</v>
      </c>
      <c r="R557" s="23">
        <f>MAX(0.8,MIN(1.2,P557/AVERAGE(TEAM_ANALYSIS!$W$2:$W$21)))</f>
        <v>0.8</v>
      </c>
      <c r="S557">
        <f>MAX(0.8,MIN(1.2,AVERAGE(TEAM_ANALYSIS!$W$2:$W$21)/Q557))</f>
        <v>1.2</v>
      </c>
      <c r="T557">
        <f>AVERAGE(R557,S557)</f>
        <v>1</v>
      </c>
    </row>
    <row r="558" spans="1:20" x14ac:dyDescent="0.25">
      <c r="A558">
        <v>28</v>
      </c>
      <c r="B558" t="b">
        <v>0</v>
      </c>
      <c r="C558" s="6">
        <v>46449.833333333336</v>
      </c>
      <c r="D558" t="b">
        <v>0</v>
      </c>
      <c r="E558">
        <v>2</v>
      </c>
      <c r="F558">
        <v>14</v>
      </c>
      <c r="G558">
        <v>4</v>
      </c>
      <c r="H558" t="s">
        <v>1111</v>
      </c>
      <c r="I558" t="s">
        <v>1070</v>
      </c>
      <c r="J558" t="s">
        <v>1094</v>
      </c>
      <c r="K558" t="str">
        <f>tblTeamFixtures[[#This Row],[Team_name]]&amp;"_"&amp;tblTeamFixtures[[#This Row],[GW]]</f>
        <v>AVL_28</v>
      </c>
      <c r="L558">
        <f>IFERROR(INDEX(TEAM_ANALYSIS!$Y:$Y,MATCH($E558,TEAM_ANALYSIS!$A:$A,0)),1)</f>
        <v>0.5</v>
      </c>
      <c r="M558">
        <f>IFERROR(INDEX(TEAM_ANALYSIS!$Z:$Z,MATCH($E558,TEAM_ANALYSIS!$A:$A,0)),1)</f>
        <v>1.088235294117647</v>
      </c>
      <c r="N558">
        <f>IFERROR(INDEX(TEAM_ANALYSIS!$Y:$Y,MATCH($F558,TEAM_ANALYSIS!$A:$A,0)),1)</f>
        <v>1.2058823529411764</v>
      </c>
      <c r="O558">
        <f>IFERROR(INDEX(TEAM_ANALYSIS!$Z:$Z,MATCH($F558,TEAM_ANALYSIS!$A:$A,0)),1)</f>
        <v>0.97058823529411764</v>
      </c>
      <c r="P558">
        <f>MAX(0.05,AVERAGE(TEAM_ANALYSIS!$W$2:$W$21)*L558*O558)</f>
        <v>1.03125</v>
      </c>
      <c r="Q558">
        <f>MAX(0.05,AVERAGE(TEAM_ANALYSIS!$W$2:$W$21)*N558*M558)</f>
        <v>2.7886029411764706</v>
      </c>
      <c r="R558" s="23">
        <f>MAX(0.8,MIN(1.2,P558/AVERAGE(TEAM_ANALYSIS!$W$2:$W$21)))</f>
        <v>0.8</v>
      </c>
      <c r="S558">
        <f>MAX(0.8,MIN(1.2,AVERAGE(TEAM_ANALYSIS!$W$2:$W$21)/Q558))</f>
        <v>0.8</v>
      </c>
      <c r="T558">
        <f>AVERAGE(R558,S558)</f>
        <v>0.8</v>
      </c>
    </row>
    <row r="559" spans="1:20" x14ac:dyDescent="0.25">
      <c r="A559">
        <v>28</v>
      </c>
      <c r="B559" t="b">
        <v>0</v>
      </c>
      <c r="C559" s="6">
        <v>46449.833333333336</v>
      </c>
      <c r="D559" t="b">
        <v>0</v>
      </c>
      <c r="E559">
        <v>9</v>
      </c>
      <c r="F559">
        <v>15</v>
      </c>
      <c r="G559">
        <v>5</v>
      </c>
      <c r="H559" t="s">
        <v>1111</v>
      </c>
      <c r="I559" t="s">
        <v>1084</v>
      </c>
      <c r="J559" t="s">
        <v>1096</v>
      </c>
      <c r="K559" t="str">
        <f>tblTeamFixtures[[#This Row],[Team_name]]&amp;"_"&amp;tblTeamFixtures[[#This Row],[GW]]</f>
        <v>EVE_28</v>
      </c>
      <c r="L559">
        <f>IFERROR(INDEX(TEAM_ANALYSIS!$Y:$Y,MATCH($E559,TEAM_ANALYSIS!$A:$A,0)),1)</f>
        <v>1.088235294117647</v>
      </c>
      <c r="M559">
        <f>IFERROR(INDEX(TEAM_ANALYSIS!$Z:$Z,MATCH($E559,TEAM_ANALYSIS!$A:$A,0)),1)</f>
        <v>0.8529411764705882</v>
      </c>
      <c r="N559">
        <f>IFERROR(INDEX(TEAM_ANALYSIS!$Y:$Y,MATCH($F559,TEAM_ANALYSIS!$A:$A,0)),1)</f>
        <v>1.3235294117647058</v>
      </c>
      <c r="O559">
        <f>IFERROR(INDEX(TEAM_ANALYSIS!$Z:$Z,MATCH($F559,TEAM_ANALYSIS!$A:$A,0)),1)</f>
        <v>0.73529411764705888</v>
      </c>
      <c r="P559">
        <f>MAX(0.05,AVERAGE(TEAM_ANALYSIS!$W$2:$W$21)*L559*O559)</f>
        <v>1.7003676470588236</v>
      </c>
      <c r="Q559">
        <f>MAX(0.05,AVERAGE(TEAM_ANALYSIS!$W$2:$W$21)*N559*M559)</f>
        <v>2.3988970588235294</v>
      </c>
      <c r="R559" s="23">
        <f>MAX(0.8,MIN(1.2,P559/AVERAGE(TEAM_ANALYSIS!$W$2:$W$21)))</f>
        <v>0.80017301038062283</v>
      </c>
      <c r="S559">
        <f>MAX(0.8,MIN(1.2,AVERAGE(TEAM_ANALYSIS!$W$2:$W$21)/Q559))</f>
        <v>0.885823754789272</v>
      </c>
      <c r="T559">
        <f>AVERAGE(R559,S559)</f>
        <v>0.84299838258494741</v>
      </c>
    </row>
    <row r="560" spans="1:20" x14ac:dyDescent="0.25">
      <c r="A560">
        <v>28</v>
      </c>
      <c r="B560" t="b">
        <v>0</v>
      </c>
      <c r="C560" s="6">
        <v>46449.833333333336</v>
      </c>
      <c r="D560" t="b">
        <v>0</v>
      </c>
      <c r="E560">
        <v>17</v>
      </c>
      <c r="F560">
        <v>18</v>
      </c>
      <c r="G560">
        <v>3</v>
      </c>
      <c r="H560" t="s">
        <v>1111</v>
      </c>
      <c r="I560" t="s">
        <v>1100</v>
      </c>
      <c r="J560" t="s">
        <v>1102</v>
      </c>
      <c r="K560" t="str">
        <f>tblTeamFixtures[[#This Row],[Team_name]]&amp;"_"&amp;tblTeamFixtures[[#This Row],[GW]]</f>
        <v>NEW_28</v>
      </c>
      <c r="L560">
        <f>IFERROR(INDEX(TEAM_ANALYSIS!$Y:$Y,MATCH($E560,TEAM_ANALYSIS!$A:$A,0)),1)</f>
        <v>1.2058823529411764</v>
      </c>
      <c r="M560">
        <f>IFERROR(INDEX(TEAM_ANALYSIS!$Z:$Z,MATCH($E560,TEAM_ANALYSIS!$A:$A,0)),1)</f>
        <v>0.97058823529411764</v>
      </c>
      <c r="N560">
        <f>IFERROR(INDEX(TEAM_ANALYSIS!$Y:$Y,MATCH($F560,TEAM_ANALYSIS!$A:$A,0)),1)</f>
        <v>0.73529411764705888</v>
      </c>
      <c r="O560">
        <f>IFERROR(INDEX(TEAM_ANALYSIS!$Z:$Z,MATCH($F560,TEAM_ANALYSIS!$A:$A,0)),1)</f>
        <v>0.8529411764705882</v>
      </c>
      <c r="P560">
        <f>MAX(0.05,AVERAGE(TEAM_ANALYSIS!$W$2:$W$21)*L560*O560)</f>
        <v>2.1856617647058822</v>
      </c>
      <c r="Q560">
        <f>MAX(0.05,AVERAGE(TEAM_ANALYSIS!$W$2:$W$21)*N560*M560)</f>
        <v>1.5165441176470589</v>
      </c>
      <c r="R560" s="23">
        <f>MAX(0.8,MIN(1.2,P560/AVERAGE(TEAM_ANALYSIS!$W$2:$W$21)))</f>
        <v>1.0285467128027681</v>
      </c>
      <c r="S560">
        <f>MAX(0.8,MIN(1.2,AVERAGE(TEAM_ANALYSIS!$W$2:$W$21)/Q560))</f>
        <v>1.2</v>
      </c>
      <c r="T560">
        <f>AVERAGE(R560,S560)</f>
        <v>1.114273356401384</v>
      </c>
    </row>
    <row r="561" spans="1:20" x14ac:dyDescent="0.25">
      <c r="A561">
        <v>28</v>
      </c>
      <c r="B561" t="b">
        <v>0</v>
      </c>
      <c r="C561" s="6">
        <v>46449.833333333336</v>
      </c>
      <c r="D561" t="b">
        <v>0</v>
      </c>
      <c r="E561">
        <v>16</v>
      </c>
      <c r="F561">
        <v>20</v>
      </c>
      <c r="G561">
        <v>3</v>
      </c>
      <c r="H561" t="s">
        <v>1111</v>
      </c>
      <c r="I561" t="s">
        <v>1098</v>
      </c>
      <c r="J561" t="s">
        <v>1106</v>
      </c>
      <c r="K561" t="str">
        <f>tblTeamFixtures[[#This Row],[Team_name]]&amp;"_"&amp;tblTeamFixtures[[#This Row],[GW]]</f>
        <v>MUN_28</v>
      </c>
      <c r="L561">
        <f>IFERROR(INDEX(TEAM_ANALYSIS!$Y:$Y,MATCH($E561,TEAM_ANALYSIS!$A:$A,0)),1)</f>
        <v>1.3235294117647058</v>
      </c>
      <c r="M561">
        <f>IFERROR(INDEX(TEAM_ANALYSIS!$Z:$Z,MATCH($E561,TEAM_ANALYSIS!$A:$A,0)),1)</f>
        <v>1.2058823529411764</v>
      </c>
      <c r="N561">
        <f>IFERROR(INDEX(TEAM_ANALYSIS!$Y:$Y,MATCH($F561,TEAM_ANALYSIS!$A:$A,0)),1)</f>
        <v>0.8529411764705882</v>
      </c>
      <c r="O561">
        <f>IFERROR(INDEX(TEAM_ANALYSIS!$Z:$Z,MATCH($F561,TEAM_ANALYSIS!$A:$A,0)),1)</f>
        <v>0.8529411764705882</v>
      </c>
      <c r="P561">
        <f>MAX(0.05,AVERAGE(TEAM_ANALYSIS!$W$2:$W$21)*L561*O561)</f>
        <v>2.3988970588235294</v>
      </c>
      <c r="Q561">
        <f>MAX(0.05,AVERAGE(TEAM_ANALYSIS!$W$2:$W$21)*N561*M561)</f>
        <v>2.1856617647058822</v>
      </c>
      <c r="R561" s="23">
        <f>MAX(0.8,MIN(1.2,P561/AVERAGE(TEAM_ANALYSIS!$W$2:$W$21)))</f>
        <v>1.1288927335640138</v>
      </c>
      <c r="S561">
        <f>MAX(0.8,MIN(1.2,AVERAGE(TEAM_ANALYSIS!$W$2:$W$21)/Q561))</f>
        <v>0.9722455845248108</v>
      </c>
      <c r="T561">
        <f>AVERAGE(R561,S561)</f>
        <v>1.0505691590444122</v>
      </c>
    </row>
    <row r="562" spans="1:20" x14ac:dyDescent="0.25">
      <c r="A562">
        <v>29</v>
      </c>
      <c r="B562" t="b">
        <v>0</v>
      </c>
      <c r="C562" s="6">
        <v>46459.625</v>
      </c>
      <c r="D562" t="b">
        <v>0</v>
      </c>
      <c r="E562">
        <v>2</v>
      </c>
      <c r="F562">
        <v>11</v>
      </c>
      <c r="G562">
        <v>2</v>
      </c>
      <c r="H562" t="s">
        <v>1110</v>
      </c>
      <c r="I562" t="s">
        <v>1070</v>
      </c>
      <c r="J562" t="s">
        <v>1088</v>
      </c>
      <c r="K562" t="str">
        <f>tblTeamFixtures[[#This Row],[Team_name]]&amp;"_"&amp;tblTeamFixtures[[#This Row],[GW]]</f>
        <v>AVL_29</v>
      </c>
      <c r="L562">
        <f>IFERROR(INDEX(TEAM_ANALYSIS!$Y:$Y,MATCH($E562,TEAM_ANALYSIS!$A:$A,0)),1)</f>
        <v>0.5</v>
      </c>
      <c r="M562">
        <f>IFERROR(INDEX(TEAM_ANALYSIS!$Z:$Z,MATCH($E562,TEAM_ANALYSIS!$A:$A,0)),1)</f>
        <v>1.088235294117647</v>
      </c>
      <c r="N562">
        <f>IFERROR(INDEX(TEAM_ANALYSIS!$Y:$Y,MATCH($F562,TEAM_ANALYSIS!$A:$A,0)),1)</f>
        <v>0.8529411764705882</v>
      </c>
      <c r="O562">
        <f>IFERROR(INDEX(TEAM_ANALYSIS!$Z:$Z,MATCH($F562,TEAM_ANALYSIS!$A:$A,0)),1)</f>
        <v>0.5</v>
      </c>
      <c r="P562">
        <f>MAX(0.05,AVERAGE(TEAM_ANALYSIS!$W$2:$W$21)*L562*O562)</f>
        <v>0.53125</v>
      </c>
      <c r="Q562">
        <f>MAX(0.05,AVERAGE(TEAM_ANALYSIS!$W$2:$W$21)*N562*M562)</f>
        <v>1.9724264705882351</v>
      </c>
      <c r="R562" s="23">
        <f>MAX(0.8,MIN(1.2,P562/AVERAGE(TEAM_ANALYSIS!$W$2:$W$21)))</f>
        <v>0.8</v>
      </c>
      <c r="S562">
        <f>MAX(0.8,MIN(1.2,AVERAGE(TEAM_ANALYSIS!$W$2:$W$21)/Q562))</f>
        <v>1.07735321528425</v>
      </c>
      <c r="T562">
        <f>AVERAGE(R562,S562)</f>
        <v>0.93867660764212502</v>
      </c>
    </row>
    <row r="563" spans="1:20" x14ac:dyDescent="0.25">
      <c r="A563">
        <v>29</v>
      </c>
      <c r="B563" t="b">
        <v>0</v>
      </c>
      <c r="C563" s="6">
        <v>46459.625</v>
      </c>
      <c r="D563" t="b">
        <v>0</v>
      </c>
      <c r="E563">
        <v>3</v>
      </c>
      <c r="F563">
        <v>17</v>
      </c>
      <c r="G563">
        <v>2</v>
      </c>
      <c r="H563" t="s">
        <v>1110</v>
      </c>
      <c r="I563" t="s">
        <v>1072</v>
      </c>
      <c r="J563" t="s">
        <v>1100</v>
      </c>
      <c r="K563" t="str">
        <f>tblTeamFixtures[[#This Row],[Team_name]]&amp;"_"&amp;tblTeamFixtures[[#This Row],[GW]]</f>
        <v>BOU_29</v>
      </c>
      <c r="L563">
        <f>IFERROR(INDEX(TEAM_ANALYSIS!$Y:$Y,MATCH($E563,TEAM_ANALYSIS!$A:$A,0)),1)</f>
        <v>0.97058823529411764</v>
      </c>
      <c r="M563">
        <f>IFERROR(INDEX(TEAM_ANALYSIS!$Z:$Z,MATCH($E563,TEAM_ANALYSIS!$A:$A,0)),1)</f>
        <v>1.088235294117647</v>
      </c>
      <c r="N563">
        <f>IFERROR(INDEX(TEAM_ANALYSIS!$Y:$Y,MATCH($F563,TEAM_ANALYSIS!$A:$A,0)),1)</f>
        <v>1.2058823529411764</v>
      </c>
      <c r="O563">
        <f>IFERROR(INDEX(TEAM_ANALYSIS!$Z:$Z,MATCH($F563,TEAM_ANALYSIS!$A:$A,0)),1)</f>
        <v>0.97058823529411764</v>
      </c>
      <c r="P563">
        <f>MAX(0.05,AVERAGE(TEAM_ANALYSIS!$W$2:$W$21)*L563*O563)</f>
        <v>2.0018382352941178</v>
      </c>
      <c r="Q563">
        <f>MAX(0.05,AVERAGE(TEAM_ANALYSIS!$W$2:$W$21)*N563*M563)</f>
        <v>2.7886029411764706</v>
      </c>
      <c r="R563" s="23">
        <f>MAX(0.8,MIN(1.2,P563/AVERAGE(TEAM_ANALYSIS!$W$2:$W$21)))</f>
        <v>0.94204152249134954</v>
      </c>
      <c r="S563">
        <f>MAX(0.8,MIN(1.2,AVERAGE(TEAM_ANALYSIS!$W$2:$W$21)/Q563))</f>
        <v>0.8</v>
      </c>
      <c r="T563">
        <f>AVERAGE(R563,S563)</f>
        <v>0.87102076124567485</v>
      </c>
    </row>
    <row r="564" spans="1:20" x14ac:dyDescent="0.25">
      <c r="A564">
        <v>29</v>
      </c>
      <c r="B564" t="b">
        <v>0</v>
      </c>
      <c r="C564" s="6">
        <v>46459.625</v>
      </c>
      <c r="D564" t="b">
        <v>0</v>
      </c>
      <c r="E564">
        <v>6</v>
      </c>
      <c r="F564">
        <v>1</v>
      </c>
      <c r="G564">
        <v>4</v>
      </c>
      <c r="H564" t="s">
        <v>1110</v>
      </c>
      <c r="I564" t="s">
        <v>1078</v>
      </c>
      <c r="J564" t="s">
        <v>1068</v>
      </c>
      <c r="K564" t="str">
        <f>tblTeamFixtures[[#This Row],[Team_name]]&amp;"_"&amp;tblTeamFixtures[[#This Row],[GW]]</f>
        <v>CHE_29</v>
      </c>
      <c r="L564">
        <f>IFERROR(INDEX(TEAM_ANALYSIS!$Y:$Y,MATCH($E564,TEAM_ANALYSIS!$A:$A,0)),1)</f>
        <v>1.4411764705882353</v>
      </c>
      <c r="M564">
        <f>IFERROR(INDEX(TEAM_ANALYSIS!$Z:$Z,MATCH($E564,TEAM_ANALYSIS!$A:$A,0)),1)</f>
        <v>1.3235294117647058</v>
      </c>
      <c r="N564">
        <f>IFERROR(INDEX(TEAM_ANALYSIS!$Y:$Y,MATCH($F564,TEAM_ANALYSIS!$A:$A,0)),1)</f>
        <v>1.2058823529411764</v>
      </c>
      <c r="O564">
        <f>IFERROR(INDEX(TEAM_ANALYSIS!$Z:$Z,MATCH($F564,TEAM_ANALYSIS!$A:$A,0)),1)</f>
        <v>0.61764705882352944</v>
      </c>
      <c r="P564">
        <f>MAX(0.05,AVERAGE(TEAM_ANALYSIS!$W$2:$W$21)*L564*O564)</f>
        <v>1.8915441176470589</v>
      </c>
      <c r="Q564">
        <f>MAX(0.05,AVERAGE(TEAM_ANALYSIS!$W$2:$W$21)*N564*M564)</f>
        <v>3.3915441176470589</v>
      </c>
      <c r="R564" s="23">
        <f>MAX(0.8,MIN(1.2,P564/AVERAGE(TEAM_ANALYSIS!$W$2:$W$21)))</f>
        <v>0.89013840830449831</v>
      </c>
      <c r="S564">
        <f>MAX(0.8,MIN(1.2,AVERAGE(TEAM_ANALYSIS!$W$2:$W$21)/Q564))</f>
        <v>0.8</v>
      </c>
      <c r="T564">
        <f>AVERAGE(R564,S564)</f>
        <v>0.84506920415224918</v>
      </c>
    </row>
    <row r="565" spans="1:20" x14ac:dyDescent="0.25">
      <c r="A565">
        <v>29</v>
      </c>
      <c r="B565" t="b">
        <v>0</v>
      </c>
      <c r="C565" s="6">
        <v>46459.625</v>
      </c>
      <c r="D565" t="b">
        <v>0</v>
      </c>
      <c r="E565">
        <v>7</v>
      </c>
      <c r="F565">
        <v>15</v>
      </c>
      <c r="G565">
        <v>4</v>
      </c>
      <c r="H565" t="s">
        <v>1110</v>
      </c>
      <c r="I565" t="s">
        <v>1080</v>
      </c>
      <c r="J565" t="s">
        <v>1096</v>
      </c>
      <c r="K565" t="str">
        <f>tblTeamFixtures[[#This Row],[Team_name]]&amp;"_"&amp;tblTeamFixtures[[#This Row],[GW]]</f>
        <v>COV_29</v>
      </c>
      <c r="L565">
        <f>IFERROR(INDEX(TEAM_ANALYSIS!$Y:$Y,MATCH($E565,TEAM_ANALYSIS!$A:$A,0)),1)</f>
        <v>0.5</v>
      </c>
      <c r="M565">
        <f>IFERROR(INDEX(TEAM_ANALYSIS!$Z:$Z,MATCH($E565,TEAM_ANALYSIS!$A:$A,0)),1)</f>
        <v>1.088235294117647</v>
      </c>
      <c r="N565">
        <f>IFERROR(INDEX(TEAM_ANALYSIS!$Y:$Y,MATCH($F565,TEAM_ANALYSIS!$A:$A,0)),1)</f>
        <v>1.3235294117647058</v>
      </c>
      <c r="O565">
        <f>IFERROR(INDEX(TEAM_ANALYSIS!$Z:$Z,MATCH($F565,TEAM_ANALYSIS!$A:$A,0)),1)</f>
        <v>0.73529411764705888</v>
      </c>
      <c r="P565">
        <f>MAX(0.05,AVERAGE(TEAM_ANALYSIS!$W$2:$W$21)*L565*O565)</f>
        <v>0.78125</v>
      </c>
      <c r="Q565">
        <f>MAX(0.05,AVERAGE(TEAM_ANALYSIS!$W$2:$W$21)*N565*M565)</f>
        <v>3.0606617647058822</v>
      </c>
      <c r="R565" s="23">
        <f>MAX(0.8,MIN(1.2,P565/AVERAGE(TEAM_ANALYSIS!$W$2:$W$21)))</f>
        <v>0.8</v>
      </c>
      <c r="S565">
        <f>MAX(0.8,MIN(1.2,AVERAGE(TEAM_ANALYSIS!$W$2:$W$21)/Q565))</f>
        <v>0.8</v>
      </c>
      <c r="T565">
        <f>AVERAGE(R565,S565)</f>
        <v>0.8</v>
      </c>
    </row>
    <row r="566" spans="1:20" x14ac:dyDescent="0.25">
      <c r="A566">
        <v>29</v>
      </c>
      <c r="B566" t="b">
        <v>0</v>
      </c>
      <c r="C566" s="6">
        <v>46459.625</v>
      </c>
      <c r="D566" t="b">
        <v>0</v>
      </c>
      <c r="E566">
        <v>8</v>
      </c>
      <c r="F566">
        <v>10</v>
      </c>
      <c r="G566">
        <v>2</v>
      </c>
      <c r="H566" t="s">
        <v>1110</v>
      </c>
      <c r="I566" t="s">
        <v>1082</v>
      </c>
      <c r="J566" t="s">
        <v>1086</v>
      </c>
      <c r="K566" t="str">
        <f>tblTeamFixtures[[#This Row],[Team_name]]&amp;"_"&amp;tblTeamFixtures[[#This Row],[GW]]</f>
        <v>CRY_29</v>
      </c>
      <c r="L566">
        <f>IFERROR(INDEX(TEAM_ANALYSIS!$Y:$Y,MATCH($E566,TEAM_ANALYSIS!$A:$A,0)),1)</f>
        <v>0.97058823529411764</v>
      </c>
      <c r="M566">
        <f>IFERROR(INDEX(TEAM_ANALYSIS!$Z:$Z,MATCH($E566,TEAM_ANALYSIS!$A:$A,0)),1)</f>
        <v>1.4411764705882353</v>
      </c>
      <c r="N566">
        <f>IFERROR(INDEX(TEAM_ANALYSIS!$Y:$Y,MATCH($F566,TEAM_ANALYSIS!$A:$A,0)),1)</f>
        <v>0.97058823529411764</v>
      </c>
      <c r="O566">
        <f>IFERROR(INDEX(TEAM_ANALYSIS!$Z:$Z,MATCH($F566,TEAM_ANALYSIS!$A:$A,0)),1)</f>
        <v>1.3235294117647058</v>
      </c>
      <c r="P566">
        <f>MAX(0.05,AVERAGE(TEAM_ANALYSIS!$W$2:$W$21)*L566*O566)</f>
        <v>2.7297794117647056</v>
      </c>
      <c r="Q566">
        <f>MAX(0.05,AVERAGE(TEAM_ANALYSIS!$W$2:$W$21)*N566*M566)</f>
        <v>2.9724264705882351</v>
      </c>
      <c r="R566" s="23">
        <f>MAX(0.8,MIN(1.2,P566/AVERAGE(TEAM_ANALYSIS!$W$2:$W$21)))</f>
        <v>1.2</v>
      </c>
      <c r="S566">
        <f>MAX(0.8,MIN(1.2,AVERAGE(TEAM_ANALYSIS!$W$2:$W$21)/Q566))</f>
        <v>0.8</v>
      </c>
      <c r="T566">
        <f>AVERAGE(R566,S566)</f>
        <v>1</v>
      </c>
    </row>
    <row r="567" spans="1:20" x14ac:dyDescent="0.25">
      <c r="A567">
        <v>29</v>
      </c>
      <c r="B567" t="b">
        <v>0</v>
      </c>
      <c r="C567" s="6">
        <v>46459.625</v>
      </c>
      <c r="D567" t="b">
        <v>0</v>
      </c>
      <c r="E567">
        <v>13</v>
      </c>
      <c r="F567">
        <v>5</v>
      </c>
      <c r="G567">
        <v>2</v>
      </c>
      <c r="H567" t="s">
        <v>1110</v>
      </c>
      <c r="I567" t="s">
        <v>1092</v>
      </c>
      <c r="J567" t="s">
        <v>1076</v>
      </c>
      <c r="K567" t="str">
        <f>tblTeamFixtures[[#This Row],[Team_name]]&amp;"_"&amp;tblTeamFixtures[[#This Row],[GW]]</f>
        <v>LEE_29</v>
      </c>
      <c r="L567">
        <f>IFERROR(INDEX(TEAM_ANALYSIS!$Y:$Y,MATCH($E567,TEAM_ANALYSIS!$A:$A,0)),1)</f>
        <v>0.8529411764705882</v>
      </c>
      <c r="M567">
        <f>IFERROR(INDEX(TEAM_ANALYSIS!$Z:$Z,MATCH($E567,TEAM_ANALYSIS!$A:$A,0)),1)</f>
        <v>0.73529411764705888</v>
      </c>
      <c r="N567">
        <f>IFERROR(INDEX(TEAM_ANALYSIS!$Y:$Y,MATCH($F567,TEAM_ANALYSIS!$A:$A,0)),1)</f>
        <v>1.4411764705882353</v>
      </c>
      <c r="O567">
        <f>IFERROR(INDEX(TEAM_ANALYSIS!$Z:$Z,MATCH($F567,TEAM_ANALYSIS!$A:$A,0)),1)</f>
        <v>1.088235294117647</v>
      </c>
      <c r="P567">
        <f>MAX(0.05,AVERAGE(TEAM_ANALYSIS!$W$2:$W$21)*L567*O567)</f>
        <v>1.9724264705882351</v>
      </c>
      <c r="Q567">
        <f>MAX(0.05,AVERAGE(TEAM_ANALYSIS!$W$2:$W$21)*N567*M567)</f>
        <v>2.2518382352941178</v>
      </c>
      <c r="R567" s="23">
        <f>MAX(0.8,MIN(1.2,P567/AVERAGE(TEAM_ANALYSIS!$W$2:$W$21)))</f>
        <v>0.92820069204152233</v>
      </c>
      <c r="S567">
        <f>MAX(0.8,MIN(1.2,AVERAGE(TEAM_ANALYSIS!$W$2:$W$21)/Q567))</f>
        <v>0.94367346938775509</v>
      </c>
      <c r="T567">
        <f>AVERAGE(R567,S567)</f>
        <v>0.93593708071463877</v>
      </c>
    </row>
    <row r="568" spans="1:20" x14ac:dyDescent="0.25">
      <c r="A568">
        <v>29</v>
      </c>
      <c r="B568" t="b">
        <v>0</v>
      </c>
      <c r="C568" s="6">
        <v>46459.625</v>
      </c>
      <c r="D568" t="b">
        <v>0</v>
      </c>
      <c r="E568">
        <v>14</v>
      </c>
      <c r="F568">
        <v>12</v>
      </c>
      <c r="G568">
        <v>2</v>
      </c>
      <c r="H568" t="s">
        <v>1110</v>
      </c>
      <c r="I568" t="s">
        <v>1094</v>
      </c>
      <c r="J568" t="s">
        <v>1090</v>
      </c>
      <c r="K568" t="str">
        <f>tblTeamFixtures[[#This Row],[Team_name]]&amp;"_"&amp;tblTeamFixtures[[#This Row],[GW]]</f>
        <v>LIV_29</v>
      </c>
      <c r="L568">
        <f>IFERROR(INDEX(TEAM_ANALYSIS!$Y:$Y,MATCH($E568,TEAM_ANALYSIS!$A:$A,0)),1)</f>
        <v>1.2058823529411764</v>
      </c>
      <c r="M568">
        <f>IFERROR(INDEX(TEAM_ANALYSIS!$Z:$Z,MATCH($E568,TEAM_ANALYSIS!$A:$A,0)),1)</f>
        <v>0.97058823529411764</v>
      </c>
      <c r="N568">
        <f>IFERROR(INDEX(TEAM_ANALYSIS!$Y:$Y,MATCH($F568,TEAM_ANALYSIS!$A:$A,0)),1)</f>
        <v>0.97058823529411764</v>
      </c>
      <c r="O568">
        <f>IFERROR(INDEX(TEAM_ANALYSIS!$Z:$Z,MATCH($F568,TEAM_ANALYSIS!$A:$A,0)),1)</f>
        <v>1.4411764705882353</v>
      </c>
      <c r="P568">
        <f>MAX(0.05,AVERAGE(TEAM_ANALYSIS!$W$2:$W$21)*L568*O568)</f>
        <v>3.6930147058823528</v>
      </c>
      <c r="Q568">
        <f>MAX(0.05,AVERAGE(TEAM_ANALYSIS!$W$2:$W$21)*N568*M568)</f>
        <v>2.0018382352941178</v>
      </c>
      <c r="R568" s="23">
        <f>MAX(0.8,MIN(1.2,P568/AVERAGE(TEAM_ANALYSIS!$W$2:$W$21)))</f>
        <v>1.2</v>
      </c>
      <c r="S568">
        <f>MAX(0.8,MIN(1.2,AVERAGE(TEAM_ANALYSIS!$W$2:$W$21)/Q568))</f>
        <v>1.061524334251607</v>
      </c>
      <c r="T568">
        <f>AVERAGE(R568,S568)</f>
        <v>1.1307621671258035</v>
      </c>
    </row>
    <row r="569" spans="1:20" x14ac:dyDescent="0.25">
      <c r="A569">
        <v>29</v>
      </c>
      <c r="B569" t="b">
        <v>0</v>
      </c>
      <c r="C569" s="6">
        <v>46459.625</v>
      </c>
      <c r="D569" t="b">
        <v>0</v>
      </c>
      <c r="E569">
        <v>16</v>
      </c>
      <c r="F569">
        <v>9</v>
      </c>
      <c r="G569">
        <v>3</v>
      </c>
      <c r="H569" t="s">
        <v>1110</v>
      </c>
      <c r="I569" t="s">
        <v>1098</v>
      </c>
      <c r="J569" t="s">
        <v>1084</v>
      </c>
      <c r="K569" t="str">
        <f>tblTeamFixtures[[#This Row],[Team_name]]&amp;"_"&amp;tblTeamFixtures[[#This Row],[GW]]</f>
        <v>MUN_29</v>
      </c>
      <c r="L569">
        <f>IFERROR(INDEX(TEAM_ANALYSIS!$Y:$Y,MATCH($E569,TEAM_ANALYSIS!$A:$A,0)),1)</f>
        <v>1.3235294117647058</v>
      </c>
      <c r="M569">
        <f>IFERROR(INDEX(TEAM_ANALYSIS!$Z:$Z,MATCH($E569,TEAM_ANALYSIS!$A:$A,0)),1)</f>
        <v>1.2058823529411764</v>
      </c>
      <c r="N569">
        <f>IFERROR(INDEX(TEAM_ANALYSIS!$Y:$Y,MATCH($F569,TEAM_ANALYSIS!$A:$A,0)),1)</f>
        <v>1.088235294117647</v>
      </c>
      <c r="O569">
        <f>IFERROR(INDEX(TEAM_ANALYSIS!$Z:$Z,MATCH($F569,TEAM_ANALYSIS!$A:$A,0)),1)</f>
        <v>0.8529411764705882</v>
      </c>
      <c r="P569">
        <f>MAX(0.05,AVERAGE(TEAM_ANALYSIS!$W$2:$W$21)*L569*O569)</f>
        <v>2.3988970588235294</v>
      </c>
      <c r="Q569">
        <f>MAX(0.05,AVERAGE(TEAM_ANALYSIS!$W$2:$W$21)*N569*M569)</f>
        <v>2.7886029411764706</v>
      </c>
      <c r="R569" s="23">
        <f>MAX(0.8,MIN(1.2,P569/AVERAGE(TEAM_ANALYSIS!$W$2:$W$21)))</f>
        <v>1.1288927335640138</v>
      </c>
      <c r="S569">
        <f>MAX(0.8,MIN(1.2,AVERAGE(TEAM_ANALYSIS!$W$2:$W$21)/Q569))</f>
        <v>0.8</v>
      </c>
      <c r="T569">
        <f>AVERAGE(R569,S569)</f>
        <v>0.9644463667820069</v>
      </c>
    </row>
    <row r="570" spans="1:20" x14ac:dyDescent="0.25">
      <c r="A570">
        <v>29</v>
      </c>
      <c r="B570" t="b">
        <v>0</v>
      </c>
      <c r="C570" s="6">
        <v>46459.625</v>
      </c>
      <c r="D570" t="b">
        <v>0</v>
      </c>
      <c r="E570">
        <v>19</v>
      </c>
      <c r="F570">
        <v>18</v>
      </c>
      <c r="G570">
        <v>3</v>
      </c>
      <c r="H570" t="s">
        <v>1110</v>
      </c>
      <c r="I570" t="s">
        <v>1104</v>
      </c>
      <c r="J570" t="s">
        <v>1102</v>
      </c>
      <c r="K570" t="str">
        <f>tblTeamFixtures[[#This Row],[Team_name]]&amp;"_"&amp;tblTeamFixtures[[#This Row],[GW]]</f>
        <v>TOT_29</v>
      </c>
      <c r="L570">
        <f>IFERROR(INDEX(TEAM_ANALYSIS!$Y:$Y,MATCH($E570,TEAM_ANALYSIS!$A:$A,0)),1)</f>
        <v>0.5</v>
      </c>
      <c r="M570">
        <f>IFERROR(INDEX(TEAM_ANALYSIS!$Z:$Z,MATCH($E570,TEAM_ANALYSIS!$A:$A,0)),1)</f>
        <v>1.088235294117647</v>
      </c>
      <c r="N570">
        <f>IFERROR(INDEX(TEAM_ANALYSIS!$Y:$Y,MATCH($F570,TEAM_ANALYSIS!$A:$A,0)),1)</f>
        <v>0.73529411764705888</v>
      </c>
      <c r="O570">
        <f>IFERROR(INDEX(TEAM_ANALYSIS!$Z:$Z,MATCH($F570,TEAM_ANALYSIS!$A:$A,0)),1)</f>
        <v>0.8529411764705882</v>
      </c>
      <c r="P570">
        <f>MAX(0.05,AVERAGE(TEAM_ANALYSIS!$W$2:$W$21)*L570*O570)</f>
        <v>0.90625</v>
      </c>
      <c r="Q570">
        <f>MAX(0.05,AVERAGE(TEAM_ANALYSIS!$W$2:$W$21)*N570*M570)</f>
        <v>1.7003676470588234</v>
      </c>
      <c r="R570" s="23">
        <f>MAX(0.8,MIN(1.2,P570/AVERAGE(TEAM_ANALYSIS!$W$2:$W$21)))</f>
        <v>0.8</v>
      </c>
      <c r="S570">
        <f>MAX(0.8,MIN(1.2,AVERAGE(TEAM_ANALYSIS!$W$2:$W$21)/Q570))</f>
        <v>1.2</v>
      </c>
      <c r="T570">
        <f>AVERAGE(R570,S570)</f>
        <v>1</v>
      </c>
    </row>
    <row r="571" spans="1:20" x14ac:dyDescent="0.25">
      <c r="A571">
        <v>29</v>
      </c>
      <c r="B571" t="b">
        <v>0</v>
      </c>
      <c r="C571" s="6">
        <v>46459.625</v>
      </c>
      <c r="D571" t="b">
        <v>0</v>
      </c>
      <c r="E571">
        <v>20</v>
      </c>
      <c r="F571">
        <v>4</v>
      </c>
      <c r="G571">
        <v>3</v>
      </c>
      <c r="H571" t="s">
        <v>1110</v>
      </c>
      <c r="I571" t="s">
        <v>1106</v>
      </c>
      <c r="J571" t="s">
        <v>1074</v>
      </c>
      <c r="K571" t="str">
        <f>tblTeamFixtures[[#This Row],[Team_name]]&amp;"_"&amp;tblTeamFixtures[[#This Row],[GW]]</f>
        <v>SUN_29</v>
      </c>
      <c r="L571">
        <f>IFERROR(INDEX(TEAM_ANALYSIS!$Y:$Y,MATCH($E571,TEAM_ANALYSIS!$A:$A,0)),1)</f>
        <v>0.8529411764705882</v>
      </c>
      <c r="M571">
        <f>IFERROR(INDEX(TEAM_ANALYSIS!$Z:$Z,MATCH($E571,TEAM_ANALYSIS!$A:$A,0)),1)</f>
        <v>0.8529411764705882</v>
      </c>
      <c r="N571">
        <f>IFERROR(INDEX(TEAM_ANALYSIS!$Y:$Y,MATCH($F571,TEAM_ANALYSIS!$A:$A,0)),1)</f>
        <v>1.088235294117647</v>
      </c>
      <c r="O571">
        <f>IFERROR(INDEX(TEAM_ANALYSIS!$Z:$Z,MATCH($F571,TEAM_ANALYSIS!$A:$A,0)),1)</f>
        <v>0.73529411764705888</v>
      </c>
      <c r="P571">
        <f>MAX(0.05,AVERAGE(TEAM_ANALYSIS!$W$2:$W$21)*L571*O571)</f>
        <v>1.3327205882352942</v>
      </c>
      <c r="Q571">
        <f>MAX(0.05,AVERAGE(TEAM_ANALYSIS!$W$2:$W$21)*N571*M571)</f>
        <v>1.9724264705882353</v>
      </c>
      <c r="R571" s="23">
        <f>MAX(0.8,MIN(1.2,P571/AVERAGE(TEAM_ANALYSIS!$W$2:$W$21)))</f>
        <v>0.8</v>
      </c>
      <c r="S571">
        <f>MAX(0.8,MIN(1.2,AVERAGE(TEAM_ANALYSIS!$W$2:$W$21)/Q571))</f>
        <v>1.0773532152842498</v>
      </c>
      <c r="T571">
        <f>AVERAGE(R571,S571)</f>
        <v>0.9386766076421249</v>
      </c>
    </row>
    <row r="572" spans="1:20" x14ac:dyDescent="0.25">
      <c r="A572">
        <v>29</v>
      </c>
      <c r="B572" t="b">
        <v>0</v>
      </c>
      <c r="C572" s="6">
        <v>46459.625</v>
      </c>
      <c r="D572" t="b">
        <v>0</v>
      </c>
      <c r="E572">
        <v>11</v>
      </c>
      <c r="F572">
        <v>2</v>
      </c>
      <c r="G572">
        <v>4</v>
      </c>
      <c r="H572" t="s">
        <v>1111</v>
      </c>
      <c r="I572" t="s">
        <v>1088</v>
      </c>
      <c r="J572" t="s">
        <v>1070</v>
      </c>
      <c r="K572" t="str">
        <f>tblTeamFixtures[[#This Row],[Team_name]]&amp;"_"&amp;tblTeamFixtures[[#This Row],[GW]]</f>
        <v>HUL_29</v>
      </c>
      <c r="L572">
        <f>IFERROR(INDEX(TEAM_ANALYSIS!$Y:$Y,MATCH($E572,TEAM_ANALYSIS!$A:$A,0)),1)</f>
        <v>0.8529411764705882</v>
      </c>
      <c r="M572">
        <f>IFERROR(INDEX(TEAM_ANALYSIS!$Z:$Z,MATCH($E572,TEAM_ANALYSIS!$A:$A,0)),1)</f>
        <v>0.5</v>
      </c>
      <c r="N572">
        <f>IFERROR(INDEX(TEAM_ANALYSIS!$Y:$Y,MATCH($F572,TEAM_ANALYSIS!$A:$A,0)),1)</f>
        <v>0.5</v>
      </c>
      <c r="O572">
        <f>IFERROR(INDEX(TEAM_ANALYSIS!$Z:$Z,MATCH($F572,TEAM_ANALYSIS!$A:$A,0)),1)</f>
        <v>1.088235294117647</v>
      </c>
      <c r="P572">
        <f>MAX(0.05,AVERAGE(TEAM_ANALYSIS!$W$2:$W$21)*L572*O572)</f>
        <v>1.9724264705882351</v>
      </c>
      <c r="Q572">
        <f>MAX(0.05,AVERAGE(TEAM_ANALYSIS!$W$2:$W$21)*N572*M572)</f>
        <v>0.53125</v>
      </c>
      <c r="R572" s="23">
        <f>MAX(0.8,MIN(1.2,P572/AVERAGE(TEAM_ANALYSIS!$W$2:$W$21)))</f>
        <v>0.92820069204152233</v>
      </c>
      <c r="S572">
        <f>MAX(0.8,MIN(1.2,AVERAGE(TEAM_ANALYSIS!$W$2:$W$21)/Q572))</f>
        <v>1.2</v>
      </c>
      <c r="T572">
        <f>AVERAGE(R572,S572)</f>
        <v>1.0641003460207612</v>
      </c>
    </row>
    <row r="573" spans="1:20" x14ac:dyDescent="0.25">
      <c r="A573">
        <v>29</v>
      </c>
      <c r="B573" t="b">
        <v>0</v>
      </c>
      <c r="C573" s="6">
        <v>46459.625</v>
      </c>
      <c r="D573" t="b">
        <v>0</v>
      </c>
      <c r="E573">
        <v>17</v>
      </c>
      <c r="F573">
        <v>3</v>
      </c>
      <c r="G573">
        <v>3</v>
      </c>
      <c r="H573" t="s">
        <v>1111</v>
      </c>
      <c r="I573" t="s">
        <v>1100</v>
      </c>
      <c r="J573" t="s">
        <v>1072</v>
      </c>
      <c r="K573" t="str">
        <f>tblTeamFixtures[[#This Row],[Team_name]]&amp;"_"&amp;tblTeamFixtures[[#This Row],[GW]]</f>
        <v>NEW_29</v>
      </c>
      <c r="L573">
        <f>IFERROR(INDEX(TEAM_ANALYSIS!$Y:$Y,MATCH($E573,TEAM_ANALYSIS!$A:$A,0)),1)</f>
        <v>1.2058823529411764</v>
      </c>
      <c r="M573">
        <f>IFERROR(INDEX(TEAM_ANALYSIS!$Z:$Z,MATCH($E573,TEAM_ANALYSIS!$A:$A,0)),1)</f>
        <v>0.97058823529411764</v>
      </c>
      <c r="N573">
        <f>IFERROR(INDEX(TEAM_ANALYSIS!$Y:$Y,MATCH($F573,TEAM_ANALYSIS!$A:$A,0)),1)</f>
        <v>0.97058823529411764</v>
      </c>
      <c r="O573">
        <f>IFERROR(INDEX(TEAM_ANALYSIS!$Z:$Z,MATCH($F573,TEAM_ANALYSIS!$A:$A,0)),1)</f>
        <v>1.088235294117647</v>
      </c>
      <c r="P573">
        <f>MAX(0.05,AVERAGE(TEAM_ANALYSIS!$W$2:$W$21)*L573*O573)</f>
        <v>2.7886029411764706</v>
      </c>
      <c r="Q573">
        <f>MAX(0.05,AVERAGE(TEAM_ANALYSIS!$W$2:$W$21)*N573*M573)</f>
        <v>2.0018382352941178</v>
      </c>
      <c r="R573" s="23">
        <f>MAX(0.8,MIN(1.2,P573/AVERAGE(TEAM_ANALYSIS!$W$2:$W$21)))</f>
        <v>1.2</v>
      </c>
      <c r="S573">
        <f>MAX(0.8,MIN(1.2,AVERAGE(TEAM_ANALYSIS!$W$2:$W$21)/Q573))</f>
        <v>1.061524334251607</v>
      </c>
      <c r="T573">
        <f>AVERAGE(R573,S573)</f>
        <v>1.1307621671258035</v>
      </c>
    </row>
    <row r="574" spans="1:20" x14ac:dyDescent="0.25">
      <c r="A574">
        <v>29</v>
      </c>
      <c r="B574" t="b">
        <v>0</v>
      </c>
      <c r="C574" s="6">
        <v>46459.625</v>
      </c>
      <c r="D574" t="b">
        <v>0</v>
      </c>
      <c r="E574">
        <v>1</v>
      </c>
      <c r="F574">
        <v>6</v>
      </c>
      <c r="G574">
        <v>4</v>
      </c>
      <c r="H574" t="s">
        <v>1111</v>
      </c>
      <c r="I574" t="s">
        <v>1068</v>
      </c>
      <c r="J574" t="s">
        <v>1078</v>
      </c>
      <c r="K574" t="str">
        <f>tblTeamFixtures[[#This Row],[Team_name]]&amp;"_"&amp;tblTeamFixtures[[#This Row],[GW]]</f>
        <v>ARS_29</v>
      </c>
      <c r="L574">
        <f>IFERROR(INDEX(TEAM_ANALYSIS!$Y:$Y,MATCH($E574,TEAM_ANALYSIS!$A:$A,0)),1)</f>
        <v>1.2058823529411764</v>
      </c>
      <c r="M574">
        <f>IFERROR(INDEX(TEAM_ANALYSIS!$Z:$Z,MATCH($E574,TEAM_ANALYSIS!$A:$A,0)),1)</f>
        <v>0.61764705882352944</v>
      </c>
      <c r="N574">
        <f>IFERROR(INDEX(TEAM_ANALYSIS!$Y:$Y,MATCH($F574,TEAM_ANALYSIS!$A:$A,0)),1)</f>
        <v>1.4411764705882353</v>
      </c>
      <c r="O574">
        <f>IFERROR(INDEX(TEAM_ANALYSIS!$Z:$Z,MATCH($F574,TEAM_ANALYSIS!$A:$A,0)),1)</f>
        <v>1.3235294117647058</v>
      </c>
      <c r="P574">
        <f>MAX(0.05,AVERAGE(TEAM_ANALYSIS!$W$2:$W$21)*L574*O574)</f>
        <v>3.3915441176470589</v>
      </c>
      <c r="Q574">
        <f>MAX(0.05,AVERAGE(TEAM_ANALYSIS!$W$2:$W$21)*N574*M574)</f>
        <v>1.8915441176470589</v>
      </c>
      <c r="R574" s="23">
        <f>MAX(0.8,MIN(1.2,P574/AVERAGE(TEAM_ANALYSIS!$W$2:$W$21)))</f>
        <v>1.2</v>
      </c>
      <c r="S574">
        <f>MAX(0.8,MIN(1.2,AVERAGE(TEAM_ANALYSIS!$W$2:$W$21)/Q574))</f>
        <v>1.1234207968901846</v>
      </c>
      <c r="T574">
        <f>AVERAGE(R574,S574)</f>
        <v>1.1617103984450923</v>
      </c>
    </row>
    <row r="575" spans="1:20" x14ac:dyDescent="0.25">
      <c r="A575">
        <v>29</v>
      </c>
      <c r="B575" t="b">
        <v>0</v>
      </c>
      <c r="C575" s="6">
        <v>46459.625</v>
      </c>
      <c r="D575" t="b">
        <v>0</v>
      </c>
      <c r="E575">
        <v>15</v>
      </c>
      <c r="F575">
        <v>7</v>
      </c>
      <c r="G575">
        <v>2</v>
      </c>
      <c r="H575" t="s">
        <v>1111</v>
      </c>
      <c r="I575" t="s">
        <v>1096</v>
      </c>
      <c r="J575" t="s">
        <v>1080</v>
      </c>
      <c r="K575" t="str">
        <f>tblTeamFixtures[[#This Row],[Team_name]]&amp;"_"&amp;tblTeamFixtures[[#This Row],[GW]]</f>
        <v>MCI_29</v>
      </c>
      <c r="L575">
        <f>IFERROR(INDEX(TEAM_ANALYSIS!$Y:$Y,MATCH($E575,TEAM_ANALYSIS!$A:$A,0)),1)</f>
        <v>1.3235294117647058</v>
      </c>
      <c r="M575">
        <f>IFERROR(INDEX(TEAM_ANALYSIS!$Z:$Z,MATCH($E575,TEAM_ANALYSIS!$A:$A,0)),1)</f>
        <v>0.73529411764705888</v>
      </c>
      <c r="N575">
        <f>IFERROR(INDEX(TEAM_ANALYSIS!$Y:$Y,MATCH($F575,TEAM_ANALYSIS!$A:$A,0)),1)</f>
        <v>0.5</v>
      </c>
      <c r="O575">
        <f>IFERROR(INDEX(TEAM_ANALYSIS!$Z:$Z,MATCH($F575,TEAM_ANALYSIS!$A:$A,0)),1)</f>
        <v>1.088235294117647</v>
      </c>
      <c r="P575">
        <f>MAX(0.05,AVERAGE(TEAM_ANALYSIS!$W$2:$W$21)*L575*O575)</f>
        <v>3.0606617647058822</v>
      </c>
      <c r="Q575">
        <f>MAX(0.05,AVERAGE(TEAM_ANALYSIS!$W$2:$W$21)*N575*M575)</f>
        <v>0.78125</v>
      </c>
      <c r="R575" s="23">
        <f>MAX(0.8,MIN(1.2,P575/AVERAGE(TEAM_ANALYSIS!$W$2:$W$21)))</f>
        <v>1.2</v>
      </c>
      <c r="S575">
        <f>MAX(0.8,MIN(1.2,AVERAGE(TEAM_ANALYSIS!$W$2:$W$21)/Q575))</f>
        <v>1.2</v>
      </c>
      <c r="T575">
        <f>AVERAGE(R575,S575)</f>
        <v>1.2</v>
      </c>
    </row>
    <row r="576" spans="1:20" x14ac:dyDescent="0.25">
      <c r="A576">
        <v>29</v>
      </c>
      <c r="B576" t="b">
        <v>0</v>
      </c>
      <c r="C576" s="6">
        <v>46459.625</v>
      </c>
      <c r="D576" t="b">
        <v>0</v>
      </c>
      <c r="E576">
        <v>10</v>
      </c>
      <c r="F576">
        <v>8</v>
      </c>
      <c r="G576">
        <v>3</v>
      </c>
      <c r="H576" t="s">
        <v>1111</v>
      </c>
      <c r="I576" t="s">
        <v>1086</v>
      </c>
      <c r="J576" t="s">
        <v>1082</v>
      </c>
      <c r="K576" t="str">
        <f>tblTeamFixtures[[#This Row],[Team_name]]&amp;"_"&amp;tblTeamFixtures[[#This Row],[GW]]</f>
        <v>FUL_29</v>
      </c>
      <c r="L576">
        <f>IFERROR(INDEX(TEAM_ANALYSIS!$Y:$Y,MATCH($E576,TEAM_ANALYSIS!$A:$A,0)),1)</f>
        <v>0.97058823529411764</v>
      </c>
      <c r="M576">
        <f>IFERROR(INDEX(TEAM_ANALYSIS!$Z:$Z,MATCH($E576,TEAM_ANALYSIS!$A:$A,0)),1)</f>
        <v>1.3235294117647058</v>
      </c>
      <c r="N576">
        <f>IFERROR(INDEX(TEAM_ANALYSIS!$Y:$Y,MATCH($F576,TEAM_ANALYSIS!$A:$A,0)),1)</f>
        <v>0.97058823529411764</v>
      </c>
      <c r="O576">
        <f>IFERROR(INDEX(TEAM_ANALYSIS!$Z:$Z,MATCH($F576,TEAM_ANALYSIS!$A:$A,0)),1)</f>
        <v>1.4411764705882353</v>
      </c>
      <c r="P576">
        <f>MAX(0.05,AVERAGE(TEAM_ANALYSIS!$W$2:$W$21)*L576*O576)</f>
        <v>2.9724264705882351</v>
      </c>
      <c r="Q576">
        <f>MAX(0.05,AVERAGE(TEAM_ANALYSIS!$W$2:$W$21)*N576*M576)</f>
        <v>2.7297794117647056</v>
      </c>
      <c r="R576" s="23">
        <f>MAX(0.8,MIN(1.2,P576/AVERAGE(TEAM_ANALYSIS!$W$2:$W$21)))</f>
        <v>1.2</v>
      </c>
      <c r="S576">
        <f>MAX(0.8,MIN(1.2,AVERAGE(TEAM_ANALYSIS!$W$2:$W$21)/Q576))</f>
        <v>0.8</v>
      </c>
      <c r="T576">
        <f>AVERAGE(R576,S576)</f>
        <v>1</v>
      </c>
    </row>
    <row r="577" spans="1:20" x14ac:dyDescent="0.25">
      <c r="A577">
        <v>29</v>
      </c>
      <c r="B577" t="b">
        <v>0</v>
      </c>
      <c r="C577" s="6">
        <v>46459.625</v>
      </c>
      <c r="D577" t="b">
        <v>0</v>
      </c>
      <c r="E577">
        <v>5</v>
      </c>
      <c r="F577">
        <v>13</v>
      </c>
      <c r="G577">
        <v>3</v>
      </c>
      <c r="H577" t="s">
        <v>1111</v>
      </c>
      <c r="I577" t="s">
        <v>1076</v>
      </c>
      <c r="J577" t="s">
        <v>1092</v>
      </c>
      <c r="K577" t="str">
        <f>tblTeamFixtures[[#This Row],[Team_name]]&amp;"_"&amp;tblTeamFixtures[[#This Row],[GW]]</f>
        <v>BHA_29</v>
      </c>
      <c r="L577">
        <f>IFERROR(INDEX(TEAM_ANALYSIS!$Y:$Y,MATCH($E577,TEAM_ANALYSIS!$A:$A,0)),1)</f>
        <v>1.4411764705882353</v>
      </c>
      <c r="M577">
        <f>IFERROR(INDEX(TEAM_ANALYSIS!$Z:$Z,MATCH($E577,TEAM_ANALYSIS!$A:$A,0)),1)</f>
        <v>1.088235294117647</v>
      </c>
      <c r="N577">
        <f>IFERROR(INDEX(TEAM_ANALYSIS!$Y:$Y,MATCH($F577,TEAM_ANALYSIS!$A:$A,0)),1)</f>
        <v>0.8529411764705882</v>
      </c>
      <c r="O577">
        <f>IFERROR(INDEX(TEAM_ANALYSIS!$Z:$Z,MATCH($F577,TEAM_ANALYSIS!$A:$A,0)),1)</f>
        <v>0.73529411764705888</v>
      </c>
      <c r="P577">
        <f>MAX(0.05,AVERAGE(TEAM_ANALYSIS!$W$2:$W$21)*L577*O577)</f>
        <v>2.2518382352941178</v>
      </c>
      <c r="Q577">
        <f>MAX(0.05,AVERAGE(TEAM_ANALYSIS!$W$2:$W$21)*N577*M577)</f>
        <v>1.9724264705882351</v>
      </c>
      <c r="R577" s="23">
        <f>MAX(0.8,MIN(1.2,P577/AVERAGE(TEAM_ANALYSIS!$W$2:$W$21)))</f>
        <v>1.0596885813148789</v>
      </c>
      <c r="S577">
        <f>MAX(0.8,MIN(1.2,AVERAGE(TEAM_ANALYSIS!$W$2:$W$21)/Q577))</f>
        <v>1.07735321528425</v>
      </c>
      <c r="T577">
        <f>AVERAGE(R577,S577)</f>
        <v>1.0685208982995644</v>
      </c>
    </row>
    <row r="578" spans="1:20" x14ac:dyDescent="0.25">
      <c r="A578">
        <v>29</v>
      </c>
      <c r="B578" t="b">
        <v>0</v>
      </c>
      <c r="C578" s="6">
        <v>46459.625</v>
      </c>
      <c r="D578" t="b">
        <v>0</v>
      </c>
      <c r="E578">
        <v>12</v>
      </c>
      <c r="F578">
        <v>14</v>
      </c>
      <c r="G578">
        <v>4</v>
      </c>
      <c r="H578" t="s">
        <v>1111</v>
      </c>
      <c r="I578" t="s">
        <v>1090</v>
      </c>
      <c r="J578" t="s">
        <v>1094</v>
      </c>
      <c r="K578" t="str">
        <f>tblTeamFixtures[[#This Row],[Team_name]]&amp;"_"&amp;tblTeamFixtures[[#This Row],[GW]]</f>
        <v>IPS_29</v>
      </c>
      <c r="L578">
        <f>IFERROR(INDEX(TEAM_ANALYSIS!$Y:$Y,MATCH($E578,TEAM_ANALYSIS!$A:$A,0)),1)</f>
        <v>0.97058823529411764</v>
      </c>
      <c r="M578">
        <f>IFERROR(INDEX(TEAM_ANALYSIS!$Z:$Z,MATCH($E578,TEAM_ANALYSIS!$A:$A,0)),1)</f>
        <v>1.4411764705882353</v>
      </c>
      <c r="N578">
        <f>IFERROR(INDEX(TEAM_ANALYSIS!$Y:$Y,MATCH($F578,TEAM_ANALYSIS!$A:$A,0)),1)</f>
        <v>1.2058823529411764</v>
      </c>
      <c r="O578">
        <f>IFERROR(INDEX(TEAM_ANALYSIS!$Z:$Z,MATCH($F578,TEAM_ANALYSIS!$A:$A,0)),1)</f>
        <v>0.97058823529411764</v>
      </c>
      <c r="P578">
        <f>MAX(0.05,AVERAGE(TEAM_ANALYSIS!$W$2:$W$21)*L578*O578)</f>
        <v>2.0018382352941178</v>
      </c>
      <c r="Q578">
        <f>MAX(0.05,AVERAGE(TEAM_ANALYSIS!$W$2:$W$21)*N578*M578)</f>
        <v>3.6930147058823528</v>
      </c>
      <c r="R578" s="23">
        <f>MAX(0.8,MIN(1.2,P578/AVERAGE(TEAM_ANALYSIS!$W$2:$W$21)))</f>
        <v>0.94204152249134954</v>
      </c>
      <c r="S578">
        <f>MAX(0.8,MIN(1.2,AVERAGE(TEAM_ANALYSIS!$W$2:$W$21)/Q578))</f>
        <v>0.8</v>
      </c>
      <c r="T578">
        <f>AVERAGE(R578,S578)</f>
        <v>0.87102076124567485</v>
      </c>
    </row>
    <row r="579" spans="1:20" x14ac:dyDescent="0.25">
      <c r="A579">
        <v>29</v>
      </c>
      <c r="B579" t="b">
        <v>0</v>
      </c>
      <c r="C579" s="6">
        <v>46459.625</v>
      </c>
      <c r="D579" t="b">
        <v>0</v>
      </c>
      <c r="E579">
        <v>9</v>
      </c>
      <c r="F579">
        <v>16</v>
      </c>
      <c r="G579">
        <v>4</v>
      </c>
      <c r="H579" t="s">
        <v>1111</v>
      </c>
      <c r="I579" t="s">
        <v>1084</v>
      </c>
      <c r="J579" t="s">
        <v>1098</v>
      </c>
      <c r="K579" t="str">
        <f>tblTeamFixtures[[#This Row],[Team_name]]&amp;"_"&amp;tblTeamFixtures[[#This Row],[GW]]</f>
        <v>EVE_29</v>
      </c>
      <c r="L579">
        <f>IFERROR(INDEX(TEAM_ANALYSIS!$Y:$Y,MATCH($E579,TEAM_ANALYSIS!$A:$A,0)),1)</f>
        <v>1.088235294117647</v>
      </c>
      <c r="M579">
        <f>IFERROR(INDEX(TEAM_ANALYSIS!$Z:$Z,MATCH($E579,TEAM_ANALYSIS!$A:$A,0)),1)</f>
        <v>0.8529411764705882</v>
      </c>
      <c r="N579">
        <f>IFERROR(INDEX(TEAM_ANALYSIS!$Y:$Y,MATCH($F579,TEAM_ANALYSIS!$A:$A,0)),1)</f>
        <v>1.3235294117647058</v>
      </c>
      <c r="O579">
        <f>IFERROR(INDEX(TEAM_ANALYSIS!$Z:$Z,MATCH($F579,TEAM_ANALYSIS!$A:$A,0)),1)</f>
        <v>1.2058823529411764</v>
      </c>
      <c r="P579">
        <f>MAX(0.05,AVERAGE(TEAM_ANALYSIS!$W$2:$W$21)*L579*O579)</f>
        <v>2.7886029411764706</v>
      </c>
      <c r="Q579">
        <f>MAX(0.05,AVERAGE(TEAM_ANALYSIS!$W$2:$W$21)*N579*M579)</f>
        <v>2.3988970588235294</v>
      </c>
      <c r="R579" s="23">
        <f>MAX(0.8,MIN(1.2,P579/AVERAGE(TEAM_ANALYSIS!$W$2:$W$21)))</f>
        <v>1.2</v>
      </c>
      <c r="S579">
        <f>MAX(0.8,MIN(1.2,AVERAGE(TEAM_ANALYSIS!$W$2:$W$21)/Q579))</f>
        <v>0.885823754789272</v>
      </c>
      <c r="T579">
        <f>AVERAGE(R579,S579)</f>
        <v>1.042911877394636</v>
      </c>
    </row>
    <row r="580" spans="1:20" x14ac:dyDescent="0.25">
      <c r="A580">
        <v>29</v>
      </c>
      <c r="B580" t="b">
        <v>0</v>
      </c>
      <c r="C580" s="6">
        <v>46459.625</v>
      </c>
      <c r="D580" t="b">
        <v>0</v>
      </c>
      <c r="E580">
        <v>18</v>
      </c>
      <c r="F580">
        <v>19</v>
      </c>
      <c r="G580">
        <v>3</v>
      </c>
      <c r="H580" t="s">
        <v>1111</v>
      </c>
      <c r="I580" t="s">
        <v>1102</v>
      </c>
      <c r="J580" t="s">
        <v>1104</v>
      </c>
      <c r="K580" t="str">
        <f>tblTeamFixtures[[#This Row],[Team_name]]&amp;"_"&amp;tblTeamFixtures[[#This Row],[GW]]</f>
        <v>NFO_29</v>
      </c>
      <c r="L580">
        <f>IFERROR(INDEX(TEAM_ANALYSIS!$Y:$Y,MATCH($E580,TEAM_ANALYSIS!$A:$A,0)),1)</f>
        <v>0.73529411764705888</v>
      </c>
      <c r="M580">
        <f>IFERROR(INDEX(TEAM_ANALYSIS!$Z:$Z,MATCH($E580,TEAM_ANALYSIS!$A:$A,0)),1)</f>
        <v>0.8529411764705882</v>
      </c>
      <c r="N580">
        <f>IFERROR(INDEX(TEAM_ANALYSIS!$Y:$Y,MATCH($F580,TEAM_ANALYSIS!$A:$A,0)),1)</f>
        <v>0.5</v>
      </c>
      <c r="O580">
        <f>IFERROR(INDEX(TEAM_ANALYSIS!$Z:$Z,MATCH($F580,TEAM_ANALYSIS!$A:$A,0)),1)</f>
        <v>1.088235294117647</v>
      </c>
      <c r="P580">
        <f>MAX(0.05,AVERAGE(TEAM_ANALYSIS!$W$2:$W$21)*L580*O580)</f>
        <v>1.7003676470588234</v>
      </c>
      <c r="Q580">
        <f>MAX(0.05,AVERAGE(TEAM_ANALYSIS!$W$2:$W$21)*N580*M580)</f>
        <v>0.90625</v>
      </c>
      <c r="R580" s="23">
        <f>MAX(0.8,MIN(1.2,P580/AVERAGE(TEAM_ANALYSIS!$W$2:$W$21)))</f>
        <v>0.80017301038062272</v>
      </c>
      <c r="S580">
        <f>MAX(0.8,MIN(1.2,AVERAGE(TEAM_ANALYSIS!$W$2:$W$21)/Q580))</f>
        <v>1.2</v>
      </c>
      <c r="T580">
        <f>AVERAGE(R580,S580)</f>
        <v>1.0000865051903114</v>
      </c>
    </row>
    <row r="581" spans="1:20" x14ac:dyDescent="0.25">
      <c r="A581">
        <v>29</v>
      </c>
      <c r="B581" t="b">
        <v>0</v>
      </c>
      <c r="C581" s="6">
        <v>46459.625</v>
      </c>
      <c r="D581" t="b">
        <v>0</v>
      </c>
      <c r="E581">
        <v>4</v>
      </c>
      <c r="F581">
        <v>20</v>
      </c>
      <c r="G581">
        <v>3</v>
      </c>
      <c r="H581" t="s">
        <v>1111</v>
      </c>
      <c r="I581" t="s">
        <v>1074</v>
      </c>
      <c r="J581" t="s">
        <v>1106</v>
      </c>
      <c r="K581" t="str">
        <f>tblTeamFixtures[[#This Row],[Team_name]]&amp;"_"&amp;tblTeamFixtures[[#This Row],[GW]]</f>
        <v>BRE_29</v>
      </c>
      <c r="L581">
        <f>IFERROR(INDEX(TEAM_ANALYSIS!$Y:$Y,MATCH($E581,TEAM_ANALYSIS!$A:$A,0)),1)</f>
        <v>1.088235294117647</v>
      </c>
      <c r="M581">
        <f>IFERROR(INDEX(TEAM_ANALYSIS!$Z:$Z,MATCH($E581,TEAM_ANALYSIS!$A:$A,0)),1)</f>
        <v>0.73529411764705888</v>
      </c>
      <c r="N581">
        <f>IFERROR(INDEX(TEAM_ANALYSIS!$Y:$Y,MATCH($F581,TEAM_ANALYSIS!$A:$A,0)),1)</f>
        <v>0.8529411764705882</v>
      </c>
      <c r="O581">
        <f>IFERROR(INDEX(TEAM_ANALYSIS!$Z:$Z,MATCH($F581,TEAM_ANALYSIS!$A:$A,0)),1)</f>
        <v>0.8529411764705882</v>
      </c>
      <c r="P581">
        <f>MAX(0.05,AVERAGE(TEAM_ANALYSIS!$W$2:$W$21)*L581*O581)</f>
        <v>1.9724264705882353</v>
      </c>
      <c r="Q581">
        <f>MAX(0.05,AVERAGE(TEAM_ANALYSIS!$W$2:$W$21)*N581*M581)</f>
        <v>1.3327205882352942</v>
      </c>
      <c r="R581" s="23">
        <f>MAX(0.8,MIN(1.2,P581/AVERAGE(TEAM_ANALYSIS!$W$2:$W$21)))</f>
        <v>0.92820069204152245</v>
      </c>
      <c r="S581">
        <f>MAX(0.8,MIN(1.2,AVERAGE(TEAM_ANALYSIS!$W$2:$W$21)/Q581))</f>
        <v>1.2</v>
      </c>
      <c r="T581">
        <f>AVERAGE(R581,S581)</f>
        <v>1.0641003460207612</v>
      </c>
    </row>
    <row r="582" spans="1:20" x14ac:dyDescent="0.25">
      <c r="A582">
        <v>30</v>
      </c>
      <c r="B582" t="b">
        <v>0</v>
      </c>
      <c r="C582" s="6">
        <v>46466.625</v>
      </c>
      <c r="D582" t="b">
        <v>0</v>
      </c>
      <c r="E582">
        <v>1</v>
      </c>
      <c r="F582">
        <v>20</v>
      </c>
      <c r="G582">
        <v>2</v>
      </c>
      <c r="H582" t="s">
        <v>1110</v>
      </c>
      <c r="I582" t="s">
        <v>1068</v>
      </c>
      <c r="J582" t="s">
        <v>1106</v>
      </c>
      <c r="K582" t="str">
        <f>tblTeamFixtures[[#This Row],[Team_name]]&amp;"_"&amp;tblTeamFixtures[[#This Row],[GW]]</f>
        <v>ARS_30</v>
      </c>
      <c r="L582">
        <f>IFERROR(INDEX(TEAM_ANALYSIS!$Y:$Y,MATCH($E582,TEAM_ANALYSIS!$A:$A,0)),1)</f>
        <v>1.2058823529411764</v>
      </c>
      <c r="M582">
        <f>IFERROR(INDEX(TEAM_ANALYSIS!$Z:$Z,MATCH($E582,TEAM_ANALYSIS!$A:$A,0)),1)</f>
        <v>0.61764705882352944</v>
      </c>
      <c r="N582">
        <f>IFERROR(INDEX(TEAM_ANALYSIS!$Y:$Y,MATCH($F582,TEAM_ANALYSIS!$A:$A,0)),1)</f>
        <v>0.8529411764705882</v>
      </c>
      <c r="O582">
        <f>IFERROR(INDEX(TEAM_ANALYSIS!$Z:$Z,MATCH($F582,TEAM_ANALYSIS!$A:$A,0)),1)</f>
        <v>0.8529411764705882</v>
      </c>
      <c r="P582">
        <f>MAX(0.05,AVERAGE(TEAM_ANALYSIS!$W$2:$W$21)*L582*O582)</f>
        <v>2.1856617647058822</v>
      </c>
      <c r="Q582">
        <f>MAX(0.05,AVERAGE(TEAM_ANALYSIS!$W$2:$W$21)*N582*M582)</f>
        <v>1.1194852941176472</v>
      </c>
      <c r="R582" s="23">
        <f>MAX(0.8,MIN(1.2,P582/AVERAGE(TEAM_ANALYSIS!$W$2:$W$21)))</f>
        <v>1.0285467128027681</v>
      </c>
      <c r="S582">
        <f>MAX(0.8,MIN(1.2,AVERAGE(TEAM_ANALYSIS!$W$2:$W$21)/Q582))</f>
        <v>1.2</v>
      </c>
      <c r="T582">
        <f>AVERAGE(R582,S582)</f>
        <v>1.114273356401384</v>
      </c>
    </row>
    <row r="583" spans="1:20" x14ac:dyDescent="0.25">
      <c r="A583">
        <v>30</v>
      </c>
      <c r="B583" t="b">
        <v>0</v>
      </c>
      <c r="C583" s="6">
        <v>46466.625</v>
      </c>
      <c r="D583" t="b">
        <v>0</v>
      </c>
      <c r="E583">
        <v>4</v>
      </c>
      <c r="F583">
        <v>3</v>
      </c>
      <c r="G583">
        <v>3</v>
      </c>
      <c r="H583" t="s">
        <v>1110</v>
      </c>
      <c r="I583" t="s">
        <v>1074</v>
      </c>
      <c r="J583" t="s">
        <v>1072</v>
      </c>
      <c r="K583" t="str">
        <f>tblTeamFixtures[[#This Row],[Team_name]]&amp;"_"&amp;tblTeamFixtures[[#This Row],[GW]]</f>
        <v>BRE_30</v>
      </c>
      <c r="L583">
        <f>IFERROR(INDEX(TEAM_ANALYSIS!$Y:$Y,MATCH($E583,TEAM_ANALYSIS!$A:$A,0)),1)</f>
        <v>1.088235294117647</v>
      </c>
      <c r="M583">
        <f>IFERROR(INDEX(TEAM_ANALYSIS!$Z:$Z,MATCH($E583,TEAM_ANALYSIS!$A:$A,0)),1)</f>
        <v>0.73529411764705888</v>
      </c>
      <c r="N583">
        <f>IFERROR(INDEX(TEAM_ANALYSIS!$Y:$Y,MATCH($F583,TEAM_ANALYSIS!$A:$A,0)),1)</f>
        <v>0.97058823529411764</v>
      </c>
      <c r="O583">
        <f>IFERROR(INDEX(TEAM_ANALYSIS!$Z:$Z,MATCH($F583,TEAM_ANALYSIS!$A:$A,0)),1)</f>
        <v>1.088235294117647</v>
      </c>
      <c r="P583">
        <f>MAX(0.05,AVERAGE(TEAM_ANALYSIS!$W$2:$W$21)*L583*O583)</f>
        <v>2.5165441176470584</v>
      </c>
      <c r="Q583">
        <f>MAX(0.05,AVERAGE(TEAM_ANALYSIS!$W$2:$W$21)*N583*M583)</f>
        <v>1.5165441176470589</v>
      </c>
      <c r="R583" s="23">
        <f>MAX(0.8,MIN(1.2,P583/AVERAGE(TEAM_ANALYSIS!$W$2:$W$21)))</f>
        <v>1.1842560553633217</v>
      </c>
      <c r="S583">
        <f>MAX(0.8,MIN(1.2,AVERAGE(TEAM_ANALYSIS!$W$2:$W$21)/Q583))</f>
        <v>1.2</v>
      </c>
      <c r="T583">
        <f>AVERAGE(R583,S583)</f>
        <v>1.1921280276816608</v>
      </c>
    </row>
    <row r="584" spans="1:20" x14ac:dyDescent="0.25">
      <c r="A584">
        <v>30</v>
      </c>
      <c r="B584" t="b">
        <v>0</v>
      </c>
      <c r="C584" s="6">
        <v>46466.625</v>
      </c>
      <c r="D584" t="b">
        <v>0</v>
      </c>
      <c r="E584">
        <v>5</v>
      </c>
      <c r="F584">
        <v>7</v>
      </c>
      <c r="G584">
        <v>2</v>
      </c>
      <c r="H584" t="s">
        <v>1110</v>
      </c>
      <c r="I584" t="s">
        <v>1076</v>
      </c>
      <c r="J584" t="s">
        <v>1080</v>
      </c>
      <c r="K584" t="str">
        <f>tblTeamFixtures[[#This Row],[Team_name]]&amp;"_"&amp;tblTeamFixtures[[#This Row],[GW]]</f>
        <v>BHA_30</v>
      </c>
      <c r="L584">
        <f>IFERROR(INDEX(TEAM_ANALYSIS!$Y:$Y,MATCH($E584,TEAM_ANALYSIS!$A:$A,0)),1)</f>
        <v>1.4411764705882353</v>
      </c>
      <c r="M584">
        <f>IFERROR(INDEX(TEAM_ANALYSIS!$Z:$Z,MATCH($E584,TEAM_ANALYSIS!$A:$A,0)),1)</f>
        <v>1.088235294117647</v>
      </c>
      <c r="N584">
        <f>IFERROR(INDEX(TEAM_ANALYSIS!$Y:$Y,MATCH($F584,TEAM_ANALYSIS!$A:$A,0)),1)</f>
        <v>0.5</v>
      </c>
      <c r="O584">
        <f>IFERROR(INDEX(TEAM_ANALYSIS!$Z:$Z,MATCH($F584,TEAM_ANALYSIS!$A:$A,0)),1)</f>
        <v>1.088235294117647</v>
      </c>
      <c r="P584">
        <f>MAX(0.05,AVERAGE(TEAM_ANALYSIS!$W$2:$W$21)*L584*O584)</f>
        <v>3.3327205882352939</v>
      </c>
      <c r="Q584">
        <f>MAX(0.05,AVERAGE(TEAM_ANALYSIS!$W$2:$W$21)*N584*M584)</f>
        <v>1.15625</v>
      </c>
      <c r="R584" s="23">
        <f>MAX(0.8,MIN(1.2,P584/AVERAGE(TEAM_ANALYSIS!$W$2:$W$21)))</f>
        <v>1.2</v>
      </c>
      <c r="S584">
        <f>MAX(0.8,MIN(1.2,AVERAGE(TEAM_ANALYSIS!$W$2:$W$21)/Q584))</f>
        <v>1.2</v>
      </c>
      <c r="T584">
        <f>AVERAGE(R584,S584)</f>
        <v>1.2</v>
      </c>
    </row>
    <row r="585" spans="1:20" x14ac:dyDescent="0.25">
      <c r="A585">
        <v>30</v>
      </c>
      <c r="B585" t="b">
        <v>0</v>
      </c>
      <c r="C585" s="6">
        <v>46466.625</v>
      </c>
      <c r="D585" t="b">
        <v>0</v>
      </c>
      <c r="E585">
        <v>9</v>
      </c>
      <c r="F585">
        <v>19</v>
      </c>
      <c r="G585">
        <v>3</v>
      </c>
      <c r="H585" t="s">
        <v>1110</v>
      </c>
      <c r="I585" t="s">
        <v>1084</v>
      </c>
      <c r="J585" t="s">
        <v>1104</v>
      </c>
      <c r="K585" t="str">
        <f>tblTeamFixtures[[#This Row],[Team_name]]&amp;"_"&amp;tblTeamFixtures[[#This Row],[GW]]</f>
        <v>EVE_30</v>
      </c>
      <c r="L585">
        <f>IFERROR(INDEX(TEAM_ANALYSIS!$Y:$Y,MATCH($E585,TEAM_ANALYSIS!$A:$A,0)),1)</f>
        <v>1.088235294117647</v>
      </c>
      <c r="M585">
        <f>IFERROR(INDEX(TEAM_ANALYSIS!$Z:$Z,MATCH($E585,TEAM_ANALYSIS!$A:$A,0)),1)</f>
        <v>0.8529411764705882</v>
      </c>
      <c r="N585">
        <f>IFERROR(INDEX(TEAM_ANALYSIS!$Y:$Y,MATCH($F585,TEAM_ANALYSIS!$A:$A,0)),1)</f>
        <v>0.5</v>
      </c>
      <c r="O585">
        <f>IFERROR(INDEX(TEAM_ANALYSIS!$Z:$Z,MATCH($F585,TEAM_ANALYSIS!$A:$A,0)),1)</f>
        <v>1.088235294117647</v>
      </c>
      <c r="P585">
        <f>MAX(0.05,AVERAGE(TEAM_ANALYSIS!$W$2:$W$21)*L585*O585)</f>
        <v>2.5165441176470584</v>
      </c>
      <c r="Q585">
        <f>MAX(0.05,AVERAGE(TEAM_ANALYSIS!$W$2:$W$21)*N585*M585)</f>
        <v>0.90625</v>
      </c>
      <c r="R585" s="23">
        <f>MAX(0.8,MIN(1.2,P585/AVERAGE(TEAM_ANALYSIS!$W$2:$W$21)))</f>
        <v>1.1842560553633217</v>
      </c>
      <c r="S585">
        <f>MAX(0.8,MIN(1.2,AVERAGE(TEAM_ANALYSIS!$W$2:$W$21)/Q585))</f>
        <v>1.2</v>
      </c>
      <c r="T585">
        <f>AVERAGE(R585,S585)</f>
        <v>1.1921280276816608</v>
      </c>
    </row>
    <row r="586" spans="1:20" x14ac:dyDescent="0.25">
      <c r="A586">
        <v>30</v>
      </c>
      <c r="B586" t="b">
        <v>0</v>
      </c>
      <c r="C586" s="6">
        <v>46466.625</v>
      </c>
      <c r="D586" t="b">
        <v>0</v>
      </c>
      <c r="E586">
        <v>10</v>
      </c>
      <c r="F586">
        <v>14</v>
      </c>
      <c r="G586">
        <v>4</v>
      </c>
      <c r="H586" t="s">
        <v>1110</v>
      </c>
      <c r="I586" t="s">
        <v>1086</v>
      </c>
      <c r="J586" t="s">
        <v>1094</v>
      </c>
      <c r="K586" t="str">
        <f>tblTeamFixtures[[#This Row],[Team_name]]&amp;"_"&amp;tblTeamFixtures[[#This Row],[GW]]</f>
        <v>FUL_30</v>
      </c>
      <c r="L586">
        <f>IFERROR(INDEX(TEAM_ANALYSIS!$Y:$Y,MATCH($E586,TEAM_ANALYSIS!$A:$A,0)),1)</f>
        <v>0.97058823529411764</v>
      </c>
      <c r="M586">
        <f>IFERROR(INDEX(TEAM_ANALYSIS!$Z:$Z,MATCH($E586,TEAM_ANALYSIS!$A:$A,0)),1)</f>
        <v>1.3235294117647058</v>
      </c>
      <c r="N586">
        <f>IFERROR(INDEX(TEAM_ANALYSIS!$Y:$Y,MATCH($F586,TEAM_ANALYSIS!$A:$A,0)),1)</f>
        <v>1.2058823529411764</v>
      </c>
      <c r="O586">
        <f>IFERROR(INDEX(TEAM_ANALYSIS!$Z:$Z,MATCH($F586,TEAM_ANALYSIS!$A:$A,0)),1)</f>
        <v>0.97058823529411764</v>
      </c>
      <c r="P586">
        <f>MAX(0.05,AVERAGE(TEAM_ANALYSIS!$W$2:$W$21)*L586*O586)</f>
        <v>2.0018382352941178</v>
      </c>
      <c r="Q586">
        <f>MAX(0.05,AVERAGE(TEAM_ANALYSIS!$W$2:$W$21)*N586*M586)</f>
        <v>3.3915441176470589</v>
      </c>
      <c r="R586" s="23">
        <f>MAX(0.8,MIN(1.2,P586/AVERAGE(TEAM_ANALYSIS!$W$2:$W$21)))</f>
        <v>0.94204152249134954</v>
      </c>
      <c r="S586">
        <f>MAX(0.8,MIN(1.2,AVERAGE(TEAM_ANALYSIS!$W$2:$W$21)/Q586))</f>
        <v>0.8</v>
      </c>
      <c r="T586">
        <f>AVERAGE(R586,S586)</f>
        <v>0.87102076124567485</v>
      </c>
    </row>
    <row r="587" spans="1:20" x14ac:dyDescent="0.25">
      <c r="A587">
        <v>30</v>
      </c>
      <c r="B587" t="b">
        <v>0</v>
      </c>
      <c r="C587" s="6">
        <v>46466.625</v>
      </c>
      <c r="D587" t="b">
        <v>0</v>
      </c>
      <c r="E587">
        <v>11</v>
      </c>
      <c r="F587">
        <v>6</v>
      </c>
      <c r="G587">
        <v>4</v>
      </c>
      <c r="H587" t="s">
        <v>1110</v>
      </c>
      <c r="I587" t="s">
        <v>1088</v>
      </c>
      <c r="J587" t="s">
        <v>1078</v>
      </c>
      <c r="K587" t="str">
        <f>tblTeamFixtures[[#This Row],[Team_name]]&amp;"_"&amp;tblTeamFixtures[[#This Row],[GW]]</f>
        <v>HUL_30</v>
      </c>
      <c r="L587">
        <f>IFERROR(INDEX(TEAM_ANALYSIS!$Y:$Y,MATCH($E587,TEAM_ANALYSIS!$A:$A,0)),1)</f>
        <v>0.8529411764705882</v>
      </c>
      <c r="M587">
        <f>IFERROR(INDEX(TEAM_ANALYSIS!$Z:$Z,MATCH($E587,TEAM_ANALYSIS!$A:$A,0)),1)</f>
        <v>0.5</v>
      </c>
      <c r="N587">
        <f>IFERROR(INDEX(TEAM_ANALYSIS!$Y:$Y,MATCH($F587,TEAM_ANALYSIS!$A:$A,0)),1)</f>
        <v>1.4411764705882353</v>
      </c>
      <c r="O587">
        <f>IFERROR(INDEX(TEAM_ANALYSIS!$Z:$Z,MATCH($F587,TEAM_ANALYSIS!$A:$A,0)),1)</f>
        <v>1.3235294117647058</v>
      </c>
      <c r="P587">
        <f>MAX(0.05,AVERAGE(TEAM_ANALYSIS!$W$2:$W$21)*L587*O587)</f>
        <v>2.3988970588235294</v>
      </c>
      <c r="Q587">
        <f>MAX(0.05,AVERAGE(TEAM_ANALYSIS!$W$2:$W$21)*N587*M587)</f>
        <v>1.53125</v>
      </c>
      <c r="R587" s="23">
        <f>MAX(0.8,MIN(1.2,P587/AVERAGE(TEAM_ANALYSIS!$W$2:$W$21)))</f>
        <v>1.1288927335640138</v>
      </c>
      <c r="S587">
        <f>MAX(0.8,MIN(1.2,AVERAGE(TEAM_ANALYSIS!$W$2:$W$21)/Q587))</f>
        <v>1.2</v>
      </c>
      <c r="T587">
        <f>AVERAGE(R587,S587)</f>
        <v>1.1644463667820069</v>
      </c>
    </row>
    <row r="588" spans="1:20" x14ac:dyDescent="0.25">
      <c r="A588">
        <v>30</v>
      </c>
      <c r="B588" t="b">
        <v>0</v>
      </c>
      <c r="C588" s="6">
        <v>46466.625</v>
      </c>
      <c r="D588" t="b">
        <v>0</v>
      </c>
      <c r="E588">
        <v>12</v>
      </c>
      <c r="F588">
        <v>8</v>
      </c>
      <c r="G588">
        <v>3</v>
      </c>
      <c r="H588" t="s">
        <v>1110</v>
      </c>
      <c r="I588" t="s">
        <v>1090</v>
      </c>
      <c r="J588" t="s">
        <v>1082</v>
      </c>
      <c r="K588" t="str">
        <f>tblTeamFixtures[[#This Row],[Team_name]]&amp;"_"&amp;tblTeamFixtures[[#This Row],[GW]]</f>
        <v>IPS_30</v>
      </c>
      <c r="L588">
        <f>IFERROR(INDEX(TEAM_ANALYSIS!$Y:$Y,MATCH($E588,TEAM_ANALYSIS!$A:$A,0)),1)</f>
        <v>0.97058823529411764</v>
      </c>
      <c r="M588">
        <f>IFERROR(INDEX(TEAM_ANALYSIS!$Z:$Z,MATCH($E588,TEAM_ANALYSIS!$A:$A,0)),1)</f>
        <v>1.4411764705882353</v>
      </c>
      <c r="N588">
        <f>IFERROR(INDEX(TEAM_ANALYSIS!$Y:$Y,MATCH($F588,TEAM_ANALYSIS!$A:$A,0)),1)</f>
        <v>0.97058823529411764</v>
      </c>
      <c r="O588">
        <f>IFERROR(INDEX(TEAM_ANALYSIS!$Z:$Z,MATCH($F588,TEAM_ANALYSIS!$A:$A,0)),1)</f>
        <v>1.4411764705882353</v>
      </c>
      <c r="P588">
        <f>MAX(0.05,AVERAGE(TEAM_ANALYSIS!$W$2:$W$21)*L588*O588)</f>
        <v>2.9724264705882351</v>
      </c>
      <c r="Q588">
        <f>MAX(0.05,AVERAGE(TEAM_ANALYSIS!$W$2:$W$21)*N588*M588)</f>
        <v>2.9724264705882351</v>
      </c>
      <c r="R588" s="23">
        <f>MAX(0.8,MIN(1.2,P588/AVERAGE(TEAM_ANALYSIS!$W$2:$W$21)))</f>
        <v>1.2</v>
      </c>
      <c r="S588">
        <f>MAX(0.8,MIN(1.2,AVERAGE(TEAM_ANALYSIS!$W$2:$W$21)/Q588))</f>
        <v>0.8</v>
      </c>
      <c r="T588">
        <f>AVERAGE(R588,S588)</f>
        <v>1</v>
      </c>
    </row>
    <row r="589" spans="1:20" x14ac:dyDescent="0.25">
      <c r="A589">
        <v>30</v>
      </c>
      <c r="B589" t="b">
        <v>0</v>
      </c>
      <c r="C589" s="6">
        <v>46466.625</v>
      </c>
      <c r="D589" t="b">
        <v>0</v>
      </c>
      <c r="E589">
        <v>15</v>
      </c>
      <c r="F589">
        <v>16</v>
      </c>
      <c r="G589">
        <v>4</v>
      </c>
      <c r="H589" t="s">
        <v>1110</v>
      </c>
      <c r="I589" t="s">
        <v>1096</v>
      </c>
      <c r="J589" t="s">
        <v>1098</v>
      </c>
      <c r="K589" t="str">
        <f>tblTeamFixtures[[#This Row],[Team_name]]&amp;"_"&amp;tblTeamFixtures[[#This Row],[GW]]</f>
        <v>MCI_30</v>
      </c>
      <c r="L589">
        <f>IFERROR(INDEX(TEAM_ANALYSIS!$Y:$Y,MATCH($E589,TEAM_ANALYSIS!$A:$A,0)),1)</f>
        <v>1.3235294117647058</v>
      </c>
      <c r="M589">
        <f>IFERROR(INDEX(TEAM_ANALYSIS!$Z:$Z,MATCH($E589,TEAM_ANALYSIS!$A:$A,0)),1)</f>
        <v>0.73529411764705888</v>
      </c>
      <c r="N589">
        <f>IFERROR(INDEX(TEAM_ANALYSIS!$Y:$Y,MATCH($F589,TEAM_ANALYSIS!$A:$A,0)),1)</f>
        <v>1.3235294117647058</v>
      </c>
      <c r="O589">
        <f>IFERROR(INDEX(TEAM_ANALYSIS!$Z:$Z,MATCH($F589,TEAM_ANALYSIS!$A:$A,0)),1)</f>
        <v>1.2058823529411764</v>
      </c>
      <c r="P589">
        <f>MAX(0.05,AVERAGE(TEAM_ANALYSIS!$W$2:$W$21)*L589*O589)</f>
        <v>3.3915441176470584</v>
      </c>
      <c r="Q589">
        <f>MAX(0.05,AVERAGE(TEAM_ANALYSIS!$W$2:$W$21)*N589*M589)</f>
        <v>2.0680147058823533</v>
      </c>
      <c r="R589" s="23">
        <f>MAX(0.8,MIN(1.2,P589/AVERAGE(TEAM_ANALYSIS!$W$2:$W$21)))</f>
        <v>1.2</v>
      </c>
      <c r="S589">
        <f>MAX(0.8,MIN(1.2,AVERAGE(TEAM_ANALYSIS!$W$2:$W$21)/Q589))</f>
        <v>1.0275555555555553</v>
      </c>
      <c r="T589">
        <f>AVERAGE(R589,S589)</f>
        <v>1.1137777777777775</v>
      </c>
    </row>
    <row r="590" spans="1:20" x14ac:dyDescent="0.25">
      <c r="A590">
        <v>30</v>
      </c>
      <c r="B590" t="b">
        <v>0</v>
      </c>
      <c r="C590" s="6">
        <v>46466.625</v>
      </c>
      <c r="D590" t="b">
        <v>0</v>
      </c>
      <c r="E590">
        <v>17</v>
      </c>
      <c r="F590">
        <v>13</v>
      </c>
      <c r="G590">
        <v>2</v>
      </c>
      <c r="H590" t="s">
        <v>1110</v>
      </c>
      <c r="I590" t="s">
        <v>1100</v>
      </c>
      <c r="J590" t="s">
        <v>1092</v>
      </c>
      <c r="K590" t="str">
        <f>tblTeamFixtures[[#This Row],[Team_name]]&amp;"_"&amp;tblTeamFixtures[[#This Row],[GW]]</f>
        <v>NEW_30</v>
      </c>
      <c r="L590">
        <f>IFERROR(INDEX(TEAM_ANALYSIS!$Y:$Y,MATCH($E590,TEAM_ANALYSIS!$A:$A,0)),1)</f>
        <v>1.2058823529411764</v>
      </c>
      <c r="M590">
        <f>IFERROR(INDEX(TEAM_ANALYSIS!$Z:$Z,MATCH($E590,TEAM_ANALYSIS!$A:$A,0)),1)</f>
        <v>0.97058823529411764</v>
      </c>
      <c r="N590">
        <f>IFERROR(INDEX(TEAM_ANALYSIS!$Y:$Y,MATCH($F590,TEAM_ANALYSIS!$A:$A,0)),1)</f>
        <v>0.8529411764705882</v>
      </c>
      <c r="O590">
        <f>IFERROR(INDEX(TEAM_ANALYSIS!$Z:$Z,MATCH($F590,TEAM_ANALYSIS!$A:$A,0)),1)</f>
        <v>0.73529411764705888</v>
      </c>
      <c r="P590">
        <f>MAX(0.05,AVERAGE(TEAM_ANALYSIS!$W$2:$W$21)*L590*O590)</f>
        <v>1.8841911764705883</v>
      </c>
      <c r="Q590">
        <f>MAX(0.05,AVERAGE(TEAM_ANALYSIS!$W$2:$W$21)*N590*M590)</f>
        <v>1.7591911764705883</v>
      </c>
      <c r="R590" s="23">
        <f>MAX(0.8,MIN(1.2,P590/AVERAGE(TEAM_ANALYSIS!$W$2:$W$21)))</f>
        <v>0.88667820069204151</v>
      </c>
      <c r="S590">
        <f>MAX(0.8,MIN(1.2,AVERAGE(TEAM_ANALYSIS!$W$2:$W$21)/Q590))</f>
        <v>1.2</v>
      </c>
      <c r="T590">
        <f>AVERAGE(R590,S590)</f>
        <v>1.0433391003460208</v>
      </c>
    </row>
    <row r="591" spans="1:20" x14ac:dyDescent="0.25">
      <c r="A591">
        <v>30</v>
      </c>
      <c r="B591" t="b">
        <v>0</v>
      </c>
      <c r="C591" s="6">
        <v>46466.625</v>
      </c>
      <c r="D591" t="b">
        <v>0</v>
      </c>
      <c r="E591">
        <v>18</v>
      </c>
      <c r="F591">
        <v>2</v>
      </c>
      <c r="G591">
        <v>3</v>
      </c>
      <c r="H591" t="s">
        <v>1110</v>
      </c>
      <c r="I591" t="s">
        <v>1102</v>
      </c>
      <c r="J591" t="s">
        <v>1070</v>
      </c>
      <c r="K591" t="str">
        <f>tblTeamFixtures[[#This Row],[Team_name]]&amp;"_"&amp;tblTeamFixtures[[#This Row],[GW]]</f>
        <v>NFO_30</v>
      </c>
      <c r="L591">
        <f>IFERROR(INDEX(TEAM_ANALYSIS!$Y:$Y,MATCH($E591,TEAM_ANALYSIS!$A:$A,0)),1)</f>
        <v>0.73529411764705888</v>
      </c>
      <c r="M591">
        <f>IFERROR(INDEX(TEAM_ANALYSIS!$Z:$Z,MATCH($E591,TEAM_ANALYSIS!$A:$A,0)),1)</f>
        <v>0.8529411764705882</v>
      </c>
      <c r="N591">
        <f>IFERROR(INDEX(TEAM_ANALYSIS!$Y:$Y,MATCH($F591,TEAM_ANALYSIS!$A:$A,0)),1)</f>
        <v>0.5</v>
      </c>
      <c r="O591">
        <f>IFERROR(INDEX(TEAM_ANALYSIS!$Z:$Z,MATCH($F591,TEAM_ANALYSIS!$A:$A,0)),1)</f>
        <v>1.088235294117647</v>
      </c>
      <c r="P591">
        <f>MAX(0.05,AVERAGE(TEAM_ANALYSIS!$W$2:$W$21)*L591*O591)</f>
        <v>1.7003676470588234</v>
      </c>
      <c r="Q591">
        <f>MAX(0.05,AVERAGE(TEAM_ANALYSIS!$W$2:$W$21)*N591*M591)</f>
        <v>0.90625</v>
      </c>
      <c r="R591" s="23">
        <f>MAX(0.8,MIN(1.2,P591/AVERAGE(TEAM_ANALYSIS!$W$2:$W$21)))</f>
        <v>0.80017301038062272</v>
      </c>
      <c r="S591">
        <f>MAX(0.8,MIN(1.2,AVERAGE(TEAM_ANALYSIS!$W$2:$W$21)/Q591))</f>
        <v>1.2</v>
      </c>
      <c r="T591">
        <f>AVERAGE(R591,S591)</f>
        <v>1.0000865051903114</v>
      </c>
    </row>
    <row r="592" spans="1:20" x14ac:dyDescent="0.25">
      <c r="A592">
        <v>30</v>
      </c>
      <c r="B592" t="b">
        <v>0</v>
      </c>
      <c r="C592" s="6">
        <v>46466.625</v>
      </c>
      <c r="D592" t="b">
        <v>0</v>
      </c>
      <c r="E592">
        <v>20</v>
      </c>
      <c r="F592">
        <v>1</v>
      </c>
      <c r="G592">
        <v>5</v>
      </c>
      <c r="H592" t="s">
        <v>1111</v>
      </c>
      <c r="I592" t="s">
        <v>1106</v>
      </c>
      <c r="J592" t="s">
        <v>1068</v>
      </c>
      <c r="K592" t="str">
        <f>tblTeamFixtures[[#This Row],[Team_name]]&amp;"_"&amp;tblTeamFixtures[[#This Row],[GW]]</f>
        <v>SUN_30</v>
      </c>
      <c r="L592">
        <f>IFERROR(INDEX(TEAM_ANALYSIS!$Y:$Y,MATCH($E592,TEAM_ANALYSIS!$A:$A,0)),1)</f>
        <v>0.8529411764705882</v>
      </c>
      <c r="M592">
        <f>IFERROR(INDEX(TEAM_ANALYSIS!$Z:$Z,MATCH($E592,TEAM_ANALYSIS!$A:$A,0)),1)</f>
        <v>0.8529411764705882</v>
      </c>
      <c r="N592">
        <f>IFERROR(INDEX(TEAM_ANALYSIS!$Y:$Y,MATCH($F592,TEAM_ANALYSIS!$A:$A,0)),1)</f>
        <v>1.2058823529411764</v>
      </c>
      <c r="O592">
        <f>IFERROR(INDEX(TEAM_ANALYSIS!$Z:$Z,MATCH($F592,TEAM_ANALYSIS!$A:$A,0)),1)</f>
        <v>0.61764705882352944</v>
      </c>
      <c r="P592">
        <f>MAX(0.05,AVERAGE(TEAM_ANALYSIS!$W$2:$W$21)*L592*O592)</f>
        <v>1.1194852941176472</v>
      </c>
      <c r="Q592">
        <f>MAX(0.05,AVERAGE(TEAM_ANALYSIS!$W$2:$W$21)*N592*M592)</f>
        <v>2.1856617647058822</v>
      </c>
      <c r="R592" s="23">
        <f>MAX(0.8,MIN(1.2,P592/AVERAGE(TEAM_ANALYSIS!$W$2:$W$21)))</f>
        <v>0.8</v>
      </c>
      <c r="S592">
        <f>MAX(0.8,MIN(1.2,AVERAGE(TEAM_ANALYSIS!$W$2:$W$21)/Q592))</f>
        <v>0.9722455845248108</v>
      </c>
      <c r="T592">
        <f>AVERAGE(R592,S592)</f>
        <v>0.88612279226240542</v>
      </c>
    </row>
    <row r="593" spans="1:20" x14ac:dyDescent="0.25">
      <c r="A593">
        <v>30</v>
      </c>
      <c r="B593" t="b">
        <v>0</v>
      </c>
      <c r="C593" s="6">
        <v>46466.625</v>
      </c>
      <c r="D593" t="b">
        <v>0</v>
      </c>
      <c r="E593">
        <v>3</v>
      </c>
      <c r="F593">
        <v>4</v>
      </c>
      <c r="G593">
        <v>3</v>
      </c>
      <c r="H593" t="s">
        <v>1111</v>
      </c>
      <c r="I593" t="s">
        <v>1072</v>
      </c>
      <c r="J593" t="s">
        <v>1074</v>
      </c>
      <c r="K593" t="str">
        <f>tblTeamFixtures[[#This Row],[Team_name]]&amp;"_"&amp;tblTeamFixtures[[#This Row],[GW]]</f>
        <v>BOU_30</v>
      </c>
      <c r="L593">
        <f>IFERROR(INDEX(TEAM_ANALYSIS!$Y:$Y,MATCH($E593,TEAM_ANALYSIS!$A:$A,0)),1)</f>
        <v>0.97058823529411764</v>
      </c>
      <c r="M593">
        <f>IFERROR(INDEX(TEAM_ANALYSIS!$Z:$Z,MATCH($E593,TEAM_ANALYSIS!$A:$A,0)),1)</f>
        <v>1.088235294117647</v>
      </c>
      <c r="N593">
        <f>IFERROR(INDEX(TEAM_ANALYSIS!$Y:$Y,MATCH($F593,TEAM_ANALYSIS!$A:$A,0)),1)</f>
        <v>1.088235294117647</v>
      </c>
      <c r="O593">
        <f>IFERROR(INDEX(TEAM_ANALYSIS!$Z:$Z,MATCH($F593,TEAM_ANALYSIS!$A:$A,0)),1)</f>
        <v>0.73529411764705888</v>
      </c>
      <c r="P593">
        <f>MAX(0.05,AVERAGE(TEAM_ANALYSIS!$W$2:$W$21)*L593*O593)</f>
        <v>1.5165441176470589</v>
      </c>
      <c r="Q593">
        <f>MAX(0.05,AVERAGE(TEAM_ANALYSIS!$W$2:$W$21)*N593*M593)</f>
        <v>2.5165441176470584</v>
      </c>
      <c r="R593" s="23">
        <f>MAX(0.8,MIN(1.2,P593/AVERAGE(TEAM_ANALYSIS!$W$2:$W$21)))</f>
        <v>0.8</v>
      </c>
      <c r="S593">
        <f>MAX(0.8,MIN(1.2,AVERAGE(TEAM_ANALYSIS!$W$2:$W$21)/Q593))</f>
        <v>0.84441197954711478</v>
      </c>
      <c r="T593">
        <f>AVERAGE(R593,S593)</f>
        <v>0.82220598977355741</v>
      </c>
    </row>
    <row r="594" spans="1:20" x14ac:dyDescent="0.25">
      <c r="A594">
        <v>30</v>
      </c>
      <c r="B594" t="b">
        <v>0</v>
      </c>
      <c r="C594" s="6">
        <v>46466.625</v>
      </c>
      <c r="D594" t="b">
        <v>0</v>
      </c>
      <c r="E594">
        <v>7</v>
      </c>
      <c r="F594">
        <v>5</v>
      </c>
      <c r="G594">
        <v>3</v>
      </c>
      <c r="H594" t="s">
        <v>1111</v>
      </c>
      <c r="I594" t="s">
        <v>1080</v>
      </c>
      <c r="J594" t="s">
        <v>1076</v>
      </c>
      <c r="K594" t="str">
        <f>tblTeamFixtures[[#This Row],[Team_name]]&amp;"_"&amp;tblTeamFixtures[[#This Row],[GW]]</f>
        <v>COV_30</v>
      </c>
      <c r="L594">
        <f>IFERROR(INDEX(TEAM_ANALYSIS!$Y:$Y,MATCH($E594,TEAM_ANALYSIS!$A:$A,0)),1)</f>
        <v>0.5</v>
      </c>
      <c r="M594">
        <f>IFERROR(INDEX(TEAM_ANALYSIS!$Z:$Z,MATCH($E594,TEAM_ANALYSIS!$A:$A,0)),1)</f>
        <v>1.088235294117647</v>
      </c>
      <c r="N594">
        <f>IFERROR(INDEX(TEAM_ANALYSIS!$Y:$Y,MATCH($F594,TEAM_ANALYSIS!$A:$A,0)),1)</f>
        <v>1.4411764705882353</v>
      </c>
      <c r="O594">
        <f>IFERROR(INDEX(TEAM_ANALYSIS!$Z:$Z,MATCH($F594,TEAM_ANALYSIS!$A:$A,0)),1)</f>
        <v>1.088235294117647</v>
      </c>
      <c r="P594">
        <f>MAX(0.05,AVERAGE(TEAM_ANALYSIS!$W$2:$W$21)*L594*O594)</f>
        <v>1.15625</v>
      </c>
      <c r="Q594">
        <f>MAX(0.05,AVERAGE(TEAM_ANALYSIS!$W$2:$W$21)*N594*M594)</f>
        <v>3.3327205882352939</v>
      </c>
      <c r="R594" s="23">
        <f>MAX(0.8,MIN(1.2,P594/AVERAGE(TEAM_ANALYSIS!$W$2:$W$21)))</f>
        <v>0.8</v>
      </c>
      <c r="S594">
        <f>MAX(0.8,MIN(1.2,AVERAGE(TEAM_ANALYSIS!$W$2:$W$21)/Q594))</f>
        <v>0.8</v>
      </c>
      <c r="T594">
        <f>AVERAGE(R594,S594)</f>
        <v>0.8</v>
      </c>
    </row>
    <row r="595" spans="1:20" x14ac:dyDescent="0.25">
      <c r="A595">
        <v>30</v>
      </c>
      <c r="B595" t="b">
        <v>0</v>
      </c>
      <c r="C595" s="6">
        <v>46466.625</v>
      </c>
      <c r="D595" t="b">
        <v>0</v>
      </c>
      <c r="E595">
        <v>19</v>
      </c>
      <c r="F595">
        <v>9</v>
      </c>
      <c r="G595">
        <v>3</v>
      </c>
      <c r="H595" t="s">
        <v>1111</v>
      </c>
      <c r="I595" t="s">
        <v>1104</v>
      </c>
      <c r="J595" t="s">
        <v>1084</v>
      </c>
      <c r="K595" t="str">
        <f>tblTeamFixtures[[#This Row],[Team_name]]&amp;"_"&amp;tblTeamFixtures[[#This Row],[GW]]</f>
        <v>TOT_30</v>
      </c>
      <c r="L595">
        <f>IFERROR(INDEX(TEAM_ANALYSIS!$Y:$Y,MATCH($E595,TEAM_ANALYSIS!$A:$A,0)),1)</f>
        <v>0.5</v>
      </c>
      <c r="M595">
        <f>IFERROR(INDEX(TEAM_ANALYSIS!$Z:$Z,MATCH($E595,TEAM_ANALYSIS!$A:$A,0)),1)</f>
        <v>1.088235294117647</v>
      </c>
      <c r="N595">
        <f>IFERROR(INDEX(TEAM_ANALYSIS!$Y:$Y,MATCH($F595,TEAM_ANALYSIS!$A:$A,0)),1)</f>
        <v>1.088235294117647</v>
      </c>
      <c r="O595">
        <f>IFERROR(INDEX(TEAM_ANALYSIS!$Z:$Z,MATCH($F595,TEAM_ANALYSIS!$A:$A,0)),1)</f>
        <v>0.8529411764705882</v>
      </c>
      <c r="P595">
        <f>MAX(0.05,AVERAGE(TEAM_ANALYSIS!$W$2:$W$21)*L595*O595)</f>
        <v>0.90625</v>
      </c>
      <c r="Q595">
        <f>MAX(0.05,AVERAGE(TEAM_ANALYSIS!$W$2:$W$21)*N595*M595)</f>
        <v>2.5165441176470584</v>
      </c>
      <c r="R595" s="23">
        <f>MAX(0.8,MIN(1.2,P595/AVERAGE(TEAM_ANALYSIS!$W$2:$W$21)))</f>
        <v>0.8</v>
      </c>
      <c r="S595">
        <f>MAX(0.8,MIN(1.2,AVERAGE(TEAM_ANALYSIS!$W$2:$W$21)/Q595))</f>
        <v>0.84441197954711478</v>
      </c>
      <c r="T595">
        <f>AVERAGE(R595,S595)</f>
        <v>0.82220598977355741</v>
      </c>
    </row>
    <row r="596" spans="1:20" x14ac:dyDescent="0.25">
      <c r="A596">
        <v>30</v>
      </c>
      <c r="B596" t="b">
        <v>0</v>
      </c>
      <c r="C596" s="6">
        <v>46466.625</v>
      </c>
      <c r="D596" t="b">
        <v>0</v>
      </c>
      <c r="E596">
        <v>14</v>
      </c>
      <c r="F596">
        <v>10</v>
      </c>
      <c r="G596">
        <v>3</v>
      </c>
      <c r="H596" t="s">
        <v>1111</v>
      </c>
      <c r="I596" t="s">
        <v>1094</v>
      </c>
      <c r="J596" t="s">
        <v>1086</v>
      </c>
      <c r="K596" t="str">
        <f>tblTeamFixtures[[#This Row],[Team_name]]&amp;"_"&amp;tblTeamFixtures[[#This Row],[GW]]</f>
        <v>LIV_30</v>
      </c>
      <c r="L596">
        <f>IFERROR(INDEX(TEAM_ANALYSIS!$Y:$Y,MATCH($E596,TEAM_ANALYSIS!$A:$A,0)),1)</f>
        <v>1.2058823529411764</v>
      </c>
      <c r="M596">
        <f>IFERROR(INDEX(TEAM_ANALYSIS!$Z:$Z,MATCH($E596,TEAM_ANALYSIS!$A:$A,0)),1)</f>
        <v>0.97058823529411764</v>
      </c>
      <c r="N596">
        <f>IFERROR(INDEX(TEAM_ANALYSIS!$Y:$Y,MATCH($F596,TEAM_ANALYSIS!$A:$A,0)),1)</f>
        <v>0.97058823529411764</v>
      </c>
      <c r="O596">
        <f>IFERROR(INDEX(TEAM_ANALYSIS!$Z:$Z,MATCH($F596,TEAM_ANALYSIS!$A:$A,0)),1)</f>
        <v>1.3235294117647058</v>
      </c>
      <c r="P596">
        <f>MAX(0.05,AVERAGE(TEAM_ANALYSIS!$W$2:$W$21)*L596*O596)</f>
        <v>3.3915441176470589</v>
      </c>
      <c r="Q596">
        <f>MAX(0.05,AVERAGE(TEAM_ANALYSIS!$W$2:$W$21)*N596*M596)</f>
        <v>2.0018382352941178</v>
      </c>
      <c r="R596" s="23">
        <f>MAX(0.8,MIN(1.2,P596/AVERAGE(TEAM_ANALYSIS!$W$2:$W$21)))</f>
        <v>1.2</v>
      </c>
      <c r="S596">
        <f>MAX(0.8,MIN(1.2,AVERAGE(TEAM_ANALYSIS!$W$2:$W$21)/Q596))</f>
        <v>1.061524334251607</v>
      </c>
      <c r="T596">
        <f>AVERAGE(R596,S596)</f>
        <v>1.1307621671258035</v>
      </c>
    </row>
    <row r="597" spans="1:20" x14ac:dyDescent="0.25">
      <c r="A597">
        <v>30</v>
      </c>
      <c r="B597" t="b">
        <v>0</v>
      </c>
      <c r="C597" s="6">
        <v>46466.625</v>
      </c>
      <c r="D597" t="b">
        <v>0</v>
      </c>
      <c r="E597">
        <v>6</v>
      </c>
      <c r="F597">
        <v>11</v>
      </c>
      <c r="G597">
        <v>2</v>
      </c>
      <c r="H597" t="s">
        <v>1111</v>
      </c>
      <c r="I597" t="s">
        <v>1078</v>
      </c>
      <c r="J597" t="s">
        <v>1088</v>
      </c>
      <c r="K597" t="str">
        <f>tblTeamFixtures[[#This Row],[Team_name]]&amp;"_"&amp;tblTeamFixtures[[#This Row],[GW]]</f>
        <v>CHE_30</v>
      </c>
      <c r="L597">
        <f>IFERROR(INDEX(TEAM_ANALYSIS!$Y:$Y,MATCH($E597,TEAM_ANALYSIS!$A:$A,0)),1)</f>
        <v>1.4411764705882353</v>
      </c>
      <c r="M597">
        <f>IFERROR(INDEX(TEAM_ANALYSIS!$Z:$Z,MATCH($E597,TEAM_ANALYSIS!$A:$A,0)),1)</f>
        <v>1.3235294117647058</v>
      </c>
      <c r="N597">
        <f>IFERROR(INDEX(TEAM_ANALYSIS!$Y:$Y,MATCH($F597,TEAM_ANALYSIS!$A:$A,0)),1)</f>
        <v>0.8529411764705882</v>
      </c>
      <c r="O597">
        <f>IFERROR(INDEX(TEAM_ANALYSIS!$Z:$Z,MATCH($F597,TEAM_ANALYSIS!$A:$A,0)),1)</f>
        <v>0.5</v>
      </c>
      <c r="P597">
        <f>MAX(0.05,AVERAGE(TEAM_ANALYSIS!$W$2:$W$21)*L597*O597)</f>
        <v>1.53125</v>
      </c>
      <c r="Q597">
        <f>MAX(0.05,AVERAGE(TEAM_ANALYSIS!$W$2:$W$21)*N597*M597)</f>
        <v>2.3988970588235294</v>
      </c>
      <c r="R597" s="23">
        <f>MAX(0.8,MIN(1.2,P597/AVERAGE(TEAM_ANALYSIS!$W$2:$W$21)))</f>
        <v>0.8</v>
      </c>
      <c r="S597">
        <f>MAX(0.8,MIN(1.2,AVERAGE(TEAM_ANALYSIS!$W$2:$W$21)/Q597))</f>
        <v>0.885823754789272</v>
      </c>
      <c r="T597">
        <f>AVERAGE(R597,S597)</f>
        <v>0.84291187739463602</v>
      </c>
    </row>
    <row r="598" spans="1:20" x14ac:dyDescent="0.25">
      <c r="A598">
        <v>30</v>
      </c>
      <c r="B598" t="b">
        <v>0</v>
      </c>
      <c r="C598" s="6">
        <v>46466.625</v>
      </c>
      <c r="D598" t="b">
        <v>0</v>
      </c>
      <c r="E598">
        <v>8</v>
      </c>
      <c r="F598">
        <v>12</v>
      </c>
      <c r="G598">
        <v>2</v>
      </c>
      <c r="H598" t="s">
        <v>1111</v>
      </c>
      <c r="I598" t="s">
        <v>1082</v>
      </c>
      <c r="J598" t="s">
        <v>1090</v>
      </c>
      <c r="K598" t="str">
        <f>tblTeamFixtures[[#This Row],[Team_name]]&amp;"_"&amp;tblTeamFixtures[[#This Row],[GW]]</f>
        <v>CRY_30</v>
      </c>
      <c r="L598">
        <f>IFERROR(INDEX(TEAM_ANALYSIS!$Y:$Y,MATCH($E598,TEAM_ANALYSIS!$A:$A,0)),1)</f>
        <v>0.97058823529411764</v>
      </c>
      <c r="M598">
        <f>IFERROR(INDEX(TEAM_ANALYSIS!$Z:$Z,MATCH($E598,TEAM_ANALYSIS!$A:$A,0)),1)</f>
        <v>1.4411764705882353</v>
      </c>
      <c r="N598">
        <f>IFERROR(INDEX(TEAM_ANALYSIS!$Y:$Y,MATCH($F598,TEAM_ANALYSIS!$A:$A,0)),1)</f>
        <v>0.97058823529411764</v>
      </c>
      <c r="O598">
        <f>IFERROR(INDEX(TEAM_ANALYSIS!$Z:$Z,MATCH($F598,TEAM_ANALYSIS!$A:$A,0)),1)</f>
        <v>1.4411764705882353</v>
      </c>
      <c r="P598">
        <f>MAX(0.05,AVERAGE(TEAM_ANALYSIS!$W$2:$W$21)*L598*O598)</f>
        <v>2.9724264705882351</v>
      </c>
      <c r="Q598">
        <f>MAX(0.05,AVERAGE(TEAM_ANALYSIS!$W$2:$W$21)*N598*M598)</f>
        <v>2.9724264705882351</v>
      </c>
      <c r="R598" s="23">
        <f>MAX(0.8,MIN(1.2,P598/AVERAGE(TEAM_ANALYSIS!$W$2:$W$21)))</f>
        <v>1.2</v>
      </c>
      <c r="S598">
        <f>MAX(0.8,MIN(1.2,AVERAGE(TEAM_ANALYSIS!$W$2:$W$21)/Q598))</f>
        <v>0.8</v>
      </c>
      <c r="T598">
        <f>AVERAGE(R598,S598)</f>
        <v>1</v>
      </c>
    </row>
    <row r="599" spans="1:20" x14ac:dyDescent="0.25">
      <c r="A599">
        <v>30</v>
      </c>
      <c r="B599" t="b">
        <v>0</v>
      </c>
      <c r="C599" s="6">
        <v>46466.625</v>
      </c>
      <c r="D599" t="b">
        <v>0</v>
      </c>
      <c r="E599">
        <v>16</v>
      </c>
      <c r="F599">
        <v>15</v>
      </c>
      <c r="G599">
        <v>5</v>
      </c>
      <c r="H599" t="s">
        <v>1111</v>
      </c>
      <c r="I599" t="s">
        <v>1098</v>
      </c>
      <c r="J599" t="s">
        <v>1096</v>
      </c>
      <c r="K599" t="str">
        <f>tblTeamFixtures[[#This Row],[Team_name]]&amp;"_"&amp;tblTeamFixtures[[#This Row],[GW]]</f>
        <v>MUN_30</v>
      </c>
      <c r="L599">
        <f>IFERROR(INDEX(TEAM_ANALYSIS!$Y:$Y,MATCH($E599,TEAM_ANALYSIS!$A:$A,0)),1)</f>
        <v>1.3235294117647058</v>
      </c>
      <c r="M599">
        <f>IFERROR(INDEX(TEAM_ANALYSIS!$Z:$Z,MATCH($E599,TEAM_ANALYSIS!$A:$A,0)),1)</f>
        <v>1.2058823529411764</v>
      </c>
      <c r="N599">
        <f>IFERROR(INDEX(TEAM_ANALYSIS!$Y:$Y,MATCH($F599,TEAM_ANALYSIS!$A:$A,0)),1)</f>
        <v>1.3235294117647058</v>
      </c>
      <c r="O599">
        <f>IFERROR(INDEX(TEAM_ANALYSIS!$Z:$Z,MATCH($F599,TEAM_ANALYSIS!$A:$A,0)),1)</f>
        <v>0.73529411764705888</v>
      </c>
      <c r="P599">
        <f>MAX(0.05,AVERAGE(TEAM_ANALYSIS!$W$2:$W$21)*L599*O599)</f>
        <v>2.0680147058823533</v>
      </c>
      <c r="Q599">
        <f>MAX(0.05,AVERAGE(TEAM_ANALYSIS!$W$2:$W$21)*N599*M599)</f>
        <v>3.3915441176470584</v>
      </c>
      <c r="R599" s="23">
        <f>MAX(0.8,MIN(1.2,P599/AVERAGE(TEAM_ANALYSIS!$W$2:$W$21)))</f>
        <v>0.97318339100346041</v>
      </c>
      <c r="S599">
        <f>MAX(0.8,MIN(1.2,AVERAGE(TEAM_ANALYSIS!$W$2:$W$21)/Q599))</f>
        <v>0.8</v>
      </c>
      <c r="T599">
        <f>AVERAGE(R599,S599)</f>
        <v>0.88659169550173023</v>
      </c>
    </row>
    <row r="600" spans="1:20" x14ac:dyDescent="0.25">
      <c r="A600">
        <v>30</v>
      </c>
      <c r="B600" t="b">
        <v>0</v>
      </c>
      <c r="C600" s="6">
        <v>46466.625</v>
      </c>
      <c r="D600" t="b">
        <v>0</v>
      </c>
      <c r="E600">
        <v>13</v>
      </c>
      <c r="F600">
        <v>17</v>
      </c>
      <c r="G600">
        <v>3</v>
      </c>
      <c r="H600" t="s">
        <v>1111</v>
      </c>
      <c r="I600" t="s">
        <v>1092</v>
      </c>
      <c r="J600" t="s">
        <v>1100</v>
      </c>
      <c r="K600" t="str">
        <f>tblTeamFixtures[[#This Row],[Team_name]]&amp;"_"&amp;tblTeamFixtures[[#This Row],[GW]]</f>
        <v>LEE_30</v>
      </c>
      <c r="L600">
        <f>IFERROR(INDEX(TEAM_ANALYSIS!$Y:$Y,MATCH($E600,TEAM_ANALYSIS!$A:$A,0)),1)</f>
        <v>0.8529411764705882</v>
      </c>
      <c r="M600">
        <f>IFERROR(INDEX(TEAM_ANALYSIS!$Z:$Z,MATCH($E600,TEAM_ANALYSIS!$A:$A,0)),1)</f>
        <v>0.73529411764705888</v>
      </c>
      <c r="N600">
        <f>IFERROR(INDEX(TEAM_ANALYSIS!$Y:$Y,MATCH($F600,TEAM_ANALYSIS!$A:$A,0)),1)</f>
        <v>1.2058823529411764</v>
      </c>
      <c r="O600">
        <f>IFERROR(INDEX(TEAM_ANALYSIS!$Z:$Z,MATCH($F600,TEAM_ANALYSIS!$A:$A,0)),1)</f>
        <v>0.97058823529411764</v>
      </c>
      <c r="P600">
        <f>MAX(0.05,AVERAGE(TEAM_ANALYSIS!$W$2:$W$21)*L600*O600)</f>
        <v>1.7591911764705883</v>
      </c>
      <c r="Q600">
        <f>MAX(0.05,AVERAGE(TEAM_ANALYSIS!$W$2:$W$21)*N600*M600)</f>
        <v>1.8841911764705883</v>
      </c>
      <c r="R600" s="23">
        <f>MAX(0.8,MIN(1.2,P600/AVERAGE(TEAM_ANALYSIS!$W$2:$W$21)))</f>
        <v>0.8278546712802769</v>
      </c>
      <c r="S600">
        <f>MAX(0.8,MIN(1.2,AVERAGE(TEAM_ANALYSIS!$W$2:$W$21)/Q600))</f>
        <v>1.1278048780487804</v>
      </c>
      <c r="T600">
        <f>AVERAGE(R600,S600)</f>
        <v>0.97782977466452858</v>
      </c>
    </row>
    <row r="601" spans="1:20" x14ac:dyDescent="0.25">
      <c r="A601">
        <v>30</v>
      </c>
      <c r="B601" t="b">
        <v>0</v>
      </c>
      <c r="C601" s="6">
        <v>46466.625</v>
      </c>
      <c r="D601" t="b">
        <v>0</v>
      </c>
      <c r="E601">
        <v>2</v>
      </c>
      <c r="F601">
        <v>18</v>
      </c>
      <c r="G601">
        <v>3</v>
      </c>
      <c r="H601" t="s">
        <v>1111</v>
      </c>
      <c r="I601" t="s">
        <v>1070</v>
      </c>
      <c r="J601" t="s">
        <v>1102</v>
      </c>
      <c r="K601" t="str">
        <f>tblTeamFixtures[[#This Row],[Team_name]]&amp;"_"&amp;tblTeamFixtures[[#This Row],[GW]]</f>
        <v>AVL_30</v>
      </c>
      <c r="L601">
        <f>IFERROR(INDEX(TEAM_ANALYSIS!$Y:$Y,MATCH($E601,TEAM_ANALYSIS!$A:$A,0)),1)</f>
        <v>0.5</v>
      </c>
      <c r="M601">
        <f>IFERROR(INDEX(TEAM_ANALYSIS!$Z:$Z,MATCH($E601,TEAM_ANALYSIS!$A:$A,0)),1)</f>
        <v>1.088235294117647</v>
      </c>
      <c r="N601">
        <f>IFERROR(INDEX(TEAM_ANALYSIS!$Y:$Y,MATCH($F601,TEAM_ANALYSIS!$A:$A,0)),1)</f>
        <v>0.73529411764705888</v>
      </c>
      <c r="O601">
        <f>IFERROR(INDEX(TEAM_ANALYSIS!$Z:$Z,MATCH($F601,TEAM_ANALYSIS!$A:$A,0)),1)</f>
        <v>0.8529411764705882</v>
      </c>
      <c r="P601">
        <f>MAX(0.05,AVERAGE(TEAM_ANALYSIS!$W$2:$W$21)*L601*O601)</f>
        <v>0.90625</v>
      </c>
      <c r="Q601">
        <f>MAX(0.05,AVERAGE(TEAM_ANALYSIS!$W$2:$W$21)*N601*M601)</f>
        <v>1.7003676470588234</v>
      </c>
      <c r="R601" s="23">
        <f>MAX(0.8,MIN(1.2,P601/AVERAGE(TEAM_ANALYSIS!$W$2:$W$21)))</f>
        <v>0.8</v>
      </c>
      <c r="S601">
        <f>MAX(0.8,MIN(1.2,AVERAGE(TEAM_ANALYSIS!$W$2:$W$21)/Q601))</f>
        <v>1.2</v>
      </c>
      <c r="T601">
        <f>AVERAGE(R601,S601)</f>
        <v>1</v>
      </c>
    </row>
    <row r="602" spans="1:20" x14ac:dyDescent="0.25">
      <c r="A602">
        <v>31</v>
      </c>
      <c r="B602" t="b">
        <v>0</v>
      </c>
      <c r="C602" s="6">
        <v>46487.625</v>
      </c>
      <c r="D602" t="b">
        <v>0</v>
      </c>
      <c r="E602">
        <v>2</v>
      </c>
      <c r="F602">
        <v>5</v>
      </c>
      <c r="G602">
        <v>2</v>
      </c>
      <c r="H602" t="s">
        <v>1110</v>
      </c>
      <c r="I602" t="s">
        <v>1070</v>
      </c>
      <c r="J602" t="s">
        <v>1076</v>
      </c>
      <c r="K602" t="str">
        <f>tblTeamFixtures[[#This Row],[Team_name]]&amp;"_"&amp;tblTeamFixtures[[#This Row],[GW]]</f>
        <v>AVL_31</v>
      </c>
      <c r="L602">
        <f>IFERROR(INDEX(TEAM_ANALYSIS!$Y:$Y,MATCH($E602,TEAM_ANALYSIS!$A:$A,0)),1)</f>
        <v>0.5</v>
      </c>
      <c r="M602">
        <f>IFERROR(INDEX(TEAM_ANALYSIS!$Z:$Z,MATCH($E602,TEAM_ANALYSIS!$A:$A,0)),1)</f>
        <v>1.088235294117647</v>
      </c>
      <c r="N602">
        <f>IFERROR(INDEX(TEAM_ANALYSIS!$Y:$Y,MATCH($F602,TEAM_ANALYSIS!$A:$A,0)),1)</f>
        <v>1.4411764705882353</v>
      </c>
      <c r="O602">
        <f>IFERROR(INDEX(TEAM_ANALYSIS!$Z:$Z,MATCH($F602,TEAM_ANALYSIS!$A:$A,0)),1)</f>
        <v>1.088235294117647</v>
      </c>
      <c r="P602">
        <f>MAX(0.05,AVERAGE(TEAM_ANALYSIS!$W$2:$W$21)*L602*O602)</f>
        <v>1.15625</v>
      </c>
      <c r="Q602">
        <f>MAX(0.05,AVERAGE(TEAM_ANALYSIS!$W$2:$W$21)*N602*M602)</f>
        <v>3.3327205882352939</v>
      </c>
      <c r="R602" s="23">
        <f>MAX(0.8,MIN(1.2,P602/AVERAGE(TEAM_ANALYSIS!$W$2:$W$21)))</f>
        <v>0.8</v>
      </c>
      <c r="S602">
        <f>MAX(0.8,MIN(1.2,AVERAGE(TEAM_ANALYSIS!$W$2:$W$21)/Q602))</f>
        <v>0.8</v>
      </c>
      <c r="T602">
        <f>AVERAGE(R602,S602)</f>
        <v>0.8</v>
      </c>
    </row>
    <row r="603" spans="1:20" x14ac:dyDescent="0.25">
      <c r="A603">
        <v>31</v>
      </c>
      <c r="B603" t="b">
        <v>0</v>
      </c>
      <c r="C603" s="6">
        <v>46487.625</v>
      </c>
      <c r="D603" t="b">
        <v>0</v>
      </c>
      <c r="E603">
        <v>3</v>
      </c>
      <c r="F603">
        <v>15</v>
      </c>
      <c r="G603">
        <v>4</v>
      </c>
      <c r="H603" t="s">
        <v>1110</v>
      </c>
      <c r="I603" t="s">
        <v>1072</v>
      </c>
      <c r="J603" t="s">
        <v>1096</v>
      </c>
      <c r="K603" t="str">
        <f>tblTeamFixtures[[#This Row],[Team_name]]&amp;"_"&amp;tblTeamFixtures[[#This Row],[GW]]</f>
        <v>BOU_31</v>
      </c>
      <c r="L603">
        <f>IFERROR(INDEX(TEAM_ANALYSIS!$Y:$Y,MATCH($E603,TEAM_ANALYSIS!$A:$A,0)),1)</f>
        <v>0.97058823529411764</v>
      </c>
      <c r="M603">
        <f>IFERROR(INDEX(TEAM_ANALYSIS!$Z:$Z,MATCH($E603,TEAM_ANALYSIS!$A:$A,0)),1)</f>
        <v>1.088235294117647</v>
      </c>
      <c r="N603">
        <f>IFERROR(INDEX(TEAM_ANALYSIS!$Y:$Y,MATCH($F603,TEAM_ANALYSIS!$A:$A,0)),1)</f>
        <v>1.3235294117647058</v>
      </c>
      <c r="O603">
        <f>IFERROR(INDEX(TEAM_ANALYSIS!$Z:$Z,MATCH($F603,TEAM_ANALYSIS!$A:$A,0)),1)</f>
        <v>0.73529411764705888</v>
      </c>
      <c r="P603">
        <f>MAX(0.05,AVERAGE(TEAM_ANALYSIS!$W$2:$W$21)*L603*O603)</f>
        <v>1.5165441176470589</v>
      </c>
      <c r="Q603">
        <f>MAX(0.05,AVERAGE(TEAM_ANALYSIS!$W$2:$W$21)*N603*M603)</f>
        <v>3.0606617647058822</v>
      </c>
      <c r="R603" s="23">
        <f>MAX(0.8,MIN(1.2,P603/AVERAGE(TEAM_ANALYSIS!$W$2:$W$21)))</f>
        <v>0.8</v>
      </c>
      <c r="S603">
        <f>MAX(0.8,MIN(1.2,AVERAGE(TEAM_ANALYSIS!$W$2:$W$21)/Q603))</f>
        <v>0.8</v>
      </c>
      <c r="T603">
        <f>AVERAGE(R603,S603)</f>
        <v>0.8</v>
      </c>
    </row>
    <row r="604" spans="1:20" x14ac:dyDescent="0.25">
      <c r="A604">
        <v>31</v>
      </c>
      <c r="B604" t="b">
        <v>0</v>
      </c>
      <c r="C604" s="6">
        <v>46487.625</v>
      </c>
      <c r="D604" t="b">
        <v>0</v>
      </c>
      <c r="E604">
        <v>6</v>
      </c>
      <c r="F604">
        <v>10</v>
      </c>
      <c r="G604">
        <v>2</v>
      </c>
      <c r="H604" t="s">
        <v>1110</v>
      </c>
      <c r="I604" t="s">
        <v>1078</v>
      </c>
      <c r="J604" t="s">
        <v>1086</v>
      </c>
      <c r="K604" t="str">
        <f>tblTeamFixtures[[#This Row],[Team_name]]&amp;"_"&amp;tblTeamFixtures[[#This Row],[GW]]</f>
        <v>CHE_31</v>
      </c>
      <c r="L604">
        <f>IFERROR(INDEX(TEAM_ANALYSIS!$Y:$Y,MATCH($E604,TEAM_ANALYSIS!$A:$A,0)),1)</f>
        <v>1.4411764705882353</v>
      </c>
      <c r="M604">
        <f>IFERROR(INDEX(TEAM_ANALYSIS!$Z:$Z,MATCH($E604,TEAM_ANALYSIS!$A:$A,0)),1)</f>
        <v>1.3235294117647058</v>
      </c>
      <c r="N604">
        <f>IFERROR(INDEX(TEAM_ANALYSIS!$Y:$Y,MATCH($F604,TEAM_ANALYSIS!$A:$A,0)),1)</f>
        <v>0.97058823529411764</v>
      </c>
      <c r="O604">
        <f>IFERROR(INDEX(TEAM_ANALYSIS!$Z:$Z,MATCH($F604,TEAM_ANALYSIS!$A:$A,0)),1)</f>
        <v>1.3235294117647058</v>
      </c>
      <c r="P604">
        <f>MAX(0.05,AVERAGE(TEAM_ANALYSIS!$W$2:$W$21)*L604*O604)</f>
        <v>4.0533088235294112</v>
      </c>
      <c r="Q604">
        <f>MAX(0.05,AVERAGE(TEAM_ANALYSIS!$W$2:$W$21)*N604*M604)</f>
        <v>2.7297794117647056</v>
      </c>
      <c r="R604" s="23">
        <f>MAX(0.8,MIN(1.2,P604/AVERAGE(TEAM_ANALYSIS!$W$2:$W$21)))</f>
        <v>1.2</v>
      </c>
      <c r="S604">
        <f>MAX(0.8,MIN(1.2,AVERAGE(TEAM_ANALYSIS!$W$2:$W$21)/Q604))</f>
        <v>0.8</v>
      </c>
      <c r="T604">
        <f>AVERAGE(R604,S604)</f>
        <v>1</v>
      </c>
    </row>
    <row r="605" spans="1:20" x14ac:dyDescent="0.25">
      <c r="A605">
        <v>31</v>
      </c>
      <c r="B605" t="b">
        <v>0</v>
      </c>
      <c r="C605" s="6">
        <v>46487.625</v>
      </c>
      <c r="D605" t="b">
        <v>0</v>
      </c>
      <c r="E605">
        <v>7</v>
      </c>
      <c r="F605">
        <v>1</v>
      </c>
      <c r="G605">
        <v>4</v>
      </c>
      <c r="H605" t="s">
        <v>1110</v>
      </c>
      <c r="I605" t="s">
        <v>1080</v>
      </c>
      <c r="J605" t="s">
        <v>1068</v>
      </c>
      <c r="K605" t="str">
        <f>tblTeamFixtures[[#This Row],[Team_name]]&amp;"_"&amp;tblTeamFixtures[[#This Row],[GW]]</f>
        <v>COV_31</v>
      </c>
      <c r="L605">
        <f>IFERROR(INDEX(TEAM_ANALYSIS!$Y:$Y,MATCH($E605,TEAM_ANALYSIS!$A:$A,0)),1)</f>
        <v>0.5</v>
      </c>
      <c r="M605">
        <f>IFERROR(INDEX(TEAM_ANALYSIS!$Z:$Z,MATCH($E605,TEAM_ANALYSIS!$A:$A,0)),1)</f>
        <v>1.088235294117647</v>
      </c>
      <c r="N605">
        <f>IFERROR(INDEX(TEAM_ANALYSIS!$Y:$Y,MATCH($F605,TEAM_ANALYSIS!$A:$A,0)),1)</f>
        <v>1.2058823529411764</v>
      </c>
      <c r="O605">
        <f>IFERROR(INDEX(TEAM_ANALYSIS!$Z:$Z,MATCH($F605,TEAM_ANALYSIS!$A:$A,0)),1)</f>
        <v>0.61764705882352944</v>
      </c>
      <c r="P605">
        <f>MAX(0.05,AVERAGE(TEAM_ANALYSIS!$W$2:$W$21)*L605*O605)</f>
        <v>0.65625</v>
      </c>
      <c r="Q605">
        <f>MAX(0.05,AVERAGE(TEAM_ANALYSIS!$W$2:$W$21)*N605*M605)</f>
        <v>2.7886029411764706</v>
      </c>
      <c r="R605" s="23">
        <f>MAX(0.8,MIN(1.2,P605/AVERAGE(TEAM_ANALYSIS!$W$2:$W$21)))</f>
        <v>0.8</v>
      </c>
      <c r="S605">
        <f>MAX(0.8,MIN(1.2,AVERAGE(TEAM_ANALYSIS!$W$2:$W$21)/Q605))</f>
        <v>0.8</v>
      </c>
      <c r="T605">
        <f>AVERAGE(R605,S605)</f>
        <v>0.8</v>
      </c>
    </row>
    <row r="606" spans="1:20" x14ac:dyDescent="0.25">
      <c r="A606">
        <v>31</v>
      </c>
      <c r="B606" t="b">
        <v>0</v>
      </c>
      <c r="C606" s="6">
        <v>46487.625</v>
      </c>
      <c r="D606" t="b">
        <v>0</v>
      </c>
      <c r="E606">
        <v>8</v>
      </c>
      <c r="F606">
        <v>9</v>
      </c>
      <c r="G606">
        <v>3</v>
      </c>
      <c r="H606" t="s">
        <v>1110</v>
      </c>
      <c r="I606" t="s">
        <v>1082</v>
      </c>
      <c r="J606" t="s">
        <v>1084</v>
      </c>
      <c r="K606" t="str">
        <f>tblTeamFixtures[[#This Row],[Team_name]]&amp;"_"&amp;tblTeamFixtures[[#This Row],[GW]]</f>
        <v>CRY_31</v>
      </c>
      <c r="L606">
        <f>IFERROR(INDEX(TEAM_ANALYSIS!$Y:$Y,MATCH($E606,TEAM_ANALYSIS!$A:$A,0)),1)</f>
        <v>0.97058823529411764</v>
      </c>
      <c r="M606">
        <f>IFERROR(INDEX(TEAM_ANALYSIS!$Z:$Z,MATCH($E606,TEAM_ANALYSIS!$A:$A,0)),1)</f>
        <v>1.4411764705882353</v>
      </c>
      <c r="N606">
        <f>IFERROR(INDEX(TEAM_ANALYSIS!$Y:$Y,MATCH($F606,TEAM_ANALYSIS!$A:$A,0)),1)</f>
        <v>1.088235294117647</v>
      </c>
      <c r="O606">
        <f>IFERROR(INDEX(TEAM_ANALYSIS!$Z:$Z,MATCH($F606,TEAM_ANALYSIS!$A:$A,0)),1)</f>
        <v>0.8529411764705882</v>
      </c>
      <c r="P606">
        <f>MAX(0.05,AVERAGE(TEAM_ANALYSIS!$W$2:$W$21)*L606*O606)</f>
        <v>1.7591911764705881</v>
      </c>
      <c r="Q606">
        <f>MAX(0.05,AVERAGE(TEAM_ANALYSIS!$W$2:$W$21)*N606*M606)</f>
        <v>3.3327205882352939</v>
      </c>
      <c r="R606" s="23">
        <f>MAX(0.8,MIN(1.2,P606/AVERAGE(TEAM_ANALYSIS!$W$2:$W$21)))</f>
        <v>0.82785467128027679</v>
      </c>
      <c r="S606">
        <f>MAX(0.8,MIN(1.2,AVERAGE(TEAM_ANALYSIS!$W$2:$W$21)/Q606))</f>
        <v>0.8</v>
      </c>
      <c r="T606">
        <f>AVERAGE(R606,S606)</f>
        <v>0.81392733564013842</v>
      </c>
    </row>
    <row r="607" spans="1:20" x14ac:dyDescent="0.25">
      <c r="A607">
        <v>31</v>
      </c>
      <c r="B607" t="b">
        <v>0</v>
      </c>
      <c r="C607" s="6">
        <v>46487.625</v>
      </c>
      <c r="D607" t="b">
        <v>0</v>
      </c>
      <c r="E607">
        <v>13</v>
      </c>
      <c r="F607">
        <v>18</v>
      </c>
      <c r="G607">
        <v>3</v>
      </c>
      <c r="H607" t="s">
        <v>1110</v>
      </c>
      <c r="I607" t="s">
        <v>1092</v>
      </c>
      <c r="J607" t="s">
        <v>1102</v>
      </c>
      <c r="K607" t="str">
        <f>tblTeamFixtures[[#This Row],[Team_name]]&amp;"_"&amp;tblTeamFixtures[[#This Row],[GW]]</f>
        <v>LEE_31</v>
      </c>
      <c r="L607">
        <f>IFERROR(INDEX(TEAM_ANALYSIS!$Y:$Y,MATCH($E607,TEAM_ANALYSIS!$A:$A,0)),1)</f>
        <v>0.8529411764705882</v>
      </c>
      <c r="M607">
        <f>IFERROR(INDEX(TEAM_ANALYSIS!$Z:$Z,MATCH($E607,TEAM_ANALYSIS!$A:$A,0)),1)</f>
        <v>0.73529411764705888</v>
      </c>
      <c r="N607">
        <f>IFERROR(INDEX(TEAM_ANALYSIS!$Y:$Y,MATCH($F607,TEAM_ANALYSIS!$A:$A,0)),1)</f>
        <v>0.73529411764705888</v>
      </c>
      <c r="O607">
        <f>IFERROR(INDEX(TEAM_ANALYSIS!$Z:$Z,MATCH($F607,TEAM_ANALYSIS!$A:$A,0)),1)</f>
        <v>0.8529411764705882</v>
      </c>
      <c r="P607">
        <f>MAX(0.05,AVERAGE(TEAM_ANALYSIS!$W$2:$W$21)*L607*O607)</f>
        <v>1.5459558823529411</v>
      </c>
      <c r="Q607">
        <f>MAX(0.05,AVERAGE(TEAM_ANALYSIS!$W$2:$W$21)*N607*M607)</f>
        <v>1.1488970588235294</v>
      </c>
      <c r="R607" s="23">
        <f>MAX(0.8,MIN(1.2,P607/AVERAGE(TEAM_ANALYSIS!$W$2:$W$21)))</f>
        <v>0.8</v>
      </c>
      <c r="S607">
        <f>MAX(0.8,MIN(1.2,AVERAGE(TEAM_ANALYSIS!$W$2:$W$21)/Q607))</f>
        <v>1.2</v>
      </c>
      <c r="T607">
        <f>AVERAGE(R607,S607)</f>
        <v>1</v>
      </c>
    </row>
    <row r="608" spans="1:20" x14ac:dyDescent="0.25">
      <c r="A608">
        <v>31</v>
      </c>
      <c r="B608" t="b">
        <v>0</v>
      </c>
      <c r="C608" s="6">
        <v>46487.625</v>
      </c>
      <c r="D608" t="b">
        <v>0</v>
      </c>
      <c r="E608">
        <v>14</v>
      </c>
      <c r="F608">
        <v>17</v>
      </c>
      <c r="G608">
        <v>2</v>
      </c>
      <c r="H608" t="s">
        <v>1110</v>
      </c>
      <c r="I608" t="s">
        <v>1094</v>
      </c>
      <c r="J608" t="s">
        <v>1100</v>
      </c>
      <c r="K608" t="str">
        <f>tblTeamFixtures[[#This Row],[Team_name]]&amp;"_"&amp;tblTeamFixtures[[#This Row],[GW]]</f>
        <v>LIV_31</v>
      </c>
      <c r="L608">
        <f>IFERROR(INDEX(TEAM_ANALYSIS!$Y:$Y,MATCH($E608,TEAM_ANALYSIS!$A:$A,0)),1)</f>
        <v>1.2058823529411764</v>
      </c>
      <c r="M608">
        <f>IFERROR(INDEX(TEAM_ANALYSIS!$Z:$Z,MATCH($E608,TEAM_ANALYSIS!$A:$A,0)),1)</f>
        <v>0.97058823529411764</v>
      </c>
      <c r="N608">
        <f>IFERROR(INDEX(TEAM_ANALYSIS!$Y:$Y,MATCH($F608,TEAM_ANALYSIS!$A:$A,0)),1)</f>
        <v>1.2058823529411764</v>
      </c>
      <c r="O608">
        <f>IFERROR(INDEX(TEAM_ANALYSIS!$Z:$Z,MATCH($F608,TEAM_ANALYSIS!$A:$A,0)),1)</f>
        <v>0.97058823529411764</v>
      </c>
      <c r="P608">
        <f>MAX(0.05,AVERAGE(TEAM_ANALYSIS!$W$2:$W$21)*L608*O608)</f>
        <v>2.4871323529411766</v>
      </c>
      <c r="Q608">
        <f>MAX(0.05,AVERAGE(TEAM_ANALYSIS!$W$2:$W$21)*N608*M608)</f>
        <v>2.4871323529411766</v>
      </c>
      <c r="R608" s="23">
        <f>MAX(0.8,MIN(1.2,P608/AVERAGE(TEAM_ANALYSIS!$W$2:$W$21)))</f>
        <v>1.1704152249134949</v>
      </c>
      <c r="S608">
        <f>MAX(0.8,MIN(1.2,AVERAGE(TEAM_ANALYSIS!$W$2:$W$21)/Q608))</f>
        <v>0.85439763488543974</v>
      </c>
      <c r="T608">
        <f>AVERAGE(R608,S608)</f>
        <v>1.0124064298994673</v>
      </c>
    </row>
    <row r="609" spans="1:20" x14ac:dyDescent="0.25">
      <c r="A609">
        <v>31</v>
      </c>
      <c r="B609" t="b">
        <v>0</v>
      </c>
      <c r="C609" s="6">
        <v>46487.625</v>
      </c>
      <c r="D609" t="b">
        <v>0</v>
      </c>
      <c r="E609">
        <v>16</v>
      </c>
      <c r="F609">
        <v>11</v>
      </c>
      <c r="G609">
        <v>2</v>
      </c>
      <c r="H609" t="s">
        <v>1110</v>
      </c>
      <c r="I609" t="s">
        <v>1098</v>
      </c>
      <c r="J609" t="s">
        <v>1088</v>
      </c>
      <c r="K609" t="str">
        <f>tblTeamFixtures[[#This Row],[Team_name]]&amp;"_"&amp;tblTeamFixtures[[#This Row],[GW]]</f>
        <v>MUN_31</v>
      </c>
      <c r="L609">
        <f>IFERROR(INDEX(TEAM_ANALYSIS!$Y:$Y,MATCH($E609,TEAM_ANALYSIS!$A:$A,0)),1)</f>
        <v>1.3235294117647058</v>
      </c>
      <c r="M609">
        <f>IFERROR(INDEX(TEAM_ANALYSIS!$Z:$Z,MATCH($E609,TEAM_ANALYSIS!$A:$A,0)),1)</f>
        <v>1.2058823529411764</v>
      </c>
      <c r="N609">
        <f>IFERROR(INDEX(TEAM_ANALYSIS!$Y:$Y,MATCH($F609,TEAM_ANALYSIS!$A:$A,0)),1)</f>
        <v>0.8529411764705882</v>
      </c>
      <c r="O609">
        <f>IFERROR(INDEX(TEAM_ANALYSIS!$Z:$Z,MATCH($F609,TEAM_ANALYSIS!$A:$A,0)),1)</f>
        <v>0.5</v>
      </c>
      <c r="P609">
        <f>MAX(0.05,AVERAGE(TEAM_ANALYSIS!$W$2:$W$21)*L609*O609)</f>
        <v>1.40625</v>
      </c>
      <c r="Q609">
        <f>MAX(0.05,AVERAGE(TEAM_ANALYSIS!$W$2:$W$21)*N609*M609)</f>
        <v>2.1856617647058822</v>
      </c>
      <c r="R609" s="23">
        <f>MAX(0.8,MIN(1.2,P609/AVERAGE(TEAM_ANALYSIS!$W$2:$W$21)))</f>
        <v>0.8</v>
      </c>
      <c r="S609">
        <f>MAX(0.8,MIN(1.2,AVERAGE(TEAM_ANALYSIS!$W$2:$W$21)/Q609))</f>
        <v>0.9722455845248108</v>
      </c>
      <c r="T609">
        <f>AVERAGE(R609,S609)</f>
        <v>0.88612279226240542</v>
      </c>
    </row>
    <row r="610" spans="1:20" x14ac:dyDescent="0.25">
      <c r="A610">
        <v>31</v>
      </c>
      <c r="B610" t="b">
        <v>0</v>
      </c>
      <c r="C610" s="6">
        <v>46487.625</v>
      </c>
      <c r="D610" t="b">
        <v>0</v>
      </c>
      <c r="E610">
        <v>19</v>
      </c>
      <c r="F610">
        <v>4</v>
      </c>
      <c r="G610">
        <v>3</v>
      </c>
      <c r="H610" t="s">
        <v>1110</v>
      </c>
      <c r="I610" t="s">
        <v>1104</v>
      </c>
      <c r="J610" t="s">
        <v>1074</v>
      </c>
      <c r="K610" t="str">
        <f>tblTeamFixtures[[#This Row],[Team_name]]&amp;"_"&amp;tblTeamFixtures[[#This Row],[GW]]</f>
        <v>TOT_31</v>
      </c>
      <c r="L610">
        <f>IFERROR(INDEX(TEAM_ANALYSIS!$Y:$Y,MATCH($E610,TEAM_ANALYSIS!$A:$A,0)),1)</f>
        <v>0.5</v>
      </c>
      <c r="M610">
        <f>IFERROR(INDEX(TEAM_ANALYSIS!$Z:$Z,MATCH($E610,TEAM_ANALYSIS!$A:$A,0)),1)</f>
        <v>1.088235294117647</v>
      </c>
      <c r="N610">
        <f>IFERROR(INDEX(TEAM_ANALYSIS!$Y:$Y,MATCH($F610,TEAM_ANALYSIS!$A:$A,0)),1)</f>
        <v>1.088235294117647</v>
      </c>
      <c r="O610">
        <f>IFERROR(INDEX(TEAM_ANALYSIS!$Z:$Z,MATCH($F610,TEAM_ANALYSIS!$A:$A,0)),1)</f>
        <v>0.73529411764705888</v>
      </c>
      <c r="P610">
        <f>MAX(0.05,AVERAGE(TEAM_ANALYSIS!$W$2:$W$21)*L610*O610)</f>
        <v>0.78125</v>
      </c>
      <c r="Q610">
        <f>MAX(0.05,AVERAGE(TEAM_ANALYSIS!$W$2:$W$21)*N610*M610)</f>
        <v>2.5165441176470584</v>
      </c>
      <c r="R610" s="23">
        <f>MAX(0.8,MIN(1.2,P610/AVERAGE(TEAM_ANALYSIS!$W$2:$W$21)))</f>
        <v>0.8</v>
      </c>
      <c r="S610">
        <f>MAX(0.8,MIN(1.2,AVERAGE(TEAM_ANALYSIS!$W$2:$W$21)/Q610))</f>
        <v>0.84441197954711478</v>
      </c>
      <c r="T610">
        <f>AVERAGE(R610,S610)</f>
        <v>0.82220598977355741</v>
      </c>
    </row>
    <row r="611" spans="1:20" x14ac:dyDescent="0.25">
      <c r="A611">
        <v>31</v>
      </c>
      <c r="B611" t="b">
        <v>0</v>
      </c>
      <c r="C611" s="6">
        <v>46487.625</v>
      </c>
      <c r="D611" t="b">
        <v>0</v>
      </c>
      <c r="E611">
        <v>20</v>
      </c>
      <c r="F611">
        <v>12</v>
      </c>
      <c r="G611">
        <v>2</v>
      </c>
      <c r="H611" t="s">
        <v>1110</v>
      </c>
      <c r="I611" t="s">
        <v>1106</v>
      </c>
      <c r="J611" t="s">
        <v>1090</v>
      </c>
      <c r="K611" t="str">
        <f>tblTeamFixtures[[#This Row],[Team_name]]&amp;"_"&amp;tblTeamFixtures[[#This Row],[GW]]</f>
        <v>SUN_31</v>
      </c>
      <c r="L611">
        <f>IFERROR(INDEX(TEAM_ANALYSIS!$Y:$Y,MATCH($E611,TEAM_ANALYSIS!$A:$A,0)),1)</f>
        <v>0.8529411764705882</v>
      </c>
      <c r="M611">
        <f>IFERROR(INDEX(TEAM_ANALYSIS!$Z:$Z,MATCH($E611,TEAM_ANALYSIS!$A:$A,0)),1)</f>
        <v>0.8529411764705882</v>
      </c>
      <c r="N611">
        <f>IFERROR(INDEX(TEAM_ANALYSIS!$Y:$Y,MATCH($F611,TEAM_ANALYSIS!$A:$A,0)),1)</f>
        <v>0.97058823529411764</v>
      </c>
      <c r="O611">
        <f>IFERROR(INDEX(TEAM_ANALYSIS!$Z:$Z,MATCH($F611,TEAM_ANALYSIS!$A:$A,0)),1)</f>
        <v>1.4411764705882353</v>
      </c>
      <c r="P611">
        <f>MAX(0.05,AVERAGE(TEAM_ANALYSIS!$W$2:$W$21)*L611*O611)</f>
        <v>2.6121323529411766</v>
      </c>
      <c r="Q611">
        <f>MAX(0.05,AVERAGE(TEAM_ANALYSIS!$W$2:$W$21)*N611*M611)</f>
        <v>1.7591911764705881</v>
      </c>
      <c r="R611" s="23">
        <f>MAX(0.8,MIN(1.2,P611/AVERAGE(TEAM_ANALYSIS!$W$2:$W$21)))</f>
        <v>1.2</v>
      </c>
      <c r="S611">
        <f>MAX(0.8,MIN(1.2,AVERAGE(TEAM_ANALYSIS!$W$2:$W$21)/Q611))</f>
        <v>1.2</v>
      </c>
      <c r="T611">
        <f>AVERAGE(R611,S611)</f>
        <v>1.2</v>
      </c>
    </row>
    <row r="612" spans="1:20" x14ac:dyDescent="0.25">
      <c r="A612">
        <v>31</v>
      </c>
      <c r="B612" t="b">
        <v>0</v>
      </c>
      <c r="C612" s="6">
        <v>46487.625</v>
      </c>
      <c r="D612" t="b">
        <v>0</v>
      </c>
      <c r="E612">
        <v>5</v>
      </c>
      <c r="F612">
        <v>2</v>
      </c>
      <c r="G612">
        <v>4</v>
      </c>
      <c r="H612" t="s">
        <v>1111</v>
      </c>
      <c r="I612" t="s">
        <v>1076</v>
      </c>
      <c r="J612" t="s">
        <v>1070</v>
      </c>
      <c r="K612" t="str">
        <f>tblTeamFixtures[[#This Row],[Team_name]]&amp;"_"&amp;tblTeamFixtures[[#This Row],[GW]]</f>
        <v>BHA_31</v>
      </c>
      <c r="L612">
        <f>IFERROR(INDEX(TEAM_ANALYSIS!$Y:$Y,MATCH($E612,TEAM_ANALYSIS!$A:$A,0)),1)</f>
        <v>1.4411764705882353</v>
      </c>
      <c r="M612">
        <f>IFERROR(INDEX(TEAM_ANALYSIS!$Z:$Z,MATCH($E612,TEAM_ANALYSIS!$A:$A,0)),1)</f>
        <v>1.088235294117647</v>
      </c>
      <c r="N612">
        <f>IFERROR(INDEX(TEAM_ANALYSIS!$Y:$Y,MATCH($F612,TEAM_ANALYSIS!$A:$A,0)),1)</f>
        <v>0.5</v>
      </c>
      <c r="O612">
        <f>IFERROR(INDEX(TEAM_ANALYSIS!$Z:$Z,MATCH($F612,TEAM_ANALYSIS!$A:$A,0)),1)</f>
        <v>1.088235294117647</v>
      </c>
      <c r="P612">
        <f>MAX(0.05,AVERAGE(TEAM_ANALYSIS!$W$2:$W$21)*L612*O612)</f>
        <v>3.3327205882352939</v>
      </c>
      <c r="Q612">
        <f>MAX(0.05,AVERAGE(TEAM_ANALYSIS!$W$2:$W$21)*N612*M612)</f>
        <v>1.15625</v>
      </c>
      <c r="R612" s="23">
        <f>MAX(0.8,MIN(1.2,P612/AVERAGE(TEAM_ANALYSIS!$W$2:$W$21)))</f>
        <v>1.2</v>
      </c>
      <c r="S612">
        <f>MAX(0.8,MIN(1.2,AVERAGE(TEAM_ANALYSIS!$W$2:$W$21)/Q612))</f>
        <v>1.2</v>
      </c>
      <c r="T612">
        <f>AVERAGE(R612,S612)</f>
        <v>1.2</v>
      </c>
    </row>
    <row r="613" spans="1:20" x14ac:dyDescent="0.25">
      <c r="A613">
        <v>31</v>
      </c>
      <c r="B613" t="b">
        <v>0</v>
      </c>
      <c r="C613" s="6">
        <v>46487.625</v>
      </c>
      <c r="D613" t="b">
        <v>0</v>
      </c>
      <c r="E613">
        <v>15</v>
      </c>
      <c r="F613">
        <v>3</v>
      </c>
      <c r="G613">
        <v>3</v>
      </c>
      <c r="H613" t="s">
        <v>1111</v>
      </c>
      <c r="I613" t="s">
        <v>1096</v>
      </c>
      <c r="J613" t="s">
        <v>1072</v>
      </c>
      <c r="K613" t="str">
        <f>tblTeamFixtures[[#This Row],[Team_name]]&amp;"_"&amp;tblTeamFixtures[[#This Row],[GW]]</f>
        <v>MCI_31</v>
      </c>
      <c r="L613">
        <f>IFERROR(INDEX(TEAM_ANALYSIS!$Y:$Y,MATCH($E613,TEAM_ANALYSIS!$A:$A,0)),1)</f>
        <v>1.3235294117647058</v>
      </c>
      <c r="M613">
        <f>IFERROR(INDEX(TEAM_ANALYSIS!$Z:$Z,MATCH($E613,TEAM_ANALYSIS!$A:$A,0)),1)</f>
        <v>0.73529411764705888</v>
      </c>
      <c r="N613">
        <f>IFERROR(INDEX(TEAM_ANALYSIS!$Y:$Y,MATCH($F613,TEAM_ANALYSIS!$A:$A,0)),1)</f>
        <v>0.97058823529411764</v>
      </c>
      <c r="O613">
        <f>IFERROR(INDEX(TEAM_ANALYSIS!$Z:$Z,MATCH($F613,TEAM_ANALYSIS!$A:$A,0)),1)</f>
        <v>1.088235294117647</v>
      </c>
      <c r="P613">
        <f>MAX(0.05,AVERAGE(TEAM_ANALYSIS!$W$2:$W$21)*L613*O613)</f>
        <v>3.0606617647058822</v>
      </c>
      <c r="Q613">
        <f>MAX(0.05,AVERAGE(TEAM_ANALYSIS!$W$2:$W$21)*N613*M613)</f>
        <v>1.5165441176470589</v>
      </c>
      <c r="R613" s="23">
        <f>MAX(0.8,MIN(1.2,P613/AVERAGE(TEAM_ANALYSIS!$W$2:$W$21)))</f>
        <v>1.2</v>
      </c>
      <c r="S613">
        <f>MAX(0.8,MIN(1.2,AVERAGE(TEAM_ANALYSIS!$W$2:$W$21)/Q613))</f>
        <v>1.2</v>
      </c>
      <c r="T613">
        <f>AVERAGE(R613,S613)</f>
        <v>1.2</v>
      </c>
    </row>
    <row r="614" spans="1:20" x14ac:dyDescent="0.25">
      <c r="A614">
        <v>31</v>
      </c>
      <c r="B614" t="b">
        <v>0</v>
      </c>
      <c r="C614" s="6">
        <v>46487.625</v>
      </c>
      <c r="D614" t="b">
        <v>0</v>
      </c>
      <c r="E614">
        <v>10</v>
      </c>
      <c r="F614">
        <v>6</v>
      </c>
      <c r="G614">
        <v>4</v>
      </c>
      <c r="H614" t="s">
        <v>1111</v>
      </c>
      <c r="I614" t="s">
        <v>1086</v>
      </c>
      <c r="J614" t="s">
        <v>1078</v>
      </c>
      <c r="K614" t="str">
        <f>tblTeamFixtures[[#This Row],[Team_name]]&amp;"_"&amp;tblTeamFixtures[[#This Row],[GW]]</f>
        <v>FUL_31</v>
      </c>
      <c r="L614">
        <f>IFERROR(INDEX(TEAM_ANALYSIS!$Y:$Y,MATCH($E614,TEAM_ANALYSIS!$A:$A,0)),1)</f>
        <v>0.97058823529411764</v>
      </c>
      <c r="M614">
        <f>IFERROR(INDEX(TEAM_ANALYSIS!$Z:$Z,MATCH($E614,TEAM_ANALYSIS!$A:$A,0)),1)</f>
        <v>1.3235294117647058</v>
      </c>
      <c r="N614">
        <f>IFERROR(INDEX(TEAM_ANALYSIS!$Y:$Y,MATCH($F614,TEAM_ANALYSIS!$A:$A,0)),1)</f>
        <v>1.4411764705882353</v>
      </c>
      <c r="O614">
        <f>IFERROR(INDEX(TEAM_ANALYSIS!$Z:$Z,MATCH($F614,TEAM_ANALYSIS!$A:$A,0)),1)</f>
        <v>1.3235294117647058</v>
      </c>
      <c r="P614">
        <f>MAX(0.05,AVERAGE(TEAM_ANALYSIS!$W$2:$W$21)*L614*O614)</f>
        <v>2.7297794117647056</v>
      </c>
      <c r="Q614">
        <f>MAX(0.05,AVERAGE(TEAM_ANALYSIS!$W$2:$W$21)*N614*M614)</f>
        <v>4.0533088235294112</v>
      </c>
      <c r="R614" s="23">
        <f>MAX(0.8,MIN(1.2,P614/AVERAGE(TEAM_ANALYSIS!$W$2:$W$21)))</f>
        <v>1.2</v>
      </c>
      <c r="S614">
        <f>MAX(0.8,MIN(1.2,AVERAGE(TEAM_ANALYSIS!$W$2:$W$21)/Q614))</f>
        <v>0.8</v>
      </c>
      <c r="T614">
        <f>AVERAGE(R614,S614)</f>
        <v>1</v>
      </c>
    </row>
    <row r="615" spans="1:20" x14ac:dyDescent="0.25">
      <c r="A615">
        <v>31</v>
      </c>
      <c r="B615" t="b">
        <v>0</v>
      </c>
      <c r="C615" s="6">
        <v>46487.625</v>
      </c>
      <c r="D615" t="b">
        <v>0</v>
      </c>
      <c r="E615">
        <v>1</v>
      </c>
      <c r="F615">
        <v>7</v>
      </c>
      <c r="G615">
        <v>2</v>
      </c>
      <c r="H615" t="s">
        <v>1111</v>
      </c>
      <c r="I615" t="s">
        <v>1068</v>
      </c>
      <c r="J615" t="s">
        <v>1080</v>
      </c>
      <c r="K615" t="str">
        <f>tblTeamFixtures[[#This Row],[Team_name]]&amp;"_"&amp;tblTeamFixtures[[#This Row],[GW]]</f>
        <v>ARS_31</v>
      </c>
      <c r="L615">
        <f>IFERROR(INDEX(TEAM_ANALYSIS!$Y:$Y,MATCH($E615,TEAM_ANALYSIS!$A:$A,0)),1)</f>
        <v>1.2058823529411764</v>
      </c>
      <c r="M615">
        <f>IFERROR(INDEX(TEAM_ANALYSIS!$Z:$Z,MATCH($E615,TEAM_ANALYSIS!$A:$A,0)),1)</f>
        <v>0.61764705882352944</v>
      </c>
      <c r="N615">
        <f>IFERROR(INDEX(TEAM_ANALYSIS!$Y:$Y,MATCH($F615,TEAM_ANALYSIS!$A:$A,0)),1)</f>
        <v>0.5</v>
      </c>
      <c r="O615">
        <f>IFERROR(INDEX(TEAM_ANALYSIS!$Z:$Z,MATCH($F615,TEAM_ANALYSIS!$A:$A,0)),1)</f>
        <v>1.088235294117647</v>
      </c>
      <c r="P615">
        <f>MAX(0.05,AVERAGE(TEAM_ANALYSIS!$W$2:$W$21)*L615*O615)</f>
        <v>2.7886029411764706</v>
      </c>
      <c r="Q615">
        <f>MAX(0.05,AVERAGE(TEAM_ANALYSIS!$W$2:$W$21)*N615*M615)</f>
        <v>0.65625</v>
      </c>
      <c r="R615" s="23">
        <f>MAX(0.8,MIN(1.2,P615/AVERAGE(TEAM_ANALYSIS!$W$2:$W$21)))</f>
        <v>1.2</v>
      </c>
      <c r="S615">
        <f>MAX(0.8,MIN(1.2,AVERAGE(TEAM_ANALYSIS!$W$2:$W$21)/Q615))</f>
        <v>1.2</v>
      </c>
      <c r="T615">
        <f>AVERAGE(R615,S615)</f>
        <v>1.2</v>
      </c>
    </row>
    <row r="616" spans="1:20" x14ac:dyDescent="0.25">
      <c r="A616">
        <v>31</v>
      </c>
      <c r="B616" t="b">
        <v>0</v>
      </c>
      <c r="C616" s="6">
        <v>46487.625</v>
      </c>
      <c r="D616" t="b">
        <v>0</v>
      </c>
      <c r="E616">
        <v>9</v>
      </c>
      <c r="F616">
        <v>8</v>
      </c>
      <c r="G616">
        <v>3</v>
      </c>
      <c r="H616" t="s">
        <v>1111</v>
      </c>
      <c r="I616" t="s">
        <v>1084</v>
      </c>
      <c r="J616" t="s">
        <v>1082</v>
      </c>
      <c r="K616" t="str">
        <f>tblTeamFixtures[[#This Row],[Team_name]]&amp;"_"&amp;tblTeamFixtures[[#This Row],[GW]]</f>
        <v>EVE_31</v>
      </c>
      <c r="L616">
        <f>IFERROR(INDEX(TEAM_ANALYSIS!$Y:$Y,MATCH($E616,TEAM_ANALYSIS!$A:$A,0)),1)</f>
        <v>1.088235294117647</v>
      </c>
      <c r="M616">
        <f>IFERROR(INDEX(TEAM_ANALYSIS!$Z:$Z,MATCH($E616,TEAM_ANALYSIS!$A:$A,0)),1)</f>
        <v>0.8529411764705882</v>
      </c>
      <c r="N616">
        <f>IFERROR(INDEX(TEAM_ANALYSIS!$Y:$Y,MATCH($F616,TEAM_ANALYSIS!$A:$A,0)),1)</f>
        <v>0.97058823529411764</v>
      </c>
      <c r="O616">
        <f>IFERROR(INDEX(TEAM_ANALYSIS!$Z:$Z,MATCH($F616,TEAM_ANALYSIS!$A:$A,0)),1)</f>
        <v>1.4411764705882353</v>
      </c>
      <c r="P616">
        <f>MAX(0.05,AVERAGE(TEAM_ANALYSIS!$W$2:$W$21)*L616*O616)</f>
        <v>3.3327205882352939</v>
      </c>
      <c r="Q616">
        <f>MAX(0.05,AVERAGE(TEAM_ANALYSIS!$W$2:$W$21)*N616*M616)</f>
        <v>1.7591911764705881</v>
      </c>
      <c r="R616" s="23">
        <f>MAX(0.8,MIN(1.2,P616/AVERAGE(TEAM_ANALYSIS!$W$2:$W$21)))</f>
        <v>1.2</v>
      </c>
      <c r="S616">
        <f>MAX(0.8,MIN(1.2,AVERAGE(TEAM_ANALYSIS!$W$2:$W$21)/Q616))</f>
        <v>1.2</v>
      </c>
      <c r="T616">
        <f>AVERAGE(R616,S616)</f>
        <v>1.2</v>
      </c>
    </row>
    <row r="617" spans="1:20" x14ac:dyDescent="0.25">
      <c r="A617">
        <v>31</v>
      </c>
      <c r="B617" t="b">
        <v>0</v>
      </c>
      <c r="C617" s="6">
        <v>46487.625</v>
      </c>
      <c r="D617" t="b">
        <v>0</v>
      </c>
      <c r="E617">
        <v>18</v>
      </c>
      <c r="F617">
        <v>13</v>
      </c>
      <c r="G617">
        <v>3</v>
      </c>
      <c r="H617" t="s">
        <v>1111</v>
      </c>
      <c r="I617" t="s">
        <v>1102</v>
      </c>
      <c r="J617" t="s">
        <v>1092</v>
      </c>
      <c r="K617" t="str">
        <f>tblTeamFixtures[[#This Row],[Team_name]]&amp;"_"&amp;tblTeamFixtures[[#This Row],[GW]]</f>
        <v>NFO_31</v>
      </c>
      <c r="L617">
        <f>IFERROR(INDEX(TEAM_ANALYSIS!$Y:$Y,MATCH($E617,TEAM_ANALYSIS!$A:$A,0)),1)</f>
        <v>0.73529411764705888</v>
      </c>
      <c r="M617">
        <f>IFERROR(INDEX(TEAM_ANALYSIS!$Z:$Z,MATCH($E617,TEAM_ANALYSIS!$A:$A,0)),1)</f>
        <v>0.8529411764705882</v>
      </c>
      <c r="N617">
        <f>IFERROR(INDEX(TEAM_ANALYSIS!$Y:$Y,MATCH($F617,TEAM_ANALYSIS!$A:$A,0)),1)</f>
        <v>0.8529411764705882</v>
      </c>
      <c r="O617">
        <f>IFERROR(INDEX(TEAM_ANALYSIS!$Z:$Z,MATCH($F617,TEAM_ANALYSIS!$A:$A,0)),1)</f>
        <v>0.73529411764705888</v>
      </c>
      <c r="P617">
        <f>MAX(0.05,AVERAGE(TEAM_ANALYSIS!$W$2:$W$21)*L617*O617)</f>
        <v>1.1488970588235294</v>
      </c>
      <c r="Q617">
        <f>MAX(0.05,AVERAGE(TEAM_ANALYSIS!$W$2:$W$21)*N617*M617)</f>
        <v>1.5459558823529411</v>
      </c>
      <c r="R617" s="23">
        <f>MAX(0.8,MIN(1.2,P617/AVERAGE(TEAM_ANALYSIS!$W$2:$W$21)))</f>
        <v>0.8</v>
      </c>
      <c r="S617">
        <f>MAX(0.8,MIN(1.2,AVERAGE(TEAM_ANALYSIS!$W$2:$W$21)/Q617))</f>
        <v>1.2</v>
      </c>
      <c r="T617">
        <f>AVERAGE(R617,S617)</f>
        <v>1</v>
      </c>
    </row>
    <row r="618" spans="1:20" x14ac:dyDescent="0.25">
      <c r="A618">
        <v>31</v>
      </c>
      <c r="B618" t="b">
        <v>0</v>
      </c>
      <c r="C618" s="6">
        <v>46487.625</v>
      </c>
      <c r="D618" t="b">
        <v>0</v>
      </c>
      <c r="E618">
        <v>17</v>
      </c>
      <c r="F618">
        <v>14</v>
      </c>
      <c r="G618">
        <v>4</v>
      </c>
      <c r="H618" t="s">
        <v>1111</v>
      </c>
      <c r="I618" t="s">
        <v>1100</v>
      </c>
      <c r="J618" t="s">
        <v>1094</v>
      </c>
      <c r="K618" t="str">
        <f>tblTeamFixtures[[#This Row],[Team_name]]&amp;"_"&amp;tblTeamFixtures[[#This Row],[GW]]</f>
        <v>NEW_31</v>
      </c>
      <c r="L618">
        <f>IFERROR(INDEX(TEAM_ANALYSIS!$Y:$Y,MATCH($E618,TEAM_ANALYSIS!$A:$A,0)),1)</f>
        <v>1.2058823529411764</v>
      </c>
      <c r="M618">
        <f>IFERROR(INDEX(TEAM_ANALYSIS!$Z:$Z,MATCH($E618,TEAM_ANALYSIS!$A:$A,0)),1)</f>
        <v>0.97058823529411764</v>
      </c>
      <c r="N618">
        <f>IFERROR(INDEX(TEAM_ANALYSIS!$Y:$Y,MATCH($F618,TEAM_ANALYSIS!$A:$A,0)),1)</f>
        <v>1.2058823529411764</v>
      </c>
      <c r="O618">
        <f>IFERROR(INDEX(TEAM_ANALYSIS!$Z:$Z,MATCH($F618,TEAM_ANALYSIS!$A:$A,0)),1)</f>
        <v>0.97058823529411764</v>
      </c>
      <c r="P618">
        <f>MAX(0.05,AVERAGE(TEAM_ANALYSIS!$W$2:$W$21)*L618*O618)</f>
        <v>2.4871323529411766</v>
      </c>
      <c r="Q618">
        <f>MAX(0.05,AVERAGE(TEAM_ANALYSIS!$W$2:$W$21)*N618*M618)</f>
        <v>2.4871323529411766</v>
      </c>
      <c r="R618" s="23">
        <f>MAX(0.8,MIN(1.2,P618/AVERAGE(TEAM_ANALYSIS!$W$2:$W$21)))</f>
        <v>1.1704152249134949</v>
      </c>
      <c r="S618">
        <f>MAX(0.8,MIN(1.2,AVERAGE(TEAM_ANALYSIS!$W$2:$W$21)/Q618))</f>
        <v>0.85439763488543974</v>
      </c>
      <c r="T618">
        <f>AVERAGE(R618,S618)</f>
        <v>1.0124064298994673</v>
      </c>
    </row>
    <row r="619" spans="1:20" x14ac:dyDescent="0.25">
      <c r="A619">
        <v>31</v>
      </c>
      <c r="B619" t="b">
        <v>0</v>
      </c>
      <c r="C619" s="6">
        <v>46487.625</v>
      </c>
      <c r="D619" t="b">
        <v>0</v>
      </c>
      <c r="E619">
        <v>11</v>
      </c>
      <c r="F619">
        <v>16</v>
      </c>
      <c r="G619">
        <v>4</v>
      </c>
      <c r="H619" t="s">
        <v>1111</v>
      </c>
      <c r="I619" t="s">
        <v>1088</v>
      </c>
      <c r="J619" t="s">
        <v>1098</v>
      </c>
      <c r="K619" t="str">
        <f>tblTeamFixtures[[#This Row],[Team_name]]&amp;"_"&amp;tblTeamFixtures[[#This Row],[GW]]</f>
        <v>HUL_31</v>
      </c>
      <c r="L619">
        <f>IFERROR(INDEX(TEAM_ANALYSIS!$Y:$Y,MATCH($E619,TEAM_ANALYSIS!$A:$A,0)),1)</f>
        <v>0.8529411764705882</v>
      </c>
      <c r="M619">
        <f>IFERROR(INDEX(TEAM_ANALYSIS!$Z:$Z,MATCH($E619,TEAM_ANALYSIS!$A:$A,0)),1)</f>
        <v>0.5</v>
      </c>
      <c r="N619">
        <f>IFERROR(INDEX(TEAM_ANALYSIS!$Y:$Y,MATCH($F619,TEAM_ANALYSIS!$A:$A,0)),1)</f>
        <v>1.3235294117647058</v>
      </c>
      <c r="O619">
        <f>IFERROR(INDEX(TEAM_ANALYSIS!$Z:$Z,MATCH($F619,TEAM_ANALYSIS!$A:$A,0)),1)</f>
        <v>1.2058823529411764</v>
      </c>
      <c r="P619">
        <f>MAX(0.05,AVERAGE(TEAM_ANALYSIS!$W$2:$W$21)*L619*O619)</f>
        <v>2.1856617647058822</v>
      </c>
      <c r="Q619">
        <f>MAX(0.05,AVERAGE(TEAM_ANALYSIS!$W$2:$W$21)*N619*M619)</f>
        <v>1.40625</v>
      </c>
      <c r="R619" s="23">
        <f>MAX(0.8,MIN(1.2,P619/AVERAGE(TEAM_ANALYSIS!$W$2:$W$21)))</f>
        <v>1.0285467128027681</v>
      </c>
      <c r="S619">
        <f>MAX(0.8,MIN(1.2,AVERAGE(TEAM_ANALYSIS!$W$2:$W$21)/Q619))</f>
        <v>1.2</v>
      </c>
      <c r="T619">
        <f>AVERAGE(R619,S619)</f>
        <v>1.114273356401384</v>
      </c>
    </row>
    <row r="620" spans="1:20" x14ac:dyDescent="0.25">
      <c r="A620">
        <v>31</v>
      </c>
      <c r="B620" t="b">
        <v>0</v>
      </c>
      <c r="C620" s="6">
        <v>46487.625</v>
      </c>
      <c r="D620" t="b">
        <v>0</v>
      </c>
      <c r="E620">
        <v>4</v>
      </c>
      <c r="F620">
        <v>19</v>
      </c>
      <c r="G620">
        <v>3</v>
      </c>
      <c r="H620" t="s">
        <v>1111</v>
      </c>
      <c r="I620" t="s">
        <v>1074</v>
      </c>
      <c r="J620" t="s">
        <v>1104</v>
      </c>
      <c r="K620" t="str">
        <f>tblTeamFixtures[[#This Row],[Team_name]]&amp;"_"&amp;tblTeamFixtures[[#This Row],[GW]]</f>
        <v>BRE_31</v>
      </c>
      <c r="L620">
        <f>IFERROR(INDEX(TEAM_ANALYSIS!$Y:$Y,MATCH($E620,TEAM_ANALYSIS!$A:$A,0)),1)</f>
        <v>1.088235294117647</v>
      </c>
      <c r="M620">
        <f>IFERROR(INDEX(TEAM_ANALYSIS!$Z:$Z,MATCH($E620,TEAM_ANALYSIS!$A:$A,0)),1)</f>
        <v>0.73529411764705888</v>
      </c>
      <c r="N620">
        <f>IFERROR(INDEX(TEAM_ANALYSIS!$Y:$Y,MATCH($F620,TEAM_ANALYSIS!$A:$A,0)),1)</f>
        <v>0.5</v>
      </c>
      <c r="O620">
        <f>IFERROR(INDEX(TEAM_ANALYSIS!$Z:$Z,MATCH($F620,TEAM_ANALYSIS!$A:$A,0)),1)</f>
        <v>1.088235294117647</v>
      </c>
      <c r="P620">
        <f>MAX(0.05,AVERAGE(TEAM_ANALYSIS!$W$2:$W$21)*L620*O620)</f>
        <v>2.5165441176470584</v>
      </c>
      <c r="Q620">
        <f>MAX(0.05,AVERAGE(TEAM_ANALYSIS!$W$2:$W$21)*N620*M620)</f>
        <v>0.78125</v>
      </c>
      <c r="R620" s="23">
        <f>MAX(0.8,MIN(1.2,P620/AVERAGE(TEAM_ANALYSIS!$W$2:$W$21)))</f>
        <v>1.1842560553633217</v>
      </c>
      <c r="S620">
        <f>MAX(0.8,MIN(1.2,AVERAGE(TEAM_ANALYSIS!$W$2:$W$21)/Q620))</f>
        <v>1.2</v>
      </c>
      <c r="T620">
        <f>AVERAGE(R620,S620)</f>
        <v>1.1921280276816608</v>
      </c>
    </row>
    <row r="621" spans="1:20" x14ac:dyDescent="0.25">
      <c r="A621">
        <v>31</v>
      </c>
      <c r="B621" t="b">
        <v>0</v>
      </c>
      <c r="C621" s="6">
        <v>46487.625</v>
      </c>
      <c r="D621" t="b">
        <v>0</v>
      </c>
      <c r="E621">
        <v>12</v>
      </c>
      <c r="F621">
        <v>20</v>
      </c>
      <c r="G621">
        <v>3</v>
      </c>
      <c r="H621" t="s">
        <v>1111</v>
      </c>
      <c r="I621" t="s">
        <v>1090</v>
      </c>
      <c r="J621" t="s">
        <v>1106</v>
      </c>
      <c r="K621" t="str">
        <f>tblTeamFixtures[[#This Row],[Team_name]]&amp;"_"&amp;tblTeamFixtures[[#This Row],[GW]]</f>
        <v>IPS_31</v>
      </c>
      <c r="L621">
        <f>IFERROR(INDEX(TEAM_ANALYSIS!$Y:$Y,MATCH($E621,TEAM_ANALYSIS!$A:$A,0)),1)</f>
        <v>0.97058823529411764</v>
      </c>
      <c r="M621">
        <f>IFERROR(INDEX(TEAM_ANALYSIS!$Z:$Z,MATCH($E621,TEAM_ANALYSIS!$A:$A,0)),1)</f>
        <v>1.4411764705882353</v>
      </c>
      <c r="N621">
        <f>IFERROR(INDEX(TEAM_ANALYSIS!$Y:$Y,MATCH($F621,TEAM_ANALYSIS!$A:$A,0)),1)</f>
        <v>0.8529411764705882</v>
      </c>
      <c r="O621">
        <f>IFERROR(INDEX(TEAM_ANALYSIS!$Z:$Z,MATCH($F621,TEAM_ANALYSIS!$A:$A,0)),1)</f>
        <v>0.8529411764705882</v>
      </c>
      <c r="P621">
        <f>MAX(0.05,AVERAGE(TEAM_ANALYSIS!$W$2:$W$21)*L621*O621)</f>
        <v>1.7591911764705881</v>
      </c>
      <c r="Q621">
        <f>MAX(0.05,AVERAGE(TEAM_ANALYSIS!$W$2:$W$21)*N621*M621)</f>
        <v>2.6121323529411766</v>
      </c>
      <c r="R621" s="23">
        <f>MAX(0.8,MIN(1.2,P621/AVERAGE(TEAM_ANALYSIS!$W$2:$W$21)))</f>
        <v>0.82785467128027679</v>
      </c>
      <c r="S621">
        <f>MAX(0.8,MIN(1.2,AVERAGE(TEAM_ANALYSIS!$W$2:$W$21)/Q621))</f>
        <v>0.81351161154116813</v>
      </c>
      <c r="T621">
        <f>AVERAGE(R621,S621)</f>
        <v>0.82068314141072252</v>
      </c>
    </row>
    <row r="622" spans="1:20" x14ac:dyDescent="0.25">
      <c r="A622">
        <v>32</v>
      </c>
      <c r="B622" t="b">
        <v>0</v>
      </c>
      <c r="C622" s="6">
        <v>46494.625</v>
      </c>
      <c r="D622" t="b">
        <v>0</v>
      </c>
      <c r="E622">
        <v>1</v>
      </c>
      <c r="F622">
        <v>2</v>
      </c>
      <c r="G622">
        <v>3</v>
      </c>
      <c r="H622" t="s">
        <v>1110</v>
      </c>
      <c r="I622" t="s">
        <v>1068</v>
      </c>
      <c r="J622" t="s">
        <v>1070</v>
      </c>
      <c r="K622" t="str">
        <f>tblTeamFixtures[[#This Row],[Team_name]]&amp;"_"&amp;tblTeamFixtures[[#This Row],[GW]]</f>
        <v>ARS_32</v>
      </c>
      <c r="L622">
        <f>IFERROR(INDEX(TEAM_ANALYSIS!$Y:$Y,MATCH($E622,TEAM_ANALYSIS!$A:$A,0)),1)</f>
        <v>1.2058823529411764</v>
      </c>
      <c r="M622">
        <f>IFERROR(INDEX(TEAM_ANALYSIS!$Z:$Z,MATCH($E622,TEAM_ANALYSIS!$A:$A,0)),1)</f>
        <v>0.61764705882352944</v>
      </c>
      <c r="N622">
        <f>IFERROR(INDEX(TEAM_ANALYSIS!$Y:$Y,MATCH($F622,TEAM_ANALYSIS!$A:$A,0)),1)</f>
        <v>0.5</v>
      </c>
      <c r="O622">
        <f>IFERROR(INDEX(TEAM_ANALYSIS!$Z:$Z,MATCH($F622,TEAM_ANALYSIS!$A:$A,0)),1)</f>
        <v>1.088235294117647</v>
      </c>
      <c r="P622">
        <f>MAX(0.05,AVERAGE(TEAM_ANALYSIS!$W$2:$W$21)*L622*O622)</f>
        <v>2.7886029411764706</v>
      </c>
      <c r="Q622">
        <f>MAX(0.05,AVERAGE(TEAM_ANALYSIS!$W$2:$W$21)*N622*M622)</f>
        <v>0.65625</v>
      </c>
      <c r="R622" s="23">
        <f>MAX(0.8,MIN(1.2,P622/AVERAGE(TEAM_ANALYSIS!$W$2:$W$21)))</f>
        <v>1.2</v>
      </c>
      <c r="S622">
        <f>MAX(0.8,MIN(1.2,AVERAGE(TEAM_ANALYSIS!$W$2:$W$21)/Q622))</f>
        <v>1.2</v>
      </c>
      <c r="T622">
        <f>AVERAGE(R622,S622)</f>
        <v>1.2</v>
      </c>
    </row>
    <row r="623" spans="1:20" x14ac:dyDescent="0.25">
      <c r="A623">
        <v>32</v>
      </c>
      <c r="B623" t="b">
        <v>0</v>
      </c>
      <c r="C623" s="6">
        <v>46494.625</v>
      </c>
      <c r="D623" t="b">
        <v>0</v>
      </c>
      <c r="E623">
        <v>4</v>
      </c>
      <c r="F623">
        <v>13</v>
      </c>
      <c r="G623">
        <v>2</v>
      </c>
      <c r="H623" t="s">
        <v>1110</v>
      </c>
      <c r="I623" t="s">
        <v>1074</v>
      </c>
      <c r="J623" t="s">
        <v>1092</v>
      </c>
      <c r="K623" t="str">
        <f>tblTeamFixtures[[#This Row],[Team_name]]&amp;"_"&amp;tblTeamFixtures[[#This Row],[GW]]</f>
        <v>BRE_32</v>
      </c>
      <c r="L623">
        <f>IFERROR(INDEX(TEAM_ANALYSIS!$Y:$Y,MATCH($E623,TEAM_ANALYSIS!$A:$A,0)),1)</f>
        <v>1.088235294117647</v>
      </c>
      <c r="M623">
        <f>IFERROR(INDEX(TEAM_ANALYSIS!$Z:$Z,MATCH($E623,TEAM_ANALYSIS!$A:$A,0)),1)</f>
        <v>0.73529411764705888</v>
      </c>
      <c r="N623">
        <f>IFERROR(INDEX(TEAM_ANALYSIS!$Y:$Y,MATCH($F623,TEAM_ANALYSIS!$A:$A,0)),1)</f>
        <v>0.8529411764705882</v>
      </c>
      <c r="O623">
        <f>IFERROR(INDEX(TEAM_ANALYSIS!$Z:$Z,MATCH($F623,TEAM_ANALYSIS!$A:$A,0)),1)</f>
        <v>0.73529411764705888</v>
      </c>
      <c r="P623">
        <f>MAX(0.05,AVERAGE(TEAM_ANALYSIS!$W$2:$W$21)*L623*O623)</f>
        <v>1.7003676470588236</v>
      </c>
      <c r="Q623">
        <f>MAX(0.05,AVERAGE(TEAM_ANALYSIS!$W$2:$W$21)*N623*M623)</f>
        <v>1.3327205882352942</v>
      </c>
      <c r="R623" s="23">
        <f>MAX(0.8,MIN(1.2,P623/AVERAGE(TEAM_ANALYSIS!$W$2:$W$21)))</f>
        <v>0.80017301038062283</v>
      </c>
      <c r="S623">
        <f>MAX(0.8,MIN(1.2,AVERAGE(TEAM_ANALYSIS!$W$2:$W$21)/Q623))</f>
        <v>1.2</v>
      </c>
      <c r="T623">
        <f>AVERAGE(R623,S623)</f>
        <v>1.0000865051903114</v>
      </c>
    </row>
    <row r="624" spans="1:20" x14ac:dyDescent="0.25">
      <c r="A624">
        <v>32</v>
      </c>
      <c r="B624" t="b">
        <v>0</v>
      </c>
      <c r="C624" s="6">
        <v>46494.625</v>
      </c>
      <c r="D624" t="b">
        <v>0</v>
      </c>
      <c r="E624">
        <v>5</v>
      </c>
      <c r="F624">
        <v>6</v>
      </c>
      <c r="G624">
        <v>4</v>
      </c>
      <c r="H624" t="s">
        <v>1110</v>
      </c>
      <c r="I624" t="s">
        <v>1076</v>
      </c>
      <c r="J624" t="s">
        <v>1078</v>
      </c>
      <c r="K624" t="str">
        <f>tblTeamFixtures[[#This Row],[Team_name]]&amp;"_"&amp;tblTeamFixtures[[#This Row],[GW]]</f>
        <v>BHA_32</v>
      </c>
      <c r="L624">
        <f>IFERROR(INDEX(TEAM_ANALYSIS!$Y:$Y,MATCH($E624,TEAM_ANALYSIS!$A:$A,0)),1)</f>
        <v>1.4411764705882353</v>
      </c>
      <c r="M624">
        <f>IFERROR(INDEX(TEAM_ANALYSIS!$Z:$Z,MATCH($E624,TEAM_ANALYSIS!$A:$A,0)),1)</f>
        <v>1.088235294117647</v>
      </c>
      <c r="N624">
        <f>IFERROR(INDEX(TEAM_ANALYSIS!$Y:$Y,MATCH($F624,TEAM_ANALYSIS!$A:$A,0)),1)</f>
        <v>1.4411764705882353</v>
      </c>
      <c r="O624">
        <f>IFERROR(INDEX(TEAM_ANALYSIS!$Z:$Z,MATCH($F624,TEAM_ANALYSIS!$A:$A,0)),1)</f>
        <v>1.3235294117647058</v>
      </c>
      <c r="P624">
        <f>MAX(0.05,AVERAGE(TEAM_ANALYSIS!$W$2:$W$21)*L624*O624)</f>
        <v>4.0533088235294112</v>
      </c>
      <c r="Q624">
        <f>MAX(0.05,AVERAGE(TEAM_ANALYSIS!$W$2:$W$21)*N624*M624)</f>
        <v>3.3327205882352939</v>
      </c>
      <c r="R624" s="23">
        <f>MAX(0.8,MIN(1.2,P624/AVERAGE(TEAM_ANALYSIS!$W$2:$W$21)))</f>
        <v>1.2</v>
      </c>
      <c r="S624">
        <f>MAX(0.8,MIN(1.2,AVERAGE(TEAM_ANALYSIS!$W$2:$W$21)/Q624))</f>
        <v>0.8</v>
      </c>
      <c r="T624">
        <f>AVERAGE(R624,S624)</f>
        <v>1</v>
      </c>
    </row>
    <row r="625" spans="1:20" x14ac:dyDescent="0.25">
      <c r="A625">
        <v>32</v>
      </c>
      <c r="B625" t="b">
        <v>0</v>
      </c>
      <c r="C625" s="6">
        <v>46494.625</v>
      </c>
      <c r="D625" t="b">
        <v>0</v>
      </c>
      <c r="E625">
        <v>9</v>
      </c>
      <c r="F625">
        <v>3</v>
      </c>
      <c r="G625">
        <v>3</v>
      </c>
      <c r="H625" t="s">
        <v>1110</v>
      </c>
      <c r="I625" t="s">
        <v>1084</v>
      </c>
      <c r="J625" t="s">
        <v>1072</v>
      </c>
      <c r="K625" t="str">
        <f>tblTeamFixtures[[#This Row],[Team_name]]&amp;"_"&amp;tblTeamFixtures[[#This Row],[GW]]</f>
        <v>EVE_32</v>
      </c>
      <c r="L625">
        <f>IFERROR(INDEX(TEAM_ANALYSIS!$Y:$Y,MATCH($E625,TEAM_ANALYSIS!$A:$A,0)),1)</f>
        <v>1.088235294117647</v>
      </c>
      <c r="M625">
        <f>IFERROR(INDEX(TEAM_ANALYSIS!$Z:$Z,MATCH($E625,TEAM_ANALYSIS!$A:$A,0)),1)</f>
        <v>0.8529411764705882</v>
      </c>
      <c r="N625">
        <f>IFERROR(INDEX(TEAM_ANALYSIS!$Y:$Y,MATCH($F625,TEAM_ANALYSIS!$A:$A,0)),1)</f>
        <v>0.97058823529411764</v>
      </c>
      <c r="O625">
        <f>IFERROR(INDEX(TEAM_ANALYSIS!$Z:$Z,MATCH($F625,TEAM_ANALYSIS!$A:$A,0)),1)</f>
        <v>1.088235294117647</v>
      </c>
      <c r="P625">
        <f>MAX(0.05,AVERAGE(TEAM_ANALYSIS!$W$2:$W$21)*L625*O625)</f>
        <v>2.5165441176470584</v>
      </c>
      <c r="Q625">
        <f>MAX(0.05,AVERAGE(TEAM_ANALYSIS!$W$2:$W$21)*N625*M625)</f>
        <v>1.7591911764705881</v>
      </c>
      <c r="R625" s="23">
        <f>MAX(0.8,MIN(1.2,P625/AVERAGE(TEAM_ANALYSIS!$W$2:$W$21)))</f>
        <v>1.1842560553633217</v>
      </c>
      <c r="S625">
        <f>MAX(0.8,MIN(1.2,AVERAGE(TEAM_ANALYSIS!$W$2:$W$21)/Q625))</f>
        <v>1.2</v>
      </c>
      <c r="T625">
        <f>AVERAGE(R625,S625)</f>
        <v>1.1921280276816608</v>
      </c>
    </row>
    <row r="626" spans="1:20" x14ac:dyDescent="0.25">
      <c r="A626">
        <v>32</v>
      </c>
      <c r="B626" t="b">
        <v>0</v>
      </c>
      <c r="C626" s="6">
        <v>46494.625</v>
      </c>
      <c r="D626" t="b">
        <v>0</v>
      </c>
      <c r="E626">
        <v>10</v>
      </c>
      <c r="F626">
        <v>20</v>
      </c>
      <c r="G626">
        <v>2</v>
      </c>
      <c r="H626" t="s">
        <v>1110</v>
      </c>
      <c r="I626" t="s">
        <v>1086</v>
      </c>
      <c r="J626" t="s">
        <v>1106</v>
      </c>
      <c r="K626" t="str">
        <f>tblTeamFixtures[[#This Row],[Team_name]]&amp;"_"&amp;tblTeamFixtures[[#This Row],[GW]]</f>
        <v>FUL_32</v>
      </c>
      <c r="L626">
        <f>IFERROR(INDEX(TEAM_ANALYSIS!$Y:$Y,MATCH($E626,TEAM_ANALYSIS!$A:$A,0)),1)</f>
        <v>0.97058823529411764</v>
      </c>
      <c r="M626">
        <f>IFERROR(INDEX(TEAM_ANALYSIS!$Z:$Z,MATCH($E626,TEAM_ANALYSIS!$A:$A,0)),1)</f>
        <v>1.3235294117647058</v>
      </c>
      <c r="N626">
        <f>IFERROR(INDEX(TEAM_ANALYSIS!$Y:$Y,MATCH($F626,TEAM_ANALYSIS!$A:$A,0)),1)</f>
        <v>0.8529411764705882</v>
      </c>
      <c r="O626">
        <f>IFERROR(INDEX(TEAM_ANALYSIS!$Z:$Z,MATCH($F626,TEAM_ANALYSIS!$A:$A,0)),1)</f>
        <v>0.8529411764705882</v>
      </c>
      <c r="P626">
        <f>MAX(0.05,AVERAGE(TEAM_ANALYSIS!$W$2:$W$21)*L626*O626)</f>
        <v>1.7591911764705881</v>
      </c>
      <c r="Q626">
        <f>MAX(0.05,AVERAGE(TEAM_ANALYSIS!$W$2:$W$21)*N626*M626)</f>
        <v>2.3988970588235294</v>
      </c>
      <c r="R626" s="23">
        <f>MAX(0.8,MIN(1.2,P626/AVERAGE(TEAM_ANALYSIS!$W$2:$W$21)))</f>
        <v>0.82785467128027679</v>
      </c>
      <c r="S626">
        <f>MAX(0.8,MIN(1.2,AVERAGE(TEAM_ANALYSIS!$W$2:$W$21)/Q626))</f>
        <v>0.885823754789272</v>
      </c>
      <c r="T626">
        <f>AVERAGE(R626,S626)</f>
        <v>0.85683921303477439</v>
      </c>
    </row>
    <row r="627" spans="1:20" x14ac:dyDescent="0.25">
      <c r="A627">
        <v>32</v>
      </c>
      <c r="B627" t="b">
        <v>0</v>
      </c>
      <c r="C627" s="6">
        <v>46494.625</v>
      </c>
      <c r="D627" t="b">
        <v>0</v>
      </c>
      <c r="E627">
        <v>11</v>
      </c>
      <c r="F627">
        <v>7</v>
      </c>
      <c r="G627">
        <v>2</v>
      </c>
      <c r="H627" t="s">
        <v>1110</v>
      </c>
      <c r="I627" t="s">
        <v>1088</v>
      </c>
      <c r="J627" t="s">
        <v>1080</v>
      </c>
      <c r="K627" t="str">
        <f>tblTeamFixtures[[#This Row],[Team_name]]&amp;"_"&amp;tblTeamFixtures[[#This Row],[GW]]</f>
        <v>HUL_32</v>
      </c>
      <c r="L627">
        <f>IFERROR(INDEX(TEAM_ANALYSIS!$Y:$Y,MATCH($E627,TEAM_ANALYSIS!$A:$A,0)),1)</f>
        <v>0.8529411764705882</v>
      </c>
      <c r="M627">
        <f>IFERROR(INDEX(TEAM_ANALYSIS!$Z:$Z,MATCH($E627,TEAM_ANALYSIS!$A:$A,0)),1)</f>
        <v>0.5</v>
      </c>
      <c r="N627">
        <f>IFERROR(INDEX(TEAM_ANALYSIS!$Y:$Y,MATCH($F627,TEAM_ANALYSIS!$A:$A,0)),1)</f>
        <v>0.5</v>
      </c>
      <c r="O627">
        <f>IFERROR(INDEX(TEAM_ANALYSIS!$Z:$Z,MATCH($F627,TEAM_ANALYSIS!$A:$A,0)),1)</f>
        <v>1.088235294117647</v>
      </c>
      <c r="P627">
        <f>MAX(0.05,AVERAGE(TEAM_ANALYSIS!$W$2:$W$21)*L627*O627)</f>
        <v>1.9724264705882351</v>
      </c>
      <c r="Q627">
        <f>MAX(0.05,AVERAGE(TEAM_ANALYSIS!$W$2:$W$21)*N627*M627)</f>
        <v>0.53125</v>
      </c>
      <c r="R627" s="23">
        <f>MAX(0.8,MIN(1.2,P627/AVERAGE(TEAM_ANALYSIS!$W$2:$W$21)))</f>
        <v>0.92820069204152233</v>
      </c>
      <c r="S627">
        <f>MAX(0.8,MIN(1.2,AVERAGE(TEAM_ANALYSIS!$W$2:$W$21)/Q627))</f>
        <v>1.2</v>
      </c>
      <c r="T627">
        <f>AVERAGE(R627,S627)</f>
        <v>1.0641003460207612</v>
      </c>
    </row>
    <row r="628" spans="1:20" x14ac:dyDescent="0.25">
      <c r="A628">
        <v>32</v>
      </c>
      <c r="B628" t="b">
        <v>0</v>
      </c>
      <c r="C628" s="6">
        <v>46494.625</v>
      </c>
      <c r="D628" t="b">
        <v>0</v>
      </c>
      <c r="E628">
        <v>12</v>
      </c>
      <c r="F628">
        <v>16</v>
      </c>
      <c r="G628">
        <v>4</v>
      </c>
      <c r="H628" t="s">
        <v>1110</v>
      </c>
      <c r="I628" t="s">
        <v>1090</v>
      </c>
      <c r="J628" t="s">
        <v>1098</v>
      </c>
      <c r="K628" t="str">
        <f>tblTeamFixtures[[#This Row],[Team_name]]&amp;"_"&amp;tblTeamFixtures[[#This Row],[GW]]</f>
        <v>IPS_32</v>
      </c>
      <c r="L628">
        <f>IFERROR(INDEX(TEAM_ANALYSIS!$Y:$Y,MATCH($E628,TEAM_ANALYSIS!$A:$A,0)),1)</f>
        <v>0.97058823529411764</v>
      </c>
      <c r="M628">
        <f>IFERROR(INDEX(TEAM_ANALYSIS!$Z:$Z,MATCH($E628,TEAM_ANALYSIS!$A:$A,0)),1)</f>
        <v>1.4411764705882353</v>
      </c>
      <c r="N628">
        <f>IFERROR(INDEX(TEAM_ANALYSIS!$Y:$Y,MATCH($F628,TEAM_ANALYSIS!$A:$A,0)),1)</f>
        <v>1.3235294117647058</v>
      </c>
      <c r="O628">
        <f>IFERROR(INDEX(TEAM_ANALYSIS!$Z:$Z,MATCH($F628,TEAM_ANALYSIS!$A:$A,0)),1)</f>
        <v>1.2058823529411764</v>
      </c>
      <c r="P628">
        <f>MAX(0.05,AVERAGE(TEAM_ANALYSIS!$W$2:$W$21)*L628*O628)</f>
        <v>2.4871323529411762</v>
      </c>
      <c r="Q628">
        <f>MAX(0.05,AVERAGE(TEAM_ANALYSIS!$W$2:$W$21)*N628*M628)</f>
        <v>4.0533088235294121</v>
      </c>
      <c r="R628" s="23">
        <f>MAX(0.8,MIN(1.2,P628/AVERAGE(TEAM_ANALYSIS!$W$2:$W$21)))</f>
        <v>1.1704152249134947</v>
      </c>
      <c r="S628">
        <f>MAX(0.8,MIN(1.2,AVERAGE(TEAM_ANALYSIS!$W$2:$W$21)/Q628))</f>
        <v>0.8</v>
      </c>
      <c r="T628">
        <f>AVERAGE(R628,S628)</f>
        <v>0.98520761245674737</v>
      </c>
    </row>
    <row r="629" spans="1:20" x14ac:dyDescent="0.25">
      <c r="A629">
        <v>32</v>
      </c>
      <c r="B629" t="b">
        <v>0</v>
      </c>
      <c r="C629" s="6">
        <v>46494.625</v>
      </c>
      <c r="D629" t="b">
        <v>0</v>
      </c>
      <c r="E629">
        <v>15</v>
      </c>
      <c r="F629">
        <v>8</v>
      </c>
      <c r="G629">
        <v>3</v>
      </c>
      <c r="H629" t="s">
        <v>1110</v>
      </c>
      <c r="I629" t="s">
        <v>1096</v>
      </c>
      <c r="J629" t="s">
        <v>1082</v>
      </c>
      <c r="K629" t="str">
        <f>tblTeamFixtures[[#This Row],[Team_name]]&amp;"_"&amp;tblTeamFixtures[[#This Row],[GW]]</f>
        <v>MCI_32</v>
      </c>
      <c r="L629">
        <f>IFERROR(INDEX(TEAM_ANALYSIS!$Y:$Y,MATCH($E629,TEAM_ANALYSIS!$A:$A,0)),1)</f>
        <v>1.3235294117647058</v>
      </c>
      <c r="M629">
        <f>IFERROR(INDEX(TEAM_ANALYSIS!$Z:$Z,MATCH($E629,TEAM_ANALYSIS!$A:$A,0)),1)</f>
        <v>0.73529411764705888</v>
      </c>
      <c r="N629">
        <f>IFERROR(INDEX(TEAM_ANALYSIS!$Y:$Y,MATCH($F629,TEAM_ANALYSIS!$A:$A,0)),1)</f>
        <v>0.97058823529411764</v>
      </c>
      <c r="O629">
        <f>IFERROR(INDEX(TEAM_ANALYSIS!$Z:$Z,MATCH($F629,TEAM_ANALYSIS!$A:$A,0)),1)</f>
        <v>1.4411764705882353</v>
      </c>
      <c r="P629">
        <f>MAX(0.05,AVERAGE(TEAM_ANALYSIS!$W$2:$W$21)*L629*O629)</f>
        <v>4.0533088235294121</v>
      </c>
      <c r="Q629">
        <f>MAX(0.05,AVERAGE(TEAM_ANALYSIS!$W$2:$W$21)*N629*M629)</f>
        <v>1.5165441176470589</v>
      </c>
      <c r="R629" s="23">
        <f>MAX(0.8,MIN(1.2,P629/AVERAGE(TEAM_ANALYSIS!$W$2:$W$21)))</f>
        <v>1.2</v>
      </c>
      <c r="S629">
        <f>MAX(0.8,MIN(1.2,AVERAGE(TEAM_ANALYSIS!$W$2:$W$21)/Q629))</f>
        <v>1.2</v>
      </c>
      <c r="T629">
        <f>AVERAGE(R629,S629)</f>
        <v>1.2</v>
      </c>
    </row>
    <row r="630" spans="1:20" x14ac:dyDescent="0.25">
      <c r="A630">
        <v>32</v>
      </c>
      <c r="B630" t="b">
        <v>0</v>
      </c>
      <c r="C630" s="6">
        <v>46494.625</v>
      </c>
      <c r="D630" t="b">
        <v>0</v>
      </c>
      <c r="E630">
        <v>17</v>
      </c>
      <c r="F630">
        <v>19</v>
      </c>
      <c r="G630">
        <v>3</v>
      </c>
      <c r="H630" t="s">
        <v>1110</v>
      </c>
      <c r="I630" t="s">
        <v>1100</v>
      </c>
      <c r="J630" t="s">
        <v>1104</v>
      </c>
      <c r="K630" t="str">
        <f>tblTeamFixtures[[#This Row],[Team_name]]&amp;"_"&amp;tblTeamFixtures[[#This Row],[GW]]</f>
        <v>NEW_32</v>
      </c>
      <c r="L630">
        <f>IFERROR(INDEX(TEAM_ANALYSIS!$Y:$Y,MATCH($E630,TEAM_ANALYSIS!$A:$A,0)),1)</f>
        <v>1.2058823529411764</v>
      </c>
      <c r="M630">
        <f>IFERROR(INDEX(TEAM_ANALYSIS!$Z:$Z,MATCH($E630,TEAM_ANALYSIS!$A:$A,0)),1)</f>
        <v>0.97058823529411764</v>
      </c>
      <c r="N630">
        <f>IFERROR(INDEX(TEAM_ANALYSIS!$Y:$Y,MATCH($F630,TEAM_ANALYSIS!$A:$A,0)),1)</f>
        <v>0.5</v>
      </c>
      <c r="O630">
        <f>IFERROR(INDEX(TEAM_ANALYSIS!$Z:$Z,MATCH($F630,TEAM_ANALYSIS!$A:$A,0)),1)</f>
        <v>1.088235294117647</v>
      </c>
      <c r="P630">
        <f>MAX(0.05,AVERAGE(TEAM_ANALYSIS!$W$2:$W$21)*L630*O630)</f>
        <v>2.7886029411764706</v>
      </c>
      <c r="Q630">
        <f>MAX(0.05,AVERAGE(TEAM_ANALYSIS!$W$2:$W$21)*N630*M630)</f>
        <v>1.03125</v>
      </c>
      <c r="R630" s="23">
        <f>MAX(0.8,MIN(1.2,P630/AVERAGE(TEAM_ANALYSIS!$W$2:$W$21)))</f>
        <v>1.2</v>
      </c>
      <c r="S630">
        <f>MAX(0.8,MIN(1.2,AVERAGE(TEAM_ANALYSIS!$W$2:$W$21)/Q630))</f>
        <v>1.2</v>
      </c>
      <c r="T630">
        <f>AVERAGE(R630,S630)</f>
        <v>1.2</v>
      </c>
    </row>
    <row r="631" spans="1:20" x14ac:dyDescent="0.25">
      <c r="A631">
        <v>32</v>
      </c>
      <c r="B631" t="b">
        <v>0</v>
      </c>
      <c r="C631" s="6">
        <v>46494.625</v>
      </c>
      <c r="D631" t="b">
        <v>0</v>
      </c>
      <c r="E631">
        <v>18</v>
      </c>
      <c r="F631">
        <v>14</v>
      </c>
      <c r="G631">
        <v>4</v>
      </c>
      <c r="H631" t="s">
        <v>1110</v>
      </c>
      <c r="I631" t="s">
        <v>1102</v>
      </c>
      <c r="J631" t="s">
        <v>1094</v>
      </c>
      <c r="K631" t="str">
        <f>tblTeamFixtures[[#This Row],[Team_name]]&amp;"_"&amp;tblTeamFixtures[[#This Row],[GW]]</f>
        <v>NFO_32</v>
      </c>
      <c r="L631">
        <f>IFERROR(INDEX(TEAM_ANALYSIS!$Y:$Y,MATCH($E631,TEAM_ANALYSIS!$A:$A,0)),1)</f>
        <v>0.73529411764705888</v>
      </c>
      <c r="M631">
        <f>IFERROR(INDEX(TEAM_ANALYSIS!$Z:$Z,MATCH($E631,TEAM_ANALYSIS!$A:$A,0)),1)</f>
        <v>0.8529411764705882</v>
      </c>
      <c r="N631">
        <f>IFERROR(INDEX(TEAM_ANALYSIS!$Y:$Y,MATCH($F631,TEAM_ANALYSIS!$A:$A,0)),1)</f>
        <v>1.2058823529411764</v>
      </c>
      <c r="O631">
        <f>IFERROR(INDEX(TEAM_ANALYSIS!$Z:$Z,MATCH($F631,TEAM_ANALYSIS!$A:$A,0)),1)</f>
        <v>0.97058823529411764</v>
      </c>
      <c r="P631">
        <f>MAX(0.05,AVERAGE(TEAM_ANALYSIS!$W$2:$W$21)*L631*O631)</f>
        <v>1.5165441176470589</v>
      </c>
      <c r="Q631">
        <f>MAX(0.05,AVERAGE(TEAM_ANALYSIS!$W$2:$W$21)*N631*M631)</f>
        <v>2.1856617647058822</v>
      </c>
      <c r="R631" s="23">
        <f>MAX(0.8,MIN(1.2,P631/AVERAGE(TEAM_ANALYSIS!$W$2:$W$21)))</f>
        <v>0.8</v>
      </c>
      <c r="S631">
        <f>MAX(0.8,MIN(1.2,AVERAGE(TEAM_ANALYSIS!$W$2:$W$21)/Q631))</f>
        <v>0.9722455845248108</v>
      </c>
      <c r="T631">
        <f>AVERAGE(R631,S631)</f>
        <v>0.88612279226240542</v>
      </c>
    </row>
    <row r="632" spans="1:20" x14ac:dyDescent="0.25">
      <c r="A632">
        <v>32</v>
      </c>
      <c r="B632" t="b">
        <v>0</v>
      </c>
      <c r="C632" s="6">
        <v>46494.625</v>
      </c>
      <c r="D632" t="b">
        <v>0</v>
      </c>
      <c r="E632">
        <v>2</v>
      </c>
      <c r="F632">
        <v>1</v>
      </c>
      <c r="G632">
        <v>5</v>
      </c>
      <c r="H632" t="s">
        <v>1111</v>
      </c>
      <c r="I632" t="s">
        <v>1070</v>
      </c>
      <c r="J632" t="s">
        <v>1068</v>
      </c>
      <c r="K632" t="str">
        <f>tblTeamFixtures[[#This Row],[Team_name]]&amp;"_"&amp;tblTeamFixtures[[#This Row],[GW]]</f>
        <v>AVL_32</v>
      </c>
      <c r="L632">
        <f>IFERROR(INDEX(TEAM_ANALYSIS!$Y:$Y,MATCH($E632,TEAM_ANALYSIS!$A:$A,0)),1)</f>
        <v>0.5</v>
      </c>
      <c r="M632">
        <f>IFERROR(INDEX(TEAM_ANALYSIS!$Z:$Z,MATCH($E632,TEAM_ANALYSIS!$A:$A,0)),1)</f>
        <v>1.088235294117647</v>
      </c>
      <c r="N632">
        <f>IFERROR(INDEX(TEAM_ANALYSIS!$Y:$Y,MATCH($F632,TEAM_ANALYSIS!$A:$A,0)),1)</f>
        <v>1.2058823529411764</v>
      </c>
      <c r="O632">
        <f>IFERROR(INDEX(TEAM_ANALYSIS!$Z:$Z,MATCH($F632,TEAM_ANALYSIS!$A:$A,0)),1)</f>
        <v>0.61764705882352944</v>
      </c>
      <c r="P632">
        <f>MAX(0.05,AVERAGE(TEAM_ANALYSIS!$W$2:$W$21)*L632*O632)</f>
        <v>0.65625</v>
      </c>
      <c r="Q632">
        <f>MAX(0.05,AVERAGE(TEAM_ANALYSIS!$W$2:$W$21)*N632*M632)</f>
        <v>2.7886029411764706</v>
      </c>
      <c r="R632" s="23">
        <f>MAX(0.8,MIN(1.2,P632/AVERAGE(TEAM_ANALYSIS!$W$2:$W$21)))</f>
        <v>0.8</v>
      </c>
      <c r="S632">
        <f>MAX(0.8,MIN(1.2,AVERAGE(TEAM_ANALYSIS!$W$2:$W$21)/Q632))</f>
        <v>0.8</v>
      </c>
      <c r="T632">
        <f>AVERAGE(R632,S632)</f>
        <v>0.8</v>
      </c>
    </row>
    <row r="633" spans="1:20" x14ac:dyDescent="0.25">
      <c r="A633">
        <v>32</v>
      </c>
      <c r="B633" t="b">
        <v>0</v>
      </c>
      <c r="C633" s="6">
        <v>46494.625</v>
      </c>
      <c r="D633" t="b">
        <v>0</v>
      </c>
      <c r="E633">
        <v>13</v>
      </c>
      <c r="F633">
        <v>4</v>
      </c>
      <c r="G633">
        <v>3</v>
      </c>
      <c r="H633" t="s">
        <v>1111</v>
      </c>
      <c r="I633" t="s">
        <v>1092</v>
      </c>
      <c r="J633" t="s">
        <v>1074</v>
      </c>
      <c r="K633" t="str">
        <f>tblTeamFixtures[[#This Row],[Team_name]]&amp;"_"&amp;tblTeamFixtures[[#This Row],[GW]]</f>
        <v>LEE_32</v>
      </c>
      <c r="L633">
        <f>IFERROR(INDEX(TEAM_ANALYSIS!$Y:$Y,MATCH($E633,TEAM_ANALYSIS!$A:$A,0)),1)</f>
        <v>0.8529411764705882</v>
      </c>
      <c r="M633">
        <f>IFERROR(INDEX(TEAM_ANALYSIS!$Z:$Z,MATCH($E633,TEAM_ANALYSIS!$A:$A,0)),1)</f>
        <v>0.73529411764705888</v>
      </c>
      <c r="N633">
        <f>IFERROR(INDEX(TEAM_ANALYSIS!$Y:$Y,MATCH($F633,TEAM_ANALYSIS!$A:$A,0)),1)</f>
        <v>1.088235294117647</v>
      </c>
      <c r="O633">
        <f>IFERROR(INDEX(TEAM_ANALYSIS!$Z:$Z,MATCH($F633,TEAM_ANALYSIS!$A:$A,0)),1)</f>
        <v>0.73529411764705888</v>
      </c>
      <c r="P633">
        <f>MAX(0.05,AVERAGE(TEAM_ANALYSIS!$W$2:$W$21)*L633*O633)</f>
        <v>1.3327205882352942</v>
      </c>
      <c r="Q633">
        <f>MAX(0.05,AVERAGE(TEAM_ANALYSIS!$W$2:$W$21)*N633*M633)</f>
        <v>1.7003676470588236</v>
      </c>
      <c r="R633" s="23">
        <f>MAX(0.8,MIN(1.2,P633/AVERAGE(TEAM_ANALYSIS!$W$2:$W$21)))</f>
        <v>0.8</v>
      </c>
      <c r="S633">
        <f>MAX(0.8,MIN(1.2,AVERAGE(TEAM_ANALYSIS!$W$2:$W$21)/Q633))</f>
        <v>1.2</v>
      </c>
      <c r="T633">
        <f>AVERAGE(R633,S633)</f>
        <v>1</v>
      </c>
    </row>
    <row r="634" spans="1:20" x14ac:dyDescent="0.25">
      <c r="A634">
        <v>32</v>
      </c>
      <c r="B634" t="b">
        <v>0</v>
      </c>
      <c r="C634" s="6">
        <v>46494.625</v>
      </c>
      <c r="D634" t="b">
        <v>0</v>
      </c>
      <c r="E634">
        <v>6</v>
      </c>
      <c r="F634">
        <v>5</v>
      </c>
      <c r="G634">
        <v>3</v>
      </c>
      <c r="H634" t="s">
        <v>1111</v>
      </c>
      <c r="I634" t="s">
        <v>1078</v>
      </c>
      <c r="J634" t="s">
        <v>1076</v>
      </c>
      <c r="K634" t="str">
        <f>tblTeamFixtures[[#This Row],[Team_name]]&amp;"_"&amp;tblTeamFixtures[[#This Row],[GW]]</f>
        <v>CHE_32</v>
      </c>
      <c r="L634">
        <f>IFERROR(INDEX(TEAM_ANALYSIS!$Y:$Y,MATCH($E634,TEAM_ANALYSIS!$A:$A,0)),1)</f>
        <v>1.4411764705882353</v>
      </c>
      <c r="M634">
        <f>IFERROR(INDEX(TEAM_ANALYSIS!$Z:$Z,MATCH($E634,TEAM_ANALYSIS!$A:$A,0)),1)</f>
        <v>1.3235294117647058</v>
      </c>
      <c r="N634">
        <f>IFERROR(INDEX(TEAM_ANALYSIS!$Y:$Y,MATCH($F634,TEAM_ANALYSIS!$A:$A,0)),1)</f>
        <v>1.4411764705882353</v>
      </c>
      <c r="O634">
        <f>IFERROR(INDEX(TEAM_ANALYSIS!$Z:$Z,MATCH($F634,TEAM_ANALYSIS!$A:$A,0)),1)</f>
        <v>1.088235294117647</v>
      </c>
      <c r="P634">
        <f>MAX(0.05,AVERAGE(TEAM_ANALYSIS!$W$2:$W$21)*L634*O634)</f>
        <v>3.3327205882352939</v>
      </c>
      <c r="Q634">
        <f>MAX(0.05,AVERAGE(TEAM_ANALYSIS!$W$2:$W$21)*N634*M634)</f>
        <v>4.0533088235294112</v>
      </c>
      <c r="R634" s="23">
        <f>MAX(0.8,MIN(1.2,P634/AVERAGE(TEAM_ANALYSIS!$W$2:$W$21)))</f>
        <v>1.2</v>
      </c>
      <c r="S634">
        <f>MAX(0.8,MIN(1.2,AVERAGE(TEAM_ANALYSIS!$W$2:$W$21)/Q634))</f>
        <v>0.8</v>
      </c>
      <c r="T634">
        <f>AVERAGE(R634,S634)</f>
        <v>1</v>
      </c>
    </row>
    <row r="635" spans="1:20" x14ac:dyDescent="0.25">
      <c r="A635">
        <v>32</v>
      </c>
      <c r="B635" t="b">
        <v>0</v>
      </c>
      <c r="C635" s="6">
        <v>46494.625</v>
      </c>
      <c r="D635" t="b">
        <v>0</v>
      </c>
      <c r="E635">
        <v>3</v>
      </c>
      <c r="F635">
        <v>9</v>
      </c>
      <c r="G635">
        <v>3</v>
      </c>
      <c r="H635" t="s">
        <v>1111</v>
      </c>
      <c r="I635" t="s">
        <v>1072</v>
      </c>
      <c r="J635" t="s">
        <v>1084</v>
      </c>
      <c r="K635" t="str">
        <f>tblTeamFixtures[[#This Row],[Team_name]]&amp;"_"&amp;tblTeamFixtures[[#This Row],[GW]]</f>
        <v>BOU_32</v>
      </c>
      <c r="L635">
        <f>IFERROR(INDEX(TEAM_ANALYSIS!$Y:$Y,MATCH($E635,TEAM_ANALYSIS!$A:$A,0)),1)</f>
        <v>0.97058823529411764</v>
      </c>
      <c r="M635">
        <f>IFERROR(INDEX(TEAM_ANALYSIS!$Z:$Z,MATCH($E635,TEAM_ANALYSIS!$A:$A,0)),1)</f>
        <v>1.088235294117647</v>
      </c>
      <c r="N635">
        <f>IFERROR(INDEX(TEAM_ANALYSIS!$Y:$Y,MATCH($F635,TEAM_ANALYSIS!$A:$A,0)),1)</f>
        <v>1.088235294117647</v>
      </c>
      <c r="O635">
        <f>IFERROR(INDEX(TEAM_ANALYSIS!$Z:$Z,MATCH($F635,TEAM_ANALYSIS!$A:$A,0)),1)</f>
        <v>0.8529411764705882</v>
      </c>
      <c r="P635">
        <f>MAX(0.05,AVERAGE(TEAM_ANALYSIS!$W$2:$W$21)*L635*O635)</f>
        <v>1.7591911764705881</v>
      </c>
      <c r="Q635">
        <f>MAX(0.05,AVERAGE(TEAM_ANALYSIS!$W$2:$W$21)*N635*M635)</f>
        <v>2.5165441176470584</v>
      </c>
      <c r="R635" s="23">
        <f>MAX(0.8,MIN(1.2,P635/AVERAGE(TEAM_ANALYSIS!$W$2:$W$21)))</f>
        <v>0.82785467128027679</v>
      </c>
      <c r="S635">
        <f>MAX(0.8,MIN(1.2,AVERAGE(TEAM_ANALYSIS!$W$2:$W$21)/Q635))</f>
        <v>0.84441197954711478</v>
      </c>
      <c r="T635">
        <f>AVERAGE(R635,S635)</f>
        <v>0.83613332541369578</v>
      </c>
    </row>
    <row r="636" spans="1:20" x14ac:dyDescent="0.25">
      <c r="A636">
        <v>32</v>
      </c>
      <c r="B636" t="b">
        <v>0</v>
      </c>
      <c r="C636" s="6">
        <v>46494.625</v>
      </c>
      <c r="D636" t="b">
        <v>0</v>
      </c>
      <c r="E636">
        <v>20</v>
      </c>
      <c r="F636">
        <v>10</v>
      </c>
      <c r="G636">
        <v>3</v>
      </c>
      <c r="H636" t="s">
        <v>1111</v>
      </c>
      <c r="I636" t="s">
        <v>1106</v>
      </c>
      <c r="J636" t="s">
        <v>1086</v>
      </c>
      <c r="K636" t="str">
        <f>tblTeamFixtures[[#This Row],[Team_name]]&amp;"_"&amp;tblTeamFixtures[[#This Row],[GW]]</f>
        <v>SUN_32</v>
      </c>
      <c r="L636">
        <f>IFERROR(INDEX(TEAM_ANALYSIS!$Y:$Y,MATCH($E636,TEAM_ANALYSIS!$A:$A,0)),1)</f>
        <v>0.8529411764705882</v>
      </c>
      <c r="M636">
        <f>IFERROR(INDEX(TEAM_ANALYSIS!$Z:$Z,MATCH($E636,TEAM_ANALYSIS!$A:$A,0)),1)</f>
        <v>0.8529411764705882</v>
      </c>
      <c r="N636">
        <f>IFERROR(INDEX(TEAM_ANALYSIS!$Y:$Y,MATCH($F636,TEAM_ANALYSIS!$A:$A,0)),1)</f>
        <v>0.97058823529411764</v>
      </c>
      <c r="O636">
        <f>IFERROR(INDEX(TEAM_ANALYSIS!$Z:$Z,MATCH($F636,TEAM_ANALYSIS!$A:$A,0)),1)</f>
        <v>1.3235294117647058</v>
      </c>
      <c r="P636">
        <f>MAX(0.05,AVERAGE(TEAM_ANALYSIS!$W$2:$W$21)*L636*O636)</f>
        <v>2.3988970588235294</v>
      </c>
      <c r="Q636">
        <f>MAX(0.05,AVERAGE(TEAM_ANALYSIS!$W$2:$W$21)*N636*M636)</f>
        <v>1.7591911764705881</v>
      </c>
      <c r="R636" s="23">
        <f>MAX(0.8,MIN(1.2,P636/AVERAGE(TEAM_ANALYSIS!$W$2:$W$21)))</f>
        <v>1.1288927335640138</v>
      </c>
      <c r="S636">
        <f>MAX(0.8,MIN(1.2,AVERAGE(TEAM_ANALYSIS!$W$2:$W$21)/Q636))</f>
        <v>1.2</v>
      </c>
      <c r="T636">
        <f>AVERAGE(R636,S636)</f>
        <v>1.1644463667820069</v>
      </c>
    </row>
    <row r="637" spans="1:20" x14ac:dyDescent="0.25">
      <c r="A637">
        <v>32</v>
      </c>
      <c r="B637" t="b">
        <v>0</v>
      </c>
      <c r="C637" s="6">
        <v>46494.625</v>
      </c>
      <c r="D637" t="b">
        <v>0</v>
      </c>
      <c r="E637">
        <v>7</v>
      </c>
      <c r="F637">
        <v>11</v>
      </c>
      <c r="G637">
        <v>2</v>
      </c>
      <c r="H637" t="s">
        <v>1111</v>
      </c>
      <c r="I637" t="s">
        <v>1080</v>
      </c>
      <c r="J637" t="s">
        <v>1088</v>
      </c>
      <c r="K637" t="str">
        <f>tblTeamFixtures[[#This Row],[Team_name]]&amp;"_"&amp;tblTeamFixtures[[#This Row],[GW]]</f>
        <v>COV_32</v>
      </c>
      <c r="L637">
        <f>IFERROR(INDEX(TEAM_ANALYSIS!$Y:$Y,MATCH($E637,TEAM_ANALYSIS!$A:$A,0)),1)</f>
        <v>0.5</v>
      </c>
      <c r="M637">
        <f>IFERROR(INDEX(TEAM_ANALYSIS!$Z:$Z,MATCH($E637,TEAM_ANALYSIS!$A:$A,0)),1)</f>
        <v>1.088235294117647</v>
      </c>
      <c r="N637">
        <f>IFERROR(INDEX(TEAM_ANALYSIS!$Y:$Y,MATCH($F637,TEAM_ANALYSIS!$A:$A,0)),1)</f>
        <v>0.8529411764705882</v>
      </c>
      <c r="O637">
        <f>IFERROR(INDEX(TEAM_ANALYSIS!$Z:$Z,MATCH($F637,TEAM_ANALYSIS!$A:$A,0)),1)</f>
        <v>0.5</v>
      </c>
      <c r="P637">
        <f>MAX(0.05,AVERAGE(TEAM_ANALYSIS!$W$2:$W$21)*L637*O637)</f>
        <v>0.53125</v>
      </c>
      <c r="Q637">
        <f>MAX(0.05,AVERAGE(TEAM_ANALYSIS!$W$2:$W$21)*N637*M637)</f>
        <v>1.9724264705882351</v>
      </c>
      <c r="R637" s="23">
        <f>MAX(0.8,MIN(1.2,P637/AVERAGE(TEAM_ANALYSIS!$W$2:$W$21)))</f>
        <v>0.8</v>
      </c>
      <c r="S637">
        <f>MAX(0.8,MIN(1.2,AVERAGE(TEAM_ANALYSIS!$W$2:$W$21)/Q637))</f>
        <v>1.07735321528425</v>
      </c>
      <c r="T637">
        <f>AVERAGE(R637,S637)</f>
        <v>0.93867660764212502</v>
      </c>
    </row>
    <row r="638" spans="1:20" x14ac:dyDescent="0.25">
      <c r="A638">
        <v>32</v>
      </c>
      <c r="B638" t="b">
        <v>0</v>
      </c>
      <c r="C638" s="6">
        <v>46494.625</v>
      </c>
      <c r="D638" t="b">
        <v>0</v>
      </c>
      <c r="E638">
        <v>16</v>
      </c>
      <c r="F638">
        <v>12</v>
      </c>
      <c r="G638">
        <v>2</v>
      </c>
      <c r="H638" t="s">
        <v>1111</v>
      </c>
      <c r="I638" t="s">
        <v>1098</v>
      </c>
      <c r="J638" t="s">
        <v>1090</v>
      </c>
      <c r="K638" t="str">
        <f>tblTeamFixtures[[#This Row],[Team_name]]&amp;"_"&amp;tblTeamFixtures[[#This Row],[GW]]</f>
        <v>MUN_32</v>
      </c>
      <c r="L638">
        <f>IFERROR(INDEX(TEAM_ANALYSIS!$Y:$Y,MATCH($E638,TEAM_ANALYSIS!$A:$A,0)),1)</f>
        <v>1.3235294117647058</v>
      </c>
      <c r="M638">
        <f>IFERROR(INDEX(TEAM_ANALYSIS!$Z:$Z,MATCH($E638,TEAM_ANALYSIS!$A:$A,0)),1)</f>
        <v>1.2058823529411764</v>
      </c>
      <c r="N638">
        <f>IFERROR(INDEX(TEAM_ANALYSIS!$Y:$Y,MATCH($F638,TEAM_ANALYSIS!$A:$A,0)),1)</f>
        <v>0.97058823529411764</v>
      </c>
      <c r="O638">
        <f>IFERROR(INDEX(TEAM_ANALYSIS!$Z:$Z,MATCH($F638,TEAM_ANALYSIS!$A:$A,0)),1)</f>
        <v>1.4411764705882353</v>
      </c>
      <c r="P638">
        <f>MAX(0.05,AVERAGE(TEAM_ANALYSIS!$W$2:$W$21)*L638*O638)</f>
        <v>4.0533088235294121</v>
      </c>
      <c r="Q638">
        <f>MAX(0.05,AVERAGE(TEAM_ANALYSIS!$W$2:$W$21)*N638*M638)</f>
        <v>2.4871323529411762</v>
      </c>
      <c r="R638" s="23">
        <f>MAX(0.8,MIN(1.2,P638/AVERAGE(TEAM_ANALYSIS!$W$2:$W$21)))</f>
        <v>1.2</v>
      </c>
      <c r="S638">
        <f>MAX(0.8,MIN(1.2,AVERAGE(TEAM_ANALYSIS!$W$2:$W$21)/Q638))</f>
        <v>0.85439763488543985</v>
      </c>
      <c r="T638">
        <f>AVERAGE(R638,S638)</f>
        <v>1.02719881744272</v>
      </c>
    </row>
    <row r="639" spans="1:20" x14ac:dyDescent="0.25">
      <c r="A639">
        <v>32</v>
      </c>
      <c r="B639" t="b">
        <v>0</v>
      </c>
      <c r="C639" s="6">
        <v>46494.625</v>
      </c>
      <c r="D639" t="b">
        <v>0</v>
      </c>
      <c r="E639">
        <v>8</v>
      </c>
      <c r="F639">
        <v>15</v>
      </c>
      <c r="G639">
        <v>5</v>
      </c>
      <c r="H639" t="s">
        <v>1111</v>
      </c>
      <c r="I639" t="s">
        <v>1082</v>
      </c>
      <c r="J639" t="s">
        <v>1096</v>
      </c>
      <c r="K639" t="str">
        <f>tblTeamFixtures[[#This Row],[Team_name]]&amp;"_"&amp;tblTeamFixtures[[#This Row],[GW]]</f>
        <v>CRY_32</v>
      </c>
      <c r="L639">
        <f>IFERROR(INDEX(TEAM_ANALYSIS!$Y:$Y,MATCH($E639,TEAM_ANALYSIS!$A:$A,0)),1)</f>
        <v>0.97058823529411764</v>
      </c>
      <c r="M639">
        <f>IFERROR(INDEX(TEAM_ANALYSIS!$Z:$Z,MATCH($E639,TEAM_ANALYSIS!$A:$A,0)),1)</f>
        <v>1.4411764705882353</v>
      </c>
      <c r="N639">
        <f>IFERROR(INDEX(TEAM_ANALYSIS!$Y:$Y,MATCH($F639,TEAM_ANALYSIS!$A:$A,0)),1)</f>
        <v>1.3235294117647058</v>
      </c>
      <c r="O639">
        <f>IFERROR(INDEX(TEAM_ANALYSIS!$Z:$Z,MATCH($F639,TEAM_ANALYSIS!$A:$A,0)),1)</f>
        <v>0.73529411764705888</v>
      </c>
      <c r="P639">
        <f>MAX(0.05,AVERAGE(TEAM_ANALYSIS!$W$2:$W$21)*L639*O639)</f>
        <v>1.5165441176470589</v>
      </c>
      <c r="Q639">
        <f>MAX(0.05,AVERAGE(TEAM_ANALYSIS!$W$2:$W$21)*N639*M639)</f>
        <v>4.0533088235294121</v>
      </c>
      <c r="R639" s="23">
        <f>MAX(0.8,MIN(1.2,P639/AVERAGE(TEAM_ANALYSIS!$W$2:$W$21)))</f>
        <v>0.8</v>
      </c>
      <c r="S639">
        <f>MAX(0.8,MIN(1.2,AVERAGE(TEAM_ANALYSIS!$W$2:$W$21)/Q639))</f>
        <v>0.8</v>
      </c>
      <c r="T639">
        <f>AVERAGE(R639,S639)</f>
        <v>0.8</v>
      </c>
    </row>
    <row r="640" spans="1:20" x14ac:dyDescent="0.25">
      <c r="A640">
        <v>32</v>
      </c>
      <c r="B640" t="b">
        <v>0</v>
      </c>
      <c r="C640" s="6">
        <v>46494.625</v>
      </c>
      <c r="D640" t="b">
        <v>0</v>
      </c>
      <c r="E640">
        <v>19</v>
      </c>
      <c r="F640">
        <v>17</v>
      </c>
      <c r="G640">
        <v>3</v>
      </c>
      <c r="H640" t="s">
        <v>1111</v>
      </c>
      <c r="I640" t="s">
        <v>1104</v>
      </c>
      <c r="J640" t="s">
        <v>1100</v>
      </c>
      <c r="K640" t="str">
        <f>tblTeamFixtures[[#This Row],[Team_name]]&amp;"_"&amp;tblTeamFixtures[[#This Row],[GW]]</f>
        <v>TOT_32</v>
      </c>
      <c r="L640">
        <f>IFERROR(INDEX(TEAM_ANALYSIS!$Y:$Y,MATCH($E640,TEAM_ANALYSIS!$A:$A,0)),1)</f>
        <v>0.5</v>
      </c>
      <c r="M640">
        <f>IFERROR(INDEX(TEAM_ANALYSIS!$Z:$Z,MATCH($E640,TEAM_ANALYSIS!$A:$A,0)),1)</f>
        <v>1.088235294117647</v>
      </c>
      <c r="N640">
        <f>IFERROR(INDEX(TEAM_ANALYSIS!$Y:$Y,MATCH($F640,TEAM_ANALYSIS!$A:$A,0)),1)</f>
        <v>1.2058823529411764</v>
      </c>
      <c r="O640">
        <f>IFERROR(INDEX(TEAM_ANALYSIS!$Z:$Z,MATCH($F640,TEAM_ANALYSIS!$A:$A,0)),1)</f>
        <v>0.97058823529411764</v>
      </c>
      <c r="P640">
        <f>MAX(0.05,AVERAGE(TEAM_ANALYSIS!$W$2:$W$21)*L640*O640)</f>
        <v>1.03125</v>
      </c>
      <c r="Q640">
        <f>MAX(0.05,AVERAGE(TEAM_ANALYSIS!$W$2:$W$21)*N640*M640)</f>
        <v>2.7886029411764706</v>
      </c>
      <c r="R640" s="23">
        <f>MAX(0.8,MIN(1.2,P640/AVERAGE(TEAM_ANALYSIS!$W$2:$W$21)))</f>
        <v>0.8</v>
      </c>
      <c r="S640">
        <f>MAX(0.8,MIN(1.2,AVERAGE(TEAM_ANALYSIS!$W$2:$W$21)/Q640))</f>
        <v>0.8</v>
      </c>
      <c r="T640">
        <f>AVERAGE(R640,S640)</f>
        <v>0.8</v>
      </c>
    </row>
    <row r="641" spans="1:20" x14ac:dyDescent="0.25">
      <c r="A641">
        <v>32</v>
      </c>
      <c r="B641" t="b">
        <v>0</v>
      </c>
      <c r="C641" s="6">
        <v>46494.625</v>
      </c>
      <c r="D641" t="b">
        <v>0</v>
      </c>
      <c r="E641">
        <v>14</v>
      </c>
      <c r="F641">
        <v>18</v>
      </c>
      <c r="G641">
        <v>3</v>
      </c>
      <c r="H641" t="s">
        <v>1111</v>
      </c>
      <c r="I641" t="s">
        <v>1094</v>
      </c>
      <c r="J641" t="s">
        <v>1102</v>
      </c>
      <c r="K641" t="str">
        <f>tblTeamFixtures[[#This Row],[Team_name]]&amp;"_"&amp;tblTeamFixtures[[#This Row],[GW]]</f>
        <v>LIV_32</v>
      </c>
      <c r="L641">
        <f>IFERROR(INDEX(TEAM_ANALYSIS!$Y:$Y,MATCH($E641,TEAM_ANALYSIS!$A:$A,0)),1)</f>
        <v>1.2058823529411764</v>
      </c>
      <c r="M641">
        <f>IFERROR(INDEX(TEAM_ANALYSIS!$Z:$Z,MATCH($E641,TEAM_ANALYSIS!$A:$A,0)),1)</f>
        <v>0.97058823529411764</v>
      </c>
      <c r="N641">
        <f>IFERROR(INDEX(TEAM_ANALYSIS!$Y:$Y,MATCH($F641,TEAM_ANALYSIS!$A:$A,0)),1)</f>
        <v>0.73529411764705888</v>
      </c>
      <c r="O641">
        <f>IFERROR(INDEX(TEAM_ANALYSIS!$Z:$Z,MATCH($F641,TEAM_ANALYSIS!$A:$A,0)),1)</f>
        <v>0.8529411764705882</v>
      </c>
      <c r="P641">
        <f>MAX(0.05,AVERAGE(TEAM_ANALYSIS!$W$2:$W$21)*L641*O641)</f>
        <v>2.1856617647058822</v>
      </c>
      <c r="Q641">
        <f>MAX(0.05,AVERAGE(TEAM_ANALYSIS!$W$2:$W$21)*N641*M641)</f>
        <v>1.5165441176470589</v>
      </c>
      <c r="R641" s="23">
        <f>MAX(0.8,MIN(1.2,P641/AVERAGE(TEAM_ANALYSIS!$W$2:$W$21)))</f>
        <v>1.0285467128027681</v>
      </c>
      <c r="S641">
        <f>MAX(0.8,MIN(1.2,AVERAGE(TEAM_ANALYSIS!$W$2:$W$21)/Q641))</f>
        <v>1.2</v>
      </c>
      <c r="T641">
        <f>AVERAGE(R641,S641)</f>
        <v>1.114273356401384</v>
      </c>
    </row>
    <row r="642" spans="1:20" x14ac:dyDescent="0.25">
      <c r="A642">
        <v>33</v>
      </c>
      <c r="B642" t="b">
        <v>0</v>
      </c>
      <c r="C642" s="6">
        <v>46501.625</v>
      </c>
      <c r="D642" t="b">
        <v>0</v>
      </c>
      <c r="E642">
        <v>2</v>
      </c>
      <c r="F642">
        <v>7</v>
      </c>
      <c r="G642">
        <v>2</v>
      </c>
      <c r="H642" t="s">
        <v>1110</v>
      </c>
      <c r="I642" t="s">
        <v>1070</v>
      </c>
      <c r="J642" t="s">
        <v>1080</v>
      </c>
      <c r="K642" t="str">
        <f>tblTeamFixtures[[#This Row],[Team_name]]&amp;"_"&amp;tblTeamFixtures[[#This Row],[GW]]</f>
        <v>AVL_33</v>
      </c>
      <c r="L642">
        <f>IFERROR(INDEX(TEAM_ANALYSIS!$Y:$Y,MATCH($E642,TEAM_ANALYSIS!$A:$A,0)),1)</f>
        <v>0.5</v>
      </c>
      <c r="M642">
        <f>IFERROR(INDEX(TEAM_ANALYSIS!$Z:$Z,MATCH($E642,TEAM_ANALYSIS!$A:$A,0)),1)</f>
        <v>1.088235294117647</v>
      </c>
      <c r="N642">
        <f>IFERROR(INDEX(TEAM_ANALYSIS!$Y:$Y,MATCH($F642,TEAM_ANALYSIS!$A:$A,0)),1)</f>
        <v>0.5</v>
      </c>
      <c r="O642">
        <f>IFERROR(INDEX(TEAM_ANALYSIS!$Z:$Z,MATCH($F642,TEAM_ANALYSIS!$A:$A,0)),1)</f>
        <v>1.088235294117647</v>
      </c>
      <c r="P642">
        <f>MAX(0.05,AVERAGE(TEAM_ANALYSIS!$W$2:$W$21)*L642*O642)</f>
        <v>1.15625</v>
      </c>
      <c r="Q642">
        <f>MAX(0.05,AVERAGE(TEAM_ANALYSIS!$W$2:$W$21)*N642*M642)</f>
        <v>1.15625</v>
      </c>
      <c r="R642" s="23">
        <f>MAX(0.8,MIN(1.2,P642/AVERAGE(TEAM_ANALYSIS!$W$2:$W$21)))</f>
        <v>0.8</v>
      </c>
      <c r="S642">
        <f>MAX(0.8,MIN(1.2,AVERAGE(TEAM_ANALYSIS!$W$2:$W$21)/Q642))</f>
        <v>1.2</v>
      </c>
      <c r="T642">
        <f>AVERAGE(R642,S642)</f>
        <v>1</v>
      </c>
    </row>
    <row r="643" spans="1:20" x14ac:dyDescent="0.25">
      <c r="A643">
        <v>33</v>
      </c>
      <c r="B643" t="b">
        <v>0</v>
      </c>
      <c r="C643" s="6">
        <v>46501.625</v>
      </c>
      <c r="D643" t="b">
        <v>0</v>
      </c>
      <c r="E643">
        <v>3</v>
      </c>
      <c r="F643">
        <v>1</v>
      </c>
      <c r="G643">
        <v>4</v>
      </c>
      <c r="H643" t="s">
        <v>1110</v>
      </c>
      <c r="I643" t="s">
        <v>1072</v>
      </c>
      <c r="J643" t="s">
        <v>1068</v>
      </c>
      <c r="K643" t="str">
        <f>tblTeamFixtures[[#This Row],[Team_name]]&amp;"_"&amp;tblTeamFixtures[[#This Row],[GW]]</f>
        <v>BOU_33</v>
      </c>
      <c r="L643">
        <f>IFERROR(INDEX(TEAM_ANALYSIS!$Y:$Y,MATCH($E643,TEAM_ANALYSIS!$A:$A,0)),1)</f>
        <v>0.97058823529411764</v>
      </c>
      <c r="M643">
        <f>IFERROR(INDEX(TEAM_ANALYSIS!$Z:$Z,MATCH($E643,TEAM_ANALYSIS!$A:$A,0)),1)</f>
        <v>1.088235294117647</v>
      </c>
      <c r="N643">
        <f>IFERROR(INDEX(TEAM_ANALYSIS!$Y:$Y,MATCH($F643,TEAM_ANALYSIS!$A:$A,0)),1)</f>
        <v>1.2058823529411764</v>
      </c>
      <c r="O643">
        <f>IFERROR(INDEX(TEAM_ANALYSIS!$Z:$Z,MATCH($F643,TEAM_ANALYSIS!$A:$A,0)),1)</f>
        <v>0.61764705882352944</v>
      </c>
      <c r="P643">
        <f>MAX(0.05,AVERAGE(TEAM_ANALYSIS!$W$2:$W$21)*L643*O643)</f>
        <v>1.2738970588235294</v>
      </c>
      <c r="Q643">
        <f>MAX(0.05,AVERAGE(TEAM_ANALYSIS!$W$2:$W$21)*N643*M643)</f>
        <v>2.7886029411764706</v>
      </c>
      <c r="R643" s="23">
        <f>MAX(0.8,MIN(1.2,P643/AVERAGE(TEAM_ANALYSIS!$W$2:$W$21)))</f>
        <v>0.8</v>
      </c>
      <c r="S643">
        <f>MAX(0.8,MIN(1.2,AVERAGE(TEAM_ANALYSIS!$W$2:$W$21)/Q643))</f>
        <v>0.8</v>
      </c>
      <c r="T643">
        <f>AVERAGE(R643,S643)</f>
        <v>0.8</v>
      </c>
    </row>
    <row r="644" spans="1:20" x14ac:dyDescent="0.25">
      <c r="A644">
        <v>33</v>
      </c>
      <c r="B644" t="b">
        <v>0</v>
      </c>
      <c r="C644" s="6">
        <v>46501.625</v>
      </c>
      <c r="D644" t="b">
        <v>0</v>
      </c>
      <c r="E644">
        <v>4</v>
      </c>
      <c r="F644">
        <v>10</v>
      </c>
      <c r="G644">
        <v>2</v>
      </c>
      <c r="H644" t="s">
        <v>1110</v>
      </c>
      <c r="I644" t="s">
        <v>1074</v>
      </c>
      <c r="J644" t="s">
        <v>1086</v>
      </c>
      <c r="K644" t="str">
        <f>tblTeamFixtures[[#This Row],[Team_name]]&amp;"_"&amp;tblTeamFixtures[[#This Row],[GW]]</f>
        <v>BRE_33</v>
      </c>
      <c r="L644">
        <f>IFERROR(INDEX(TEAM_ANALYSIS!$Y:$Y,MATCH($E644,TEAM_ANALYSIS!$A:$A,0)),1)</f>
        <v>1.088235294117647</v>
      </c>
      <c r="M644">
        <f>IFERROR(INDEX(TEAM_ANALYSIS!$Z:$Z,MATCH($E644,TEAM_ANALYSIS!$A:$A,0)),1)</f>
        <v>0.73529411764705888</v>
      </c>
      <c r="N644">
        <f>IFERROR(INDEX(TEAM_ANALYSIS!$Y:$Y,MATCH($F644,TEAM_ANALYSIS!$A:$A,0)),1)</f>
        <v>0.97058823529411764</v>
      </c>
      <c r="O644">
        <f>IFERROR(INDEX(TEAM_ANALYSIS!$Z:$Z,MATCH($F644,TEAM_ANALYSIS!$A:$A,0)),1)</f>
        <v>1.3235294117647058</v>
      </c>
      <c r="P644">
        <f>MAX(0.05,AVERAGE(TEAM_ANALYSIS!$W$2:$W$21)*L644*O644)</f>
        <v>3.0606617647058822</v>
      </c>
      <c r="Q644">
        <f>MAX(0.05,AVERAGE(TEAM_ANALYSIS!$W$2:$W$21)*N644*M644)</f>
        <v>1.5165441176470589</v>
      </c>
      <c r="R644" s="23">
        <f>MAX(0.8,MIN(1.2,P644/AVERAGE(TEAM_ANALYSIS!$W$2:$W$21)))</f>
        <v>1.2</v>
      </c>
      <c r="S644">
        <f>MAX(0.8,MIN(1.2,AVERAGE(TEAM_ANALYSIS!$W$2:$W$21)/Q644))</f>
        <v>1.2</v>
      </c>
      <c r="T644">
        <f>AVERAGE(R644,S644)</f>
        <v>1.2</v>
      </c>
    </row>
    <row r="645" spans="1:20" x14ac:dyDescent="0.25">
      <c r="A645">
        <v>33</v>
      </c>
      <c r="B645" t="b">
        <v>0</v>
      </c>
      <c r="C645" s="6">
        <v>46501.625</v>
      </c>
      <c r="D645" t="b">
        <v>0</v>
      </c>
      <c r="E645">
        <v>6</v>
      </c>
      <c r="F645">
        <v>15</v>
      </c>
      <c r="G645">
        <v>4</v>
      </c>
      <c r="H645" t="s">
        <v>1110</v>
      </c>
      <c r="I645" t="s">
        <v>1078</v>
      </c>
      <c r="J645" t="s">
        <v>1096</v>
      </c>
      <c r="K645" t="str">
        <f>tblTeamFixtures[[#This Row],[Team_name]]&amp;"_"&amp;tblTeamFixtures[[#This Row],[GW]]</f>
        <v>CHE_33</v>
      </c>
      <c r="L645">
        <f>IFERROR(INDEX(TEAM_ANALYSIS!$Y:$Y,MATCH($E645,TEAM_ANALYSIS!$A:$A,0)),1)</f>
        <v>1.4411764705882353</v>
      </c>
      <c r="M645">
        <f>IFERROR(INDEX(TEAM_ANALYSIS!$Z:$Z,MATCH($E645,TEAM_ANALYSIS!$A:$A,0)),1)</f>
        <v>1.3235294117647058</v>
      </c>
      <c r="N645">
        <f>IFERROR(INDEX(TEAM_ANALYSIS!$Y:$Y,MATCH($F645,TEAM_ANALYSIS!$A:$A,0)),1)</f>
        <v>1.3235294117647058</v>
      </c>
      <c r="O645">
        <f>IFERROR(INDEX(TEAM_ANALYSIS!$Z:$Z,MATCH($F645,TEAM_ANALYSIS!$A:$A,0)),1)</f>
        <v>0.73529411764705888</v>
      </c>
      <c r="P645">
        <f>MAX(0.05,AVERAGE(TEAM_ANALYSIS!$W$2:$W$21)*L645*O645)</f>
        <v>2.2518382352941178</v>
      </c>
      <c r="Q645">
        <f>MAX(0.05,AVERAGE(TEAM_ANALYSIS!$W$2:$W$21)*N645*M645)</f>
        <v>3.7224264705882351</v>
      </c>
      <c r="R645" s="23">
        <f>MAX(0.8,MIN(1.2,P645/AVERAGE(TEAM_ANALYSIS!$W$2:$W$21)))</f>
        <v>1.0596885813148789</v>
      </c>
      <c r="S645">
        <f>MAX(0.8,MIN(1.2,AVERAGE(TEAM_ANALYSIS!$W$2:$W$21)/Q645))</f>
        <v>0.8</v>
      </c>
      <c r="T645">
        <f>AVERAGE(R645,S645)</f>
        <v>0.92984429065743945</v>
      </c>
    </row>
    <row r="646" spans="1:20" x14ac:dyDescent="0.25">
      <c r="A646">
        <v>33</v>
      </c>
      <c r="B646" t="b">
        <v>0</v>
      </c>
      <c r="C646" s="6">
        <v>46501.625</v>
      </c>
      <c r="D646" t="b">
        <v>0</v>
      </c>
      <c r="E646">
        <v>9</v>
      </c>
      <c r="F646">
        <v>5</v>
      </c>
      <c r="G646">
        <v>2</v>
      </c>
      <c r="H646" t="s">
        <v>1110</v>
      </c>
      <c r="I646" t="s">
        <v>1084</v>
      </c>
      <c r="J646" t="s">
        <v>1076</v>
      </c>
      <c r="K646" t="str">
        <f>tblTeamFixtures[[#This Row],[Team_name]]&amp;"_"&amp;tblTeamFixtures[[#This Row],[GW]]</f>
        <v>EVE_33</v>
      </c>
      <c r="L646">
        <f>IFERROR(INDEX(TEAM_ANALYSIS!$Y:$Y,MATCH($E646,TEAM_ANALYSIS!$A:$A,0)),1)</f>
        <v>1.088235294117647</v>
      </c>
      <c r="M646">
        <f>IFERROR(INDEX(TEAM_ANALYSIS!$Z:$Z,MATCH($E646,TEAM_ANALYSIS!$A:$A,0)),1)</f>
        <v>0.8529411764705882</v>
      </c>
      <c r="N646">
        <f>IFERROR(INDEX(TEAM_ANALYSIS!$Y:$Y,MATCH($F646,TEAM_ANALYSIS!$A:$A,0)),1)</f>
        <v>1.4411764705882353</v>
      </c>
      <c r="O646">
        <f>IFERROR(INDEX(TEAM_ANALYSIS!$Z:$Z,MATCH($F646,TEAM_ANALYSIS!$A:$A,0)),1)</f>
        <v>1.088235294117647</v>
      </c>
      <c r="P646">
        <f>MAX(0.05,AVERAGE(TEAM_ANALYSIS!$W$2:$W$21)*L646*O646)</f>
        <v>2.5165441176470584</v>
      </c>
      <c r="Q646">
        <f>MAX(0.05,AVERAGE(TEAM_ANALYSIS!$W$2:$W$21)*N646*M646)</f>
        <v>2.6121323529411762</v>
      </c>
      <c r="R646" s="23">
        <f>MAX(0.8,MIN(1.2,P646/AVERAGE(TEAM_ANALYSIS!$W$2:$W$21)))</f>
        <v>1.1842560553633217</v>
      </c>
      <c r="S646">
        <f>MAX(0.8,MIN(1.2,AVERAGE(TEAM_ANALYSIS!$W$2:$W$21)/Q646))</f>
        <v>0.81351161154116824</v>
      </c>
      <c r="T646">
        <f>AVERAGE(R646,S646)</f>
        <v>0.99888383345224496</v>
      </c>
    </row>
    <row r="647" spans="1:20" x14ac:dyDescent="0.25">
      <c r="A647">
        <v>33</v>
      </c>
      <c r="B647" t="b">
        <v>0</v>
      </c>
      <c r="C647" s="6">
        <v>46501.625</v>
      </c>
      <c r="D647" t="b">
        <v>0</v>
      </c>
      <c r="E647">
        <v>13</v>
      </c>
      <c r="F647">
        <v>14</v>
      </c>
      <c r="G647">
        <v>4</v>
      </c>
      <c r="H647" t="s">
        <v>1110</v>
      </c>
      <c r="I647" t="s">
        <v>1092</v>
      </c>
      <c r="J647" t="s">
        <v>1094</v>
      </c>
      <c r="K647" t="str">
        <f>tblTeamFixtures[[#This Row],[Team_name]]&amp;"_"&amp;tblTeamFixtures[[#This Row],[GW]]</f>
        <v>LEE_33</v>
      </c>
      <c r="L647">
        <f>IFERROR(INDEX(TEAM_ANALYSIS!$Y:$Y,MATCH($E647,TEAM_ANALYSIS!$A:$A,0)),1)</f>
        <v>0.8529411764705882</v>
      </c>
      <c r="M647">
        <f>IFERROR(INDEX(TEAM_ANALYSIS!$Z:$Z,MATCH($E647,TEAM_ANALYSIS!$A:$A,0)),1)</f>
        <v>0.73529411764705888</v>
      </c>
      <c r="N647">
        <f>IFERROR(INDEX(TEAM_ANALYSIS!$Y:$Y,MATCH($F647,TEAM_ANALYSIS!$A:$A,0)),1)</f>
        <v>1.2058823529411764</v>
      </c>
      <c r="O647">
        <f>IFERROR(INDEX(TEAM_ANALYSIS!$Z:$Z,MATCH($F647,TEAM_ANALYSIS!$A:$A,0)),1)</f>
        <v>0.97058823529411764</v>
      </c>
      <c r="P647">
        <f>MAX(0.05,AVERAGE(TEAM_ANALYSIS!$W$2:$W$21)*L647*O647)</f>
        <v>1.7591911764705883</v>
      </c>
      <c r="Q647">
        <f>MAX(0.05,AVERAGE(TEAM_ANALYSIS!$W$2:$W$21)*N647*M647)</f>
        <v>1.8841911764705883</v>
      </c>
      <c r="R647" s="23">
        <f>MAX(0.8,MIN(1.2,P647/AVERAGE(TEAM_ANALYSIS!$W$2:$W$21)))</f>
        <v>0.8278546712802769</v>
      </c>
      <c r="S647">
        <f>MAX(0.8,MIN(1.2,AVERAGE(TEAM_ANALYSIS!$W$2:$W$21)/Q647))</f>
        <v>1.1278048780487804</v>
      </c>
      <c r="T647">
        <f>AVERAGE(R647,S647)</f>
        <v>0.97782977466452858</v>
      </c>
    </row>
    <row r="648" spans="1:20" x14ac:dyDescent="0.25">
      <c r="A648">
        <v>33</v>
      </c>
      <c r="B648" t="b">
        <v>0</v>
      </c>
      <c r="C648" s="6">
        <v>46501.625</v>
      </c>
      <c r="D648" t="b">
        <v>0</v>
      </c>
      <c r="E648">
        <v>16</v>
      </c>
      <c r="F648">
        <v>8</v>
      </c>
      <c r="G648">
        <v>3</v>
      </c>
      <c r="H648" t="s">
        <v>1110</v>
      </c>
      <c r="I648" t="s">
        <v>1098</v>
      </c>
      <c r="J648" t="s">
        <v>1082</v>
      </c>
      <c r="K648" t="str">
        <f>tblTeamFixtures[[#This Row],[Team_name]]&amp;"_"&amp;tblTeamFixtures[[#This Row],[GW]]</f>
        <v>MUN_33</v>
      </c>
      <c r="L648">
        <f>IFERROR(INDEX(TEAM_ANALYSIS!$Y:$Y,MATCH($E648,TEAM_ANALYSIS!$A:$A,0)),1)</f>
        <v>1.3235294117647058</v>
      </c>
      <c r="M648">
        <f>IFERROR(INDEX(TEAM_ANALYSIS!$Z:$Z,MATCH($E648,TEAM_ANALYSIS!$A:$A,0)),1)</f>
        <v>1.2058823529411764</v>
      </c>
      <c r="N648">
        <f>IFERROR(INDEX(TEAM_ANALYSIS!$Y:$Y,MATCH($F648,TEAM_ANALYSIS!$A:$A,0)),1)</f>
        <v>0.97058823529411764</v>
      </c>
      <c r="O648">
        <f>IFERROR(INDEX(TEAM_ANALYSIS!$Z:$Z,MATCH($F648,TEAM_ANALYSIS!$A:$A,0)),1)</f>
        <v>1.4411764705882353</v>
      </c>
      <c r="P648">
        <f>MAX(0.05,AVERAGE(TEAM_ANALYSIS!$W$2:$W$21)*L648*O648)</f>
        <v>4.0533088235294121</v>
      </c>
      <c r="Q648">
        <f>MAX(0.05,AVERAGE(TEAM_ANALYSIS!$W$2:$W$21)*N648*M648)</f>
        <v>2.4871323529411762</v>
      </c>
      <c r="R648" s="23">
        <f>MAX(0.8,MIN(1.2,P648/AVERAGE(TEAM_ANALYSIS!$W$2:$W$21)))</f>
        <v>1.2</v>
      </c>
      <c r="S648">
        <f>MAX(0.8,MIN(1.2,AVERAGE(TEAM_ANALYSIS!$W$2:$W$21)/Q648))</f>
        <v>0.85439763488543985</v>
      </c>
      <c r="T648">
        <f>AVERAGE(R648,S648)</f>
        <v>1.02719881744272</v>
      </c>
    </row>
    <row r="649" spans="1:20" x14ac:dyDescent="0.25">
      <c r="A649">
        <v>33</v>
      </c>
      <c r="B649" t="b">
        <v>0</v>
      </c>
      <c r="C649" s="6">
        <v>46501.625</v>
      </c>
      <c r="D649" t="b">
        <v>0</v>
      </c>
      <c r="E649">
        <v>17</v>
      </c>
      <c r="F649">
        <v>12</v>
      </c>
      <c r="G649">
        <v>2</v>
      </c>
      <c r="H649" t="s">
        <v>1110</v>
      </c>
      <c r="I649" t="s">
        <v>1100</v>
      </c>
      <c r="J649" t="s">
        <v>1090</v>
      </c>
      <c r="K649" t="str">
        <f>tblTeamFixtures[[#This Row],[Team_name]]&amp;"_"&amp;tblTeamFixtures[[#This Row],[GW]]</f>
        <v>NEW_33</v>
      </c>
      <c r="L649">
        <f>IFERROR(INDEX(TEAM_ANALYSIS!$Y:$Y,MATCH($E649,TEAM_ANALYSIS!$A:$A,0)),1)</f>
        <v>1.2058823529411764</v>
      </c>
      <c r="M649">
        <f>IFERROR(INDEX(TEAM_ANALYSIS!$Z:$Z,MATCH($E649,TEAM_ANALYSIS!$A:$A,0)),1)</f>
        <v>0.97058823529411764</v>
      </c>
      <c r="N649">
        <f>IFERROR(INDEX(TEAM_ANALYSIS!$Y:$Y,MATCH($F649,TEAM_ANALYSIS!$A:$A,0)),1)</f>
        <v>0.97058823529411764</v>
      </c>
      <c r="O649">
        <f>IFERROR(INDEX(TEAM_ANALYSIS!$Z:$Z,MATCH($F649,TEAM_ANALYSIS!$A:$A,0)),1)</f>
        <v>1.4411764705882353</v>
      </c>
      <c r="P649">
        <f>MAX(0.05,AVERAGE(TEAM_ANALYSIS!$W$2:$W$21)*L649*O649)</f>
        <v>3.6930147058823528</v>
      </c>
      <c r="Q649">
        <f>MAX(0.05,AVERAGE(TEAM_ANALYSIS!$W$2:$W$21)*N649*M649)</f>
        <v>2.0018382352941178</v>
      </c>
      <c r="R649" s="23">
        <f>MAX(0.8,MIN(1.2,P649/AVERAGE(TEAM_ANALYSIS!$W$2:$W$21)))</f>
        <v>1.2</v>
      </c>
      <c r="S649">
        <f>MAX(0.8,MIN(1.2,AVERAGE(TEAM_ANALYSIS!$W$2:$W$21)/Q649))</f>
        <v>1.061524334251607</v>
      </c>
      <c r="T649">
        <f>AVERAGE(R649,S649)</f>
        <v>1.1307621671258035</v>
      </c>
    </row>
    <row r="650" spans="1:20" x14ac:dyDescent="0.25">
      <c r="A650">
        <v>33</v>
      </c>
      <c r="B650" t="b">
        <v>0</v>
      </c>
      <c r="C650" s="6">
        <v>46501.625</v>
      </c>
      <c r="D650" t="b">
        <v>0</v>
      </c>
      <c r="E650">
        <v>18</v>
      </c>
      <c r="F650">
        <v>20</v>
      </c>
      <c r="G650">
        <v>2</v>
      </c>
      <c r="H650" t="s">
        <v>1110</v>
      </c>
      <c r="I650" t="s">
        <v>1102</v>
      </c>
      <c r="J650" t="s">
        <v>1106</v>
      </c>
      <c r="K650" t="str">
        <f>tblTeamFixtures[[#This Row],[Team_name]]&amp;"_"&amp;tblTeamFixtures[[#This Row],[GW]]</f>
        <v>NFO_33</v>
      </c>
      <c r="L650">
        <f>IFERROR(INDEX(TEAM_ANALYSIS!$Y:$Y,MATCH($E650,TEAM_ANALYSIS!$A:$A,0)),1)</f>
        <v>0.73529411764705888</v>
      </c>
      <c r="M650">
        <f>IFERROR(INDEX(TEAM_ANALYSIS!$Z:$Z,MATCH($E650,TEAM_ANALYSIS!$A:$A,0)),1)</f>
        <v>0.8529411764705882</v>
      </c>
      <c r="N650">
        <f>IFERROR(INDEX(TEAM_ANALYSIS!$Y:$Y,MATCH($F650,TEAM_ANALYSIS!$A:$A,0)),1)</f>
        <v>0.8529411764705882</v>
      </c>
      <c r="O650">
        <f>IFERROR(INDEX(TEAM_ANALYSIS!$Z:$Z,MATCH($F650,TEAM_ANALYSIS!$A:$A,0)),1)</f>
        <v>0.8529411764705882</v>
      </c>
      <c r="P650">
        <f>MAX(0.05,AVERAGE(TEAM_ANALYSIS!$W$2:$W$21)*L650*O650)</f>
        <v>1.3327205882352942</v>
      </c>
      <c r="Q650">
        <f>MAX(0.05,AVERAGE(TEAM_ANALYSIS!$W$2:$W$21)*N650*M650)</f>
        <v>1.5459558823529411</v>
      </c>
      <c r="R650" s="23">
        <f>MAX(0.8,MIN(1.2,P650/AVERAGE(TEAM_ANALYSIS!$W$2:$W$21)))</f>
        <v>0.8</v>
      </c>
      <c r="S650">
        <f>MAX(0.8,MIN(1.2,AVERAGE(TEAM_ANALYSIS!$W$2:$W$21)/Q650))</f>
        <v>1.2</v>
      </c>
      <c r="T650">
        <f>AVERAGE(R650,S650)</f>
        <v>1</v>
      </c>
    </row>
    <row r="651" spans="1:20" x14ac:dyDescent="0.25">
      <c r="A651">
        <v>33</v>
      </c>
      <c r="B651" t="b">
        <v>0</v>
      </c>
      <c r="C651" s="6">
        <v>46501.625</v>
      </c>
      <c r="D651" t="b">
        <v>0</v>
      </c>
      <c r="E651">
        <v>19</v>
      </c>
      <c r="F651">
        <v>11</v>
      </c>
      <c r="G651">
        <v>2</v>
      </c>
      <c r="H651" t="s">
        <v>1110</v>
      </c>
      <c r="I651" t="s">
        <v>1104</v>
      </c>
      <c r="J651" t="s">
        <v>1088</v>
      </c>
      <c r="K651" t="str">
        <f>tblTeamFixtures[[#This Row],[Team_name]]&amp;"_"&amp;tblTeamFixtures[[#This Row],[GW]]</f>
        <v>TOT_33</v>
      </c>
      <c r="L651">
        <f>IFERROR(INDEX(TEAM_ANALYSIS!$Y:$Y,MATCH($E651,TEAM_ANALYSIS!$A:$A,0)),1)</f>
        <v>0.5</v>
      </c>
      <c r="M651">
        <f>IFERROR(INDEX(TEAM_ANALYSIS!$Z:$Z,MATCH($E651,TEAM_ANALYSIS!$A:$A,0)),1)</f>
        <v>1.088235294117647</v>
      </c>
      <c r="N651">
        <f>IFERROR(INDEX(TEAM_ANALYSIS!$Y:$Y,MATCH($F651,TEAM_ANALYSIS!$A:$A,0)),1)</f>
        <v>0.8529411764705882</v>
      </c>
      <c r="O651">
        <f>IFERROR(INDEX(TEAM_ANALYSIS!$Z:$Z,MATCH($F651,TEAM_ANALYSIS!$A:$A,0)),1)</f>
        <v>0.5</v>
      </c>
      <c r="P651">
        <f>MAX(0.05,AVERAGE(TEAM_ANALYSIS!$W$2:$W$21)*L651*O651)</f>
        <v>0.53125</v>
      </c>
      <c r="Q651">
        <f>MAX(0.05,AVERAGE(TEAM_ANALYSIS!$W$2:$W$21)*N651*M651)</f>
        <v>1.9724264705882351</v>
      </c>
      <c r="R651" s="23">
        <f>MAX(0.8,MIN(1.2,P651/AVERAGE(TEAM_ANALYSIS!$W$2:$W$21)))</f>
        <v>0.8</v>
      </c>
      <c r="S651">
        <f>MAX(0.8,MIN(1.2,AVERAGE(TEAM_ANALYSIS!$W$2:$W$21)/Q651))</f>
        <v>1.07735321528425</v>
      </c>
      <c r="T651">
        <f>AVERAGE(R651,S651)</f>
        <v>0.93867660764212502</v>
      </c>
    </row>
    <row r="652" spans="1:20" x14ac:dyDescent="0.25">
      <c r="A652">
        <v>33</v>
      </c>
      <c r="B652" t="b">
        <v>0</v>
      </c>
      <c r="C652" s="6">
        <v>46501.625</v>
      </c>
      <c r="D652" t="b">
        <v>0</v>
      </c>
      <c r="E652">
        <v>7</v>
      </c>
      <c r="F652">
        <v>2</v>
      </c>
      <c r="G652">
        <v>4</v>
      </c>
      <c r="H652" t="s">
        <v>1111</v>
      </c>
      <c r="I652" t="s">
        <v>1080</v>
      </c>
      <c r="J652" t="s">
        <v>1070</v>
      </c>
      <c r="K652" t="str">
        <f>tblTeamFixtures[[#This Row],[Team_name]]&amp;"_"&amp;tblTeamFixtures[[#This Row],[GW]]</f>
        <v>COV_33</v>
      </c>
      <c r="L652">
        <f>IFERROR(INDEX(TEAM_ANALYSIS!$Y:$Y,MATCH($E652,TEAM_ANALYSIS!$A:$A,0)),1)</f>
        <v>0.5</v>
      </c>
      <c r="M652">
        <f>IFERROR(INDEX(TEAM_ANALYSIS!$Z:$Z,MATCH($E652,TEAM_ANALYSIS!$A:$A,0)),1)</f>
        <v>1.088235294117647</v>
      </c>
      <c r="N652">
        <f>IFERROR(INDEX(TEAM_ANALYSIS!$Y:$Y,MATCH($F652,TEAM_ANALYSIS!$A:$A,0)),1)</f>
        <v>0.5</v>
      </c>
      <c r="O652">
        <f>IFERROR(INDEX(TEAM_ANALYSIS!$Z:$Z,MATCH($F652,TEAM_ANALYSIS!$A:$A,0)),1)</f>
        <v>1.088235294117647</v>
      </c>
      <c r="P652">
        <f>MAX(0.05,AVERAGE(TEAM_ANALYSIS!$W$2:$W$21)*L652*O652)</f>
        <v>1.15625</v>
      </c>
      <c r="Q652">
        <f>MAX(0.05,AVERAGE(TEAM_ANALYSIS!$W$2:$W$21)*N652*M652)</f>
        <v>1.15625</v>
      </c>
      <c r="R652" s="23">
        <f>MAX(0.8,MIN(1.2,P652/AVERAGE(TEAM_ANALYSIS!$W$2:$W$21)))</f>
        <v>0.8</v>
      </c>
      <c r="S652">
        <f>MAX(0.8,MIN(1.2,AVERAGE(TEAM_ANALYSIS!$W$2:$W$21)/Q652))</f>
        <v>1.2</v>
      </c>
      <c r="T652">
        <f>AVERAGE(R652,S652)</f>
        <v>1</v>
      </c>
    </row>
    <row r="653" spans="1:20" x14ac:dyDescent="0.25">
      <c r="A653">
        <v>33</v>
      </c>
      <c r="B653" t="b">
        <v>0</v>
      </c>
      <c r="C653" s="6">
        <v>46501.625</v>
      </c>
      <c r="D653" t="b">
        <v>0</v>
      </c>
      <c r="E653">
        <v>1</v>
      </c>
      <c r="F653">
        <v>3</v>
      </c>
      <c r="G653">
        <v>3</v>
      </c>
      <c r="H653" t="s">
        <v>1111</v>
      </c>
      <c r="I653" t="s">
        <v>1068</v>
      </c>
      <c r="J653" t="s">
        <v>1072</v>
      </c>
      <c r="K653" t="str">
        <f>tblTeamFixtures[[#This Row],[Team_name]]&amp;"_"&amp;tblTeamFixtures[[#This Row],[GW]]</f>
        <v>ARS_33</v>
      </c>
      <c r="L653">
        <f>IFERROR(INDEX(TEAM_ANALYSIS!$Y:$Y,MATCH($E653,TEAM_ANALYSIS!$A:$A,0)),1)</f>
        <v>1.2058823529411764</v>
      </c>
      <c r="M653">
        <f>IFERROR(INDEX(TEAM_ANALYSIS!$Z:$Z,MATCH($E653,TEAM_ANALYSIS!$A:$A,0)),1)</f>
        <v>0.61764705882352944</v>
      </c>
      <c r="N653">
        <f>IFERROR(INDEX(TEAM_ANALYSIS!$Y:$Y,MATCH($F653,TEAM_ANALYSIS!$A:$A,0)),1)</f>
        <v>0.97058823529411764</v>
      </c>
      <c r="O653">
        <f>IFERROR(INDEX(TEAM_ANALYSIS!$Z:$Z,MATCH($F653,TEAM_ANALYSIS!$A:$A,0)),1)</f>
        <v>1.088235294117647</v>
      </c>
      <c r="P653">
        <f>MAX(0.05,AVERAGE(TEAM_ANALYSIS!$W$2:$W$21)*L653*O653)</f>
        <v>2.7886029411764706</v>
      </c>
      <c r="Q653">
        <f>MAX(0.05,AVERAGE(TEAM_ANALYSIS!$W$2:$W$21)*N653*M653)</f>
        <v>1.2738970588235294</v>
      </c>
      <c r="R653" s="23">
        <f>MAX(0.8,MIN(1.2,P653/AVERAGE(TEAM_ANALYSIS!$W$2:$W$21)))</f>
        <v>1.2</v>
      </c>
      <c r="S653">
        <f>MAX(0.8,MIN(1.2,AVERAGE(TEAM_ANALYSIS!$W$2:$W$21)/Q653))</f>
        <v>1.2</v>
      </c>
      <c r="T653">
        <f>AVERAGE(R653,S653)</f>
        <v>1.2</v>
      </c>
    </row>
    <row r="654" spans="1:20" x14ac:dyDescent="0.25">
      <c r="A654">
        <v>33</v>
      </c>
      <c r="B654" t="b">
        <v>0</v>
      </c>
      <c r="C654" s="6">
        <v>46501.625</v>
      </c>
      <c r="D654" t="b">
        <v>0</v>
      </c>
      <c r="E654">
        <v>10</v>
      </c>
      <c r="F654">
        <v>4</v>
      </c>
      <c r="G654">
        <v>3</v>
      </c>
      <c r="H654" t="s">
        <v>1111</v>
      </c>
      <c r="I654" t="s">
        <v>1086</v>
      </c>
      <c r="J654" t="s">
        <v>1074</v>
      </c>
      <c r="K654" t="str">
        <f>tblTeamFixtures[[#This Row],[Team_name]]&amp;"_"&amp;tblTeamFixtures[[#This Row],[GW]]</f>
        <v>FUL_33</v>
      </c>
      <c r="L654">
        <f>IFERROR(INDEX(TEAM_ANALYSIS!$Y:$Y,MATCH($E654,TEAM_ANALYSIS!$A:$A,0)),1)</f>
        <v>0.97058823529411764</v>
      </c>
      <c r="M654">
        <f>IFERROR(INDEX(TEAM_ANALYSIS!$Z:$Z,MATCH($E654,TEAM_ANALYSIS!$A:$A,0)),1)</f>
        <v>1.3235294117647058</v>
      </c>
      <c r="N654">
        <f>IFERROR(INDEX(TEAM_ANALYSIS!$Y:$Y,MATCH($F654,TEAM_ANALYSIS!$A:$A,0)),1)</f>
        <v>1.088235294117647</v>
      </c>
      <c r="O654">
        <f>IFERROR(INDEX(TEAM_ANALYSIS!$Z:$Z,MATCH($F654,TEAM_ANALYSIS!$A:$A,0)),1)</f>
        <v>0.73529411764705888</v>
      </c>
      <c r="P654">
        <f>MAX(0.05,AVERAGE(TEAM_ANALYSIS!$W$2:$W$21)*L654*O654)</f>
        <v>1.5165441176470589</v>
      </c>
      <c r="Q654">
        <f>MAX(0.05,AVERAGE(TEAM_ANALYSIS!$W$2:$W$21)*N654*M654)</f>
        <v>3.0606617647058822</v>
      </c>
      <c r="R654" s="23">
        <f>MAX(0.8,MIN(1.2,P654/AVERAGE(TEAM_ANALYSIS!$W$2:$W$21)))</f>
        <v>0.8</v>
      </c>
      <c r="S654">
        <f>MAX(0.8,MIN(1.2,AVERAGE(TEAM_ANALYSIS!$W$2:$W$21)/Q654))</f>
        <v>0.8</v>
      </c>
      <c r="T654">
        <f>AVERAGE(R654,S654)</f>
        <v>0.8</v>
      </c>
    </row>
    <row r="655" spans="1:20" x14ac:dyDescent="0.25">
      <c r="A655">
        <v>33</v>
      </c>
      <c r="B655" t="b">
        <v>0</v>
      </c>
      <c r="C655" s="6">
        <v>46501.625</v>
      </c>
      <c r="D655" t="b">
        <v>0</v>
      </c>
      <c r="E655">
        <v>15</v>
      </c>
      <c r="F655">
        <v>6</v>
      </c>
      <c r="G655">
        <v>4</v>
      </c>
      <c r="H655" t="s">
        <v>1111</v>
      </c>
      <c r="I655" t="s">
        <v>1096</v>
      </c>
      <c r="J655" t="s">
        <v>1078</v>
      </c>
      <c r="K655" t="str">
        <f>tblTeamFixtures[[#This Row],[Team_name]]&amp;"_"&amp;tblTeamFixtures[[#This Row],[GW]]</f>
        <v>MCI_33</v>
      </c>
      <c r="L655">
        <f>IFERROR(INDEX(TEAM_ANALYSIS!$Y:$Y,MATCH($E655,TEAM_ANALYSIS!$A:$A,0)),1)</f>
        <v>1.3235294117647058</v>
      </c>
      <c r="M655">
        <f>IFERROR(INDEX(TEAM_ANALYSIS!$Z:$Z,MATCH($E655,TEAM_ANALYSIS!$A:$A,0)),1)</f>
        <v>0.73529411764705888</v>
      </c>
      <c r="N655">
        <f>IFERROR(INDEX(TEAM_ANALYSIS!$Y:$Y,MATCH($F655,TEAM_ANALYSIS!$A:$A,0)),1)</f>
        <v>1.4411764705882353</v>
      </c>
      <c r="O655">
        <f>IFERROR(INDEX(TEAM_ANALYSIS!$Z:$Z,MATCH($F655,TEAM_ANALYSIS!$A:$A,0)),1)</f>
        <v>1.3235294117647058</v>
      </c>
      <c r="P655">
        <f>MAX(0.05,AVERAGE(TEAM_ANALYSIS!$W$2:$W$21)*L655*O655)</f>
        <v>3.7224264705882351</v>
      </c>
      <c r="Q655">
        <f>MAX(0.05,AVERAGE(TEAM_ANALYSIS!$W$2:$W$21)*N655*M655)</f>
        <v>2.2518382352941178</v>
      </c>
      <c r="R655" s="23">
        <f>MAX(0.8,MIN(1.2,P655/AVERAGE(TEAM_ANALYSIS!$W$2:$W$21)))</f>
        <v>1.2</v>
      </c>
      <c r="S655">
        <f>MAX(0.8,MIN(1.2,AVERAGE(TEAM_ANALYSIS!$W$2:$W$21)/Q655))</f>
        <v>0.94367346938775509</v>
      </c>
      <c r="T655">
        <f>AVERAGE(R655,S655)</f>
        <v>1.0718367346938775</v>
      </c>
    </row>
    <row r="656" spans="1:20" x14ac:dyDescent="0.25">
      <c r="A656">
        <v>33</v>
      </c>
      <c r="B656" t="b">
        <v>0</v>
      </c>
      <c r="C656" s="6">
        <v>46501.625</v>
      </c>
      <c r="D656" t="b">
        <v>0</v>
      </c>
      <c r="E656">
        <v>5</v>
      </c>
      <c r="F656">
        <v>9</v>
      </c>
      <c r="G656">
        <v>3</v>
      </c>
      <c r="H656" t="s">
        <v>1111</v>
      </c>
      <c r="I656" t="s">
        <v>1076</v>
      </c>
      <c r="J656" t="s">
        <v>1084</v>
      </c>
      <c r="K656" t="str">
        <f>tblTeamFixtures[[#This Row],[Team_name]]&amp;"_"&amp;tblTeamFixtures[[#This Row],[GW]]</f>
        <v>BHA_33</v>
      </c>
      <c r="L656">
        <f>IFERROR(INDEX(TEAM_ANALYSIS!$Y:$Y,MATCH($E656,TEAM_ANALYSIS!$A:$A,0)),1)</f>
        <v>1.4411764705882353</v>
      </c>
      <c r="M656">
        <f>IFERROR(INDEX(TEAM_ANALYSIS!$Z:$Z,MATCH($E656,TEAM_ANALYSIS!$A:$A,0)),1)</f>
        <v>1.088235294117647</v>
      </c>
      <c r="N656">
        <f>IFERROR(INDEX(TEAM_ANALYSIS!$Y:$Y,MATCH($F656,TEAM_ANALYSIS!$A:$A,0)),1)</f>
        <v>1.088235294117647</v>
      </c>
      <c r="O656">
        <f>IFERROR(INDEX(TEAM_ANALYSIS!$Z:$Z,MATCH($F656,TEAM_ANALYSIS!$A:$A,0)),1)</f>
        <v>0.8529411764705882</v>
      </c>
      <c r="P656">
        <f>MAX(0.05,AVERAGE(TEAM_ANALYSIS!$W$2:$W$21)*L656*O656)</f>
        <v>2.6121323529411762</v>
      </c>
      <c r="Q656">
        <f>MAX(0.05,AVERAGE(TEAM_ANALYSIS!$W$2:$W$21)*N656*M656)</f>
        <v>2.5165441176470584</v>
      </c>
      <c r="R656" s="23">
        <f>MAX(0.8,MIN(1.2,P656/AVERAGE(TEAM_ANALYSIS!$W$2:$W$21)))</f>
        <v>1.2</v>
      </c>
      <c r="S656">
        <f>MAX(0.8,MIN(1.2,AVERAGE(TEAM_ANALYSIS!$W$2:$W$21)/Q656))</f>
        <v>0.84441197954711478</v>
      </c>
      <c r="T656">
        <f>AVERAGE(R656,S656)</f>
        <v>1.0222059897735574</v>
      </c>
    </row>
    <row r="657" spans="1:20" x14ac:dyDescent="0.25">
      <c r="A657">
        <v>33</v>
      </c>
      <c r="B657" t="b">
        <v>0</v>
      </c>
      <c r="C657" s="6">
        <v>46501.625</v>
      </c>
      <c r="D657" t="b">
        <v>0</v>
      </c>
      <c r="E657">
        <v>14</v>
      </c>
      <c r="F657">
        <v>13</v>
      </c>
      <c r="G657">
        <v>3</v>
      </c>
      <c r="H657" t="s">
        <v>1111</v>
      </c>
      <c r="I657" t="s">
        <v>1094</v>
      </c>
      <c r="J657" t="s">
        <v>1092</v>
      </c>
      <c r="K657" t="str">
        <f>tblTeamFixtures[[#This Row],[Team_name]]&amp;"_"&amp;tblTeamFixtures[[#This Row],[GW]]</f>
        <v>LIV_33</v>
      </c>
      <c r="L657">
        <f>IFERROR(INDEX(TEAM_ANALYSIS!$Y:$Y,MATCH($E657,TEAM_ANALYSIS!$A:$A,0)),1)</f>
        <v>1.2058823529411764</v>
      </c>
      <c r="M657">
        <f>IFERROR(INDEX(TEAM_ANALYSIS!$Z:$Z,MATCH($E657,TEAM_ANALYSIS!$A:$A,0)),1)</f>
        <v>0.97058823529411764</v>
      </c>
      <c r="N657">
        <f>IFERROR(INDEX(TEAM_ANALYSIS!$Y:$Y,MATCH($F657,TEAM_ANALYSIS!$A:$A,0)),1)</f>
        <v>0.8529411764705882</v>
      </c>
      <c r="O657">
        <f>IFERROR(INDEX(TEAM_ANALYSIS!$Z:$Z,MATCH($F657,TEAM_ANALYSIS!$A:$A,0)),1)</f>
        <v>0.73529411764705888</v>
      </c>
      <c r="P657">
        <f>MAX(0.05,AVERAGE(TEAM_ANALYSIS!$W$2:$W$21)*L657*O657)</f>
        <v>1.8841911764705883</v>
      </c>
      <c r="Q657">
        <f>MAX(0.05,AVERAGE(TEAM_ANALYSIS!$W$2:$W$21)*N657*M657)</f>
        <v>1.7591911764705883</v>
      </c>
      <c r="R657" s="23">
        <f>MAX(0.8,MIN(1.2,P657/AVERAGE(TEAM_ANALYSIS!$W$2:$W$21)))</f>
        <v>0.88667820069204151</v>
      </c>
      <c r="S657">
        <f>MAX(0.8,MIN(1.2,AVERAGE(TEAM_ANALYSIS!$W$2:$W$21)/Q657))</f>
        <v>1.2</v>
      </c>
      <c r="T657">
        <f>AVERAGE(R657,S657)</f>
        <v>1.0433391003460208</v>
      </c>
    </row>
    <row r="658" spans="1:20" x14ac:dyDescent="0.25">
      <c r="A658">
        <v>33</v>
      </c>
      <c r="B658" t="b">
        <v>0</v>
      </c>
      <c r="C658" s="6">
        <v>46501.625</v>
      </c>
      <c r="D658" t="b">
        <v>0</v>
      </c>
      <c r="E658">
        <v>8</v>
      </c>
      <c r="F658">
        <v>16</v>
      </c>
      <c r="G658">
        <v>4</v>
      </c>
      <c r="H658" t="s">
        <v>1111</v>
      </c>
      <c r="I658" t="s">
        <v>1082</v>
      </c>
      <c r="J658" t="s">
        <v>1098</v>
      </c>
      <c r="K658" t="str">
        <f>tblTeamFixtures[[#This Row],[Team_name]]&amp;"_"&amp;tblTeamFixtures[[#This Row],[GW]]</f>
        <v>CRY_33</v>
      </c>
      <c r="L658">
        <f>IFERROR(INDEX(TEAM_ANALYSIS!$Y:$Y,MATCH($E658,TEAM_ANALYSIS!$A:$A,0)),1)</f>
        <v>0.97058823529411764</v>
      </c>
      <c r="M658">
        <f>IFERROR(INDEX(TEAM_ANALYSIS!$Z:$Z,MATCH($E658,TEAM_ANALYSIS!$A:$A,0)),1)</f>
        <v>1.4411764705882353</v>
      </c>
      <c r="N658">
        <f>IFERROR(INDEX(TEAM_ANALYSIS!$Y:$Y,MATCH($F658,TEAM_ANALYSIS!$A:$A,0)),1)</f>
        <v>1.3235294117647058</v>
      </c>
      <c r="O658">
        <f>IFERROR(INDEX(TEAM_ANALYSIS!$Z:$Z,MATCH($F658,TEAM_ANALYSIS!$A:$A,0)),1)</f>
        <v>1.2058823529411764</v>
      </c>
      <c r="P658">
        <f>MAX(0.05,AVERAGE(TEAM_ANALYSIS!$W$2:$W$21)*L658*O658)</f>
        <v>2.4871323529411762</v>
      </c>
      <c r="Q658">
        <f>MAX(0.05,AVERAGE(TEAM_ANALYSIS!$W$2:$W$21)*N658*M658)</f>
        <v>4.0533088235294121</v>
      </c>
      <c r="R658" s="23">
        <f>MAX(0.8,MIN(1.2,P658/AVERAGE(TEAM_ANALYSIS!$W$2:$W$21)))</f>
        <v>1.1704152249134947</v>
      </c>
      <c r="S658">
        <f>MAX(0.8,MIN(1.2,AVERAGE(TEAM_ANALYSIS!$W$2:$W$21)/Q658))</f>
        <v>0.8</v>
      </c>
      <c r="T658">
        <f>AVERAGE(R658,S658)</f>
        <v>0.98520761245674737</v>
      </c>
    </row>
    <row r="659" spans="1:20" x14ac:dyDescent="0.25">
      <c r="A659">
        <v>33</v>
      </c>
      <c r="B659" t="b">
        <v>0</v>
      </c>
      <c r="C659" s="6">
        <v>46501.625</v>
      </c>
      <c r="D659" t="b">
        <v>0</v>
      </c>
      <c r="E659">
        <v>12</v>
      </c>
      <c r="F659">
        <v>17</v>
      </c>
      <c r="G659">
        <v>3</v>
      </c>
      <c r="H659" t="s">
        <v>1111</v>
      </c>
      <c r="I659" t="s">
        <v>1090</v>
      </c>
      <c r="J659" t="s">
        <v>1100</v>
      </c>
      <c r="K659" t="str">
        <f>tblTeamFixtures[[#This Row],[Team_name]]&amp;"_"&amp;tblTeamFixtures[[#This Row],[GW]]</f>
        <v>IPS_33</v>
      </c>
      <c r="L659">
        <f>IFERROR(INDEX(TEAM_ANALYSIS!$Y:$Y,MATCH($E659,TEAM_ANALYSIS!$A:$A,0)),1)</f>
        <v>0.97058823529411764</v>
      </c>
      <c r="M659">
        <f>IFERROR(INDEX(TEAM_ANALYSIS!$Z:$Z,MATCH($E659,TEAM_ANALYSIS!$A:$A,0)),1)</f>
        <v>1.4411764705882353</v>
      </c>
      <c r="N659">
        <f>IFERROR(INDEX(TEAM_ANALYSIS!$Y:$Y,MATCH($F659,TEAM_ANALYSIS!$A:$A,0)),1)</f>
        <v>1.2058823529411764</v>
      </c>
      <c r="O659">
        <f>IFERROR(INDEX(TEAM_ANALYSIS!$Z:$Z,MATCH($F659,TEAM_ANALYSIS!$A:$A,0)),1)</f>
        <v>0.97058823529411764</v>
      </c>
      <c r="P659">
        <f>MAX(0.05,AVERAGE(TEAM_ANALYSIS!$W$2:$W$21)*L659*O659)</f>
        <v>2.0018382352941178</v>
      </c>
      <c r="Q659">
        <f>MAX(0.05,AVERAGE(TEAM_ANALYSIS!$W$2:$W$21)*N659*M659)</f>
        <v>3.6930147058823528</v>
      </c>
      <c r="R659" s="23">
        <f>MAX(0.8,MIN(1.2,P659/AVERAGE(TEAM_ANALYSIS!$W$2:$W$21)))</f>
        <v>0.94204152249134954</v>
      </c>
      <c r="S659">
        <f>MAX(0.8,MIN(1.2,AVERAGE(TEAM_ANALYSIS!$W$2:$W$21)/Q659))</f>
        <v>0.8</v>
      </c>
      <c r="T659">
        <f>AVERAGE(R659,S659)</f>
        <v>0.87102076124567485</v>
      </c>
    </row>
    <row r="660" spans="1:20" x14ac:dyDescent="0.25">
      <c r="A660">
        <v>33</v>
      </c>
      <c r="B660" t="b">
        <v>0</v>
      </c>
      <c r="C660" s="6">
        <v>46501.625</v>
      </c>
      <c r="D660" t="b">
        <v>0</v>
      </c>
      <c r="E660">
        <v>20</v>
      </c>
      <c r="F660">
        <v>18</v>
      </c>
      <c r="G660">
        <v>3</v>
      </c>
      <c r="H660" t="s">
        <v>1111</v>
      </c>
      <c r="I660" t="s">
        <v>1106</v>
      </c>
      <c r="J660" t="s">
        <v>1102</v>
      </c>
      <c r="K660" t="str">
        <f>tblTeamFixtures[[#This Row],[Team_name]]&amp;"_"&amp;tblTeamFixtures[[#This Row],[GW]]</f>
        <v>SUN_33</v>
      </c>
      <c r="L660">
        <f>IFERROR(INDEX(TEAM_ANALYSIS!$Y:$Y,MATCH($E660,TEAM_ANALYSIS!$A:$A,0)),1)</f>
        <v>0.8529411764705882</v>
      </c>
      <c r="M660">
        <f>IFERROR(INDEX(TEAM_ANALYSIS!$Z:$Z,MATCH($E660,TEAM_ANALYSIS!$A:$A,0)),1)</f>
        <v>0.8529411764705882</v>
      </c>
      <c r="N660">
        <f>IFERROR(INDEX(TEAM_ANALYSIS!$Y:$Y,MATCH($F660,TEAM_ANALYSIS!$A:$A,0)),1)</f>
        <v>0.73529411764705888</v>
      </c>
      <c r="O660">
        <f>IFERROR(INDEX(TEAM_ANALYSIS!$Z:$Z,MATCH($F660,TEAM_ANALYSIS!$A:$A,0)),1)</f>
        <v>0.8529411764705882</v>
      </c>
      <c r="P660">
        <f>MAX(0.05,AVERAGE(TEAM_ANALYSIS!$W$2:$W$21)*L660*O660)</f>
        <v>1.5459558823529411</v>
      </c>
      <c r="Q660">
        <f>MAX(0.05,AVERAGE(TEAM_ANALYSIS!$W$2:$W$21)*N660*M660)</f>
        <v>1.3327205882352942</v>
      </c>
      <c r="R660" s="23">
        <f>MAX(0.8,MIN(1.2,P660/AVERAGE(TEAM_ANALYSIS!$W$2:$W$21)))</f>
        <v>0.8</v>
      </c>
      <c r="S660">
        <f>MAX(0.8,MIN(1.2,AVERAGE(TEAM_ANALYSIS!$W$2:$W$21)/Q660))</f>
        <v>1.2</v>
      </c>
      <c r="T660">
        <f>AVERAGE(R660,S660)</f>
        <v>1</v>
      </c>
    </row>
    <row r="661" spans="1:20" x14ac:dyDescent="0.25">
      <c r="A661">
        <v>33</v>
      </c>
      <c r="B661" t="b">
        <v>0</v>
      </c>
      <c r="C661" s="6">
        <v>46501.625</v>
      </c>
      <c r="D661" t="b">
        <v>0</v>
      </c>
      <c r="E661">
        <v>11</v>
      </c>
      <c r="F661">
        <v>19</v>
      </c>
      <c r="G661">
        <v>3</v>
      </c>
      <c r="H661" t="s">
        <v>1111</v>
      </c>
      <c r="I661" t="s">
        <v>1088</v>
      </c>
      <c r="J661" t="s">
        <v>1104</v>
      </c>
      <c r="K661" t="str">
        <f>tblTeamFixtures[[#This Row],[Team_name]]&amp;"_"&amp;tblTeamFixtures[[#This Row],[GW]]</f>
        <v>HUL_33</v>
      </c>
      <c r="L661">
        <f>IFERROR(INDEX(TEAM_ANALYSIS!$Y:$Y,MATCH($E661,TEAM_ANALYSIS!$A:$A,0)),1)</f>
        <v>0.8529411764705882</v>
      </c>
      <c r="M661">
        <f>IFERROR(INDEX(TEAM_ANALYSIS!$Z:$Z,MATCH($E661,TEAM_ANALYSIS!$A:$A,0)),1)</f>
        <v>0.5</v>
      </c>
      <c r="N661">
        <f>IFERROR(INDEX(TEAM_ANALYSIS!$Y:$Y,MATCH($F661,TEAM_ANALYSIS!$A:$A,0)),1)</f>
        <v>0.5</v>
      </c>
      <c r="O661">
        <f>IFERROR(INDEX(TEAM_ANALYSIS!$Z:$Z,MATCH($F661,TEAM_ANALYSIS!$A:$A,0)),1)</f>
        <v>1.088235294117647</v>
      </c>
      <c r="P661">
        <f>MAX(0.05,AVERAGE(TEAM_ANALYSIS!$W$2:$W$21)*L661*O661)</f>
        <v>1.9724264705882351</v>
      </c>
      <c r="Q661">
        <f>MAX(0.05,AVERAGE(TEAM_ANALYSIS!$W$2:$W$21)*N661*M661)</f>
        <v>0.53125</v>
      </c>
      <c r="R661" s="23">
        <f>MAX(0.8,MIN(1.2,P661/AVERAGE(TEAM_ANALYSIS!$W$2:$W$21)))</f>
        <v>0.92820069204152233</v>
      </c>
      <c r="S661">
        <f>MAX(0.8,MIN(1.2,AVERAGE(TEAM_ANALYSIS!$W$2:$W$21)/Q661))</f>
        <v>1.2</v>
      </c>
      <c r="T661">
        <f>AVERAGE(R661,S661)</f>
        <v>1.0641003460207612</v>
      </c>
    </row>
    <row r="662" spans="1:20" x14ac:dyDescent="0.25">
      <c r="A662">
        <v>34</v>
      </c>
      <c r="B662" t="b">
        <v>0</v>
      </c>
      <c r="C662" s="6">
        <v>46508.625</v>
      </c>
      <c r="D662" t="b">
        <v>0</v>
      </c>
      <c r="E662">
        <v>1</v>
      </c>
      <c r="F662">
        <v>19</v>
      </c>
      <c r="G662">
        <v>3</v>
      </c>
      <c r="H662" t="s">
        <v>1110</v>
      </c>
      <c r="I662" t="s">
        <v>1068</v>
      </c>
      <c r="J662" t="s">
        <v>1104</v>
      </c>
      <c r="K662" t="str">
        <f>tblTeamFixtures[[#This Row],[Team_name]]&amp;"_"&amp;tblTeamFixtures[[#This Row],[GW]]</f>
        <v>ARS_34</v>
      </c>
      <c r="L662">
        <f>IFERROR(INDEX(TEAM_ANALYSIS!$Y:$Y,MATCH($E662,TEAM_ANALYSIS!$A:$A,0)),1)</f>
        <v>1.2058823529411764</v>
      </c>
      <c r="M662">
        <f>IFERROR(INDEX(TEAM_ANALYSIS!$Z:$Z,MATCH($E662,TEAM_ANALYSIS!$A:$A,0)),1)</f>
        <v>0.61764705882352944</v>
      </c>
      <c r="N662">
        <f>IFERROR(INDEX(TEAM_ANALYSIS!$Y:$Y,MATCH($F662,TEAM_ANALYSIS!$A:$A,0)),1)</f>
        <v>0.5</v>
      </c>
      <c r="O662">
        <f>IFERROR(INDEX(TEAM_ANALYSIS!$Z:$Z,MATCH($F662,TEAM_ANALYSIS!$A:$A,0)),1)</f>
        <v>1.088235294117647</v>
      </c>
      <c r="P662">
        <f>MAX(0.05,AVERAGE(TEAM_ANALYSIS!$W$2:$W$21)*L662*O662)</f>
        <v>2.7886029411764706</v>
      </c>
      <c r="Q662">
        <f>MAX(0.05,AVERAGE(TEAM_ANALYSIS!$W$2:$W$21)*N662*M662)</f>
        <v>0.65625</v>
      </c>
      <c r="R662" s="23">
        <f>MAX(0.8,MIN(1.2,P662/AVERAGE(TEAM_ANALYSIS!$W$2:$W$21)))</f>
        <v>1.2</v>
      </c>
      <c r="S662">
        <f>MAX(0.8,MIN(1.2,AVERAGE(TEAM_ANALYSIS!$W$2:$W$21)/Q662))</f>
        <v>1.2</v>
      </c>
      <c r="T662">
        <f>AVERAGE(R662,S662)</f>
        <v>1.2</v>
      </c>
    </row>
    <row r="663" spans="1:20" x14ac:dyDescent="0.25">
      <c r="A663">
        <v>34</v>
      </c>
      <c r="B663" t="b">
        <v>0</v>
      </c>
      <c r="C663" s="6">
        <v>46508.625</v>
      </c>
      <c r="D663" t="b">
        <v>0</v>
      </c>
      <c r="E663">
        <v>5</v>
      </c>
      <c r="F663">
        <v>18</v>
      </c>
      <c r="G663">
        <v>3</v>
      </c>
      <c r="H663" t="s">
        <v>1110</v>
      </c>
      <c r="I663" t="s">
        <v>1076</v>
      </c>
      <c r="J663" t="s">
        <v>1102</v>
      </c>
      <c r="K663" t="str">
        <f>tblTeamFixtures[[#This Row],[Team_name]]&amp;"_"&amp;tblTeamFixtures[[#This Row],[GW]]</f>
        <v>BHA_34</v>
      </c>
      <c r="L663">
        <f>IFERROR(INDEX(TEAM_ANALYSIS!$Y:$Y,MATCH($E663,TEAM_ANALYSIS!$A:$A,0)),1)</f>
        <v>1.4411764705882353</v>
      </c>
      <c r="M663">
        <f>IFERROR(INDEX(TEAM_ANALYSIS!$Z:$Z,MATCH($E663,TEAM_ANALYSIS!$A:$A,0)),1)</f>
        <v>1.088235294117647</v>
      </c>
      <c r="N663">
        <f>IFERROR(INDEX(TEAM_ANALYSIS!$Y:$Y,MATCH($F663,TEAM_ANALYSIS!$A:$A,0)),1)</f>
        <v>0.73529411764705888</v>
      </c>
      <c r="O663">
        <f>IFERROR(INDEX(TEAM_ANALYSIS!$Z:$Z,MATCH($F663,TEAM_ANALYSIS!$A:$A,0)),1)</f>
        <v>0.8529411764705882</v>
      </c>
      <c r="P663">
        <f>MAX(0.05,AVERAGE(TEAM_ANALYSIS!$W$2:$W$21)*L663*O663)</f>
        <v>2.6121323529411762</v>
      </c>
      <c r="Q663">
        <f>MAX(0.05,AVERAGE(TEAM_ANALYSIS!$W$2:$W$21)*N663*M663)</f>
        <v>1.7003676470588234</v>
      </c>
      <c r="R663" s="23">
        <f>MAX(0.8,MIN(1.2,P663/AVERAGE(TEAM_ANALYSIS!$W$2:$W$21)))</f>
        <v>1.2</v>
      </c>
      <c r="S663">
        <f>MAX(0.8,MIN(1.2,AVERAGE(TEAM_ANALYSIS!$W$2:$W$21)/Q663))</f>
        <v>1.2</v>
      </c>
      <c r="T663">
        <f>AVERAGE(R663,S663)</f>
        <v>1.2</v>
      </c>
    </row>
    <row r="664" spans="1:20" x14ac:dyDescent="0.25">
      <c r="A664">
        <v>34</v>
      </c>
      <c r="B664" t="b">
        <v>0</v>
      </c>
      <c r="C664" s="6">
        <v>46508.625</v>
      </c>
      <c r="D664" t="b">
        <v>0</v>
      </c>
      <c r="E664">
        <v>7</v>
      </c>
      <c r="F664">
        <v>16</v>
      </c>
      <c r="G664">
        <v>4</v>
      </c>
      <c r="H664" t="s">
        <v>1110</v>
      </c>
      <c r="I664" t="s">
        <v>1080</v>
      </c>
      <c r="J664" t="s">
        <v>1098</v>
      </c>
      <c r="K664" t="str">
        <f>tblTeamFixtures[[#This Row],[Team_name]]&amp;"_"&amp;tblTeamFixtures[[#This Row],[GW]]</f>
        <v>COV_34</v>
      </c>
      <c r="L664">
        <f>IFERROR(INDEX(TEAM_ANALYSIS!$Y:$Y,MATCH($E664,TEAM_ANALYSIS!$A:$A,0)),1)</f>
        <v>0.5</v>
      </c>
      <c r="M664">
        <f>IFERROR(INDEX(TEAM_ANALYSIS!$Z:$Z,MATCH($E664,TEAM_ANALYSIS!$A:$A,0)),1)</f>
        <v>1.088235294117647</v>
      </c>
      <c r="N664">
        <f>IFERROR(INDEX(TEAM_ANALYSIS!$Y:$Y,MATCH($F664,TEAM_ANALYSIS!$A:$A,0)),1)</f>
        <v>1.3235294117647058</v>
      </c>
      <c r="O664">
        <f>IFERROR(INDEX(TEAM_ANALYSIS!$Z:$Z,MATCH($F664,TEAM_ANALYSIS!$A:$A,0)),1)</f>
        <v>1.2058823529411764</v>
      </c>
      <c r="P664">
        <f>MAX(0.05,AVERAGE(TEAM_ANALYSIS!$W$2:$W$21)*L664*O664)</f>
        <v>1.28125</v>
      </c>
      <c r="Q664">
        <f>MAX(0.05,AVERAGE(TEAM_ANALYSIS!$W$2:$W$21)*N664*M664)</f>
        <v>3.0606617647058822</v>
      </c>
      <c r="R664" s="23">
        <f>MAX(0.8,MIN(1.2,P664/AVERAGE(TEAM_ANALYSIS!$W$2:$W$21)))</f>
        <v>0.8</v>
      </c>
      <c r="S664">
        <f>MAX(0.8,MIN(1.2,AVERAGE(TEAM_ANALYSIS!$W$2:$W$21)/Q664))</f>
        <v>0.8</v>
      </c>
      <c r="T664">
        <f>AVERAGE(R664,S664)</f>
        <v>0.8</v>
      </c>
    </row>
    <row r="665" spans="1:20" x14ac:dyDescent="0.25">
      <c r="A665">
        <v>34</v>
      </c>
      <c r="B665" t="b">
        <v>0</v>
      </c>
      <c r="C665" s="6">
        <v>46508.625</v>
      </c>
      <c r="D665" t="b">
        <v>0</v>
      </c>
      <c r="E665">
        <v>8</v>
      </c>
      <c r="F665">
        <v>2</v>
      </c>
      <c r="G665">
        <v>3</v>
      </c>
      <c r="H665" t="s">
        <v>1110</v>
      </c>
      <c r="I665" t="s">
        <v>1082</v>
      </c>
      <c r="J665" t="s">
        <v>1070</v>
      </c>
      <c r="K665" t="str">
        <f>tblTeamFixtures[[#This Row],[Team_name]]&amp;"_"&amp;tblTeamFixtures[[#This Row],[GW]]</f>
        <v>CRY_34</v>
      </c>
      <c r="L665">
        <f>IFERROR(INDEX(TEAM_ANALYSIS!$Y:$Y,MATCH($E665,TEAM_ANALYSIS!$A:$A,0)),1)</f>
        <v>0.97058823529411764</v>
      </c>
      <c r="M665">
        <f>IFERROR(INDEX(TEAM_ANALYSIS!$Z:$Z,MATCH($E665,TEAM_ANALYSIS!$A:$A,0)),1)</f>
        <v>1.4411764705882353</v>
      </c>
      <c r="N665">
        <f>IFERROR(INDEX(TEAM_ANALYSIS!$Y:$Y,MATCH($F665,TEAM_ANALYSIS!$A:$A,0)),1)</f>
        <v>0.5</v>
      </c>
      <c r="O665">
        <f>IFERROR(INDEX(TEAM_ANALYSIS!$Z:$Z,MATCH($F665,TEAM_ANALYSIS!$A:$A,0)),1)</f>
        <v>1.088235294117647</v>
      </c>
      <c r="P665">
        <f>MAX(0.05,AVERAGE(TEAM_ANALYSIS!$W$2:$W$21)*L665*O665)</f>
        <v>2.2444852941176467</v>
      </c>
      <c r="Q665">
        <f>MAX(0.05,AVERAGE(TEAM_ANALYSIS!$W$2:$W$21)*N665*M665)</f>
        <v>1.53125</v>
      </c>
      <c r="R665" s="23">
        <f>MAX(0.8,MIN(1.2,P665/AVERAGE(TEAM_ANALYSIS!$W$2:$W$21)))</f>
        <v>1.0562283737024221</v>
      </c>
      <c r="S665">
        <f>MAX(0.8,MIN(1.2,AVERAGE(TEAM_ANALYSIS!$W$2:$W$21)/Q665))</f>
        <v>1.2</v>
      </c>
      <c r="T665">
        <f>AVERAGE(R665,S665)</f>
        <v>1.128114186851211</v>
      </c>
    </row>
    <row r="666" spans="1:20" x14ac:dyDescent="0.25">
      <c r="A666">
        <v>34</v>
      </c>
      <c r="B666" t="b">
        <v>0</v>
      </c>
      <c r="C666" s="6">
        <v>46508.625</v>
      </c>
      <c r="D666" t="b">
        <v>0</v>
      </c>
      <c r="E666">
        <v>10</v>
      </c>
      <c r="F666">
        <v>9</v>
      </c>
      <c r="G666">
        <v>3</v>
      </c>
      <c r="H666" t="s">
        <v>1110</v>
      </c>
      <c r="I666" t="s">
        <v>1086</v>
      </c>
      <c r="J666" t="s">
        <v>1084</v>
      </c>
      <c r="K666" t="str">
        <f>tblTeamFixtures[[#This Row],[Team_name]]&amp;"_"&amp;tblTeamFixtures[[#This Row],[GW]]</f>
        <v>FUL_34</v>
      </c>
      <c r="L666">
        <f>IFERROR(INDEX(TEAM_ANALYSIS!$Y:$Y,MATCH($E666,TEAM_ANALYSIS!$A:$A,0)),1)</f>
        <v>0.97058823529411764</v>
      </c>
      <c r="M666">
        <f>IFERROR(INDEX(TEAM_ANALYSIS!$Z:$Z,MATCH($E666,TEAM_ANALYSIS!$A:$A,0)),1)</f>
        <v>1.3235294117647058</v>
      </c>
      <c r="N666">
        <f>IFERROR(INDEX(TEAM_ANALYSIS!$Y:$Y,MATCH($F666,TEAM_ANALYSIS!$A:$A,0)),1)</f>
        <v>1.088235294117647</v>
      </c>
      <c r="O666">
        <f>IFERROR(INDEX(TEAM_ANALYSIS!$Z:$Z,MATCH($F666,TEAM_ANALYSIS!$A:$A,0)),1)</f>
        <v>0.8529411764705882</v>
      </c>
      <c r="P666">
        <f>MAX(0.05,AVERAGE(TEAM_ANALYSIS!$W$2:$W$21)*L666*O666)</f>
        <v>1.7591911764705881</v>
      </c>
      <c r="Q666">
        <f>MAX(0.05,AVERAGE(TEAM_ANALYSIS!$W$2:$W$21)*N666*M666)</f>
        <v>3.0606617647058822</v>
      </c>
      <c r="R666" s="23">
        <f>MAX(0.8,MIN(1.2,P666/AVERAGE(TEAM_ANALYSIS!$W$2:$W$21)))</f>
        <v>0.82785467128027679</v>
      </c>
      <c r="S666">
        <f>MAX(0.8,MIN(1.2,AVERAGE(TEAM_ANALYSIS!$W$2:$W$21)/Q666))</f>
        <v>0.8</v>
      </c>
      <c r="T666">
        <f>AVERAGE(R666,S666)</f>
        <v>0.81392733564013842</v>
      </c>
    </row>
    <row r="667" spans="1:20" x14ac:dyDescent="0.25">
      <c r="A667">
        <v>34</v>
      </c>
      <c r="B667" t="b">
        <v>0</v>
      </c>
      <c r="C667" s="6">
        <v>46508.625</v>
      </c>
      <c r="D667" t="b">
        <v>0</v>
      </c>
      <c r="E667">
        <v>11</v>
      </c>
      <c r="F667">
        <v>3</v>
      </c>
      <c r="G667">
        <v>3</v>
      </c>
      <c r="H667" t="s">
        <v>1110</v>
      </c>
      <c r="I667" t="s">
        <v>1088</v>
      </c>
      <c r="J667" t="s">
        <v>1072</v>
      </c>
      <c r="K667" t="str">
        <f>tblTeamFixtures[[#This Row],[Team_name]]&amp;"_"&amp;tblTeamFixtures[[#This Row],[GW]]</f>
        <v>HUL_34</v>
      </c>
      <c r="L667">
        <f>IFERROR(INDEX(TEAM_ANALYSIS!$Y:$Y,MATCH($E667,TEAM_ANALYSIS!$A:$A,0)),1)</f>
        <v>0.8529411764705882</v>
      </c>
      <c r="M667">
        <f>IFERROR(INDEX(TEAM_ANALYSIS!$Z:$Z,MATCH($E667,TEAM_ANALYSIS!$A:$A,0)),1)</f>
        <v>0.5</v>
      </c>
      <c r="N667">
        <f>IFERROR(INDEX(TEAM_ANALYSIS!$Y:$Y,MATCH($F667,TEAM_ANALYSIS!$A:$A,0)),1)</f>
        <v>0.97058823529411764</v>
      </c>
      <c r="O667">
        <f>IFERROR(INDEX(TEAM_ANALYSIS!$Z:$Z,MATCH($F667,TEAM_ANALYSIS!$A:$A,0)),1)</f>
        <v>1.088235294117647</v>
      </c>
      <c r="P667">
        <f>MAX(0.05,AVERAGE(TEAM_ANALYSIS!$W$2:$W$21)*L667*O667)</f>
        <v>1.9724264705882351</v>
      </c>
      <c r="Q667">
        <f>MAX(0.05,AVERAGE(TEAM_ANALYSIS!$W$2:$W$21)*N667*M667)</f>
        <v>1.03125</v>
      </c>
      <c r="R667" s="23">
        <f>MAX(0.8,MIN(1.2,P667/AVERAGE(TEAM_ANALYSIS!$W$2:$W$21)))</f>
        <v>0.92820069204152233</v>
      </c>
      <c r="S667">
        <f>MAX(0.8,MIN(1.2,AVERAGE(TEAM_ANALYSIS!$W$2:$W$21)/Q667))</f>
        <v>1.2</v>
      </c>
      <c r="T667">
        <f>AVERAGE(R667,S667)</f>
        <v>1.0641003460207612</v>
      </c>
    </row>
    <row r="668" spans="1:20" x14ac:dyDescent="0.25">
      <c r="A668">
        <v>34</v>
      </c>
      <c r="B668" t="b">
        <v>0</v>
      </c>
      <c r="C668" s="6">
        <v>46508.625</v>
      </c>
      <c r="D668" t="b">
        <v>0</v>
      </c>
      <c r="E668">
        <v>12</v>
      </c>
      <c r="F668">
        <v>13</v>
      </c>
      <c r="G668">
        <v>2</v>
      </c>
      <c r="H668" t="s">
        <v>1110</v>
      </c>
      <c r="I668" t="s">
        <v>1090</v>
      </c>
      <c r="J668" t="s">
        <v>1092</v>
      </c>
      <c r="K668" t="str">
        <f>tblTeamFixtures[[#This Row],[Team_name]]&amp;"_"&amp;tblTeamFixtures[[#This Row],[GW]]</f>
        <v>IPS_34</v>
      </c>
      <c r="L668">
        <f>IFERROR(INDEX(TEAM_ANALYSIS!$Y:$Y,MATCH($E668,TEAM_ANALYSIS!$A:$A,0)),1)</f>
        <v>0.97058823529411764</v>
      </c>
      <c r="M668">
        <f>IFERROR(INDEX(TEAM_ANALYSIS!$Z:$Z,MATCH($E668,TEAM_ANALYSIS!$A:$A,0)),1)</f>
        <v>1.4411764705882353</v>
      </c>
      <c r="N668">
        <f>IFERROR(INDEX(TEAM_ANALYSIS!$Y:$Y,MATCH($F668,TEAM_ANALYSIS!$A:$A,0)),1)</f>
        <v>0.8529411764705882</v>
      </c>
      <c r="O668">
        <f>IFERROR(INDEX(TEAM_ANALYSIS!$Z:$Z,MATCH($F668,TEAM_ANALYSIS!$A:$A,0)),1)</f>
        <v>0.73529411764705888</v>
      </c>
      <c r="P668">
        <f>MAX(0.05,AVERAGE(TEAM_ANALYSIS!$W$2:$W$21)*L668*O668)</f>
        <v>1.5165441176470589</v>
      </c>
      <c r="Q668">
        <f>MAX(0.05,AVERAGE(TEAM_ANALYSIS!$W$2:$W$21)*N668*M668)</f>
        <v>2.6121323529411766</v>
      </c>
      <c r="R668" s="23">
        <f>MAX(0.8,MIN(1.2,P668/AVERAGE(TEAM_ANALYSIS!$W$2:$W$21)))</f>
        <v>0.8</v>
      </c>
      <c r="S668">
        <f>MAX(0.8,MIN(1.2,AVERAGE(TEAM_ANALYSIS!$W$2:$W$21)/Q668))</f>
        <v>0.81351161154116813</v>
      </c>
      <c r="T668">
        <f>AVERAGE(R668,S668)</f>
        <v>0.80675580577058414</v>
      </c>
    </row>
    <row r="669" spans="1:20" x14ac:dyDescent="0.25">
      <c r="A669">
        <v>34</v>
      </c>
      <c r="B669" t="b">
        <v>0</v>
      </c>
      <c r="C669" s="6">
        <v>46508.625</v>
      </c>
      <c r="D669" t="b">
        <v>0</v>
      </c>
      <c r="E669">
        <v>14</v>
      </c>
      <c r="F669">
        <v>6</v>
      </c>
      <c r="G669">
        <v>4</v>
      </c>
      <c r="H669" t="s">
        <v>1110</v>
      </c>
      <c r="I669" t="s">
        <v>1094</v>
      </c>
      <c r="J669" t="s">
        <v>1078</v>
      </c>
      <c r="K669" t="str">
        <f>tblTeamFixtures[[#This Row],[Team_name]]&amp;"_"&amp;tblTeamFixtures[[#This Row],[GW]]</f>
        <v>LIV_34</v>
      </c>
      <c r="L669">
        <f>IFERROR(INDEX(TEAM_ANALYSIS!$Y:$Y,MATCH($E669,TEAM_ANALYSIS!$A:$A,0)),1)</f>
        <v>1.2058823529411764</v>
      </c>
      <c r="M669">
        <f>IFERROR(INDEX(TEAM_ANALYSIS!$Z:$Z,MATCH($E669,TEAM_ANALYSIS!$A:$A,0)),1)</f>
        <v>0.97058823529411764</v>
      </c>
      <c r="N669">
        <f>IFERROR(INDEX(TEAM_ANALYSIS!$Y:$Y,MATCH($F669,TEAM_ANALYSIS!$A:$A,0)),1)</f>
        <v>1.4411764705882353</v>
      </c>
      <c r="O669">
        <f>IFERROR(INDEX(TEAM_ANALYSIS!$Z:$Z,MATCH($F669,TEAM_ANALYSIS!$A:$A,0)),1)</f>
        <v>1.3235294117647058</v>
      </c>
      <c r="P669">
        <f>MAX(0.05,AVERAGE(TEAM_ANALYSIS!$W$2:$W$21)*L669*O669)</f>
        <v>3.3915441176470589</v>
      </c>
      <c r="Q669">
        <f>MAX(0.05,AVERAGE(TEAM_ANALYSIS!$W$2:$W$21)*N669*M669)</f>
        <v>2.9724264705882351</v>
      </c>
      <c r="R669" s="23">
        <f>MAX(0.8,MIN(1.2,P669/AVERAGE(TEAM_ANALYSIS!$W$2:$W$21)))</f>
        <v>1.2</v>
      </c>
      <c r="S669">
        <f>MAX(0.8,MIN(1.2,AVERAGE(TEAM_ANALYSIS!$W$2:$W$21)/Q669))</f>
        <v>0.8</v>
      </c>
      <c r="T669">
        <f>AVERAGE(R669,S669)</f>
        <v>1</v>
      </c>
    </row>
    <row r="670" spans="1:20" x14ac:dyDescent="0.25">
      <c r="A670">
        <v>34</v>
      </c>
      <c r="B670" t="b">
        <v>0</v>
      </c>
      <c r="C670" s="6">
        <v>46508.625</v>
      </c>
      <c r="D670" t="b">
        <v>0</v>
      </c>
      <c r="E670">
        <v>15</v>
      </c>
      <c r="F670">
        <v>4</v>
      </c>
      <c r="G670">
        <v>3</v>
      </c>
      <c r="H670" t="s">
        <v>1110</v>
      </c>
      <c r="I670" t="s">
        <v>1096</v>
      </c>
      <c r="J670" t="s">
        <v>1074</v>
      </c>
      <c r="K670" t="str">
        <f>tblTeamFixtures[[#This Row],[Team_name]]&amp;"_"&amp;tblTeamFixtures[[#This Row],[GW]]</f>
        <v>MCI_34</v>
      </c>
      <c r="L670">
        <f>IFERROR(INDEX(TEAM_ANALYSIS!$Y:$Y,MATCH($E670,TEAM_ANALYSIS!$A:$A,0)),1)</f>
        <v>1.3235294117647058</v>
      </c>
      <c r="M670">
        <f>IFERROR(INDEX(TEAM_ANALYSIS!$Z:$Z,MATCH($E670,TEAM_ANALYSIS!$A:$A,0)),1)</f>
        <v>0.73529411764705888</v>
      </c>
      <c r="N670">
        <f>IFERROR(INDEX(TEAM_ANALYSIS!$Y:$Y,MATCH($F670,TEAM_ANALYSIS!$A:$A,0)),1)</f>
        <v>1.088235294117647</v>
      </c>
      <c r="O670">
        <f>IFERROR(INDEX(TEAM_ANALYSIS!$Z:$Z,MATCH($F670,TEAM_ANALYSIS!$A:$A,0)),1)</f>
        <v>0.73529411764705888</v>
      </c>
      <c r="P670">
        <f>MAX(0.05,AVERAGE(TEAM_ANALYSIS!$W$2:$W$21)*L670*O670)</f>
        <v>2.0680147058823533</v>
      </c>
      <c r="Q670">
        <f>MAX(0.05,AVERAGE(TEAM_ANALYSIS!$W$2:$W$21)*N670*M670)</f>
        <v>1.7003676470588236</v>
      </c>
      <c r="R670" s="23">
        <f>MAX(0.8,MIN(1.2,P670/AVERAGE(TEAM_ANALYSIS!$W$2:$W$21)))</f>
        <v>0.97318339100346041</v>
      </c>
      <c r="S670">
        <f>MAX(0.8,MIN(1.2,AVERAGE(TEAM_ANALYSIS!$W$2:$W$21)/Q670))</f>
        <v>1.2</v>
      </c>
      <c r="T670">
        <f>AVERAGE(R670,S670)</f>
        <v>1.0865916955017303</v>
      </c>
    </row>
    <row r="671" spans="1:20" x14ac:dyDescent="0.25">
      <c r="A671">
        <v>34</v>
      </c>
      <c r="B671" t="b">
        <v>0</v>
      </c>
      <c r="C671" s="6">
        <v>46508.625</v>
      </c>
      <c r="D671" t="b">
        <v>0</v>
      </c>
      <c r="E671">
        <v>20</v>
      </c>
      <c r="F671">
        <v>17</v>
      </c>
      <c r="G671">
        <v>2</v>
      </c>
      <c r="H671" t="s">
        <v>1110</v>
      </c>
      <c r="I671" t="s">
        <v>1106</v>
      </c>
      <c r="J671" t="s">
        <v>1100</v>
      </c>
      <c r="K671" t="str">
        <f>tblTeamFixtures[[#This Row],[Team_name]]&amp;"_"&amp;tblTeamFixtures[[#This Row],[GW]]</f>
        <v>SUN_34</v>
      </c>
      <c r="L671">
        <f>IFERROR(INDEX(TEAM_ANALYSIS!$Y:$Y,MATCH($E671,TEAM_ANALYSIS!$A:$A,0)),1)</f>
        <v>0.8529411764705882</v>
      </c>
      <c r="M671">
        <f>IFERROR(INDEX(TEAM_ANALYSIS!$Z:$Z,MATCH($E671,TEAM_ANALYSIS!$A:$A,0)),1)</f>
        <v>0.8529411764705882</v>
      </c>
      <c r="N671">
        <f>IFERROR(INDEX(TEAM_ANALYSIS!$Y:$Y,MATCH($F671,TEAM_ANALYSIS!$A:$A,0)),1)</f>
        <v>1.2058823529411764</v>
      </c>
      <c r="O671">
        <f>IFERROR(INDEX(TEAM_ANALYSIS!$Z:$Z,MATCH($F671,TEAM_ANALYSIS!$A:$A,0)),1)</f>
        <v>0.97058823529411764</v>
      </c>
      <c r="P671">
        <f>MAX(0.05,AVERAGE(TEAM_ANALYSIS!$W$2:$W$21)*L671*O671)</f>
        <v>1.7591911764705883</v>
      </c>
      <c r="Q671">
        <f>MAX(0.05,AVERAGE(TEAM_ANALYSIS!$W$2:$W$21)*N671*M671)</f>
        <v>2.1856617647058822</v>
      </c>
      <c r="R671" s="23">
        <f>MAX(0.8,MIN(1.2,P671/AVERAGE(TEAM_ANALYSIS!$W$2:$W$21)))</f>
        <v>0.8278546712802769</v>
      </c>
      <c r="S671">
        <f>MAX(0.8,MIN(1.2,AVERAGE(TEAM_ANALYSIS!$W$2:$W$21)/Q671))</f>
        <v>0.9722455845248108</v>
      </c>
      <c r="T671">
        <f>AVERAGE(R671,S671)</f>
        <v>0.90005012790254391</v>
      </c>
    </row>
    <row r="672" spans="1:20" x14ac:dyDescent="0.25">
      <c r="A672">
        <v>34</v>
      </c>
      <c r="B672" t="b">
        <v>0</v>
      </c>
      <c r="C672" s="6">
        <v>46508.625</v>
      </c>
      <c r="D672" t="b">
        <v>0</v>
      </c>
      <c r="E672">
        <v>19</v>
      </c>
      <c r="F672">
        <v>1</v>
      </c>
      <c r="G672">
        <v>5</v>
      </c>
      <c r="H672" t="s">
        <v>1111</v>
      </c>
      <c r="I672" t="s">
        <v>1104</v>
      </c>
      <c r="J672" t="s">
        <v>1068</v>
      </c>
      <c r="K672" t="str">
        <f>tblTeamFixtures[[#This Row],[Team_name]]&amp;"_"&amp;tblTeamFixtures[[#This Row],[GW]]</f>
        <v>TOT_34</v>
      </c>
      <c r="L672">
        <f>IFERROR(INDEX(TEAM_ANALYSIS!$Y:$Y,MATCH($E672,TEAM_ANALYSIS!$A:$A,0)),1)</f>
        <v>0.5</v>
      </c>
      <c r="M672">
        <f>IFERROR(INDEX(TEAM_ANALYSIS!$Z:$Z,MATCH($E672,TEAM_ANALYSIS!$A:$A,0)),1)</f>
        <v>1.088235294117647</v>
      </c>
      <c r="N672">
        <f>IFERROR(INDEX(TEAM_ANALYSIS!$Y:$Y,MATCH($F672,TEAM_ANALYSIS!$A:$A,0)),1)</f>
        <v>1.2058823529411764</v>
      </c>
      <c r="O672">
        <f>IFERROR(INDEX(TEAM_ANALYSIS!$Z:$Z,MATCH($F672,TEAM_ANALYSIS!$A:$A,0)),1)</f>
        <v>0.61764705882352944</v>
      </c>
      <c r="P672">
        <f>MAX(0.05,AVERAGE(TEAM_ANALYSIS!$W$2:$W$21)*L672*O672)</f>
        <v>0.65625</v>
      </c>
      <c r="Q672">
        <f>MAX(0.05,AVERAGE(TEAM_ANALYSIS!$W$2:$W$21)*N672*M672)</f>
        <v>2.7886029411764706</v>
      </c>
      <c r="R672" s="23">
        <f>MAX(0.8,MIN(1.2,P672/AVERAGE(TEAM_ANALYSIS!$W$2:$W$21)))</f>
        <v>0.8</v>
      </c>
      <c r="S672">
        <f>MAX(0.8,MIN(1.2,AVERAGE(TEAM_ANALYSIS!$W$2:$W$21)/Q672))</f>
        <v>0.8</v>
      </c>
      <c r="T672">
        <f>AVERAGE(R672,S672)</f>
        <v>0.8</v>
      </c>
    </row>
    <row r="673" spans="1:20" x14ac:dyDescent="0.25">
      <c r="A673">
        <v>34</v>
      </c>
      <c r="B673" t="b">
        <v>0</v>
      </c>
      <c r="C673" s="6">
        <v>46508.625</v>
      </c>
      <c r="D673" t="b">
        <v>0</v>
      </c>
      <c r="E673">
        <v>18</v>
      </c>
      <c r="F673">
        <v>5</v>
      </c>
      <c r="G673">
        <v>3</v>
      </c>
      <c r="H673" t="s">
        <v>1111</v>
      </c>
      <c r="I673" t="s">
        <v>1102</v>
      </c>
      <c r="J673" t="s">
        <v>1076</v>
      </c>
      <c r="K673" t="str">
        <f>tblTeamFixtures[[#This Row],[Team_name]]&amp;"_"&amp;tblTeamFixtures[[#This Row],[GW]]</f>
        <v>NFO_34</v>
      </c>
      <c r="L673">
        <f>IFERROR(INDEX(TEAM_ANALYSIS!$Y:$Y,MATCH($E673,TEAM_ANALYSIS!$A:$A,0)),1)</f>
        <v>0.73529411764705888</v>
      </c>
      <c r="M673">
        <f>IFERROR(INDEX(TEAM_ANALYSIS!$Z:$Z,MATCH($E673,TEAM_ANALYSIS!$A:$A,0)),1)</f>
        <v>0.8529411764705882</v>
      </c>
      <c r="N673">
        <f>IFERROR(INDEX(TEAM_ANALYSIS!$Y:$Y,MATCH($F673,TEAM_ANALYSIS!$A:$A,0)),1)</f>
        <v>1.4411764705882353</v>
      </c>
      <c r="O673">
        <f>IFERROR(INDEX(TEAM_ANALYSIS!$Z:$Z,MATCH($F673,TEAM_ANALYSIS!$A:$A,0)),1)</f>
        <v>1.088235294117647</v>
      </c>
      <c r="P673">
        <f>MAX(0.05,AVERAGE(TEAM_ANALYSIS!$W$2:$W$21)*L673*O673)</f>
        <v>1.7003676470588234</v>
      </c>
      <c r="Q673">
        <f>MAX(0.05,AVERAGE(TEAM_ANALYSIS!$W$2:$W$21)*N673*M673)</f>
        <v>2.6121323529411762</v>
      </c>
      <c r="R673" s="23">
        <f>MAX(0.8,MIN(1.2,P673/AVERAGE(TEAM_ANALYSIS!$W$2:$W$21)))</f>
        <v>0.80017301038062272</v>
      </c>
      <c r="S673">
        <f>MAX(0.8,MIN(1.2,AVERAGE(TEAM_ANALYSIS!$W$2:$W$21)/Q673))</f>
        <v>0.81351161154116824</v>
      </c>
      <c r="T673">
        <f>AVERAGE(R673,S673)</f>
        <v>0.80684231096089554</v>
      </c>
    </row>
    <row r="674" spans="1:20" x14ac:dyDescent="0.25">
      <c r="A674">
        <v>34</v>
      </c>
      <c r="B674" t="b">
        <v>0</v>
      </c>
      <c r="C674" s="6">
        <v>46508.625</v>
      </c>
      <c r="D674" t="b">
        <v>0</v>
      </c>
      <c r="E674">
        <v>16</v>
      </c>
      <c r="F674">
        <v>7</v>
      </c>
      <c r="G674">
        <v>2</v>
      </c>
      <c r="H674" t="s">
        <v>1111</v>
      </c>
      <c r="I674" t="s">
        <v>1098</v>
      </c>
      <c r="J674" t="s">
        <v>1080</v>
      </c>
      <c r="K674" t="str">
        <f>tblTeamFixtures[[#This Row],[Team_name]]&amp;"_"&amp;tblTeamFixtures[[#This Row],[GW]]</f>
        <v>MUN_34</v>
      </c>
      <c r="L674">
        <f>IFERROR(INDEX(TEAM_ANALYSIS!$Y:$Y,MATCH($E674,TEAM_ANALYSIS!$A:$A,0)),1)</f>
        <v>1.3235294117647058</v>
      </c>
      <c r="M674">
        <f>IFERROR(INDEX(TEAM_ANALYSIS!$Z:$Z,MATCH($E674,TEAM_ANALYSIS!$A:$A,0)),1)</f>
        <v>1.2058823529411764</v>
      </c>
      <c r="N674">
        <f>IFERROR(INDEX(TEAM_ANALYSIS!$Y:$Y,MATCH($F674,TEAM_ANALYSIS!$A:$A,0)),1)</f>
        <v>0.5</v>
      </c>
      <c r="O674">
        <f>IFERROR(INDEX(TEAM_ANALYSIS!$Z:$Z,MATCH($F674,TEAM_ANALYSIS!$A:$A,0)),1)</f>
        <v>1.088235294117647</v>
      </c>
      <c r="P674">
        <f>MAX(0.05,AVERAGE(TEAM_ANALYSIS!$W$2:$W$21)*L674*O674)</f>
        <v>3.0606617647058822</v>
      </c>
      <c r="Q674">
        <f>MAX(0.05,AVERAGE(TEAM_ANALYSIS!$W$2:$W$21)*N674*M674)</f>
        <v>1.28125</v>
      </c>
      <c r="R674" s="23">
        <f>MAX(0.8,MIN(1.2,P674/AVERAGE(TEAM_ANALYSIS!$W$2:$W$21)))</f>
        <v>1.2</v>
      </c>
      <c r="S674">
        <f>MAX(0.8,MIN(1.2,AVERAGE(TEAM_ANALYSIS!$W$2:$W$21)/Q674))</f>
        <v>1.2</v>
      </c>
      <c r="T674">
        <f>AVERAGE(R674,S674)</f>
        <v>1.2</v>
      </c>
    </row>
    <row r="675" spans="1:20" x14ac:dyDescent="0.25">
      <c r="A675">
        <v>34</v>
      </c>
      <c r="B675" t="b">
        <v>0</v>
      </c>
      <c r="C675" s="6">
        <v>46508.625</v>
      </c>
      <c r="D675" t="b">
        <v>0</v>
      </c>
      <c r="E675">
        <v>2</v>
      </c>
      <c r="F675">
        <v>8</v>
      </c>
      <c r="G675">
        <v>3</v>
      </c>
      <c r="H675" t="s">
        <v>1111</v>
      </c>
      <c r="I675" t="s">
        <v>1070</v>
      </c>
      <c r="J675" t="s">
        <v>1082</v>
      </c>
      <c r="K675" t="str">
        <f>tblTeamFixtures[[#This Row],[Team_name]]&amp;"_"&amp;tblTeamFixtures[[#This Row],[GW]]</f>
        <v>AVL_34</v>
      </c>
      <c r="L675">
        <f>IFERROR(INDEX(TEAM_ANALYSIS!$Y:$Y,MATCH($E675,TEAM_ANALYSIS!$A:$A,0)),1)</f>
        <v>0.5</v>
      </c>
      <c r="M675">
        <f>IFERROR(INDEX(TEAM_ANALYSIS!$Z:$Z,MATCH($E675,TEAM_ANALYSIS!$A:$A,0)),1)</f>
        <v>1.088235294117647</v>
      </c>
      <c r="N675">
        <f>IFERROR(INDEX(TEAM_ANALYSIS!$Y:$Y,MATCH($F675,TEAM_ANALYSIS!$A:$A,0)),1)</f>
        <v>0.97058823529411764</v>
      </c>
      <c r="O675">
        <f>IFERROR(INDEX(TEAM_ANALYSIS!$Z:$Z,MATCH($F675,TEAM_ANALYSIS!$A:$A,0)),1)</f>
        <v>1.4411764705882353</v>
      </c>
      <c r="P675">
        <f>MAX(0.05,AVERAGE(TEAM_ANALYSIS!$W$2:$W$21)*L675*O675)</f>
        <v>1.53125</v>
      </c>
      <c r="Q675">
        <f>MAX(0.05,AVERAGE(TEAM_ANALYSIS!$W$2:$W$21)*N675*M675)</f>
        <v>2.2444852941176467</v>
      </c>
      <c r="R675" s="23">
        <f>MAX(0.8,MIN(1.2,P675/AVERAGE(TEAM_ANALYSIS!$W$2:$W$21)))</f>
        <v>0.8</v>
      </c>
      <c r="S675">
        <f>MAX(0.8,MIN(1.2,AVERAGE(TEAM_ANALYSIS!$W$2:$W$21)/Q675))</f>
        <v>0.94676494676494694</v>
      </c>
      <c r="T675">
        <f>AVERAGE(R675,S675)</f>
        <v>0.87338247338247355</v>
      </c>
    </row>
    <row r="676" spans="1:20" x14ac:dyDescent="0.25">
      <c r="A676">
        <v>34</v>
      </c>
      <c r="B676" t="b">
        <v>0</v>
      </c>
      <c r="C676" s="6">
        <v>46508.625</v>
      </c>
      <c r="D676" t="b">
        <v>0</v>
      </c>
      <c r="E676">
        <v>9</v>
      </c>
      <c r="F676">
        <v>10</v>
      </c>
      <c r="G676">
        <v>3</v>
      </c>
      <c r="H676" t="s">
        <v>1111</v>
      </c>
      <c r="I676" t="s">
        <v>1084</v>
      </c>
      <c r="J676" t="s">
        <v>1086</v>
      </c>
      <c r="K676" t="str">
        <f>tblTeamFixtures[[#This Row],[Team_name]]&amp;"_"&amp;tblTeamFixtures[[#This Row],[GW]]</f>
        <v>EVE_34</v>
      </c>
      <c r="L676">
        <f>IFERROR(INDEX(TEAM_ANALYSIS!$Y:$Y,MATCH($E676,TEAM_ANALYSIS!$A:$A,0)),1)</f>
        <v>1.088235294117647</v>
      </c>
      <c r="M676">
        <f>IFERROR(INDEX(TEAM_ANALYSIS!$Z:$Z,MATCH($E676,TEAM_ANALYSIS!$A:$A,0)),1)</f>
        <v>0.8529411764705882</v>
      </c>
      <c r="N676">
        <f>IFERROR(INDEX(TEAM_ANALYSIS!$Y:$Y,MATCH($F676,TEAM_ANALYSIS!$A:$A,0)),1)</f>
        <v>0.97058823529411764</v>
      </c>
      <c r="O676">
        <f>IFERROR(INDEX(TEAM_ANALYSIS!$Z:$Z,MATCH($F676,TEAM_ANALYSIS!$A:$A,0)),1)</f>
        <v>1.3235294117647058</v>
      </c>
      <c r="P676">
        <f>MAX(0.05,AVERAGE(TEAM_ANALYSIS!$W$2:$W$21)*L676*O676)</f>
        <v>3.0606617647058822</v>
      </c>
      <c r="Q676">
        <f>MAX(0.05,AVERAGE(TEAM_ANALYSIS!$W$2:$W$21)*N676*M676)</f>
        <v>1.7591911764705881</v>
      </c>
      <c r="R676" s="23">
        <f>MAX(0.8,MIN(1.2,P676/AVERAGE(TEAM_ANALYSIS!$W$2:$W$21)))</f>
        <v>1.2</v>
      </c>
      <c r="S676">
        <f>MAX(0.8,MIN(1.2,AVERAGE(TEAM_ANALYSIS!$W$2:$W$21)/Q676))</f>
        <v>1.2</v>
      </c>
      <c r="T676">
        <f>AVERAGE(R676,S676)</f>
        <v>1.2</v>
      </c>
    </row>
    <row r="677" spans="1:20" x14ac:dyDescent="0.25">
      <c r="A677">
        <v>34</v>
      </c>
      <c r="B677" t="b">
        <v>0</v>
      </c>
      <c r="C677" s="6">
        <v>46508.625</v>
      </c>
      <c r="D677" t="b">
        <v>0</v>
      </c>
      <c r="E677">
        <v>3</v>
      </c>
      <c r="F677">
        <v>11</v>
      </c>
      <c r="G677">
        <v>2</v>
      </c>
      <c r="H677" t="s">
        <v>1111</v>
      </c>
      <c r="I677" t="s">
        <v>1072</v>
      </c>
      <c r="J677" t="s">
        <v>1088</v>
      </c>
      <c r="K677" t="str">
        <f>tblTeamFixtures[[#This Row],[Team_name]]&amp;"_"&amp;tblTeamFixtures[[#This Row],[GW]]</f>
        <v>BOU_34</v>
      </c>
      <c r="L677">
        <f>IFERROR(INDEX(TEAM_ANALYSIS!$Y:$Y,MATCH($E677,TEAM_ANALYSIS!$A:$A,0)),1)</f>
        <v>0.97058823529411764</v>
      </c>
      <c r="M677">
        <f>IFERROR(INDEX(TEAM_ANALYSIS!$Z:$Z,MATCH($E677,TEAM_ANALYSIS!$A:$A,0)),1)</f>
        <v>1.088235294117647</v>
      </c>
      <c r="N677">
        <f>IFERROR(INDEX(TEAM_ANALYSIS!$Y:$Y,MATCH($F677,TEAM_ANALYSIS!$A:$A,0)),1)</f>
        <v>0.8529411764705882</v>
      </c>
      <c r="O677">
        <f>IFERROR(INDEX(TEAM_ANALYSIS!$Z:$Z,MATCH($F677,TEAM_ANALYSIS!$A:$A,0)),1)</f>
        <v>0.5</v>
      </c>
      <c r="P677">
        <f>MAX(0.05,AVERAGE(TEAM_ANALYSIS!$W$2:$W$21)*L677*O677)</f>
        <v>1.03125</v>
      </c>
      <c r="Q677">
        <f>MAX(0.05,AVERAGE(TEAM_ANALYSIS!$W$2:$W$21)*N677*M677)</f>
        <v>1.9724264705882351</v>
      </c>
      <c r="R677" s="23">
        <f>MAX(0.8,MIN(1.2,P677/AVERAGE(TEAM_ANALYSIS!$W$2:$W$21)))</f>
        <v>0.8</v>
      </c>
      <c r="S677">
        <f>MAX(0.8,MIN(1.2,AVERAGE(TEAM_ANALYSIS!$W$2:$W$21)/Q677))</f>
        <v>1.07735321528425</v>
      </c>
      <c r="T677">
        <f>AVERAGE(R677,S677)</f>
        <v>0.93867660764212502</v>
      </c>
    </row>
    <row r="678" spans="1:20" x14ac:dyDescent="0.25">
      <c r="A678">
        <v>34</v>
      </c>
      <c r="B678" t="b">
        <v>0</v>
      </c>
      <c r="C678" s="6">
        <v>46508.625</v>
      </c>
      <c r="D678" t="b">
        <v>0</v>
      </c>
      <c r="E678">
        <v>13</v>
      </c>
      <c r="F678">
        <v>12</v>
      </c>
      <c r="G678">
        <v>2</v>
      </c>
      <c r="H678" t="s">
        <v>1111</v>
      </c>
      <c r="I678" t="s">
        <v>1092</v>
      </c>
      <c r="J678" t="s">
        <v>1090</v>
      </c>
      <c r="K678" t="str">
        <f>tblTeamFixtures[[#This Row],[Team_name]]&amp;"_"&amp;tblTeamFixtures[[#This Row],[GW]]</f>
        <v>LEE_34</v>
      </c>
      <c r="L678">
        <f>IFERROR(INDEX(TEAM_ANALYSIS!$Y:$Y,MATCH($E678,TEAM_ANALYSIS!$A:$A,0)),1)</f>
        <v>0.8529411764705882</v>
      </c>
      <c r="M678">
        <f>IFERROR(INDEX(TEAM_ANALYSIS!$Z:$Z,MATCH($E678,TEAM_ANALYSIS!$A:$A,0)),1)</f>
        <v>0.73529411764705888</v>
      </c>
      <c r="N678">
        <f>IFERROR(INDEX(TEAM_ANALYSIS!$Y:$Y,MATCH($F678,TEAM_ANALYSIS!$A:$A,0)),1)</f>
        <v>0.97058823529411764</v>
      </c>
      <c r="O678">
        <f>IFERROR(INDEX(TEAM_ANALYSIS!$Z:$Z,MATCH($F678,TEAM_ANALYSIS!$A:$A,0)),1)</f>
        <v>1.4411764705882353</v>
      </c>
      <c r="P678">
        <f>MAX(0.05,AVERAGE(TEAM_ANALYSIS!$W$2:$W$21)*L678*O678)</f>
        <v>2.6121323529411766</v>
      </c>
      <c r="Q678">
        <f>MAX(0.05,AVERAGE(TEAM_ANALYSIS!$W$2:$W$21)*N678*M678)</f>
        <v>1.5165441176470589</v>
      </c>
      <c r="R678" s="23">
        <f>MAX(0.8,MIN(1.2,P678/AVERAGE(TEAM_ANALYSIS!$W$2:$W$21)))</f>
        <v>1.2</v>
      </c>
      <c r="S678">
        <f>MAX(0.8,MIN(1.2,AVERAGE(TEAM_ANALYSIS!$W$2:$W$21)/Q678))</f>
        <v>1.2</v>
      </c>
      <c r="T678">
        <f>AVERAGE(R678,S678)</f>
        <v>1.2</v>
      </c>
    </row>
    <row r="679" spans="1:20" x14ac:dyDescent="0.25">
      <c r="A679">
        <v>34</v>
      </c>
      <c r="B679" t="b">
        <v>0</v>
      </c>
      <c r="C679" s="6">
        <v>46508.625</v>
      </c>
      <c r="D679" t="b">
        <v>0</v>
      </c>
      <c r="E679">
        <v>6</v>
      </c>
      <c r="F679">
        <v>14</v>
      </c>
      <c r="G679">
        <v>4</v>
      </c>
      <c r="H679" t="s">
        <v>1111</v>
      </c>
      <c r="I679" t="s">
        <v>1078</v>
      </c>
      <c r="J679" t="s">
        <v>1094</v>
      </c>
      <c r="K679" t="str">
        <f>tblTeamFixtures[[#This Row],[Team_name]]&amp;"_"&amp;tblTeamFixtures[[#This Row],[GW]]</f>
        <v>CHE_34</v>
      </c>
      <c r="L679">
        <f>IFERROR(INDEX(TEAM_ANALYSIS!$Y:$Y,MATCH($E679,TEAM_ANALYSIS!$A:$A,0)),1)</f>
        <v>1.4411764705882353</v>
      </c>
      <c r="M679">
        <f>IFERROR(INDEX(TEAM_ANALYSIS!$Z:$Z,MATCH($E679,TEAM_ANALYSIS!$A:$A,0)),1)</f>
        <v>1.3235294117647058</v>
      </c>
      <c r="N679">
        <f>IFERROR(INDEX(TEAM_ANALYSIS!$Y:$Y,MATCH($F679,TEAM_ANALYSIS!$A:$A,0)),1)</f>
        <v>1.2058823529411764</v>
      </c>
      <c r="O679">
        <f>IFERROR(INDEX(TEAM_ANALYSIS!$Z:$Z,MATCH($F679,TEAM_ANALYSIS!$A:$A,0)),1)</f>
        <v>0.97058823529411764</v>
      </c>
      <c r="P679">
        <f>MAX(0.05,AVERAGE(TEAM_ANALYSIS!$W$2:$W$21)*L679*O679)</f>
        <v>2.9724264705882351</v>
      </c>
      <c r="Q679">
        <f>MAX(0.05,AVERAGE(TEAM_ANALYSIS!$W$2:$W$21)*N679*M679)</f>
        <v>3.3915441176470589</v>
      </c>
      <c r="R679" s="23">
        <f>MAX(0.8,MIN(1.2,P679/AVERAGE(TEAM_ANALYSIS!$W$2:$W$21)))</f>
        <v>1.2</v>
      </c>
      <c r="S679">
        <f>MAX(0.8,MIN(1.2,AVERAGE(TEAM_ANALYSIS!$W$2:$W$21)/Q679))</f>
        <v>0.8</v>
      </c>
      <c r="T679">
        <f>AVERAGE(R679,S679)</f>
        <v>1</v>
      </c>
    </row>
    <row r="680" spans="1:20" x14ac:dyDescent="0.25">
      <c r="A680">
        <v>34</v>
      </c>
      <c r="B680" t="b">
        <v>0</v>
      </c>
      <c r="C680" s="6">
        <v>46508.625</v>
      </c>
      <c r="D680" t="b">
        <v>0</v>
      </c>
      <c r="E680">
        <v>4</v>
      </c>
      <c r="F680">
        <v>15</v>
      </c>
      <c r="G680">
        <v>5</v>
      </c>
      <c r="H680" t="s">
        <v>1111</v>
      </c>
      <c r="I680" t="s">
        <v>1074</v>
      </c>
      <c r="J680" t="s">
        <v>1096</v>
      </c>
      <c r="K680" t="str">
        <f>tblTeamFixtures[[#This Row],[Team_name]]&amp;"_"&amp;tblTeamFixtures[[#This Row],[GW]]</f>
        <v>BRE_34</v>
      </c>
      <c r="L680">
        <f>IFERROR(INDEX(TEAM_ANALYSIS!$Y:$Y,MATCH($E680,TEAM_ANALYSIS!$A:$A,0)),1)</f>
        <v>1.088235294117647</v>
      </c>
      <c r="M680">
        <f>IFERROR(INDEX(TEAM_ANALYSIS!$Z:$Z,MATCH($E680,TEAM_ANALYSIS!$A:$A,0)),1)</f>
        <v>0.73529411764705888</v>
      </c>
      <c r="N680">
        <f>IFERROR(INDEX(TEAM_ANALYSIS!$Y:$Y,MATCH($F680,TEAM_ANALYSIS!$A:$A,0)),1)</f>
        <v>1.3235294117647058</v>
      </c>
      <c r="O680">
        <f>IFERROR(INDEX(TEAM_ANALYSIS!$Z:$Z,MATCH($F680,TEAM_ANALYSIS!$A:$A,0)),1)</f>
        <v>0.73529411764705888</v>
      </c>
      <c r="P680">
        <f>MAX(0.05,AVERAGE(TEAM_ANALYSIS!$W$2:$W$21)*L680*O680)</f>
        <v>1.7003676470588236</v>
      </c>
      <c r="Q680">
        <f>MAX(0.05,AVERAGE(TEAM_ANALYSIS!$W$2:$W$21)*N680*M680)</f>
        <v>2.0680147058823533</v>
      </c>
      <c r="R680" s="23">
        <f>MAX(0.8,MIN(1.2,P680/AVERAGE(TEAM_ANALYSIS!$W$2:$W$21)))</f>
        <v>0.80017301038062283</v>
      </c>
      <c r="S680">
        <f>MAX(0.8,MIN(1.2,AVERAGE(TEAM_ANALYSIS!$W$2:$W$21)/Q680))</f>
        <v>1.0275555555555553</v>
      </c>
      <c r="T680">
        <f>AVERAGE(R680,S680)</f>
        <v>0.91386428296808908</v>
      </c>
    </row>
    <row r="681" spans="1:20" x14ac:dyDescent="0.25">
      <c r="A681">
        <v>34</v>
      </c>
      <c r="B681" t="b">
        <v>0</v>
      </c>
      <c r="C681" s="6">
        <v>46508.625</v>
      </c>
      <c r="D681" t="b">
        <v>0</v>
      </c>
      <c r="E681">
        <v>17</v>
      </c>
      <c r="F681">
        <v>20</v>
      </c>
      <c r="G681">
        <v>3</v>
      </c>
      <c r="H681" t="s">
        <v>1111</v>
      </c>
      <c r="I681" t="s">
        <v>1100</v>
      </c>
      <c r="J681" t="s">
        <v>1106</v>
      </c>
      <c r="K681" t="str">
        <f>tblTeamFixtures[[#This Row],[Team_name]]&amp;"_"&amp;tblTeamFixtures[[#This Row],[GW]]</f>
        <v>NEW_34</v>
      </c>
      <c r="L681">
        <f>IFERROR(INDEX(TEAM_ANALYSIS!$Y:$Y,MATCH($E681,TEAM_ANALYSIS!$A:$A,0)),1)</f>
        <v>1.2058823529411764</v>
      </c>
      <c r="M681">
        <f>IFERROR(INDEX(TEAM_ANALYSIS!$Z:$Z,MATCH($E681,TEAM_ANALYSIS!$A:$A,0)),1)</f>
        <v>0.97058823529411764</v>
      </c>
      <c r="N681">
        <f>IFERROR(INDEX(TEAM_ANALYSIS!$Y:$Y,MATCH($F681,TEAM_ANALYSIS!$A:$A,0)),1)</f>
        <v>0.8529411764705882</v>
      </c>
      <c r="O681">
        <f>IFERROR(INDEX(TEAM_ANALYSIS!$Z:$Z,MATCH($F681,TEAM_ANALYSIS!$A:$A,0)),1)</f>
        <v>0.8529411764705882</v>
      </c>
      <c r="P681">
        <f>MAX(0.05,AVERAGE(TEAM_ANALYSIS!$W$2:$W$21)*L681*O681)</f>
        <v>2.1856617647058822</v>
      </c>
      <c r="Q681">
        <f>MAX(0.05,AVERAGE(TEAM_ANALYSIS!$W$2:$W$21)*N681*M681)</f>
        <v>1.7591911764705883</v>
      </c>
      <c r="R681" s="23">
        <f>MAX(0.8,MIN(1.2,P681/AVERAGE(TEAM_ANALYSIS!$W$2:$W$21)))</f>
        <v>1.0285467128027681</v>
      </c>
      <c r="S681">
        <f>MAX(0.8,MIN(1.2,AVERAGE(TEAM_ANALYSIS!$W$2:$W$21)/Q681))</f>
        <v>1.2</v>
      </c>
      <c r="T681">
        <f>AVERAGE(R681,S681)</f>
        <v>1.114273356401384</v>
      </c>
    </row>
    <row r="682" spans="1:20" x14ac:dyDescent="0.25">
      <c r="A682">
        <v>35</v>
      </c>
      <c r="B682" t="b">
        <v>0</v>
      </c>
      <c r="C682" s="6">
        <v>46515.625</v>
      </c>
      <c r="D682" t="b">
        <v>0</v>
      </c>
      <c r="E682">
        <v>3</v>
      </c>
      <c r="F682">
        <v>16</v>
      </c>
      <c r="G682">
        <v>4</v>
      </c>
      <c r="H682" t="s">
        <v>1110</v>
      </c>
      <c r="I682" t="s">
        <v>1072</v>
      </c>
      <c r="J682" t="s">
        <v>1098</v>
      </c>
      <c r="K682" t="str">
        <f>tblTeamFixtures[[#This Row],[Team_name]]&amp;"_"&amp;tblTeamFixtures[[#This Row],[GW]]</f>
        <v>BOU_35</v>
      </c>
      <c r="L682">
        <f>IFERROR(INDEX(TEAM_ANALYSIS!$Y:$Y,MATCH($E682,TEAM_ANALYSIS!$A:$A,0)),1)</f>
        <v>0.97058823529411764</v>
      </c>
      <c r="M682">
        <f>IFERROR(INDEX(TEAM_ANALYSIS!$Z:$Z,MATCH($E682,TEAM_ANALYSIS!$A:$A,0)),1)</f>
        <v>1.088235294117647</v>
      </c>
      <c r="N682">
        <f>IFERROR(INDEX(TEAM_ANALYSIS!$Y:$Y,MATCH($F682,TEAM_ANALYSIS!$A:$A,0)),1)</f>
        <v>1.3235294117647058</v>
      </c>
      <c r="O682">
        <f>IFERROR(INDEX(TEAM_ANALYSIS!$Z:$Z,MATCH($F682,TEAM_ANALYSIS!$A:$A,0)),1)</f>
        <v>1.2058823529411764</v>
      </c>
      <c r="P682">
        <f>MAX(0.05,AVERAGE(TEAM_ANALYSIS!$W$2:$W$21)*L682*O682)</f>
        <v>2.4871323529411762</v>
      </c>
      <c r="Q682">
        <f>MAX(0.05,AVERAGE(TEAM_ANALYSIS!$W$2:$W$21)*N682*M682)</f>
        <v>3.0606617647058822</v>
      </c>
      <c r="R682" s="23">
        <f>MAX(0.8,MIN(1.2,P682/AVERAGE(TEAM_ANALYSIS!$W$2:$W$21)))</f>
        <v>1.1704152249134947</v>
      </c>
      <c r="S682">
        <f>MAX(0.8,MIN(1.2,AVERAGE(TEAM_ANALYSIS!$W$2:$W$21)/Q682))</f>
        <v>0.8</v>
      </c>
      <c r="T682">
        <f>AVERAGE(R682,S682)</f>
        <v>0.98520761245674737</v>
      </c>
    </row>
    <row r="683" spans="1:20" x14ac:dyDescent="0.25">
      <c r="A683">
        <v>35</v>
      </c>
      <c r="B683" t="b">
        <v>0</v>
      </c>
      <c r="C683" s="6">
        <v>46515.625</v>
      </c>
      <c r="D683" t="b">
        <v>0</v>
      </c>
      <c r="E683">
        <v>4</v>
      </c>
      <c r="F683">
        <v>2</v>
      </c>
      <c r="G683">
        <v>3</v>
      </c>
      <c r="H683" t="s">
        <v>1110</v>
      </c>
      <c r="I683" t="s">
        <v>1074</v>
      </c>
      <c r="J683" t="s">
        <v>1070</v>
      </c>
      <c r="K683" t="str">
        <f>tblTeamFixtures[[#This Row],[Team_name]]&amp;"_"&amp;tblTeamFixtures[[#This Row],[GW]]</f>
        <v>BRE_35</v>
      </c>
      <c r="L683">
        <f>IFERROR(INDEX(TEAM_ANALYSIS!$Y:$Y,MATCH($E683,TEAM_ANALYSIS!$A:$A,0)),1)</f>
        <v>1.088235294117647</v>
      </c>
      <c r="M683">
        <f>IFERROR(INDEX(TEAM_ANALYSIS!$Z:$Z,MATCH($E683,TEAM_ANALYSIS!$A:$A,0)),1)</f>
        <v>0.73529411764705888</v>
      </c>
      <c r="N683">
        <f>IFERROR(INDEX(TEAM_ANALYSIS!$Y:$Y,MATCH($F683,TEAM_ANALYSIS!$A:$A,0)),1)</f>
        <v>0.5</v>
      </c>
      <c r="O683">
        <f>IFERROR(INDEX(TEAM_ANALYSIS!$Z:$Z,MATCH($F683,TEAM_ANALYSIS!$A:$A,0)),1)</f>
        <v>1.088235294117647</v>
      </c>
      <c r="P683">
        <f>MAX(0.05,AVERAGE(TEAM_ANALYSIS!$W$2:$W$21)*L683*O683)</f>
        <v>2.5165441176470584</v>
      </c>
      <c r="Q683">
        <f>MAX(0.05,AVERAGE(TEAM_ANALYSIS!$W$2:$W$21)*N683*M683)</f>
        <v>0.78125</v>
      </c>
      <c r="R683" s="23">
        <f>MAX(0.8,MIN(1.2,P683/AVERAGE(TEAM_ANALYSIS!$W$2:$W$21)))</f>
        <v>1.1842560553633217</v>
      </c>
      <c r="S683">
        <f>MAX(0.8,MIN(1.2,AVERAGE(TEAM_ANALYSIS!$W$2:$W$21)/Q683))</f>
        <v>1.2</v>
      </c>
      <c r="T683">
        <f>AVERAGE(R683,S683)</f>
        <v>1.1921280276816608</v>
      </c>
    </row>
    <row r="684" spans="1:20" x14ac:dyDescent="0.25">
      <c r="A684">
        <v>35</v>
      </c>
      <c r="B684" t="b">
        <v>0</v>
      </c>
      <c r="C684" s="6">
        <v>46515.625</v>
      </c>
      <c r="D684" t="b">
        <v>0</v>
      </c>
      <c r="E684">
        <v>5</v>
      </c>
      <c r="F684">
        <v>20</v>
      </c>
      <c r="G684">
        <v>2</v>
      </c>
      <c r="H684" t="s">
        <v>1110</v>
      </c>
      <c r="I684" t="s">
        <v>1076</v>
      </c>
      <c r="J684" t="s">
        <v>1106</v>
      </c>
      <c r="K684" t="str">
        <f>tblTeamFixtures[[#This Row],[Team_name]]&amp;"_"&amp;tblTeamFixtures[[#This Row],[GW]]</f>
        <v>BHA_35</v>
      </c>
      <c r="L684">
        <f>IFERROR(INDEX(TEAM_ANALYSIS!$Y:$Y,MATCH($E684,TEAM_ANALYSIS!$A:$A,0)),1)</f>
        <v>1.4411764705882353</v>
      </c>
      <c r="M684">
        <f>IFERROR(INDEX(TEAM_ANALYSIS!$Z:$Z,MATCH($E684,TEAM_ANALYSIS!$A:$A,0)),1)</f>
        <v>1.088235294117647</v>
      </c>
      <c r="N684">
        <f>IFERROR(INDEX(TEAM_ANALYSIS!$Y:$Y,MATCH($F684,TEAM_ANALYSIS!$A:$A,0)),1)</f>
        <v>0.8529411764705882</v>
      </c>
      <c r="O684">
        <f>IFERROR(INDEX(TEAM_ANALYSIS!$Z:$Z,MATCH($F684,TEAM_ANALYSIS!$A:$A,0)),1)</f>
        <v>0.8529411764705882</v>
      </c>
      <c r="P684">
        <f>MAX(0.05,AVERAGE(TEAM_ANALYSIS!$W$2:$W$21)*L684*O684)</f>
        <v>2.6121323529411762</v>
      </c>
      <c r="Q684">
        <f>MAX(0.05,AVERAGE(TEAM_ANALYSIS!$W$2:$W$21)*N684*M684)</f>
        <v>1.9724264705882351</v>
      </c>
      <c r="R684" s="23">
        <f>MAX(0.8,MIN(1.2,P684/AVERAGE(TEAM_ANALYSIS!$W$2:$W$21)))</f>
        <v>1.2</v>
      </c>
      <c r="S684">
        <f>MAX(0.8,MIN(1.2,AVERAGE(TEAM_ANALYSIS!$W$2:$W$21)/Q684))</f>
        <v>1.07735321528425</v>
      </c>
      <c r="T684">
        <f>AVERAGE(R684,S684)</f>
        <v>1.1386766076421249</v>
      </c>
    </row>
    <row r="685" spans="1:20" x14ac:dyDescent="0.25">
      <c r="A685">
        <v>35</v>
      </c>
      <c r="B685" t="b">
        <v>0</v>
      </c>
      <c r="C685" s="6">
        <v>46515.625</v>
      </c>
      <c r="D685" t="b">
        <v>0</v>
      </c>
      <c r="E685">
        <v>9</v>
      </c>
      <c r="F685">
        <v>11</v>
      </c>
      <c r="G685">
        <v>2</v>
      </c>
      <c r="H685" t="s">
        <v>1110</v>
      </c>
      <c r="I685" t="s">
        <v>1084</v>
      </c>
      <c r="J685" t="s">
        <v>1088</v>
      </c>
      <c r="K685" t="str">
        <f>tblTeamFixtures[[#This Row],[Team_name]]&amp;"_"&amp;tblTeamFixtures[[#This Row],[GW]]</f>
        <v>EVE_35</v>
      </c>
      <c r="L685">
        <f>IFERROR(INDEX(TEAM_ANALYSIS!$Y:$Y,MATCH($E685,TEAM_ANALYSIS!$A:$A,0)),1)</f>
        <v>1.088235294117647</v>
      </c>
      <c r="M685">
        <f>IFERROR(INDEX(TEAM_ANALYSIS!$Z:$Z,MATCH($E685,TEAM_ANALYSIS!$A:$A,0)),1)</f>
        <v>0.8529411764705882</v>
      </c>
      <c r="N685">
        <f>IFERROR(INDEX(TEAM_ANALYSIS!$Y:$Y,MATCH($F685,TEAM_ANALYSIS!$A:$A,0)),1)</f>
        <v>0.8529411764705882</v>
      </c>
      <c r="O685">
        <f>IFERROR(INDEX(TEAM_ANALYSIS!$Z:$Z,MATCH($F685,TEAM_ANALYSIS!$A:$A,0)),1)</f>
        <v>0.5</v>
      </c>
      <c r="P685">
        <f>MAX(0.05,AVERAGE(TEAM_ANALYSIS!$W$2:$W$21)*L685*O685)</f>
        <v>1.15625</v>
      </c>
      <c r="Q685">
        <f>MAX(0.05,AVERAGE(TEAM_ANALYSIS!$W$2:$W$21)*N685*M685)</f>
        <v>1.5459558823529411</v>
      </c>
      <c r="R685" s="23">
        <f>MAX(0.8,MIN(1.2,P685/AVERAGE(TEAM_ANALYSIS!$W$2:$W$21)))</f>
        <v>0.8</v>
      </c>
      <c r="S685">
        <f>MAX(0.8,MIN(1.2,AVERAGE(TEAM_ANALYSIS!$W$2:$W$21)/Q685))</f>
        <v>1.2</v>
      </c>
      <c r="T685">
        <f>AVERAGE(R685,S685)</f>
        <v>1</v>
      </c>
    </row>
    <row r="686" spans="1:20" x14ac:dyDescent="0.25">
      <c r="A686">
        <v>35</v>
      </c>
      <c r="B686" t="b">
        <v>0</v>
      </c>
      <c r="C686" s="6">
        <v>46515.625</v>
      </c>
      <c r="D686" t="b">
        <v>0</v>
      </c>
      <c r="E686">
        <v>10</v>
      </c>
      <c r="F686">
        <v>12</v>
      </c>
      <c r="G686">
        <v>2</v>
      </c>
      <c r="H686" t="s">
        <v>1110</v>
      </c>
      <c r="I686" t="s">
        <v>1086</v>
      </c>
      <c r="J686" t="s">
        <v>1090</v>
      </c>
      <c r="K686" t="str">
        <f>tblTeamFixtures[[#This Row],[Team_name]]&amp;"_"&amp;tblTeamFixtures[[#This Row],[GW]]</f>
        <v>FUL_35</v>
      </c>
      <c r="L686">
        <f>IFERROR(INDEX(TEAM_ANALYSIS!$Y:$Y,MATCH($E686,TEAM_ANALYSIS!$A:$A,0)),1)</f>
        <v>0.97058823529411764</v>
      </c>
      <c r="M686">
        <f>IFERROR(INDEX(TEAM_ANALYSIS!$Z:$Z,MATCH($E686,TEAM_ANALYSIS!$A:$A,0)),1)</f>
        <v>1.3235294117647058</v>
      </c>
      <c r="N686">
        <f>IFERROR(INDEX(TEAM_ANALYSIS!$Y:$Y,MATCH($F686,TEAM_ANALYSIS!$A:$A,0)),1)</f>
        <v>0.97058823529411764</v>
      </c>
      <c r="O686">
        <f>IFERROR(INDEX(TEAM_ANALYSIS!$Z:$Z,MATCH($F686,TEAM_ANALYSIS!$A:$A,0)),1)</f>
        <v>1.4411764705882353</v>
      </c>
      <c r="P686">
        <f>MAX(0.05,AVERAGE(TEAM_ANALYSIS!$W$2:$W$21)*L686*O686)</f>
        <v>2.9724264705882351</v>
      </c>
      <c r="Q686">
        <f>MAX(0.05,AVERAGE(TEAM_ANALYSIS!$W$2:$W$21)*N686*M686)</f>
        <v>2.7297794117647056</v>
      </c>
      <c r="R686" s="23">
        <f>MAX(0.8,MIN(1.2,P686/AVERAGE(TEAM_ANALYSIS!$W$2:$W$21)))</f>
        <v>1.2</v>
      </c>
      <c r="S686">
        <f>MAX(0.8,MIN(1.2,AVERAGE(TEAM_ANALYSIS!$W$2:$W$21)/Q686))</f>
        <v>0.8</v>
      </c>
      <c r="T686">
        <f>AVERAGE(R686,S686)</f>
        <v>1</v>
      </c>
    </row>
    <row r="687" spans="1:20" x14ac:dyDescent="0.25">
      <c r="A687">
        <v>35</v>
      </c>
      <c r="B687" t="b">
        <v>0</v>
      </c>
      <c r="C687" s="6">
        <v>46515.625</v>
      </c>
      <c r="D687" t="b">
        <v>0</v>
      </c>
      <c r="E687">
        <v>13</v>
      </c>
      <c r="F687">
        <v>1</v>
      </c>
      <c r="G687">
        <v>4</v>
      </c>
      <c r="H687" t="s">
        <v>1110</v>
      </c>
      <c r="I687" t="s">
        <v>1092</v>
      </c>
      <c r="J687" t="s">
        <v>1068</v>
      </c>
      <c r="K687" t="str">
        <f>tblTeamFixtures[[#This Row],[Team_name]]&amp;"_"&amp;tblTeamFixtures[[#This Row],[GW]]</f>
        <v>LEE_35</v>
      </c>
      <c r="L687">
        <f>IFERROR(INDEX(TEAM_ANALYSIS!$Y:$Y,MATCH($E687,TEAM_ANALYSIS!$A:$A,0)),1)</f>
        <v>0.8529411764705882</v>
      </c>
      <c r="M687">
        <f>IFERROR(INDEX(TEAM_ANALYSIS!$Z:$Z,MATCH($E687,TEAM_ANALYSIS!$A:$A,0)),1)</f>
        <v>0.73529411764705888</v>
      </c>
      <c r="N687">
        <f>IFERROR(INDEX(TEAM_ANALYSIS!$Y:$Y,MATCH($F687,TEAM_ANALYSIS!$A:$A,0)),1)</f>
        <v>1.2058823529411764</v>
      </c>
      <c r="O687">
        <f>IFERROR(INDEX(TEAM_ANALYSIS!$Z:$Z,MATCH($F687,TEAM_ANALYSIS!$A:$A,0)),1)</f>
        <v>0.61764705882352944</v>
      </c>
      <c r="P687">
        <f>MAX(0.05,AVERAGE(TEAM_ANALYSIS!$W$2:$W$21)*L687*O687)</f>
        <v>1.1194852941176472</v>
      </c>
      <c r="Q687">
        <f>MAX(0.05,AVERAGE(TEAM_ANALYSIS!$W$2:$W$21)*N687*M687)</f>
        <v>1.8841911764705883</v>
      </c>
      <c r="R687" s="23">
        <f>MAX(0.8,MIN(1.2,P687/AVERAGE(TEAM_ANALYSIS!$W$2:$W$21)))</f>
        <v>0.8</v>
      </c>
      <c r="S687">
        <f>MAX(0.8,MIN(1.2,AVERAGE(TEAM_ANALYSIS!$W$2:$W$21)/Q687))</f>
        <v>1.1278048780487804</v>
      </c>
      <c r="T687">
        <f>AVERAGE(R687,S687)</f>
        <v>0.96390243902439021</v>
      </c>
    </row>
    <row r="688" spans="1:20" x14ac:dyDescent="0.25">
      <c r="A688">
        <v>35</v>
      </c>
      <c r="B688" t="b">
        <v>0</v>
      </c>
      <c r="C688" s="6">
        <v>46515.625</v>
      </c>
      <c r="D688" t="b">
        <v>0</v>
      </c>
      <c r="E688">
        <v>15</v>
      </c>
      <c r="F688">
        <v>14</v>
      </c>
      <c r="G688">
        <v>4</v>
      </c>
      <c r="H688" t="s">
        <v>1110</v>
      </c>
      <c r="I688" t="s">
        <v>1096</v>
      </c>
      <c r="J688" t="s">
        <v>1094</v>
      </c>
      <c r="K688" t="str">
        <f>tblTeamFixtures[[#This Row],[Team_name]]&amp;"_"&amp;tblTeamFixtures[[#This Row],[GW]]</f>
        <v>MCI_35</v>
      </c>
      <c r="L688">
        <f>IFERROR(INDEX(TEAM_ANALYSIS!$Y:$Y,MATCH($E688,TEAM_ANALYSIS!$A:$A,0)),1)</f>
        <v>1.3235294117647058</v>
      </c>
      <c r="M688">
        <f>IFERROR(INDEX(TEAM_ANALYSIS!$Z:$Z,MATCH($E688,TEAM_ANALYSIS!$A:$A,0)),1)</f>
        <v>0.73529411764705888</v>
      </c>
      <c r="N688">
        <f>IFERROR(INDEX(TEAM_ANALYSIS!$Y:$Y,MATCH($F688,TEAM_ANALYSIS!$A:$A,0)),1)</f>
        <v>1.2058823529411764</v>
      </c>
      <c r="O688">
        <f>IFERROR(INDEX(TEAM_ANALYSIS!$Z:$Z,MATCH($F688,TEAM_ANALYSIS!$A:$A,0)),1)</f>
        <v>0.97058823529411764</v>
      </c>
      <c r="P688">
        <f>MAX(0.05,AVERAGE(TEAM_ANALYSIS!$W$2:$W$21)*L688*O688)</f>
        <v>2.7297794117647061</v>
      </c>
      <c r="Q688">
        <f>MAX(0.05,AVERAGE(TEAM_ANALYSIS!$W$2:$W$21)*N688*M688)</f>
        <v>1.8841911764705883</v>
      </c>
      <c r="R688" s="23">
        <f>MAX(0.8,MIN(1.2,P688/AVERAGE(TEAM_ANALYSIS!$W$2:$W$21)))</f>
        <v>1.2</v>
      </c>
      <c r="S688">
        <f>MAX(0.8,MIN(1.2,AVERAGE(TEAM_ANALYSIS!$W$2:$W$21)/Q688))</f>
        <v>1.1278048780487804</v>
      </c>
      <c r="T688">
        <f>AVERAGE(R688,S688)</f>
        <v>1.1639024390243902</v>
      </c>
    </row>
    <row r="689" spans="1:20" x14ac:dyDescent="0.25">
      <c r="A689">
        <v>35</v>
      </c>
      <c r="B689" t="b">
        <v>0</v>
      </c>
      <c r="C689" s="6">
        <v>46515.625</v>
      </c>
      <c r="D689" t="b">
        <v>0</v>
      </c>
      <c r="E689">
        <v>17</v>
      </c>
      <c r="F689">
        <v>7</v>
      </c>
      <c r="G689">
        <v>2</v>
      </c>
      <c r="H689" t="s">
        <v>1110</v>
      </c>
      <c r="I689" t="s">
        <v>1100</v>
      </c>
      <c r="J689" t="s">
        <v>1080</v>
      </c>
      <c r="K689" t="str">
        <f>tblTeamFixtures[[#This Row],[Team_name]]&amp;"_"&amp;tblTeamFixtures[[#This Row],[GW]]</f>
        <v>NEW_35</v>
      </c>
      <c r="L689">
        <f>IFERROR(INDEX(TEAM_ANALYSIS!$Y:$Y,MATCH($E689,TEAM_ANALYSIS!$A:$A,0)),1)</f>
        <v>1.2058823529411764</v>
      </c>
      <c r="M689">
        <f>IFERROR(INDEX(TEAM_ANALYSIS!$Z:$Z,MATCH($E689,TEAM_ANALYSIS!$A:$A,0)),1)</f>
        <v>0.97058823529411764</v>
      </c>
      <c r="N689">
        <f>IFERROR(INDEX(TEAM_ANALYSIS!$Y:$Y,MATCH($F689,TEAM_ANALYSIS!$A:$A,0)),1)</f>
        <v>0.5</v>
      </c>
      <c r="O689">
        <f>IFERROR(INDEX(TEAM_ANALYSIS!$Z:$Z,MATCH($F689,TEAM_ANALYSIS!$A:$A,0)),1)</f>
        <v>1.088235294117647</v>
      </c>
      <c r="P689">
        <f>MAX(0.05,AVERAGE(TEAM_ANALYSIS!$W$2:$W$21)*L689*O689)</f>
        <v>2.7886029411764706</v>
      </c>
      <c r="Q689">
        <f>MAX(0.05,AVERAGE(TEAM_ANALYSIS!$W$2:$W$21)*N689*M689)</f>
        <v>1.03125</v>
      </c>
      <c r="R689" s="23">
        <f>MAX(0.8,MIN(1.2,P689/AVERAGE(TEAM_ANALYSIS!$W$2:$W$21)))</f>
        <v>1.2</v>
      </c>
      <c r="S689">
        <f>MAX(0.8,MIN(1.2,AVERAGE(TEAM_ANALYSIS!$W$2:$W$21)/Q689))</f>
        <v>1.2</v>
      </c>
      <c r="T689">
        <f>AVERAGE(R689,S689)</f>
        <v>1.2</v>
      </c>
    </row>
    <row r="690" spans="1:20" x14ac:dyDescent="0.25">
      <c r="A690">
        <v>35</v>
      </c>
      <c r="B690" t="b">
        <v>0</v>
      </c>
      <c r="C690" s="6">
        <v>46515.625</v>
      </c>
      <c r="D690" t="b">
        <v>0</v>
      </c>
      <c r="E690">
        <v>18</v>
      </c>
      <c r="F690">
        <v>8</v>
      </c>
      <c r="G690">
        <v>3</v>
      </c>
      <c r="H690" t="s">
        <v>1110</v>
      </c>
      <c r="I690" t="s">
        <v>1102</v>
      </c>
      <c r="J690" t="s">
        <v>1082</v>
      </c>
      <c r="K690" t="str">
        <f>tblTeamFixtures[[#This Row],[Team_name]]&amp;"_"&amp;tblTeamFixtures[[#This Row],[GW]]</f>
        <v>NFO_35</v>
      </c>
      <c r="L690">
        <f>IFERROR(INDEX(TEAM_ANALYSIS!$Y:$Y,MATCH($E690,TEAM_ANALYSIS!$A:$A,0)),1)</f>
        <v>0.73529411764705888</v>
      </c>
      <c r="M690">
        <f>IFERROR(INDEX(TEAM_ANALYSIS!$Z:$Z,MATCH($E690,TEAM_ANALYSIS!$A:$A,0)),1)</f>
        <v>0.8529411764705882</v>
      </c>
      <c r="N690">
        <f>IFERROR(INDEX(TEAM_ANALYSIS!$Y:$Y,MATCH($F690,TEAM_ANALYSIS!$A:$A,0)),1)</f>
        <v>0.97058823529411764</v>
      </c>
      <c r="O690">
        <f>IFERROR(INDEX(TEAM_ANALYSIS!$Z:$Z,MATCH($F690,TEAM_ANALYSIS!$A:$A,0)),1)</f>
        <v>1.4411764705882353</v>
      </c>
      <c r="P690">
        <f>MAX(0.05,AVERAGE(TEAM_ANALYSIS!$W$2:$W$21)*L690*O690)</f>
        <v>2.2518382352941178</v>
      </c>
      <c r="Q690">
        <f>MAX(0.05,AVERAGE(TEAM_ANALYSIS!$W$2:$W$21)*N690*M690)</f>
        <v>1.7591911764705881</v>
      </c>
      <c r="R690" s="23">
        <f>MAX(0.8,MIN(1.2,P690/AVERAGE(TEAM_ANALYSIS!$W$2:$W$21)))</f>
        <v>1.0596885813148789</v>
      </c>
      <c r="S690">
        <f>MAX(0.8,MIN(1.2,AVERAGE(TEAM_ANALYSIS!$W$2:$W$21)/Q690))</f>
        <v>1.2</v>
      </c>
      <c r="T690">
        <f>AVERAGE(R690,S690)</f>
        <v>1.1298442906574393</v>
      </c>
    </row>
    <row r="691" spans="1:20" x14ac:dyDescent="0.25">
      <c r="A691">
        <v>35</v>
      </c>
      <c r="B691" t="b">
        <v>0</v>
      </c>
      <c r="C691" s="6">
        <v>46515.625</v>
      </c>
      <c r="D691" t="b">
        <v>0</v>
      </c>
      <c r="E691">
        <v>19</v>
      </c>
      <c r="F691">
        <v>6</v>
      </c>
      <c r="G691">
        <v>4</v>
      </c>
      <c r="H691" t="s">
        <v>1110</v>
      </c>
      <c r="I691" t="s">
        <v>1104</v>
      </c>
      <c r="J691" t="s">
        <v>1078</v>
      </c>
      <c r="K691" t="str">
        <f>tblTeamFixtures[[#This Row],[Team_name]]&amp;"_"&amp;tblTeamFixtures[[#This Row],[GW]]</f>
        <v>TOT_35</v>
      </c>
      <c r="L691">
        <f>IFERROR(INDEX(TEAM_ANALYSIS!$Y:$Y,MATCH($E691,TEAM_ANALYSIS!$A:$A,0)),1)</f>
        <v>0.5</v>
      </c>
      <c r="M691">
        <f>IFERROR(INDEX(TEAM_ANALYSIS!$Z:$Z,MATCH($E691,TEAM_ANALYSIS!$A:$A,0)),1)</f>
        <v>1.088235294117647</v>
      </c>
      <c r="N691">
        <f>IFERROR(INDEX(TEAM_ANALYSIS!$Y:$Y,MATCH($F691,TEAM_ANALYSIS!$A:$A,0)),1)</f>
        <v>1.4411764705882353</v>
      </c>
      <c r="O691">
        <f>IFERROR(INDEX(TEAM_ANALYSIS!$Z:$Z,MATCH($F691,TEAM_ANALYSIS!$A:$A,0)),1)</f>
        <v>1.3235294117647058</v>
      </c>
      <c r="P691">
        <f>MAX(0.05,AVERAGE(TEAM_ANALYSIS!$W$2:$W$21)*L691*O691)</f>
        <v>1.40625</v>
      </c>
      <c r="Q691">
        <f>MAX(0.05,AVERAGE(TEAM_ANALYSIS!$W$2:$W$21)*N691*M691)</f>
        <v>3.3327205882352939</v>
      </c>
      <c r="R691" s="23">
        <f>MAX(0.8,MIN(1.2,P691/AVERAGE(TEAM_ANALYSIS!$W$2:$W$21)))</f>
        <v>0.8</v>
      </c>
      <c r="S691">
        <f>MAX(0.8,MIN(1.2,AVERAGE(TEAM_ANALYSIS!$W$2:$W$21)/Q691))</f>
        <v>0.8</v>
      </c>
      <c r="T691">
        <f>AVERAGE(R691,S691)</f>
        <v>0.8</v>
      </c>
    </row>
    <row r="692" spans="1:20" x14ac:dyDescent="0.25">
      <c r="A692">
        <v>35</v>
      </c>
      <c r="B692" t="b">
        <v>0</v>
      </c>
      <c r="C692" s="6">
        <v>46515.625</v>
      </c>
      <c r="D692" t="b">
        <v>0</v>
      </c>
      <c r="E692">
        <v>16</v>
      </c>
      <c r="F692">
        <v>3</v>
      </c>
      <c r="G692">
        <v>3</v>
      </c>
      <c r="H692" t="s">
        <v>1111</v>
      </c>
      <c r="I692" t="s">
        <v>1098</v>
      </c>
      <c r="J692" t="s">
        <v>1072</v>
      </c>
      <c r="K692" t="str">
        <f>tblTeamFixtures[[#This Row],[Team_name]]&amp;"_"&amp;tblTeamFixtures[[#This Row],[GW]]</f>
        <v>MUN_35</v>
      </c>
      <c r="L692">
        <f>IFERROR(INDEX(TEAM_ANALYSIS!$Y:$Y,MATCH($E692,TEAM_ANALYSIS!$A:$A,0)),1)</f>
        <v>1.3235294117647058</v>
      </c>
      <c r="M692">
        <f>IFERROR(INDEX(TEAM_ANALYSIS!$Z:$Z,MATCH($E692,TEAM_ANALYSIS!$A:$A,0)),1)</f>
        <v>1.2058823529411764</v>
      </c>
      <c r="N692">
        <f>IFERROR(INDEX(TEAM_ANALYSIS!$Y:$Y,MATCH($F692,TEAM_ANALYSIS!$A:$A,0)),1)</f>
        <v>0.97058823529411764</v>
      </c>
      <c r="O692">
        <f>IFERROR(INDEX(TEAM_ANALYSIS!$Z:$Z,MATCH($F692,TEAM_ANALYSIS!$A:$A,0)),1)</f>
        <v>1.088235294117647</v>
      </c>
      <c r="P692">
        <f>MAX(0.05,AVERAGE(TEAM_ANALYSIS!$W$2:$W$21)*L692*O692)</f>
        <v>3.0606617647058822</v>
      </c>
      <c r="Q692">
        <f>MAX(0.05,AVERAGE(TEAM_ANALYSIS!$W$2:$W$21)*N692*M692)</f>
        <v>2.4871323529411762</v>
      </c>
      <c r="R692" s="23">
        <f>MAX(0.8,MIN(1.2,P692/AVERAGE(TEAM_ANALYSIS!$W$2:$W$21)))</f>
        <v>1.2</v>
      </c>
      <c r="S692">
        <f>MAX(0.8,MIN(1.2,AVERAGE(TEAM_ANALYSIS!$W$2:$W$21)/Q692))</f>
        <v>0.85439763488543985</v>
      </c>
      <c r="T692">
        <f>AVERAGE(R692,S692)</f>
        <v>1.02719881744272</v>
      </c>
    </row>
    <row r="693" spans="1:20" x14ac:dyDescent="0.25">
      <c r="A693">
        <v>35</v>
      </c>
      <c r="B693" t="b">
        <v>0</v>
      </c>
      <c r="C693" s="6">
        <v>46515.625</v>
      </c>
      <c r="D693" t="b">
        <v>0</v>
      </c>
      <c r="E693">
        <v>2</v>
      </c>
      <c r="F693">
        <v>4</v>
      </c>
      <c r="G693">
        <v>3</v>
      </c>
      <c r="H693" t="s">
        <v>1111</v>
      </c>
      <c r="I693" t="s">
        <v>1070</v>
      </c>
      <c r="J693" t="s">
        <v>1074</v>
      </c>
      <c r="K693" t="str">
        <f>tblTeamFixtures[[#This Row],[Team_name]]&amp;"_"&amp;tblTeamFixtures[[#This Row],[GW]]</f>
        <v>AVL_35</v>
      </c>
      <c r="L693">
        <f>IFERROR(INDEX(TEAM_ANALYSIS!$Y:$Y,MATCH($E693,TEAM_ANALYSIS!$A:$A,0)),1)</f>
        <v>0.5</v>
      </c>
      <c r="M693">
        <f>IFERROR(INDEX(TEAM_ANALYSIS!$Z:$Z,MATCH($E693,TEAM_ANALYSIS!$A:$A,0)),1)</f>
        <v>1.088235294117647</v>
      </c>
      <c r="N693">
        <f>IFERROR(INDEX(TEAM_ANALYSIS!$Y:$Y,MATCH($F693,TEAM_ANALYSIS!$A:$A,0)),1)</f>
        <v>1.088235294117647</v>
      </c>
      <c r="O693">
        <f>IFERROR(INDEX(TEAM_ANALYSIS!$Z:$Z,MATCH($F693,TEAM_ANALYSIS!$A:$A,0)),1)</f>
        <v>0.73529411764705888</v>
      </c>
      <c r="P693">
        <f>MAX(0.05,AVERAGE(TEAM_ANALYSIS!$W$2:$W$21)*L693*O693)</f>
        <v>0.78125</v>
      </c>
      <c r="Q693">
        <f>MAX(0.05,AVERAGE(TEAM_ANALYSIS!$W$2:$W$21)*N693*M693)</f>
        <v>2.5165441176470584</v>
      </c>
      <c r="R693" s="23">
        <f>MAX(0.8,MIN(1.2,P693/AVERAGE(TEAM_ANALYSIS!$W$2:$W$21)))</f>
        <v>0.8</v>
      </c>
      <c r="S693">
        <f>MAX(0.8,MIN(1.2,AVERAGE(TEAM_ANALYSIS!$W$2:$W$21)/Q693))</f>
        <v>0.84441197954711478</v>
      </c>
      <c r="T693">
        <f>AVERAGE(R693,S693)</f>
        <v>0.82220598977355741</v>
      </c>
    </row>
    <row r="694" spans="1:20" x14ac:dyDescent="0.25">
      <c r="A694">
        <v>35</v>
      </c>
      <c r="B694" t="b">
        <v>0</v>
      </c>
      <c r="C694" s="6">
        <v>46515.625</v>
      </c>
      <c r="D694" t="b">
        <v>0</v>
      </c>
      <c r="E694">
        <v>20</v>
      </c>
      <c r="F694">
        <v>5</v>
      </c>
      <c r="G694">
        <v>3</v>
      </c>
      <c r="H694" t="s">
        <v>1111</v>
      </c>
      <c r="I694" t="s">
        <v>1106</v>
      </c>
      <c r="J694" t="s">
        <v>1076</v>
      </c>
      <c r="K694" t="str">
        <f>tblTeamFixtures[[#This Row],[Team_name]]&amp;"_"&amp;tblTeamFixtures[[#This Row],[GW]]</f>
        <v>SUN_35</v>
      </c>
      <c r="L694">
        <f>IFERROR(INDEX(TEAM_ANALYSIS!$Y:$Y,MATCH($E694,TEAM_ANALYSIS!$A:$A,0)),1)</f>
        <v>0.8529411764705882</v>
      </c>
      <c r="M694">
        <f>IFERROR(INDEX(TEAM_ANALYSIS!$Z:$Z,MATCH($E694,TEAM_ANALYSIS!$A:$A,0)),1)</f>
        <v>0.8529411764705882</v>
      </c>
      <c r="N694">
        <f>IFERROR(INDEX(TEAM_ANALYSIS!$Y:$Y,MATCH($F694,TEAM_ANALYSIS!$A:$A,0)),1)</f>
        <v>1.4411764705882353</v>
      </c>
      <c r="O694">
        <f>IFERROR(INDEX(TEAM_ANALYSIS!$Z:$Z,MATCH($F694,TEAM_ANALYSIS!$A:$A,0)),1)</f>
        <v>1.088235294117647</v>
      </c>
      <c r="P694">
        <f>MAX(0.05,AVERAGE(TEAM_ANALYSIS!$W$2:$W$21)*L694*O694)</f>
        <v>1.9724264705882351</v>
      </c>
      <c r="Q694">
        <f>MAX(0.05,AVERAGE(TEAM_ANALYSIS!$W$2:$W$21)*N694*M694)</f>
        <v>2.6121323529411762</v>
      </c>
      <c r="R694" s="23">
        <f>MAX(0.8,MIN(1.2,P694/AVERAGE(TEAM_ANALYSIS!$W$2:$W$21)))</f>
        <v>0.92820069204152233</v>
      </c>
      <c r="S694">
        <f>MAX(0.8,MIN(1.2,AVERAGE(TEAM_ANALYSIS!$W$2:$W$21)/Q694))</f>
        <v>0.81351161154116824</v>
      </c>
      <c r="T694">
        <f>AVERAGE(R694,S694)</f>
        <v>0.87085615179134535</v>
      </c>
    </row>
    <row r="695" spans="1:20" x14ac:dyDescent="0.25">
      <c r="A695">
        <v>35</v>
      </c>
      <c r="B695" t="b">
        <v>0</v>
      </c>
      <c r="C695" s="6">
        <v>46515.625</v>
      </c>
      <c r="D695" t="b">
        <v>0</v>
      </c>
      <c r="E695">
        <v>11</v>
      </c>
      <c r="F695">
        <v>9</v>
      </c>
      <c r="G695">
        <v>3</v>
      </c>
      <c r="H695" t="s">
        <v>1111</v>
      </c>
      <c r="I695" t="s">
        <v>1088</v>
      </c>
      <c r="J695" t="s">
        <v>1084</v>
      </c>
      <c r="K695" t="str">
        <f>tblTeamFixtures[[#This Row],[Team_name]]&amp;"_"&amp;tblTeamFixtures[[#This Row],[GW]]</f>
        <v>HUL_35</v>
      </c>
      <c r="L695">
        <f>IFERROR(INDEX(TEAM_ANALYSIS!$Y:$Y,MATCH($E695,TEAM_ANALYSIS!$A:$A,0)),1)</f>
        <v>0.8529411764705882</v>
      </c>
      <c r="M695">
        <f>IFERROR(INDEX(TEAM_ANALYSIS!$Z:$Z,MATCH($E695,TEAM_ANALYSIS!$A:$A,0)),1)</f>
        <v>0.5</v>
      </c>
      <c r="N695">
        <f>IFERROR(INDEX(TEAM_ANALYSIS!$Y:$Y,MATCH($F695,TEAM_ANALYSIS!$A:$A,0)),1)</f>
        <v>1.088235294117647</v>
      </c>
      <c r="O695">
        <f>IFERROR(INDEX(TEAM_ANALYSIS!$Z:$Z,MATCH($F695,TEAM_ANALYSIS!$A:$A,0)),1)</f>
        <v>0.8529411764705882</v>
      </c>
      <c r="P695">
        <f>MAX(0.05,AVERAGE(TEAM_ANALYSIS!$W$2:$W$21)*L695*O695)</f>
        <v>1.5459558823529411</v>
      </c>
      <c r="Q695">
        <f>MAX(0.05,AVERAGE(TEAM_ANALYSIS!$W$2:$W$21)*N695*M695)</f>
        <v>1.15625</v>
      </c>
      <c r="R695" s="23">
        <f>MAX(0.8,MIN(1.2,P695/AVERAGE(TEAM_ANALYSIS!$W$2:$W$21)))</f>
        <v>0.8</v>
      </c>
      <c r="S695">
        <f>MAX(0.8,MIN(1.2,AVERAGE(TEAM_ANALYSIS!$W$2:$W$21)/Q695))</f>
        <v>1.2</v>
      </c>
      <c r="T695">
        <f>AVERAGE(R695,S695)</f>
        <v>1</v>
      </c>
    </row>
    <row r="696" spans="1:20" x14ac:dyDescent="0.25">
      <c r="A696">
        <v>35</v>
      </c>
      <c r="B696" t="b">
        <v>0</v>
      </c>
      <c r="C696" s="6">
        <v>46515.625</v>
      </c>
      <c r="D696" t="b">
        <v>0</v>
      </c>
      <c r="E696">
        <v>12</v>
      </c>
      <c r="F696">
        <v>10</v>
      </c>
      <c r="G696">
        <v>3</v>
      </c>
      <c r="H696" t="s">
        <v>1111</v>
      </c>
      <c r="I696" t="s">
        <v>1090</v>
      </c>
      <c r="J696" t="s">
        <v>1086</v>
      </c>
      <c r="K696" t="str">
        <f>tblTeamFixtures[[#This Row],[Team_name]]&amp;"_"&amp;tblTeamFixtures[[#This Row],[GW]]</f>
        <v>IPS_35</v>
      </c>
      <c r="L696">
        <f>IFERROR(INDEX(TEAM_ANALYSIS!$Y:$Y,MATCH($E696,TEAM_ANALYSIS!$A:$A,0)),1)</f>
        <v>0.97058823529411764</v>
      </c>
      <c r="M696">
        <f>IFERROR(INDEX(TEAM_ANALYSIS!$Z:$Z,MATCH($E696,TEAM_ANALYSIS!$A:$A,0)),1)</f>
        <v>1.4411764705882353</v>
      </c>
      <c r="N696">
        <f>IFERROR(INDEX(TEAM_ANALYSIS!$Y:$Y,MATCH($F696,TEAM_ANALYSIS!$A:$A,0)),1)</f>
        <v>0.97058823529411764</v>
      </c>
      <c r="O696">
        <f>IFERROR(INDEX(TEAM_ANALYSIS!$Z:$Z,MATCH($F696,TEAM_ANALYSIS!$A:$A,0)),1)</f>
        <v>1.3235294117647058</v>
      </c>
      <c r="P696">
        <f>MAX(0.05,AVERAGE(TEAM_ANALYSIS!$W$2:$W$21)*L696*O696)</f>
        <v>2.7297794117647056</v>
      </c>
      <c r="Q696">
        <f>MAX(0.05,AVERAGE(TEAM_ANALYSIS!$W$2:$W$21)*N696*M696)</f>
        <v>2.9724264705882351</v>
      </c>
      <c r="R696" s="23">
        <f>MAX(0.8,MIN(1.2,P696/AVERAGE(TEAM_ANALYSIS!$W$2:$W$21)))</f>
        <v>1.2</v>
      </c>
      <c r="S696">
        <f>MAX(0.8,MIN(1.2,AVERAGE(TEAM_ANALYSIS!$W$2:$W$21)/Q696))</f>
        <v>0.8</v>
      </c>
      <c r="T696">
        <f>AVERAGE(R696,S696)</f>
        <v>1</v>
      </c>
    </row>
    <row r="697" spans="1:20" x14ac:dyDescent="0.25">
      <c r="A697">
        <v>35</v>
      </c>
      <c r="B697" t="b">
        <v>0</v>
      </c>
      <c r="C697" s="6">
        <v>46515.625</v>
      </c>
      <c r="D697" t="b">
        <v>0</v>
      </c>
      <c r="E697">
        <v>1</v>
      </c>
      <c r="F697">
        <v>13</v>
      </c>
      <c r="G697">
        <v>3</v>
      </c>
      <c r="H697" t="s">
        <v>1111</v>
      </c>
      <c r="I697" t="s">
        <v>1068</v>
      </c>
      <c r="J697" t="s">
        <v>1092</v>
      </c>
      <c r="K697" t="str">
        <f>tblTeamFixtures[[#This Row],[Team_name]]&amp;"_"&amp;tblTeamFixtures[[#This Row],[GW]]</f>
        <v>ARS_35</v>
      </c>
      <c r="L697">
        <f>IFERROR(INDEX(TEAM_ANALYSIS!$Y:$Y,MATCH($E697,TEAM_ANALYSIS!$A:$A,0)),1)</f>
        <v>1.2058823529411764</v>
      </c>
      <c r="M697">
        <f>IFERROR(INDEX(TEAM_ANALYSIS!$Z:$Z,MATCH($E697,TEAM_ANALYSIS!$A:$A,0)),1)</f>
        <v>0.61764705882352944</v>
      </c>
      <c r="N697">
        <f>IFERROR(INDEX(TEAM_ANALYSIS!$Y:$Y,MATCH($F697,TEAM_ANALYSIS!$A:$A,0)),1)</f>
        <v>0.8529411764705882</v>
      </c>
      <c r="O697">
        <f>IFERROR(INDEX(TEAM_ANALYSIS!$Z:$Z,MATCH($F697,TEAM_ANALYSIS!$A:$A,0)),1)</f>
        <v>0.73529411764705888</v>
      </c>
      <c r="P697">
        <f>MAX(0.05,AVERAGE(TEAM_ANALYSIS!$W$2:$W$21)*L697*O697)</f>
        <v>1.8841911764705883</v>
      </c>
      <c r="Q697">
        <f>MAX(0.05,AVERAGE(TEAM_ANALYSIS!$W$2:$W$21)*N697*M697)</f>
        <v>1.1194852941176472</v>
      </c>
      <c r="R697" s="23">
        <f>MAX(0.8,MIN(1.2,P697/AVERAGE(TEAM_ANALYSIS!$W$2:$W$21)))</f>
        <v>0.88667820069204151</v>
      </c>
      <c r="S697">
        <f>MAX(0.8,MIN(1.2,AVERAGE(TEAM_ANALYSIS!$W$2:$W$21)/Q697))</f>
        <v>1.2</v>
      </c>
      <c r="T697">
        <f>AVERAGE(R697,S697)</f>
        <v>1.0433391003460208</v>
      </c>
    </row>
    <row r="698" spans="1:20" x14ac:dyDescent="0.25">
      <c r="A698">
        <v>35</v>
      </c>
      <c r="B698" t="b">
        <v>0</v>
      </c>
      <c r="C698" s="6">
        <v>46515.625</v>
      </c>
      <c r="D698" t="b">
        <v>0</v>
      </c>
      <c r="E698">
        <v>14</v>
      </c>
      <c r="F698">
        <v>15</v>
      </c>
      <c r="G698">
        <v>5</v>
      </c>
      <c r="H698" t="s">
        <v>1111</v>
      </c>
      <c r="I698" t="s">
        <v>1094</v>
      </c>
      <c r="J698" t="s">
        <v>1096</v>
      </c>
      <c r="K698" t="str">
        <f>tblTeamFixtures[[#This Row],[Team_name]]&amp;"_"&amp;tblTeamFixtures[[#This Row],[GW]]</f>
        <v>LIV_35</v>
      </c>
      <c r="L698">
        <f>IFERROR(INDEX(TEAM_ANALYSIS!$Y:$Y,MATCH($E698,TEAM_ANALYSIS!$A:$A,0)),1)</f>
        <v>1.2058823529411764</v>
      </c>
      <c r="M698">
        <f>IFERROR(INDEX(TEAM_ANALYSIS!$Z:$Z,MATCH($E698,TEAM_ANALYSIS!$A:$A,0)),1)</f>
        <v>0.97058823529411764</v>
      </c>
      <c r="N698">
        <f>IFERROR(INDEX(TEAM_ANALYSIS!$Y:$Y,MATCH($F698,TEAM_ANALYSIS!$A:$A,0)),1)</f>
        <v>1.3235294117647058</v>
      </c>
      <c r="O698">
        <f>IFERROR(INDEX(TEAM_ANALYSIS!$Z:$Z,MATCH($F698,TEAM_ANALYSIS!$A:$A,0)),1)</f>
        <v>0.73529411764705888</v>
      </c>
      <c r="P698">
        <f>MAX(0.05,AVERAGE(TEAM_ANALYSIS!$W$2:$W$21)*L698*O698)</f>
        <v>1.8841911764705883</v>
      </c>
      <c r="Q698">
        <f>MAX(0.05,AVERAGE(TEAM_ANALYSIS!$W$2:$W$21)*N698*M698)</f>
        <v>2.7297794117647061</v>
      </c>
      <c r="R698" s="23">
        <f>MAX(0.8,MIN(1.2,P698/AVERAGE(TEAM_ANALYSIS!$W$2:$W$21)))</f>
        <v>0.88667820069204151</v>
      </c>
      <c r="S698">
        <f>MAX(0.8,MIN(1.2,AVERAGE(TEAM_ANALYSIS!$W$2:$W$21)/Q698))</f>
        <v>0.8</v>
      </c>
      <c r="T698">
        <f>AVERAGE(R698,S698)</f>
        <v>0.84333910034602078</v>
      </c>
    </row>
    <row r="699" spans="1:20" x14ac:dyDescent="0.25">
      <c r="A699">
        <v>35</v>
      </c>
      <c r="B699" t="b">
        <v>0</v>
      </c>
      <c r="C699" s="6">
        <v>46515.625</v>
      </c>
      <c r="D699" t="b">
        <v>0</v>
      </c>
      <c r="E699">
        <v>7</v>
      </c>
      <c r="F699">
        <v>17</v>
      </c>
      <c r="G699">
        <v>3</v>
      </c>
      <c r="H699" t="s">
        <v>1111</v>
      </c>
      <c r="I699" t="s">
        <v>1080</v>
      </c>
      <c r="J699" t="s">
        <v>1100</v>
      </c>
      <c r="K699" t="str">
        <f>tblTeamFixtures[[#This Row],[Team_name]]&amp;"_"&amp;tblTeamFixtures[[#This Row],[GW]]</f>
        <v>COV_35</v>
      </c>
      <c r="L699">
        <f>IFERROR(INDEX(TEAM_ANALYSIS!$Y:$Y,MATCH($E699,TEAM_ANALYSIS!$A:$A,0)),1)</f>
        <v>0.5</v>
      </c>
      <c r="M699">
        <f>IFERROR(INDEX(TEAM_ANALYSIS!$Z:$Z,MATCH($E699,TEAM_ANALYSIS!$A:$A,0)),1)</f>
        <v>1.088235294117647</v>
      </c>
      <c r="N699">
        <f>IFERROR(INDEX(TEAM_ANALYSIS!$Y:$Y,MATCH($F699,TEAM_ANALYSIS!$A:$A,0)),1)</f>
        <v>1.2058823529411764</v>
      </c>
      <c r="O699">
        <f>IFERROR(INDEX(TEAM_ANALYSIS!$Z:$Z,MATCH($F699,TEAM_ANALYSIS!$A:$A,0)),1)</f>
        <v>0.97058823529411764</v>
      </c>
      <c r="P699">
        <f>MAX(0.05,AVERAGE(TEAM_ANALYSIS!$W$2:$W$21)*L699*O699)</f>
        <v>1.03125</v>
      </c>
      <c r="Q699">
        <f>MAX(0.05,AVERAGE(TEAM_ANALYSIS!$W$2:$W$21)*N699*M699)</f>
        <v>2.7886029411764706</v>
      </c>
      <c r="R699" s="23">
        <f>MAX(0.8,MIN(1.2,P699/AVERAGE(TEAM_ANALYSIS!$W$2:$W$21)))</f>
        <v>0.8</v>
      </c>
      <c r="S699">
        <f>MAX(0.8,MIN(1.2,AVERAGE(TEAM_ANALYSIS!$W$2:$W$21)/Q699))</f>
        <v>0.8</v>
      </c>
      <c r="T699">
        <f>AVERAGE(R699,S699)</f>
        <v>0.8</v>
      </c>
    </row>
    <row r="700" spans="1:20" x14ac:dyDescent="0.25">
      <c r="A700">
        <v>35</v>
      </c>
      <c r="B700" t="b">
        <v>0</v>
      </c>
      <c r="C700" s="6">
        <v>46515.625</v>
      </c>
      <c r="D700" t="b">
        <v>0</v>
      </c>
      <c r="E700">
        <v>8</v>
      </c>
      <c r="F700">
        <v>18</v>
      </c>
      <c r="G700">
        <v>3</v>
      </c>
      <c r="H700" t="s">
        <v>1111</v>
      </c>
      <c r="I700" t="s">
        <v>1082</v>
      </c>
      <c r="J700" t="s">
        <v>1102</v>
      </c>
      <c r="K700" t="str">
        <f>tblTeamFixtures[[#This Row],[Team_name]]&amp;"_"&amp;tblTeamFixtures[[#This Row],[GW]]</f>
        <v>CRY_35</v>
      </c>
      <c r="L700">
        <f>IFERROR(INDEX(TEAM_ANALYSIS!$Y:$Y,MATCH($E700,TEAM_ANALYSIS!$A:$A,0)),1)</f>
        <v>0.97058823529411764</v>
      </c>
      <c r="M700">
        <f>IFERROR(INDEX(TEAM_ANALYSIS!$Z:$Z,MATCH($E700,TEAM_ANALYSIS!$A:$A,0)),1)</f>
        <v>1.4411764705882353</v>
      </c>
      <c r="N700">
        <f>IFERROR(INDEX(TEAM_ANALYSIS!$Y:$Y,MATCH($F700,TEAM_ANALYSIS!$A:$A,0)),1)</f>
        <v>0.73529411764705888</v>
      </c>
      <c r="O700">
        <f>IFERROR(INDEX(TEAM_ANALYSIS!$Z:$Z,MATCH($F700,TEAM_ANALYSIS!$A:$A,0)),1)</f>
        <v>0.8529411764705882</v>
      </c>
      <c r="P700">
        <f>MAX(0.05,AVERAGE(TEAM_ANALYSIS!$W$2:$W$21)*L700*O700)</f>
        <v>1.7591911764705881</v>
      </c>
      <c r="Q700">
        <f>MAX(0.05,AVERAGE(TEAM_ANALYSIS!$W$2:$W$21)*N700*M700)</f>
        <v>2.2518382352941178</v>
      </c>
      <c r="R700" s="23">
        <f>MAX(0.8,MIN(1.2,P700/AVERAGE(TEAM_ANALYSIS!$W$2:$W$21)))</f>
        <v>0.82785467128027679</v>
      </c>
      <c r="S700">
        <f>MAX(0.8,MIN(1.2,AVERAGE(TEAM_ANALYSIS!$W$2:$W$21)/Q700))</f>
        <v>0.94367346938775509</v>
      </c>
      <c r="T700">
        <f>AVERAGE(R700,S700)</f>
        <v>0.88576407033401594</v>
      </c>
    </row>
    <row r="701" spans="1:20" x14ac:dyDescent="0.25">
      <c r="A701">
        <v>35</v>
      </c>
      <c r="B701" t="b">
        <v>0</v>
      </c>
      <c r="C701" s="6">
        <v>46515.625</v>
      </c>
      <c r="D701" t="b">
        <v>0</v>
      </c>
      <c r="E701">
        <v>6</v>
      </c>
      <c r="F701">
        <v>19</v>
      </c>
      <c r="G701">
        <v>3</v>
      </c>
      <c r="H701" t="s">
        <v>1111</v>
      </c>
      <c r="I701" t="s">
        <v>1078</v>
      </c>
      <c r="J701" t="s">
        <v>1104</v>
      </c>
      <c r="K701" t="str">
        <f>tblTeamFixtures[[#This Row],[Team_name]]&amp;"_"&amp;tblTeamFixtures[[#This Row],[GW]]</f>
        <v>CHE_35</v>
      </c>
      <c r="L701">
        <f>IFERROR(INDEX(TEAM_ANALYSIS!$Y:$Y,MATCH($E701,TEAM_ANALYSIS!$A:$A,0)),1)</f>
        <v>1.4411764705882353</v>
      </c>
      <c r="M701">
        <f>IFERROR(INDEX(TEAM_ANALYSIS!$Z:$Z,MATCH($E701,TEAM_ANALYSIS!$A:$A,0)),1)</f>
        <v>1.3235294117647058</v>
      </c>
      <c r="N701">
        <f>IFERROR(INDEX(TEAM_ANALYSIS!$Y:$Y,MATCH($F701,TEAM_ANALYSIS!$A:$A,0)),1)</f>
        <v>0.5</v>
      </c>
      <c r="O701">
        <f>IFERROR(INDEX(TEAM_ANALYSIS!$Z:$Z,MATCH($F701,TEAM_ANALYSIS!$A:$A,0)),1)</f>
        <v>1.088235294117647</v>
      </c>
      <c r="P701">
        <f>MAX(0.05,AVERAGE(TEAM_ANALYSIS!$W$2:$W$21)*L701*O701)</f>
        <v>3.3327205882352939</v>
      </c>
      <c r="Q701">
        <f>MAX(0.05,AVERAGE(TEAM_ANALYSIS!$W$2:$W$21)*N701*M701)</f>
        <v>1.40625</v>
      </c>
      <c r="R701" s="23">
        <f>MAX(0.8,MIN(1.2,P701/AVERAGE(TEAM_ANALYSIS!$W$2:$W$21)))</f>
        <v>1.2</v>
      </c>
      <c r="S701">
        <f>MAX(0.8,MIN(1.2,AVERAGE(TEAM_ANALYSIS!$W$2:$W$21)/Q701))</f>
        <v>1.2</v>
      </c>
      <c r="T701">
        <f>AVERAGE(R701,S701)</f>
        <v>1.2</v>
      </c>
    </row>
    <row r="702" spans="1:20" x14ac:dyDescent="0.25">
      <c r="A702">
        <v>36</v>
      </c>
      <c r="B702" t="b">
        <v>0</v>
      </c>
      <c r="C702" s="6">
        <v>46522.625</v>
      </c>
      <c r="D702" t="b">
        <v>0</v>
      </c>
      <c r="E702">
        <v>1</v>
      </c>
      <c r="F702">
        <v>18</v>
      </c>
      <c r="G702">
        <v>3</v>
      </c>
      <c r="H702" t="s">
        <v>1110</v>
      </c>
      <c r="I702" t="s">
        <v>1068</v>
      </c>
      <c r="J702" t="s">
        <v>1102</v>
      </c>
      <c r="K702" t="str">
        <f>tblTeamFixtures[[#This Row],[Team_name]]&amp;"_"&amp;tblTeamFixtures[[#This Row],[GW]]</f>
        <v>ARS_36</v>
      </c>
      <c r="L702">
        <f>IFERROR(INDEX(TEAM_ANALYSIS!$Y:$Y,MATCH($E702,TEAM_ANALYSIS!$A:$A,0)),1)</f>
        <v>1.2058823529411764</v>
      </c>
      <c r="M702">
        <f>IFERROR(INDEX(TEAM_ANALYSIS!$Z:$Z,MATCH($E702,TEAM_ANALYSIS!$A:$A,0)),1)</f>
        <v>0.61764705882352944</v>
      </c>
      <c r="N702">
        <f>IFERROR(INDEX(TEAM_ANALYSIS!$Y:$Y,MATCH($F702,TEAM_ANALYSIS!$A:$A,0)),1)</f>
        <v>0.73529411764705888</v>
      </c>
      <c r="O702">
        <f>IFERROR(INDEX(TEAM_ANALYSIS!$Z:$Z,MATCH($F702,TEAM_ANALYSIS!$A:$A,0)),1)</f>
        <v>0.8529411764705882</v>
      </c>
      <c r="P702">
        <f>MAX(0.05,AVERAGE(TEAM_ANALYSIS!$W$2:$W$21)*L702*O702)</f>
        <v>2.1856617647058822</v>
      </c>
      <c r="Q702">
        <f>MAX(0.05,AVERAGE(TEAM_ANALYSIS!$W$2:$W$21)*N702*M702)</f>
        <v>0.96507352941176472</v>
      </c>
      <c r="R702" s="23">
        <f>MAX(0.8,MIN(1.2,P702/AVERAGE(TEAM_ANALYSIS!$W$2:$W$21)))</f>
        <v>1.0285467128027681</v>
      </c>
      <c r="S702">
        <f>MAX(0.8,MIN(1.2,AVERAGE(TEAM_ANALYSIS!$W$2:$W$21)/Q702))</f>
        <v>1.2</v>
      </c>
      <c r="T702">
        <f>AVERAGE(R702,S702)</f>
        <v>1.114273356401384</v>
      </c>
    </row>
    <row r="703" spans="1:20" x14ac:dyDescent="0.25">
      <c r="A703">
        <v>36</v>
      </c>
      <c r="B703" t="b">
        <v>0</v>
      </c>
      <c r="C703" s="6">
        <v>46522.625</v>
      </c>
      <c r="D703" t="b">
        <v>0</v>
      </c>
      <c r="E703">
        <v>2</v>
      </c>
      <c r="F703">
        <v>17</v>
      </c>
      <c r="G703">
        <v>2</v>
      </c>
      <c r="H703" t="s">
        <v>1110</v>
      </c>
      <c r="I703" t="s">
        <v>1070</v>
      </c>
      <c r="J703" t="s">
        <v>1100</v>
      </c>
      <c r="K703" t="str">
        <f>tblTeamFixtures[[#This Row],[Team_name]]&amp;"_"&amp;tblTeamFixtures[[#This Row],[GW]]</f>
        <v>AVL_36</v>
      </c>
      <c r="L703">
        <f>IFERROR(INDEX(TEAM_ANALYSIS!$Y:$Y,MATCH($E703,TEAM_ANALYSIS!$A:$A,0)),1)</f>
        <v>0.5</v>
      </c>
      <c r="M703">
        <f>IFERROR(INDEX(TEAM_ANALYSIS!$Z:$Z,MATCH($E703,TEAM_ANALYSIS!$A:$A,0)),1)</f>
        <v>1.088235294117647</v>
      </c>
      <c r="N703">
        <f>IFERROR(INDEX(TEAM_ANALYSIS!$Y:$Y,MATCH($F703,TEAM_ANALYSIS!$A:$A,0)),1)</f>
        <v>1.2058823529411764</v>
      </c>
      <c r="O703">
        <f>IFERROR(INDEX(TEAM_ANALYSIS!$Z:$Z,MATCH($F703,TEAM_ANALYSIS!$A:$A,0)),1)</f>
        <v>0.97058823529411764</v>
      </c>
      <c r="P703">
        <f>MAX(0.05,AVERAGE(TEAM_ANALYSIS!$W$2:$W$21)*L703*O703)</f>
        <v>1.03125</v>
      </c>
      <c r="Q703">
        <f>MAX(0.05,AVERAGE(TEAM_ANALYSIS!$W$2:$W$21)*N703*M703)</f>
        <v>2.7886029411764706</v>
      </c>
      <c r="R703" s="23">
        <f>MAX(0.8,MIN(1.2,P703/AVERAGE(TEAM_ANALYSIS!$W$2:$W$21)))</f>
        <v>0.8</v>
      </c>
      <c r="S703">
        <f>MAX(0.8,MIN(1.2,AVERAGE(TEAM_ANALYSIS!$W$2:$W$21)/Q703))</f>
        <v>0.8</v>
      </c>
      <c r="T703">
        <f>AVERAGE(R703,S703)</f>
        <v>0.8</v>
      </c>
    </row>
    <row r="704" spans="1:20" x14ac:dyDescent="0.25">
      <c r="A704">
        <v>36</v>
      </c>
      <c r="B704" t="b">
        <v>0</v>
      </c>
      <c r="C704" s="6">
        <v>46522.625</v>
      </c>
      <c r="D704" t="b">
        <v>0</v>
      </c>
      <c r="E704">
        <v>6</v>
      </c>
      <c r="F704">
        <v>9</v>
      </c>
      <c r="G704">
        <v>3</v>
      </c>
      <c r="H704" t="s">
        <v>1110</v>
      </c>
      <c r="I704" t="s">
        <v>1078</v>
      </c>
      <c r="J704" t="s">
        <v>1084</v>
      </c>
      <c r="K704" t="str">
        <f>tblTeamFixtures[[#This Row],[Team_name]]&amp;"_"&amp;tblTeamFixtures[[#This Row],[GW]]</f>
        <v>CHE_36</v>
      </c>
      <c r="L704">
        <f>IFERROR(INDEX(TEAM_ANALYSIS!$Y:$Y,MATCH($E704,TEAM_ANALYSIS!$A:$A,0)),1)</f>
        <v>1.4411764705882353</v>
      </c>
      <c r="M704">
        <f>IFERROR(INDEX(TEAM_ANALYSIS!$Z:$Z,MATCH($E704,TEAM_ANALYSIS!$A:$A,0)),1)</f>
        <v>1.3235294117647058</v>
      </c>
      <c r="N704">
        <f>IFERROR(INDEX(TEAM_ANALYSIS!$Y:$Y,MATCH($F704,TEAM_ANALYSIS!$A:$A,0)),1)</f>
        <v>1.088235294117647</v>
      </c>
      <c r="O704">
        <f>IFERROR(INDEX(TEAM_ANALYSIS!$Z:$Z,MATCH($F704,TEAM_ANALYSIS!$A:$A,0)),1)</f>
        <v>0.8529411764705882</v>
      </c>
      <c r="P704">
        <f>MAX(0.05,AVERAGE(TEAM_ANALYSIS!$W$2:$W$21)*L704*O704)</f>
        <v>2.6121323529411762</v>
      </c>
      <c r="Q704">
        <f>MAX(0.05,AVERAGE(TEAM_ANALYSIS!$W$2:$W$21)*N704*M704)</f>
        <v>3.0606617647058822</v>
      </c>
      <c r="R704" s="23">
        <f>MAX(0.8,MIN(1.2,P704/AVERAGE(TEAM_ANALYSIS!$W$2:$W$21)))</f>
        <v>1.2</v>
      </c>
      <c r="S704">
        <f>MAX(0.8,MIN(1.2,AVERAGE(TEAM_ANALYSIS!$W$2:$W$21)/Q704))</f>
        <v>0.8</v>
      </c>
      <c r="T704">
        <f>AVERAGE(R704,S704)</f>
        <v>1</v>
      </c>
    </row>
    <row r="705" spans="1:20" x14ac:dyDescent="0.25">
      <c r="A705">
        <v>36</v>
      </c>
      <c r="B705" t="b">
        <v>0</v>
      </c>
      <c r="C705" s="6">
        <v>46522.625</v>
      </c>
      <c r="D705" t="b">
        <v>0</v>
      </c>
      <c r="E705">
        <v>7</v>
      </c>
      <c r="F705">
        <v>19</v>
      </c>
      <c r="G705">
        <v>3</v>
      </c>
      <c r="H705" t="s">
        <v>1110</v>
      </c>
      <c r="I705" t="s">
        <v>1080</v>
      </c>
      <c r="J705" t="s">
        <v>1104</v>
      </c>
      <c r="K705" t="str">
        <f>tblTeamFixtures[[#This Row],[Team_name]]&amp;"_"&amp;tblTeamFixtures[[#This Row],[GW]]</f>
        <v>COV_36</v>
      </c>
      <c r="L705">
        <f>IFERROR(INDEX(TEAM_ANALYSIS!$Y:$Y,MATCH($E705,TEAM_ANALYSIS!$A:$A,0)),1)</f>
        <v>0.5</v>
      </c>
      <c r="M705">
        <f>IFERROR(INDEX(TEAM_ANALYSIS!$Z:$Z,MATCH($E705,TEAM_ANALYSIS!$A:$A,0)),1)</f>
        <v>1.088235294117647</v>
      </c>
      <c r="N705">
        <f>IFERROR(INDEX(TEAM_ANALYSIS!$Y:$Y,MATCH($F705,TEAM_ANALYSIS!$A:$A,0)),1)</f>
        <v>0.5</v>
      </c>
      <c r="O705">
        <f>IFERROR(INDEX(TEAM_ANALYSIS!$Z:$Z,MATCH($F705,TEAM_ANALYSIS!$A:$A,0)),1)</f>
        <v>1.088235294117647</v>
      </c>
      <c r="P705">
        <f>MAX(0.05,AVERAGE(TEAM_ANALYSIS!$W$2:$W$21)*L705*O705)</f>
        <v>1.15625</v>
      </c>
      <c r="Q705">
        <f>MAX(0.05,AVERAGE(TEAM_ANALYSIS!$W$2:$W$21)*N705*M705)</f>
        <v>1.15625</v>
      </c>
      <c r="R705" s="23">
        <f>MAX(0.8,MIN(1.2,P705/AVERAGE(TEAM_ANALYSIS!$W$2:$W$21)))</f>
        <v>0.8</v>
      </c>
      <c r="S705">
        <f>MAX(0.8,MIN(1.2,AVERAGE(TEAM_ANALYSIS!$W$2:$W$21)/Q705))</f>
        <v>1.2</v>
      </c>
      <c r="T705">
        <f>AVERAGE(R705,S705)</f>
        <v>1</v>
      </c>
    </row>
    <row r="706" spans="1:20" x14ac:dyDescent="0.25">
      <c r="A706">
        <v>36</v>
      </c>
      <c r="B706" t="b">
        <v>0</v>
      </c>
      <c r="C706" s="6">
        <v>46522.625</v>
      </c>
      <c r="D706" t="b">
        <v>0</v>
      </c>
      <c r="E706">
        <v>8</v>
      </c>
      <c r="F706">
        <v>5</v>
      </c>
      <c r="G706">
        <v>2</v>
      </c>
      <c r="H706" t="s">
        <v>1110</v>
      </c>
      <c r="I706" t="s">
        <v>1082</v>
      </c>
      <c r="J706" t="s">
        <v>1076</v>
      </c>
      <c r="K706" t="str">
        <f>tblTeamFixtures[[#This Row],[Team_name]]&amp;"_"&amp;tblTeamFixtures[[#This Row],[GW]]</f>
        <v>CRY_36</v>
      </c>
      <c r="L706">
        <f>IFERROR(INDEX(TEAM_ANALYSIS!$Y:$Y,MATCH($E706,TEAM_ANALYSIS!$A:$A,0)),1)</f>
        <v>0.97058823529411764</v>
      </c>
      <c r="M706">
        <f>IFERROR(INDEX(TEAM_ANALYSIS!$Z:$Z,MATCH($E706,TEAM_ANALYSIS!$A:$A,0)),1)</f>
        <v>1.4411764705882353</v>
      </c>
      <c r="N706">
        <f>IFERROR(INDEX(TEAM_ANALYSIS!$Y:$Y,MATCH($F706,TEAM_ANALYSIS!$A:$A,0)),1)</f>
        <v>1.4411764705882353</v>
      </c>
      <c r="O706">
        <f>IFERROR(INDEX(TEAM_ANALYSIS!$Z:$Z,MATCH($F706,TEAM_ANALYSIS!$A:$A,0)),1)</f>
        <v>1.088235294117647</v>
      </c>
      <c r="P706">
        <f>MAX(0.05,AVERAGE(TEAM_ANALYSIS!$W$2:$W$21)*L706*O706)</f>
        <v>2.2444852941176467</v>
      </c>
      <c r="Q706">
        <f>MAX(0.05,AVERAGE(TEAM_ANALYSIS!$W$2:$W$21)*N706*M706)</f>
        <v>4.4136029411764701</v>
      </c>
      <c r="R706" s="23">
        <f>MAX(0.8,MIN(1.2,P706/AVERAGE(TEAM_ANALYSIS!$W$2:$W$21)))</f>
        <v>1.0562283737024221</v>
      </c>
      <c r="S706">
        <f>MAX(0.8,MIN(1.2,AVERAGE(TEAM_ANALYSIS!$W$2:$W$21)/Q706))</f>
        <v>0.8</v>
      </c>
      <c r="T706">
        <f>AVERAGE(R706,S706)</f>
        <v>0.92811418685121105</v>
      </c>
    </row>
    <row r="707" spans="1:20" x14ac:dyDescent="0.25">
      <c r="A707">
        <v>36</v>
      </c>
      <c r="B707" t="b">
        <v>0</v>
      </c>
      <c r="C707" s="6">
        <v>46522.625</v>
      </c>
      <c r="D707" t="b">
        <v>0</v>
      </c>
      <c r="E707">
        <v>11</v>
      </c>
      <c r="F707">
        <v>10</v>
      </c>
      <c r="G707">
        <v>2</v>
      </c>
      <c r="H707" t="s">
        <v>1110</v>
      </c>
      <c r="I707" t="s">
        <v>1088</v>
      </c>
      <c r="J707" t="s">
        <v>1086</v>
      </c>
      <c r="K707" t="str">
        <f>tblTeamFixtures[[#This Row],[Team_name]]&amp;"_"&amp;tblTeamFixtures[[#This Row],[GW]]</f>
        <v>HUL_36</v>
      </c>
      <c r="L707">
        <f>IFERROR(INDEX(TEAM_ANALYSIS!$Y:$Y,MATCH($E707,TEAM_ANALYSIS!$A:$A,0)),1)</f>
        <v>0.8529411764705882</v>
      </c>
      <c r="M707">
        <f>IFERROR(INDEX(TEAM_ANALYSIS!$Z:$Z,MATCH($E707,TEAM_ANALYSIS!$A:$A,0)),1)</f>
        <v>0.5</v>
      </c>
      <c r="N707">
        <f>IFERROR(INDEX(TEAM_ANALYSIS!$Y:$Y,MATCH($F707,TEAM_ANALYSIS!$A:$A,0)),1)</f>
        <v>0.97058823529411764</v>
      </c>
      <c r="O707">
        <f>IFERROR(INDEX(TEAM_ANALYSIS!$Z:$Z,MATCH($F707,TEAM_ANALYSIS!$A:$A,0)),1)</f>
        <v>1.3235294117647058</v>
      </c>
      <c r="P707">
        <f>MAX(0.05,AVERAGE(TEAM_ANALYSIS!$W$2:$W$21)*L707*O707)</f>
        <v>2.3988970588235294</v>
      </c>
      <c r="Q707">
        <f>MAX(0.05,AVERAGE(TEAM_ANALYSIS!$W$2:$W$21)*N707*M707)</f>
        <v>1.03125</v>
      </c>
      <c r="R707" s="23">
        <f>MAX(0.8,MIN(1.2,P707/AVERAGE(TEAM_ANALYSIS!$W$2:$W$21)))</f>
        <v>1.1288927335640138</v>
      </c>
      <c r="S707">
        <f>MAX(0.8,MIN(1.2,AVERAGE(TEAM_ANALYSIS!$W$2:$W$21)/Q707))</f>
        <v>1.2</v>
      </c>
      <c r="T707">
        <f>AVERAGE(R707,S707)</f>
        <v>1.1644463667820069</v>
      </c>
    </row>
    <row r="708" spans="1:20" x14ac:dyDescent="0.25">
      <c r="A708">
        <v>36</v>
      </c>
      <c r="B708" t="b">
        <v>0</v>
      </c>
      <c r="C708" s="6">
        <v>46522.625</v>
      </c>
      <c r="D708" t="b">
        <v>0</v>
      </c>
      <c r="E708">
        <v>12</v>
      </c>
      <c r="F708">
        <v>15</v>
      </c>
      <c r="G708">
        <v>4</v>
      </c>
      <c r="H708" t="s">
        <v>1110</v>
      </c>
      <c r="I708" t="s">
        <v>1090</v>
      </c>
      <c r="J708" t="s">
        <v>1096</v>
      </c>
      <c r="K708" t="str">
        <f>tblTeamFixtures[[#This Row],[Team_name]]&amp;"_"&amp;tblTeamFixtures[[#This Row],[GW]]</f>
        <v>IPS_36</v>
      </c>
      <c r="L708">
        <f>IFERROR(INDEX(TEAM_ANALYSIS!$Y:$Y,MATCH($E708,TEAM_ANALYSIS!$A:$A,0)),1)</f>
        <v>0.97058823529411764</v>
      </c>
      <c r="M708">
        <f>IFERROR(INDEX(TEAM_ANALYSIS!$Z:$Z,MATCH($E708,TEAM_ANALYSIS!$A:$A,0)),1)</f>
        <v>1.4411764705882353</v>
      </c>
      <c r="N708">
        <f>IFERROR(INDEX(TEAM_ANALYSIS!$Y:$Y,MATCH($F708,TEAM_ANALYSIS!$A:$A,0)),1)</f>
        <v>1.3235294117647058</v>
      </c>
      <c r="O708">
        <f>IFERROR(INDEX(TEAM_ANALYSIS!$Z:$Z,MATCH($F708,TEAM_ANALYSIS!$A:$A,0)),1)</f>
        <v>0.73529411764705888</v>
      </c>
      <c r="P708">
        <f>MAX(0.05,AVERAGE(TEAM_ANALYSIS!$W$2:$W$21)*L708*O708)</f>
        <v>1.5165441176470589</v>
      </c>
      <c r="Q708">
        <f>MAX(0.05,AVERAGE(TEAM_ANALYSIS!$W$2:$W$21)*N708*M708)</f>
        <v>4.0533088235294121</v>
      </c>
      <c r="R708" s="23">
        <f>MAX(0.8,MIN(1.2,P708/AVERAGE(TEAM_ANALYSIS!$W$2:$W$21)))</f>
        <v>0.8</v>
      </c>
      <c r="S708">
        <f>MAX(0.8,MIN(1.2,AVERAGE(TEAM_ANALYSIS!$W$2:$W$21)/Q708))</f>
        <v>0.8</v>
      </c>
      <c r="T708">
        <f>AVERAGE(R708,S708)</f>
        <v>0.8</v>
      </c>
    </row>
    <row r="709" spans="1:20" x14ac:dyDescent="0.25">
      <c r="A709">
        <v>36</v>
      </c>
      <c r="B709" t="b">
        <v>0</v>
      </c>
      <c r="C709" s="6">
        <v>46522.625</v>
      </c>
      <c r="D709" t="b">
        <v>0</v>
      </c>
      <c r="E709">
        <v>14</v>
      </c>
      <c r="F709">
        <v>4</v>
      </c>
      <c r="G709">
        <v>3</v>
      </c>
      <c r="H709" t="s">
        <v>1110</v>
      </c>
      <c r="I709" t="s">
        <v>1094</v>
      </c>
      <c r="J709" t="s">
        <v>1074</v>
      </c>
      <c r="K709" t="str">
        <f>tblTeamFixtures[[#This Row],[Team_name]]&amp;"_"&amp;tblTeamFixtures[[#This Row],[GW]]</f>
        <v>LIV_36</v>
      </c>
      <c r="L709">
        <f>IFERROR(INDEX(TEAM_ANALYSIS!$Y:$Y,MATCH($E709,TEAM_ANALYSIS!$A:$A,0)),1)</f>
        <v>1.2058823529411764</v>
      </c>
      <c r="M709">
        <f>IFERROR(INDEX(TEAM_ANALYSIS!$Z:$Z,MATCH($E709,TEAM_ANALYSIS!$A:$A,0)),1)</f>
        <v>0.97058823529411764</v>
      </c>
      <c r="N709">
        <f>IFERROR(INDEX(TEAM_ANALYSIS!$Y:$Y,MATCH($F709,TEAM_ANALYSIS!$A:$A,0)),1)</f>
        <v>1.088235294117647</v>
      </c>
      <c r="O709">
        <f>IFERROR(INDEX(TEAM_ANALYSIS!$Z:$Z,MATCH($F709,TEAM_ANALYSIS!$A:$A,0)),1)</f>
        <v>0.73529411764705888</v>
      </c>
      <c r="P709">
        <f>MAX(0.05,AVERAGE(TEAM_ANALYSIS!$W$2:$W$21)*L709*O709)</f>
        <v>1.8841911764705883</v>
      </c>
      <c r="Q709">
        <f>MAX(0.05,AVERAGE(TEAM_ANALYSIS!$W$2:$W$21)*N709*M709)</f>
        <v>2.2444852941176472</v>
      </c>
      <c r="R709" s="23">
        <f>MAX(0.8,MIN(1.2,P709/AVERAGE(TEAM_ANALYSIS!$W$2:$W$21)))</f>
        <v>0.88667820069204151</v>
      </c>
      <c r="S709">
        <f>MAX(0.8,MIN(1.2,AVERAGE(TEAM_ANALYSIS!$W$2:$W$21)/Q709))</f>
        <v>0.94676494676494671</v>
      </c>
      <c r="T709">
        <f>AVERAGE(R709,S709)</f>
        <v>0.91672157372849417</v>
      </c>
    </row>
    <row r="710" spans="1:20" x14ac:dyDescent="0.25">
      <c r="A710">
        <v>36</v>
      </c>
      <c r="B710" t="b">
        <v>0</v>
      </c>
      <c r="C710" s="6">
        <v>46522.625</v>
      </c>
      <c r="D710" t="b">
        <v>0</v>
      </c>
      <c r="E710">
        <v>16</v>
      </c>
      <c r="F710">
        <v>13</v>
      </c>
      <c r="G710">
        <v>2</v>
      </c>
      <c r="H710" t="s">
        <v>1110</v>
      </c>
      <c r="I710" t="s">
        <v>1098</v>
      </c>
      <c r="J710" t="s">
        <v>1092</v>
      </c>
      <c r="K710" t="str">
        <f>tblTeamFixtures[[#This Row],[Team_name]]&amp;"_"&amp;tblTeamFixtures[[#This Row],[GW]]</f>
        <v>MUN_36</v>
      </c>
      <c r="L710">
        <f>IFERROR(INDEX(TEAM_ANALYSIS!$Y:$Y,MATCH($E710,TEAM_ANALYSIS!$A:$A,0)),1)</f>
        <v>1.3235294117647058</v>
      </c>
      <c r="M710">
        <f>IFERROR(INDEX(TEAM_ANALYSIS!$Z:$Z,MATCH($E710,TEAM_ANALYSIS!$A:$A,0)),1)</f>
        <v>1.2058823529411764</v>
      </c>
      <c r="N710">
        <f>IFERROR(INDEX(TEAM_ANALYSIS!$Y:$Y,MATCH($F710,TEAM_ANALYSIS!$A:$A,0)),1)</f>
        <v>0.8529411764705882</v>
      </c>
      <c r="O710">
        <f>IFERROR(INDEX(TEAM_ANALYSIS!$Z:$Z,MATCH($F710,TEAM_ANALYSIS!$A:$A,0)),1)</f>
        <v>0.73529411764705888</v>
      </c>
      <c r="P710">
        <f>MAX(0.05,AVERAGE(TEAM_ANALYSIS!$W$2:$W$21)*L710*O710)</f>
        <v>2.0680147058823533</v>
      </c>
      <c r="Q710">
        <f>MAX(0.05,AVERAGE(TEAM_ANALYSIS!$W$2:$W$21)*N710*M710)</f>
        <v>2.1856617647058822</v>
      </c>
      <c r="R710" s="23">
        <f>MAX(0.8,MIN(1.2,P710/AVERAGE(TEAM_ANALYSIS!$W$2:$W$21)))</f>
        <v>0.97318339100346041</v>
      </c>
      <c r="S710">
        <f>MAX(0.8,MIN(1.2,AVERAGE(TEAM_ANALYSIS!$W$2:$W$21)/Q710))</f>
        <v>0.9722455845248108</v>
      </c>
      <c r="T710">
        <f>AVERAGE(R710,S710)</f>
        <v>0.9727144877641356</v>
      </c>
    </row>
    <row r="711" spans="1:20" x14ac:dyDescent="0.25">
      <c r="A711">
        <v>36</v>
      </c>
      <c r="B711" t="b">
        <v>0</v>
      </c>
      <c r="C711" s="6">
        <v>46522.625</v>
      </c>
      <c r="D711" t="b">
        <v>0</v>
      </c>
      <c r="E711">
        <v>20</v>
      </c>
      <c r="F711">
        <v>3</v>
      </c>
      <c r="G711">
        <v>3</v>
      </c>
      <c r="H711" t="s">
        <v>1110</v>
      </c>
      <c r="I711" t="s">
        <v>1106</v>
      </c>
      <c r="J711" t="s">
        <v>1072</v>
      </c>
      <c r="K711" t="str">
        <f>tblTeamFixtures[[#This Row],[Team_name]]&amp;"_"&amp;tblTeamFixtures[[#This Row],[GW]]</f>
        <v>SUN_36</v>
      </c>
      <c r="L711">
        <f>IFERROR(INDEX(TEAM_ANALYSIS!$Y:$Y,MATCH($E711,TEAM_ANALYSIS!$A:$A,0)),1)</f>
        <v>0.8529411764705882</v>
      </c>
      <c r="M711">
        <f>IFERROR(INDEX(TEAM_ANALYSIS!$Z:$Z,MATCH($E711,TEAM_ANALYSIS!$A:$A,0)),1)</f>
        <v>0.8529411764705882</v>
      </c>
      <c r="N711">
        <f>IFERROR(INDEX(TEAM_ANALYSIS!$Y:$Y,MATCH($F711,TEAM_ANALYSIS!$A:$A,0)),1)</f>
        <v>0.97058823529411764</v>
      </c>
      <c r="O711">
        <f>IFERROR(INDEX(TEAM_ANALYSIS!$Z:$Z,MATCH($F711,TEAM_ANALYSIS!$A:$A,0)),1)</f>
        <v>1.088235294117647</v>
      </c>
      <c r="P711">
        <f>MAX(0.05,AVERAGE(TEAM_ANALYSIS!$W$2:$W$21)*L711*O711)</f>
        <v>1.9724264705882351</v>
      </c>
      <c r="Q711">
        <f>MAX(0.05,AVERAGE(TEAM_ANALYSIS!$W$2:$W$21)*N711*M711)</f>
        <v>1.7591911764705881</v>
      </c>
      <c r="R711" s="23">
        <f>MAX(0.8,MIN(1.2,P711/AVERAGE(TEAM_ANALYSIS!$W$2:$W$21)))</f>
        <v>0.92820069204152233</v>
      </c>
      <c r="S711">
        <f>MAX(0.8,MIN(1.2,AVERAGE(TEAM_ANALYSIS!$W$2:$W$21)/Q711))</f>
        <v>1.2</v>
      </c>
      <c r="T711">
        <f>AVERAGE(R711,S711)</f>
        <v>1.0641003460207612</v>
      </c>
    </row>
    <row r="712" spans="1:20" x14ac:dyDescent="0.25">
      <c r="A712">
        <v>36</v>
      </c>
      <c r="B712" t="b">
        <v>0</v>
      </c>
      <c r="C712" s="6">
        <v>46522.625</v>
      </c>
      <c r="D712" t="b">
        <v>0</v>
      </c>
      <c r="E712">
        <v>18</v>
      </c>
      <c r="F712">
        <v>1</v>
      </c>
      <c r="G712">
        <v>5</v>
      </c>
      <c r="H712" t="s">
        <v>1111</v>
      </c>
      <c r="I712" t="s">
        <v>1102</v>
      </c>
      <c r="J712" t="s">
        <v>1068</v>
      </c>
      <c r="K712" t="str">
        <f>tblTeamFixtures[[#This Row],[Team_name]]&amp;"_"&amp;tblTeamFixtures[[#This Row],[GW]]</f>
        <v>NFO_36</v>
      </c>
      <c r="L712">
        <f>IFERROR(INDEX(TEAM_ANALYSIS!$Y:$Y,MATCH($E712,TEAM_ANALYSIS!$A:$A,0)),1)</f>
        <v>0.73529411764705888</v>
      </c>
      <c r="M712">
        <f>IFERROR(INDEX(TEAM_ANALYSIS!$Z:$Z,MATCH($E712,TEAM_ANALYSIS!$A:$A,0)),1)</f>
        <v>0.8529411764705882</v>
      </c>
      <c r="N712">
        <f>IFERROR(INDEX(TEAM_ANALYSIS!$Y:$Y,MATCH($F712,TEAM_ANALYSIS!$A:$A,0)),1)</f>
        <v>1.2058823529411764</v>
      </c>
      <c r="O712">
        <f>IFERROR(INDEX(TEAM_ANALYSIS!$Z:$Z,MATCH($F712,TEAM_ANALYSIS!$A:$A,0)),1)</f>
        <v>0.61764705882352944</v>
      </c>
      <c r="P712">
        <f>MAX(0.05,AVERAGE(TEAM_ANALYSIS!$W$2:$W$21)*L712*O712)</f>
        <v>0.96507352941176472</v>
      </c>
      <c r="Q712">
        <f>MAX(0.05,AVERAGE(TEAM_ANALYSIS!$W$2:$W$21)*N712*M712)</f>
        <v>2.1856617647058822</v>
      </c>
      <c r="R712" s="23">
        <f>MAX(0.8,MIN(1.2,P712/AVERAGE(TEAM_ANALYSIS!$W$2:$W$21)))</f>
        <v>0.8</v>
      </c>
      <c r="S712">
        <f>MAX(0.8,MIN(1.2,AVERAGE(TEAM_ANALYSIS!$W$2:$W$21)/Q712))</f>
        <v>0.9722455845248108</v>
      </c>
      <c r="T712">
        <f>AVERAGE(R712,S712)</f>
        <v>0.88612279226240542</v>
      </c>
    </row>
    <row r="713" spans="1:20" x14ac:dyDescent="0.25">
      <c r="A713">
        <v>36</v>
      </c>
      <c r="B713" t="b">
        <v>0</v>
      </c>
      <c r="C713" s="6">
        <v>46522.625</v>
      </c>
      <c r="D713" t="b">
        <v>0</v>
      </c>
      <c r="E713">
        <v>17</v>
      </c>
      <c r="F713">
        <v>2</v>
      </c>
      <c r="G713">
        <v>4</v>
      </c>
      <c r="H713" t="s">
        <v>1111</v>
      </c>
      <c r="I713" t="s">
        <v>1100</v>
      </c>
      <c r="J713" t="s">
        <v>1070</v>
      </c>
      <c r="K713" t="str">
        <f>tblTeamFixtures[[#This Row],[Team_name]]&amp;"_"&amp;tblTeamFixtures[[#This Row],[GW]]</f>
        <v>NEW_36</v>
      </c>
      <c r="L713">
        <f>IFERROR(INDEX(TEAM_ANALYSIS!$Y:$Y,MATCH($E713,TEAM_ANALYSIS!$A:$A,0)),1)</f>
        <v>1.2058823529411764</v>
      </c>
      <c r="M713">
        <f>IFERROR(INDEX(TEAM_ANALYSIS!$Z:$Z,MATCH($E713,TEAM_ANALYSIS!$A:$A,0)),1)</f>
        <v>0.97058823529411764</v>
      </c>
      <c r="N713">
        <f>IFERROR(INDEX(TEAM_ANALYSIS!$Y:$Y,MATCH($F713,TEAM_ANALYSIS!$A:$A,0)),1)</f>
        <v>0.5</v>
      </c>
      <c r="O713">
        <f>IFERROR(INDEX(TEAM_ANALYSIS!$Z:$Z,MATCH($F713,TEAM_ANALYSIS!$A:$A,0)),1)</f>
        <v>1.088235294117647</v>
      </c>
      <c r="P713">
        <f>MAX(0.05,AVERAGE(TEAM_ANALYSIS!$W$2:$W$21)*L713*O713)</f>
        <v>2.7886029411764706</v>
      </c>
      <c r="Q713">
        <f>MAX(0.05,AVERAGE(TEAM_ANALYSIS!$W$2:$W$21)*N713*M713)</f>
        <v>1.03125</v>
      </c>
      <c r="R713" s="23">
        <f>MAX(0.8,MIN(1.2,P713/AVERAGE(TEAM_ANALYSIS!$W$2:$W$21)))</f>
        <v>1.2</v>
      </c>
      <c r="S713">
        <f>MAX(0.8,MIN(1.2,AVERAGE(TEAM_ANALYSIS!$W$2:$W$21)/Q713))</f>
        <v>1.2</v>
      </c>
      <c r="T713">
        <f>AVERAGE(R713,S713)</f>
        <v>1.2</v>
      </c>
    </row>
    <row r="714" spans="1:20" x14ac:dyDescent="0.25">
      <c r="A714">
        <v>36</v>
      </c>
      <c r="B714" t="b">
        <v>0</v>
      </c>
      <c r="C714" s="6">
        <v>46522.625</v>
      </c>
      <c r="D714" t="b">
        <v>0</v>
      </c>
      <c r="E714">
        <v>9</v>
      </c>
      <c r="F714">
        <v>6</v>
      </c>
      <c r="G714">
        <v>4</v>
      </c>
      <c r="H714" t="s">
        <v>1111</v>
      </c>
      <c r="I714" t="s">
        <v>1084</v>
      </c>
      <c r="J714" t="s">
        <v>1078</v>
      </c>
      <c r="K714" t="str">
        <f>tblTeamFixtures[[#This Row],[Team_name]]&amp;"_"&amp;tblTeamFixtures[[#This Row],[GW]]</f>
        <v>EVE_36</v>
      </c>
      <c r="L714">
        <f>IFERROR(INDEX(TEAM_ANALYSIS!$Y:$Y,MATCH($E714,TEAM_ANALYSIS!$A:$A,0)),1)</f>
        <v>1.088235294117647</v>
      </c>
      <c r="M714">
        <f>IFERROR(INDEX(TEAM_ANALYSIS!$Z:$Z,MATCH($E714,TEAM_ANALYSIS!$A:$A,0)),1)</f>
        <v>0.8529411764705882</v>
      </c>
      <c r="N714">
        <f>IFERROR(INDEX(TEAM_ANALYSIS!$Y:$Y,MATCH($F714,TEAM_ANALYSIS!$A:$A,0)),1)</f>
        <v>1.4411764705882353</v>
      </c>
      <c r="O714">
        <f>IFERROR(INDEX(TEAM_ANALYSIS!$Z:$Z,MATCH($F714,TEAM_ANALYSIS!$A:$A,0)),1)</f>
        <v>1.3235294117647058</v>
      </c>
      <c r="P714">
        <f>MAX(0.05,AVERAGE(TEAM_ANALYSIS!$W$2:$W$21)*L714*O714)</f>
        <v>3.0606617647058822</v>
      </c>
      <c r="Q714">
        <f>MAX(0.05,AVERAGE(TEAM_ANALYSIS!$W$2:$W$21)*N714*M714)</f>
        <v>2.6121323529411762</v>
      </c>
      <c r="R714" s="23">
        <f>MAX(0.8,MIN(1.2,P714/AVERAGE(TEAM_ANALYSIS!$W$2:$W$21)))</f>
        <v>1.2</v>
      </c>
      <c r="S714">
        <f>MAX(0.8,MIN(1.2,AVERAGE(TEAM_ANALYSIS!$W$2:$W$21)/Q714))</f>
        <v>0.81351161154116824</v>
      </c>
      <c r="T714">
        <f>AVERAGE(R714,S714)</f>
        <v>1.0067558057705841</v>
      </c>
    </row>
    <row r="715" spans="1:20" x14ac:dyDescent="0.25">
      <c r="A715">
        <v>36</v>
      </c>
      <c r="B715" t="b">
        <v>0</v>
      </c>
      <c r="C715" s="6">
        <v>46522.625</v>
      </c>
      <c r="D715" t="b">
        <v>0</v>
      </c>
      <c r="E715">
        <v>19</v>
      </c>
      <c r="F715">
        <v>7</v>
      </c>
      <c r="G715">
        <v>2</v>
      </c>
      <c r="H715" t="s">
        <v>1111</v>
      </c>
      <c r="I715" t="s">
        <v>1104</v>
      </c>
      <c r="J715" t="s">
        <v>1080</v>
      </c>
      <c r="K715" t="str">
        <f>tblTeamFixtures[[#This Row],[Team_name]]&amp;"_"&amp;tblTeamFixtures[[#This Row],[GW]]</f>
        <v>TOT_36</v>
      </c>
      <c r="L715">
        <f>IFERROR(INDEX(TEAM_ANALYSIS!$Y:$Y,MATCH($E715,TEAM_ANALYSIS!$A:$A,0)),1)</f>
        <v>0.5</v>
      </c>
      <c r="M715">
        <f>IFERROR(INDEX(TEAM_ANALYSIS!$Z:$Z,MATCH($E715,TEAM_ANALYSIS!$A:$A,0)),1)</f>
        <v>1.088235294117647</v>
      </c>
      <c r="N715">
        <f>IFERROR(INDEX(TEAM_ANALYSIS!$Y:$Y,MATCH($F715,TEAM_ANALYSIS!$A:$A,0)),1)</f>
        <v>0.5</v>
      </c>
      <c r="O715">
        <f>IFERROR(INDEX(TEAM_ANALYSIS!$Z:$Z,MATCH($F715,TEAM_ANALYSIS!$A:$A,0)),1)</f>
        <v>1.088235294117647</v>
      </c>
      <c r="P715">
        <f>MAX(0.05,AVERAGE(TEAM_ANALYSIS!$W$2:$W$21)*L715*O715)</f>
        <v>1.15625</v>
      </c>
      <c r="Q715">
        <f>MAX(0.05,AVERAGE(TEAM_ANALYSIS!$W$2:$W$21)*N715*M715)</f>
        <v>1.15625</v>
      </c>
      <c r="R715" s="23">
        <f>MAX(0.8,MIN(1.2,P715/AVERAGE(TEAM_ANALYSIS!$W$2:$W$21)))</f>
        <v>0.8</v>
      </c>
      <c r="S715">
        <f>MAX(0.8,MIN(1.2,AVERAGE(TEAM_ANALYSIS!$W$2:$W$21)/Q715))</f>
        <v>1.2</v>
      </c>
      <c r="T715">
        <f>AVERAGE(R715,S715)</f>
        <v>1</v>
      </c>
    </row>
    <row r="716" spans="1:20" x14ac:dyDescent="0.25">
      <c r="A716">
        <v>36</v>
      </c>
      <c r="B716" t="b">
        <v>0</v>
      </c>
      <c r="C716" s="6">
        <v>46522.625</v>
      </c>
      <c r="D716" t="b">
        <v>0</v>
      </c>
      <c r="E716">
        <v>5</v>
      </c>
      <c r="F716">
        <v>8</v>
      </c>
      <c r="G716">
        <v>3</v>
      </c>
      <c r="H716" t="s">
        <v>1111</v>
      </c>
      <c r="I716" t="s">
        <v>1076</v>
      </c>
      <c r="J716" t="s">
        <v>1082</v>
      </c>
      <c r="K716" t="str">
        <f>tblTeamFixtures[[#This Row],[Team_name]]&amp;"_"&amp;tblTeamFixtures[[#This Row],[GW]]</f>
        <v>BHA_36</v>
      </c>
      <c r="L716">
        <f>IFERROR(INDEX(TEAM_ANALYSIS!$Y:$Y,MATCH($E716,TEAM_ANALYSIS!$A:$A,0)),1)</f>
        <v>1.4411764705882353</v>
      </c>
      <c r="M716">
        <f>IFERROR(INDEX(TEAM_ANALYSIS!$Z:$Z,MATCH($E716,TEAM_ANALYSIS!$A:$A,0)),1)</f>
        <v>1.088235294117647</v>
      </c>
      <c r="N716">
        <f>IFERROR(INDEX(TEAM_ANALYSIS!$Y:$Y,MATCH($F716,TEAM_ANALYSIS!$A:$A,0)),1)</f>
        <v>0.97058823529411764</v>
      </c>
      <c r="O716">
        <f>IFERROR(INDEX(TEAM_ANALYSIS!$Z:$Z,MATCH($F716,TEAM_ANALYSIS!$A:$A,0)),1)</f>
        <v>1.4411764705882353</v>
      </c>
      <c r="P716">
        <f>MAX(0.05,AVERAGE(TEAM_ANALYSIS!$W$2:$W$21)*L716*O716)</f>
        <v>4.4136029411764701</v>
      </c>
      <c r="Q716">
        <f>MAX(0.05,AVERAGE(TEAM_ANALYSIS!$W$2:$W$21)*N716*M716)</f>
        <v>2.2444852941176467</v>
      </c>
      <c r="R716" s="23">
        <f>MAX(0.8,MIN(1.2,P716/AVERAGE(TEAM_ANALYSIS!$W$2:$W$21)))</f>
        <v>1.2</v>
      </c>
      <c r="S716">
        <f>MAX(0.8,MIN(1.2,AVERAGE(TEAM_ANALYSIS!$W$2:$W$21)/Q716))</f>
        <v>0.94676494676494694</v>
      </c>
      <c r="T716">
        <f>AVERAGE(R716,S716)</f>
        <v>1.0733824733824735</v>
      </c>
    </row>
    <row r="717" spans="1:20" x14ac:dyDescent="0.25">
      <c r="A717">
        <v>36</v>
      </c>
      <c r="B717" t="b">
        <v>0</v>
      </c>
      <c r="C717" s="6">
        <v>46522.625</v>
      </c>
      <c r="D717" t="b">
        <v>0</v>
      </c>
      <c r="E717">
        <v>10</v>
      </c>
      <c r="F717">
        <v>11</v>
      </c>
      <c r="G717">
        <v>2</v>
      </c>
      <c r="H717" t="s">
        <v>1111</v>
      </c>
      <c r="I717" t="s">
        <v>1086</v>
      </c>
      <c r="J717" t="s">
        <v>1088</v>
      </c>
      <c r="K717" t="str">
        <f>tblTeamFixtures[[#This Row],[Team_name]]&amp;"_"&amp;tblTeamFixtures[[#This Row],[GW]]</f>
        <v>FUL_36</v>
      </c>
      <c r="L717">
        <f>IFERROR(INDEX(TEAM_ANALYSIS!$Y:$Y,MATCH($E717,TEAM_ANALYSIS!$A:$A,0)),1)</f>
        <v>0.97058823529411764</v>
      </c>
      <c r="M717">
        <f>IFERROR(INDEX(TEAM_ANALYSIS!$Z:$Z,MATCH($E717,TEAM_ANALYSIS!$A:$A,0)),1)</f>
        <v>1.3235294117647058</v>
      </c>
      <c r="N717">
        <f>IFERROR(INDEX(TEAM_ANALYSIS!$Y:$Y,MATCH($F717,TEAM_ANALYSIS!$A:$A,0)),1)</f>
        <v>0.8529411764705882</v>
      </c>
      <c r="O717">
        <f>IFERROR(INDEX(TEAM_ANALYSIS!$Z:$Z,MATCH($F717,TEAM_ANALYSIS!$A:$A,0)),1)</f>
        <v>0.5</v>
      </c>
      <c r="P717">
        <f>MAX(0.05,AVERAGE(TEAM_ANALYSIS!$W$2:$W$21)*L717*O717)</f>
        <v>1.03125</v>
      </c>
      <c r="Q717">
        <f>MAX(0.05,AVERAGE(TEAM_ANALYSIS!$W$2:$W$21)*N717*M717)</f>
        <v>2.3988970588235294</v>
      </c>
      <c r="R717" s="23">
        <f>MAX(0.8,MIN(1.2,P717/AVERAGE(TEAM_ANALYSIS!$W$2:$W$21)))</f>
        <v>0.8</v>
      </c>
      <c r="S717">
        <f>MAX(0.8,MIN(1.2,AVERAGE(TEAM_ANALYSIS!$W$2:$W$21)/Q717))</f>
        <v>0.885823754789272</v>
      </c>
      <c r="T717">
        <f>AVERAGE(R717,S717)</f>
        <v>0.84291187739463602</v>
      </c>
    </row>
    <row r="718" spans="1:20" x14ac:dyDescent="0.25">
      <c r="A718">
        <v>36</v>
      </c>
      <c r="B718" t="b">
        <v>0</v>
      </c>
      <c r="C718" s="6">
        <v>46522.625</v>
      </c>
      <c r="D718" t="b">
        <v>0</v>
      </c>
      <c r="E718">
        <v>15</v>
      </c>
      <c r="F718">
        <v>12</v>
      </c>
      <c r="G718">
        <v>2</v>
      </c>
      <c r="H718" t="s">
        <v>1111</v>
      </c>
      <c r="I718" t="s">
        <v>1096</v>
      </c>
      <c r="J718" t="s">
        <v>1090</v>
      </c>
      <c r="K718" t="str">
        <f>tblTeamFixtures[[#This Row],[Team_name]]&amp;"_"&amp;tblTeamFixtures[[#This Row],[GW]]</f>
        <v>MCI_36</v>
      </c>
      <c r="L718">
        <f>IFERROR(INDEX(TEAM_ANALYSIS!$Y:$Y,MATCH($E718,TEAM_ANALYSIS!$A:$A,0)),1)</f>
        <v>1.3235294117647058</v>
      </c>
      <c r="M718">
        <f>IFERROR(INDEX(TEAM_ANALYSIS!$Z:$Z,MATCH($E718,TEAM_ANALYSIS!$A:$A,0)),1)</f>
        <v>0.73529411764705888</v>
      </c>
      <c r="N718">
        <f>IFERROR(INDEX(TEAM_ANALYSIS!$Y:$Y,MATCH($F718,TEAM_ANALYSIS!$A:$A,0)),1)</f>
        <v>0.97058823529411764</v>
      </c>
      <c r="O718">
        <f>IFERROR(INDEX(TEAM_ANALYSIS!$Z:$Z,MATCH($F718,TEAM_ANALYSIS!$A:$A,0)),1)</f>
        <v>1.4411764705882353</v>
      </c>
      <c r="P718">
        <f>MAX(0.05,AVERAGE(TEAM_ANALYSIS!$W$2:$W$21)*L718*O718)</f>
        <v>4.0533088235294121</v>
      </c>
      <c r="Q718">
        <f>MAX(0.05,AVERAGE(TEAM_ANALYSIS!$W$2:$W$21)*N718*M718)</f>
        <v>1.5165441176470589</v>
      </c>
      <c r="R718" s="23">
        <f>MAX(0.8,MIN(1.2,P718/AVERAGE(TEAM_ANALYSIS!$W$2:$W$21)))</f>
        <v>1.2</v>
      </c>
      <c r="S718">
        <f>MAX(0.8,MIN(1.2,AVERAGE(TEAM_ANALYSIS!$W$2:$W$21)/Q718))</f>
        <v>1.2</v>
      </c>
      <c r="T718">
        <f>AVERAGE(R718,S718)</f>
        <v>1.2</v>
      </c>
    </row>
    <row r="719" spans="1:20" x14ac:dyDescent="0.25">
      <c r="A719">
        <v>36</v>
      </c>
      <c r="B719" t="b">
        <v>0</v>
      </c>
      <c r="C719" s="6">
        <v>46522.625</v>
      </c>
      <c r="D719" t="b">
        <v>0</v>
      </c>
      <c r="E719">
        <v>4</v>
      </c>
      <c r="F719">
        <v>14</v>
      </c>
      <c r="G719">
        <v>4</v>
      </c>
      <c r="H719" t="s">
        <v>1111</v>
      </c>
      <c r="I719" t="s">
        <v>1074</v>
      </c>
      <c r="J719" t="s">
        <v>1094</v>
      </c>
      <c r="K719" t="str">
        <f>tblTeamFixtures[[#This Row],[Team_name]]&amp;"_"&amp;tblTeamFixtures[[#This Row],[GW]]</f>
        <v>BRE_36</v>
      </c>
      <c r="L719">
        <f>IFERROR(INDEX(TEAM_ANALYSIS!$Y:$Y,MATCH($E719,TEAM_ANALYSIS!$A:$A,0)),1)</f>
        <v>1.088235294117647</v>
      </c>
      <c r="M719">
        <f>IFERROR(INDEX(TEAM_ANALYSIS!$Z:$Z,MATCH($E719,TEAM_ANALYSIS!$A:$A,0)),1)</f>
        <v>0.73529411764705888</v>
      </c>
      <c r="N719">
        <f>IFERROR(INDEX(TEAM_ANALYSIS!$Y:$Y,MATCH($F719,TEAM_ANALYSIS!$A:$A,0)),1)</f>
        <v>1.2058823529411764</v>
      </c>
      <c r="O719">
        <f>IFERROR(INDEX(TEAM_ANALYSIS!$Z:$Z,MATCH($F719,TEAM_ANALYSIS!$A:$A,0)),1)</f>
        <v>0.97058823529411764</v>
      </c>
      <c r="P719">
        <f>MAX(0.05,AVERAGE(TEAM_ANALYSIS!$W$2:$W$21)*L719*O719)</f>
        <v>2.2444852941176472</v>
      </c>
      <c r="Q719">
        <f>MAX(0.05,AVERAGE(TEAM_ANALYSIS!$W$2:$W$21)*N719*M719)</f>
        <v>1.8841911764705883</v>
      </c>
      <c r="R719" s="23">
        <f>MAX(0.8,MIN(1.2,P719/AVERAGE(TEAM_ANALYSIS!$W$2:$W$21)))</f>
        <v>1.0562283737024223</v>
      </c>
      <c r="S719">
        <f>MAX(0.8,MIN(1.2,AVERAGE(TEAM_ANALYSIS!$W$2:$W$21)/Q719))</f>
        <v>1.1278048780487804</v>
      </c>
      <c r="T719">
        <f>AVERAGE(R719,S719)</f>
        <v>1.0920166258756012</v>
      </c>
    </row>
    <row r="720" spans="1:20" x14ac:dyDescent="0.25">
      <c r="A720">
        <v>36</v>
      </c>
      <c r="B720" t="b">
        <v>0</v>
      </c>
      <c r="C720" s="6">
        <v>46522.625</v>
      </c>
      <c r="D720" t="b">
        <v>0</v>
      </c>
      <c r="E720">
        <v>13</v>
      </c>
      <c r="F720">
        <v>16</v>
      </c>
      <c r="G720">
        <v>4</v>
      </c>
      <c r="H720" t="s">
        <v>1111</v>
      </c>
      <c r="I720" t="s">
        <v>1092</v>
      </c>
      <c r="J720" t="s">
        <v>1098</v>
      </c>
      <c r="K720" t="str">
        <f>tblTeamFixtures[[#This Row],[Team_name]]&amp;"_"&amp;tblTeamFixtures[[#This Row],[GW]]</f>
        <v>LEE_36</v>
      </c>
      <c r="L720">
        <f>IFERROR(INDEX(TEAM_ANALYSIS!$Y:$Y,MATCH($E720,TEAM_ANALYSIS!$A:$A,0)),1)</f>
        <v>0.8529411764705882</v>
      </c>
      <c r="M720">
        <f>IFERROR(INDEX(TEAM_ANALYSIS!$Z:$Z,MATCH($E720,TEAM_ANALYSIS!$A:$A,0)),1)</f>
        <v>0.73529411764705888</v>
      </c>
      <c r="N720">
        <f>IFERROR(INDEX(TEAM_ANALYSIS!$Y:$Y,MATCH($F720,TEAM_ANALYSIS!$A:$A,0)),1)</f>
        <v>1.3235294117647058</v>
      </c>
      <c r="O720">
        <f>IFERROR(INDEX(TEAM_ANALYSIS!$Z:$Z,MATCH($F720,TEAM_ANALYSIS!$A:$A,0)),1)</f>
        <v>1.2058823529411764</v>
      </c>
      <c r="P720">
        <f>MAX(0.05,AVERAGE(TEAM_ANALYSIS!$W$2:$W$21)*L720*O720)</f>
        <v>2.1856617647058822</v>
      </c>
      <c r="Q720">
        <f>MAX(0.05,AVERAGE(TEAM_ANALYSIS!$W$2:$W$21)*N720*M720)</f>
        <v>2.0680147058823533</v>
      </c>
      <c r="R720" s="23">
        <f>MAX(0.8,MIN(1.2,P720/AVERAGE(TEAM_ANALYSIS!$W$2:$W$21)))</f>
        <v>1.0285467128027681</v>
      </c>
      <c r="S720">
        <f>MAX(0.8,MIN(1.2,AVERAGE(TEAM_ANALYSIS!$W$2:$W$21)/Q720))</f>
        <v>1.0275555555555553</v>
      </c>
      <c r="T720">
        <f>AVERAGE(R720,S720)</f>
        <v>1.0280511341791616</v>
      </c>
    </row>
    <row r="721" spans="1:20" x14ac:dyDescent="0.25">
      <c r="A721">
        <v>36</v>
      </c>
      <c r="B721" t="b">
        <v>0</v>
      </c>
      <c r="C721" s="6">
        <v>46522.625</v>
      </c>
      <c r="D721" t="b">
        <v>0</v>
      </c>
      <c r="E721">
        <v>3</v>
      </c>
      <c r="F721">
        <v>20</v>
      </c>
      <c r="G721">
        <v>3</v>
      </c>
      <c r="H721" t="s">
        <v>1111</v>
      </c>
      <c r="I721" t="s">
        <v>1072</v>
      </c>
      <c r="J721" t="s">
        <v>1106</v>
      </c>
      <c r="K721" t="str">
        <f>tblTeamFixtures[[#This Row],[Team_name]]&amp;"_"&amp;tblTeamFixtures[[#This Row],[GW]]</f>
        <v>BOU_36</v>
      </c>
      <c r="L721">
        <f>IFERROR(INDEX(TEAM_ANALYSIS!$Y:$Y,MATCH($E721,TEAM_ANALYSIS!$A:$A,0)),1)</f>
        <v>0.97058823529411764</v>
      </c>
      <c r="M721">
        <f>IFERROR(INDEX(TEAM_ANALYSIS!$Z:$Z,MATCH($E721,TEAM_ANALYSIS!$A:$A,0)),1)</f>
        <v>1.088235294117647</v>
      </c>
      <c r="N721">
        <f>IFERROR(INDEX(TEAM_ANALYSIS!$Y:$Y,MATCH($F721,TEAM_ANALYSIS!$A:$A,0)),1)</f>
        <v>0.8529411764705882</v>
      </c>
      <c r="O721">
        <f>IFERROR(INDEX(TEAM_ANALYSIS!$Z:$Z,MATCH($F721,TEAM_ANALYSIS!$A:$A,0)),1)</f>
        <v>0.8529411764705882</v>
      </c>
      <c r="P721">
        <f>MAX(0.05,AVERAGE(TEAM_ANALYSIS!$W$2:$W$21)*L721*O721)</f>
        <v>1.7591911764705881</v>
      </c>
      <c r="Q721">
        <f>MAX(0.05,AVERAGE(TEAM_ANALYSIS!$W$2:$W$21)*N721*M721)</f>
        <v>1.9724264705882351</v>
      </c>
      <c r="R721" s="23">
        <f>MAX(0.8,MIN(1.2,P721/AVERAGE(TEAM_ANALYSIS!$W$2:$W$21)))</f>
        <v>0.82785467128027679</v>
      </c>
      <c r="S721">
        <f>MAX(0.8,MIN(1.2,AVERAGE(TEAM_ANALYSIS!$W$2:$W$21)/Q721))</f>
        <v>1.07735321528425</v>
      </c>
      <c r="T721">
        <f>AVERAGE(R721,S721)</f>
        <v>0.95260394328226339</v>
      </c>
    </row>
    <row r="722" spans="1:20" x14ac:dyDescent="0.25">
      <c r="A722">
        <v>37</v>
      </c>
      <c r="B722" t="b">
        <v>0</v>
      </c>
      <c r="C722" s="6">
        <v>46530.625</v>
      </c>
      <c r="D722" t="b">
        <v>0</v>
      </c>
      <c r="E722">
        <v>3</v>
      </c>
      <c r="F722">
        <v>6</v>
      </c>
      <c r="G722">
        <v>4</v>
      </c>
      <c r="H722" t="s">
        <v>1110</v>
      </c>
      <c r="I722" t="s">
        <v>1072</v>
      </c>
      <c r="J722" t="s">
        <v>1078</v>
      </c>
      <c r="K722" t="str">
        <f>tblTeamFixtures[[#This Row],[Team_name]]&amp;"_"&amp;tblTeamFixtures[[#This Row],[GW]]</f>
        <v>BOU_37</v>
      </c>
      <c r="L722">
        <f>IFERROR(INDEX(TEAM_ANALYSIS!$Y:$Y,MATCH($E722,TEAM_ANALYSIS!$A:$A,0)),1)</f>
        <v>0.97058823529411764</v>
      </c>
      <c r="M722">
        <f>IFERROR(INDEX(TEAM_ANALYSIS!$Z:$Z,MATCH($E722,TEAM_ANALYSIS!$A:$A,0)),1)</f>
        <v>1.088235294117647</v>
      </c>
      <c r="N722">
        <f>IFERROR(INDEX(TEAM_ANALYSIS!$Y:$Y,MATCH($F722,TEAM_ANALYSIS!$A:$A,0)),1)</f>
        <v>1.4411764705882353</v>
      </c>
      <c r="O722">
        <f>IFERROR(INDEX(TEAM_ANALYSIS!$Z:$Z,MATCH($F722,TEAM_ANALYSIS!$A:$A,0)),1)</f>
        <v>1.3235294117647058</v>
      </c>
      <c r="P722">
        <f>MAX(0.05,AVERAGE(TEAM_ANALYSIS!$W$2:$W$21)*L722*O722)</f>
        <v>2.7297794117647056</v>
      </c>
      <c r="Q722">
        <f>MAX(0.05,AVERAGE(TEAM_ANALYSIS!$W$2:$W$21)*N722*M722)</f>
        <v>3.3327205882352939</v>
      </c>
      <c r="R722" s="23">
        <f>MAX(0.8,MIN(1.2,P722/AVERAGE(TEAM_ANALYSIS!$W$2:$W$21)))</f>
        <v>1.2</v>
      </c>
      <c r="S722">
        <f>MAX(0.8,MIN(1.2,AVERAGE(TEAM_ANALYSIS!$W$2:$W$21)/Q722))</f>
        <v>0.8</v>
      </c>
      <c r="T722">
        <f>AVERAGE(R722,S722)</f>
        <v>1</v>
      </c>
    </row>
    <row r="723" spans="1:20" x14ac:dyDescent="0.25">
      <c r="A723">
        <v>37</v>
      </c>
      <c r="B723" t="b">
        <v>0</v>
      </c>
      <c r="C723" s="6">
        <v>46530.625</v>
      </c>
      <c r="D723" t="b">
        <v>0</v>
      </c>
      <c r="E723">
        <v>4</v>
      </c>
      <c r="F723">
        <v>11</v>
      </c>
      <c r="G723">
        <v>2</v>
      </c>
      <c r="H723" t="s">
        <v>1110</v>
      </c>
      <c r="I723" t="s">
        <v>1074</v>
      </c>
      <c r="J723" t="s">
        <v>1088</v>
      </c>
      <c r="K723" t="str">
        <f>tblTeamFixtures[[#This Row],[Team_name]]&amp;"_"&amp;tblTeamFixtures[[#This Row],[GW]]</f>
        <v>BRE_37</v>
      </c>
      <c r="L723">
        <f>IFERROR(INDEX(TEAM_ANALYSIS!$Y:$Y,MATCH($E723,TEAM_ANALYSIS!$A:$A,0)),1)</f>
        <v>1.088235294117647</v>
      </c>
      <c r="M723">
        <f>IFERROR(INDEX(TEAM_ANALYSIS!$Z:$Z,MATCH($E723,TEAM_ANALYSIS!$A:$A,0)),1)</f>
        <v>0.73529411764705888</v>
      </c>
      <c r="N723">
        <f>IFERROR(INDEX(TEAM_ANALYSIS!$Y:$Y,MATCH($F723,TEAM_ANALYSIS!$A:$A,0)),1)</f>
        <v>0.8529411764705882</v>
      </c>
      <c r="O723">
        <f>IFERROR(INDEX(TEAM_ANALYSIS!$Z:$Z,MATCH($F723,TEAM_ANALYSIS!$A:$A,0)),1)</f>
        <v>0.5</v>
      </c>
      <c r="P723">
        <f>MAX(0.05,AVERAGE(TEAM_ANALYSIS!$W$2:$W$21)*L723*O723)</f>
        <v>1.15625</v>
      </c>
      <c r="Q723">
        <f>MAX(0.05,AVERAGE(TEAM_ANALYSIS!$W$2:$W$21)*N723*M723)</f>
        <v>1.3327205882352942</v>
      </c>
      <c r="R723" s="23">
        <f>MAX(0.8,MIN(1.2,P723/AVERAGE(TEAM_ANALYSIS!$W$2:$W$21)))</f>
        <v>0.8</v>
      </c>
      <c r="S723">
        <f>MAX(0.8,MIN(1.2,AVERAGE(TEAM_ANALYSIS!$W$2:$W$21)/Q723))</f>
        <v>1.2</v>
      </c>
      <c r="T723">
        <f>AVERAGE(R723,S723)</f>
        <v>1</v>
      </c>
    </row>
    <row r="724" spans="1:20" x14ac:dyDescent="0.25">
      <c r="A724">
        <v>37</v>
      </c>
      <c r="B724" t="b">
        <v>0</v>
      </c>
      <c r="C724" s="6">
        <v>46530.625</v>
      </c>
      <c r="D724" t="b">
        <v>0</v>
      </c>
      <c r="E724">
        <v>5</v>
      </c>
      <c r="F724">
        <v>14</v>
      </c>
      <c r="G724">
        <v>4</v>
      </c>
      <c r="H724" t="s">
        <v>1110</v>
      </c>
      <c r="I724" t="s">
        <v>1076</v>
      </c>
      <c r="J724" t="s">
        <v>1094</v>
      </c>
      <c r="K724" t="str">
        <f>tblTeamFixtures[[#This Row],[Team_name]]&amp;"_"&amp;tblTeamFixtures[[#This Row],[GW]]</f>
        <v>BHA_37</v>
      </c>
      <c r="L724">
        <f>IFERROR(INDEX(TEAM_ANALYSIS!$Y:$Y,MATCH($E724,TEAM_ANALYSIS!$A:$A,0)),1)</f>
        <v>1.4411764705882353</v>
      </c>
      <c r="M724">
        <f>IFERROR(INDEX(TEAM_ANALYSIS!$Z:$Z,MATCH($E724,TEAM_ANALYSIS!$A:$A,0)),1)</f>
        <v>1.088235294117647</v>
      </c>
      <c r="N724">
        <f>IFERROR(INDEX(TEAM_ANALYSIS!$Y:$Y,MATCH($F724,TEAM_ANALYSIS!$A:$A,0)),1)</f>
        <v>1.2058823529411764</v>
      </c>
      <c r="O724">
        <f>IFERROR(INDEX(TEAM_ANALYSIS!$Z:$Z,MATCH($F724,TEAM_ANALYSIS!$A:$A,0)),1)</f>
        <v>0.97058823529411764</v>
      </c>
      <c r="P724">
        <f>MAX(0.05,AVERAGE(TEAM_ANALYSIS!$W$2:$W$21)*L724*O724)</f>
        <v>2.9724264705882351</v>
      </c>
      <c r="Q724">
        <f>MAX(0.05,AVERAGE(TEAM_ANALYSIS!$W$2:$W$21)*N724*M724)</f>
        <v>2.7886029411764706</v>
      </c>
      <c r="R724" s="23">
        <f>MAX(0.8,MIN(1.2,P724/AVERAGE(TEAM_ANALYSIS!$W$2:$W$21)))</f>
        <v>1.2</v>
      </c>
      <c r="S724">
        <f>MAX(0.8,MIN(1.2,AVERAGE(TEAM_ANALYSIS!$W$2:$W$21)/Q724))</f>
        <v>0.8</v>
      </c>
      <c r="T724">
        <f>AVERAGE(R724,S724)</f>
        <v>1</v>
      </c>
    </row>
    <row r="725" spans="1:20" x14ac:dyDescent="0.25">
      <c r="A725">
        <v>37</v>
      </c>
      <c r="B725" t="b">
        <v>0</v>
      </c>
      <c r="C725" s="6">
        <v>46530.625</v>
      </c>
      <c r="D725" t="b">
        <v>0</v>
      </c>
      <c r="E725">
        <v>9</v>
      </c>
      <c r="F725">
        <v>1</v>
      </c>
      <c r="G725">
        <v>4</v>
      </c>
      <c r="H725" t="s">
        <v>1110</v>
      </c>
      <c r="I725" t="s">
        <v>1084</v>
      </c>
      <c r="J725" t="s">
        <v>1068</v>
      </c>
      <c r="K725" t="str">
        <f>tblTeamFixtures[[#This Row],[Team_name]]&amp;"_"&amp;tblTeamFixtures[[#This Row],[GW]]</f>
        <v>EVE_37</v>
      </c>
      <c r="L725">
        <f>IFERROR(INDEX(TEAM_ANALYSIS!$Y:$Y,MATCH($E725,TEAM_ANALYSIS!$A:$A,0)),1)</f>
        <v>1.088235294117647</v>
      </c>
      <c r="M725">
        <f>IFERROR(INDEX(TEAM_ANALYSIS!$Z:$Z,MATCH($E725,TEAM_ANALYSIS!$A:$A,0)),1)</f>
        <v>0.8529411764705882</v>
      </c>
      <c r="N725">
        <f>IFERROR(INDEX(TEAM_ANALYSIS!$Y:$Y,MATCH($F725,TEAM_ANALYSIS!$A:$A,0)),1)</f>
        <v>1.2058823529411764</v>
      </c>
      <c r="O725">
        <f>IFERROR(INDEX(TEAM_ANALYSIS!$Z:$Z,MATCH($F725,TEAM_ANALYSIS!$A:$A,0)),1)</f>
        <v>0.61764705882352944</v>
      </c>
      <c r="P725">
        <f>MAX(0.05,AVERAGE(TEAM_ANALYSIS!$W$2:$W$21)*L725*O725)</f>
        <v>1.4283088235294119</v>
      </c>
      <c r="Q725">
        <f>MAX(0.05,AVERAGE(TEAM_ANALYSIS!$W$2:$W$21)*N725*M725)</f>
        <v>2.1856617647058822</v>
      </c>
      <c r="R725" s="23">
        <f>MAX(0.8,MIN(1.2,P725/AVERAGE(TEAM_ANALYSIS!$W$2:$W$21)))</f>
        <v>0.8</v>
      </c>
      <c r="S725">
        <f>MAX(0.8,MIN(1.2,AVERAGE(TEAM_ANALYSIS!$W$2:$W$21)/Q725))</f>
        <v>0.9722455845248108</v>
      </c>
      <c r="T725">
        <f>AVERAGE(R725,S725)</f>
        <v>0.88612279226240542</v>
      </c>
    </row>
    <row r="726" spans="1:20" x14ac:dyDescent="0.25">
      <c r="A726">
        <v>37</v>
      </c>
      <c r="B726" t="b">
        <v>0</v>
      </c>
      <c r="C726" s="6">
        <v>46530.625</v>
      </c>
      <c r="D726" t="b">
        <v>0</v>
      </c>
      <c r="E726">
        <v>10</v>
      </c>
      <c r="F726">
        <v>7</v>
      </c>
      <c r="G726">
        <v>2</v>
      </c>
      <c r="H726" t="s">
        <v>1110</v>
      </c>
      <c r="I726" t="s">
        <v>1086</v>
      </c>
      <c r="J726" t="s">
        <v>1080</v>
      </c>
      <c r="K726" t="str">
        <f>tblTeamFixtures[[#This Row],[Team_name]]&amp;"_"&amp;tblTeamFixtures[[#This Row],[GW]]</f>
        <v>FUL_37</v>
      </c>
      <c r="L726">
        <f>IFERROR(INDEX(TEAM_ANALYSIS!$Y:$Y,MATCH($E726,TEAM_ANALYSIS!$A:$A,0)),1)</f>
        <v>0.97058823529411764</v>
      </c>
      <c r="M726">
        <f>IFERROR(INDEX(TEAM_ANALYSIS!$Z:$Z,MATCH($E726,TEAM_ANALYSIS!$A:$A,0)),1)</f>
        <v>1.3235294117647058</v>
      </c>
      <c r="N726">
        <f>IFERROR(INDEX(TEAM_ANALYSIS!$Y:$Y,MATCH($F726,TEAM_ANALYSIS!$A:$A,0)),1)</f>
        <v>0.5</v>
      </c>
      <c r="O726">
        <f>IFERROR(INDEX(TEAM_ANALYSIS!$Z:$Z,MATCH($F726,TEAM_ANALYSIS!$A:$A,0)),1)</f>
        <v>1.088235294117647</v>
      </c>
      <c r="P726">
        <f>MAX(0.05,AVERAGE(TEAM_ANALYSIS!$W$2:$W$21)*L726*O726)</f>
        <v>2.2444852941176467</v>
      </c>
      <c r="Q726">
        <f>MAX(0.05,AVERAGE(TEAM_ANALYSIS!$W$2:$W$21)*N726*M726)</f>
        <v>1.40625</v>
      </c>
      <c r="R726" s="23">
        <f>MAX(0.8,MIN(1.2,P726/AVERAGE(TEAM_ANALYSIS!$W$2:$W$21)))</f>
        <v>1.0562283737024221</v>
      </c>
      <c r="S726">
        <f>MAX(0.8,MIN(1.2,AVERAGE(TEAM_ANALYSIS!$W$2:$W$21)/Q726))</f>
        <v>1.2</v>
      </c>
      <c r="T726">
        <f>AVERAGE(R726,S726)</f>
        <v>1.128114186851211</v>
      </c>
    </row>
    <row r="727" spans="1:20" x14ac:dyDescent="0.25">
      <c r="A727">
        <v>37</v>
      </c>
      <c r="B727" t="b">
        <v>0</v>
      </c>
      <c r="C727" s="6">
        <v>46530.625</v>
      </c>
      <c r="D727" t="b">
        <v>0</v>
      </c>
      <c r="E727">
        <v>13</v>
      </c>
      <c r="F727">
        <v>20</v>
      </c>
      <c r="G727">
        <v>2</v>
      </c>
      <c r="H727" t="s">
        <v>1110</v>
      </c>
      <c r="I727" t="s">
        <v>1092</v>
      </c>
      <c r="J727" t="s">
        <v>1106</v>
      </c>
      <c r="K727" t="str">
        <f>tblTeamFixtures[[#This Row],[Team_name]]&amp;"_"&amp;tblTeamFixtures[[#This Row],[GW]]</f>
        <v>LEE_37</v>
      </c>
      <c r="L727">
        <f>IFERROR(INDEX(TEAM_ANALYSIS!$Y:$Y,MATCH($E727,TEAM_ANALYSIS!$A:$A,0)),1)</f>
        <v>0.8529411764705882</v>
      </c>
      <c r="M727">
        <f>IFERROR(INDEX(TEAM_ANALYSIS!$Z:$Z,MATCH($E727,TEAM_ANALYSIS!$A:$A,0)),1)</f>
        <v>0.73529411764705888</v>
      </c>
      <c r="N727">
        <f>IFERROR(INDEX(TEAM_ANALYSIS!$Y:$Y,MATCH($F727,TEAM_ANALYSIS!$A:$A,0)),1)</f>
        <v>0.8529411764705882</v>
      </c>
      <c r="O727">
        <f>IFERROR(INDEX(TEAM_ANALYSIS!$Z:$Z,MATCH($F727,TEAM_ANALYSIS!$A:$A,0)),1)</f>
        <v>0.8529411764705882</v>
      </c>
      <c r="P727">
        <f>MAX(0.05,AVERAGE(TEAM_ANALYSIS!$W$2:$W$21)*L727*O727)</f>
        <v>1.5459558823529411</v>
      </c>
      <c r="Q727">
        <f>MAX(0.05,AVERAGE(TEAM_ANALYSIS!$W$2:$W$21)*N727*M727)</f>
        <v>1.3327205882352942</v>
      </c>
      <c r="R727" s="23">
        <f>MAX(0.8,MIN(1.2,P727/AVERAGE(TEAM_ANALYSIS!$W$2:$W$21)))</f>
        <v>0.8</v>
      </c>
      <c r="S727">
        <f>MAX(0.8,MIN(1.2,AVERAGE(TEAM_ANALYSIS!$W$2:$W$21)/Q727))</f>
        <v>1.2</v>
      </c>
      <c r="T727">
        <f>AVERAGE(R727,S727)</f>
        <v>1</v>
      </c>
    </row>
    <row r="728" spans="1:20" x14ac:dyDescent="0.25">
      <c r="A728">
        <v>37</v>
      </c>
      <c r="B728" t="b">
        <v>0</v>
      </c>
      <c r="C728" s="6">
        <v>46530.625</v>
      </c>
      <c r="D728" t="b">
        <v>0</v>
      </c>
      <c r="E728">
        <v>15</v>
      </c>
      <c r="F728">
        <v>2</v>
      </c>
      <c r="G728">
        <v>3</v>
      </c>
      <c r="H728" t="s">
        <v>1110</v>
      </c>
      <c r="I728" t="s">
        <v>1096</v>
      </c>
      <c r="J728" t="s">
        <v>1070</v>
      </c>
      <c r="K728" t="str">
        <f>tblTeamFixtures[[#This Row],[Team_name]]&amp;"_"&amp;tblTeamFixtures[[#This Row],[GW]]</f>
        <v>MCI_37</v>
      </c>
      <c r="L728">
        <f>IFERROR(INDEX(TEAM_ANALYSIS!$Y:$Y,MATCH($E728,TEAM_ANALYSIS!$A:$A,0)),1)</f>
        <v>1.3235294117647058</v>
      </c>
      <c r="M728">
        <f>IFERROR(INDEX(TEAM_ANALYSIS!$Z:$Z,MATCH($E728,TEAM_ANALYSIS!$A:$A,0)),1)</f>
        <v>0.73529411764705888</v>
      </c>
      <c r="N728">
        <f>IFERROR(INDEX(TEAM_ANALYSIS!$Y:$Y,MATCH($F728,TEAM_ANALYSIS!$A:$A,0)),1)</f>
        <v>0.5</v>
      </c>
      <c r="O728">
        <f>IFERROR(INDEX(TEAM_ANALYSIS!$Z:$Z,MATCH($F728,TEAM_ANALYSIS!$A:$A,0)),1)</f>
        <v>1.088235294117647</v>
      </c>
      <c r="P728">
        <f>MAX(0.05,AVERAGE(TEAM_ANALYSIS!$W$2:$W$21)*L728*O728)</f>
        <v>3.0606617647058822</v>
      </c>
      <c r="Q728">
        <f>MAX(0.05,AVERAGE(TEAM_ANALYSIS!$W$2:$W$21)*N728*M728)</f>
        <v>0.78125</v>
      </c>
      <c r="R728" s="23">
        <f>MAX(0.8,MIN(1.2,P728/AVERAGE(TEAM_ANALYSIS!$W$2:$W$21)))</f>
        <v>1.2</v>
      </c>
      <c r="S728">
        <f>MAX(0.8,MIN(1.2,AVERAGE(TEAM_ANALYSIS!$W$2:$W$21)/Q728))</f>
        <v>1.2</v>
      </c>
      <c r="T728">
        <f>AVERAGE(R728,S728)</f>
        <v>1.2</v>
      </c>
    </row>
    <row r="729" spans="1:20" x14ac:dyDescent="0.25">
      <c r="A729">
        <v>37</v>
      </c>
      <c r="B729" t="b">
        <v>0</v>
      </c>
      <c r="C729" s="6">
        <v>46530.625</v>
      </c>
      <c r="D729" t="b">
        <v>0</v>
      </c>
      <c r="E729">
        <v>17</v>
      </c>
      <c r="F729">
        <v>8</v>
      </c>
      <c r="G729">
        <v>3</v>
      </c>
      <c r="H729" t="s">
        <v>1110</v>
      </c>
      <c r="I729" t="s">
        <v>1100</v>
      </c>
      <c r="J729" t="s">
        <v>1082</v>
      </c>
      <c r="K729" t="str">
        <f>tblTeamFixtures[[#This Row],[Team_name]]&amp;"_"&amp;tblTeamFixtures[[#This Row],[GW]]</f>
        <v>NEW_37</v>
      </c>
      <c r="L729">
        <f>IFERROR(INDEX(TEAM_ANALYSIS!$Y:$Y,MATCH($E729,TEAM_ANALYSIS!$A:$A,0)),1)</f>
        <v>1.2058823529411764</v>
      </c>
      <c r="M729">
        <f>IFERROR(INDEX(TEAM_ANALYSIS!$Z:$Z,MATCH($E729,TEAM_ANALYSIS!$A:$A,0)),1)</f>
        <v>0.97058823529411764</v>
      </c>
      <c r="N729">
        <f>IFERROR(INDEX(TEAM_ANALYSIS!$Y:$Y,MATCH($F729,TEAM_ANALYSIS!$A:$A,0)),1)</f>
        <v>0.97058823529411764</v>
      </c>
      <c r="O729">
        <f>IFERROR(INDEX(TEAM_ANALYSIS!$Z:$Z,MATCH($F729,TEAM_ANALYSIS!$A:$A,0)),1)</f>
        <v>1.4411764705882353</v>
      </c>
      <c r="P729">
        <f>MAX(0.05,AVERAGE(TEAM_ANALYSIS!$W$2:$W$21)*L729*O729)</f>
        <v>3.6930147058823528</v>
      </c>
      <c r="Q729">
        <f>MAX(0.05,AVERAGE(TEAM_ANALYSIS!$W$2:$W$21)*N729*M729)</f>
        <v>2.0018382352941178</v>
      </c>
      <c r="R729" s="23">
        <f>MAX(0.8,MIN(1.2,P729/AVERAGE(TEAM_ANALYSIS!$W$2:$W$21)))</f>
        <v>1.2</v>
      </c>
      <c r="S729">
        <f>MAX(0.8,MIN(1.2,AVERAGE(TEAM_ANALYSIS!$W$2:$W$21)/Q729))</f>
        <v>1.061524334251607</v>
      </c>
      <c r="T729">
        <f>AVERAGE(R729,S729)</f>
        <v>1.1307621671258035</v>
      </c>
    </row>
    <row r="730" spans="1:20" x14ac:dyDescent="0.25">
      <c r="A730">
        <v>37</v>
      </c>
      <c r="B730" t="b">
        <v>0</v>
      </c>
      <c r="C730" s="6">
        <v>46530.625</v>
      </c>
      <c r="D730" t="b">
        <v>0</v>
      </c>
      <c r="E730">
        <v>18</v>
      </c>
      <c r="F730">
        <v>12</v>
      </c>
      <c r="G730">
        <v>2</v>
      </c>
      <c r="H730" t="s">
        <v>1110</v>
      </c>
      <c r="I730" t="s">
        <v>1102</v>
      </c>
      <c r="J730" t="s">
        <v>1090</v>
      </c>
      <c r="K730" t="str">
        <f>tblTeamFixtures[[#This Row],[Team_name]]&amp;"_"&amp;tblTeamFixtures[[#This Row],[GW]]</f>
        <v>NFO_37</v>
      </c>
      <c r="L730">
        <f>IFERROR(INDEX(TEAM_ANALYSIS!$Y:$Y,MATCH($E730,TEAM_ANALYSIS!$A:$A,0)),1)</f>
        <v>0.73529411764705888</v>
      </c>
      <c r="M730">
        <f>IFERROR(INDEX(TEAM_ANALYSIS!$Z:$Z,MATCH($E730,TEAM_ANALYSIS!$A:$A,0)),1)</f>
        <v>0.8529411764705882</v>
      </c>
      <c r="N730">
        <f>IFERROR(INDEX(TEAM_ANALYSIS!$Y:$Y,MATCH($F730,TEAM_ANALYSIS!$A:$A,0)),1)</f>
        <v>0.97058823529411764</v>
      </c>
      <c r="O730">
        <f>IFERROR(INDEX(TEAM_ANALYSIS!$Z:$Z,MATCH($F730,TEAM_ANALYSIS!$A:$A,0)),1)</f>
        <v>1.4411764705882353</v>
      </c>
      <c r="P730">
        <f>MAX(0.05,AVERAGE(TEAM_ANALYSIS!$W$2:$W$21)*L730*O730)</f>
        <v>2.2518382352941178</v>
      </c>
      <c r="Q730">
        <f>MAX(0.05,AVERAGE(TEAM_ANALYSIS!$W$2:$W$21)*N730*M730)</f>
        <v>1.7591911764705881</v>
      </c>
      <c r="R730" s="23">
        <f>MAX(0.8,MIN(1.2,P730/AVERAGE(TEAM_ANALYSIS!$W$2:$W$21)))</f>
        <v>1.0596885813148789</v>
      </c>
      <c r="S730">
        <f>MAX(0.8,MIN(1.2,AVERAGE(TEAM_ANALYSIS!$W$2:$W$21)/Q730))</f>
        <v>1.2</v>
      </c>
      <c r="T730">
        <f>AVERAGE(R730,S730)</f>
        <v>1.1298442906574393</v>
      </c>
    </row>
    <row r="731" spans="1:20" x14ac:dyDescent="0.25">
      <c r="A731">
        <v>37</v>
      </c>
      <c r="B731" t="b">
        <v>0</v>
      </c>
      <c r="C731" s="6">
        <v>46530.625</v>
      </c>
      <c r="D731" t="b">
        <v>0</v>
      </c>
      <c r="E731">
        <v>19</v>
      </c>
      <c r="F731">
        <v>16</v>
      </c>
      <c r="G731">
        <v>4</v>
      </c>
      <c r="H731" t="s">
        <v>1110</v>
      </c>
      <c r="I731" t="s">
        <v>1104</v>
      </c>
      <c r="J731" t="s">
        <v>1098</v>
      </c>
      <c r="K731" t="str">
        <f>tblTeamFixtures[[#This Row],[Team_name]]&amp;"_"&amp;tblTeamFixtures[[#This Row],[GW]]</f>
        <v>TOT_37</v>
      </c>
      <c r="L731">
        <f>IFERROR(INDEX(TEAM_ANALYSIS!$Y:$Y,MATCH($E731,TEAM_ANALYSIS!$A:$A,0)),1)</f>
        <v>0.5</v>
      </c>
      <c r="M731">
        <f>IFERROR(INDEX(TEAM_ANALYSIS!$Z:$Z,MATCH($E731,TEAM_ANALYSIS!$A:$A,0)),1)</f>
        <v>1.088235294117647</v>
      </c>
      <c r="N731">
        <f>IFERROR(INDEX(TEAM_ANALYSIS!$Y:$Y,MATCH($F731,TEAM_ANALYSIS!$A:$A,0)),1)</f>
        <v>1.3235294117647058</v>
      </c>
      <c r="O731">
        <f>IFERROR(INDEX(TEAM_ANALYSIS!$Z:$Z,MATCH($F731,TEAM_ANALYSIS!$A:$A,0)),1)</f>
        <v>1.2058823529411764</v>
      </c>
      <c r="P731">
        <f>MAX(0.05,AVERAGE(TEAM_ANALYSIS!$W$2:$W$21)*L731*O731)</f>
        <v>1.28125</v>
      </c>
      <c r="Q731">
        <f>MAX(0.05,AVERAGE(TEAM_ANALYSIS!$W$2:$W$21)*N731*M731)</f>
        <v>3.0606617647058822</v>
      </c>
      <c r="R731" s="23">
        <f>MAX(0.8,MIN(1.2,P731/AVERAGE(TEAM_ANALYSIS!$W$2:$W$21)))</f>
        <v>0.8</v>
      </c>
      <c r="S731">
        <f>MAX(0.8,MIN(1.2,AVERAGE(TEAM_ANALYSIS!$W$2:$W$21)/Q731))</f>
        <v>0.8</v>
      </c>
      <c r="T731">
        <f>AVERAGE(R731,S731)</f>
        <v>0.8</v>
      </c>
    </row>
    <row r="732" spans="1:20" x14ac:dyDescent="0.25">
      <c r="A732">
        <v>37</v>
      </c>
      <c r="B732" t="b">
        <v>0</v>
      </c>
      <c r="C732" s="6">
        <v>46530.625</v>
      </c>
      <c r="D732" t="b">
        <v>0</v>
      </c>
      <c r="E732">
        <v>6</v>
      </c>
      <c r="F732">
        <v>3</v>
      </c>
      <c r="G732">
        <v>3</v>
      </c>
      <c r="H732" t="s">
        <v>1111</v>
      </c>
      <c r="I732" t="s">
        <v>1078</v>
      </c>
      <c r="J732" t="s">
        <v>1072</v>
      </c>
      <c r="K732" t="str">
        <f>tblTeamFixtures[[#This Row],[Team_name]]&amp;"_"&amp;tblTeamFixtures[[#This Row],[GW]]</f>
        <v>CHE_37</v>
      </c>
      <c r="L732">
        <f>IFERROR(INDEX(TEAM_ANALYSIS!$Y:$Y,MATCH($E732,TEAM_ANALYSIS!$A:$A,0)),1)</f>
        <v>1.4411764705882353</v>
      </c>
      <c r="M732">
        <f>IFERROR(INDEX(TEAM_ANALYSIS!$Z:$Z,MATCH($E732,TEAM_ANALYSIS!$A:$A,0)),1)</f>
        <v>1.3235294117647058</v>
      </c>
      <c r="N732">
        <f>IFERROR(INDEX(TEAM_ANALYSIS!$Y:$Y,MATCH($F732,TEAM_ANALYSIS!$A:$A,0)),1)</f>
        <v>0.97058823529411764</v>
      </c>
      <c r="O732">
        <f>IFERROR(INDEX(TEAM_ANALYSIS!$Z:$Z,MATCH($F732,TEAM_ANALYSIS!$A:$A,0)),1)</f>
        <v>1.088235294117647</v>
      </c>
      <c r="P732">
        <f>MAX(0.05,AVERAGE(TEAM_ANALYSIS!$W$2:$W$21)*L732*O732)</f>
        <v>3.3327205882352939</v>
      </c>
      <c r="Q732">
        <f>MAX(0.05,AVERAGE(TEAM_ANALYSIS!$W$2:$W$21)*N732*M732)</f>
        <v>2.7297794117647056</v>
      </c>
      <c r="R732" s="23">
        <f>MAX(0.8,MIN(1.2,P732/AVERAGE(TEAM_ANALYSIS!$W$2:$W$21)))</f>
        <v>1.2</v>
      </c>
      <c r="S732">
        <f>MAX(0.8,MIN(1.2,AVERAGE(TEAM_ANALYSIS!$W$2:$W$21)/Q732))</f>
        <v>0.8</v>
      </c>
      <c r="T732">
        <f>AVERAGE(R732,S732)</f>
        <v>1</v>
      </c>
    </row>
    <row r="733" spans="1:20" x14ac:dyDescent="0.25">
      <c r="A733">
        <v>37</v>
      </c>
      <c r="B733" t="b">
        <v>0</v>
      </c>
      <c r="C733" s="6">
        <v>46530.625</v>
      </c>
      <c r="D733" t="b">
        <v>0</v>
      </c>
      <c r="E733">
        <v>11</v>
      </c>
      <c r="F733">
        <v>4</v>
      </c>
      <c r="G733">
        <v>3</v>
      </c>
      <c r="H733" t="s">
        <v>1111</v>
      </c>
      <c r="I733" t="s">
        <v>1088</v>
      </c>
      <c r="J733" t="s">
        <v>1074</v>
      </c>
      <c r="K733" t="str">
        <f>tblTeamFixtures[[#This Row],[Team_name]]&amp;"_"&amp;tblTeamFixtures[[#This Row],[GW]]</f>
        <v>HUL_37</v>
      </c>
      <c r="L733">
        <f>IFERROR(INDEX(TEAM_ANALYSIS!$Y:$Y,MATCH($E733,TEAM_ANALYSIS!$A:$A,0)),1)</f>
        <v>0.8529411764705882</v>
      </c>
      <c r="M733">
        <f>IFERROR(INDEX(TEAM_ANALYSIS!$Z:$Z,MATCH($E733,TEAM_ANALYSIS!$A:$A,0)),1)</f>
        <v>0.5</v>
      </c>
      <c r="N733">
        <f>IFERROR(INDEX(TEAM_ANALYSIS!$Y:$Y,MATCH($F733,TEAM_ANALYSIS!$A:$A,0)),1)</f>
        <v>1.088235294117647</v>
      </c>
      <c r="O733">
        <f>IFERROR(INDEX(TEAM_ANALYSIS!$Z:$Z,MATCH($F733,TEAM_ANALYSIS!$A:$A,0)),1)</f>
        <v>0.73529411764705888</v>
      </c>
      <c r="P733">
        <f>MAX(0.05,AVERAGE(TEAM_ANALYSIS!$W$2:$W$21)*L733*O733)</f>
        <v>1.3327205882352942</v>
      </c>
      <c r="Q733">
        <f>MAX(0.05,AVERAGE(TEAM_ANALYSIS!$W$2:$W$21)*N733*M733)</f>
        <v>1.15625</v>
      </c>
      <c r="R733" s="23">
        <f>MAX(0.8,MIN(1.2,P733/AVERAGE(TEAM_ANALYSIS!$W$2:$W$21)))</f>
        <v>0.8</v>
      </c>
      <c r="S733">
        <f>MAX(0.8,MIN(1.2,AVERAGE(TEAM_ANALYSIS!$W$2:$W$21)/Q733))</f>
        <v>1.2</v>
      </c>
      <c r="T733">
        <f>AVERAGE(R733,S733)</f>
        <v>1</v>
      </c>
    </row>
    <row r="734" spans="1:20" x14ac:dyDescent="0.25">
      <c r="A734">
        <v>37</v>
      </c>
      <c r="B734" t="b">
        <v>0</v>
      </c>
      <c r="C734" s="6">
        <v>46530.625</v>
      </c>
      <c r="D734" t="b">
        <v>0</v>
      </c>
      <c r="E734">
        <v>14</v>
      </c>
      <c r="F734">
        <v>5</v>
      </c>
      <c r="G734">
        <v>3</v>
      </c>
      <c r="H734" t="s">
        <v>1111</v>
      </c>
      <c r="I734" t="s">
        <v>1094</v>
      </c>
      <c r="J734" t="s">
        <v>1076</v>
      </c>
      <c r="K734" t="str">
        <f>tblTeamFixtures[[#This Row],[Team_name]]&amp;"_"&amp;tblTeamFixtures[[#This Row],[GW]]</f>
        <v>LIV_37</v>
      </c>
      <c r="L734">
        <f>IFERROR(INDEX(TEAM_ANALYSIS!$Y:$Y,MATCH($E734,TEAM_ANALYSIS!$A:$A,0)),1)</f>
        <v>1.2058823529411764</v>
      </c>
      <c r="M734">
        <f>IFERROR(INDEX(TEAM_ANALYSIS!$Z:$Z,MATCH($E734,TEAM_ANALYSIS!$A:$A,0)),1)</f>
        <v>0.97058823529411764</v>
      </c>
      <c r="N734">
        <f>IFERROR(INDEX(TEAM_ANALYSIS!$Y:$Y,MATCH($F734,TEAM_ANALYSIS!$A:$A,0)),1)</f>
        <v>1.4411764705882353</v>
      </c>
      <c r="O734">
        <f>IFERROR(INDEX(TEAM_ANALYSIS!$Z:$Z,MATCH($F734,TEAM_ANALYSIS!$A:$A,0)),1)</f>
        <v>1.088235294117647</v>
      </c>
      <c r="P734">
        <f>MAX(0.05,AVERAGE(TEAM_ANALYSIS!$W$2:$W$21)*L734*O734)</f>
        <v>2.7886029411764706</v>
      </c>
      <c r="Q734">
        <f>MAX(0.05,AVERAGE(TEAM_ANALYSIS!$W$2:$W$21)*N734*M734)</f>
        <v>2.9724264705882351</v>
      </c>
      <c r="R734" s="23">
        <f>MAX(0.8,MIN(1.2,P734/AVERAGE(TEAM_ANALYSIS!$W$2:$W$21)))</f>
        <v>1.2</v>
      </c>
      <c r="S734">
        <f>MAX(0.8,MIN(1.2,AVERAGE(TEAM_ANALYSIS!$W$2:$W$21)/Q734))</f>
        <v>0.8</v>
      </c>
      <c r="T734">
        <f>AVERAGE(R734,S734)</f>
        <v>1</v>
      </c>
    </row>
    <row r="735" spans="1:20" x14ac:dyDescent="0.25">
      <c r="A735">
        <v>37</v>
      </c>
      <c r="B735" t="b">
        <v>0</v>
      </c>
      <c r="C735" s="6">
        <v>46530.625</v>
      </c>
      <c r="D735" t="b">
        <v>0</v>
      </c>
      <c r="E735">
        <v>1</v>
      </c>
      <c r="F735">
        <v>9</v>
      </c>
      <c r="G735">
        <v>3</v>
      </c>
      <c r="H735" t="s">
        <v>1111</v>
      </c>
      <c r="I735" t="s">
        <v>1068</v>
      </c>
      <c r="J735" t="s">
        <v>1084</v>
      </c>
      <c r="K735" t="str">
        <f>tblTeamFixtures[[#This Row],[Team_name]]&amp;"_"&amp;tblTeamFixtures[[#This Row],[GW]]</f>
        <v>ARS_37</v>
      </c>
      <c r="L735">
        <f>IFERROR(INDEX(TEAM_ANALYSIS!$Y:$Y,MATCH($E735,TEAM_ANALYSIS!$A:$A,0)),1)</f>
        <v>1.2058823529411764</v>
      </c>
      <c r="M735">
        <f>IFERROR(INDEX(TEAM_ANALYSIS!$Z:$Z,MATCH($E735,TEAM_ANALYSIS!$A:$A,0)),1)</f>
        <v>0.61764705882352944</v>
      </c>
      <c r="N735">
        <f>IFERROR(INDEX(TEAM_ANALYSIS!$Y:$Y,MATCH($F735,TEAM_ANALYSIS!$A:$A,0)),1)</f>
        <v>1.088235294117647</v>
      </c>
      <c r="O735">
        <f>IFERROR(INDEX(TEAM_ANALYSIS!$Z:$Z,MATCH($F735,TEAM_ANALYSIS!$A:$A,0)),1)</f>
        <v>0.8529411764705882</v>
      </c>
      <c r="P735">
        <f>MAX(0.05,AVERAGE(TEAM_ANALYSIS!$W$2:$W$21)*L735*O735)</f>
        <v>2.1856617647058822</v>
      </c>
      <c r="Q735">
        <f>MAX(0.05,AVERAGE(TEAM_ANALYSIS!$W$2:$W$21)*N735*M735)</f>
        <v>1.4283088235294119</v>
      </c>
      <c r="R735" s="23">
        <f>MAX(0.8,MIN(1.2,P735/AVERAGE(TEAM_ANALYSIS!$W$2:$W$21)))</f>
        <v>1.0285467128027681</v>
      </c>
      <c r="S735">
        <f>MAX(0.8,MIN(1.2,AVERAGE(TEAM_ANALYSIS!$W$2:$W$21)/Q735))</f>
        <v>1.2</v>
      </c>
      <c r="T735">
        <f>AVERAGE(R735,S735)</f>
        <v>1.114273356401384</v>
      </c>
    </row>
    <row r="736" spans="1:20" x14ac:dyDescent="0.25">
      <c r="A736">
        <v>37</v>
      </c>
      <c r="B736" t="b">
        <v>0</v>
      </c>
      <c r="C736" s="6">
        <v>46530.625</v>
      </c>
      <c r="D736" t="b">
        <v>0</v>
      </c>
      <c r="E736">
        <v>7</v>
      </c>
      <c r="F736">
        <v>10</v>
      </c>
      <c r="G736">
        <v>3</v>
      </c>
      <c r="H736" t="s">
        <v>1111</v>
      </c>
      <c r="I736" t="s">
        <v>1080</v>
      </c>
      <c r="J736" t="s">
        <v>1086</v>
      </c>
      <c r="K736" t="str">
        <f>tblTeamFixtures[[#This Row],[Team_name]]&amp;"_"&amp;tblTeamFixtures[[#This Row],[GW]]</f>
        <v>COV_37</v>
      </c>
      <c r="L736">
        <f>IFERROR(INDEX(TEAM_ANALYSIS!$Y:$Y,MATCH($E736,TEAM_ANALYSIS!$A:$A,0)),1)</f>
        <v>0.5</v>
      </c>
      <c r="M736">
        <f>IFERROR(INDEX(TEAM_ANALYSIS!$Z:$Z,MATCH($E736,TEAM_ANALYSIS!$A:$A,0)),1)</f>
        <v>1.088235294117647</v>
      </c>
      <c r="N736">
        <f>IFERROR(INDEX(TEAM_ANALYSIS!$Y:$Y,MATCH($F736,TEAM_ANALYSIS!$A:$A,0)),1)</f>
        <v>0.97058823529411764</v>
      </c>
      <c r="O736">
        <f>IFERROR(INDEX(TEAM_ANALYSIS!$Z:$Z,MATCH($F736,TEAM_ANALYSIS!$A:$A,0)),1)</f>
        <v>1.3235294117647058</v>
      </c>
      <c r="P736">
        <f>MAX(0.05,AVERAGE(TEAM_ANALYSIS!$W$2:$W$21)*L736*O736)</f>
        <v>1.40625</v>
      </c>
      <c r="Q736">
        <f>MAX(0.05,AVERAGE(TEAM_ANALYSIS!$W$2:$W$21)*N736*M736)</f>
        <v>2.2444852941176467</v>
      </c>
      <c r="R736" s="23">
        <f>MAX(0.8,MIN(1.2,P736/AVERAGE(TEAM_ANALYSIS!$W$2:$W$21)))</f>
        <v>0.8</v>
      </c>
      <c r="S736">
        <f>MAX(0.8,MIN(1.2,AVERAGE(TEAM_ANALYSIS!$W$2:$W$21)/Q736))</f>
        <v>0.94676494676494694</v>
      </c>
      <c r="T736">
        <f>AVERAGE(R736,S736)</f>
        <v>0.87338247338247355</v>
      </c>
    </row>
    <row r="737" spans="1:20" x14ac:dyDescent="0.25">
      <c r="A737">
        <v>37</v>
      </c>
      <c r="B737" t="b">
        <v>0</v>
      </c>
      <c r="C737" s="6">
        <v>46530.625</v>
      </c>
      <c r="D737" t="b">
        <v>0</v>
      </c>
      <c r="E737">
        <v>20</v>
      </c>
      <c r="F737">
        <v>13</v>
      </c>
      <c r="G737">
        <v>3</v>
      </c>
      <c r="H737" t="s">
        <v>1111</v>
      </c>
      <c r="I737" t="s">
        <v>1106</v>
      </c>
      <c r="J737" t="s">
        <v>1092</v>
      </c>
      <c r="K737" t="str">
        <f>tblTeamFixtures[[#This Row],[Team_name]]&amp;"_"&amp;tblTeamFixtures[[#This Row],[GW]]</f>
        <v>SUN_37</v>
      </c>
      <c r="L737">
        <f>IFERROR(INDEX(TEAM_ANALYSIS!$Y:$Y,MATCH($E737,TEAM_ANALYSIS!$A:$A,0)),1)</f>
        <v>0.8529411764705882</v>
      </c>
      <c r="M737">
        <f>IFERROR(INDEX(TEAM_ANALYSIS!$Z:$Z,MATCH($E737,TEAM_ANALYSIS!$A:$A,0)),1)</f>
        <v>0.8529411764705882</v>
      </c>
      <c r="N737">
        <f>IFERROR(INDEX(TEAM_ANALYSIS!$Y:$Y,MATCH($F737,TEAM_ANALYSIS!$A:$A,0)),1)</f>
        <v>0.8529411764705882</v>
      </c>
      <c r="O737">
        <f>IFERROR(INDEX(TEAM_ANALYSIS!$Z:$Z,MATCH($F737,TEAM_ANALYSIS!$A:$A,0)),1)</f>
        <v>0.73529411764705888</v>
      </c>
      <c r="P737">
        <f>MAX(0.05,AVERAGE(TEAM_ANALYSIS!$W$2:$W$21)*L737*O737)</f>
        <v>1.3327205882352942</v>
      </c>
      <c r="Q737">
        <f>MAX(0.05,AVERAGE(TEAM_ANALYSIS!$W$2:$W$21)*N737*M737)</f>
        <v>1.5459558823529411</v>
      </c>
      <c r="R737" s="23">
        <f>MAX(0.8,MIN(1.2,P737/AVERAGE(TEAM_ANALYSIS!$W$2:$W$21)))</f>
        <v>0.8</v>
      </c>
      <c r="S737">
        <f>MAX(0.8,MIN(1.2,AVERAGE(TEAM_ANALYSIS!$W$2:$W$21)/Q737))</f>
        <v>1.2</v>
      </c>
      <c r="T737">
        <f>AVERAGE(R737,S737)</f>
        <v>1</v>
      </c>
    </row>
    <row r="738" spans="1:20" x14ac:dyDescent="0.25">
      <c r="A738">
        <v>37</v>
      </c>
      <c r="B738" t="b">
        <v>0</v>
      </c>
      <c r="C738" s="6">
        <v>46530.625</v>
      </c>
      <c r="D738" t="b">
        <v>0</v>
      </c>
      <c r="E738">
        <v>2</v>
      </c>
      <c r="F738">
        <v>15</v>
      </c>
      <c r="G738">
        <v>5</v>
      </c>
      <c r="H738" t="s">
        <v>1111</v>
      </c>
      <c r="I738" t="s">
        <v>1070</v>
      </c>
      <c r="J738" t="s">
        <v>1096</v>
      </c>
      <c r="K738" t="str">
        <f>tblTeamFixtures[[#This Row],[Team_name]]&amp;"_"&amp;tblTeamFixtures[[#This Row],[GW]]</f>
        <v>AVL_37</v>
      </c>
      <c r="L738">
        <f>IFERROR(INDEX(TEAM_ANALYSIS!$Y:$Y,MATCH($E738,TEAM_ANALYSIS!$A:$A,0)),1)</f>
        <v>0.5</v>
      </c>
      <c r="M738">
        <f>IFERROR(INDEX(TEAM_ANALYSIS!$Z:$Z,MATCH($E738,TEAM_ANALYSIS!$A:$A,0)),1)</f>
        <v>1.088235294117647</v>
      </c>
      <c r="N738">
        <f>IFERROR(INDEX(TEAM_ANALYSIS!$Y:$Y,MATCH($F738,TEAM_ANALYSIS!$A:$A,0)),1)</f>
        <v>1.3235294117647058</v>
      </c>
      <c r="O738">
        <f>IFERROR(INDEX(TEAM_ANALYSIS!$Z:$Z,MATCH($F738,TEAM_ANALYSIS!$A:$A,0)),1)</f>
        <v>0.73529411764705888</v>
      </c>
      <c r="P738">
        <f>MAX(0.05,AVERAGE(TEAM_ANALYSIS!$W$2:$W$21)*L738*O738)</f>
        <v>0.78125</v>
      </c>
      <c r="Q738">
        <f>MAX(0.05,AVERAGE(TEAM_ANALYSIS!$W$2:$W$21)*N738*M738)</f>
        <v>3.0606617647058822</v>
      </c>
      <c r="R738" s="23">
        <f>MAX(0.8,MIN(1.2,P738/AVERAGE(TEAM_ANALYSIS!$W$2:$W$21)))</f>
        <v>0.8</v>
      </c>
      <c r="S738">
        <f>MAX(0.8,MIN(1.2,AVERAGE(TEAM_ANALYSIS!$W$2:$W$21)/Q738))</f>
        <v>0.8</v>
      </c>
      <c r="T738">
        <f>AVERAGE(R738,S738)</f>
        <v>0.8</v>
      </c>
    </row>
    <row r="739" spans="1:20" x14ac:dyDescent="0.25">
      <c r="A739">
        <v>37</v>
      </c>
      <c r="B739" t="b">
        <v>0</v>
      </c>
      <c r="C739" s="6">
        <v>46530.625</v>
      </c>
      <c r="D739" t="b">
        <v>0</v>
      </c>
      <c r="E739">
        <v>8</v>
      </c>
      <c r="F739">
        <v>17</v>
      </c>
      <c r="G739">
        <v>3</v>
      </c>
      <c r="H739" t="s">
        <v>1111</v>
      </c>
      <c r="I739" t="s">
        <v>1082</v>
      </c>
      <c r="J739" t="s">
        <v>1100</v>
      </c>
      <c r="K739" t="str">
        <f>tblTeamFixtures[[#This Row],[Team_name]]&amp;"_"&amp;tblTeamFixtures[[#This Row],[GW]]</f>
        <v>CRY_37</v>
      </c>
      <c r="L739">
        <f>IFERROR(INDEX(TEAM_ANALYSIS!$Y:$Y,MATCH($E739,TEAM_ANALYSIS!$A:$A,0)),1)</f>
        <v>0.97058823529411764</v>
      </c>
      <c r="M739">
        <f>IFERROR(INDEX(TEAM_ANALYSIS!$Z:$Z,MATCH($E739,TEAM_ANALYSIS!$A:$A,0)),1)</f>
        <v>1.4411764705882353</v>
      </c>
      <c r="N739">
        <f>IFERROR(INDEX(TEAM_ANALYSIS!$Y:$Y,MATCH($F739,TEAM_ANALYSIS!$A:$A,0)),1)</f>
        <v>1.2058823529411764</v>
      </c>
      <c r="O739">
        <f>IFERROR(INDEX(TEAM_ANALYSIS!$Z:$Z,MATCH($F739,TEAM_ANALYSIS!$A:$A,0)),1)</f>
        <v>0.97058823529411764</v>
      </c>
      <c r="P739">
        <f>MAX(0.05,AVERAGE(TEAM_ANALYSIS!$W$2:$W$21)*L739*O739)</f>
        <v>2.0018382352941178</v>
      </c>
      <c r="Q739">
        <f>MAX(0.05,AVERAGE(TEAM_ANALYSIS!$W$2:$W$21)*N739*M739)</f>
        <v>3.6930147058823528</v>
      </c>
      <c r="R739" s="23">
        <f>MAX(0.8,MIN(1.2,P739/AVERAGE(TEAM_ANALYSIS!$W$2:$W$21)))</f>
        <v>0.94204152249134954</v>
      </c>
      <c r="S739">
        <f>MAX(0.8,MIN(1.2,AVERAGE(TEAM_ANALYSIS!$W$2:$W$21)/Q739))</f>
        <v>0.8</v>
      </c>
      <c r="T739">
        <f>AVERAGE(R739,S739)</f>
        <v>0.87102076124567485</v>
      </c>
    </row>
    <row r="740" spans="1:20" x14ac:dyDescent="0.25">
      <c r="A740">
        <v>37</v>
      </c>
      <c r="B740" t="b">
        <v>0</v>
      </c>
      <c r="C740" s="6">
        <v>46530.625</v>
      </c>
      <c r="D740" t="b">
        <v>0</v>
      </c>
      <c r="E740">
        <v>12</v>
      </c>
      <c r="F740">
        <v>18</v>
      </c>
      <c r="G740">
        <v>3</v>
      </c>
      <c r="H740" t="s">
        <v>1111</v>
      </c>
      <c r="I740" t="s">
        <v>1090</v>
      </c>
      <c r="J740" t="s">
        <v>1102</v>
      </c>
      <c r="K740" t="str">
        <f>tblTeamFixtures[[#This Row],[Team_name]]&amp;"_"&amp;tblTeamFixtures[[#This Row],[GW]]</f>
        <v>IPS_37</v>
      </c>
      <c r="L740">
        <f>IFERROR(INDEX(TEAM_ANALYSIS!$Y:$Y,MATCH($E740,TEAM_ANALYSIS!$A:$A,0)),1)</f>
        <v>0.97058823529411764</v>
      </c>
      <c r="M740">
        <f>IFERROR(INDEX(TEAM_ANALYSIS!$Z:$Z,MATCH($E740,TEAM_ANALYSIS!$A:$A,0)),1)</f>
        <v>1.4411764705882353</v>
      </c>
      <c r="N740">
        <f>IFERROR(INDEX(TEAM_ANALYSIS!$Y:$Y,MATCH($F740,TEAM_ANALYSIS!$A:$A,0)),1)</f>
        <v>0.73529411764705888</v>
      </c>
      <c r="O740">
        <f>IFERROR(INDEX(TEAM_ANALYSIS!$Z:$Z,MATCH($F740,TEAM_ANALYSIS!$A:$A,0)),1)</f>
        <v>0.8529411764705882</v>
      </c>
      <c r="P740">
        <f>MAX(0.05,AVERAGE(TEAM_ANALYSIS!$W$2:$W$21)*L740*O740)</f>
        <v>1.7591911764705881</v>
      </c>
      <c r="Q740">
        <f>MAX(0.05,AVERAGE(TEAM_ANALYSIS!$W$2:$W$21)*N740*M740)</f>
        <v>2.2518382352941178</v>
      </c>
      <c r="R740" s="23">
        <f>MAX(0.8,MIN(1.2,P740/AVERAGE(TEAM_ANALYSIS!$W$2:$W$21)))</f>
        <v>0.82785467128027679</v>
      </c>
      <c r="S740">
        <f>MAX(0.8,MIN(1.2,AVERAGE(TEAM_ANALYSIS!$W$2:$W$21)/Q740))</f>
        <v>0.94367346938775509</v>
      </c>
      <c r="T740">
        <f>AVERAGE(R740,S740)</f>
        <v>0.88576407033401594</v>
      </c>
    </row>
    <row r="741" spans="1:20" x14ac:dyDescent="0.25">
      <c r="A741">
        <v>37</v>
      </c>
      <c r="B741" t="b">
        <v>0</v>
      </c>
      <c r="C741" s="6">
        <v>46530.625</v>
      </c>
      <c r="D741" t="b">
        <v>0</v>
      </c>
      <c r="E741">
        <v>16</v>
      </c>
      <c r="F741">
        <v>19</v>
      </c>
      <c r="G741">
        <v>3</v>
      </c>
      <c r="H741" t="s">
        <v>1111</v>
      </c>
      <c r="I741" t="s">
        <v>1098</v>
      </c>
      <c r="J741" t="s">
        <v>1104</v>
      </c>
      <c r="K741" t="str">
        <f>tblTeamFixtures[[#This Row],[Team_name]]&amp;"_"&amp;tblTeamFixtures[[#This Row],[GW]]</f>
        <v>MUN_37</v>
      </c>
      <c r="L741">
        <f>IFERROR(INDEX(TEAM_ANALYSIS!$Y:$Y,MATCH($E741,TEAM_ANALYSIS!$A:$A,0)),1)</f>
        <v>1.3235294117647058</v>
      </c>
      <c r="M741">
        <f>IFERROR(INDEX(TEAM_ANALYSIS!$Z:$Z,MATCH($E741,TEAM_ANALYSIS!$A:$A,0)),1)</f>
        <v>1.2058823529411764</v>
      </c>
      <c r="N741">
        <f>IFERROR(INDEX(TEAM_ANALYSIS!$Y:$Y,MATCH($F741,TEAM_ANALYSIS!$A:$A,0)),1)</f>
        <v>0.5</v>
      </c>
      <c r="O741">
        <f>IFERROR(INDEX(TEAM_ANALYSIS!$Z:$Z,MATCH($F741,TEAM_ANALYSIS!$A:$A,0)),1)</f>
        <v>1.088235294117647</v>
      </c>
      <c r="P741">
        <f>MAX(0.05,AVERAGE(TEAM_ANALYSIS!$W$2:$W$21)*L741*O741)</f>
        <v>3.0606617647058822</v>
      </c>
      <c r="Q741">
        <f>MAX(0.05,AVERAGE(TEAM_ANALYSIS!$W$2:$W$21)*N741*M741)</f>
        <v>1.28125</v>
      </c>
      <c r="R741" s="23">
        <f>MAX(0.8,MIN(1.2,P741/AVERAGE(TEAM_ANALYSIS!$W$2:$W$21)))</f>
        <v>1.2</v>
      </c>
      <c r="S741">
        <f>MAX(0.8,MIN(1.2,AVERAGE(TEAM_ANALYSIS!$W$2:$W$21)/Q741))</f>
        <v>1.2</v>
      </c>
      <c r="T741">
        <f>AVERAGE(R741,S741)</f>
        <v>1.2</v>
      </c>
    </row>
    <row r="742" spans="1:20" x14ac:dyDescent="0.25">
      <c r="A742">
        <v>38</v>
      </c>
      <c r="B742" t="b">
        <v>0</v>
      </c>
      <c r="C742" s="6">
        <v>46537.666666666664</v>
      </c>
      <c r="D742" t="b">
        <v>0</v>
      </c>
      <c r="E742">
        <v>1</v>
      </c>
      <c r="F742">
        <v>5</v>
      </c>
      <c r="G742">
        <v>2</v>
      </c>
      <c r="H742" t="s">
        <v>1110</v>
      </c>
      <c r="I742" t="s">
        <v>1068</v>
      </c>
      <c r="J742" t="s">
        <v>1076</v>
      </c>
      <c r="K742" t="str">
        <f>tblTeamFixtures[[#This Row],[Team_name]]&amp;"_"&amp;tblTeamFixtures[[#This Row],[GW]]</f>
        <v>ARS_38</v>
      </c>
      <c r="L742">
        <f>IFERROR(INDEX(TEAM_ANALYSIS!$Y:$Y,MATCH($E742,TEAM_ANALYSIS!$A:$A,0)),1)</f>
        <v>1.2058823529411764</v>
      </c>
      <c r="M742">
        <f>IFERROR(INDEX(TEAM_ANALYSIS!$Z:$Z,MATCH($E742,TEAM_ANALYSIS!$A:$A,0)),1)</f>
        <v>0.61764705882352944</v>
      </c>
      <c r="N742">
        <f>IFERROR(INDEX(TEAM_ANALYSIS!$Y:$Y,MATCH($F742,TEAM_ANALYSIS!$A:$A,0)),1)</f>
        <v>1.4411764705882353</v>
      </c>
      <c r="O742">
        <f>IFERROR(INDEX(TEAM_ANALYSIS!$Z:$Z,MATCH($F742,TEAM_ANALYSIS!$A:$A,0)),1)</f>
        <v>1.088235294117647</v>
      </c>
      <c r="P742">
        <f>MAX(0.05,AVERAGE(TEAM_ANALYSIS!$W$2:$W$21)*L742*O742)</f>
        <v>2.7886029411764706</v>
      </c>
      <c r="Q742">
        <f>MAX(0.05,AVERAGE(TEAM_ANALYSIS!$W$2:$W$21)*N742*M742)</f>
        <v>1.8915441176470589</v>
      </c>
      <c r="R742" s="23">
        <f>MAX(0.8,MIN(1.2,P742/AVERAGE(TEAM_ANALYSIS!$W$2:$W$21)))</f>
        <v>1.2</v>
      </c>
      <c r="S742">
        <f>MAX(0.8,MIN(1.2,AVERAGE(TEAM_ANALYSIS!$W$2:$W$21)/Q742))</f>
        <v>1.1234207968901846</v>
      </c>
      <c r="T742">
        <f>AVERAGE(R742,S742)</f>
        <v>1.1617103984450923</v>
      </c>
    </row>
    <row r="743" spans="1:20" x14ac:dyDescent="0.25">
      <c r="A743">
        <v>38</v>
      </c>
      <c r="B743" t="b">
        <v>0</v>
      </c>
      <c r="C743" s="6">
        <v>46537.666666666664</v>
      </c>
      <c r="D743" t="b">
        <v>0</v>
      </c>
      <c r="E743">
        <v>2</v>
      </c>
      <c r="F743">
        <v>19</v>
      </c>
      <c r="G743">
        <v>3</v>
      </c>
      <c r="H743" t="s">
        <v>1110</v>
      </c>
      <c r="I743" t="s">
        <v>1070</v>
      </c>
      <c r="J743" t="s">
        <v>1104</v>
      </c>
      <c r="K743" t="str">
        <f>tblTeamFixtures[[#This Row],[Team_name]]&amp;"_"&amp;tblTeamFixtures[[#This Row],[GW]]</f>
        <v>AVL_38</v>
      </c>
      <c r="L743">
        <f>IFERROR(INDEX(TEAM_ANALYSIS!$Y:$Y,MATCH($E743,TEAM_ANALYSIS!$A:$A,0)),1)</f>
        <v>0.5</v>
      </c>
      <c r="M743">
        <f>IFERROR(INDEX(TEAM_ANALYSIS!$Z:$Z,MATCH($E743,TEAM_ANALYSIS!$A:$A,0)),1)</f>
        <v>1.088235294117647</v>
      </c>
      <c r="N743">
        <f>IFERROR(INDEX(TEAM_ANALYSIS!$Y:$Y,MATCH($F743,TEAM_ANALYSIS!$A:$A,0)),1)</f>
        <v>0.5</v>
      </c>
      <c r="O743">
        <f>IFERROR(INDEX(TEAM_ANALYSIS!$Z:$Z,MATCH($F743,TEAM_ANALYSIS!$A:$A,0)),1)</f>
        <v>1.088235294117647</v>
      </c>
      <c r="P743">
        <f>MAX(0.05,AVERAGE(TEAM_ANALYSIS!$W$2:$W$21)*L743*O743)</f>
        <v>1.15625</v>
      </c>
      <c r="Q743">
        <f>MAX(0.05,AVERAGE(TEAM_ANALYSIS!$W$2:$W$21)*N743*M743)</f>
        <v>1.15625</v>
      </c>
      <c r="R743" s="23">
        <f>MAX(0.8,MIN(1.2,P743/AVERAGE(TEAM_ANALYSIS!$W$2:$W$21)))</f>
        <v>0.8</v>
      </c>
      <c r="S743">
        <f>MAX(0.8,MIN(1.2,AVERAGE(TEAM_ANALYSIS!$W$2:$W$21)/Q743))</f>
        <v>1.2</v>
      </c>
      <c r="T743">
        <f>AVERAGE(R743,S743)</f>
        <v>1</v>
      </c>
    </row>
    <row r="744" spans="1:20" x14ac:dyDescent="0.25">
      <c r="A744">
        <v>38</v>
      </c>
      <c r="B744" t="b">
        <v>0</v>
      </c>
      <c r="C744" s="6">
        <v>46537.666666666664</v>
      </c>
      <c r="D744" t="b">
        <v>0</v>
      </c>
      <c r="E744">
        <v>6</v>
      </c>
      <c r="F744">
        <v>4</v>
      </c>
      <c r="G744">
        <v>3</v>
      </c>
      <c r="H744" t="s">
        <v>1110</v>
      </c>
      <c r="I744" t="s">
        <v>1078</v>
      </c>
      <c r="J744" t="s">
        <v>1074</v>
      </c>
      <c r="K744" t="str">
        <f>tblTeamFixtures[[#This Row],[Team_name]]&amp;"_"&amp;tblTeamFixtures[[#This Row],[GW]]</f>
        <v>CHE_38</v>
      </c>
      <c r="L744">
        <f>IFERROR(INDEX(TEAM_ANALYSIS!$Y:$Y,MATCH($E744,TEAM_ANALYSIS!$A:$A,0)),1)</f>
        <v>1.4411764705882353</v>
      </c>
      <c r="M744">
        <f>IFERROR(INDEX(TEAM_ANALYSIS!$Z:$Z,MATCH($E744,TEAM_ANALYSIS!$A:$A,0)),1)</f>
        <v>1.3235294117647058</v>
      </c>
      <c r="N744">
        <f>IFERROR(INDEX(TEAM_ANALYSIS!$Y:$Y,MATCH($F744,TEAM_ANALYSIS!$A:$A,0)),1)</f>
        <v>1.088235294117647</v>
      </c>
      <c r="O744">
        <f>IFERROR(INDEX(TEAM_ANALYSIS!$Z:$Z,MATCH($F744,TEAM_ANALYSIS!$A:$A,0)),1)</f>
        <v>0.73529411764705888</v>
      </c>
      <c r="P744">
        <f>MAX(0.05,AVERAGE(TEAM_ANALYSIS!$W$2:$W$21)*L744*O744)</f>
        <v>2.2518382352941178</v>
      </c>
      <c r="Q744">
        <f>MAX(0.05,AVERAGE(TEAM_ANALYSIS!$W$2:$W$21)*N744*M744)</f>
        <v>3.0606617647058822</v>
      </c>
      <c r="R744" s="23">
        <f>MAX(0.8,MIN(1.2,P744/AVERAGE(TEAM_ANALYSIS!$W$2:$W$21)))</f>
        <v>1.0596885813148789</v>
      </c>
      <c r="S744">
        <f>MAX(0.8,MIN(1.2,AVERAGE(TEAM_ANALYSIS!$W$2:$W$21)/Q744))</f>
        <v>0.8</v>
      </c>
      <c r="T744">
        <f>AVERAGE(R744,S744)</f>
        <v>0.92984429065743945</v>
      </c>
    </row>
    <row r="745" spans="1:20" x14ac:dyDescent="0.25">
      <c r="A745">
        <v>38</v>
      </c>
      <c r="B745" t="b">
        <v>0</v>
      </c>
      <c r="C745" s="6">
        <v>46537.666666666664</v>
      </c>
      <c r="D745" t="b">
        <v>0</v>
      </c>
      <c r="E745">
        <v>7</v>
      </c>
      <c r="F745">
        <v>18</v>
      </c>
      <c r="G745">
        <v>3</v>
      </c>
      <c r="H745" t="s">
        <v>1110</v>
      </c>
      <c r="I745" t="s">
        <v>1080</v>
      </c>
      <c r="J745" t="s">
        <v>1102</v>
      </c>
      <c r="K745" t="str">
        <f>tblTeamFixtures[[#This Row],[Team_name]]&amp;"_"&amp;tblTeamFixtures[[#This Row],[GW]]</f>
        <v>COV_38</v>
      </c>
      <c r="L745">
        <f>IFERROR(INDEX(TEAM_ANALYSIS!$Y:$Y,MATCH($E745,TEAM_ANALYSIS!$A:$A,0)),1)</f>
        <v>0.5</v>
      </c>
      <c r="M745">
        <f>IFERROR(INDEX(TEAM_ANALYSIS!$Z:$Z,MATCH($E745,TEAM_ANALYSIS!$A:$A,0)),1)</f>
        <v>1.088235294117647</v>
      </c>
      <c r="N745">
        <f>IFERROR(INDEX(TEAM_ANALYSIS!$Y:$Y,MATCH($F745,TEAM_ANALYSIS!$A:$A,0)),1)</f>
        <v>0.73529411764705888</v>
      </c>
      <c r="O745">
        <f>IFERROR(INDEX(TEAM_ANALYSIS!$Z:$Z,MATCH($F745,TEAM_ANALYSIS!$A:$A,0)),1)</f>
        <v>0.8529411764705882</v>
      </c>
      <c r="P745">
        <f>MAX(0.05,AVERAGE(TEAM_ANALYSIS!$W$2:$W$21)*L745*O745)</f>
        <v>0.90625</v>
      </c>
      <c r="Q745">
        <f>MAX(0.05,AVERAGE(TEAM_ANALYSIS!$W$2:$W$21)*N745*M745)</f>
        <v>1.7003676470588234</v>
      </c>
      <c r="R745" s="23">
        <f>MAX(0.8,MIN(1.2,P745/AVERAGE(TEAM_ANALYSIS!$W$2:$W$21)))</f>
        <v>0.8</v>
      </c>
      <c r="S745">
        <f>MAX(0.8,MIN(1.2,AVERAGE(TEAM_ANALYSIS!$W$2:$W$21)/Q745))</f>
        <v>1.2</v>
      </c>
      <c r="T745">
        <f>AVERAGE(R745,S745)</f>
        <v>1</v>
      </c>
    </row>
    <row r="746" spans="1:20" x14ac:dyDescent="0.25">
      <c r="A746">
        <v>38</v>
      </c>
      <c r="B746" t="b">
        <v>0</v>
      </c>
      <c r="C746" s="6">
        <v>46537.666666666664</v>
      </c>
      <c r="D746" t="b">
        <v>0</v>
      </c>
      <c r="E746">
        <v>8</v>
      </c>
      <c r="F746">
        <v>13</v>
      </c>
      <c r="G746">
        <v>2</v>
      </c>
      <c r="H746" t="s">
        <v>1110</v>
      </c>
      <c r="I746" t="s">
        <v>1082</v>
      </c>
      <c r="J746" t="s">
        <v>1092</v>
      </c>
      <c r="K746" t="str">
        <f>tblTeamFixtures[[#This Row],[Team_name]]&amp;"_"&amp;tblTeamFixtures[[#This Row],[GW]]</f>
        <v>CRY_38</v>
      </c>
      <c r="L746">
        <f>IFERROR(INDEX(TEAM_ANALYSIS!$Y:$Y,MATCH($E746,TEAM_ANALYSIS!$A:$A,0)),1)</f>
        <v>0.97058823529411764</v>
      </c>
      <c r="M746">
        <f>IFERROR(INDEX(TEAM_ANALYSIS!$Z:$Z,MATCH($E746,TEAM_ANALYSIS!$A:$A,0)),1)</f>
        <v>1.4411764705882353</v>
      </c>
      <c r="N746">
        <f>IFERROR(INDEX(TEAM_ANALYSIS!$Y:$Y,MATCH($F746,TEAM_ANALYSIS!$A:$A,0)),1)</f>
        <v>0.8529411764705882</v>
      </c>
      <c r="O746">
        <f>IFERROR(INDEX(TEAM_ANALYSIS!$Z:$Z,MATCH($F746,TEAM_ANALYSIS!$A:$A,0)),1)</f>
        <v>0.73529411764705888</v>
      </c>
      <c r="P746">
        <f>MAX(0.05,AVERAGE(TEAM_ANALYSIS!$W$2:$W$21)*L746*O746)</f>
        <v>1.5165441176470589</v>
      </c>
      <c r="Q746">
        <f>MAX(0.05,AVERAGE(TEAM_ANALYSIS!$W$2:$W$21)*N746*M746)</f>
        <v>2.6121323529411766</v>
      </c>
      <c r="R746" s="23">
        <f>MAX(0.8,MIN(1.2,P746/AVERAGE(TEAM_ANALYSIS!$W$2:$W$21)))</f>
        <v>0.8</v>
      </c>
      <c r="S746">
        <f>MAX(0.8,MIN(1.2,AVERAGE(TEAM_ANALYSIS!$W$2:$W$21)/Q746))</f>
        <v>0.81351161154116813</v>
      </c>
      <c r="T746">
        <f>AVERAGE(R746,S746)</f>
        <v>0.80675580577058414</v>
      </c>
    </row>
    <row r="747" spans="1:20" x14ac:dyDescent="0.25">
      <c r="A747">
        <v>38</v>
      </c>
      <c r="B747" t="b">
        <v>0</v>
      </c>
      <c r="C747" s="6">
        <v>46537.666666666664</v>
      </c>
      <c r="D747" t="b">
        <v>0</v>
      </c>
      <c r="E747">
        <v>11</v>
      </c>
      <c r="F747">
        <v>17</v>
      </c>
      <c r="G747">
        <v>2</v>
      </c>
      <c r="H747" t="s">
        <v>1110</v>
      </c>
      <c r="I747" t="s">
        <v>1088</v>
      </c>
      <c r="J747" t="s">
        <v>1100</v>
      </c>
      <c r="K747" t="str">
        <f>tblTeamFixtures[[#This Row],[Team_name]]&amp;"_"&amp;tblTeamFixtures[[#This Row],[GW]]</f>
        <v>HUL_38</v>
      </c>
      <c r="L747">
        <f>IFERROR(INDEX(TEAM_ANALYSIS!$Y:$Y,MATCH($E747,TEAM_ANALYSIS!$A:$A,0)),1)</f>
        <v>0.8529411764705882</v>
      </c>
      <c r="M747">
        <f>IFERROR(INDEX(TEAM_ANALYSIS!$Z:$Z,MATCH($E747,TEAM_ANALYSIS!$A:$A,0)),1)</f>
        <v>0.5</v>
      </c>
      <c r="N747">
        <f>IFERROR(INDEX(TEAM_ANALYSIS!$Y:$Y,MATCH($F747,TEAM_ANALYSIS!$A:$A,0)),1)</f>
        <v>1.2058823529411764</v>
      </c>
      <c r="O747">
        <f>IFERROR(INDEX(TEAM_ANALYSIS!$Z:$Z,MATCH($F747,TEAM_ANALYSIS!$A:$A,0)),1)</f>
        <v>0.97058823529411764</v>
      </c>
      <c r="P747">
        <f>MAX(0.05,AVERAGE(TEAM_ANALYSIS!$W$2:$W$21)*L747*O747)</f>
        <v>1.7591911764705883</v>
      </c>
      <c r="Q747">
        <f>MAX(0.05,AVERAGE(TEAM_ANALYSIS!$W$2:$W$21)*N747*M747)</f>
        <v>1.28125</v>
      </c>
      <c r="R747" s="23">
        <f>MAX(0.8,MIN(1.2,P747/AVERAGE(TEAM_ANALYSIS!$W$2:$W$21)))</f>
        <v>0.8278546712802769</v>
      </c>
      <c r="S747">
        <f>MAX(0.8,MIN(1.2,AVERAGE(TEAM_ANALYSIS!$W$2:$W$21)/Q747))</f>
        <v>1.2</v>
      </c>
      <c r="T747">
        <f>AVERAGE(R747,S747)</f>
        <v>1.0139273356401384</v>
      </c>
    </row>
    <row r="748" spans="1:20" x14ac:dyDescent="0.25">
      <c r="A748">
        <v>38</v>
      </c>
      <c r="B748" t="b">
        <v>0</v>
      </c>
      <c r="C748" s="6">
        <v>46537.666666666664</v>
      </c>
      <c r="D748" t="b">
        <v>0</v>
      </c>
      <c r="E748">
        <v>12</v>
      </c>
      <c r="F748">
        <v>9</v>
      </c>
      <c r="G748">
        <v>3</v>
      </c>
      <c r="H748" t="s">
        <v>1110</v>
      </c>
      <c r="I748" t="s">
        <v>1090</v>
      </c>
      <c r="J748" t="s">
        <v>1084</v>
      </c>
      <c r="K748" t="str">
        <f>tblTeamFixtures[[#This Row],[Team_name]]&amp;"_"&amp;tblTeamFixtures[[#This Row],[GW]]</f>
        <v>IPS_38</v>
      </c>
      <c r="L748">
        <f>IFERROR(INDEX(TEAM_ANALYSIS!$Y:$Y,MATCH($E748,TEAM_ANALYSIS!$A:$A,0)),1)</f>
        <v>0.97058823529411764</v>
      </c>
      <c r="M748">
        <f>IFERROR(INDEX(TEAM_ANALYSIS!$Z:$Z,MATCH($E748,TEAM_ANALYSIS!$A:$A,0)),1)</f>
        <v>1.4411764705882353</v>
      </c>
      <c r="N748">
        <f>IFERROR(INDEX(TEAM_ANALYSIS!$Y:$Y,MATCH($F748,TEAM_ANALYSIS!$A:$A,0)),1)</f>
        <v>1.088235294117647</v>
      </c>
      <c r="O748">
        <f>IFERROR(INDEX(TEAM_ANALYSIS!$Z:$Z,MATCH($F748,TEAM_ANALYSIS!$A:$A,0)),1)</f>
        <v>0.8529411764705882</v>
      </c>
      <c r="P748">
        <f>MAX(0.05,AVERAGE(TEAM_ANALYSIS!$W$2:$W$21)*L748*O748)</f>
        <v>1.7591911764705881</v>
      </c>
      <c r="Q748">
        <f>MAX(0.05,AVERAGE(TEAM_ANALYSIS!$W$2:$W$21)*N748*M748)</f>
        <v>3.3327205882352939</v>
      </c>
      <c r="R748" s="23">
        <f>MAX(0.8,MIN(1.2,P748/AVERAGE(TEAM_ANALYSIS!$W$2:$W$21)))</f>
        <v>0.82785467128027679</v>
      </c>
      <c r="S748">
        <f>MAX(0.8,MIN(1.2,AVERAGE(TEAM_ANALYSIS!$W$2:$W$21)/Q748))</f>
        <v>0.8</v>
      </c>
      <c r="T748">
        <f>AVERAGE(R748,S748)</f>
        <v>0.81392733564013842</v>
      </c>
    </row>
    <row r="749" spans="1:20" x14ac:dyDescent="0.25">
      <c r="A749">
        <v>38</v>
      </c>
      <c r="B749" t="b">
        <v>0</v>
      </c>
      <c r="C749" s="6">
        <v>46537.666666666664</v>
      </c>
      <c r="D749" t="b">
        <v>0</v>
      </c>
      <c r="E749">
        <v>14</v>
      </c>
      <c r="F749">
        <v>3</v>
      </c>
      <c r="G749">
        <v>3</v>
      </c>
      <c r="H749" t="s">
        <v>1110</v>
      </c>
      <c r="I749" t="s">
        <v>1094</v>
      </c>
      <c r="J749" t="s">
        <v>1072</v>
      </c>
      <c r="K749" t="str">
        <f>tblTeamFixtures[[#This Row],[Team_name]]&amp;"_"&amp;tblTeamFixtures[[#This Row],[GW]]</f>
        <v>LIV_38</v>
      </c>
      <c r="L749">
        <f>IFERROR(INDEX(TEAM_ANALYSIS!$Y:$Y,MATCH($E749,TEAM_ANALYSIS!$A:$A,0)),1)</f>
        <v>1.2058823529411764</v>
      </c>
      <c r="M749">
        <f>IFERROR(INDEX(TEAM_ANALYSIS!$Z:$Z,MATCH($E749,TEAM_ANALYSIS!$A:$A,0)),1)</f>
        <v>0.97058823529411764</v>
      </c>
      <c r="N749">
        <f>IFERROR(INDEX(TEAM_ANALYSIS!$Y:$Y,MATCH($F749,TEAM_ANALYSIS!$A:$A,0)),1)</f>
        <v>0.97058823529411764</v>
      </c>
      <c r="O749">
        <f>IFERROR(INDEX(TEAM_ANALYSIS!$Z:$Z,MATCH($F749,TEAM_ANALYSIS!$A:$A,0)),1)</f>
        <v>1.088235294117647</v>
      </c>
      <c r="P749">
        <f>MAX(0.05,AVERAGE(TEAM_ANALYSIS!$W$2:$W$21)*L749*O749)</f>
        <v>2.7886029411764706</v>
      </c>
      <c r="Q749">
        <f>MAX(0.05,AVERAGE(TEAM_ANALYSIS!$W$2:$W$21)*N749*M749)</f>
        <v>2.0018382352941178</v>
      </c>
      <c r="R749" s="23">
        <f>MAX(0.8,MIN(1.2,P749/AVERAGE(TEAM_ANALYSIS!$W$2:$W$21)))</f>
        <v>1.2</v>
      </c>
      <c r="S749">
        <f>MAX(0.8,MIN(1.2,AVERAGE(TEAM_ANALYSIS!$W$2:$W$21)/Q749))</f>
        <v>1.061524334251607</v>
      </c>
      <c r="T749">
        <f>AVERAGE(R749,S749)</f>
        <v>1.1307621671258035</v>
      </c>
    </row>
    <row r="750" spans="1:20" x14ac:dyDescent="0.25">
      <c r="A750">
        <v>38</v>
      </c>
      <c r="B750" t="b">
        <v>0</v>
      </c>
      <c r="C750" s="6">
        <v>46537.666666666664</v>
      </c>
      <c r="D750" t="b">
        <v>0</v>
      </c>
      <c r="E750">
        <v>16</v>
      </c>
      <c r="F750">
        <v>10</v>
      </c>
      <c r="G750">
        <v>2</v>
      </c>
      <c r="H750" t="s">
        <v>1110</v>
      </c>
      <c r="I750" t="s">
        <v>1098</v>
      </c>
      <c r="J750" t="s">
        <v>1086</v>
      </c>
      <c r="K750" t="str">
        <f>tblTeamFixtures[[#This Row],[Team_name]]&amp;"_"&amp;tblTeamFixtures[[#This Row],[GW]]</f>
        <v>MUN_38</v>
      </c>
      <c r="L750">
        <f>IFERROR(INDEX(TEAM_ANALYSIS!$Y:$Y,MATCH($E750,TEAM_ANALYSIS!$A:$A,0)),1)</f>
        <v>1.3235294117647058</v>
      </c>
      <c r="M750">
        <f>IFERROR(INDEX(TEAM_ANALYSIS!$Z:$Z,MATCH($E750,TEAM_ANALYSIS!$A:$A,0)),1)</f>
        <v>1.2058823529411764</v>
      </c>
      <c r="N750">
        <f>IFERROR(INDEX(TEAM_ANALYSIS!$Y:$Y,MATCH($F750,TEAM_ANALYSIS!$A:$A,0)),1)</f>
        <v>0.97058823529411764</v>
      </c>
      <c r="O750">
        <f>IFERROR(INDEX(TEAM_ANALYSIS!$Z:$Z,MATCH($F750,TEAM_ANALYSIS!$A:$A,0)),1)</f>
        <v>1.3235294117647058</v>
      </c>
      <c r="P750">
        <f>MAX(0.05,AVERAGE(TEAM_ANALYSIS!$W$2:$W$21)*L750*O750)</f>
        <v>3.7224264705882351</v>
      </c>
      <c r="Q750">
        <f>MAX(0.05,AVERAGE(TEAM_ANALYSIS!$W$2:$W$21)*N750*M750)</f>
        <v>2.4871323529411762</v>
      </c>
      <c r="R750" s="23">
        <f>MAX(0.8,MIN(1.2,P750/AVERAGE(TEAM_ANALYSIS!$W$2:$W$21)))</f>
        <v>1.2</v>
      </c>
      <c r="S750">
        <f>MAX(0.8,MIN(1.2,AVERAGE(TEAM_ANALYSIS!$W$2:$W$21)/Q750))</f>
        <v>0.85439763488543985</v>
      </c>
      <c r="T750">
        <f>AVERAGE(R750,S750)</f>
        <v>1.02719881744272</v>
      </c>
    </row>
    <row r="751" spans="1:20" x14ac:dyDescent="0.25">
      <c r="A751">
        <v>38</v>
      </c>
      <c r="B751" t="b">
        <v>0</v>
      </c>
      <c r="C751" s="6">
        <v>46537.666666666664</v>
      </c>
      <c r="D751" t="b">
        <v>0</v>
      </c>
      <c r="E751">
        <v>20</v>
      </c>
      <c r="F751">
        <v>15</v>
      </c>
      <c r="G751">
        <v>4</v>
      </c>
      <c r="H751" t="s">
        <v>1110</v>
      </c>
      <c r="I751" t="s">
        <v>1106</v>
      </c>
      <c r="J751" t="s">
        <v>1096</v>
      </c>
      <c r="K751" t="str">
        <f>tblTeamFixtures[[#This Row],[Team_name]]&amp;"_"&amp;tblTeamFixtures[[#This Row],[GW]]</f>
        <v>SUN_38</v>
      </c>
      <c r="L751">
        <f>IFERROR(INDEX(TEAM_ANALYSIS!$Y:$Y,MATCH($E751,TEAM_ANALYSIS!$A:$A,0)),1)</f>
        <v>0.8529411764705882</v>
      </c>
      <c r="M751">
        <f>IFERROR(INDEX(TEAM_ANALYSIS!$Z:$Z,MATCH($E751,TEAM_ANALYSIS!$A:$A,0)),1)</f>
        <v>0.8529411764705882</v>
      </c>
      <c r="N751">
        <f>IFERROR(INDEX(TEAM_ANALYSIS!$Y:$Y,MATCH($F751,TEAM_ANALYSIS!$A:$A,0)),1)</f>
        <v>1.3235294117647058</v>
      </c>
      <c r="O751">
        <f>IFERROR(INDEX(TEAM_ANALYSIS!$Z:$Z,MATCH($F751,TEAM_ANALYSIS!$A:$A,0)),1)</f>
        <v>0.73529411764705888</v>
      </c>
      <c r="P751">
        <f>MAX(0.05,AVERAGE(TEAM_ANALYSIS!$W$2:$W$21)*L751*O751)</f>
        <v>1.3327205882352942</v>
      </c>
      <c r="Q751">
        <f>MAX(0.05,AVERAGE(TEAM_ANALYSIS!$W$2:$W$21)*N751*M751)</f>
        <v>2.3988970588235294</v>
      </c>
      <c r="R751" s="23">
        <f>MAX(0.8,MIN(1.2,P751/AVERAGE(TEAM_ANALYSIS!$W$2:$W$21)))</f>
        <v>0.8</v>
      </c>
      <c r="S751">
        <f>MAX(0.8,MIN(1.2,AVERAGE(TEAM_ANALYSIS!$W$2:$W$21)/Q751))</f>
        <v>0.885823754789272</v>
      </c>
      <c r="T751">
        <f>AVERAGE(R751,S751)</f>
        <v>0.84291187739463602</v>
      </c>
    </row>
    <row r="752" spans="1:20" x14ac:dyDescent="0.25">
      <c r="A752">
        <v>38</v>
      </c>
      <c r="B752" t="b">
        <v>0</v>
      </c>
      <c r="C752" s="6">
        <v>46537.666666666664</v>
      </c>
      <c r="D752" t="b">
        <v>0</v>
      </c>
      <c r="E752">
        <v>5</v>
      </c>
      <c r="F752">
        <v>1</v>
      </c>
      <c r="G752">
        <v>5</v>
      </c>
      <c r="H752" t="s">
        <v>1111</v>
      </c>
      <c r="I752" t="s">
        <v>1076</v>
      </c>
      <c r="J752" t="s">
        <v>1068</v>
      </c>
      <c r="K752" t="str">
        <f>tblTeamFixtures[[#This Row],[Team_name]]&amp;"_"&amp;tblTeamFixtures[[#This Row],[GW]]</f>
        <v>BHA_38</v>
      </c>
      <c r="L752">
        <f>IFERROR(INDEX(TEAM_ANALYSIS!$Y:$Y,MATCH($E752,TEAM_ANALYSIS!$A:$A,0)),1)</f>
        <v>1.4411764705882353</v>
      </c>
      <c r="M752">
        <f>IFERROR(INDEX(TEAM_ANALYSIS!$Z:$Z,MATCH($E752,TEAM_ANALYSIS!$A:$A,0)),1)</f>
        <v>1.088235294117647</v>
      </c>
      <c r="N752">
        <f>IFERROR(INDEX(TEAM_ANALYSIS!$Y:$Y,MATCH($F752,TEAM_ANALYSIS!$A:$A,0)),1)</f>
        <v>1.2058823529411764</v>
      </c>
      <c r="O752">
        <f>IFERROR(INDEX(TEAM_ANALYSIS!$Z:$Z,MATCH($F752,TEAM_ANALYSIS!$A:$A,0)),1)</f>
        <v>0.61764705882352944</v>
      </c>
      <c r="P752">
        <f>MAX(0.05,AVERAGE(TEAM_ANALYSIS!$W$2:$W$21)*L752*O752)</f>
        <v>1.8915441176470589</v>
      </c>
      <c r="Q752">
        <f>MAX(0.05,AVERAGE(TEAM_ANALYSIS!$W$2:$W$21)*N752*M752)</f>
        <v>2.7886029411764706</v>
      </c>
      <c r="R752" s="23">
        <f>MAX(0.8,MIN(1.2,P752/AVERAGE(TEAM_ANALYSIS!$W$2:$W$21)))</f>
        <v>0.89013840830449831</v>
      </c>
      <c r="S752">
        <f>MAX(0.8,MIN(1.2,AVERAGE(TEAM_ANALYSIS!$W$2:$W$21)/Q752))</f>
        <v>0.8</v>
      </c>
      <c r="T752">
        <f>AVERAGE(R752,S752)</f>
        <v>0.84506920415224918</v>
      </c>
    </row>
    <row r="753" spans="1:20" x14ac:dyDescent="0.25">
      <c r="A753">
        <v>38</v>
      </c>
      <c r="B753" t="b">
        <v>0</v>
      </c>
      <c r="C753" s="6">
        <v>46537.666666666664</v>
      </c>
      <c r="D753" t="b">
        <v>0</v>
      </c>
      <c r="E753">
        <v>19</v>
      </c>
      <c r="F753">
        <v>2</v>
      </c>
      <c r="G753">
        <v>4</v>
      </c>
      <c r="H753" t="s">
        <v>1111</v>
      </c>
      <c r="I753" t="s">
        <v>1104</v>
      </c>
      <c r="J753" t="s">
        <v>1070</v>
      </c>
      <c r="K753" t="str">
        <f>tblTeamFixtures[[#This Row],[Team_name]]&amp;"_"&amp;tblTeamFixtures[[#This Row],[GW]]</f>
        <v>TOT_38</v>
      </c>
      <c r="L753">
        <f>IFERROR(INDEX(TEAM_ANALYSIS!$Y:$Y,MATCH($E753,TEAM_ANALYSIS!$A:$A,0)),1)</f>
        <v>0.5</v>
      </c>
      <c r="M753">
        <f>IFERROR(INDEX(TEAM_ANALYSIS!$Z:$Z,MATCH($E753,TEAM_ANALYSIS!$A:$A,0)),1)</f>
        <v>1.088235294117647</v>
      </c>
      <c r="N753">
        <f>IFERROR(INDEX(TEAM_ANALYSIS!$Y:$Y,MATCH($F753,TEAM_ANALYSIS!$A:$A,0)),1)</f>
        <v>0.5</v>
      </c>
      <c r="O753">
        <f>IFERROR(INDEX(TEAM_ANALYSIS!$Z:$Z,MATCH($F753,TEAM_ANALYSIS!$A:$A,0)),1)</f>
        <v>1.088235294117647</v>
      </c>
      <c r="P753">
        <f>MAX(0.05,AVERAGE(TEAM_ANALYSIS!$W$2:$W$21)*L753*O753)</f>
        <v>1.15625</v>
      </c>
      <c r="Q753">
        <f>MAX(0.05,AVERAGE(TEAM_ANALYSIS!$W$2:$W$21)*N753*M753)</f>
        <v>1.15625</v>
      </c>
      <c r="R753" s="23">
        <f>MAX(0.8,MIN(1.2,P753/AVERAGE(TEAM_ANALYSIS!$W$2:$W$21)))</f>
        <v>0.8</v>
      </c>
      <c r="S753">
        <f>MAX(0.8,MIN(1.2,AVERAGE(TEAM_ANALYSIS!$W$2:$W$21)/Q753))</f>
        <v>1.2</v>
      </c>
      <c r="T753">
        <f>AVERAGE(R753,S753)</f>
        <v>1</v>
      </c>
    </row>
    <row r="754" spans="1:20" x14ac:dyDescent="0.25">
      <c r="A754">
        <v>38</v>
      </c>
      <c r="B754" t="b">
        <v>0</v>
      </c>
      <c r="C754" s="6">
        <v>46537.666666666664</v>
      </c>
      <c r="D754" t="b">
        <v>0</v>
      </c>
      <c r="E754">
        <v>4</v>
      </c>
      <c r="F754">
        <v>6</v>
      </c>
      <c r="G754">
        <v>4</v>
      </c>
      <c r="H754" t="s">
        <v>1111</v>
      </c>
      <c r="I754" t="s">
        <v>1074</v>
      </c>
      <c r="J754" t="s">
        <v>1078</v>
      </c>
      <c r="K754" t="str">
        <f>tblTeamFixtures[[#This Row],[Team_name]]&amp;"_"&amp;tblTeamFixtures[[#This Row],[GW]]</f>
        <v>BRE_38</v>
      </c>
      <c r="L754">
        <f>IFERROR(INDEX(TEAM_ANALYSIS!$Y:$Y,MATCH($E754,TEAM_ANALYSIS!$A:$A,0)),1)</f>
        <v>1.088235294117647</v>
      </c>
      <c r="M754">
        <f>IFERROR(INDEX(TEAM_ANALYSIS!$Z:$Z,MATCH($E754,TEAM_ANALYSIS!$A:$A,0)),1)</f>
        <v>0.73529411764705888</v>
      </c>
      <c r="N754">
        <f>IFERROR(INDEX(TEAM_ANALYSIS!$Y:$Y,MATCH($F754,TEAM_ANALYSIS!$A:$A,0)),1)</f>
        <v>1.4411764705882353</v>
      </c>
      <c r="O754">
        <f>IFERROR(INDEX(TEAM_ANALYSIS!$Z:$Z,MATCH($F754,TEAM_ANALYSIS!$A:$A,0)),1)</f>
        <v>1.3235294117647058</v>
      </c>
      <c r="P754">
        <f>MAX(0.05,AVERAGE(TEAM_ANALYSIS!$W$2:$W$21)*L754*O754)</f>
        <v>3.0606617647058822</v>
      </c>
      <c r="Q754">
        <f>MAX(0.05,AVERAGE(TEAM_ANALYSIS!$W$2:$W$21)*N754*M754)</f>
        <v>2.2518382352941178</v>
      </c>
      <c r="R754" s="23">
        <f>MAX(0.8,MIN(1.2,P754/AVERAGE(TEAM_ANALYSIS!$W$2:$W$21)))</f>
        <v>1.2</v>
      </c>
      <c r="S754">
        <f>MAX(0.8,MIN(1.2,AVERAGE(TEAM_ANALYSIS!$W$2:$W$21)/Q754))</f>
        <v>0.94367346938775509</v>
      </c>
      <c r="T754">
        <f>AVERAGE(R754,S754)</f>
        <v>1.0718367346938775</v>
      </c>
    </row>
    <row r="755" spans="1:20" x14ac:dyDescent="0.25">
      <c r="A755">
        <v>38</v>
      </c>
      <c r="B755" t="b">
        <v>0</v>
      </c>
      <c r="C755" s="6">
        <v>46537.666666666664</v>
      </c>
      <c r="D755" t="b">
        <v>0</v>
      </c>
      <c r="E755">
        <v>18</v>
      </c>
      <c r="F755">
        <v>7</v>
      </c>
      <c r="G755">
        <v>2</v>
      </c>
      <c r="H755" t="s">
        <v>1111</v>
      </c>
      <c r="I755" t="s">
        <v>1102</v>
      </c>
      <c r="J755" t="s">
        <v>1080</v>
      </c>
      <c r="K755" t="str">
        <f>tblTeamFixtures[[#This Row],[Team_name]]&amp;"_"&amp;tblTeamFixtures[[#This Row],[GW]]</f>
        <v>NFO_38</v>
      </c>
      <c r="L755">
        <f>IFERROR(INDEX(TEAM_ANALYSIS!$Y:$Y,MATCH($E755,TEAM_ANALYSIS!$A:$A,0)),1)</f>
        <v>0.73529411764705888</v>
      </c>
      <c r="M755">
        <f>IFERROR(INDEX(TEAM_ANALYSIS!$Z:$Z,MATCH($E755,TEAM_ANALYSIS!$A:$A,0)),1)</f>
        <v>0.8529411764705882</v>
      </c>
      <c r="N755">
        <f>IFERROR(INDEX(TEAM_ANALYSIS!$Y:$Y,MATCH($F755,TEAM_ANALYSIS!$A:$A,0)),1)</f>
        <v>0.5</v>
      </c>
      <c r="O755">
        <f>IFERROR(INDEX(TEAM_ANALYSIS!$Z:$Z,MATCH($F755,TEAM_ANALYSIS!$A:$A,0)),1)</f>
        <v>1.088235294117647</v>
      </c>
      <c r="P755">
        <f>MAX(0.05,AVERAGE(TEAM_ANALYSIS!$W$2:$W$21)*L755*O755)</f>
        <v>1.7003676470588234</v>
      </c>
      <c r="Q755">
        <f>MAX(0.05,AVERAGE(TEAM_ANALYSIS!$W$2:$W$21)*N755*M755)</f>
        <v>0.90625</v>
      </c>
      <c r="R755" s="23">
        <f>MAX(0.8,MIN(1.2,P755/AVERAGE(TEAM_ANALYSIS!$W$2:$W$21)))</f>
        <v>0.80017301038062272</v>
      </c>
      <c r="S755">
        <f>MAX(0.8,MIN(1.2,AVERAGE(TEAM_ANALYSIS!$W$2:$W$21)/Q755))</f>
        <v>1.2</v>
      </c>
      <c r="T755">
        <f>AVERAGE(R755,S755)</f>
        <v>1.0000865051903114</v>
      </c>
    </row>
    <row r="756" spans="1:20" x14ac:dyDescent="0.25">
      <c r="A756">
        <v>38</v>
      </c>
      <c r="B756" t="b">
        <v>0</v>
      </c>
      <c r="C756" s="6">
        <v>46537.666666666664</v>
      </c>
      <c r="D756" t="b">
        <v>0</v>
      </c>
      <c r="E756">
        <v>13</v>
      </c>
      <c r="F756">
        <v>8</v>
      </c>
      <c r="G756">
        <v>3</v>
      </c>
      <c r="H756" t="s">
        <v>1111</v>
      </c>
      <c r="I756" t="s">
        <v>1092</v>
      </c>
      <c r="J756" t="s">
        <v>1082</v>
      </c>
      <c r="K756" t="str">
        <f>tblTeamFixtures[[#This Row],[Team_name]]&amp;"_"&amp;tblTeamFixtures[[#This Row],[GW]]</f>
        <v>LEE_38</v>
      </c>
      <c r="L756">
        <f>IFERROR(INDEX(TEAM_ANALYSIS!$Y:$Y,MATCH($E756,TEAM_ANALYSIS!$A:$A,0)),1)</f>
        <v>0.8529411764705882</v>
      </c>
      <c r="M756">
        <f>IFERROR(INDEX(TEAM_ANALYSIS!$Z:$Z,MATCH($E756,TEAM_ANALYSIS!$A:$A,0)),1)</f>
        <v>0.73529411764705888</v>
      </c>
      <c r="N756">
        <f>IFERROR(INDEX(TEAM_ANALYSIS!$Y:$Y,MATCH($F756,TEAM_ANALYSIS!$A:$A,0)),1)</f>
        <v>0.97058823529411764</v>
      </c>
      <c r="O756">
        <f>IFERROR(INDEX(TEAM_ANALYSIS!$Z:$Z,MATCH($F756,TEAM_ANALYSIS!$A:$A,0)),1)</f>
        <v>1.4411764705882353</v>
      </c>
      <c r="P756">
        <f>MAX(0.05,AVERAGE(TEAM_ANALYSIS!$W$2:$W$21)*L756*O756)</f>
        <v>2.6121323529411766</v>
      </c>
      <c r="Q756">
        <f>MAX(0.05,AVERAGE(TEAM_ANALYSIS!$W$2:$W$21)*N756*M756)</f>
        <v>1.5165441176470589</v>
      </c>
      <c r="R756" s="23">
        <f>MAX(0.8,MIN(1.2,P756/AVERAGE(TEAM_ANALYSIS!$W$2:$W$21)))</f>
        <v>1.2</v>
      </c>
      <c r="S756">
        <f>MAX(0.8,MIN(1.2,AVERAGE(TEAM_ANALYSIS!$W$2:$W$21)/Q756))</f>
        <v>1.2</v>
      </c>
      <c r="T756">
        <f>AVERAGE(R756,S756)</f>
        <v>1.2</v>
      </c>
    </row>
    <row r="757" spans="1:20" x14ac:dyDescent="0.25">
      <c r="A757">
        <v>38</v>
      </c>
      <c r="B757" t="b">
        <v>0</v>
      </c>
      <c r="C757" s="6">
        <v>46537.666666666664</v>
      </c>
      <c r="D757" t="b">
        <v>0</v>
      </c>
      <c r="E757">
        <v>17</v>
      </c>
      <c r="F757">
        <v>11</v>
      </c>
      <c r="G757">
        <v>2</v>
      </c>
      <c r="H757" t="s">
        <v>1111</v>
      </c>
      <c r="I757" t="s">
        <v>1100</v>
      </c>
      <c r="J757" t="s">
        <v>1088</v>
      </c>
      <c r="K757" t="str">
        <f>tblTeamFixtures[[#This Row],[Team_name]]&amp;"_"&amp;tblTeamFixtures[[#This Row],[GW]]</f>
        <v>NEW_38</v>
      </c>
      <c r="L757">
        <f>IFERROR(INDEX(TEAM_ANALYSIS!$Y:$Y,MATCH($E757,TEAM_ANALYSIS!$A:$A,0)),1)</f>
        <v>1.2058823529411764</v>
      </c>
      <c r="M757">
        <f>IFERROR(INDEX(TEAM_ANALYSIS!$Z:$Z,MATCH($E757,TEAM_ANALYSIS!$A:$A,0)),1)</f>
        <v>0.97058823529411764</v>
      </c>
      <c r="N757">
        <f>IFERROR(INDEX(TEAM_ANALYSIS!$Y:$Y,MATCH($F757,TEAM_ANALYSIS!$A:$A,0)),1)</f>
        <v>0.8529411764705882</v>
      </c>
      <c r="O757">
        <f>IFERROR(INDEX(TEAM_ANALYSIS!$Z:$Z,MATCH($F757,TEAM_ANALYSIS!$A:$A,0)),1)</f>
        <v>0.5</v>
      </c>
      <c r="P757">
        <f>MAX(0.05,AVERAGE(TEAM_ANALYSIS!$W$2:$W$21)*L757*O757)</f>
        <v>1.28125</v>
      </c>
      <c r="Q757">
        <f>MAX(0.05,AVERAGE(TEAM_ANALYSIS!$W$2:$W$21)*N757*M757)</f>
        <v>1.7591911764705883</v>
      </c>
      <c r="R757" s="23">
        <f>MAX(0.8,MIN(1.2,P757/AVERAGE(TEAM_ANALYSIS!$W$2:$W$21)))</f>
        <v>0.8</v>
      </c>
      <c r="S757">
        <f>MAX(0.8,MIN(1.2,AVERAGE(TEAM_ANALYSIS!$W$2:$W$21)/Q757))</f>
        <v>1.2</v>
      </c>
      <c r="T757">
        <f>AVERAGE(R757,S757)</f>
        <v>1</v>
      </c>
    </row>
    <row r="758" spans="1:20" x14ac:dyDescent="0.25">
      <c r="A758">
        <v>38</v>
      </c>
      <c r="B758" t="b">
        <v>0</v>
      </c>
      <c r="C758" s="6">
        <v>46537.666666666664</v>
      </c>
      <c r="D758" t="b">
        <v>0</v>
      </c>
      <c r="E758">
        <v>9</v>
      </c>
      <c r="F758">
        <v>12</v>
      </c>
      <c r="G758">
        <v>2</v>
      </c>
      <c r="H758" t="s">
        <v>1111</v>
      </c>
      <c r="I758" t="s">
        <v>1084</v>
      </c>
      <c r="J758" t="s">
        <v>1090</v>
      </c>
      <c r="K758" t="str">
        <f>tblTeamFixtures[[#This Row],[Team_name]]&amp;"_"&amp;tblTeamFixtures[[#This Row],[GW]]</f>
        <v>EVE_38</v>
      </c>
      <c r="L758">
        <f>IFERROR(INDEX(TEAM_ANALYSIS!$Y:$Y,MATCH($E758,TEAM_ANALYSIS!$A:$A,0)),1)</f>
        <v>1.088235294117647</v>
      </c>
      <c r="M758">
        <f>IFERROR(INDEX(TEAM_ANALYSIS!$Z:$Z,MATCH($E758,TEAM_ANALYSIS!$A:$A,0)),1)</f>
        <v>0.8529411764705882</v>
      </c>
      <c r="N758">
        <f>IFERROR(INDEX(TEAM_ANALYSIS!$Y:$Y,MATCH($F758,TEAM_ANALYSIS!$A:$A,0)),1)</f>
        <v>0.97058823529411764</v>
      </c>
      <c r="O758">
        <f>IFERROR(INDEX(TEAM_ANALYSIS!$Z:$Z,MATCH($F758,TEAM_ANALYSIS!$A:$A,0)),1)</f>
        <v>1.4411764705882353</v>
      </c>
      <c r="P758">
        <f>MAX(0.05,AVERAGE(TEAM_ANALYSIS!$W$2:$W$21)*L758*O758)</f>
        <v>3.3327205882352939</v>
      </c>
      <c r="Q758">
        <f>MAX(0.05,AVERAGE(TEAM_ANALYSIS!$W$2:$W$21)*N758*M758)</f>
        <v>1.7591911764705881</v>
      </c>
      <c r="R758" s="23">
        <f>MAX(0.8,MIN(1.2,P758/AVERAGE(TEAM_ANALYSIS!$W$2:$W$21)))</f>
        <v>1.2</v>
      </c>
      <c r="S758">
        <f>MAX(0.8,MIN(1.2,AVERAGE(TEAM_ANALYSIS!$W$2:$W$21)/Q758))</f>
        <v>1.2</v>
      </c>
      <c r="T758">
        <f>AVERAGE(R758,S758)</f>
        <v>1.2</v>
      </c>
    </row>
    <row r="759" spans="1:20" x14ac:dyDescent="0.25">
      <c r="A759">
        <v>38</v>
      </c>
      <c r="B759" t="b">
        <v>0</v>
      </c>
      <c r="C759" s="6">
        <v>46537.666666666664</v>
      </c>
      <c r="D759" t="b">
        <v>0</v>
      </c>
      <c r="E759">
        <v>3</v>
      </c>
      <c r="F759">
        <v>14</v>
      </c>
      <c r="G759">
        <v>4</v>
      </c>
      <c r="H759" t="s">
        <v>1111</v>
      </c>
      <c r="I759" t="s">
        <v>1072</v>
      </c>
      <c r="J759" t="s">
        <v>1094</v>
      </c>
      <c r="K759" t="str">
        <f>tblTeamFixtures[[#This Row],[Team_name]]&amp;"_"&amp;tblTeamFixtures[[#This Row],[GW]]</f>
        <v>BOU_38</v>
      </c>
      <c r="L759">
        <f>IFERROR(INDEX(TEAM_ANALYSIS!$Y:$Y,MATCH($E759,TEAM_ANALYSIS!$A:$A,0)),1)</f>
        <v>0.97058823529411764</v>
      </c>
      <c r="M759">
        <f>IFERROR(INDEX(TEAM_ANALYSIS!$Z:$Z,MATCH($E759,TEAM_ANALYSIS!$A:$A,0)),1)</f>
        <v>1.088235294117647</v>
      </c>
      <c r="N759">
        <f>IFERROR(INDEX(TEAM_ANALYSIS!$Y:$Y,MATCH($F759,TEAM_ANALYSIS!$A:$A,0)),1)</f>
        <v>1.2058823529411764</v>
      </c>
      <c r="O759">
        <f>IFERROR(INDEX(TEAM_ANALYSIS!$Z:$Z,MATCH($F759,TEAM_ANALYSIS!$A:$A,0)),1)</f>
        <v>0.97058823529411764</v>
      </c>
      <c r="P759">
        <f>MAX(0.05,AVERAGE(TEAM_ANALYSIS!$W$2:$W$21)*L759*O759)</f>
        <v>2.0018382352941178</v>
      </c>
      <c r="Q759">
        <f>MAX(0.05,AVERAGE(TEAM_ANALYSIS!$W$2:$W$21)*N759*M759)</f>
        <v>2.7886029411764706</v>
      </c>
      <c r="R759" s="23">
        <f>MAX(0.8,MIN(1.2,P759/AVERAGE(TEAM_ANALYSIS!$W$2:$W$21)))</f>
        <v>0.94204152249134954</v>
      </c>
      <c r="S759">
        <f>MAX(0.8,MIN(1.2,AVERAGE(TEAM_ANALYSIS!$W$2:$W$21)/Q759))</f>
        <v>0.8</v>
      </c>
      <c r="T759">
        <f>AVERAGE(R759,S759)</f>
        <v>0.87102076124567485</v>
      </c>
    </row>
    <row r="760" spans="1:20" x14ac:dyDescent="0.25">
      <c r="A760">
        <v>38</v>
      </c>
      <c r="B760" t="b">
        <v>0</v>
      </c>
      <c r="C760" s="6">
        <v>46537.666666666664</v>
      </c>
      <c r="D760" t="b">
        <v>0</v>
      </c>
      <c r="E760">
        <v>10</v>
      </c>
      <c r="F760">
        <v>16</v>
      </c>
      <c r="G760">
        <v>4</v>
      </c>
      <c r="H760" t="s">
        <v>1111</v>
      </c>
      <c r="I760" t="s">
        <v>1086</v>
      </c>
      <c r="J760" t="s">
        <v>1098</v>
      </c>
      <c r="K760" t="str">
        <f>tblTeamFixtures[[#This Row],[Team_name]]&amp;"_"&amp;tblTeamFixtures[[#This Row],[GW]]</f>
        <v>FUL_38</v>
      </c>
      <c r="L760">
        <f>IFERROR(INDEX(TEAM_ANALYSIS!$Y:$Y,MATCH($E760,TEAM_ANALYSIS!$A:$A,0)),1)</f>
        <v>0.97058823529411764</v>
      </c>
      <c r="M760">
        <f>IFERROR(INDEX(TEAM_ANALYSIS!$Z:$Z,MATCH($E760,TEAM_ANALYSIS!$A:$A,0)),1)</f>
        <v>1.3235294117647058</v>
      </c>
      <c r="N760">
        <f>IFERROR(INDEX(TEAM_ANALYSIS!$Y:$Y,MATCH($F760,TEAM_ANALYSIS!$A:$A,0)),1)</f>
        <v>1.3235294117647058</v>
      </c>
      <c r="O760">
        <f>IFERROR(INDEX(TEAM_ANALYSIS!$Z:$Z,MATCH($F760,TEAM_ANALYSIS!$A:$A,0)),1)</f>
        <v>1.2058823529411764</v>
      </c>
      <c r="P760">
        <f>MAX(0.05,AVERAGE(TEAM_ANALYSIS!$W$2:$W$21)*L760*O760)</f>
        <v>2.4871323529411762</v>
      </c>
      <c r="Q760">
        <f>MAX(0.05,AVERAGE(TEAM_ANALYSIS!$W$2:$W$21)*N760*M760)</f>
        <v>3.7224264705882351</v>
      </c>
      <c r="R760" s="23">
        <f>MAX(0.8,MIN(1.2,P760/AVERAGE(TEAM_ANALYSIS!$W$2:$W$21)))</f>
        <v>1.1704152249134947</v>
      </c>
      <c r="S760">
        <f>MAX(0.8,MIN(1.2,AVERAGE(TEAM_ANALYSIS!$W$2:$W$21)/Q760))</f>
        <v>0.8</v>
      </c>
      <c r="T760">
        <f>AVERAGE(R760,S760)</f>
        <v>0.98520761245674737</v>
      </c>
    </row>
    <row r="761" spans="1:20" x14ac:dyDescent="0.25">
      <c r="A761">
        <v>38</v>
      </c>
      <c r="B761" t="b">
        <v>0</v>
      </c>
      <c r="C761" s="6">
        <v>46537.666666666664</v>
      </c>
      <c r="D761" t="b">
        <v>0</v>
      </c>
      <c r="E761">
        <v>15</v>
      </c>
      <c r="F761">
        <v>20</v>
      </c>
      <c r="G761">
        <v>3</v>
      </c>
      <c r="H761" t="s">
        <v>1111</v>
      </c>
      <c r="I761" t="s">
        <v>1096</v>
      </c>
      <c r="J761" t="s">
        <v>1106</v>
      </c>
      <c r="K761" t="str">
        <f>tblTeamFixtures[[#This Row],[Team_name]]&amp;"_"&amp;tblTeamFixtures[[#This Row],[GW]]</f>
        <v>MCI_38</v>
      </c>
      <c r="L761">
        <f>IFERROR(INDEX(TEAM_ANALYSIS!$Y:$Y,MATCH($E761,TEAM_ANALYSIS!$A:$A,0)),1)</f>
        <v>1.3235294117647058</v>
      </c>
      <c r="M761">
        <f>IFERROR(INDEX(TEAM_ANALYSIS!$Z:$Z,MATCH($E761,TEAM_ANALYSIS!$A:$A,0)),1)</f>
        <v>0.73529411764705888</v>
      </c>
      <c r="N761">
        <f>IFERROR(INDEX(TEAM_ANALYSIS!$Y:$Y,MATCH($F761,TEAM_ANALYSIS!$A:$A,0)),1)</f>
        <v>0.8529411764705882</v>
      </c>
      <c r="O761">
        <f>IFERROR(INDEX(TEAM_ANALYSIS!$Z:$Z,MATCH($F761,TEAM_ANALYSIS!$A:$A,0)),1)</f>
        <v>0.8529411764705882</v>
      </c>
      <c r="P761">
        <f>MAX(0.05,AVERAGE(TEAM_ANALYSIS!$W$2:$W$21)*L761*O761)</f>
        <v>2.3988970588235294</v>
      </c>
      <c r="Q761">
        <f>MAX(0.05,AVERAGE(TEAM_ANALYSIS!$W$2:$W$21)*N761*M761)</f>
        <v>1.3327205882352942</v>
      </c>
      <c r="R761" s="23">
        <f>MAX(0.8,MIN(1.2,P761/AVERAGE(TEAM_ANALYSIS!$W$2:$W$21)))</f>
        <v>1.1288927335640138</v>
      </c>
      <c r="S761">
        <f>MAX(0.8,MIN(1.2,AVERAGE(TEAM_ANALYSIS!$W$2:$W$21)/Q761))</f>
        <v>1.2</v>
      </c>
      <c r="T761">
        <f>AVERAGE(R761,S761)</f>
        <v>1.1644463667820069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5A84-8B06-469E-BA8E-1AE067D7912A}">
  <dimension ref="A1:E2"/>
  <sheetViews>
    <sheetView workbookViewId="0">
      <selection activeCell="E12" sqref="E12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9.140625" bestFit="1" customWidth="1"/>
    <col min="4" max="4" width="20.85546875" bestFit="1" customWidth="1"/>
    <col min="5" max="5" width="18.28515625" bestFit="1" customWidth="1"/>
  </cols>
  <sheetData>
    <row r="1" spans="1:5" x14ac:dyDescent="0.25">
      <c r="A1" t="s">
        <v>1160</v>
      </c>
      <c r="B1" t="s">
        <v>1067</v>
      </c>
      <c r="C1" t="s">
        <v>1057</v>
      </c>
      <c r="D1" t="s">
        <v>1201</v>
      </c>
      <c r="E1" t="s">
        <v>1202</v>
      </c>
    </row>
    <row r="2" spans="1:5" x14ac:dyDescent="0.25">
      <c r="A2">
        <v>4</v>
      </c>
      <c r="B2" t="s">
        <v>2843</v>
      </c>
      <c r="C2" t="b">
        <v>0</v>
      </c>
      <c r="D2" t="b">
        <v>0</v>
      </c>
      <c r="E2" t="b">
        <v>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7328-2EB3-4A52-A4E3-EAE9FFC4A7EC}">
  <dimension ref="A1:H381"/>
  <sheetViews>
    <sheetView workbookViewId="0"/>
  </sheetViews>
  <sheetFormatPr defaultRowHeight="15" x14ac:dyDescent="0.25"/>
  <cols>
    <col min="1" max="1" width="17" bestFit="1" customWidth="1"/>
    <col min="2" max="2" width="19.140625" bestFit="1" customWidth="1"/>
    <col min="3" max="3" width="23.140625" bestFit="1" customWidth="1"/>
    <col min="4" max="4" width="18.140625" bestFit="1" customWidth="1"/>
    <col min="5" max="5" width="8.140625" bestFit="1" customWidth="1"/>
    <col min="6" max="6" width="12.28515625" bestFit="1" customWidth="1"/>
    <col min="7" max="7" width="11.42578125" bestFit="1" customWidth="1"/>
    <col min="8" max="8" width="14" bestFit="1" customWidth="1"/>
  </cols>
  <sheetData>
    <row r="1" spans="1:8" x14ac:dyDescent="0.25">
      <c r="A1" t="s">
        <v>1056</v>
      </c>
      <c r="B1" t="s">
        <v>1057</v>
      </c>
      <c r="C1" t="s">
        <v>1058</v>
      </c>
      <c r="D1" t="s">
        <v>1063</v>
      </c>
      <c r="E1" t="s">
        <v>1041</v>
      </c>
      <c r="F1" t="s">
        <v>1060</v>
      </c>
      <c r="G1" t="s">
        <v>1062</v>
      </c>
      <c r="H1" t="s">
        <v>1107</v>
      </c>
    </row>
    <row r="2" spans="1:8" x14ac:dyDescent="0.25">
      <c r="A2">
        <v>1</v>
      </c>
      <c r="B2" t="b">
        <v>1</v>
      </c>
      <c r="C2" s="6">
        <v>46255.833333333336</v>
      </c>
      <c r="D2" t="b">
        <v>1</v>
      </c>
      <c r="E2">
        <v>7</v>
      </c>
      <c r="F2">
        <v>1</v>
      </c>
      <c r="G2">
        <v>5</v>
      </c>
      <c r="H2" t="s">
        <v>1111</v>
      </c>
    </row>
    <row r="3" spans="1:8" x14ac:dyDescent="0.25">
      <c r="A3">
        <v>1</v>
      </c>
      <c r="B3" t="b">
        <v>1</v>
      </c>
      <c r="C3" s="6">
        <v>46256.520833333336</v>
      </c>
      <c r="D3" t="b">
        <v>1</v>
      </c>
      <c r="E3">
        <v>16</v>
      </c>
      <c r="F3">
        <v>11</v>
      </c>
      <c r="G3">
        <v>2</v>
      </c>
      <c r="H3" t="s">
        <v>1111</v>
      </c>
    </row>
    <row r="4" spans="1:8" x14ac:dyDescent="0.25">
      <c r="A4">
        <v>1</v>
      </c>
      <c r="B4" t="b">
        <v>1</v>
      </c>
      <c r="C4" s="6">
        <v>46256.625</v>
      </c>
      <c r="D4" t="b">
        <v>1</v>
      </c>
      <c r="E4">
        <v>8</v>
      </c>
      <c r="F4">
        <v>9</v>
      </c>
      <c r="G4">
        <v>3</v>
      </c>
      <c r="H4" t="s">
        <v>1111</v>
      </c>
    </row>
    <row r="5" spans="1:8" x14ac:dyDescent="0.25">
      <c r="A5">
        <v>1</v>
      </c>
      <c r="B5" t="b">
        <v>1</v>
      </c>
      <c r="C5" s="6">
        <v>46256.625</v>
      </c>
      <c r="D5" t="b">
        <v>1</v>
      </c>
      <c r="E5">
        <v>20</v>
      </c>
      <c r="F5">
        <v>12</v>
      </c>
      <c r="G5">
        <v>2</v>
      </c>
      <c r="H5" t="s">
        <v>1111</v>
      </c>
    </row>
    <row r="6" spans="1:8" x14ac:dyDescent="0.25">
      <c r="A6">
        <v>1</v>
      </c>
      <c r="B6" t="b">
        <v>1</v>
      </c>
      <c r="C6" s="6">
        <v>46256.625</v>
      </c>
      <c r="D6" t="b">
        <v>1</v>
      </c>
      <c r="E6">
        <v>13</v>
      </c>
      <c r="F6">
        <v>18</v>
      </c>
      <c r="G6">
        <v>3</v>
      </c>
      <c r="H6" t="s">
        <v>1111</v>
      </c>
    </row>
    <row r="7" spans="1:8" x14ac:dyDescent="0.25">
      <c r="A7">
        <v>1</v>
      </c>
      <c r="B7" t="b">
        <v>1</v>
      </c>
      <c r="C7" s="6">
        <v>46256.729166666664</v>
      </c>
      <c r="D7" t="b">
        <v>1</v>
      </c>
      <c r="E7">
        <v>19</v>
      </c>
      <c r="F7">
        <v>4</v>
      </c>
      <c r="G7">
        <v>3</v>
      </c>
      <c r="H7" t="s">
        <v>1111</v>
      </c>
    </row>
    <row r="8" spans="1:8" x14ac:dyDescent="0.25">
      <c r="A8">
        <v>1</v>
      </c>
      <c r="B8" t="b">
        <v>1</v>
      </c>
      <c r="C8" s="6">
        <v>46257.583333333336</v>
      </c>
      <c r="D8" t="b">
        <v>1</v>
      </c>
      <c r="E8">
        <v>2</v>
      </c>
      <c r="F8">
        <v>5</v>
      </c>
      <c r="G8">
        <v>3</v>
      </c>
      <c r="H8" t="s">
        <v>1111</v>
      </c>
    </row>
    <row r="9" spans="1:8" x14ac:dyDescent="0.25">
      <c r="A9">
        <v>1</v>
      </c>
      <c r="B9" t="b">
        <v>1</v>
      </c>
      <c r="C9" s="6">
        <v>46257.583333333336</v>
      </c>
      <c r="D9" t="b">
        <v>1</v>
      </c>
      <c r="E9">
        <v>3</v>
      </c>
      <c r="F9">
        <v>15</v>
      </c>
      <c r="G9">
        <v>5</v>
      </c>
      <c r="H9" t="s">
        <v>1111</v>
      </c>
    </row>
    <row r="10" spans="1:8" x14ac:dyDescent="0.25">
      <c r="A10">
        <v>1</v>
      </c>
      <c r="B10" t="b">
        <v>1</v>
      </c>
      <c r="C10" s="6">
        <v>46257.6875</v>
      </c>
      <c r="D10" t="b">
        <v>1</v>
      </c>
      <c r="E10">
        <v>14</v>
      </c>
      <c r="F10">
        <v>17</v>
      </c>
      <c r="G10">
        <v>3</v>
      </c>
      <c r="H10" t="s">
        <v>1111</v>
      </c>
    </row>
    <row r="11" spans="1:8" x14ac:dyDescent="0.25">
      <c r="A11">
        <v>1</v>
      </c>
      <c r="B11" t="b">
        <v>1</v>
      </c>
      <c r="C11" s="6">
        <v>46258.833333333336</v>
      </c>
      <c r="D11" t="b">
        <v>1</v>
      </c>
      <c r="E11">
        <v>6</v>
      </c>
      <c r="F11">
        <v>10</v>
      </c>
      <c r="G11">
        <v>3</v>
      </c>
      <c r="H11" t="s">
        <v>1111</v>
      </c>
    </row>
    <row r="12" spans="1:8" x14ac:dyDescent="0.25">
      <c r="A12">
        <v>2</v>
      </c>
      <c r="B12" t="b">
        <v>1</v>
      </c>
      <c r="C12" s="6">
        <v>46262.833333333336</v>
      </c>
      <c r="D12" t="b">
        <v>1</v>
      </c>
      <c r="E12">
        <v>15</v>
      </c>
      <c r="F12">
        <v>8</v>
      </c>
      <c r="G12">
        <v>3</v>
      </c>
      <c r="H12" t="s">
        <v>1111</v>
      </c>
    </row>
    <row r="13" spans="1:8" x14ac:dyDescent="0.25">
      <c r="A13">
        <v>2</v>
      </c>
      <c r="B13" t="b">
        <v>1</v>
      </c>
      <c r="C13" s="6">
        <v>46263.520833333336</v>
      </c>
      <c r="D13" t="b">
        <v>1</v>
      </c>
      <c r="E13">
        <v>18</v>
      </c>
      <c r="F13">
        <v>14</v>
      </c>
      <c r="G13">
        <v>4</v>
      </c>
      <c r="H13" t="s">
        <v>1111</v>
      </c>
    </row>
    <row r="14" spans="1:8" x14ac:dyDescent="0.25">
      <c r="A14">
        <v>2</v>
      </c>
      <c r="B14" t="b">
        <v>1</v>
      </c>
      <c r="C14" s="6">
        <v>46263.625</v>
      </c>
      <c r="D14" t="b">
        <v>1</v>
      </c>
      <c r="E14">
        <v>9</v>
      </c>
      <c r="F14">
        <v>3</v>
      </c>
      <c r="G14">
        <v>3</v>
      </c>
      <c r="H14" t="s">
        <v>1111</v>
      </c>
    </row>
    <row r="15" spans="1:8" x14ac:dyDescent="0.25">
      <c r="A15">
        <v>2</v>
      </c>
      <c r="B15" t="b">
        <v>1</v>
      </c>
      <c r="C15" s="6">
        <v>46263.625</v>
      </c>
      <c r="D15" t="b">
        <v>1</v>
      </c>
      <c r="E15">
        <v>11</v>
      </c>
      <c r="F15">
        <v>7</v>
      </c>
      <c r="G15">
        <v>2</v>
      </c>
      <c r="H15" t="s">
        <v>1111</v>
      </c>
    </row>
    <row r="16" spans="1:8" x14ac:dyDescent="0.25">
      <c r="A16">
        <v>2</v>
      </c>
      <c r="B16" t="b">
        <v>1</v>
      </c>
      <c r="C16" s="6">
        <v>46263.729166666664</v>
      </c>
      <c r="D16" t="b">
        <v>1</v>
      </c>
      <c r="E16">
        <v>17</v>
      </c>
      <c r="F16">
        <v>19</v>
      </c>
      <c r="G16">
        <v>3</v>
      </c>
      <c r="H16" t="s">
        <v>1111</v>
      </c>
    </row>
    <row r="17" spans="1:8" x14ac:dyDescent="0.25">
      <c r="A17">
        <v>2</v>
      </c>
      <c r="B17" t="b">
        <v>1</v>
      </c>
      <c r="C17" s="6">
        <v>46264.583333333336</v>
      </c>
      <c r="D17" t="b">
        <v>1</v>
      </c>
      <c r="E17">
        <v>5</v>
      </c>
      <c r="F17">
        <v>6</v>
      </c>
      <c r="G17">
        <v>4</v>
      </c>
      <c r="H17" t="s">
        <v>1111</v>
      </c>
    </row>
    <row r="18" spans="1:8" x14ac:dyDescent="0.25">
      <c r="A18">
        <v>2</v>
      </c>
      <c r="B18" t="b">
        <v>1</v>
      </c>
      <c r="C18" s="6">
        <v>46264.583333333336</v>
      </c>
      <c r="D18" t="b">
        <v>1</v>
      </c>
      <c r="E18">
        <v>4</v>
      </c>
      <c r="F18">
        <v>13</v>
      </c>
      <c r="G18">
        <v>3</v>
      </c>
      <c r="H18" t="s">
        <v>1111</v>
      </c>
    </row>
    <row r="19" spans="1:8" x14ac:dyDescent="0.25">
      <c r="A19">
        <v>2</v>
      </c>
      <c r="B19" t="b">
        <v>1</v>
      </c>
      <c r="C19" s="6">
        <v>46264.583333333336</v>
      </c>
      <c r="D19" t="b">
        <v>1</v>
      </c>
      <c r="E19">
        <v>10</v>
      </c>
      <c r="F19">
        <v>20</v>
      </c>
      <c r="G19">
        <v>3</v>
      </c>
      <c r="H19" t="s">
        <v>1111</v>
      </c>
    </row>
    <row r="20" spans="1:8" x14ac:dyDescent="0.25">
      <c r="A20">
        <v>2</v>
      </c>
      <c r="B20" t="b">
        <v>1</v>
      </c>
      <c r="C20" s="6">
        <v>46264.6875</v>
      </c>
      <c r="D20" t="b">
        <v>1</v>
      </c>
      <c r="E20">
        <v>12</v>
      </c>
      <c r="F20">
        <v>16</v>
      </c>
      <c r="G20">
        <v>4</v>
      </c>
      <c r="H20" t="s">
        <v>1111</v>
      </c>
    </row>
    <row r="21" spans="1:8" x14ac:dyDescent="0.25">
      <c r="A21">
        <v>2</v>
      </c>
      <c r="B21" t="b">
        <v>1</v>
      </c>
      <c r="C21" s="6">
        <v>46265.833333333336</v>
      </c>
      <c r="D21" t="b">
        <v>1</v>
      </c>
      <c r="E21">
        <v>1</v>
      </c>
      <c r="F21">
        <v>2</v>
      </c>
      <c r="G21">
        <v>4</v>
      </c>
      <c r="H21" t="s">
        <v>1111</v>
      </c>
    </row>
    <row r="22" spans="1:8" x14ac:dyDescent="0.25">
      <c r="A22">
        <v>3</v>
      </c>
      <c r="B22" t="b">
        <v>1</v>
      </c>
      <c r="C22" s="6">
        <v>46269.833333333336</v>
      </c>
      <c r="D22" t="b">
        <v>1</v>
      </c>
      <c r="E22">
        <v>14</v>
      </c>
      <c r="F22">
        <v>12</v>
      </c>
      <c r="G22">
        <v>2</v>
      </c>
      <c r="H22" t="s">
        <v>1111</v>
      </c>
    </row>
    <row r="23" spans="1:8" x14ac:dyDescent="0.25">
      <c r="A23">
        <v>3</v>
      </c>
      <c r="B23" t="b">
        <v>1</v>
      </c>
      <c r="C23" s="6">
        <v>46270.520833333336</v>
      </c>
      <c r="D23" t="b">
        <v>1</v>
      </c>
      <c r="E23">
        <v>3</v>
      </c>
      <c r="F23">
        <v>17</v>
      </c>
      <c r="G23">
        <v>3</v>
      </c>
      <c r="H23" t="s">
        <v>1111</v>
      </c>
    </row>
    <row r="24" spans="1:8" x14ac:dyDescent="0.25">
      <c r="A24">
        <v>3</v>
      </c>
      <c r="B24" t="b">
        <v>1</v>
      </c>
      <c r="C24" s="6">
        <v>46270.625</v>
      </c>
      <c r="D24" t="b">
        <v>1</v>
      </c>
      <c r="E24">
        <v>20</v>
      </c>
      <c r="F24">
        <v>4</v>
      </c>
      <c r="G24">
        <v>3</v>
      </c>
      <c r="H24" t="s">
        <v>1111</v>
      </c>
    </row>
    <row r="25" spans="1:8" x14ac:dyDescent="0.25">
      <c r="A25">
        <v>3</v>
      </c>
      <c r="B25" t="b">
        <v>1</v>
      </c>
      <c r="C25" s="6">
        <v>46270.625</v>
      </c>
      <c r="D25" t="b">
        <v>1</v>
      </c>
      <c r="E25">
        <v>13</v>
      </c>
      <c r="F25">
        <v>5</v>
      </c>
      <c r="G25">
        <v>3</v>
      </c>
      <c r="H25" t="s">
        <v>1111</v>
      </c>
    </row>
    <row r="26" spans="1:8" x14ac:dyDescent="0.25">
      <c r="A26">
        <v>3</v>
      </c>
      <c r="B26" t="b">
        <v>1</v>
      </c>
      <c r="C26" s="6">
        <v>46270.625</v>
      </c>
      <c r="D26" t="b">
        <v>1</v>
      </c>
      <c r="E26">
        <v>8</v>
      </c>
      <c r="F26">
        <v>10</v>
      </c>
      <c r="G26">
        <v>3</v>
      </c>
      <c r="H26" t="s">
        <v>1111</v>
      </c>
    </row>
    <row r="27" spans="1:8" x14ac:dyDescent="0.25">
      <c r="A27">
        <v>3</v>
      </c>
      <c r="B27" t="b">
        <v>1</v>
      </c>
      <c r="C27" s="6">
        <v>46270.625</v>
      </c>
      <c r="D27" t="b">
        <v>1</v>
      </c>
      <c r="E27">
        <v>7</v>
      </c>
      <c r="F27">
        <v>15</v>
      </c>
      <c r="G27">
        <v>5</v>
      </c>
      <c r="H27" t="s">
        <v>1111</v>
      </c>
    </row>
    <row r="28" spans="1:8" x14ac:dyDescent="0.25">
      <c r="A28">
        <v>3</v>
      </c>
      <c r="B28" t="b">
        <v>1</v>
      </c>
      <c r="C28" s="6">
        <v>46270.625</v>
      </c>
      <c r="D28" t="b">
        <v>1</v>
      </c>
      <c r="E28">
        <v>19</v>
      </c>
      <c r="F28">
        <v>18</v>
      </c>
      <c r="G28">
        <v>3</v>
      </c>
      <c r="H28" t="s">
        <v>1111</v>
      </c>
    </row>
    <row r="29" spans="1:8" x14ac:dyDescent="0.25">
      <c r="A29">
        <v>3</v>
      </c>
      <c r="B29" t="b">
        <v>1</v>
      </c>
      <c r="C29" s="6">
        <v>46270.729166666664</v>
      </c>
      <c r="D29" t="b">
        <v>1</v>
      </c>
      <c r="E29">
        <v>2</v>
      </c>
      <c r="F29">
        <v>11</v>
      </c>
      <c r="G29">
        <v>2</v>
      </c>
      <c r="H29" t="s">
        <v>1111</v>
      </c>
    </row>
    <row r="30" spans="1:8" x14ac:dyDescent="0.25">
      <c r="A30">
        <v>3</v>
      </c>
      <c r="B30" t="b">
        <v>1</v>
      </c>
      <c r="C30" s="6">
        <v>46271.583333333336</v>
      </c>
      <c r="D30" t="b">
        <v>1</v>
      </c>
      <c r="E30">
        <v>16</v>
      </c>
      <c r="F30">
        <v>9</v>
      </c>
      <c r="G30">
        <v>3</v>
      </c>
      <c r="H30" t="s">
        <v>1111</v>
      </c>
    </row>
    <row r="31" spans="1:8" x14ac:dyDescent="0.25">
      <c r="A31">
        <v>3</v>
      </c>
      <c r="B31" t="b">
        <v>1</v>
      </c>
      <c r="C31" s="6">
        <v>46271.6875</v>
      </c>
      <c r="D31" t="b">
        <v>1</v>
      </c>
      <c r="E31">
        <v>6</v>
      </c>
      <c r="F31">
        <v>1</v>
      </c>
      <c r="G31">
        <v>5</v>
      </c>
      <c r="H31" t="s">
        <v>1111</v>
      </c>
    </row>
    <row r="32" spans="1:8" x14ac:dyDescent="0.25">
      <c r="A32">
        <v>4</v>
      </c>
      <c r="B32" t="b">
        <v>0</v>
      </c>
      <c r="C32" s="6">
        <v>46277.625</v>
      </c>
      <c r="D32" t="b">
        <v>0</v>
      </c>
      <c r="E32">
        <v>18</v>
      </c>
      <c r="F32">
        <v>2</v>
      </c>
      <c r="G32">
        <v>4</v>
      </c>
      <c r="H32" t="s">
        <v>1111</v>
      </c>
    </row>
    <row r="33" spans="1:8" x14ac:dyDescent="0.25">
      <c r="A33">
        <v>4</v>
      </c>
      <c r="B33" t="b">
        <v>0</v>
      </c>
      <c r="C33" s="6">
        <v>46277.625</v>
      </c>
      <c r="D33" t="b">
        <v>0</v>
      </c>
      <c r="E33">
        <v>4</v>
      </c>
      <c r="F33">
        <v>3</v>
      </c>
      <c r="G33">
        <v>3</v>
      </c>
      <c r="H33" t="s">
        <v>1111</v>
      </c>
    </row>
    <row r="34" spans="1:8" x14ac:dyDescent="0.25">
      <c r="A34">
        <v>4</v>
      </c>
      <c r="B34" t="b">
        <v>0</v>
      </c>
      <c r="C34" s="6">
        <v>46277.625</v>
      </c>
      <c r="D34" t="b">
        <v>0</v>
      </c>
      <c r="E34">
        <v>11</v>
      </c>
      <c r="F34">
        <v>6</v>
      </c>
      <c r="G34">
        <v>4</v>
      </c>
      <c r="H34" t="s">
        <v>1111</v>
      </c>
    </row>
    <row r="35" spans="1:8" x14ac:dyDescent="0.25">
      <c r="A35">
        <v>4</v>
      </c>
      <c r="B35" t="b">
        <v>0</v>
      </c>
      <c r="C35" s="6">
        <v>46277.625</v>
      </c>
      <c r="D35" t="b">
        <v>0</v>
      </c>
      <c r="E35">
        <v>12</v>
      </c>
      <c r="F35">
        <v>8</v>
      </c>
      <c r="G35">
        <v>3</v>
      </c>
      <c r="H35" t="s">
        <v>1111</v>
      </c>
    </row>
    <row r="36" spans="1:8" x14ac:dyDescent="0.25">
      <c r="A36">
        <v>4</v>
      </c>
      <c r="B36" t="b">
        <v>0</v>
      </c>
      <c r="C36" s="6">
        <v>46277.625</v>
      </c>
      <c r="D36" t="b">
        <v>0</v>
      </c>
      <c r="E36">
        <v>10</v>
      </c>
      <c r="F36">
        <v>14</v>
      </c>
      <c r="G36">
        <v>4</v>
      </c>
      <c r="H36" t="s">
        <v>1111</v>
      </c>
    </row>
    <row r="37" spans="1:8" x14ac:dyDescent="0.25">
      <c r="A37">
        <v>4</v>
      </c>
      <c r="B37" t="b">
        <v>0</v>
      </c>
      <c r="C37" s="6">
        <v>46277.729166666664</v>
      </c>
      <c r="D37" t="b">
        <v>0</v>
      </c>
      <c r="E37">
        <v>9</v>
      </c>
      <c r="F37">
        <v>19</v>
      </c>
      <c r="G37">
        <v>3</v>
      </c>
      <c r="H37" t="s">
        <v>1111</v>
      </c>
    </row>
    <row r="38" spans="1:8" x14ac:dyDescent="0.25">
      <c r="A38">
        <v>4</v>
      </c>
      <c r="B38" t="b">
        <v>0</v>
      </c>
      <c r="C38" s="6">
        <v>46277.833333333336</v>
      </c>
      <c r="D38" t="b">
        <v>0</v>
      </c>
      <c r="E38">
        <v>1</v>
      </c>
      <c r="F38">
        <v>20</v>
      </c>
      <c r="G38">
        <v>3</v>
      </c>
      <c r="H38" t="s">
        <v>1111</v>
      </c>
    </row>
    <row r="39" spans="1:8" x14ac:dyDescent="0.25">
      <c r="A39">
        <v>4</v>
      </c>
      <c r="B39" t="b">
        <v>0</v>
      </c>
      <c r="C39" s="6">
        <v>46278.583333333336</v>
      </c>
      <c r="D39" t="b">
        <v>0</v>
      </c>
      <c r="E39">
        <v>5</v>
      </c>
      <c r="F39">
        <v>7</v>
      </c>
      <c r="G39">
        <v>2</v>
      </c>
      <c r="H39" t="s">
        <v>1111</v>
      </c>
    </row>
    <row r="40" spans="1:8" x14ac:dyDescent="0.25">
      <c r="A40">
        <v>4</v>
      </c>
      <c r="B40" t="b">
        <v>0</v>
      </c>
      <c r="C40" s="6">
        <v>46278.6875</v>
      </c>
      <c r="D40" t="b">
        <v>0</v>
      </c>
      <c r="E40">
        <v>15</v>
      </c>
      <c r="F40">
        <v>16</v>
      </c>
      <c r="G40">
        <v>4</v>
      </c>
      <c r="H40" t="s">
        <v>1111</v>
      </c>
    </row>
    <row r="41" spans="1:8" x14ac:dyDescent="0.25">
      <c r="A41">
        <v>4</v>
      </c>
      <c r="B41" t="b">
        <v>0</v>
      </c>
      <c r="C41" s="6">
        <v>46279.833333333336</v>
      </c>
      <c r="D41" t="b">
        <v>0</v>
      </c>
      <c r="E41">
        <v>17</v>
      </c>
      <c r="F41">
        <v>13</v>
      </c>
      <c r="G41">
        <v>3</v>
      </c>
      <c r="H41" t="s">
        <v>1111</v>
      </c>
    </row>
    <row r="42" spans="1:8" x14ac:dyDescent="0.25">
      <c r="A42">
        <v>5</v>
      </c>
      <c r="B42" t="b">
        <v>0</v>
      </c>
      <c r="C42" s="6">
        <v>46283.833333333336</v>
      </c>
      <c r="D42" t="b">
        <v>0</v>
      </c>
      <c r="E42">
        <v>6</v>
      </c>
      <c r="F42">
        <v>4</v>
      </c>
      <c r="G42">
        <v>3</v>
      </c>
      <c r="H42" t="s">
        <v>1111</v>
      </c>
    </row>
    <row r="43" spans="1:8" x14ac:dyDescent="0.25">
      <c r="A43">
        <v>5</v>
      </c>
      <c r="B43" t="b">
        <v>0</v>
      </c>
      <c r="C43" s="6">
        <v>46284.520833333336</v>
      </c>
      <c r="D43" t="b">
        <v>0</v>
      </c>
      <c r="E43">
        <v>2</v>
      </c>
      <c r="F43">
        <v>19</v>
      </c>
      <c r="G43">
        <v>3</v>
      </c>
      <c r="H43" t="s">
        <v>1111</v>
      </c>
    </row>
    <row r="44" spans="1:8" x14ac:dyDescent="0.25">
      <c r="A44">
        <v>5</v>
      </c>
      <c r="B44" t="b">
        <v>0</v>
      </c>
      <c r="C44" s="6">
        <v>46284.625</v>
      </c>
      <c r="D44" t="b">
        <v>0</v>
      </c>
      <c r="E44">
        <v>1</v>
      </c>
      <c r="F44">
        <v>5</v>
      </c>
      <c r="G44">
        <v>3</v>
      </c>
      <c r="H44" t="s">
        <v>1111</v>
      </c>
    </row>
    <row r="45" spans="1:8" x14ac:dyDescent="0.25">
      <c r="A45">
        <v>5</v>
      </c>
      <c r="B45" t="b">
        <v>0</v>
      </c>
      <c r="C45" s="6">
        <v>46284.625</v>
      </c>
      <c r="D45" t="b">
        <v>0</v>
      </c>
      <c r="E45">
        <v>12</v>
      </c>
      <c r="F45">
        <v>9</v>
      </c>
      <c r="G45">
        <v>3</v>
      </c>
      <c r="H45" t="s">
        <v>1111</v>
      </c>
    </row>
    <row r="46" spans="1:8" x14ac:dyDescent="0.25">
      <c r="A46">
        <v>5</v>
      </c>
      <c r="B46" t="b">
        <v>0</v>
      </c>
      <c r="C46" s="6">
        <v>46284.625</v>
      </c>
      <c r="D46" t="b">
        <v>0</v>
      </c>
      <c r="E46">
        <v>11</v>
      </c>
      <c r="F46">
        <v>17</v>
      </c>
      <c r="G46">
        <v>3</v>
      </c>
      <c r="H46" t="s">
        <v>1111</v>
      </c>
    </row>
    <row r="47" spans="1:8" x14ac:dyDescent="0.25">
      <c r="A47">
        <v>5</v>
      </c>
      <c r="B47" t="b">
        <v>0</v>
      </c>
      <c r="C47" s="6">
        <v>46284.729166666664</v>
      </c>
      <c r="D47" t="b">
        <v>0</v>
      </c>
      <c r="E47">
        <v>7</v>
      </c>
      <c r="F47">
        <v>18</v>
      </c>
      <c r="G47">
        <v>3</v>
      </c>
      <c r="H47" t="s">
        <v>1111</v>
      </c>
    </row>
    <row r="48" spans="1:8" x14ac:dyDescent="0.25">
      <c r="A48">
        <v>5</v>
      </c>
      <c r="B48" t="b">
        <v>0</v>
      </c>
      <c r="C48" s="6">
        <v>46285.583333333336</v>
      </c>
      <c r="D48" t="b">
        <v>0</v>
      </c>
      <c r="E48">
        <v>14</v>
      </c>
      <c r="F48">
        <v>3</v>
      </c>
      <c r="G48">
        <v>3</v>
      </c>
      <c r="H48" t="s">
        <v>1111</v>
      </c>
    </row>
    <row r="49" spans="1:8" x14ac:dyDescent="0.25">
      <c r="A49">
        <v>5</v>
      </c>
      <c r="B49" t="b">
        <v>0</v>
      </c>
      <c r="C49" s="6">
        <v>46285.583333333336</v>
      </c>
      <c r="D49" t="b">
        <v>0</v>
      </c>
      <c r="E49">
        <v>8</v>
      </c>
      <c r="F49">
        <v>13</v>
      </c>
      <c r="G49">
        <v>3</v>
      </c>
      <c r="H49" t="s">
        <v>1111</v>
      </c>
    </row>
    <row r="50" spans="1:8" x14ac:dyDescent="0.25">
      <c r="A50">
        <v>5</v>
      </c>
      <c r="B50" t="b">
        <v>0</v>
      </c>
      <c r="C50" s="6">
        <v>46285.583333333336</v>
      </c>
      <c r="D50" t="b">
        <v>0</v>
      </c>
      <c r="E50">
        <v>20</v>
      </c>
      <c r="F50">
        <v>15</v>
      </c>
      <c r="G50">
        <v>5</v>
      </c>
      <c r="H50" t="s">
        <v>1111</v>
      </c>
    </row>
    <row r="51" spans="1:8" x14ac:dyDescent="0.25">
      <c r="A51">
        <v>5</v>
      </c>
      <c r="B51" t="b">
        <v>0</v>
      </c>
      <c r="C51" s="6">
        <v>46285.6875</v>
      </c>
      <c r="D51" t="b">
        <v>0</v>
      </c>
      <c r="E51">
        <v>16</v>
      </c>
      <c r="F51">
        <v>10</v>
      </c>
      <c r="G51">
        <v>3</v>
      </c>
      <c r="H51" t="s">
        <v>1111</v>
      </c>
    </row>
    <row r="52" spans="1:8" x14ac:dyDescent="0.25">
      <c r="A52">
        <v>6</v>
      </c>
      <c r="B52" t="b">
        <v>0</v>
      </c>
      <c r="C52" s="6">
        <v>46305.520833333336</v>
      </c>
      <c r="D52" t="b">
        <v>0</v>
      </c>
      <c r="E52">
        <v>13</v>
      </c>
      <c r="F52">
        <v>1</v>
      </c>
      <c r="G52">
        <v>5</v>
      </c>
      <c r="H52" t="s">
        <v>1111</v>
      </c>
    </row>
    <row r="53" spans="1:8" x14ac:dyDescent="0.25">
      <c r="A53">
        <v>6</v>
      </c>
      <c r="B53" t="b">
        <v>0</v>
      </c>
      <c r="C53" s="6">
        <v>46305.625</v>
      </c>
      <c r="D53" t="b">
        <v>0</v>
      </c>
      <c r="E53">
        <v>4</v>
      </c>
      <c r="F53">
        <v>2</v>
      </c>
      <c r="G53">
        <v>4</v>
      </c>
      <c r="H53" t="s">
        <v>1111</v>
      </c>
    </row>
    <row r="54" spans="1:8" x14ac:dyDescent="0.25">
      <c r="A54">
        <v>6</v>
      </c>
      <c r="B54" t="b">
        <v>0</v>
      </c>
      <c r="C54" s="6">
        <v>46305.625</v>
      </c>
      <c r="D54" t="b">
        <v>0</v>
      </c>
      <c r="E54">
        <v>3</v>
      </c>
      <c r="F54">
        <v>6</v>
      </c>
      <c r="G54">
        <v>4</v>
      </c>
      <c r="H54" t="s">
        <v>1111</v>
      </c>
    </row>
    <row r="55" spans="1:8" x14ac:dyDescent="0.25">
      <c r="A55">
        <v>6</v>
      </c>
      <c r="B55" t="b">
        <v>0</v>
      </c>
      <c r="C55" s="6">
        <v>46305.625</v>
      </c>
      <c r="D55" t="b">
        <v>0</v>
      </c>
      <c r="E55">
        <v>10</v>
      </c>
      <c r="F55">
        <v>12</v>
      </c>
      <c r="G55">
        <v>2</v>
      </c>
      <c r="H55" t="s">
        <v>1111</v>
      </c>
    </row>
    <row r="56" spans="1:8" x14ac:dyDescent="0.25">
      <c r="A56">
        <v>6</v>
      </c>
      <c r="B56" t="b">
        <v>0</v>
      </c>
      <c r="C56" s="6">
        <v>46305.625</v>
      </c>
      <c r="D56" t="b">
        <v>0</v>
      </c>
      <c r="E56">
        <v>5</v>
      </c>
      <c r="F56">
        <v>20</v>
      </c>
      <c r="G56">
        <v>3</v>
      </c>
      <c r="H56" t="s">
        <v>1111</v>
      </c>
    </row>
    <row r="57" spans="1:8" x14ac:dyDescent="0.25">
      <c r="A57">
        <v>6</v>
      </c>
      <c r="B57" t="b">
        <v>0</v>
      </c>
      <c r="C57" s="6">
        <v>46305.729166666664</v>
      </c>
      <c r="D57" t="b">
        <v>0</v>
      </c>
      <c r="E57">
        <v>19</v>
      </c>
      <c r="F57">
        <v>16</v>
      </c>
      <c r="G57">
        <v>4</v>
      </c>
      <c r="H57" t="s">
        <v>1111</v>
      </c>
    </row>
    <row r="58" spans="1:8" x14ac:dyDescent="0.25">
      <c r="A58">
        <v>6</v>
      </c>
      <c r="B58" t="b">
        <v>0</v>
      </c>
      <c r="C58" s="6">
        <v>46306.583333333336</v>
      </c>
      <c r="D58" t="b">
        <v>0</v>
      </c>
      <c r="E58">
        <v>18</v>
      </c>
      <c r="F58">
        <v>8</v>
      </c>
      <c r="G58">
        <v>3</v>
      </c>
      <c r="H58" t="s">
        <v>1111</v>
      </c>
    </row>
    <row r="59" spans="1:8" x14ac:dyDescent="0.25">
      <c r="A59">
        <v>6</v>
      </c>
      <c r="B59" t="b">
        <v>0</v>
      </c>
      <c r="C59" s="6">
        <v>46306.583333333336</v>
      </c>
      <c r="D59" t="b">
        <v>0</v>
      </c>
      <c r="E59">
        <v>9</v>
      </c>
      <c r="F59">
        <v>11</v>
      </c>
      <c r="G59">
        <v>2</v>
      </c>
      <c r="H59" t="s">
        <v>1111</v>
      </c>
    </row>
    <row r="60" spans="1:8" x14ac:dyDescent="0.25">
      <c r="A60">
        <v>6</v>
      </c>
      <c r="B60" t="b">
        <v>0</v>
      </c>
      <c r="C60" s="6">
        <v>46306.6875</v>
      </c>
      <c r="D60" t="b">
        <v>0</v>
      </c>
      <c r="E60">
        <v>15</v>
      </c>
      <c r="F60">
        <v>14</v>
      </c>
      <c r="G60">
        <v>4</v>
      </c>
      <c r="H60" t="s">
        <v>1111</v>
      </c>
    </row>
    <row r="61" spans="1:8" x14ac:dyDescent="0.25">
      <c r="A61">
        <v>6</v>
      </c>
      <c r="B61" t="b">
        <v>0</v>
      </c>
      <c r="C61" s="6">
        <v>46307.833333333336</v>
      </c>
      <c r="D61" t="b">
        <v>0</v>
      </c>
      <c r="E61">
        <v>17</v>
      </c>
      <c r="F61">
        <v>7</v>
      </c>
      <c r="G61">
        <v>2</v>
      </c>
      <c r="H61" t="s">
        <v>1111</v>
      </c>
    </row>
    <row r="62" spans="1:8" x14ac:dyDescent="0.25">
      <c r="A62">
        <v>7</v>
      </c>
      <c r="B62" t="b">
        <v>0</v>
      </c>
      <c r="C62" s="6">
        <v>46312.520833333336</v>
      </c>
      <c r="D62" t="b">
        <v>0</v>
      </c>
      <c r="E62">
        <v>6</v>
      </c>
      <c r="F62">
        <v>9</v>
      </c>
      <c r="G62">
        <v>3</v>
      </c>
      <c r="H62" t="s">
        <v>1111</v>
      </c>
    </row>
    <row r="63" spans="1:8" x14ac:dyDescent="0.25">
      <c r="A63">
        <v>7</v>
      </c>
      <c r="B63" t="b">
        <v>0</v>
      </c>
      <c r="C63" s="6">
        <v>46312.625</v>
      </c>
      <c r="D63" t="b">
        <v>0</v>
      </c>
      <c r="E63">
        <v>14</v>
      </c>
      <c r="F63">
        <v>4</v>
      </c>
      <c r="G63">
        <v>3</v>
      </c>
      <c r="H63" t="s">
        <v>1111</v>
      </c>
    </row>
    <row r="64" spans="1:8" x14ac:dyDescent="0.25">
      <c r="A64">
        <v>7</v>
      </c>
      <c r="B64" t="b">
        <v>0</v>
      </c>
      <c r="C64" s="6">
        <v>46312.625</v>
      </c>
      <c r="D64" t="b">
        <v>0</v>
      </c>
      <c r="E64">
        <v>11</v>
      </c>
      <c r="F64">
        <v>10</v>
      </c>
      <c r="G64">
        <v>3</v>
      </c>
      <c r="H64" t="s">
        <v>1111</v>
      </c>
    </row>
    <row r="65" spans="1:8" x14ac:dyDescent="0.25">
      <c r="A65">
        <v>7</v>
      </c>
      <c r="B65" t="b">
        <v>0</v>
      </c>
      <c r="C65" s="6">
        <v>46312.625</v>
      </c>
      <c r="D65" t="b">
        <v>0</v>
      </c>
      <c r="E65">
        <v>12</v>
      </c>
      <c r="F65">
        <v>15</v>
      </c>
      <c r="G65">
        <v>5</v>
      </c>
      <c r="H65" t="s">
        <v>1111</v>
      </c>
    </row>
    <row r="66" spans="1:8" x14ac:dyDescent="0.25">
      <c r="A66">
        <v>7</v>
      </c>
      <c r="B66" t="b">
        <v>0</v>
      </c>
      <c r="C66" s="6">
        <v>46312.729166666664</v>
      </c>
      <c r="D66" t="b">
        <v>0</v>
      </c>
      <c r="E66">
        <v>2</v>
      </c>
      <c r="F66">
        <v>17</v>
      </c>
      <c r="G66">
        <v>3</v>
      </c>
      <c r="H66" t="s">
        <v>1111</v>
      </c>
    </row>
    <row r="67" spans="1:8" x14ac:dyDescent="0.25">
      <c r="A67">
        <v>7</v>
      </c>
      <c r="B67" t="b">
        <v>0</v>
      </c>
      <c r="C67" s="6">
        <v>46313.583333333336</v>
      </c>
      <c r="D67" t="b">
        <v>0</v>
      </c>
      <c r="E67">
        <v>20</v>
      </c>
      <c r="F67">
        <v>3</v>
      </c>
      <c r="G67">
        <v>3</v>
      </c>
      <c r="H67" t="s">
        <v>1111</v>
      </c>
    </row>
    <row r="68" spans="1:8" x14ac:dyDescent="0.25">
      <c r="A68">
        <v>7</v>
      </c>
      <c r="B68" t="b">
        <v>0</v>
      </c>
      <c r="C68" s="6">
        <v>46313.583333333336</v>
      </c>
      <c r="D68" t="b">
        <v>0</v>
      </c>
      <c r="E68">
        <v>8</v>
      </c>
      <c r="F68">
        <v>5</v>
      </c>
      <c r="G68">
        <v>3</v>
      </c>
      <c r="H68" t="s">
        <v>1111</v>
      </c>
    </row>
    <row r="69" spans="1:8" x14ac:dyDescent="0.25">
      <c r="A69">
        <v>7</v>
      </c>
      <c r="B69" t="b">
        <v>0</v>
      </c>
      <c r="C69" s="6">
        <v>46313.583333333336</v>
      </c>
      <c r="D69" t="b">
        <v>0</v>
      </c>
      <c r="E69">
        <v>16</v>
      </c>
      <c r="F69">
        <v>13</v>
      </c>
      <c r="G69">
        <v>3</v>
      </c>
      <c r="H69" t="s">
        <v>1111</v>
      </c>
    </row>
    <row r="70" spans="1:8" x14ac:dyDescent="0.25">
      <c r="A70">
        <v>7</v>
      </c>
      <c r="B70" t="b">
        <v>0</v>
      </c>
      <c r="C70" s="6">
        <v>46313.6875</v>
      </c>
      <c r="D70" t="b">
        <v>0</v>
      </c>
      <c r="E70">
        <v>1</v>
      </c>
      <c r="F70">
        <v>18</v>
      </c>
      <c r="G70">
        <v>3</v>
      </c>
      <c r="H70" t="s">
        <v>1111</v>
      </c>
    </row>
    <row r="71" spans="1:8" x14ac:dyDescent="0.25">
      <c r="A71">
        <v>7</v>
      </c>
      <c r="B71" t="b">
        <v>0</v>
      </c>
      <c r="C71" s="6">
        <v>46314.833333333336</v>
      </c>
      <c r="D71" t="b">
        <v>0</v>
      </c>
      <c r="E71">
        <v>7</v>
      </c>
      <c r="F71">
        <v>19</v>
      </c>
      <c r="G71">
        <v>3</v>
      </c>
      <c r="H71" t="s">
        <v>1111</v>
      </c>
    </row>
    <row r="72" spans="1:8" x14ac:dyDescent="0.25">
      <c r="A72">
        <v>8</v>
      </c>
      <c r="B72" t="b">
        <v>0</v>
      </c>
      <c r="C72" s="6">
        <v>46318.833333333336</v>
      </c>
      <c r="D72" t="b">
        <v>0</v>
      </c>
      <c r="E72">
        <v>18</v>
      </c>
      <c r="F72">
        <v>12</v>
      </c>
      <c r="G72">
        <v>2</v>
      </c>
      <c r="H72" t="s">
        <v>1111</v>
      </c>
    </row>
    <row r="73" spans="1:8" x14ac:dyDescent="0.25">
      <c r="A73">
        <v>8</v>
      </c>
      <c r="B73" t="b">
        <v>0</v>
      </c>
      <c r="C73" s="6">
        <v>46319.520833333336</v>
      </c>
      <c r="D73" t="b">
        <v>0</v>
      </c>
      <c r="E73">
        <v>15</v>
      </c>
      <c r="F73">
        <v>2</v>
      </c>
      <c r="G73">
        <v>4</v>
      </c>
      <c r="H73" t="s">
        <v>1111</v>
      </c>
    </row>
    <row r="74" spans="1:8" x14ac:dyDescent="0.25">
      <c r="A74">
        <v>8</v>
      </c>
      <c r="B74" t="b">
        <v>0</v>
      </c>
      <c r="C74" s="6">
        <v>46319.625</v>
      </c>
      <c r="D74" t="b">
        <v>0</v>
      </c>
      <c r="E74">
        <v>9</v>
      </c>
      <c r="F74">
        <v>1</v>
      </c>
      <c r="G74">
        <v>5</v>
      </c>
      <c r="H74" t="s">
        <v>1111</v>
      </c>
    </row>
    <row r="75" spans="1:8" x14ac:dyDescent="0.25">
      <c r="A75">
        <v>8</v>
      </c>
      <c r="B75" t="b">
        <v>0</v>
      </c>
      <c r="C75" s="6">
        <v>46319.625</v>
      </c>
      <c r="D75" t="b">
        <v>0</v>
      </c>
      <c r="E75">
        <v>10</v>
      </c>
      <c r="F75">
        <v>7</v>
      </c>
      <c r="G75">
        <v>2</v>
      </c>
      <c r="H75" t="s">
        <v>1111</v>
      </c>
    </row>
    <row r="76" spans="1:8" x14ac:dyDescent="0.25">
      <c r="A76">
        <v>8</v>
      </c>
      <c r="B76" t="b">
        <v>0</v>
      </c>
      <c r="C76" s="6">
        <v>46319.729166666664</v>
      </c>
      <c r="D76" t="b">
        <v>0</v>
      </c>
      <c r="E76">
        <v>19</v>
      </c>
      <c r="F76">
        <v>6</v>
      </c>
      <c r="G76">
        <v>4</v>
      </c>
      <c r="H76" t="s">
        <v>1111</v>
      </c>
    </row>
    <row r="77" spans="1:8" x14ac:dyDescent="0.25">
      <c r="A77">
        <v>8</v>
      </c>
      <c r="B77" t="b">
        <v>0</v>
      </c>
      <c r="C77" s="6">
        <v>46320.583333333336</v>
      </c>
      <c r="D77" t="b">
        <v>0</v>
      </c>
      <c r="E77">
        <v>17</v>
      </c>
      <c r="F77">
        <v>8</v>
      </c>
      <c r="G77">
        <v>3</v>
      </c>
      <c r="H77" t="s">
        <v>1111</v>
      </c>
    </row>
    <row r="78" spans="1:8" x14ac:dyDescent="0.25">
      <c r="A78">
        <v>8</v>
      </c>
      <c r="B78" t="b">
        <v>0</v>
      </c>
      <c r="C78" s="6">
        <v>46320.583333333336</v>
      </c>
      <c r="D78" t="b">
        <v>0</v>
      </c>
      <c r="E78">
        <v>4</v>
      </c>
      <c r="F78">
        <v>11</v>
      </c>
      <c r="G78">
        <v>2</v>
      </c>
      <c r="H78" t="s">
        <v>1111</v>
      </c>
    </row>
    <row r="79" spans="1:8" x14ac:dyDescent="0.25">
      <c r="A79">
        <v>8</v>
      </c>
      <c r="B79" t="b">
        <v>0</v>
      </c>
      <c r="C79" s="6">
        <v>46320.583333333336</v>
      </c>
      <c r="D79" t="b">
        <v>0</v>
      </c>
      <c r="E79">
        <v>5</v>
      </c>
      <c r="F79">
        <v>14</v>
      </c>
      <c r="G79">
        <v>4</v>
      </c>
      <c r="H79" t="s">
        <v>1111</v>
      </c>
    </row>
    <row r="80" spans="1:8" x14ac:dyDescent="0.25">
      <c r="A80">
        <v>8</v>
      </c>
      <c r="B80" t="b">
        <v>0</v>
      </c>
      <c r="C80" s="6">
        <v>46320.583333333336</v>
      </c>
      <c r="D80" t="b">
        <v>0</v>
      </c>
      <c r="E80">
        <v>3</v>
      </c>
      <c r="F80">
        <v>16</v>
      </c>
      <c r="G80">
        <v>4</v>
      </c>
      <c r="H80" t="s">
        <v>1111</v>
      </c>
    </row>
    <row r="81" spans="1:8" x14ac:dyDescent="0.25">
      <c r="A81">
        <v>8</v>
      </c>
      <c r="B81" t="b">
        <v>0</v>
      </c>
      <c r="C81" s="6">
        <v>46320.6875</v>
      </c>
      <c r="D81" t="b">
        <v>0</v>
      </c>
      <c r="E81">
        <v>13</v>
      </c>
      <c r="F81">
        <v>20</v>
      </c>
      <c r="G81">
        <v>3</v>
      </c>
      <c r="H81" t="s">
        <v>1111</v>
      </c>
    </row>
    <row r="82" spans="1:8" x14ac:dyDescent="0.25">
      <c r="A82">
        <v>9</v>
      </c>
      <c r="B82" t="b">
        <v>0</v>
      </c>
      <c r="C82" s="6">
        <v>46326.520833333336</v>
      </c>
      <c r="D82" t="b">
        <v>0</v>
      </c>
      <c r="E82">
        <v>16</v>
      </c>
      <c r="F82">
        <v>6</v>
      </c>
      <c r="G82">
        <v>4</v>
      </c>
      <c r="H82" t="s">
        <v>1111</v>
      </c>
    </row>
    <row r="83" spans="1:8" x14ac:dyDescent="0.25">
      <c r="A83">
        <v>9</v>
      </c>
      <c r="B83" t="b">
        <v>0</v>
      </c>
      <c r="C83" s="6">
        <v>46326.625</v>
      </c>
      <c r="D83" t="b">
        <v>0</v>
      </c>
      <c r="E83">
        <v>13</v>
      </c>
      <c r="F83">
        <v>3</v>
      </c>
      <c r="G83">
        <v>3</v>
      </c>
      <c r="H83" t="s">
        <v>1111</v>
      </c>
    </row>
    <row r="84" spans="1:8" x14ac:dyDescent="0.25">
      <c r="A84">
        <v>9</v>
      </c>
      <c r="B84" t="b">
        <v>0</v>
      </c>
      <c r="C84" s="6">
        <v>46326.625</v>
      </c>
      <c r="D84" t="b">
        <v>0</v>
      </c>
      <c r="E84">
        <v>18</v>
      </c>
      <c r="F84">
        <v>4</v>
      </c>
      <c r="G84">
        <v>3</v>
      </c>
      <c r="H84" t="s">
        <v>1111</v>
      </c>
    </row>
    <row r="85" spans="1:8" x14ac:dyDescent="0.25">
      <c r="A85">
        <v>9</v>
      </c>
      <c r="B85" t="b">
        <v>0</v>
      </c>
      <c r="C85" s="6">
        <v>46326.625</v>
      </c>
      <c r="D85" t="b">
        <v>0</v>
      </c>
      <c r="E85">
        <v>20</v>
      </c>
      <c r="F85">
        <v>7</v>
      </c>
      <c r="G85">
        <v>2</v>
      </c>
      <c r="H85" t="s">
        <v>1111</v>
      </c>
    </row>
    <row r="86" spans="1:8" x14ac:dyDescent="0.25">
      <c r="A86">
        <v>9</v>
      </c>
      <c r="B86" t="b">
        <v>0</v>
      </c>
      <c r="C86" s="6">
        <v>46326.625</v>
      </c>
      <c r="D86" t="b">
        <v>0</v>
      </c>
      <c r="E86">
        <v>12</v>
      </c>
      <c r="F86">
        <v>11</v>
      </c>
      <c r="G86">
        <v>2</v>
      </c>
      <c r="H86" t="s">
        <v>1111</v>
      </c>
    </row>
    <row r="87" spans="1:8" x14ac:dyDescent="0.25">
      <c r="A87">
        <v>9</v>
      </c>
      <c r="B87" t="b">
        <v>0</v>
      </c>
      <c r="C87" s="6">
        <v>46326.625</v>
      </c>
      <c r="D87" t="b">
        <v>0</v>
      </c>
      <c r="E87">
        <v>5</v>
      </c>
      <c r="F87">
        <v>15</v>
      </c>
      <c r="G87">
        <v>5</v>
      </c>
      <c r="H87" t="s">
        <v>1111</v>
      </c>
    </row>
    <row r="88" spans="1:8" x14ac:dyDescent="0.25">
      <c r="A88">
        <v>9</v>
      </c>
      <c r="B88" t="b">
        <v>0</v>
      </c>
      <c r="C88" s="6">
        <v>46326.729166666664</v>
      </c>
      <c r="D88" t="b">
        <v>0</v>
      </c>
      <c r="E88">
        <v>8</v>
      </c>
      <c r="F88">
        <v>19</v>
      </c>
      <c r="G88">
        <v>3</v>
      </c>
      <c r="H88" t="s">
        <v>1111</v>
      </c>
    </row>
    <row r="89" spans="1:8" x14ac:dyDescent="0.25">
      <c r="A89">
        <v>9</v>
      </c>
      <c r="B89" t="b">
        <v>0</v>
      </c>
      <c r="C89" s="6">
        <v>46326.833333333336</v>
      </c>
      <c r="D89" t="b">
        <v>0</v>
      </c>
      <c r="E89">
        <v>10</v>
      </c>
      <c r="F89">
        <v>2</v>
      </c>
      <c r="G89">
        <v>4</v>
      </c>
      <c r="H89" t="s">
        <v>1111</v>
      </c>
    </row>
    <row r="90" spans="1:8" x14ac:dyDescent="0.25">
      <c r="A90">
        <v>9</v>
      </c>
      <c r="B90" t="b">
        <v>0</v>
      </c>
      <c r="C90" s="6">
        <v>46327.6875</v>
      </c>
      <c r="D90" t="b">
        <v>0</v>
      </c>
      <c r="E90">
        <v>1</v>
      </c>
      <c r="F90">
        <v>14</v>
      </c>
      <c r="G90">
        <v>4</v>
      </c>
      <c r="H90" t="s">
        <v>1111</v>
      </c>
    </row>
    <row r="91" spans="1:8" x14ac:dyDescent="0.25">
      <c r="A91">
        <v>9</v>
      </c>
      <c r="B91" t="b">
        <v>0</v>
      </c>
      <c r="C91" s="6">
        <v>46328.833333333336</v>
      </c>
      <c r="D91" t="b">
        <v>0</v>
      </c>
      <c r="E91">
        <v>9</v>
      </c>
      <c r="F91">
        <v>17</v>
      </c>
      <c r="G91">
        <v>3</v>
      </c>
      <c r="H91" t="s">
        <v>1111</v>
      </c>
    </row>
    <row r="92" spans="1:8" x14ac:dyDescent="0.25">
      <c r="A92">
        <v>10</v>
      </c>
      <c r="B92" t="b">
        <v>0</v>
      </c>
      <c r="C92" s="6">
        <v>46333.625</v>
      </c>
      <c r="D92" t="b">
        <v>0</v>
      </c>
      <c r="E92">
        <v>11</v>
      </c>
      <c r="F92">
        <v>1</v>
      </c>
      <c r="G92">
        <v>5</v>
      </c>
      <c r="H92" t="s">
        <v>1111</v>
      </c>
    </row>
    <row r="93" spans="1:8" x14ac:dyDescent="0.25">
      <c r="A93">
        <v>10</v>
      </c>
      <c r="B93" t="b">
        <v>0</v>
      </c>
      <c r="C93" s="6">
        <v>46333.625</v>
      </c>
      <c r="D93" t="b">
        <v>0</v>
      </c>
      <c r="E93">
        <v>4</v>
      </c>
      <c r="F93">
        <v>5</v>
      </c>
      <c r="G93">
        <v>3</v>
      </c>
      <c r="H93" t="s">
        <v>1111</v>
      </c>
    </row>
    <row r="94" spans="1:8" x14ac:dyDescent="0.25">
      <c r="A94">
        <v>10</v>
      </c>
      <c r="B94" t="b">
        <v>0</v>
      </c>
      <c r="C94" s="6">
        <v>46333.625</v>
      </c>
      <c r="D94" t="b">
        <v>0</v>
      </c>
      <c r="E94">
        <v>14</v>
      </c>
      <c r="F94">
        <v>8</v>
      </c>
      <c r="G94">
        <v>3</v>
      </c>
      <c r="H94" t="s">
        <v>1111</v>
      </c>
    </row>
    <row r="95" spans="1:8" x14ac:dyDescent="0.25">
      <c r="A95">
        <v>10</v>
      </c>
      <c r="B95" t="b">
        <v>0</v>
      </c>
      <c r="C95" s="6">
        <v>46333.625</v>
      </c>
      <c r="D95" t="b">
        <v>0</v>
      </c>
      <c r="E95">
        <v>7</v>
      </c>
      <c r="F95">
        <v>9</v>
      </c>
      <c r="G95">
        <v>3</v>
      </c>
      <c r="H95" t="s">
        <v>1111</v>
      </c>
    </row>
    <row r="96" spans="1:8" x14ac:dyDescent="0.25">
      <c r="A96">
        <v>10</v>
      </c>
      <c r="B96" t="b">
        <v>0</v>
      </c>
      <c r="C96" s="6">
        <v>46333.625</v>
      </c>
      <c r="D96" t="b">
        <v>0</v>
      </c>
      <c r="E96">
        <v>17</v>
      </c>
      <c r="F96">
        <v>10</v>
      </c>
      <c r="G96">
        <v>3</v>
      </c>
      <c r="H96" t="s">
        <v>1111</v>
      </c>
    </row>
    <row r="97" spans="1:8" x14ac:dyDescent="0.25">
      <c r="A97">
        <v>10</v>
      </c>
      <c r="B97" t="b">
        <v>0</v>
      </c>
      <c r="C97" s="6">
        <v>46333.625</v>
      </c>
      <c r="D97" t="b">
        <v>0</v>
      </c>
      <c r="E97">
        <v>3</v>
      </c>
      <c r="F97">
        <v>12</v>
      </c>
      <c r="G97">
        <v>2</v>
      </c>
      <c r="H97" t="s">
        <v>1111</v>
      </c>
    </row>
    <row r="98" spans="1:8" x14ac:dyDescent="0.25">
      <c r="A98">
        <v>10</v>
      </c>
      <c r="B98" t="b">
        <v>0</v>
      </c>
      <c r="C98" s="6">
        <v>46333.625</v>
      </c>
      <c r="D98" t="b">
        <v>0</v>
      </c>
      <c r="E98">
        <v>19</v>
      </c>
      <c r="F98">
        <v>13</v>
      </c>
      <c r="G98">
        <v>3</v>
      </c>
      <c r="H98" t="s">
        <v>1111</v>
      </c>
    </row>
    <row r="99" spans="1:8" x14ac:dyDescent="0.25">
      <c r="A99">
        <v>10</v>
      </c>
      <c r="B99" t="b">
        <v>0</v>
      </c>
      <c r="C99" s="6">
        <v>46333.625</v>
      </c>
      <c r="D99" t="b">
        <v>0</v>
      </c>
      <c r="E99">
        <v>2</v>
      </c>
      <c r="F99">
        <v>16</v>
      </c>
      <c r="G99">
        <v>4</v>
      </c>
      <c r="H99" t="s">
        <v>1111</v>
      </c>
    </row>
    <row r="100" spans="1:8" x14ac:dyDescent="0.25">
      <c r="A100">
        <v>10</v>
      </c>
      <c r="B100" t="b">
        <v>0</v>
      </c>
      <c r="C100" s="6">
        <v>46333.625</v>
      </c>
      <c r="D100" t="b">
        <v>0</v>
      </c>
      <c r="E100">
        <v>15</v>
      </c>
      <c r="F100">
        <v>18</v>
      </c>
      <c r="G100">
        <v>3</v>
      </c>
      <c r="H100" t="s">
        <v>1111</v>
      </c>
    </row>
    <row r="101" spans="1:8" x14ac:dyDescent="0.25">
      <c r="A101">
        <v>10</v>
      </c>
      <c r="B101" t="b">
        <v>0</v>
      </c>
      <c r="C101" s="6">
        <v>46333.625</v>
      </c>
      <c r="D101" t="b">
        <v>0</v>
      </c>
      <c r="E101">
        <v>6</v>
      </c>
      <c r="F101">
        <v>20</v>
      </c>
      <c r="G101">
        <v>3</v>
      </c>
      <c r="H101" t="s">
        <v>1111</v>
      </c>
    </row>
    <row r="102" spans="1:8" x14ac:dyDescent="0.25">
      <c r="A102">
        <v>11</v>
      </c>
      <c r="B102" t="b">
        <v>0</v>
      </c>
      <c r="C102" s="6">
        <v>46347.625</v>
      </c>
      <c r="D102" t="b">
        <v>0</v>
      </c>
      <c r="E102">
        <v>20</v>
      </c>
      <c r="F102">
        <v>2</v>
      </c>
      <c r="G102">
        <v>4</v>
      </c>
      <c r="H102" t="s">
        <v>1111</v>
      </c>
    </row>
    <row r="103" spans="1:8" x14ac:dyDescent="0.25">
      <c r="A103">
        <v>11</v>
      </c>
      <c r="B103" t="b">
        <v>0</v>
      </c>
      <c r="C103" s="6">
        <v>46347.625</v>
      </c>
      <c r="D103" t="b">
        <v>0</v>
      </c>
      <c r="E103">
        <v>18</v>
      </c>
      <c r="F103">
        <v>3</v>
      </c>
      <c r="G103">
        <v>3</v>
      </c>
      <c r="H103" t="s">
        <v>1111</v>
      </c>
    </row>
    <row r="104" spans="1:8" x14ac:dyDescent="0.25">
      <c r="A104">
        <v>11</v>
      </c>
      <c r="B104" t="b">
        <v>0</v>
      </c>
      <c r="C104" s="6">
        <v>46347.625</v>
      </c>
      <c r="D104" t="b">
        <v>0</v>
      </c>
      <c r="E104">
        <v>9</v>
      </c>
      <c r="F104">
        <v>4</v>
      </c>
      <c r="G104">
        <v>3</v>
      </c>
      <c r="H104" t="s">
        <v>1111</v>
      </c>
    </row>
    <row r="105" spans="1:8" x14ac:dyDescent="0.25">
      <c r="A105">
        <v>11</v>
      </c>
      <c r="B105" t="b">
        <v>0</v>
      </c>
      <c r="C105" s="6">
        <v>46347.625</v>
      </c>
      <c r="D105" t="b">
        <v>0</v>
      </c>
      <c r="E105">
        <v>13</v>
      </c>
      <c r="F105">
        <v>6</v>
      </c>
      <c r="G105">
        <v>4</v>
      </c>
      <c r="H105" t="s">
        <v>1111</v>
      </c>
    </row>
    <row r="106" spans="1:8" x14ac:dyDescent="0.25">
      <c r="A106">
        <v>11</v>
      </c>
      <c r="B106" t="b">
        <v>0</v>
      </c>
      <c r="C106" s="6">
        <v>46347.625</v>
      </c>
      <c r="D106" t="b">
        <v>0</v>
      </c>
      <c r="E106">
        <v>8</v>
      </c>
      <c r="F106">
        <v>7</v>
      </c>
      <c r="G106">
        <v>2</v>
      </c>
      <c r="H106" t="s">
        <v>1111</v>
      </c>
    </row>
    <row r="107" spans="1:8" x14ac:dyDescent="0.25">
      <c r="A107">
        <v>11</v>
      </c>
      <c r="B107" t="b">
        <v>0</v>
      </c>
      <c r="C107" s="6">
        <v>46347.625</v>
      </c>
      <c r="D107" t="b">
        <v>0</v>
      </c>
      <c r="E107">
        <v>5</v>
      </c>
      <c r="F107">
        <v>11</v>
      </c>
      <c r="G107">
        <v>2</v>
      </c>
      <c r="H107" t="s">
        <v>1111</v>
      </c>
    </row>
    <row r="108" spans="1:8" x14ac:dyDescent="0.25">
      <c r="A108">
        <v>11</v>
      </c>
      <c r="B108" t="b">
        <v>0</v>
      </c>
      <c r="C108" s="6">
        <v>46347.625</v>
      </c>
      <c r="D108" t="b">
        <v>0</v>
      </c>
      <c r="E108">
        <v>16</v>
      </c>
      <c r="F108">
        <v>14</v>
      </c>
      <c r="G108">
        <v>4</v>
      </c>
      <c r="H108" t="s">
        <v>1111</v>
      </c>
    </row>
    <row r="109" spans="1:8" x14ac:dyDescent="0.25">
      <c r="A109">
        <v>11</v>
      </c>
      <c r="B109" t="b">
        <v>0</v>
      </c>
      <c r="C109" s="6">
        <v>46347.625</v>
      </c>
      <c r="D109" t="b">
        <v>0</v>
      </c>
      <c r="E109">
        <v>10</v>
      </c>
      <c r="F109">
        <v>15</v>
      </c>
      <c r="G109">
        <v>5</v>
      </c>
      <c r="H109" t="s">
        <v>1111</v>
      </c>
    </row>
    <row r="110" spans="1:8" x14ac:dyDescent="0.25">
      <c r="A110">
        <v>11</v>
      </c>
      <c r="B110" t="b">
        <v>0</v>
      </c>
      <c r="C110" s="6">
        <v>46347.625</v>
      </c>
      <c r="D110" t="b">
        <v>0</v>
      </c>
      <c r="E110">
        <v>1</v>
      </c>
      <c r="F110">
        <v>17</v>
      </c>
      <c r="G110">
        <v>3</v>
      </c>
      <c r="H110" t="s">
        <v>1111</v>
      </c>
    </row>
    <row r="111" spans="1:8" x14ac:dyDescent="0.25">
      <c r="A111">
        <v>11</v>
      </c>
      <c r="B111" t="b">
        <v>0</v>
      </c>
      <c r="C111" s="6">
        <v>46347.625</v>
      </c>
      <c r="D111" t="b">
        <v>0</v>
      </c>
      <c r="E111">
        <v>12</v>
      </c>
      <c r="F111">
        <v>19</v>
      </c>
      <c r="G111">
        <v>3</v>
      </c>
      <c r="H111" t="s">
        <v>1111</v>
      </c>
    </row>
    <row r="112" spans="1:8" x14ac:dyDescent="0.25">
      <c r="A112">
        <v>12</v>
      </c>
      <c r="B112" t="b">
        <v>0</v>
      </c>
      <c r="C112" s="6">
        <v>46354.625</v>
      </c>
      <c r="D112" t="b">
        <v>0</v>
      </c>
      <c r="E112">
        <v>15</v>
      </c>
      <c r="F112">
        <v>1</v>
      </c>
      <c r="G112">
        <v>5</v>
      </c>
      <c r="H112" t="s">
        <v>1111</v>
      </c>
    </row>
    <row r="113" spans="1:8" x14ac:dyDescent="0.25">
      <c r="A113">
        <v>12</v>
      </c>
      <c r="B113" t="b">
        <v>0</v>
      </c>
      <c r="C113" s="6">
        <v>46354.625</v>
      </c>
      <c r="D113" t="b">
        <v>0</v>
      </c>
      <c r="E113">
        <v>17</v>
      </c>
      <c r="F113">
        <v>5</v>
      </c>
      <c r="G113">
        <v>3</v>
      </c>
      <c r="H113" t="s">
        <v>1111</v>
      </c>
    </row>
    <row r="114" spans="1:8" x14ac:dyDescent="0.25">
      <c r="A114">
        <v>12</v>
      </c>
      <c r="B114" t="b">
        <v>0</v>
      </c>
      <c r="C114" s="6">
        <v>46354.625</v>
      </c>
      <c r="D114" t="b">
        <v>0</v>
      </c>
      <c r="E114">
        <v>11</v>
      </c>
      <c r="F114">
        <v>8</v>
      </c>
      <c r="G114">
        <v>3</v>
      </c>
      <c r="H114" t="s">
        <v>1111</v>
      </c>
    </row>
    <row r="115" spans="1:8" x14ac:dyDescent="0.25">
      <c r="A115">
        <v>12</v>
      </c>
      <c r="B115" t="b">
        <v>0</v>
      </c>
      <c r="C115" s="6">
        <v>46354.625</v>
      </c>
      <c r="D115" t="b">
        <v>0</v>
      </c>
      <c r="E115">
        <v>14</v>
      </c>
      <c r="F115">
        <v>9</v>
      </c>
      <c r="G115">
        <v>3</v>
      </c>
      <c r="H115" t="s">
        <v>1111</v>
      </c>
    </row>
    <row r="116" spans="1:8" x14ac:dyDescent="0.25">
      <c r="A116">
        <v>12</v>
      </c>
      <c r="B116" t="b">
        <v>0</v>
      </c>
      <c r="C116" s="6">
        <v>46354.625</v>
      </c>
      <c r="D116" t="b">
        <v>0</v>
      </c>
      <c r="E116">
        <v>3</v>
      </c>
      <c r="F116">
        <v>10</v>
      </c>
      <c r="G116">
        <v>3</v>
      </c>
      <c r="H116" t="s">
        <v>1111</v>
      </c>
    </row>
    <row r="117" spans="1:8" x14ac:dyDescent="0.25">
      <c r="A117">
        <v>12</v>
      </c>
      <c r="B117" t="b">
        <v>0</v>
      </c>
      <c r="C117" s="6">
        <v>46354.625</v>
      </c>
      <c r="D117" t="b">
        <v>0</v>
      </c>
      <c r="E117">
        <v>2</v>
      </c>
      <c r="F117">
        <v>12</v>
      </c>
      <c r="G117">
        <v>2</v>
      </c>
      <c r="H117" t="s">
        <v>1111</v>
      </c>
    </row>
    <row r="118" spans="1:8" x14ac:dyDescent="0.25">
      <c r="A118">
        <v>12</v>
      </c>
      <c r="B118" t="b">
        <v>0</v>
      </c>
      <c r="C118" s="6">
        <v>46354.625</v>
      </c>
      <c r="D118" t="b">
        <v>0</v>
      </c>
      <c r="E118">
        <v>7</v>
      </c>
      <c r="F118">
        <v>13</v>
      </c>
      <c r="G118">
        <v>3</v>
      </c>
      <c r="H118" t="s">
        <v>1111</v>
      </c>
    </row>
    <row r="119" spans="1:8" x14ac:dyDescent="0.25">
      <c r="A119">
        <v>12</v>
      </c>
      <c r="B119" t="b">
        <v>0</v>
      </c>
      <c r="C119" s="6">
        <v>46354.625</v>
      </c>
      <c r="D119" t="b">
        <v>0</v>
      </c>
      <c r="E119">
        <v>4</v>
      </c>
      <c r="F119">
        <v>16</v>
      </c>
      <c r="G119">
        <v>4</v>
      </c>
      <c r="H119" t="s">
        <v>1111</v>
      </c>
    </row>
    <row r="120" spans="1:8" x14ac:dyDescent="0.25">
      <c r="A120">
        <v>12</v>
      </c>
      <c r="B120" t="b">
        <v>0</v>
      </c>
      <c r="C120" s="6">
        <v>46354.625</v>
      </c>
      <c r="D120" t="b">
        <v>0</v>
      </c>
      <c r="E120">
        <v>6</v>
      </c>
      <c r="F120">
        <v>18</v>
      </c>
      <c r="G120">
        <v>3</v>
      </c>
      <c r="H120" t="s">
        <v>1111</v>
      </c>
    </row>
    <row r="121" spans="1:8" x14ac:dyDescent="0.25">
      <c r="A121">
        <v>12</v>
      </c>
      <c r="B121" t="b">
        <v>0</v>
      </c>
      <c r="C121" s="6">
        <v>46354.625</v>
      </c>
      <c r="D121" t="b">
        <v>0</v>
      </c>
      <c r="E121">
        <v>19</v>
      </c>
      <c r="F121">
        <v>20</v>
      </c>
      <c r="G121">
        <v>3</v>
      </c>
      <c r="H121" t="s">
        <v>1111</v>
      </c>
    </row>
    <row r="122" spans="1:8" x14ac:dyDescent="0.25">
      <c r="A122">
        <v>13</v>
      </c>
      <c r="B122" t="b">
        <v>0</v>
      </c>
      <c r="C122" s="6">
        <v>46358.833333333336</v>
      </c>
      <c r="D122" t="b">
        <v>0</v>
      </c>
      <c r="E122">
        <v>9</v>
      </c>
      <c r="F122">
        <v>2</v>
      </c>
      <c r="G122">
        <v>4</v>
      </c>
      <c r="H122" t="s">
        <v>1111</v>
      </c>
    </row>
    <row r="123" spans="1:8" x14ac:dyDescent="0.25">
      <c r="A123">
        <v>13</v>
      </c>
      <c r="B123" t="b">
        <v>0</v>
      </c>
      <c r="C123" s="6">
        <v>46358.833333333336</v>
      </c>
      <c r="D123" t="b">
        <v>0</v>
      </c>
      <c r="E123">
        <v>5</v>
      </c>
      <c r="F123">
        <v>3</v>
      </c>
      <c r="G123">
        <v>3</v>
      </c>
      <c r="H123" t="s">
        <v>1111</v>
      </c>
    </row>
    <row r="124" spans="1:8" x14ac:dyDescent="0.25">
      <c r="A124">
        <v>13</v>
      </c>
      <c r="B124" t="b">
        <v>0</v>
      </c>
      <c r="C124" s="6">
        <v>46358.833333333336</v>
      </c>
      <c r="D124" t="b">
        <v>0</v>
      </c>
      <c r="E124">
        <v>1</v>
      </c>
      <c r="F124">
        <v>4</v>
      </c>
      <c r="G124">
        <v>3</v>
      </c>
      <c r="H124" t="s">
        <v>1111</v>
      </c>
    </row>
    <row r="125" spans="1:8" x14ac:dyDescent="0.25">
      <c r="A125">
        <v>13</v>
      </c>
      <c r="B125" t="b">
        <v>0</v>
      </c>
      <c r="C125" s="6">
        <v>46358.833333333336</v>
      </c>
      <c r="D125" t="b">
        <v>0</v>
      </c>
      <c r="E125">
        <v>8</v>
      </c>
      <c r="F125">
        <v>6</v>
      </c>
      <c r="G125">
        <v>4</v>
      </c>
      <c r="H125" t="s">
        <v>1111</v>
      </c>
    </row>
    <row r="126" spans="1:8" x14ac:dyDescent="0.25">
      <c r="A126">
        <v>13</v>
      </c>
      <c r="B126" t="b">
        <v>0</v>
      </c>
      <c r="C126" s="6">
        <v>46358.833333333336</v>
      </c>
      <c r="D126" t="b">
        <v>0</v>
      </c>
      <c r="E126">
        <v>12</v>
      </c>
      <c r="F126">
        <v>7</v>
      </c>
      <c r="G126">
        <v>2</v>
      </c>
      <c r="H126" t="s">
        <v>1111</v>
      </c>
    </row>
    <row r="127" spans="1:8" x14ac:dyDescent="0.25">
      <c r="A127">
        <v>13</v>
      </c>
      <c r="B127" t="b">
        <v>0</v>
      </c>
      <c r="C127" s="6">
        <v>46358.833333333336</v>
      </c>
      <c r="D127" t="b">
        <v>0</v>
      </c>
      <c r="E127">
        <v>18</v>
      </c>
      <c r="F127">
        <v>11</v>
      </c>
      <c r="G127">
        <v>2</v>
      </c>
      <c r="H127" t="s">
        <v>1111</v>
      </c>
    </row>
    <row r="128" spans="1:8" x14ac:dyDescent="0.25">
      <c r="A128">
        <v>13</v>
      </c>
      <c r="B128" t="b">
        <v>0</v>
      </c>
      <c r="C128" s="6">
        <v>46358.833333333336</v>
      </c>
      <c r="D128" t="b">
        <v>0</v>
      </c>
      <c r="E128">
        <v>20</v>
      </c>
      <c r="F128">
        <v>14</v>
      </c>
      <c r="G128">
        <v>4</v>
      </c>
      <c r="H128" t="s">
        <v>1111</v>
      </c>
    </row>
    <row r="129" spans="1:8" x14ac:dyDescent="0.25">
      <c r="A129">
        <v>13</v>
      </c>
      <c r="B129" t="b">
        <v>0</v>
      </c>
      <c r="C129" s="6">
        <v>46358.833333333336</v>
      </c>
      <c r="D129" t="b">
        <v>0</v>
      </c>
      <c r="E129">
        <v>13</v>
      </c>
      <c r="F129">
        <v>15</v>
      </c>
      <c r="G129">
        <v>5</v>
      </c>
      <c r="H129" t="s">
        <v>1111</v>
      </c>
    </row>
    <row r="130" spans="1:8" x14ac:dyDescent="0.25">
      <c r="A130">
        <v>13</v>
      </c>
      <c r="B130" t="b">
        <v>0</v>
      </c>
      <c r="C130" s="6">
        <v>46358.833333333336</v>
      </c>
      <c r="D130" t="b">
        <v>0</v>
      </c>
      <c r="E130">
        <v>16</v>
      </c>
      <c r="F130">
        <v>17</v>
      </c>
      <c r="G130">
        <v>3</v>
      </c>
      <c r="H130" t="s">
        <v>1111</v>
      </c>
    </row>
    <row r="131" spans="1:8" x14ac:dyDescent="0.25">
      <c r="A131">
        <v>13</v>
      </c>
      <c r="B131" t="b">
        <v>0</v>
      </c>
      <c r="C131" s="6">
        <v>46358.833333333336</v>
      </c>
      <c r="D131" t="b">
        <v>0</v>
      </c>
      <c r="E131">
        <v>10</v>
      </c>
      <c r="F131">
        <v>19</v>
      </c>
      <c r="G131">
        <v>3</v>
      </c>
      <c r="H131" t="s">
        <v>1111</v>
      </c>
    </row>
    <row r="132" spans="1:8" x14ac:dyDescent="0.25">
      <c r="A132">
        <v>14</v>
      </c>
      <c r="B132" t="b">
        <v>0</v>
      </c>
      <c r="C132" s="6">
        <v>46361.625</v>
      </c>
      <c r="D132" t="b">
        <v>0</v>
      </c>
      <c r="E132">
        <v>8</v>
      </c>
      <c r="F132">
        <v>2</v>
      </c>
      <c r="G132">
        <v>4</v>
      </c>
      <c r="H132" t="s">
        <v>1111</v>
      </c>
    </row>
    <row r="133" spans="1:8" x14ac:dyDescent="0.25">
      <c r="A133">
        <v>14</v>
      </c>
      <c r="B133" t="b">
        <v>0</v>
      </c>
      <c r="C133" s="6">
        <v>46361.625</v>
      </c>
      <c r="D133" t="b">
        <v>0</v>
      </c>
      <c r="E133">
        <v>11</v>
      </c>
      <c r="F133">
        <v>3</v>
      </c>
      <c r="G133">
        <v>3</v>
      </c>
      <c r="H133" t="s">
        <v>1111</v>
      </c>
    </row>
    <row r="134" spans="1:8" x14ac:dyDescent="0.25">
      <c r="A134">
        <v>14</v>
      </c>
      <c r="B134" t="b">
        <v>0</v>
      </c>
      <c r="C134" s="6">
        <v>46361.625</v>
      </c>
      <c r="D134" t="b">
        <v>0</v>
      </c>
      <c r="E134">
        <v>15</v>
      </c>
      <c r="F134">
        <v>4</v>
      </c>
      <c r="G134">
        <v>3</v>
      </c>
      <c r="H134" t="s">
        <v>1111</v>
      </c>
    </row>
    <row r="135" spans="1:8" x14ac:dyDescent="0.25">
      <c r="A135">
        <v>14</v>
      </c>
      <c r="B135" t="b">
        <v>0</v>
      </c>
      <c r="C135" s="6">
        <v>46361.625</v>
      </c>
      <c r="D135" t="b">
        <v>0</v>
      </c>
      <c r="E135">
        <v>14</v>
      </c>
      <c r="F135">
        <v>6</v>
      </c>
      <c r="G135">
        <v>4</v>
      </c>
      <c r="H135" t="s">
        <v>1111</v>
      </c>
    </row>
    <row r="136" spans="1:8" x14ac:dyDescent="0.25">
      <c r="A136">
        <v>14</v>
      </c>
      <c r="B136" t="b">
        <v>0</v>
      </c>
      <c r="C136" s="6">
        <v>46361.625</v>
      </c>
      <c r="D136" t="b">
        <v>0</v>
      </c>
      <c r="E136">
        <v>10</v>
      </c>
      <c r="F136">
        <v>9</v>
      </c>
      <c r="G136">
        <v>3</v>
      </c>
      <c r="H136" t="s">
        <v>1111</v>
      </c>
    </row>
    <row r="137" spans="1:8" x14ac:dyDescent="0.25">
      <c r="A137">
        <v>14</v>
      </c>
      <c r="B137" t="b">
        <v>0</v>
      </c>
      <c r="C137" s="6">
        <v>46361.625</v>
      </c>
      <c r="D137" t="b">
        <v>0</v>
      </c>
      <c r="E137">
        <v>12</v>
      </c>
      <c r="F137">
        <v>13</v>
      </c>
      <c r="G137">
        <v>3</v>
      </c>
      <c r="H137" t="s">
        <v>1111</v>
      </c>
    </row>
    <row r="138" spans="1:8" x14ac:dyDescent="0.25">
      <c r="A138">
        <v>14</v>
      </c>
      <c r="B138" t="b">
        <v>0</v>
      </c>
      <c r="C138" s="6">
        <v>46361.625</v>
      </c>
      <c r="D138" t="b">
        <v>0</v>
      </c>
      <c r="E138">
        <v>7</v>
      </c>
      <c r="F138">
        <v>16</v>
      </c>
      <c r="G138">
        <v>4</v>
      </c>
      <c r="H138" t="s">
        <v>1111</v>
      </c>
    </row>
    <row r="139" spans="1:8" x14ac:dyDescent="0.25">
      <c r="A139">
        <v>14</v>
      </c>
      <c r="B139" t="b">
        <v>0</v>
      </c>
      <c r="C139" s="6">
        <v>46361.625</v>
      </c>
      <c r="D139" t="b">
        <v>0</v>
      </c>
      <c r="E139">
        <v>20</v>
      </c>
      <c r="F139">
        <v>17</v>
      </c>
      <c r="G139">
        <v>3</v>
      </c>
      <c r="H139" t="s">
        <v>1111</v>
      </c>
    </row>
    <row r="140" spans="1:8" x14ac:dyDescent="0.25">
      <c r="A140">
        <v>14</v>
      </c>
      <c r="B140" t="b">
        <v>0</v>
      </c>
      <c r="C140" s="6">
        <v>46361.625</v>
      </c>
      <c r="D140" t="b">
        <v>0</v>
      </c>
      <c r="E140">
        <v>5</v>
      </c>
      <c r="F140">
        <v>18</v>
      </c>
      <c r="G140">
        <v>3</v>
      </c>
      <c r="H140" t="s">
        <v>1111</v>
      </c>
    </row>
    <row r="141" spans="1:8" x14ac:dyDescent="0.25">
      <c r="A141">
        <v>14</v>
      </c>
      <c r="B141" t="b">
        <v>0</v>
      </c>
      <c r="C141" s="6">
        <v>46361.625</v>
      </c>
      <c r="D141" t="b">
        <v>0</v>
      </c>
      <c r="E141">
        <v>1</v>
      </c>
      <c r="F141">
        <v>19</v>
      </c>
      <c r="G141">
        <v>3</v>
      </c>
      <c r="H141" t="s">
        <v>1111</v>
      </c>
    </row>
    <row r="142" spans="1:8" x14ac:dyDescent="0.25">
      <c r="A142">
        <v>15</v>
      </c>
      <c r="B142" t="b">
        <v>0</v>
      </c>
      <c r="C142" s="6">
        <v>46368.625</v>
      </c>
      <c r="D142" t="b">
        <v>0</v>
      </c>
      <c r="E142">
        <v>3</v>
      </c>
      <c r="F142">
        <v>1</v>
      </c>
      <c r="G142">
        <v>5</v>
      </c>
      <c r="H142" t="s">
        <v>1111</v>
      </c>
    </row>
    <row r="143" spans="1:8" x14ac:dyDescent="0.25">
      <c r="A143">
        <v>15</v>
      </c>
      <c r="B143" t="b">
        <v>0</v>
      </c>
      <c r="C143" s="6">
        <v>46368.625</v>
      </c>
      <c r="D143" t="b">
        <v>0</v>
      </c>
      <c r="E143">
        <v>9</v>
      </c>
      <c r="F143">
        <v>5</v>
      </c>
      <c r="G143">
        <v>3</v>
      </c>
      <c r="H143" t="s">
        <v>1111</v>
      </c>
    </row>
    <row r="144" spans="1:8" x14ac:dyDescent="0.25">
      <c r="A144">
        <v>15</v>
      </c>
      <c r="B144" t="b">
        <v>0</v>
      </c>
      <c r="C144" s="6">
        <v>46368.625</v>
      </c>
      <c r="D144" t="b">
        <v>0</v>
      </c>
      <c r="E144">
        <v>2</v>
      </c>
      <c r="F144">
        <v>7</v>
      </c>
      <c r="G144">
        <v>2</v>
      </c>
      <c r="H144" t="s">
        <v>1111</v>
      </c>
    </row>
    <row r="145" spans="1:8" x14ac:dyDescent="0.25">
      <c r="A145">
        <v>15</v>
      </c>
      <c r="B145" t="b">
        <v>0</v>
      </c>
      <c r="C145" s="6">
        <v>46368.625</v>
      </c>
      <c r="D145" t="b">
        <v>0</v>
      </c>
      <c r="E145">
        <v>16</v>
      </c>
      <c r="F145">
        <v>8</v>
      </c>
      <c r="G145">
        <v>3</v>
      </c>
      <c r="H145" t="s">
        <v>1111</v>
      </c>
    </row>
    <row r="146" spans="1:8" x14ac:dyDescent="0.25">
      <c r="A146">
        <v>15</v>
      </c>
      <c r="B146" t="b">
        <v>0</v>
      </c>
      <c r="C146" s="6">
        <v>46368.625</v>
      </c>
      <c r="D146" t="b">
        <v>0</v>
      </c>
      <c r="E146">
        <v>4</v>
      </c>
      <c r="F146">
        <v>10</v>
      </c>
      <c r="G146">
        <v>3</v>
      </c>
      <c r="H146" t="s">
        <v>1111</v>
      </c>
    </row>
    <row r="147" spans="1:8" x14ac:dyDescent="0.25">
      <c r="A147">
        <v>15</v>
      </c>
      <c r="B147" t="b">
        <v>0</v>
      </c>
      <c r="C147" s="6">
        <v>46368.625</v>
      </c>
      <c r="D147" t="b">
        <v>0</v>
      </c>
      <c r="E147">
        <v>19</v>
      </c>
      <c r="F147">
        <v>11</v>
      </c>
      <c r="G147">
        <v>2</v>
      </c>
      <c r="H147" t="s">
        <v>1111</v>
      </c>
    </row>
    <row r="148" spans="1:8" x14ac:dyDescent="0.25">
      <c r="A148">
        <v>15</v>
      </c>
      <c r="B148" t="b">
        <v>0</v>
      </c>
      <c r="C148" s="6">
        <v>46368.625</v>
      </c>
      <c r="D148" t="b">
        <v>0</v>
      </c>
      <c r="E148">
        <v>17</v>
      </c>
      <c r="F148">
        <v>12</v>
      </c>
      <c r="G148">
        <v>2</v>
      </c>
      <c r="H148" t="s">
        <v>1111</v>
      </c>
    </row>
    <row r="149" spans="1:8" x14ac:dyDescent="0.25">
      <c r="A149">
        <v>15</v>
      </c>
      <c r="B149" t="b">
        <v>0</v>
      </c>
      <c r="C149" s="6">
        <v>46368.625</v>
      </c>
      <c r="D149" t="b">
        <v>0</v>
      </c>
      <c r="E149">
        <v>13</v>
      </c>
      <c r="F149">
        <v>14</v>
      </c>
      <c r="G149">
        <v>4</v>
      </c>
      <c r="H149" t="s">
        <v>1111</v>
      </c>
    </row>
    <row r="150" spans="1:8" x14ac:dyDescent="0.25">
      <c r="A150">
        <v>15</v>
      </c>
      <c r="B150" t="b">
        <v>0</v>
      </c>
      <c r="C150" s="6">
        <v>46368.625</v>
      </c>
      <c r="D150" t="b">
        <v>0</v>
      </c>
      <c r="E150">
        <v>6</v>
      </c>
      <c r="F150">
        <v>15</v>
      </c>
      <c r="G150">
        <v>5</v>
      </c>
      <c r="H150" t="s">
        <v>1111</v>
      </c>
    </row>
    <row r="151" spans="1:8" x14ac:dyDescent="0.25">
      <c r="A151">
        <v>15</v>
      </c>
      <c r="B151" t="b">
        <v>0</v>
      </c>
      <c r="C151" s="6">
        <v>46368.625</v>
      </c>
      <c r="D151" t="b">
        <v>0</v>
      </c>
      <c r="E151">
        <v>18</v>
      </c>
      <c r="F151">
        <v>20</v>
      </c>
      <c r="G151">
        <v>3</v>
      </c>
      <c r="H151" t="s">
        <v>1111</v>
      </c>
    </row>
    <row r="152" spans="1:8" x14ac:dyDescent="0.25">
      <c r="A152">
        <v>16</v>
      </c>
      <c r="B152" t="b">
        <v>0</v>
      </c>
      <c r="C152" s="6">
        <v>46375.625</v>
      </c>
      <c r="D152" t="b">
        <v>0</v>
      </c>
      <c r="E152">
        <v>16</v>
      </c>
      <c r="F152">
        <v>1</v>
      </c>
      <c r="G152">
        <v>5</v>
      </c>
      <c r="H152" t="s">
        <v>1111</v>
      </c>
    </row>
    <row r="153" spans="1:8" x14ac:dyDescent="0.25">
      <c r="A153">
        <v>16</v>
      </c>
      <c r="B153" t="b">
        <v>0</v>
      </c>
      <c r="C153" s="6">
        <v>46375.625</v>
      </c>
      <c r="D153" t="b">
        <v>0</v>
      </c>
      <c r="E153">
        <v>7</v>
      </c>
      <c r="F153">
        <v>3</v>
      </c>
      <c r="G153">
        <v>3</v>
      </c>
      <c r="H153" t="s">
        <v>1111</v>
      </c>
    </row>
    <row r="154" spans="1:8" x14ac:dyDescent="0.25">
      <c r="A154">
        <v>16</v>
      </c>
      <c r="B154" t="b">
        <v>0</v>
      </c>
      <c r="C154" s="6">
        <v>46375.625</v>
      </c>
      <c r="D154" t="b">
        <v>0</v>
      </c>
      <c r="E154">
        <v>17</v>
      </c>
      <c r="F154">
        <v>4</v>
      </c>
      <c r="G154">
        <v>3</v>
      </c>
      <c r="H154" t="s">
        <v>1111</v>
      </c>
    </row>
    <row r="155" spans="1:8" x14ac:dyDescent="0.25">
      <c r="A155">
        <v>16</v>
      </c>
      <c r="B155" t="b">
        <v>0</v>
      </c>
      <c r="C155" s="6">
        <v>46375.625</v>
      </c>
      <c r="D155" t="b">
        <v>0</v>
      </c>
      <c r="E155">
        <v>12</v>
      </c>
      <c r="F155">
        <v>5</v>
      </c>
      <c r="G155">
        <v>3</v>
      </c>
      <c r="H155" t="s">
        <v>1111</v>
      </c>
    </row>
    <row r="156" spans="1:8" x14ac:dyDescent="0.25">
      <c r="A156">
        <v>16</v>
      </c>
      <c r="B156" t="b">
        <v>0</v>
      </c>
      <c r="C156" s="6">
        <v>46375.625</v>
      </c>
      <c r="D156" t="b">
        <v>0</v>
      </c>
      <c r="E156">
        <v>2</v>
      </c>
      <c r="F156">
        <v>6</v>
      </c>
      <c r="G156">
        <v>4</v>
      </c>
      <c r="H156" t="s">
        <v>1111</v>
      </c>
    </row>
    <row r="157" spans="1:8" x14ac:dyDescent="0.25">
      <c r="A157">
        <v>16</v>
      </c>
      <c r="B157" t="b">
        <v>0</v>
      </c>
      <c r="C157" s="6">
        <v>46375.625</v>
      </c>
      <c r="D157" t="b">
        <v>0</v>
      </c>
      <c r="E157">
        <v>10</v>
      </c>
      <c r="F157">
        <v>13</v>
      </c>
      <c r="G157">
        <v>3</v>
      </c>
      <c r="H157" t="s">
        <v>1111</v>
      </c>
    </row>
    <row r="158" spans="1:8" x14ac:dyDescent="0.25">
      <c r="A158">
        <v>16</v>
      </c>
      <c r="B158" t="b">
        <v>0</v>
      </c>
      <c r="C158" s="6">
        <v>46375.625</v>
      </c>
      <c r="D158" t="b">
        <v>0</v>
      </c>
      <c r="E158">
        <v>19</v>
      </c>
      <c r="F158">
        <v>14</v>
      </c>
      <c r="G158">
        <v>4</v>
      </c>
      <c r="H158" t="s">
        <v>1111</v>
      </c>
    </row>
    <row r="159" spans="1:8" x14ac:dyDescent="0.25">
      <c r="A159">
        <v>16</v>
      </c>
      <c r="B159" t="b">
        <v>0</v>
      </c>
      <c r="C159" s="6">
        <v>46375.625</v>
      </c>
      <c r="D159" t="b">
        <v>0</v>
      </c>
      <c r="E159">
        <v>11</v>
      </c>
      <c r="F159">
        <v>15</v>
      </c>
      <c r="G159">
        <v>5</v>
      </c>
      <c r="H159" t="s">
        <v>1111</v>
      </c>
    </row>
    <row r="160" spans="1:8" x14ac:dyDescent="0.25">
      <c r="A160">
        <v>16</v>
      </c>
      <c r="B160" t="b">
        <v>0</v>
      </c>
      <c r="C160" s="6">
        <v>46375.625</v>
      </c>
      <c r="D160" t="b">
        <v>0</v>
      </c>
      <c r="E160">
        <v>9</v>
      </c>
      <c r="F160">
        <v>18</v>
      </c>
      <c r="G160">
        <v>3</v>
      </c>
      <c r="H160" t="s">
        <v>1111</v>
      </c>
    </row>
    <row r="161" spans="1:8" x14ac:dyDescent="0.25">
      <c r="A161">
        <v>16</v>
      </c>
      <c r="B161" t="b">
        <v>0</v>
      </c>
      <c r="C161" s="6">
        <v>46375.625</v>
      </c>
      <c r="D161" t="b">
        <v>0</v>
      </c>
      <c r="E161">
        <v>8</v>
      </c>
      <c r="F161">
        <v>20</v>
      </c>
      <c r="G161">
        <v>3</v>
      </c>
      <c r="H161" t="s">
        <v>1111</v>
      </c>
    </row>
    <row r="162" spans="1:8" x14ac:dyDescent="0.25">
      <c r="A162">
        <v>17</v>
      </c>
      <c r="B162" t="b">
        <v>0</v>
      </c>
      <c r="C162" s="6">
        <v>46382.625</v>
      </c>
      <c r="D162" t="b">
        <v>0</v>
      </c>
      <c r="E162">
        <v>13</v>
      </c>
      <c r="F162">
        <v>2</v>
      </c>
      <c r="G162">
        <v>4</v>
      </c>
      <c r="H162" t="s">
        <v>1111</v>
      </c>
    </row>
    <row r="163" spans="1:8" x14ac:dyDescent="0.25">
      <c r="A163">
        <v>17</v>
      </c>
      <c r="B163" t="b">
        <v>0</v>
      </c>
      <c r="C163" s="6">
        <v>46382.625</v>
      </c>
      <c r="D163" t="b">
        <v>0</v>
      </c>
      <c r="E163">
        <v>6</v>
      </c>
      <c r="F163">
        <v>7</v>
      </c>
      <c r="G163">
        <v>2</v>
      </c>
      <c r="H163" t="s">
        <v>1111</v>
      </c>
    </row>
    <row r="164" spans="1:8" x14ac:dyDescent="0.25">
      <c r="A164">
        <v>17</v>
      </c>
      <c r="B164" t="b">
        <v>0</v>
      </c>
      <c r="C164" s="6">
        <v>46382.625</v>
      </c>
      <c r="D164" t="b">
        <v>0</v>
      </c>
      <c r="E164">
        <v>1</v>
      </c>
      <c r="F164">
        <v>8</v>
      </c>
      <c r="G164">
        <v>3</v>
      </c>
      <c r="H164" t="s">
        <v>1111</v>
      </c>
    </row>
    <row r="165" spans="1:8" x14ac:dyDescent="0.25">
      <c r="A165">
        <v>17</v>
      </c>
      <c r="B165" t="b">
        <v>0</v>
      </c>
      <c r="C165" s="6">
        <v>46382.625</v>
      </c>
      <c r="D165" t="b">
        <v>0</v>
      </c>
      <c r="E165">
        <v>20</v>
      </c>
      <c r="F165">
        <v>9</v>
      </c>
      <c r="G165">
        <v>3</v>
      </c>
      <c r="H165" t="s">
        <v>1111</v>
      </c>
    </row>
    <row r="166" spans="1:8" x14ac:dyDescent="0.25">
      <c r="A166">
        <v>17</v>
      </c>
      <c r="B166" t="b">
        <v>0</v>
      </c>
      <c r="C166" s="6">
        <v>46382.625</v>
      </c>
      <c r="D166" t="b">
        <v>0</v>
      </c>
      <c r="E166">
        <v>5</v>
      </c>
      <c r="F166">
        <v>10</v>
      </c>
      <c r="G166">
        <v>3</v>
      </c>
      <c r="H166" t="s">
        <v>1111</v>
      </c>
    </row>
    <row r="167" spans="1:8" x14ac:dyDescent="0.25">
      <c r="A167">
        <v>17</v>
      </c>
      <c r="B167" t="b">
        <v>0</v>
      </c>
      <c r="C167" s="6">
        <v>46382.625</v>
      </c>
      <c r="D167" t="b">
        <v>0</v>
      </c>
      <c r="E167">
        <v>14</v>
      </c>
      <c r="F167">
        <v>11</v>
      </c>
      <c r="G167">
        <v>2</v>
      </c>
      <c r="H167" t="s">
        <v>1111</v>
      </c>
    </row>
    <row r="168" spans="1:8" x14ac:dyDescent="0.25">
      <c r="A168">
        <v>17</v>
      </c>
      <c r="B168" t="b">
        <v>0</v>
      </c>
      <c r="C168" s="6">
        <v>46382.625</v>
      </c>
      <c r="D168" t="b">
        <v>0</v>
      </c>
      <c r="E168">
        <v>4</v>
      </c>
      <c r="F168">
        <v>12</v>
      </c>
      <c r="G168">
        <v>2</v>
      </c>
      <c r="H168" t="s">
        <v>1111</v>
      </c>
    </row>
    <row r="169" spans="1:8" x14ac:dyDescent="0.25">
      <c r="A169">
        <v>17</v>
      </c>
      <c r="B169" t="b">
        <v>0</v>
      </c>
      <c r="C169" s="6">
        <v>46382.625</v>
      </c>
      <c r="D169" t="b">
        <v>0</v>
      </c>
      <c r="E169">
        <v>18</v>
      </c>
      <c r="F169">
        <v>16</v>
      </c>
      <c r="G169">
        <v>4</v>
      </c>
      <c r="H169" t="s">
        <v>1111</v>
      </c>
    </row>
    <row r="170" spans="1:8" x14ac:dyDescent="0.25">
      <c r="A170">
        <v>17</v>
      </c>
      <c r="B170" t="b">
        <v>0</v>
      </c>
      <c r="C170" s="6">
        <v>46382.625</v>
      </c>
      <c r="D170" t="b">
        <v>0</v>
      </c>
      <c r="E170">
        <v>15</v>
      </c>
      <c r="F170">
        <v>17</v>
      </c>
      <c r="G170">
        <v>3</v>
      </c>
      <c r="H170" t="s">
        <v>1111</v>
      </c>
    </row>
    <row r="171" spans="1:8" x14ac:dyDescent="0.25">
      <c r="A171">
        <v>17</v>
      </c>
      <c r="B171" t="b">
        <v>0</v>
      </c>
      <c r="C171" s="6">
        <v>46382.625</v>
      </c>
      <c r="D171" t="b">
        <v>0</v>
      </c>
      <c r="E171">
        <v>3</v>
      </c>
      <c r="F171">
        <v>19</v>
      </c>
      <c r="G171">
        <v>3</v>
      </c>
      <c r="H171" t="s">
        <v>1111</v>
      </c>
    </row>
    <row r="172" spans="1:8" x14ac:dyDescent="0.25">
      <c r="A172">
        <v>18</v>
      </c>
      <c r="B172" t="b">
        <v>0</v>
      </c>
      <c r="C172" s="6">
        <v>46386.833333333336</v>
      </c>
      <c r="D172" t="b">
        <v>0</v>
      </c>
      <c r="E172">
        <v>14</v>
      </c>
      <c r="F172">
        <v>2</v>
      </c>
      <c r="G172">
        <v>4</v>
      </c>
      <c r="H172" t="s">
        <v>1111</v>
      </c>
    </row>
    <row r="173" spans="1:8" x14ac:dyDescent="0.25">
      <c r="A173">
        <v>18</v>
      </c>
      <c r="B173" t="b">
        <v>0</v>
      </c>
      <c r="C173" s="6">
        <v>46386.833333333336</v>
      </c>
      <c r="D173" t="b">
        <v>0</v>
      </c>
      <c r="E173">
        <v>4</v>
      </c>
      <c r="F173">
        <v>7</v>
      </c>
      <c r="G173">
        <v>2</v>
      </c>
      <c r="H173" t="s">
        <v>1111</v>
      </c>
    </row>
    <row r="174" spans="1:8" x14ac:dyDescent="0.25">
      <c r="A174">
        <v>18</v>
      </c>
      <c r="B174" t="b">
        <v>0</v>
      </c>
      <c r="C174" s="6">
        <v>46386.833333333336</v>
      </c>
      <c r="D174" t="b">
        <v>0</v>
      </c>
      <c r="E174">
        <v>3</v>
      </c>
      <c r="F174">
        <v>8</v>
      </c>
      <c r="G174">
        <v>3</v>
      </c>
      <c r="H174" t="s">
        <v>1111</v>
      </c>
    </row>
    <row r="175" spans="1:8" x14ac:dyDescent="0.25">
      <c r="A175">
        <v>18</v>
      </c>
      <c r="B175" t="b">
        <v>0</v>
      </c>
      <c r="C175" s="6">
        <v>46386.833333333336</v>
      </c>
      <c r="D175" t="b">
        <v>0</v>
      </c>
      <c r="E175">
        <v>15</v>
      </c>
      <c r="F175">
        <v>9</v>
      </c>
      <c r="G175">
        <v>3</v>
      </c>
      <c r="H175" t="s">
        <v>1111</v>
      </c>
    </row>
    <row r="176" spans="1:8" x14ac:dyDescent="0.25">
      <c r="A176">
        <v>18</v>
      </c>
      <c r="B176" t="b">
        <v>0</v>
      </c>
      <c r="C176" s="6">
        <v>46386.833333333336</v>
      </c>
      <c r="D176" t="b">
        <v>0</v>
      </c>
      <c r="E176">
        <v>1</v>
      </c>
      <c r="F176">
        <v>10</v>
      </c>
      <c r="G176">
        <v>3</v>
      </c>
      <c r="H176" t="s">
        <v>1111</v>
      </c>
    </row>
    <row r="177" spans="1:8" x14ac:dyDescent="0.25">
      <c r="A177">
        <v>18</v>
      </c>
      <c r="B177" t="b">
        <v>0</v>
      </c>
      <c r="C177" s="6">
        <v>46386.833333333336</v>
      </c>
      <c r="D177" t="b">
        <v>0</v>
      </c>
      <c r="E177">
        <v>13</v>
      </c>
      <c r="F177">
        <v>11</v>
      </c>
      <c r="G177">
        <v>2</v>
      </c>
      <c r="H177" t="s">
        <v>1111</v>
      </c>
    </row>
    <row r="178" spans="1:8" x14ac:dyDescent="0.25">
      <c r="A178">
        <v>18</v>
      </c>
      <c r="B178" t="b">
        <v>0</v>
      </c>
      <c r="C178" s="6">
        <v>46386.833333333336</v>
      </c>
      <c r="D178" t="b">
        <v>0</v>
      </c>
      <c r="E178">
        <v>6</v>
      </c>
      <c r="F178">
        <v>12</v>
      </c>
      <c r="G178">
        <v>2</v>
      </c>
      <c r="H178" t="s">
        <v>1111</v>
      </c>
    </row>
    <row r="179" spans="1:8" x14ac:dyDescent="0.25">
      <c r="A179">
        <v>18</v>
      </c>
      <c r="B179" t="b">
        <v>0</v>
      </c>
      <c r="C179" s="6">
        <v>46386.833333333336</v>
      </c>
      <c r="D179" t="b">
        <v>0</v>
      </c>
      <c r="E179">
        <v>20</v>
      </c>
      <c r="F179">
        <v>16</v>
      </c>
      <c r="G179">
        <v>4</v>
      </c>
      <c r="H179" t="s">
        <v>1111</v>
      </c>
    </row>
    <row r="180" spans="1:8" x14ac:dyDescent="0.25">
      <c r="A180">
        <v>18</v>
      </c>
      <c r="B180" t="b">
        <v>0</v>
      </c>
      <c r="C180" s="6">
        <v>46386.833333333336</v>
      </c>
      <c r="D180" t="b">
        <v>0</v>
      </c>
      <c r="E180">
        <v>18</v>
      </c>
      <c r="F180">
        <v>17</v>
      </c>
      <c r="G180">
        <v>3</v>
      </c>
      <c r="H180" t="s">
        <v>1111</v>
      </c>
    </row>
    <row r="181" spans="1:8" x14ac:dyDescent="0.25">
      <c r="A181">
        <v>18</v>
      </c>
      <c r="B181" t="b">
        <v>0</v>
      </c>
      <c r="C181" s="6">
        <v>46386.833333333336</v>
      </c>
      <c r="D181" t="b">
        <v>0</v>
      </c>
      <c r="E181">
        <v>5</v>
      </c>
      <c r="F181">
        <v>19</v>
      </c>
      <c r="G181">
        <v>3</v>
      </c>
      <c r="H181" t="s">
        <v>1111</v>
      </c>
    </row>
    <row r="182" spans="1:8" x14ac:dyDescent="0.25">
      <c r="A182">
        <v>19</v>
      </c>
      <c r="B182" t="b">
        <v>0</v>
      </c>
      <c r="C182" s="6">
        <v>46389.625</v>
      </c>
      <c r="D182" t="b">
        <v>0</v>
      </c>
      <c r="E182">
        <v>12</v>
      </c>
      <c r="F182">
        <v>1</v>
      </c>
      <c r="G182">
        <v>5</v>
      </c>
      <c r="H182" t="s">
        <v>1111</v>
      </c>
    </row>
    <row r="183" spans="1:8" x14ac:dyDescent="0.25">
      <c r="A183">
        <v>19</v>
      </c>
      <c r="B183" t="b">
        <v>0</v>
      </c>
      <c r="C183" s="6">
        <v>46389.625</v>
      </c>
      <c r="D183" t="b">
        <v>0</v>
      </c>
      <c r="E183">
        <v>2</v>
      </c>
      <c r="F183">
        <v>3</v>
      </c>
      <c r="G183">
        <v>3</v>
      </c>
      <c r="H183" t="s">
        <v>1111</v>
      </c>
    </row>
    <row r="184" spans="1:8" x14ac:dyDescent="0.25">
      <c r="A184">
        <v>19</v>
      </c>
      <c r="B184" t="b">
        <v>0</v>
      </c>
      <c r="C184" s="6">
        <v>46389.625</v>
      </c>
      <c r="D184" t="b">
        <v>0</v>
      </c>
      <c r="E184">
        <v>8</v>
      </c>
      <c r="F184">
        <v>4</v>
      </c>
      <c r="G184">
        <v>3</v>
      </c>
      <c r="H184" t="s">
        <v>1111</v>
      </c>
    </row>
    <row r="185" spans="1:8" x14ac:dyDescent="0.25">
      <c r="A185">
        <v>19</v>
      </c>
      <c r="B185" t="b">
        <v>0</v>
      </c>
      <c r="C185" s="6">
        <v>46389.625</v>
      </c>
      <c r="D185" t="b">
        <v>0</v>
      </c>
      <c r="E185">
        <v>16</v>
      </c>
      <c r="F185">
        <v>5</v>
      </c>
      <c r="G185">
        <v>3</v>
      </c>
      <c r="H185" t="s">
        <v>1111</v>
      </c>
    </row>
    <row r="186" spans="1:8" x14ac:dyDescent="0.25">
      <c r="A186">
        <v>19</v>
      </c>
      <c r="B186" t="b">
        <v>0</v>
      </c>
      <c r="C186" s="6">
        <v>46389.625</v>
      </c>
      <c r="D186" t="b">
        <v>0</v>
      </c>
      <c r="E186">
        <v>17</v>
      </c>
      <c r="F186">
        <v>6</v>
      </c>
      <c r="G186">
        <v>4</v>
      </c>
      <c r="H186" t="s">
        <v>1111</v>
      </c>
    </row>
    <row r="187" spans="1:8" x14ac:dyDescent="0.25">
      <c r="A187">
        <v>19</v>
      </c>
      <c r="B187" t="b">
        <v>0</v>
      </c>
      <c r="C187" s="6">
        <v>46389.625</v>
      </c>
      <c r="D187" t="b">
        <v>0</v>
      </c>
      <c r="E187">
        <v>9</v>
      </c>
      <c r="F187">
        <v>13</v>
      </c>
      <c r="G187">
        <v>3</v>
      </c>
      <c r="H187" t="s">
        <v>1111</v>
      </c>
    </row>
    <row r="188" spans="1:8" x14ac:dyDescent="0.25">
      <c r="A188">
        <v>19</v>
      </c>
      <c r="B188" t="b">
        <v>0</v>
      </c>
      <c r="C188" s="6">
        <v>46389.625</v>
      </c>
      <c r="D188" t="b">
        <v>0</v>
      </c>
      <c r="E188">
        <v>7</v>
      </c>
      <c r="F188">
        <v>14</v>
      </c>
      <c r="G188">
        <v>4</v>
      </c>
      <c r="H188" t="s">
        <v>1111</v>
      </c>
    </row>
    <row r="189" spans="1:8" x14ac:dyDescent="0.25">
      <c r="A189">
        <v>19</v>
      </c>
      <c r="B189" t="b">
        <v>0</v>
      </c>
      <c r="C189" s="6">
        <v>46389.625</v>
      </c>
      <c r="D189" t="b">
        <v>0</v>
      </c>
      <c r="E189">
        <v>19</v>
      </c>
      <c r="F189">
        <v>15</v>
      </c>
      <c r="G189">
        <v>5</v>
      </c>
      <c r="H189" t="s">
        <v>1111</v>
      </c>
    </row>
    <row r="190" spans="1:8" x14ac:dyDescent="0.25">
      <c r="A190">
        <v>19</v>
      </c>
      <c r="B190" t="b">
        <v>0</v>
      </c>
      <c r="C190" s="6">
        <v>46389.625</v>
      </c>
      <c r="D190" t="b">
        <v>0</v>
      </c>
      <c r="E190">
        <v>10</v>
      </c>
      <c r="F190">
        <v>18</v>
      </c>
      <c r="G190">
        <v>3</v>
      </c>
      <c r="H190" t="s">
        <v>1111</v>
      </c>
    </row>
    <row r="191" spans="1:8" x14ac:dyDescent="0.25">
      <c r="A191">
        <v>19</v>
      </c>
      <c r="B191" t="b">
        <v>0</v>
      </c>
      <c r="C191" s="6">
        <v>46389.625</v>
      </c>
      <c r="D191" t="b">
        <v>0</v>
      </c>
      <c r="E191">
        <v>11</v>
      </c>
      <c r="F191">
        <v>20</v>
      </c>
      <c r="G191">
        <v>3</v>
      </c>
      <c r="H191" t="s">
        <v>1111</v>
      </c>
    </row>
    <row r="192" spans="1:8" x14ac:dyDescent="0.25">
      <c r="A192">
        <v>20</v>
      </c>
      <c r="B192" t="b">
        <v>0</v>
      </c>
      <c r="C192" s="6">
        <v>46393.833333333336</v>
      </c>
      <c r="D192" t="b">
        <v>0</v>
      </c>
      <c r="E192">
        <v>4</v>
      </c>
      <c r="F192">
        <v>1</v>
      </c>
      <c r="G192">
        <v>5</v>
      </c>
      <c r="H192" t="s">
        <v>1111</v>
      </c>
    </row>
    <row r="193" spans="1:8" x14ac:dyDescent="0.25">
      <c r="A193">
        <v>20</v>
      </c>
      <c r="B193" t="b">
        <v>0</v>
      </c>
      <c r="C193" s="6">
        <v>46393.833333333336</v>
      </c>
      <c r="D193" t="b">
        <v>0</v>
      </c>
      <c r="E193">
        <v>3</v>
      </c>
      <c r="F193">
        <v>5</v>
      </c>
      <c r="G193">
        <v>3</v>
      </c>
      <c r="H193" t="s">
        <v>1111</v>
      </c>
    </row>
    <row r="194" spans="1:8" x14ac:dyDescent="0.25">
      <c r="A194">
        <v>20</v>
      </c>
      <c r="B194" t="b">
        <v>0</v>
      </c>
      <c r="C194" s="6">
        <v>46393.833333333336</v>
      </c>
      <c r="D194" t="b">
        <v>0</v>
      </c>
      <c r="E194">
        <v>6</v>
      </c>
      <c r="F194">
        <v>8</v>
      </c>
      <c r="G194">
        <v>3</v>
      </c>
      <c r="H194" t="s">
        <v>1111</v>
      </c>
    </row>
    <row r="195" spans="1:8" x14ac:dyDescent="0.25">
      <c r="A195">
        <v>20</v>
      </c>
      <c r="B195" t="b">
        <v>0</v>
      </c>
      <c r="C195" s="6">
        <v>46393.833333333336</v>
      </c>
      <c r="D195" t="b">
        <v>0</v>
      </c>
      <c r="E195">
        <v>2</v>
      </c>
      <c r="F195">
        <v>9</v>
      </c>
      <c r="G195">
        <v>3</v>
      </c>
      <c r="H195" t="s">
        <v>1111</v>
      </c>
    </row>
    <row r="196" spans="1:8" x14ac:dyDescent="0.25">
      <c r="A196">
        <v>20</v>
      </c>
      <c r="B196" t="b">
        <v>0</v>
      </c>
      <c r="C196" s="6">
        <v>46393.833333333336</v>
      </c>
      <c r="D196" t="b">
        <v>0</v>
      </c>
      <c r="E196">
        <v>19</v>
      </c>
      <c r="F196">
        <v>10</v>
      </c>
      <c r="G196">
        <v>3</v>
      </c>
      <c r="H196" t="s">
        <v>1111</v>
      </c>
    </row>
    <row r="197" spans="1:8" x14ac:dyDescent="0.25">
      <c r="A197">
        <v>20</v>
      </c>
      <c r="B197" t="b">
        <v>0</v>
      </c>
      <c r="C197" s="6">
        <v>46393.833333333336</v>
      </c>
      <c r="D197" t="b">
        <v>0</v>
      </c>
      <c r="E197">
        <v>7</v>
      </c>
      <c r="F197">
        <v>12</v>
      </c>
      <c r="G197">
        <v>2</v>
      </c>
      <c r="H197" t="s">
        <v>1111</v>
      </c>
    </row>
    <row r="198" spans="1:8" x14ac:dyDescent="0.25">
      <c r="A198">
        <v>20</v>
      </c>
      <c r="B198" t="b">
        <v>0</v>
      </c>
      <c r="C198" s="6">
        <v>46393.833333333336</v>
      </c>
      <c r="D198" t="b">
        <v>0</v>
      </c>
      <c r="E198">
        <v>15</v>
      </c>
      <c r="F198">
        <v>13</v>
      </c>
      <c r="G198">
        <v>3</v>
      </c>
      <c r="H198" t="s">
        <v>1111</v>
      </c>
    </row>
    <row r="199" spans="1:8" x14ac:dyDescent="0.25">
      <c r="A199">
        <v>20</v>
      </c>
      <c r="B199" t="b">
        <v>0</v>
      </c>
      <c r="C199" s="6">
        <v>46393.833333333336</v>
      </c>
      <c r="D199" t="b">
        <v>0</v>
      </c>
      <c r="E199">
        <v>17</v>
      </c>
      <c r="F199">
        <v>16</v>
      </c>
      <c r="G199">
        <v>4</v>
      </c>
      <c r="H199" t="s">
        <v>1111</v>
      </c>
    </row>
    <row r="200" spans="1:8" x14ac:dyDescent="0.25">
      <c r="A200">
        <v>20</v>
      </c>
      <c r="B200" t="b">
        <v>0</v>
      </c>
      <c r="C200" s="6">
        <v>46393.833333333336</v>
      </c>
      <c r="D200" t="b">
        <v>0</v>
      </c>
      <c r="E200">
        <v>11</v>
      </c>
      <c r="F200">
        <v>18</v>
      </c>
      <c r="G200">
        <v>3</v>
      </c>
      <c r="H200" t="s">
        <v>1111</v>
      </c>
    </row>
    <row r="201" spans="1:8" x14ac:dyDescent="0.25">
      <c r="A201">
        <v>20</v>
      </c>
      <c r="B201" t="b">
        <v>0</v>
      </c>
      <c r="C201" s="6">
        <v>46393.833333333336</v>
      </c>
      <c r="D201" t="b">
        <v>0</v>
      </c>
      <c r="E201">
        <v>14</v>
      </c>
      <c r="F201">
        <v>20</v>
      </c>
      <c r="G201">
        <v>3</v>
      </c>
      <c r="H201" t="s">
        <v>1111</v>
      </c>
    </row>
    <row r="202" spans="1:8" x14ac:dyDescent="0.25">
      <c r="A202">
        <v>21</v>
      </c>
      <c r="B202" t="b">
        <v>0</v>
      </c>
      <c r="C202" s="6">
        <v>46403.625</v>
      </c>
      <c r="D202" t="b">
        <v>0</v>
      </c>
      <c r="E202">
        <v>16</v>
      </c>
      <c r="F202">
        <v>2</v>
      </c>
      <c r="G202">
        <v>4</v>
      </c>
      <c r="H202" t="s">
        <v>1111</v>
      </c>
    </row>
    <row r="203" spans="1:8" x14ac:dyDescent="0.25">
      <c r="A203">
        <v>21</v>
      </c>
      <c r="B203" t="b">
        <v>0</v>
      </c>
      <c r="C203" s="6">
        <v>46403.625</v>
      </c>
      <c r="D203" t="b">
        <v>0</v>
      </c>
      <c r="E203">
        <v>12</v>
      </c>
      <c r="F203">
        <v>3</v>
      </c>
      <c r="G203">
        <v>3</v>
      </c>
      <c r="H203" t="s">
        <v>1111</v>
      </c>
    </row>
    <row r="204" spans="1:8" x14ac:dyDescent="0.25">
      <c r="A204">
        <v>21</v>
      </c>
      <c r="B204" t="b">
        <v>0</v>
      </c>
      <c r="C204" s="6">
        <v>46403.625</v>
      </c>
      <c r="D204" t="b">
        <v>0</v>
      </c>
      <c r="E204">
        <v>5</v>
      </c>
      <c r="F204">
        <v>4</v>
      </c>
      <c r="G204">
        <v>3</v>
      </c>
      <c r="H204" t="s">
        <v>1111</v>
      </c>
    </row>
    <row r="205" spans="1:8" x14ac:dyDescent="0.25">
      <c r="A205">
        <v>21</v>
      </c>
      <c r="B205" t="b">
        <v>0</v>
      </c>
      <c r="C205" s="6">
        <v>46403.625</v>
      </c>
      <c r="D205" t="b">
        <v>0</v>
      </c>
      <c r="E205">
        <v>20</v>
      </c>
      <c r="F205">
        <v>6</v>
      </c>
      <c r="G205">
        <v>4</v>
      </c>
      <c r="H205" t="s">
        <v>1111</v>
      </c>
    </row>
    <row r="206" spans="1:8" x14ac:dyDescent="0.25">
      <c r="A206">
        <v>21</v>
      </c>
      <c r="B206" t="b">
        <v>0</v>
      </c>
      <c r="C206" s="6">
        <v>46403.625</v>
      </c>
      <c r="D206" t="b">
        <v>0</v>
      </c>
      <c r="E206">
        <v>9</v>
      </c>
      <c r="F206">
        <v>7</v>
      </c>
      <c r="G206">
        <v>2</v>
      </c>
      <c r="H206" t="s">
        <v>1111</v>
      </c>
    </row>
    <row r="207" spans="1:8" x14ac:dyDescent="0.25">
      <c r="A207">
        <v>21</v>
      </c>
      <c r="B207" t="b">
        <v>0</v>
      </c>
      <c r="C207" s="6">
        <v>46403.625</v>
      </c>
      <c r="D207" t="b">
        <v>0</v>
      </c>
      <c r="E207">
        <v>1</v>
      </c>
      <c r="F207">
        <v>11</v>
      </c>
      <c r="G207">
        <v>2</v>
      </c>
      <c r="H207" t="s">
        <v>1111</v>
      </c>
    </row>
    <row r="208" spans="1:8" x14ac:dyDescent="0.25">
      <c r="A208">
        <v>21</v>
      </c>
      <c r="B208" t="b">
        <v>0</v>
      </c>
      <c r="C208" s="6">
        <v>46403.625</v>
      </c>
      <c r="D208" t="b">
        <v>0</v>
      </c>
      <c r="E208">
        <v>8</v>
      </c>
      <c r="F208">
        <v>14</v>
      </c>
      <c r="G208">
        <v>4</v>
      </c>
      <c r="H208" t="s">
        <v>1111</v>
      </c>
    </row>
    <row r="209" spans="1:8" x14ac:dyDescent="0.25">
      <c r="A209">
        <v>21</v>
      </c>
      <c r="B209" t="b">
        <v>0</v>
      </c>
      <c r="C209" s="6">
        <v>46403.625</v>
      </c>
      <c r="D209" t="b">
        <v>0</v>
      </c>
      <c r="E209">
        <v>18</v>
      </c>
      <c r="F209">
        <v>15</v>
      </c>
      <c r="G209">
        <v>5</v>
      </c>
      <c r="H209" t="s">
        <v>1111</v>
      </c>
    </row>
    <row r="210" spans="1:8" x14ac:dyDescent="0.25">
      <c r="A210">
        <v>21</v>
      </c>
      <c r="B210" t="b">
        <v>0</v>
      </c>
      <c r="C210" s="6">
        <v>46403.625</v>
      </c>
      <c r="D210" t="b">
        <v>0</v>
      </c>
      <c r="E210">
        <v>10</v>
      </c>
      <c r="F210">
        <v>17</v>
      </c>
      <c r="G210">
        <v>3</v>
      </c>
      <c r="H210" t="s">
        <v>1111</v>
      </c>
    </row>
    <row r="211" spans="1:8" x14ac:dyDescent="0.25">
      <c r="A211">
        <v>21</v>
      </c>
      <c r="B211" t="b">
        <v>0</v>
      </c>
      <c r="C211" s="6">
        <v>46403.625</v>
      </c>
      <c r="D211" t="b">
        <v>0</v>
      </c>
      <c r="E211">
        <v>13</v>
      </c>
      <c r="F211">
        <v>19</v>
      </c>
      <c r="G211">
        <v>3</v>
      </c>
      <c r="H211" t="s">
        <v>1111</v>
      </c>
    </row>
    <row r="212" spans="1:8" x14ac:dyDescent="0.25">
      <c r="A212">
        <v>22</v>
      </c>
      <c r="B212" t="b">
        <v>0</v>
      </c>
      <c r="C212" s="6">
        <v>46410.625</v>
      </c>
      <c r="D212" t="b">
        <v>0</v>
      </c>
      <c r="E212">
        <v>17</v>
      </c>
      <c r="F212">
        <v>1</v>
      </c>
      <c r="G212">
        <v>5</v>
      </c>
      <c r="H212" t="s">
        <v>1111</v>
      </c>
    </row>
    <row r="213" spans="1:8" x14ac:dyDescent="0.25">
      <c r="A213">
        <v>22</v>
      </c>
      <c r="B213" t="b">
        <v>0</v>
      </c>
      <c r="C213" s="6">
        <v>46410.625</v>
      </c>
      <c r="D213" t="b">
        <v>0</v>
      </c>
      <c r="E213">
        <v>15</v>
      </c>
      <c r="F213">
        <v>5</v>
      </c>
      <c r="G213">
        <v>3</v>
      </c>
      <c r="H213" t="s">
        <v>1111</v>
      </c>
    </row>
    <row r="214" spans="1:8" x14ac:dyDescent="0.25">
      <c r="A214">
        <v>22</v>
      </c>
      <c r="B214" t="b">
        <v>0</v>
      </c>
      <c r="C214" s="6">
        <v>46410.625</v>
      </c>
      <c r="D214" t="b">
        <v>0</v>
      </c>
      <c r="E214">
        <v>19</v>
      </c>
      <c r="F214">
        <v>8</v>
      </c>
      <c r="G214">
        <v>3</v>
      </c>
      <c r="H214" t="s">
        <v>1111</v>
      </c>
    </row>
    <row r="215" spans="1:8" x14ac:dyDescent="0.25">
      <c r="A215">
        <v>22</v>
      </c>
      <c r="B215" t="b">
        <v>0</v>
      </c>
      <c r="C215" s="6">
        <v>46410.625</v>
      </c>
      <c r="D215" t="b">
        <v>0</v>
      </c>
      <c r="E215">
        <v>4</v>
      </c>
      <c r="F215">
        <v>9</v>
      </c>
      <c r="G215">
        <v>3</v>
      </c>
      <c r="H215" t="s">
        <v>1111</v>
      </c>
    </row>
    <row r="216" spans="1:8" x14ac:dyDescent="0.25">
      <c r="A216">
        <v>22</v>
      </c>
      <c r="B216" t="b">
        <v>0</v>
      </c>
      <c r="C216" s="6">
        <v>46410.625</v>
      </c>
      <c r="D216" t="b">
        <v>0</v>
      </c>
      <c r="E216">
        <v>2</v>
      </c>
      <c r="F216">
        <v>10</v>
      </c>
      <c r="G216">
        <v>3</v>
      </c>
      <c r="H216" t="s">
        <v>1111</v>
      </c>
    </row>
    <row r="217" spans="1:8" x14ac:dyDescent="0.25">
      <c r="A217">
        <v>22</v>
      </c>
      <c r="B217" t="b">
        <v>0</v>
      </c>
      <c r="C217" s="6">
        <v>46410.625</v>
      </c>
      <c r="D217" t="b">
        <v>0</v>
      </c>
      <c r="E217">
        <v>11</v>
      </c>
      <c r="F217">
        <v>12</v>
      </c>
      <c r="G217">
        <v>2</v>
      </c>
      <c r="H217" t="s">
        <v>1111</v>
      </c>
    </row>
    <row r="218" spans="1:8" x14ac:dyDescent="0.25">
      <c r="A218">
        <v>22</v>
      </c>
      <c r="B218" t="b">
        <v>0</v>
      </c>
      <c r="C218" s="6">
        <v>46410.625</v>
      </c>
      <c r="D218" t="b">
        <v>0</v>
      </c>
      <c r="E218">
        <v>6</v>
      </c>
      <c r="F218">
        <v>13</v>
      </c>
      <c r="G218">
        <v>3</v>
      </c>
      <c r="H218" t="s">
        <v>1111</v>
      </c>
    </row>
    <row r="219" spans="1:8" x14ac:dyDescent="0.25">
      <c r="A219">
        <v>22</v>
      </c>
      <c r="B219" t="b">
        <v>0</v>
      </c>
      <c r="C219" s="6">
        <v>46410.625</v>
      </c>
      <c r="D219" t="b">
        <v>0</v>
      </c>
      <c r="E219">
        <v>14</v>
      </c>
      <c r="F219">
        <v>16</v>
      </c>
      <c r="G219">
        <v>4</v>
      </c>
      <c r="H219" t="s">
        <v>1111</v>
      </c>
    </row>
    <row r="220" spans="1:8" x14ac:dyDescent="0.25">
      <c r="A220">
        <v>22</v>
      </c>
      <c r="B220" t="b">
        <v>0</v>
      </c>
      <c r="C220" s="6">
        <v>46410.625</v>
      </c>
      <c r="D220" t="b">
        <v>0</v>
      </c>
      <c r="E220">
        <v>3</v>
      </c>
      <c r="F220">
        <v>18</v>
      </c>
      <c r="G220">
        <v>3</v>
      </c>
      <c r="H220" t="s">
        <v>1111</v>
      </c>
    </row>
    <row r="221" spans="1:8" x14ac:dyDescent="0.25">
      <c r="A221">
        <v>22</v>
      </c>
      <c r="B221" t="b">
        <v>0</v>
      </c>
      <c r="C221" s="6">
        <v>46410.625</v>
      </c>
      <c r="D221" t="b">
        <v>0</v>
      </c>
      <c r="E221">
        <v>7</v>
      </c>
      <c r="F221">
        <v>20</v>
      </c>
      <c r="G221">
        <v>3</v>
      </c>
      <c r="H221" t="s">
        <v>1111</v>
      </c>
    </row>
    <row r="222" spans="1:8" x14ac:dyDescent="0.25">
      <c r="A222">
        <v>23</v>
      </c>
      <c r="B222" t="b">
        <v>0</v>
      </c>
      <c r="C222" s="6">
        <v>46417.625</v>
      </c>
      <c r="D222" t="b">
        <v>0</v>
      </c>
      <c r="E222">
        <v>12</v>
      </c>
      <c r="F222">
        <v>2</v>
      </c>
      <c r="G222">
        <v>4</v>
      </c>
      <c r="H222" t="s">
        <v>1111</v>
      </c>
    </row>
    <row r="223" spans="1:8" x14ac:dyDescent="0.25">
      <c r="A223">
        <v>23</v>
      </c>
      <c r="B223" t="b">
        <v>0</v>
      </c>
      <c r="C223" s="6">
        <v>46417.625</v>
      </c>
      <c r="D223" t="b">
        <v>0</v>
      </c>
      <c r="E223">
        <v>10</v>
      </c>
      <c r="F223">
        <v>3</v>
      </c>
      <c r="G223">
        <v>3</v>
      </c>
      <c r="H223" t="s">
        <v>1111</v>
      </c>
    </row>
    <row r="224" spans="1:8" x14ac:dyDescent="0.25">
      <c r="A224">
        <v>23</v>
      </c>
      <c r="B224" t="b">
        <v>0</v>
      </c>
      <c r="C224" s="6">
        <v>46417.625</v>
      </c>
      <c r="D224" t="b">
        <v>0</v>
      </c>
      <c r="E224">
        <v>16</v>
      </c>
      <c r="F224">
        <v>4</v>
      </c>
      <c r="G224">
        <v>3</v>
      </c>
      <c r="H224" t="s">
        <v>1111</v>
      </c>
    </row>
    <row r="225" spans="1:8" x14ac:dyDescent="0.25">
      <c r="A225">
        <v>23</v>
      </c>
      <c r="B225" t="b">
        <v>0</v>
      </c>
      <c r="C225" s="6">
        <v>46417.625</v>
      </c>
      <c r="D225" t="b">
        <v>0</v>
      </c>
      <c r="E225">
        <v>18</v>
      </c>
      <c r="F225">
        <v>6</v>
      </c>
      <c r="G225">
        <v>4</v>
      </c>
      <c r="H225" t="s">
        <v>1111</v>
      </c>
    </row>
    <row r="226" spans="1:8" x14ac:dyDescent="0.25">
      <c r="A226">
        <v>23</v>
      </c>
      <c r="B226" t="b">
        <v>0</v>
      </c>
      <c r="C226" s="6">
        <v>46417.625</v>
      </c>
      <c r="D226" t="b">
        <v>0</v>
      </c>
      <c r="E226">
        <v>13</v>
      </c>
      <c r="F226">
        <v>7</v>
      </c>
      <c r="G226">
        <v>2</v>
      </c>
      <c r="H226" t="s">
        <v>1111</v>
      </c>
    </row>
    <row r="227" spans="1:8" x14ac:dyDescent="0.25">
      <c r="A227">
        <v>23</v>
      </c>
      <c r="B227" t="b">
        <v>0</v>
      </c>
      <c r="C227" s="6">
        <v>46417.625</v>
      </c>
      <c r="D227" t="b">
        <v>0</v>
      </c>
      <c r="E227">
        <v>8</v>
      </c>
      <c r="F227">
        <v>11</v>
      </c>
      <c r="G227">
        <v>2</v>
      </c>
      <c r="H227" t="s">
        <v>1111</v>
      </c>
    </row>
    <row r="228" spans="1:8" x14ac:dyDescent="0.25">
      <c r="A228">
        <v>23</v>
      </c>
      <c r="B228" t="b">
        <v>0</v>
      </c>
      <c r="C228" s="6">
        <v>46417.625</v>
      </c>
      <c r="D228" t="b">
        <v>0</v>
      </c>
      <c r="E228">
        <v>9</v>
      </c>
      <c r="F228">
        <v>14</v>
      </c>
      <c r="G228">
        <v>4</v>
      </c>
      <c r="H228" t="s">
        <v>1111</v>
      </c>
    </row>
    <row r="229" spans="1:8" x14ac:dyDescent="0.25">
      <c r="A229">
        <v>23</v>
      </c>
      <c r="B229" t="b">
        <v>0</v>
      </c>
      <c r="C229" s="6">
        <v>46417.625</v>
      </c>
      <c r="D229" t="b">
        <v>0</v>
      </c>
      <c r="E229">
        <v>1</v>
      </c>
      <c r="F229">
        <v>15</v>
      </c>
      <c r="G229">
        <v>5</v>
      </c>
      <c r="H229" t="s">
        <v>1111</v>
      </c>
    </row>
    <row r="230" spans="1:8" x14ac:dyDescent="0.25">
      <c r="A230">
        <v>23</v>
      </c>
      <c r="B230" t="b">
        <v>0</v>
      </c>
      <c r="C230" s="6">
        <v>46417.625</v>
      </c>
      <c r="D230" t="b">
        <v>0</v>
      </c>
      <c r="E230">
        <v>5</v>
      </c>
      <c r="F230">
        <v>17</v>
      </c>
      <c r="G230">
        <v>3</v>
      </c>
      <c r="H230" t="s">
        <v>1111</v>
      </c>
    </row>
    <row r="231" spans="1:8" x14ac:dyDescent="0.25">
      <c r="A231">
        <v>23</v>
      </c>
      <c r="B231" t="b">
        <v>0</v>
      </c>
      <c r="C231" s="6">
        <v>46417.625</v>
      </c>
      <c r="D231" t="b">
        <v>0</v>
      </c>
      <c r="E231">
        <v>20</v>
      </c>
      <c r="F231">
        <v>19</v>
      </c>
      <c r="G231">
        <v>3</v>
      </c>
      <c r="H231" t="s">
        <v>1111</v>
      </c>
    </row>
    <row r="232" spans="1:8" x14ac:dyDescent="0.25">
      <c r="A232">
        <v>24</v>
      </c>
      <c r="B232" t="b">
        <v>0</v>
      </c>
      <c r="C232" s="6">
        <v>46424.625</v>
      </c>
      <c r="D232" t="b">
        <v>0</v>
      </c>
      <c r="E232">
        <v>14</v>
      </c>
      <c r="F232">
        <v>1</v>
      </c>
      <c r="G232">
        <v>5</v>
      </c>
      <c r="H232" t="s">
        <v>1111</v>
      </c>
    </row>
    <row r="233" spans="1:8" x14ac:dyDescent="0.25">
      <c r="A233">
        <v>24</v>
      </c>
      <c r="B233" t="b">
        <v>0</v>
      </c>
      <c r="C233" s="6">
        <v>46424.625</v>
      </c>
      <c r="D233" t="b">
        <v>0</v>
      </c>
      <c r="E233">
        <v>11</v>
      </c>
      <c r="F233">
        <v>5</v>
      </c>
      <c r="G233">
        <v>3</v>
      </c>
      <c r="H233" t="s">
        <v>1111</v>
      </c>
    </row>
    <row r="234" spans="1:8" x14ac:dyDescent="0.25">
      <c r="A234">
        <v>24</v>
      </c>
      <c r="B234" t="b">
        <v>0</v>
      </c>
      <c r="C234" s="6">
        <v>46424.625</v>
      </c>
      <c r="D234" t="b">
        <v>0</v>
      </c>
      <c r="E234">
        <v>7</v>
      </c>
      <c r="F234">
        <v>8</v>
      </c>
      <c r="G234">
        <v>3</v>
      </c>
      <c r="H234" t="s">
        <v>1111</v>
      </c>
    </row>
    <row r="235" spans="1:8" x14ac:dyDescent="0.25">
      <c r="A235">
        <v>24</v>
      </c>
      <c r="B235" t="b">
        <v>0</v>
      </c>
      <c r="C235" s="6">
        <v>46424.625</v>
      </c>
      <c r="D235" t="b">
        <v>0</v>
      </c>
      <c r="E235">
        <v>17</v>
      </c>
      <c r="F235">
        <v>9</v>
      </c>
      <c r="G235">
        <v>3</v>
      </c>
      <c r="H235" t="s">
        <v>1111</v>
      </c>
    </row>
    <row r="236" spans="1:8" x14ac:dyDescent="0.25">
      <c r="A236">
        <v>24</v>
      </c>
      <c r="B236" t="b">
        <v>0</v>
      </c>
      <c r="C236" s="6">
        <v>46424.625</v>
      </c>
      <c r="D236" t="b">
        <v>0</v>
      </c>
      <c r="E236">
        <v>15</v>
      </c>
      <c r="F236">
        <v>10</v>
      </c>
      <c r="G236">
        <v>3</v>
      </c>
      <c r="H236" t="s">
        <v>1111</v>
      </c>
    </row>
    <row r="237" spans="1:8" x14ac:dyDescent="0.25">
      <c r="A237">
        <v>24</v>
      </c>
      <c r="B237" t="b">
        <v>0</v>
      </c>
      <c r="C237" s="6">
        <v>46424.625</v>
      </c>
      <c r="D237" t="b">
        <v>0</v>
      </c>
      <c r="E237">
        <v>19</v>
      </c>
      <c r="F237">
        <v>12</v>
      </c>
      <c r="G237">
        <v>2</v>
      </c>
      <c r="H237" t="s">
        <v>1111</v>
      </c>
    </row>
    <row r="238" spans="1:8" x14ac:dyDescent="0.25">
      <c r="A238">
        <v>24</v>
      </c>
      <c r="B238" t="b">
        <v>0</v>
      </c>
      <c r="C238" s="6">
        <v>46424.625</v>
      </c>
      <c r="D238" t="b">
        <v>0</v>
      </c>
      <c r="E238">
        <v>3</v>
      </c>
      <c r="F238">
        <v>13</v>
      </c>
      <c r="G238">
        <v>3</v>
      </c>
      <c r="H238" t="s">
        <v>1111</v>
      </c>
    </row>
    <row r="239" spans="1:8" x14ac:dyDescent="0.25">
      <c r="A239">
        <v>24</v>
      </c>
      <c r="B239" t="b">
        <v>0</v>
      </c>
      <c r="C239" s="6">
        <v>46424.625</v>
      </c>
      <c r="D239" t="b">
        <v>0</v>
      </c>
      <c r="E239">
        <v>6</v>
      </c>
      <c r="F239">
        <v>16</v>
      </c>
      <c r="G239">
        <v>4</v>
      </c>
      <c r="H239" t="s">
        <v>1111</v>
      </c>
    </row>
    <row r="240" spans="1:8" x14ac:dyDescent="0.25">
      <c r="A240">
        <v>24</v>
      </c>
      <c r="B240" t="b">
        <v>0</v>
      </c>
      <c r="C240" s="6">
        <v>46424.625</v>
      </c>
      <c r="D240" t="b">
        <v>0</v>
      </c>
      <c r="E240">
        <v>4</v>
      </c>
      <c r="F240">
        <v>18</v>
      </c>
      <c r="G240">
        <v>3</v>
      </c>
      <c r="H240" t="s">
        <v>1111</v>
      </c>
    </row>
    <row r="241" spans="1:8" x14ac:dyDescent="0.25">
      <c r="A241">
        <v>24</v>
      </c>
      <c r="B241" t="b">
        <v>0</v>
      </c>
      <c r="C241" s="6">
        <v>46424.625</v>
      </c>
      <c r="D241" t="b">
        <v>0</v>
      </c>
      <c r="E241">
        <v>2</v>
      </c>
      <c r="F241">
        <v>20</v>
      </c>
      <c r="G241">
        <v>3</v>
      </c>
      <c r="H241" t="s">
        <v>1111</v>
      </c>
    </row>
    <row r="242" spans="1:8" x14ac:dyDescent="0.25">
      <c r="A242">
        <v>25</v>
      </c>
      <c r="B242" t="b">
        <v>0</v>
      </c>
      <c r="C242" s="6">
        <v>46428.833333333336</v>
      </c>
      <c r="D242" t="b">
        <v>0</v>
      </c>
      <c r="E242">
        <v>3</v>
      </c>
      <c r="F242">
        <v>2</v>
      </c>
      <c r="G242">
        <v>4</v>
      </c>
      <c r="H242" t="s">
        <v>1111</v>
      </c>
    </row>
    <row r="243" spans="1:8" x14ac:dyDescent="0.25">
      <c r="A243">
        <v>25</v>
      </c>
      <c r="B243" t="b">
        <v>0</v>
      </c>
      <c r="C243" s="6">
        <v>46428.833333333336</v>
      </c>
      <c r="D243" t="b">
        <v>0</v>
      </c>
      <c r="E243">
        <v>14</v>
      </c>
      <c r="F243">
        <v>7</v>
      </c>
      <c r="G243">
        <v>2</v>
      </c>
      <c r="H243" t="s">
        <v>1111</v>
      </c>
    </row>
    <row r="244" spans="1:8" x14ac:dyDescent="0.25">
      <c r="A244">
        <v>25</v>
      </c>
      <c r="B244" t="b">
        <v>0</v>
      </c>
      <c r="C244" s="6">
        <v>46428.833333333336</v>
      </c>
      <c r="D244" t="b">
        <v>0</v>
      </c>
      <c r="E244">
        <v>4</v>
      </c>
      <c r="F244">
        <v>8</v>
      </c>
      <c r="G244">
        <v>3</v>
      </c>
      <c r="H244" t="s">
        <v>1111</v>
      </c>
    </row>
    <row r="245" spans="1:8" x14ac:dyDescent="0.25">
      <c r="A245">
        <v>25</v>
      </c>
      <c r="B245" t="b">
        <v>0</v>
      </c>
      <c r="C245" s="6">
        <v>46428.833333333336</v>
      </c>
      <c r="D245" t="b">
        <v>0</v>
      </c>
      <c r="E245">
        <v>13</v>
      </c>
      <c r="F245">
        <v>9</v>
      </c>
      <c r="G245">
        <v>3</v>
      </c>
      <c r="H245" t="s">
        <v>1111</v>
      </c>
    </row>
    <row r="246" spans="1:8" x14ac:dyDescent="0.25">
      <c r="A246">
        <v>25</v>
      </c>
      <c r="B246" t="b">
        <v>0</v>
      </c>
      <c r="C246" s="6">
        <v>46428.833333333336</v>
      </c>
      <c r="D246" t="b">
        <v>0</v>
      </c>
      <c r="E246">
        <v>18</v>
      </c>
      <c r="F246">
        <v>10</v>
      </c>
      <c r="G246">
        <v>3</v>
      </c>
      <c r="H246" t="s">
        <v>1111</v>
      </c>
    </row>
    <row r="247" spans="1:8" x14ac:dyDescent="0.25">
      <c r="A247">
        <v>25</v>
      </c>
      <c r="B247" t="b">
        <v>0</v>
      </c>
      <c r="C247" s="6">
        <v>46428.833333333336</v>
      </c>
      <c r="D247" t="b">
        <v>0</v>
      </c>
      <c r="E247">
        <v>20</v>
      </c>
      <c r="F247">
        <v>11</v>
      </c>
      <c r="G247">
        <v>2</v>
      </c>
      <c r="H247" t="s">
        <v>1111</v>
      </c>
    </row>
    <row r="248" spans="1:8" x14ac:dyDescent="0.25">
      <c r="A248">
        <v>25</v>
      </c>
      <c r="B248" t="b">
        <v>0</v>
      </c>
      <c r="C248" s="6">
        <v>46428.833333333336</v>
      </c>
      <c r="D248" t="b">
        <v>0</v>
      </c>
      <c r="E248">
        <v>1</v>
      </c>
      <c r="F248">
        <v>12</v>
      </c>
      <c r="G248">
        <v>2</v>
      </c>
      <c r="H248" t="s">
        <v>1111</v>
      </c>
    </row>
    <row r="249" spans="1:8" x14ac:dyDescent="0.25">
      <c r="A249">
        <v>25</v>
      </c>
      <c r="B249" t="b">
        <v>0</v>
      </c>
      <c r="C249" s="6">
        <v>46428.833333333336</v>
      </c>
      <c r="D249" t="b">
        <v>0</v>
      </c>
      <c r="E249">
        <v>5</v>
      </c>
      <c r="F249">
        <v>16</v>
      </c>
      <c r="G249">
        <v>4</v>
      </c>
      <c r="H249" t="s">
        <v>1111</v>
      </c>
    </row>
    <row r="250" spans="1:8" x14ac:dyDescent="0.25">
      <c r="A250">
        <v>25</v>
      </c>
      <c r="B250" t="b">
        <v>0</v>
      </c>
      <c r="C250" s="6">
        <v>46428.833333333336</v>
      </c>
      <c r="D250" t="b">
        <v>0</v>
      </c>
      <c r="E250">
        <v>6</v>
      </c>
      <c r="F250">
        <v>17</v>
      </c>
      <c r="G250">
        <v>3</v>
      </c>
      <c r="H250" t="s">
        <v>1111</v>
      </c>
    </row>
    <row r="251" spans="1:8" x14ac:dyDescent="0.25">
      <c r="A251">
        <v>25</v>
      </c>
      <c r="B251" t="b">
        <v>0</v>
      </c>
      <c r="C251" s="6">
        <v>46428.833333333336</v>
      </c>
      <c r="D251" t="b">
        <v>0</v>
      </c>
      <c r="E251">
        <v>15</v>
      </c>
      <c r="F251">
        <v>19</v>
      </c>
      <c r="G251">
        <v>3</v>
      </c>
      <c r="H251" t="s">
        <v>1111</v>
      </c>
    </row>
    <row r="252" spans="1:8" x14ac:dyDescent="0.25">
      <c r="A252">
        <v>26</v>
      </c>
      <c r="B252" t="b">
        <v>0</v>
      </c>
      <c r="C252" s="6">
        <v>46438.625</v>
      </c>
      <c r="D252" t="b">
        <v>0</v>
      </c>
      <c r="E252">
        <v>10</v>
      </c>
      <c r="F252">
        <v>1</v>
      </c>
      <c r="G252">
        <v>5</v>
      </c>
      <c r="H252" t="s">
        <v>1111</v>
      </c>
    </row>
    <row r="253" spans="1:8" x14ac:dyDescent="0.25">
      <c r="A253">
        <v>26</v>
      </c>
      <c r="B253" t="b">
        <v>0</v>
      </c>
      <c r="C253" s="6">
        <v>46438.625</v>
      </c>
      <c r="D253" t="b">
        <v>0</v>
      </c>
      <c r="E253">
        <v>8</v>
      </c>
      <c r="F253">
        <v>3</v>
      </c>
      <c r="G253">
        <v>3</v>
      </c>
      <c r="H253" t="s">
        <v>1111</v>
      </c>
    </row>
    <row r="254" spans="1:8" x14ac:dyDescent="0.25">
      <c r="A254">
        <v>26</v>
      </c>
      <c r="B254" t="b">
        <v>0</v>
      </c>
      <c r="C254" s="6">
        <v>46438.625</v>
      </c>
      <c r="D254" t="b">
        <v>0</v>
      </c>
      <c r="E254">
        <v>7</v>
      </c>
      <c r="F254">
        <v>4</v>
      </c>
      <c r="G254">
        <v>3</v>
      </c>
      <c r="H254" t="s">
        <v>1111</v>
      </c>
    </row>
    <row r="255" spans="1:8" x14ac:dyDescent="0.25">
      <c r="A255">
        <v>26</v>
      </c>
      <c r="B255" t="b">
        <v>0</v>
      </c>
      <c r="C255" s="6">
        <v>46438.625</v>
      </c>
      <c r="D255" t="b">
        <v>0</v>
      </c>
      <c r="E255">
        <v>19</v>
      </c>
      <c r="F255">
        <v>5</v>
      </c>
      <c r="G255">
        <v>3</v>
      </c>
      <c r="H255" t="s">
        <v>1111</v>
      </c>
    </row>
    <row r="256" spans="1:8" x14ac:dyDescent="0.25">
      <c r="A256">
        <v>26</v>
      </c>
      <c r="B256" t="b">
        <v>0</v>
      </c>
      <c r="C256" s="6">
        <v>46438.625</v>
      </c>
      <c r="D256" t="b">
        <v>0</v>
      </c>
      <c r="E256">
        <v>12</v>
      </c>
      <c r="F256">
        <v>6</v>
      </c>
      <c r="G256">
        <v>4</v>
      </c>
      <c r="H256" t="s">
        <v>1111</v>
      </c>
    </row>
    <row r="257" spans="1:8" x14ac:dyDescent="0.25">
      <c r="A257">
        <v>26</v>
      </c>
      <c r="B257" t="b">
        <v>0</v>
      </c>
      <c r="C257" s="6">
        <v>46438.625</v>
      </c>
      <c r="D257" t="b">
        <v>0</v>
      </c>
      <c r="E257">
        <v>2</v>
      </c>
      <c r="F257">
        <v>13</v>
      </c>
      <c r="G257">
        <v>3</v>
      </c>
      <c r="H257" t="s">
        <v>1111</v>
      </c>
    </row>
    <row r="258" spans="1:8" x14ac:dyDescent="0.25">
      <c r="A258">
        <v>26</v>
      </c>
      <c r="B258" t="b">
        <v>0</v>
      </c>
      <c r="C258" s="6">
        <v>46438.625</v>
      </c>
      <c r="D258" t="b">
        <v>0</v>
      </c>
      <c r="E258">
        <v>11</v>
      </c>
      <c r="F258">
        <v>14</v>
      </c>
      <c r="G258">
        <v>4</v>
      </c>
      <c r="H258" t="s">
        <v>1111</v>
      </c>
    </row>
    <row r="259" spans="1:8" x14ac:dyDescent="0.25">
      <c r="A259">
        <v>26</v>
      </c>
      <c r="B259" t="b">
        <v>0</v>
      </c>
      <c r="C259" s="6">
        <v>46438.625</v>
      </c>
      <c r="D259" t="b">
        <v>0</v>
      </c>
      <c r="E259">
        <v>17</v>
      </c>
      <c r="F259">
        <v>15</v>
      </c>
      <c r="G259">
        <v>5</v>
      </c>
      <c r="H259" t="s">
        <v>1111</v>
      </c>
    </row>
    <row r="260" spans="1:8" x14ac:dyDescent="0.25">
      <c r="A260">
        <v>26</v>
      </c>
      <c r="B260" t="b">
        <v>0</v>
      </c>
      <c r="C260" s="6">
        <v>46438.625</v>
      </c>
      <c r="D260" t="b">
        <v>0</v>
      </c>
      <c r="E260">
        <v>16</v>
      </c>
      <c r="F260">
        <v>18</v>
      </c>
      <c r="G260">
        <v>3</v>
      </c>
      <c r="H260" t="s">
        <v>1111</v>
      </c>
    </row>
    <row r="261" spans="1:8" x14ac:dyDescent="0.25">
      <c r="A261">
        <v>26</v>
      </c>
      <c r="B261" t="b">
        <v>0</v>
      </c>
      <c r="C261" s="6">
        <v>46438.625</v>
      </c>
      <c r="D261" t="b">
        <v>0</v>
      </c>
      <c r="E261">
        <v>9</v>
      </c>
      <c r="F261">
        <v>20</v>
      </c>
      <c r="G261">
        <v>3</v>
      </c>
      <c r="H261" t="s">
        <v>1111</v>
      </c>
    </row>
    <row r="262" spans="1:8" x14ac:dyDescent="0.25">
      <c r="A262">
        <v>27</v>
      </c>
      <c r="B262" t="b">
        <v>0</v>
      </c>
      <c r="C262" s="6">
        <v>46445.625</v>
      </c>
      <c r="D262" t="b">
        <v>0</v>
      </c>
      <c r="E262">
        <v>6</v>
      </c>
      <c r="F262">
        <v>2</v>
      </c>
      <c r="G262">
        <v>4</v>
      </c>
      <c r="H262" t="s">
        <v>1111</v>
      </c>
    </row>
    <row r="263" spans="1:8" x14ac:dyDescent="0.25">
      <c r="A263">
        <v>27</v>
      </c>
      <c r="B263" t="b">
        <v>0</v>
      </c>
      <c r="C263" s="6">
        <v>46445.625</v>
      </c>
      <c r="D263" t="b">
        <v>0</v>
      </c>
      <c r="E263">
        <v>3</v>
      </c>
      <c r="F263">
        <v>7</v>
      </c>
      <c r="G263">
        <v>2</v>
      </c>
      <c r="H263" t="s">
        <v>1111</v>
      </c>
    </row>
    <row r="264" spans="1:8" x14ac:dyDescent="0.25">
      <c r="A264">
        <v>27</v>
      </c>
      <c r="B264" t="b">
        <v>0</v>
      </c>
      <c r="C264" s="6">
        <v>46445.625</v>
      </c>
      <c r="D264" t="b">
        <v>0</v>
      </c>
      <c r="E264">
        <v>20</v>
      </c>
      <c r="F264">
        <v>8</v>
      </c>
      <c r="G264">
        <v>3</v>
      </c>
      <c r="H264" t="s">
        <v>1111</v>
      </c>
    </row>
    <row r="265" spans="1:8" x14ac:dyDescent="0.25">
      <c r="A265">
        <v>27</v>
      </c>
      <c r="B265" t="b">
        <v>0</v>
      </c>
      <c r="C265" s="6">
        <v>46445.625</v>
      </c>
      <c r="D265" t="b">
        <v>0</v>
      </c>
      <c r="E265">
        <v>18</v>
      </c>
      <c r="F265">
        <v>9</v>
      </c>
      <c r="G265">
        <v>3</v>
      </c>
      <c r="H265" t="s">
        <v>1111</v>
      </c>
    </row>
    <row r="266" spans="1:8" x14ac:dyDescent="0.25">
      <c r="A266">
        <v>27</v>
      </c>
      <c r="B266" t="b">
        <v>0</v>
      </c>
      <c r="C266" s="6">
        <v>46445.625</v>
      </c>
      <c r="D266" t="b">
        <v>0</v>
      </c>
      <c r="E266">
        <v>13</v>
      </c>
      <c r="F266">
        <v>10</v>
      </c>
      <c r="G266">
        <v>3</v>
      </c>
      <c r="H266" t="s">
        <v>1111</v>
      </c>
    </row>
    <row r="267" spans="1:8" x14ac:dyDescent="0.25">
      <c r="A267">
        <v>27</v>
      </c>
      <c r="B267" t="b">
        <v>0</v>
      </c>
      <c r="C267" s="6">
        <v>46445.625</v>
      </c>
      <c r="D267" t="b">
        <v>0</v>
      </c>
      <c r="E267">
        <v>15</v>
      </c>
      <c r="F267">
        <v>11</v>
      </c>
      <c r="G267">
        <v>2</v>
      </c>
      <c r="H267" t="s">
        <v>1111</v>
      </c>
    </row>
    <row r="268" spans="1:8" x14ac:dyDescent="0.25">
      <c r="A268">
        <v>27</v>
      </c>
      <c r="B268" t="b">
        <v>0</v>
      </c>
      <c r="C268" s="6">
        <v>46445.625</v>
      </c>
      <c r="D268" t="b">
        <v>0</v>
      </c>
      <c r="E268">
        <v>5</v>
      </c>
      <c r="F268">
        <v>12</v>
      </c>
      <c r="G268">
        <v>2</v>
      </c>
      <c r="H268" t="s">
        <v>1111</v>
      </c>
    </row>
    <row r="269" spans="1:8" x14ac:dyDescent="0.25">
      <c r="A269">
        <v>27</v>
      </c>
      <c r="B269" t="b">
        <v>0</v>
      </c>
      <c r="C269" s="6">
        <v>46445.625</v>
      </c>
      <c r="D269" t="b">
        <v>0</v>
      </c>
      <c r="E269">
        <v>1</v>
      </c>
      <c r="F269">
        <v>16</v>
      </c>
      <c r="G269">
        <v>4</v>
      </c>
      <c r="H269" t="s">
        <v>1111</v>
      </c>
    </row>
    <row r="270" spans="1:8" x14ac:dyDescent="0.25">
      <c r="A270">
        <v>27</v>
      </c>
      <c r="B270" t="b">
        <v>0</v>
      </c>
      <c r="C270" s="6">
        <v>46445.625</v>
      </c>
      <c r="D270" t="b">
        <v>0</v>
      </c>
      <c r="E270">
        <v>4</v>
      </c>
      <c r="F270">
        <v>17</v>
      </c>
      <c r="G270">
        <v>3</v>
      </c>
      <c r="H270" t="s">
        <v>1111</v>
      </c>
    </row>
    <row r="271" spans="1:8" x14ac:dyDescent="0.25">
      <c r="A271">
        <v>27</v>
      </c>
      <c r="B271" t="b">
        <v>0</v>
      </c>
      <c r="C271" s="6">
        <v>46445.625</v>
      </c>
      <c r="D271" t="b">
        <v>0</v>
      </c>
      <c r="E271">
        <v>14</v>
      </c>
      <c r="F271">
        <v>19</v>
      </c>
      <c r="G271">
        <v>3</v>
      </c>
      <c r="H271" t="s">
        <v>1111</v>
      </c>
    </row>
    <row r="272" spans="1:8" x14ac:dyDescent="0.25">
      <c r="A272">
        <v>28</v>
      </c>
      <c r="B272" t="b">
        <v>0</v>
      </c>
      <c r="C272" s="6">
        <v>46449.833333333336</v>
      </c>
      <c r="D272" t="b">
        <v>0</v>
      </c>
      <c r="E272">
        <v>8</v>
      </c>
      <c r="F272">
        <v>1</v>
      </c>
      <c r="G272">
        <v>5</v>
      </c>
      <c r="H272" t="s">
        <v>1111</v>
      </c>
    </row>
    <row r="273" spans="1:8" x14ac:dyDescent="0.25">
      <c r="A273">
        <v>28</v>
      </c>
      <c r="B273" t="b">
        <v>0</v>
      </c>
      <c r="C273" s="6">
        <v>46449.833333333336</v>
      </c>
      <c r="D273" t="b">
        <v>0</v>
      </c>
      <c r="E273">
        <v>19</v>
      </c>
      <c r="F273">
        <v>3</v>
      </c>
      <c r="G273">
        <v>3</v>
      </c>
      <c r="H273" t="s">
        <v>1111</v>
      </c>
    </row>
    <row r="274" spans="1:8" x14ac:dyDescent="0.25">
      <c r="A274">
        <v>28</v>
      </c>
      <c r="B274" t="b">
        <v>0</v>
      </c>
      <c r="C274" s="6">
        <v>46449.833333333336</v>
      </c>
      <c r="D274" t="b">
        <v>0</v>
      </c>
      <c r="E274">
        <v>12</v>
      </c>
      <c r="F274">
        <v>4</v>
      </c>
      <c r="G274">
        <v>3</v>
      </c>
      <c r="H274" t="s">
        <v>1111</v>
      </c>
    </row>
    <row r="275" spans="1:8" x14ac:dyDescent="0.25">
      <c r="A275">
        <v>28</v>
      </c>
      <c r="B275" t="b">
        <v>0</v>
      </c>
      <c r="C275" s="6">
        <v>46449.833333333336</v>
      </c>
      <c r="D275" t="b">
        <v>0</v>
      </c>
      <c r="E275">
        <v>10</v>
      </c>
      <c r="F275">
        <v>5</v>
      </c>
      <c r="G275">
        <v>3</v>
      </c>
      <c r="H275" t="s">
        <v>1111</v>
      </c>
    </row>
    <row r="276" spans="1:8" x14ac:dyDescent="0.25">
      <c r="A276">
        <v>28</v>
      </c>
      <c r="B276" t="b">
        <v>0</v>
      </c>
      <c r="C276" s="6">
        <v>46449.833333333336</v>
      </c>
      <c r="D276" t="b">
        <v>0</v>
      </c>
      <c r="E276">
        <v>7</v>
      </c>
      <c r="F276">
        <v>6</v>
      </c>
      <c r="G276">
        <v>4</v>
      </c>
      <c r="H276" t="s">
        <v>1111</v>
      </c>
    </row>
    <row r="277" spans="1:8" x14ac:dyDescent="0.25">
      <c r="A277">
        <v>28</v>
      </c>
      <c r="B277" t="b">
        <v>0</v>
      </c>
      <c r="C277" s="6">
        <v>46449.833333333336</v>
      </c>
      <c r="D277" t="b">
        <v>0</v>
      </c>
      <c r="E277">
        <v>11</v>
      </c>
      <c r="F277">
        <v>13</v>
      </c>
      <c r="G277">
        <v>3</v>
      </c>
      <c r="H277" t="s">
        <v>1111</v>
      </c>
    </row>
    <row r="278" spans="1:8" x14ac:dyDescent="0.25">
      <c r="A278">
        <v>28</v>
      </c>
      <c r="B278" t="b">
        <v>0</v>
      </c>
      <c r="C278" s="6">
        <v>46449.833333333336</v>
      </c>
      <c r="D278" t="b">
        <v>0</v>
      </c>
      <c r="E278">
        <v>2</v>
      </c>
      <c r="F278">
        <v>14</v>
      </c>
      <c r="G278">
        <v>4</v>
      </c>
      <c r="H278" t="s">
        <v>1111</v>
      </c>
    </row>
    <row r="279" spans="1:8" x14ac:dyDescent="0.25">
      <c r="A279">
        <v>28</v>
      </c>
      <c r="B279" t="b">
        <v>0</v>
      </c>
      <c r="C279" s="6">
        <v>46449.833333333336</v>
      </c>
      <c r="D279" t="b">
        <v>0</v>
      </c>
      <c r="E279">
        <v>9</v>
      </c>
      <c r="F279">
        <v>15</v>
      </c>
      <c r="G279">
        <v>5</v>
      </c>
      <c r="H279" t="s">
        <v>1111</v>
      </c>
    </row>
    <row r="280" spans="1:8" x14ac:dyDescent="0.25">
      <c r="A280">
        <v>28</v>
      </c>
      <c r="B280" t="b">
        <v>0</v>
      </c>
      <c r="C280" s="6">
        <v>46449.833333333336</v>
      </c>
      <c r="D280" t="b">
        <v>0</v>
      </c>
      <c r="E280">
        <v>17</v>
      </c>
      <c r="F280">
        <v>18</v>
      </c>
      <c r="G280">
        <v>3</v>
      </c>
      <c r="H280" t="s">
        <v>1111</v>
      </c>
    </row>
    <row r="281" spans="1:8" x14ac:dyDescent="0.25">
      <c r="A281">
        <v>28</v>
      </c>
      <c r="B281" t="b">
        <v>0</v>
      </c>
      <c r="C281" s="6">
        <v>46449.833333333336</v>
      </c>
      <c r="D281" t="b">
        <v>0</v>
      </c>
      <c r="E281">
        <v>16</v>
      </c>
      <c r="F281">
        <v>20</v>
      </c>
      <c r="G281">
        <v>3</v>
      </c>
      <c r="H281" t="s">
        <v>1111</v>
      </c>
    </row>
    <row r="282" spans="1:8" x14ac:dyDescent="0.25">
      <c r="A282">
        <v>29</v>
      </c>
      <c r="B282" t="b">
        <v>0</v>
      </c>
      <c r="C282" s="6">
        <v>46459.625</v>
      </c>
      <c r="D282" t="b">
        <v>0</v>
      </c>
      <c r="E282">
        <v>11</v>
      </c>
      <c r="F282">
        <v>2</v>
      </c>
      <c r="G282">
        <v>4</v>
      </c>
      <c r="H282" t="s">
        <v>1111</v>
      </c>
    </row>
    <row r="283" spans="1:8" x14ac:dyDescent="0.25">
      <c r="A283">
        <v>29</v>
      </c>
      <c r="B283" t="b">
        <v>0</v>
      </c>
      <c r="C283" s="6">
        <v>46459.625</v>
      </c>
      <c r="D283" t="b">
        <v>0</v>
      </c>
      <c r="E283">
        <v>17</v>
      </c>
      <c r="F283">
        <v>3</v>
      </c>
      <c r="G283">
        <v>3</v>
      </c>
      <c r="H283" t="s">
        <v>1111</v>
      </c>
    </row>
    <row r="284" spans="1:8" x14ac:dyDescent="0.25">
      <c r="A284">
        <v>29</v>
      </c>
      <c r="B284" t="b">
        <v>0</v>
      </c>
      <c r="C284" s="6">
        <v>46459.625</v>
      </c>
      <c r="D284" t="b">
        <v>0</v>
      </c>
      <c r="E284">
        <v>1</v>
      </c>
      <c r="F284">
        <v>6</v>
      </c>
      <c r="G284">
        <v>4</v>
      </c>
      <c r="H284" t="s">
        <v>1111</v>
      </c>
    </row>
    <row r="285" spans="1:8" x14ac:dyDescent="0.25">
      <c r="A285">
        <v>29</v>
      </c>
      <c r="B285" t="b">
        <v>0</v>
      </c>
      <c r="C285" s="6">
        <v>46459.625</v>
      </c>
      <c r="D285" t="b">
        <v>0</v>
      </c>
      <c r="E285">
        <v>15</v>
      </c>
      <c r="F285">
        <v>7</v>
      </c>
      <c r="G285">
        <v>2</v>
      </c>
      <c r="H285" t="s">
        <v>1111</v>
      </c>
    </row>
    <row r="286" spans="1:8" x14ac:dyDescent="0.25">
      <c r="A286">
        <v>29</v>
      </c>
      <c r="B286" t="b">
        <v>0</v>
      </c>
      <c r="C286" s="6">
        <v>46459.625</v>
      </c>
      <c r="D286" t="b">
        <v>0</v>
      </c>
      <c r="E286">
        <v>10</v>
      </c>
      <c r="F286">
        <v>8</v>
      </c>
      <c r="G286">
        <v>3</v>
      </c>
      <c r="H286" t="s">
        <v>1111</v>
      </c>
    </row>
    <row r="287" spans="1:8" x14ac:dyDescent="0.25">
      <c r="A287">
        <v>29</v>
      </c>
      <c r="B287" t="b">
        <v>0</v>
      </c>
      <c r="C287" s="6">
        <v>46459.625</v>
      </c>
      <c r="D287" t="b">
        <v>0</v>
      </c>
      <c r="E287">
        <v>5</v>
      </c>
      <c r="F287">
        <v>13</v>
      </c>
      <c r="G287">
        <v>3</v>
      </c>
      <c r="H287" t="s">
        <v>1111</v>
      </c>
    </row>
    <row r="288" spans="1:8" x14ac:dyDescent="0.25">
      <c r="A288">
        <v>29</v>
      </c>
      <c r="B288" t="b">
        <v>0</v>
      </c>
      <c r="C288" s="6">
        <v>46459.625</v>
      </c>
      <c r="D288" t="b">
        <v>0</v>
      </c>
      <c r="E288">
        <v>12</v>
      </c>
      <c r="F288">
        <v>14</v>
      </c>
      <c r="G288">
        <v>4</v>
      </c>
      <c r="H288" t="s">
        <v>1111</v>
      </c>
    </row>
    <row r="289" spans="1:8" x14ac:dyDescent="0.25">
      <c r="A289">
        <v>29</v>
      </c>
      <c r="B289" t="b">
        <v>0</v>
      </c>
      <c r="C289" s="6">
        <v>46459.625</v>
      </c>
      <c r="D289" t="b">
        <v>0</v>
      </c>
      <c r="E289">
        <v>9</v>
      </c>
      <c r="F289">
        <v>16</v>
      </c>
      <c r="G289">
        <v>4</v>
      </c>
      <c r="H289" t="s">
        <v>1111</v>
      </c>
    </row>
    <row r="290" spans="1:8" x14ac:dyDescent="0.25">
      <c r="A290">
        <v>29</v>
      </c>
      <c r="B290" t="b">
        <v>0</v>
      </c>
      <c r="C290" s="6">
        <v>46459.625</v>
      </c>
      <c r="D290" t="b">
        <v>0</v>
      </c>
      <c r="E290">
        <v>18</v>
      </c>
      <c r="F290">
        <v>19</v>
      </c>
      <c r="G290">
        <v>3</v>
      </c>
      <c r="H290" t="s">
        <v>1111</v>
      </c>
    </row>
    <row r="291" spans="1:8" x14ac:dyDescent="0.25">
      <c r="A291">
        <v>29</v>
      </c>
      <c r="B291" t="b">
        <v>0</v>
      </c>
      <c r="C291" s="6">
        <v>46459.625</v>
      </c>
      <c r="D291" t="b">
        <v>0</v>
      </c>
      <c r="E291">
        <v>4</v>
      </c>
      <c r="F291">
        <v>20</v>
      </c>
      <c r="G291">
        <v>3</v>
      </c>
      <c r="H291" t="s">
        <v>1111</v>
      </c>
    </row>
    <row r="292" spans="1:8" x14ac:dyDescent="0.25">
      <c r="A292">
        <v>30</v>
      </c>
      <c r="B292" t="b">
        <v>0</v>
      </c>
      <c r="C292" s="6">
        <v>46466.625</v>
      </c>
      <c r="D292" t="b">
        <v>0</v>
      </c>
      <c r="E292">
        <v>20</v>
      </c>
      <c r="F292">
        <v>1</v>
      </c>
      <c r="G292">
        <v>5</v>
      </c>
      <c r="H292" t="s">
        <v>1111</v>
      </c>
    </row>
    <row r="293" spans="1:8" x14ac:dyDescent="0.25">
      <c r="A293">
        <v>30</v>
      </c>
      <c r="B293" t="b">
        <v>0</v>
      </c>
      <c r="C293" s="6">
        <v>46466.625</v>
      </c>
      <c r="D293" t="b">
        <v>0</v>
      </c>
      <c r="E293">
        <v>3</v>
      </c>
      <c r="F293">
        <v>4</v>
      </c>
      <c r="G293">
        <v>3</v>
      </c>
      <c r="H293" t="s">
        <v>1111</v>
      </c>
    </row>
    <row r="294" spans="1:8" x14ac:dyDescent="0.25">
      <c r="A294">
        <v>30</v>
      </c>
      <c r="B294" t="b">
        <v>0</v>
      </c>
      <c r="C294" s="6">
        <v>46466.625</v>
      </c>
      <c r="D294" t="b">
        <v>0</v>
      </c>
      <c r="E294">
        <v>7</v>
      </c>
      <c r="F294">
        <v>5</v>
      </c>
      <c r="G294">
        <v>3</v>
      </c>
      <c r="H294" t="s">
        <v>1111</v>
      </c>
    </row>
    <row r="295" spans="1:8" x14ac:dyDescent="0.25">
      <c r="A295">
        <v>30</v>
      </c>
      <c r="B295" t="b">
        <v>0</v>
      </c>
      <c r="C295" s="6">
        <v>46466.625</v>
      </c>
      <c r="D295" t="b">
        <v>0</v>
      </c>
      <c r="E295">
        <v>19</v>
      </c>
      <c r="F295">
        <v>9</v>
      </c>
      <c r="G295">
        <v>3</v>
      </c>
      <c r="H295" t="s">
        <v>1111</v>
      </c>
    </row>
    <row r="296" spans="1:8" x14ac:dyDescent="0.25">
      <c r="A296">
        <v>30</v>
      </c>
      <c r="B296" t="b">
        <v>0</v>
      </c>
      <c r="C296" s="6">
        <v>46466.625</v>
      </c>
      <c r="D296" t="b">
        <v>0</v>
      </c>
      <c r="E296">
        <v>14</v>
      </c>
      <c r="F296">
        <v>10</v>
      </c>
      <c r="G296">
        <v>3</v>
      </c>
      <c r="H296" t="s">
        <v>1111</v>
      </c>
    </row>
    <row r="297" spans="1:8" x14ac:dyDescent="0.25">
      <c r="A297">
        <v>30</v>
      </c>
      <c r="B297" t="b">
        <v>0</v>
      </c>
      <c r="C297" s="6">
        <v>46466.625</v>
      </c>
      <c r="D297" t="b">
        <v>0</v>
      </c>
      <c r="E297">
        <v>6</v>
      </c>
      <c r="F297">
        <v>11</v>
      </c>
      <c r="G297">
        <v>2</v>
      </c>
      <c r="H297" t="s">
        <v>1111</v>
      </c>
    </row>
    <row r="298" spans="1:8" x14ac:dyDescent="0.25">
      <c r="A298">
        <v>30</v>
      </c>
      <c r="B298" t="b">
        <v>0</v>
      </c>
      <c r="C298" s="6">
        <v>46466.625</v>
      </c>
      <c r="D298" t="b">
        <v>0</v>
      </c>
      <c r="E298">
        <v>8</v>
      </c>
      <c r="F298">
        <v>12</v>
      </c>
      <c r="G298">
        <v>2</v>
      </c>
      <c r="H298" t="s">
        <v>1111</v>
      </c>
    </row>
    <row r="299" spans="1:8" x14ac:dyDescent="0.25">
      <c r="A299">
        <v>30</v>
      </c>
      <c r="B299" t="b">
        <v>0</v>
      </c>
      <c r="C299" s="6">
        <v>46466.625</v>
      </c>
      <c r="D299" t="b">
        <v>0</v>
      </c>
      <c r="E299">
        <v>16</v>
      </c>
      <c r="F299">
        <v>15</v>
      </c>
      <c r="G299">
        <v>5</v>
      </c>
      <c r="H299" t="s">
        <v>1111</v>
      </c>
    </row>
    <row r="300" spans="1:8" x14ac:dyDescent="0.25">
      <c r="A300">
        <v>30</v>
      </c>
      <c r="B300" t="b">
        <v>0</v>
      </c>
      <c r="C300" s="6">
        <v>46466.625</v>
      </c>
      <c r="D300" t="b">
        <v>0</v>
      </c>
      <c r="E300">
        <v>13</v>
      </c>
      <c r="F300">
        <v>17</v>
      </c>
      <c r="G300">
        <v>3</v>
      </c>
      <c r="H300" t="s">
        <v>1111</v>
      </c>
    </row>
    <row r="301" spans="1:8" x14ac:dyDescent="0.25">
      <c r="A301">
        <v>30</v>
      </c>
      <c r="B301" t="b">
        <v>0</v>
      </c>
      <c r="C301" s="6">
        <v>46466.625</v>
      </c>
      <c r="D301" t="b">
        <v>0</v>
      </c>
      <c r="E301">
        <v>2</v>
      </c>
      <c r="F301">
        <v>18</v>
      </c>
      <c r="G301">
        <v>3</v>
      </c>
      <c r="H301" t="s">
        <v>1111</v>
      </c>
    </row>
    <row r="302" spans="1:8" x14ac:dyDescent="0.25">
      <c r="A302">
        <v>31</v>
      </c>
      <c r="B302" t="b">
        <v>0</v>
      </c>
      <c r="C302" s="6">
        <v>46487.625</v>
      </c>
      <c r="D302" t="b">
        <v>0</v>
      </c>
      <c r="E302">
        <v>5</v>
      </c>
      <c r="F302">
        <v>2</v>
      </c>
      <c r="G302">
        <v>4</v>
      </c>
      <c r="H302" t="s">
        <v>1111</v>
      </c>
    </row>
    <row r="303" spans="1:8" x14ac:dyDescent="0.25">
      <c r="A303">
        <v>31</v>
      </c>
      <c r="B303" t="b">
        <v>0</v>
      </c>
      <c r="C303" s="6">
        <v>46487.625</v>
      </c>
      <c r="D303" t="b">
        <v>0</v>
      </c>
      <c r="E303">
        <v>15</v>
      </c>
      <c r="F303">
        <v>3</v>
      </c>
      <c r="G303">
        <v>3</v>
      </c>
      <c r="H303" t="s">
        <v>1111</v>
      </c>
    </row>
    <row r="304" spans="1:8" x14ac:dyDescent="0.25">
      <c r="A304">
        <v>31</v>
      </c>
      <c r="B304" t="b">
        <v>0</v>
      </c>
      <c r="C304" s="6">
        <v>46487.625</v>
      </c>
      <c r="D304" t="b">
        <v>0</v>
      </c>
      <c r="E304">
        <v>10</v>
      </c>
      <c r="F304">
        <v>6</v>
      </c>
      <c r="G304">
        <v>4</v>
      </c>
      <c r="H304" t="s">
        <v>1111</v>
      </c>
    </row>
    <row r="305" spans="1:8" x14ac:dyDescent="0.25">
      <c r="A305">
        <v>31</v>
      </c>
      <c r="B305" t="b">
        <v>0</v>
      </c>
      <c r="C305" s="6">
        <v>46487.625</v>
      </c>
      <c r="D305" t="b">
        <v>0</v>
      </c>
      <c r="E305">
        <v>1</v>
      </c>
      <c r="F305">
        <v>7</v>
      </c>
      <c r="G305">
        <v>2</v>
      </c>
      <c r="H305" t="s">
        <v>1111</v>
      </c>
    </row>
    <row r="306" spans="1:8" x14ac:dyDescent="0.25">
      <c r="A306">
        <v>31</v>
      </c>
      <c r="B306" t="b">
        <v>0</v>
      </c>
      <c r="C306" s="6">
        <v>46487.625</v>
      </c>
      <c r="D306" t="b">
        <v>0</v>
      </c>
      <c r="E306">
        <v>9</v>
      </c>
      <c r="F306">
        <v>8</v>
      </c>
      <c r="G306">
        <v>3</v>
      </c>
      <c r="H306" t="s">
        <v>1111</v>
      </c>
    </row>
    <row r="307" spans="1:8" x14ac:dyDescent="0.25">
      <c r="A307">
        <v>31</v>
      </c>
      <c r="B307" t="b">
        <v>0</v>
      </c>
      <c r="C307" s="6">
        <v>46487.625</v>
      </c>
      <c r="D307" t="b">
        <v>0</v>
      </c>
      <c r="E307">
        <v>18</v>
      </c>
      <c r="F307">
        <v>13</v>
      </c>
      <c r="G307">
        <v>3</v>
      </c>
      <c r="H307" t="s">
        <v>1111</v>
      </c>
    </row>
    <row r="308" spans="1:8" x14ac:dyDescent="0.25">
      <c r="A308">
        <v>31</v>
      </c>
      <c r="B308" t="b">
        <v>0</v>
      </c>
      <c r="C308" s="6">
        <v>46487.625</v>
      </c>
      <c r="D308" t="b">
        <v>0</v>
      </c>
      <c r="E308">
        <v>17</v>
      </c>
      <c r="F308">
        <v>14</v>
      </c>
      <c r="G308">
        <v>4</v>
      </c>
      <c r="H308" t="s">
        <v>1111</v>
      </c>
    </row>
    <row r="309" spans="1:8" x14ac:dyDescent="0.25">
      <c r="A309">
        <v>31</v>
      </c>
      <c r="B309" t="b">
        <v>0</v>
      </c>
      <c r="C309" s="6">
        <v>46487.625</v>
      </c>
      <c r="D309" t="b">
        <v>0</v>
      </c>
      <c r="E309">
        <v>11</v>
      </c>
      <c r="F309">
        <v>16</v>
      </c>
      <c r="G309">
        <v>4</v>
      </c>
      <c r="H309" t="s">
        <v>1111</v>
      </c>
    </row>
    <row r="310" spans="1:8" x14ac:dyDescent="0.25">
      <c r="A310">
        <v>31</v>
      </c>
      <c r="B310" t="b">
        <v>0</v>
      </c>
      <c r="C310" s="6">
        <v>46487.625</v>
      </c>
      <c r="D310" t="b">
        <v>0</v>
      </c>
      <c r="E310">
        <v>4</v>
      </c>
      <c r="F310">
        <v>19</v>
      </c>
      <c r="G310">
        <v>3</v>
      </c>
      <c r="H310" t="s">
        <v>1111</v>
      </c>
    </row>
    <row r="311" spans="1:8" x14ac:dyDescent="0.25">
      <c r="A311">
        <v>31</v>
      </c>
      <c r="B311" t="b">
        <v>0</v>
      </c>
      <c r="C311" s="6">
        <v>46487.625</v>
      </c>
      <c r="D311" t="b">
        <v>0</v>
      </c>
      <c r="E311">
        <v>12</v>
      </c>
      <c r="F311">
        <v>20</v>
      </c>
      <c r="G311">
        <v>3</v>
      </c>
      <c r="H311" t="s">
        <v>1111</v>
      </c>
    </row>
    <row r="312" spans="1:8" x14ac:dyDescent="0.25">
      <c r="A312">
        <v>32</v>
      </c>
      <c r="B312" t="b">
        <v>0</v>
      </c>
      <c r="C312" s="6">
        <v>46494.625</v>
      </c>
      <c r="D312" t="b">
        <v>0</v>
      </c>
      <c r="E312">
        <v>2</v>
      </c>
      <c r="F312">
        <v>1</v>
      </c>
      <c r="G312">
        <v>5</v>
      </c>
      <c r="H312" t="s">
        <v>1111</v>
      </c>
    </row>
    <row r="313" spans="1:8" x14ac:dyDescent="0.25">
      <c r="A313">
        <v>32</v>
      </c>
      <c r="B313" t="b">
        <v>0</v>
      </c>
      <c r="C313" s="6">
        <v>46494.625</v>
      </c>
      <c r="D313" t="b">
        <v>0</v>
      </c>
      <c r="E313">
        <v>13</v>
      </c>
      <c r="F313">
        <v>4</v>
      </c>
      <c r="G313">
        <v>3</v>
      </c>
      <c r="H313" t="s">
        <v>1111</v>
      </c>
    </row>
    <row r="314" spans="1:8" x14ac:dyDescent="0.25">
      <c r="A314">
        <v>32</v>
      </c>
      <c r="B314" t="b">
        <v>0</v>
      </c>
      <c r="C314" s="6">
        <v>46494.625</v>
      </c>
      <c r="D314" t="b">
        <v>0</v>
      </c>
      <c r="E314">
        <v>6</v>
      </c>
      <c r="F314">
        <v>5</v>
      </c>
      <c r="G314">
        <v>3</v>
      </c>
      <c r="H314" t="s">
        <v>1111</v>
      </c>
    </row>
    <row r="315" spans="1:8" x14ac:dyDescent="0.25">
      <c r="A315">
        <v>32</v>
      </c>
      <c r="B315" t="b">
        <v>0</v>
      </c>
      <c r="C315" s="6">
        <v>46494.625</v>
      </c>
      <c r="D315" t="b">
        <v>0</v>
      </c>
      <c r="E315">
        <v>3</v>
      </c>
      <c r="F315">
        <v>9</v>
      </c>
      <c r="G315">
        <v>3</v>
      </c>
      <c r="H315" t="s">
        <v>1111</v>
      </c>
    </row>
    <row r="316" spans="1:8" x14ac:dyDescent="0.25">
      <c r="A316">
        <v>32</v>
      </c>
      <c r="B316" t="b">
        <v>0</v>
      </c>
      <c r="C316" s="6">
        <v>46494.625</v>
      </c>
      <c r="D316" t="b">
        <v>0</v>
      </c>
      <c r="E316">
        <v>20</v>
      </c>
      <c r="F316">
        <v>10</v>
      </c>
      <c r="G316">
        <v>3</v>
      </c>
      <c r="H316" t="s">
        <v>1111</v>
      </c>
    </row>
    <row r="317" spans="1:8" x14ac:dyDescent="0.25">
      <c r="A317">
        <v>32</v>
      </c>
      <c r="B317" t="b">
        <v>0</v>
      </c>
      <c r="C317" s="6">
        <v>46494.625</v>
      </c>
      <c r="D317" t="b">
        <v>0</v>
      </c>
      <c r="E317">
        <v>7</v>
      </c>
      <c r="F317">
        <v>11</v>
      </c>
      <c r="G317">
        <v>2</v>
      </c>
      <c r="H317" t="s">
        <v>1111</v>
      </c>
    </row>
    <row r="318" spans="1:8" x14ac:dyDescent="0.25">
      <c r="A318">
        <v>32</v>
      </c>
      <c r="B318" t="b">
        <v>0</v>
      </c>
      <c r="C318" s="6">
        <v>46494.625</v>
      </c>
      <c r="D318" t="b">
        <v>0</v>
      </c>
      <c r="E318">
        <v>16</v>
      </c>
      <c r="F318">
        <v>12</v>
      </c>
      <c r="G318">
        <v>2</v>
      </c>
      <c r="H318" t="s">
        <v>1111</v>
      </c>
    </row>
    <row r="319" spans="1:8" x14ac:dyDescent="0.25">
      <c r="A319">
        <v>32</v>
      </c>
      <c r="B319" t="b">
        <v>0</v>
      </c>
      <c r="C319" s="6">
        <v>46494.625</v>
      </c>
      <c r="D319" t="b">
        <v>0</v>
      </c>
      <c r="E319">
        <v>8</v>
      </c>
      <c r="F319">
        <v>15</v>
      </c>
      <c r="G319">
        <v>5</v>
      </c>
      <c r="H319" t="s">
        <v>1111</v>
      </c>
    </row>
    <row r="320" spans="1:8" x14ac:dyDescent="0.25">
      <c r="A320">
        <v>32</v>
      </c>
      <c r="B320" t="b">
        <v>0</v>
      </c>
      <c r="C320" s="6">
        <v>46494.625</v>
      </c>
      <c r="D320" t="b">
        <v>0</v>
      </c>
      <c r="E320">
        <v>19</v>
      </c>
      <c r="F320">
        <v>17</v>
      </c>
      <c r="G320">
        <v>3</v>
      </c>
      <c r="H320" t="s">
        <v>1111</v>
      </c>
    </row>
    <row r="321" spans="1:8" x14ac:dyDescent="0.25">
      <c r="A321">
        <v>32</v>
      </c>
      <c r="B321" t="b">
        <v>0</v>
      </c>
      <c r="C321" s="6">
        <v>46494.625</v>
      </c>
      <c r="D321" t="b">
        <v>0</v>
      </c>
      <c r="E321">
        <v>14</v>
      </c>
      <c r="F321">
        <v>18</v>
      </c>
      <c r="G321">
        <v>3</v>
      </c>
      <c r="H321" t="s">
        <v>1111</v>
      </c>
    </row>
    <row r="322" spans="1:8" x14ac:dyDescent="0.25">
      <c r="A322">
        <v>33</v>
      </c>
      <c r="B322" t="b">
        <v>0</v>
      </c>
      <c r="C322" s="6">
        <v>46501.625</v>
      </c>
      <c r="D322" t="b">
        <v>0</v>
      </c>
      <c r="E322">
        <v>7</v>
      </c>
      <c r="F322">
        <v>2</v>
      </c>
      <c r="G322">
        <v>4</v>
      </c>
      <c r="H322" t="s">
        <v>1111</v>
      </c>
    </row>
    <row r="323" spans="1:8" x14ac:dyDescent="0.25">
      <c r="A323">
        <v>33</v>
      </c>
      <c r="B323" t="b">
        <v>0</v>
      </c>
      <c r="C323" s="6">
        <v>46501.625</v>
      </c>
      <c r="D323" t="b">
        <v>0</v>
      </c>
      <c r="E323">
        <v>1</v>
      </c>
      <c r="F323">
        <v>3</v>
      </c>
      <c r="G323">
        <v>3</v>
      </c>
      <c r="H323" t="s">
        <v>1111</v>
      </c>
    </row>
    <row r="324" spans="1:8" x14ac:dyDescent="0.25">
      <c r="A324">
        <v>33</v>
      </c>
      <c r="B324" t="b">
        <v>0</v>
      </c>
      <c r="C324" s="6">
        <v>46501.625</v>
      </c>
      <c r="D324" t="b">
        <v>0</v>
      </c>
      <c r="E324">
        <v>10</v>
      </c>
      <c r="F324">
        <v>4</v>
      </c>
      <c r="G324">
        <v>3</v>
      </c>
      <c r="H324" t="s">
        <v>1111</v>
      </c>
    </row>
    <row r="325" spans="1:8" x14ac:dyDescent="0.25">
      <c r="A325">
        <v>33</v>
      </c>
      <c r="B325" t="b">
        <v>0</v>
      </c>
      <c r="C325" s="6">
        <v>46501.625</v>
      </c>
      <c r="D325" t="b">
        <v>0</v>
      </c>
      <c r="E325">
        <v>15</v>
      </c>
      <c r="F325">
        <v>6</v>
      </c>
      <c r="G325">
        <v>4</v>
      </c>
      <c r="H325" t="s">
        <v>1111</v>
      </c>
    </row>
    <row r="326" spans="1:8" x14ac:dyDescent="0.25">
      <c r="A326">
        <v>33</v>
      </c>
      <c r="B326" t="b">
        <v>0</v>
      </c>
      <c r="C326" s="6">
        <v>46501.625</v>
      </c>
      <c r="D326" t="b">
        <v>0</v>
      </c>
      <c r="E326">
        <v>5</v>
      </c>
      <c r="F326">
        <v>9</v>
      </c>
      <c r="G326">
        <v>3</v>
      </c>
      <c r="H326" t="s">
        <v>1111</v>
      </c>
    </row>
    <row r="327" spans="1:8" x14ac:dyDescent="0.25">
      <c r="A327">
        <v>33</v>
      </c>
      <c r="B327" t="b">
        <v>0</v>
      </c>
      <c r="C327" s="6">
        <v>46501.625</v>
      </c>
      <c r="D327" t="b">
        <v>0</v>
      </c>
      <c r="E327">
        <v>14</v>
      </c>
      <c r="F327">
        <v>13</v>
      </c>
      <c r="G327">
        <v>3</v>
      </c>
      <c r="H327" t="s">
        <v>1111</v>
      </c>
    </row>
    <row r="328" spans="1:8" x14ac:dyDescent="0.25">
      <c r="A328">
        <v>33</v>
      </c>
      <c r="B328" t="b">
        <v>0</v>
      </c>
      <c r="C328" s="6">
        <v>46501.625</v>
      </c>
      <c r="D328" t="b">
        <v>0</v>
      </c>
      <c r="E328">
        <v>8</v>
      </c>
      <c r="F328">
        <v>16</v>
      </c>
      <c r="G328">
        <v>4</v>
      </c>
      <c r="H328" t="s">
        <v>1111</v>
      </c>
    </row>
    <row r="329" spans="1:8" x14ac:dyDescent="0.25">
      <c r="A329">
        <v>33</v>
      </c>
      <c r="B329" t="b">
        <v>0</v>
      </c>
      <c r="C329" s="6">
        <v>46501.625</v>
      </c>
      <c r="D329" t="b">
        <v>0</v>
      </c>
      <c r="E329">
        <v>12</v>
      </c>
      <c r="F329">
        <v>17</v>
      </c>
      <c r="G329">
        <v>3</v>
      </c>
      <c r="H329" t="s">
        <v>1111</v>
      </c>
    </row>
    <row r="330" spans="1:8" x14ac:dyDescent="0.25">
      <c r="A330">
        <v>33</v>
      </c>
      <c r="B330" t="b">
        <v>0</v>
      </c>
      <c r="C330" s="6">
        <v>46501.625</v>
      </c>
      <c r="D330" t="b">
        <v>0</v>
      </c>
      <c r="E330">
        <v>20</v>
      </c>
      <c r="F330">
        <v>18</v>
      </c>
      <c r="G330">
        <v>3</v>
      </c>
      <c r="H330" t="s">
        <v>1111</v>
      </c>
    </row>
    <row r="331" spans="1:8" x14ac:dyDescent="0.25">
      <c r="A331">
        <v>33</v>
      </c>
      <c r="B331" t="b">
        <v>0</v>
      </c>
      <c r="C331" s="6">
        <v>46501.625</v>
      </c>
      <c r="D331" t="b">
        <v>0</v>
      </c>
      <c r="E331">
        <v>11</v>
      </c>
      <c r="F331">
        <v>19</v>
      </c>
      <c r="G331">
        <v>3</v>
      </c>
      <c r="H331" t="s">
        <v>1111</v>
      </c>
    </row>
    <row r="332" spans="1:8" x14ac:dyDescent="0.25">
      <c r="A332">
        <v>34</v>
      </c>
      <c r="B332" t="b">
        <v>0</v>
      </c>
      <c r="C332" s="6">
        <v>46508.625</v>
      </c>
      <c r="D332" t="b">
        <v>0</v>
      </c>
      <c r="E332">
        <v>19</v>
      </c>
      <c r="F332">
        <v>1</v>
      </c>
      <c r="G332">
        <v>5</v>
      </c>
      <c r="H332" t="s">
        <v>1111</v>
      </c>
    </row>
    <row r="333" spans="1:8" x14ac:dyDescent="0.25">
      <c r="A333">
        <v>34</v>
      </c>
      <c r="B333" t="b">
        <v>0</v>
      </c>
      <c r="C333" s="6">
        <v>46508.625</v>
      </c>
      <c r="D333" t="b">
        <v>0</v>
      </c>
      <c r="E333">
        <v>18</v>
      </c>
      <c r="F333">
        <v>5</v>
      </c>
      <c r="G333">
        <v>3</v>
      </c>
      <c r="H333" t="s">
        <v>1111</v>
      </c>
    </row>
    <row r="334" spans="1:8" x14ac:dyDescent="0.25">
      <c r="A334">
        <v>34</v>
      </c>
      <c r="B334" t="b">
        <v>0</v>
      </c>
      <c r="C334" s="6">
        <v>46508.625</v>
      </c>
      <c r="D334" t="b">
        <v>0</v>
      </c>
      <c r="E334">
        <v>16</v>
      </c>
      <c r="F334">
        <v>7</v>
      </c>
      <c r="G334">
        <v>2</v>
      </c>
      <c r="H334" t="s">
        <v>1111</v>
      </c>
    </row>
    <row r="335" spans="1:8" x14ac:dyDescent="0.25">
      <c r="A335">
        <v>34</v>
      </c>
      <c r="B335" t="b">
        <v>0</v>
      </c>
      <c r="C335" s="6">
        <v>46508.625</v>
      </c>
      <c r="D335" t="b">
        <v>0</v>
      </c>
      <c r="E335">
        <v>2</v>
      </c>
      <c r="F335">
        <v>8</v>
      </c>
      <c r="G335">
        <v>3</v>
      </c>
      <c r="H335" t="s">
        <v>1111</v>
      </c>
    </row>
    <row r="336" spans="1:8" x14ac:dyDescent="0.25">
      <c r="A336">
        <v>34</v>
      </c>
      <c r="B336" t="b">
        <v>0</v>
      </c>
      <c r="C336" s="6">
        <v>46508.625</v>
      </c>
      <c r="D336" t="b">
        <v>0</v>
      </c>
      <c r="E336">
        <v>9</v>
      </c>
      <c r="F336">
        <v>10</v>
      </c>
      <c r="G336">
        <v>3</v>
      </c>
      <c r="H336" t="s">
        <v>1111</v>
      </c>
    </row>
    <row r="337" spans="1:8" x14ac:dyDescent="0.25">
      <c r="A337">
        <v>34</v>
      </c>
      <c r="B337" t="b">
        <v>0</v>
      </c>
      <c r="C337" s="6">
        <v>46508.625</v>
      </c>
      <c r="D337" t="b">
        <v>0</v>
      </c>
      <c r="E337">
        <v>3</v>
      </c>
      <c r="F337">
        <v>11</v>
      </c>
      <c r="G337">
        <v>2</v>
      </c>
      <c r="H337" t="s">
        <v>1111</v>
      </c>
    </row>
    <row r="338" spans="1:8" x14ac:dyDescent="0.25">
      <c r="A338">
        <v>34</v>
      </c>
      <c r="B338" t="b">
        <v>0</v>
      </c>
      <c r="C338" s="6">
        <v>46508.625</v>
      </c>
      <c r="D338" t="b">
        <v>0</v>
      </c>
      <c r="E338">
        <v>13</v>
      </c>
      <c r="F338">
        <v>12</v>
      </c>
      <c r="G338">
        <v>2</v>
      </c>
      <c r="H338" t="s">
        <v>1111</v>
      </c>
    </row>
    <row r="339" spans="1:8" x14ac:dyDescent="0.25">
      <c r="A339">
        <v>34</v>
      </c>
      <c r="B339" t="b">
        <v>0</v>
      </c>
      <c r="C339" s="6">
        <v>46508.625</v>
      </c>
      <c r="D339" t="b">
        <v>0</v>
      </c>
      <c r="E339">
        <v>6</v>
      </c>
      <c r="F339">
        <v>14</v>
      </c>
      <c r="G339">
        <v>4</v>
      </c>
      <c r="H339" t="s">
        <v>1111</v>
      </c>
    </row>
    <row r="340" spans="1:8" x14ac:dyDescent="0.25">
      <c r="A340">
        <v>34</v>
      </c>
      <c r="B340" t="b">
        <v>0</v>
      </c>
      <c r="C340" s="6">
        <v>46508.625</v>
      </c>
      <c r="D340" t="b">
        <v>0</v>
      </c>
      <c r="E340">
        <v>4</v>
      </c>
      <c r="F340">
        <v>15</v>
      </c>
      <c r="G340">
        <v>5</v>
      </c>
      <c r="H340" t="s">
        <v>1111</v>
      </c>
    </row>
    <row r="341" spans="1:8" x14ac:dyDescent="0.25">
      <c r="A341">
        <v>34</v>
      </c>
      <c r="B341" t="b">
        <v>0</v>
      </c>
      <c r="C341" s="6">
        <v>46508.625</v>
      </c>
      <c r="D341" t="b">
        <v>0</v>
      </c>
      <c r="E341">
        <v>17</v>
      </c>
      <c r="F341">
        <v>20</v>
      </c>
      <c r="G341">
        <v>3</v>
      </c>
      <c r="H341" t="s">
        <v>1111</v>
      </c>
    </row>
    <row r="342" spans="1:8" x14ac:dyDescent="0.25">
      <c r="A342">
        <v>35</v>
      </c>
      <c r="B342" t="b">
        <v>0</v>
      </c>
      <c r="C342" s="6">
        <v>46515.625</v>
      </c>
      <c r="D342" t="b">
        <v>0</v>
      </c>
      <c r="E342">
        <v>16</v>
      </c>
      <c r="F342">
        <v>3</v>
      </c>
      <c r="G342">
        <v>3</v>
      </c>
      <c r="H342" t="s">
        <v>1111</v>
      </c>
    </row>
    <row r="343" spans="1:8" x14ac:dyDescent="0.25">
      <c r="A343">
        <v>35</v>
      </c>
      <c r="B343" t="b">
        <v>0</v>
      </c>
      <c r="C343" s="6">
        <v>46515.625</v>
      </c>
      <c r="D343" t="b">
        <v>0</v>
      </c>
      <c r="E343">
        <v>2</v>
      </c>
      <c r="F343">
        <v>4</v>
      </c>
      <c r="G343">
        <v>3</v>
      </c>
      <c r="H343" t="s">
        <v>1111</v>
      </c>
    </row>
    <row r="344" spans="1:8" x14ac:dyDescent="0.25">
      <c r="A344">
        <v>35</v>
      </c>
      <c r="B344" t="b">
        <v>0</v>
      </c>
      <c r="C344" s="6">
        <v>46515.625</v>
      </c>
      <c r="D344" t="b">
        <v>0</v>
      </c>
      <c r="E344">
        <v>20</v>
      </c>
      <c r="F344">
        <v>5</v>
      </c>
      <c r="G344">
        <v>3</v>
      </c>
      <c r="H344" t="s">
        <v>1111</v>
      </c>
    </row>
    <row r="345" spans="1:8" x14ac:dyDescent="0.25">
      <c r="A345">
        <v>35</v>
      </c>
      <c r="B345" t="b">
        <v>0</v>
      </c>
      <c r="C345" s="6">
        <v>46515.625</v>
      </c>
      <c r="D345" t="b">
        <v>0</v>
      </c>
      <c r="E345">
        <v>11</v>
      </c>
      <c r="F345">
        <v>9</v>
      </c>
      <c r="G345">
        <v>3</v>
      </c>
      <c r="H345" t="s">
        <v>1111</v>
      </c>
    </row>
    <row r="346" spans="1:8" x14ac:dyDescent="0.25">
      <c r="A346">
        <v>35</v>
      </c>
      <c r="B346" t="b">
        <v>0</v>
      </c>
      <c r="C346" s="6">
        <v>46515.625</v>
      </c>
      <c r="D346" t="b">
        <v>0</v>
      </c>
      <c r="E346">
        <v>12</v>
      </c>
      <c r="F346">
        <v>10</v>
      </c>
      <c r="G346">
        <v>3</v>
      </c>
      <c r="H346" t="s">
        <v>1111</v>
      </c>
    </row>
    <row r="347" spans="1:8" x14ac:dyDescent="0.25">
      <c r="A347">
        <v>35</v>
      </c>
      <c r="B347" t="b">
        <v>0</v>
      </c>
      <c r="C347" s="6">
        <v>46515.625</v>
      </c>
      <c r="D347" t="b">
        <v>0</v>
      </c>
      <c r="E347">
        <v>1</v>
      </c>
      <c r="F347">
        <v>13</v>
      </c>
      <c r="G347">
        <v>3</v>
      </c>
      <c r="H347" t="s">
        <v>1111</v>
      </c>
    </row>
    <row r="348" spans="1:8" x14ac:dyDescent="0.25">
      <c r="A348">
        <v>35</v>
      </c>
      <c r="B348" t="b">
        <v>0</v>
      </c>
      <c r="C348" s="6">
        <v>46515.625</v>
      </c>
      <c r="D348" t="b">
        <v>0</v>
      </c>
      <c r="E348">
        <v>14</v>
      </c>
      <c r="F348">
        <v>15</v>
      </c>
      <c r="G348">
        <v>5</v>
      </c>
      <c r="H348" t="s">
        <v>1111</v>
      </c>
    </row>
    <row r="349" spans="1:8" x14ac:dyDescent="0.25">
      <c r="A349">
        <v>35</v>
      </c>
      <c r="B349" t="b">
        <v>0</v>
      </c>
      <c r="C349" s="6">
        <v>46515.625</v>
      </c>
      <c r="D349" t="b">
        <v>0</v>
      </c>
      <c r="E349">
        <v>7</v>
      </c>
      <c r="F349">
        <v>17</v>
      </c>
      <c r="G349">
        <v>3</v>
      </c>
      <c r="H349" t="s">
        <v>1111</v>
      </c>
    </row>
    <row r="350" spans="1:8" x14ac:dyDescent="0.25">
      <c r="A350">
        <v>35</v>
      </c>
      <c r="B350" t="b">
        <v>0</v>
      </c>
      <c r="C350" s="6">
        <v>46515.625</v>
      </c>
      <c r="D350" t="b">
        <v>0</v>
      </c>
      <c r="E350">
        <v>8</v>
      </c>
      <c r="F350">
        <v>18</v>
      </c>
      <c r="G350">
        <v>3</v>
      </c>
      <c r="H350" t="s">
        <v>1111</v>
      </c>
    </row>
    <row r="351" spans="1:8" x14ac:dyDescent="0.25">
      <c r="A351">
        <v>35</v>
      </c>
      <c r="B351" t="b">
        <v>0</v>
      </c>
      <c r="C351" s="6">
        <v>46515.625</v>
      </c>
      <c r="D351" t="b">
        <v>0</v>
      </c>
      <c r="E351">
        <v>6</v>
      </c>
      <c r="F351">
        <v>19</v>
      </c>
      <c r="G351">
        <v>3</v>
      </c>
      <c r="H351" t="s">
        <v>1111</v>
      </c>
    </row>
    <row r="352" spans="1:8" x14ac:dyDescent="0.25">
      <c r="A352">
        <v>36</v>
      </c>
      <c r="B352" t="b">
        <v>0</v>
      </c>
      <c r="C352" s="6">
        <v>46522.625</v>
      </c>
      <c r="D352" t="b">
        <v>0</v>
      </c>
      <c r="E352">
        <v>18</v>
      </c>
      <c r="F352">
        <v>1</v>
      </c>
      <c r="G352">
        <v>5</v>
      </c>
      <c r="H352" t="s">
        <v>1111</v>
      </c>
    </row>
    <row r="353" spans="1:8" x14ac:dyDescent="0.25">
      <c r="A353">
        <v>36</v>
      </c>
      <c r="B353" t="b">
        <v>0</v>
      </c>
      <c r="C353" s="6">
        <v>46522.625</v>
      </c>
      <c r="D353" t="b">
        <v>0</v>
      </c>
      <c r="E353">
        <v>17</v>
      </c>
      <c r="F353">
        <v>2</v>
      </c>
      <c r="G353">
        <v>4</v>
      </c>
      <c r="H353" t="s">
        <v>1111</v>
      </c>
    </row>
    <row r="354" spans="1:8" x14ac:dyDescent="0.25">
      <c r="A354">
        <v>36</v>
      </c>
      <c r="B354" t="b">
        <v>0</v>
      </c>
      <c r="C354" s="6">
        <v>46522.625</v>
      </c>
      <c r="D354" t="b">
        <v>0</v>
      </c>
      <c r="E354">
        <v>9</v>
      </c>
      <c r="F354">
        <v>6</v>
      </c>
      <c r="G354">
        <v>4</v>
      </c>
      <c r="H354" t="s">
        <v>1111</v>
      </c>
    </row>
    <row r="355" spans="1:8" x14ac:dyDescent="0.25">
      <c r="A355">
        <v>36</v>
      </c>
      <c r="B355" t="b">
        <v>0</v>
      </c>
      <c r="C355" s="6">
        <v>46522.625</v>
      </c>
      <c r="D355" t="b">
        <v>0</v>
      </c>
      <c r="E355">
        <v>19</v>
      </c>
      <c r="F355">
        <v>7</v>
      </c>
      <c r="G355">
        <v>2</v>
      </c>
      <c r="H355" t="s">
        <v>1111</v>
      </c>
    </row>
    <row r="356" spans="1:8" x14ac:dyDescent="0.25">
      <c r="A356">
        <v>36</v>
      </c>
      <c r="B356" t="b">
        <v>0</v>
      </c>
      <c r="C356" s="6">
        <v>46522.625</v>
      </c>
      <c r="D356" t="b">
        <v>0</v>
      </c>
      <c r="E356">
        <v>5</v>
      </c>
      <c r="F356">
        <v>8</v>
      </c>
      <c r="G356">
        <v>3</v>
      </c>
      <c r="H356" t="s">
        <v>1111</v>
      </c>
    </row>
    <row r="357" spans="1:8" x14ac:dyDescent="0.25">
      <c r="A357">
        <v>36</v>
      </c>
      <c r="B357" t="b">
        <v>0</v>
      </c>
      <c r="C357" s="6">
        <v>46522.625</v>
      </c>
      <c r="D357" t="b">
        <v>0</v>
      </c>
      <c r="E357">
        <v>10</v>
      </c>
      <c r="F357">
        <v>11</v>
      </c>
      <c r="G357">
        <v>2</v>
      </c>
      <c r="H357" t="s">
        <v>1111</v>
      </c>
    </row>
    <row r="358" spans="1:8" x14ac:dyDescent="0.25">
      <c r="A358">
        <v>36</v>
      </c>
      <c r="B358" t="b">
        <v>0</v>
      </c>
      <c r="C358" s="6">
        <v>46522.625</v>
      </c>
      <c r="D358" t="b">
        <v>0</v>
      </c>
      <c r="E358">
        <v>15</v>
      </c>
      <c r="F358">
        <v>12</v>
      </c>
      <c r="G358">
        <v>2</v>
      </c>
      <c r="H358" t="s">
        <v>1111</v>
      </c>
    </row>
    <row r="359" spans="1:8" x14ac:dyDescent="0.25">
      <c r="A359">
        <v>36</v>
      </c>
      <c r="B359" t="b">
        <v>0</v>
      </c>
      <c r="C359" s="6">
        <v>46522.625</v>
      </c>
      <c r="D359" t="b">
        <v>0</v>
      </c>
      <c r="E359">
        <v>4</v>
      </c>
      <c r="F359">
        <v>14</v>
      </c>
      <c r="G359">
        <v>4</v>
      </c>
      <c r="H359" t="s">
        <v>1111</v>
      </c>
    </row>
    <row r="360" spans="1:8" x14ac:dyDescent="0.25">
      <c r="A360">
        <v>36</v>
      </c>
      <c r="B360" t="b">
        <v>0</v>
      </c>
      <c r="C360" s="6">
        <v>46522.625</v>
      </c>
      <c r="D360" t="b">
        <v>0</v>
      </c>
      <c r="E360">
        <v>13</v>
      </c>
      <c r="F360">
        <v>16</v>
      </c>
      <c r="G360">
        <v>4</v>
      </c>
      <c r="H360" t="s">
        <v>1111</v>
      </c>
    </row>
    <row r="361" spans="1:8" x14ac:dyDescent="0.25">
      <c r="A361">
        <v>36</v>
      </c>
      <c r="B361" t="b">
        <v>0</v>
      </c>
      <c r="C361" s="6">
        <v>46522.625</v>
      </c>
      <c r="D361" t="b">
        <v>0</v>
      </c>
      <c r="E361">
        <v>3</v>
      </c>
      <c r="F361">
        <v>20</v>
      </c>
      <c r="G361">
        <v>3</v>
      </c>
      <c r="H361" t="s">
        <v>1111</v>
      </c>
    </row>
    <row r="362" spans="1:8" x14ac:dyDescent="0.25">
      <c r="A362">
        <v>37</v>
      </c>
      <c r="B362" t="b">
        <v>0</v>
      </c>
      <c r="C362" s="6">
        <v>46530.625</v>
      </c>
      <c r="D362" t="b">
        <v>0</v>
      </c>
      <c r="E362">
        <v>6</v>
      </c>
      <c r="F362">
        <v>3</v>
      </c>
      <c r="G362">
        <v>3</v>
      </c>
      <c r="H362" t="s">
        <v>1111</v>
      </c>
    </row>
    <row r="363" spans="1:8" x14ac:dyDescent="0.25">
      <c r="A363">
        <v>37</v>
      </c>
      <c r="B363" t="b">
        <v>0</v>
      </c>
      <c r="C363" s="6">
        <v>46530.625</v>
      </c>
      <c r="D363" t="b">
        <v>0</v>
      </c>
      <c r="E363">
        <v>11</v>
      </c>
      <c r="F363">
        <v>4</v>
      </c>
      <c r="G363">
        <v>3</v>
      </c>
      <c r="H363" t="s">
        <v>1111</v>
      </c>
    </row>
    <row r="364" spans="1:8" x14ac:dyDescent="0.25">
      <c r="A364">
        <v>37</v>
      </c>
      <c r="B364" t="b">
        <v>0</v>
      </c>
      <c r="C364" s="6">
        <v>46530.625</v>
      </c>
      <c r="D364" t="b">
        <v>0</v>
      </c>
      <c r="E364">
        <v>14</v>
      </c>
      <c r="F364">
        <v>5</v>
      </c>
      <c r="G364">
        <v>3</v>
      </c>
      <c r="H364" t="s">
        <v>1111</v>
      </c>
    </row>
    <row r="365" spans="1:8" x14ac:dyDescent="0.25">
      <c r="A365">
        <v>37</v>
      </c>
      <c r="B365" t="b">
        <v>0</v>
      </c>
      <c r="C365" s="6">
        <v>46530.625</v>
      </c>
      <c r="D365" t="b">
        <v>0</v>
      </c>
      <c r="E365">
        <v>1</v>
      </c>
      <c r="F365">
        <v>9</v>
      </c>
      <c r="G365">
        <v>3</v>
      </c>
      <c r="H365" t="s">
        <v>1111</v>
      </c>
    </row>
    <row r="366" spans="1:8" x14ac:dyDescent="0.25">
      <c r="A366">
        <v>37</v>
      </c>
      <c r="B366" t="b">
        <v>0</v>
      </c>
      <c r="C366" s="6">
        <v>46530.625</v>
      </c>
      <c r="D366" t="b">
        <v>0</v>
      </c>
      <c r="E366">
        <v>7</v>
      </c>
      <c r="F366">
        <v>10</v>
      </c>
      <c r="G366">
        <v>3</v>
      </c>
      <c r="H366" t="s">
        <v>1111</v>
      </c>
    </row>
    <row r="367" spans="1:8" x14ac:dyDescent="0.25">
      <c r="A367">
        <v>37</v>
      </c>
      <c r="B367" t="b">
        <v>0</v>
      </c>
      <c r="C367" s="6">
        <v>46530.625</v>
      </c>
      <c r="D367" t="b">
        <v>0</v>
      </c>
      <c r="E367">
        <v>20</v>
      </c>
      <c r="F367">
        <v>13</v>
      </c>
      <c r="G367">
        <v>3</v>
      </c>
      <c r="H367" t="s">
        <v>1111</v>
      </c>
    </row>
    <row r="368" spans="1:8" x14ac:dyDescent="0.25">
      <c r="A368">
        <v>37</v>
      </c>
      <c r="B368" t="b">
        <v>0</v>
      </c>
      <c r="C368" s="6">
        <v>46530.625</v>
      </c>
      <c r="D368" t="b">
        <v>0</v>
      </c>
      <c r="E368">
        <v>2</v>
      </c>
      <c r="F368">
        <v>15</v>
      </c>
      <c r="G368">
        <v>5</v>
      </c>
      <c r="H368" t="s">
        <v>1111</v>
      </c>
    </row>
    <row r="369" spans="1:8" x14ac:dyDescent="0.25">
      <c r="A369">
        <v>37</v>
      </c>
      <c r="B369" t="b">
        <v>0</v>
      </c>
      <c r="C369" s="6">
        <v>46530.625</v>
      </c>
      <c r="D369" t="b">
        <v>0</v>
      </c>
      <c r="E369">
        <v>8</v>
      </c>
      <c r="F369">
        <v>17</v>
      </c>
      <c r="G369">
        <v>3</v>
      </c>
      <c r="H369" t="s">
        <v>1111</v>
      </c>
    </row>
    <row r="370" spans="1:8" x14ac:dyDescent="0.25">
      <c r="A370">
        <v>37</v>
      </c>
      <c r="B370" t="b">
        <v>0</v>
      </c>
      <c r="C370" s="6">
        <v>46530.625</v>
      </c>
      <c r="D370" t="b">
        <v>0</v>
      </c>
      <c r="E370">
        <v>12</v>
      </c>
      <c r="F370">
        <v>18</v>
      </c>
      <c r="G370">
        <v>3</v>
      </c>
      <c r="H370" t="s">
        <v>1111</v>
      </c>
    </row>
    <row r="371" spans="1:8" x14ac:dyDescent="0.25">
      <c r="A371">
        <v>37</v>
      </c>
      <c r="B371" t="b">
        <v>0</v>
      </c>
      <c r="C371" s="6">
        <v>46530.625</v>
      </c>
      <c r="D371" t="b">
        <v>0</v>
      </c>
      <c r="E371">
        <v>16</v>
      </c>
      <c r="F371">
        <v>19</v>
      </c>
      <c r="G371">
        <v>3</v>
      </c>
      <c r="H371" t="s">
        <v>1111</v>
      </c>
    </row>
    <row r="372" spans="1:8" x14ac:dyDescent="0.25">
      <c r="A372">
        <v>38</v>
      </c>
      <c r="B372" t="b">
        <v>0</v>
      </c>
      <c r="C372" s="6">
        <v>46537.666666666664</v>
      </c>
      <c r="D372" t="b">
        <v>0</v>
      </c>
      <c r="E372">
        <v>5</v>
      </c>
      <c r="F372">
        <v>1</v>
      </c>
      <c r="G372">
        <v>5</v>
      </c>
      <c r="H372" t="s">
        <v>1111</v>
      </c>
    </row>
    <row r="373" spans="1:8" x14ac:dyDescent="0.25">
      <c r="A373">
        <v>38</v>
      </c>
      <c r="B373" t="b">
        <v>0</v>
      </c>
      <c r="C373" s="6">
        <v>46537.666666666664</v>
      </c>
      <c r="D373" t="b">
        <v>0</v>
      </c>
      <c r="E373">
        <v>19</v>
      </c>
      <c r="F373">
        <v>2</v>
      </c>
      <c r="G373">
        <v>4</v>
      </c>
      <c r="H373" t="s">
        <v>1111</v>
      </c>
    </row>
    <row r="374" spans="1:8" x14ac:dyDescent="0.25">
      <c r="A374">
        <v>38</v>
      </c>
      <c r="B374" t="b">
        <v>0</v>
      </c>
      <c r="C374" s="6">
        <v>46537.666666666664</v>
      </c>
      <c r="D374" t="b">
        <v>0</v>
      </c>
      <c r="E374">
        <v>4</v>
      </c>
      <c r="F374">
        <v>6</v>
      </c>
      <c r="G374">
        <v>4</v>
      </c>
      <c r="H374" t="s">
        <v>1111</v>
      </c>
    </row>
    <row r="375" spans="1:8" x14ac:dyDescent="0.25">
      <c r="A375">
        <v>38</v>
      </c>
      <c r="B375" t="b">
        <v>0</v>
      </c>
      <c r="C375" s="6">
        <v>46537.666666666664</v>
      </c>
      <c r="D375" t="b">
        <v>0</v>
      </c>
      <c r="E375">
        <v>18</v>
      </c>
      <c r="F375">
        <v>7</v>
      </c>
      <c r="G375">
        <v>2</v>
      </c>
      <c r="H375" t="s">
        <v>1111</v>
      </c>
    </row>
    <row r="376" spans="1:8" x14ac:dyDescent="0.25">
      <c r="A376">
        <v>38</v>
      </c>
      <c r="B376" t="b">
        <v>0</v>
      </c>
      <c r="C376" s="6">
        <v>46537.666666666664</v>
      </c>
      <c r="D376" t="b">
        <v>0</v>
      </c>
      <c r="E376">
        <v>13</v>
      </c>
      <c r="F376">
        <v>8</v>
      </c>
      <c r="G376">
        <v>3</v>
      </c>
      <c r="H376" t="s">
        <v>1111</v>
      </c>
    </row>
    <row r="377" spans="1:8" x14ac:dyDescent="0.25">
      <c r="A377">
        <v>38</v>
      </c>
      <c r="B377" t="b">
        <v>0</v>
      </c>
      <c r="C377" s="6">
        <v>46537.666666666664</v>
      </c>
      <c r="D377" t="b">
        <v>0</v>
      </c>
      <c r="E377">
        <v>17</v>
      </c>
      <c r="F377">
        <v>11</v>
      </c>
      <c r="G377">
        <v>2</v>
      </c>
      <c r="H377" t="s">
        <v>1111</v>
      </c>
    </row>
    <row r="378" spans="1:8" x14ac:dyDescent="0.25">
      <c r="A378">
        <v>38</v>
      </c>
      <c r="B378" t="b">
        <v>0</v>
      </c>
      <c r="C378" s="6">
        <v>46537.666666666664</v>
      </c>
      <c r="D378" t="b">
        <v>0</v>
      </c>
      <c r="E378">
        <v>9</v>
      </c>
      <c r="F378">
        <v>12</v>
      </c>
      <c r="G378">
        <v>2</v>
      </c>
      <c r="H378" t="s">
        <v>1111</v>
      </c>
    </row>
    <row r="379" spans="1:8" x14ac:dyDescent="0.25">
      <c r="A379">
        <v>38</v>
      </c>
      <c r="B379" t="b">
        <v>0</v>
      </c>
      <c r="C379" s="6">
        <v>46537.666666666664</v>
      </c>
      <c r="D379" t="b">
        <v>0</v>
      </c>
      <c r="E379">
        <v>3</v>
      </c>
      <c r="F379">
        <v>14</v>
      </c>
      <c r="G379">
        <v>4</v>
      </c>
      <c r="H379" t="s">
        <v>1111</v>
      </c>
    </row>
    <row r="380" spans="1:8" x14ac:dyDescent="0.25">
      <c r="A380">
        <v>38</v>
      </c>
      <c r="B380" t="b">
        <v>0</v>
      </c>
      <c r="C380" s="6">
        <v>46537.666666666664</v>
      </c>
      <c r="D380" t="b">
        <v>0</v>
      </c>
      <c r="E380">
        <v>10</v>
      </c>
      <c r="F380">
        <v>16</v>
      </c>
      <c r="G380">
        <v>4</v>
      </c>
      <c r="H380" t="s">
        <v>1111</v>
      </c>
    </row>
    <row r="381" spans="1:8" x14ac:dyDescent="0.25">
      <c r="A381">
        <v>38</v>
      </c>
      <c r="B381" t="b">
        <v>0</v>
      </c>
      <c r="C381" s="6">
        <v>46537.666666666664</v>
      </c>
      <c r="D381" t="b">
        <v>0</v>
      </c>
      <c r="E381">
        <v>15</v>
      </c>
      <c r="F381">
        <v>20</v>
      </c>
      <c r="G381">
        <v>3</v>
      </c>
      <c r="H381" t="s">
        <v>1111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963B-BD55-4ACC-B7A6-8FFFED6519F0}">
  <dimension ref="A1:H38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9.140625" bestFit="1" customWidth="1"/>
    <col min="3" max="3" width="23.140625" bestFit="1" customWidth="1"/>
    <col min="4" max="4" width="18.140625" bestFit="1" customWidth="1"/>
    <col min="5" max="5" width="8.140625" bestFit="1" customWidth="1"/>
    <col min="6" max="6" width="12.28515625" bestFit="1" customWidth="1"/>
    <col min="7" max="7" width="11.42578125" bestFit="1" customWidth="1"/>
    <col min="8" max="8" width="14" bestFit="1" customWidth="1"/>
  </cols>
  <sheetData>
    <row r="1" spans="1:8" x14ac:dyDescent="0.25">
      <c r="A1" t="s">
        <v>1056</v>
      </c>
      <c r="B1" t="s">
        <v>1057</v>
      </c>
      <c r="C1" t="s">
        <v>1058</v>
      </c>
      <c r="D1" t="s">
        <v>1063</v>
      </c>
      <c r="E1" t="s">
        <v>1041</v>
      </c>
      <c r="F1" t="s">
        <v>1060</v>
      </c>
      <c r="G1" t="s">
        <v>1062</v>
      </c>
      <c r="H1" t="s">
        <v>1107</v>
      </c>
    </row>
    <row r="2" spans="1:8" x14ac:dyDescent="0.25">
      <c r="A2">
        <v>1</v>
      </c>
      <c r="B2" t="b">
        <v>1</v>
      </c>
      <c r="C2" s="6">
        <v>46255.833333333336</v>
      </c>
      <c r="D2" t="b">
        <v>1</v>
      </c>
      <c r="E2">
        <v>1</v>
      </c>
      <c r="F2">
        <v>7</v>
      </c>
      <c r="G2">
        <v>2</v>
      </c>
      <c r="H2" t="s">
        <v>1110</v>
      </c>
    </row>
    <row r="3" spans="1:8" x14ac:dyDescent="0.25">
      <c r="A3">
        <v>1</v>
      </c>
      <c r="B3" t="b">
        <v>1</v>
      </c>
      <c r="C3" s="6">
        <v>46256.520833333336</v>
      </c>
      <c r="D3" t="b">
        <v>1</v>
      </c>
      <c r="E3">
        <v>11</v>
      </c>
      <c r="F3">
        <v>16</v>
      </c>
      <c r="G3">
        <v>4</v>
      </c>
      <c r="H3" t="s">
        <v>1110</v>
      </c>
    </row>
    <row r="4" spans="1:8" x14ac:dyDescent="0.25">
      <c r="A4">
        <v>1</v>
      </c>
      <c r="B4" t="b">
        <v>1</v>
      </c>
      <c r="C4" s="6">
        <v>46256.625</v>
      </c>
      <c r="D4" t="b">
        <v>1</v>
      </c>
      <c r="E4">
        <v>9</v>
      </c>
      <c r="F4">
        <v>8</v>
      </c>
      <c r="G4">
        <v>3</v>
      </c>
      <c r="H4" t="s">
        <v>1110</v>
      </c>
    </row>
    <row r="5" spans="1:8" x14ac:dyDescent="0.25">
      <c r="A5">
        <v>1</v>
      </c>
      <c r="B5" t="b">
        <v>1</v>
      </c>
      <c r="C5" s="6">
        <v>46256.625</v>
      </c>
      <c r="D5" t="b">
        <v>1</v>
      </c>
      <c r="E5">
        <v>12</v>
      </c>
      <c r="F5">
        <v>20</v>
      </c>
      <c r="G5">
        <v>2</v>
      </c>
      <c r="H5" t="s">
        <v>1110</v>
      </c>
    </row>
    <row r="6" spans="1:8" x14ac:dyDescent="0.25">
      <c r="A6">
        <v>1</v>
      </c>
      <c r="B6" t="b">
        <v>1</v>
      </c>
      <c r="C6" s="6">
        <v>46256.625</v>
      </c>
      <c r="D6" t="b">
        <v>1</v>
      </c>
      <c r="E6">
        <v>18</v>
      </c>
      <c r="F6">
        <v>13</v>
      </c>
      <c r="G6">
        <v>2</v>
      </c>
      <c r="H6" t="s">
        <v>1110</v>
      </c>
    </row>
    <row r="7" spans="1:8" x14ac:dyDescent="0.25">
      <c r="A7">
        <v>1</v>
      </c>
      <c r="B7" t="b">
        <v>1</v>
      </c>
      <c r="C7" s="6">
        <v>46256.729166666664</v>
      </c>
      <c r="D7" t="b">
        <v>1</v>
      </c>
      <c r="E7">
        <v>4</v>
      </c>
      <c r="F7">
        <v>19</v>
      </c>
      <c r="G7">
        <v>3</v>
      </c>
      <c r="H7" t="s">
        <v>1110</v>
      </c>
    </row>
    <row r="8" spans="1:8" x14ac:dyDescent="0.25">
      <c r="A8">
        <v>1</v>
      </c>
      <c r="B8" t="b">
        <v>1</v>
      </c>
      <c r="C8" s="6">
        <v>46257.583333333336</v>
      </c>
      <c r="D8" t="b">
        <v>1</v>
      </c>
      <c r="E8">
        <v>5</v>
      </c>
      <c r="F8">
        <v>2</v>
      </c>
      <c r="G8">
        <v>3</v>
      </c>
      <c r="H8" t="s">
        <v>1110</v>
      </c>
    </row>
    <row r="9" spans="1:8" x14ac:dyDescent="0.25">
      <c r="A9">
        <v>1</v>
      </c>
      <c r="B9" t="b">
        <v>1</v>
      </c>
      <c r="C9" s="6">
        <v>46257.583333333336</v>
      </c>
      <c r="D9" t="b">
        <v>1</v>
      </c>
      <c r="E9">
        <v>15</v>
      </c>
      <c r="F9">
        <v>3</v>
      </c>
      <c r="G9">
        <v>3</v>
      </c>
      <c r="H9" t="s">
        <v>1110</v>
      </c>
    </row>
    <row r="10" spans="1:8" x14ac:dyDescent="0.25">
      <c r="A10">
        <v>1</v>
      </c>
      <c r="B10" t="b">
        <v>1</v>
      </c>
      <c r="C10" s="6">
        <v>46257.6875</v>
      </c>
      <c r="D10" t="b">
        <v>1</v>
      </c>
      <c r="E10">
        <v>17</v>
      </c>
      <c r="F10">
        <v>14</v>
      </c>
      <c r="G10">
        <v>4</v>
      </c>
      <c r="H10" t="s">
        <v>1110</v>
      </c>
    </row>
    <row r="11" spans="1:8" x14ac:dyDescent="0.25">
      <c r="A11">
        <v>1</v>
      </c>
      <c r="B11" t="b">
        <v>1</v>
      </c>
      <c r="C11" s="6">
        <v>46258.833333333336</v>
      </c>
      <c r="D11" t="b">
        <v>1</v>
      </c>
      <c r="E11">
        <v>10</v>
      </c>
      <c r="F11">
        <v>6</v>
      </c>
      <c r="G11">
        <v>4</v>
      </c>
      <c r="H11" t="s">
        <v>1110</v>
      </c>
    </row>
    <row r="12" spans="1:8" x14ac:dyDescent="0.25">
      <c r="A12">
        <v>2</v>
      </c>
      <c r="B12" t="b">
        <v>1</v>
      </c>
      <c r="C12" s="6">
        <v>46262.833333333336</v>
      </c>
      <c r="D12" t="b">
        <v>1</v>
      </c>
      <c r="E12">
        <v>8</v>
      </c>
      <c r="F12">
        <v>15</v>
      </c>
      <c r="G12">
        <v>4</v>
      </c>
      <c r="H12" t="s">
        <v>1110</v>
      </c>
    </row>
    <row r="13" spans="1:8" x14ac:dyDescent="0.25">
      <c r="A13">
        <v>2</v>
      </c>
      <c r="B13" t="b">
        <v>1</v>
      </c>
      <c r="C13" s="6">
        <v>46263.520833333336</v>
      </c>
      <c r="D13" t="b">
        <v>1</v>
      </c>
      <c r="E13">
        <v>14</v>
      </c>
      <c r="F13">
        <v>18</v>
      </c>
      <c r="G13">
        <v>3</v>
      </c>
      <c r="H13" t="s">
        <v>1110</v>
      </c>
    </row>
    <row r="14" spans="1:8" x14ac:dyDescent="0.25">
      <c r="A14">
        <v>2</v>
      </c>
      <c r="B14" t="b">
        <v>1</v>
      </c>
      <c r="C14" s="6">
        <v>46263.625</v>
      </c>
      <c r="D14" t="b">
        <v>1</v>
      </c>
      <c r="E14">
        <v>3</v>
      </c>
      <c r="F14">
        <v>9</v>
      </c>
      <c r="G14">
        <v>3</v>
      </c>
      <c r="H14" t="s">
        <v>1110</v>
      </c>
    </row>
    <row r="15" spans="1:8" x14ac:dyDescent="0.25">
      <c r="A15">
        <v>2</v>
      </c>
      <c r="B15" t="b">
        <v>1</v>
      </c>
      <c r="C15" s="6">
        <v>46263.625</v>
      </c>
      <c r="D15" t="b">
        <v>1</v>
      </c>
      <c r="E15">
        <v>7</v>
      </c>
      <c r="F15">
        <v>11</v>
      </c>
      <c r="G15">
        <v>2</v>
      </c>
      <c r="H15" t="s">
        <v>1110</v>
      </c>
    </row>
    <row r="16" spans="1:8" x14ac:dyDescent="0.25">
      <c r="A16">
        <v>2</v>
      </c>
      <c r="B16" t="b">
        <v>1</v>
      </c>
      <c r="C16" s="6">
        <v>46263.729166666664</v>
      </c>
      <c r="D16" t="b">
        <v>1</v>
      </c>
      <c r="E16">
        <v>19</v>
      </c>
      <c r="F16">
        <v>17</v>
      </c>
      <c r="G16">
        <v>2</v>
      </c>
      <c r="H16" t="s">
        <v>1110</v>
      </c>
    </row>
    <row r="17" spans="1:8" x14ac:dyDescent="0.25">
      <c r="A17">
        <v>2</v>
      </c>
      <c r="B17" t="b">
        <v>1</v>
      </c>
      <c r="C17" s="6">
        <v>46264.583333333336</v>
      </c>
      <c r="D17" t="b">
        <v>1</v>
      </c>
      <c r="E17">
        <v>6</v>
      </c>
      <c r="F17">
        <v>5</v>
      </c>
      <c r="G17">
        <v>2</v>
      </c>
      <c r="H17" t="s">
        <v>1110</v>
      </c>
    </row>
    <row r="18" spans="1:8" x14ac:dyDescent="0.25">
      <c r="A18">
        <v>2</v>
      </c>
      <c r="B18" t="b">
        <v>1</v>
      </c>
      <c r="C18" s="6">
        <v>46264.583333333336</v>
      </c>
      <c r="D18" t="b">
        <v>1</v>
      </c>
      <c r="E18">
        <v>13</v>
      </c>
      <c r="F18">
        <v>4</v>
      </c>
      <c r="G18">
        <v>3</v>
      </c>
      <c r="H18" t="s">
        <v>1110</v>
      </c>
    </row>
    <row r="19" spans="1:8" x14ac:dyDescent="0.25">
      <c r="A19">
        <v>2</v>
      </c>
      <c r="B19" t="b">
        <v>1</v>
      </c>
      <c r="C19" s="6">
        <v>46264.583333333336</v>
      </c>
      <c r="D19" t="b">
        <v>1</v>
      </c>
      <c r="E19">
        <v>20</v>
      </c>
      <c r="F19">
        <v>10</v>
      </c>
      <c r="G19">
        <v>2</v>
      </c>
      <c r="H19" t="s">
        <v>1110</v>
      </c>
    </row>
    <row r="20" spans="1:8" x14ac:dyDescent="0.25">
      <c r="A20">
        <v>2</v>
      </c>
      <c r="B20" t="b">
        <v>1</v>
      </c>
      <c r="C20" s="6">
        <v>46264.6875</v>
      </c>
      <c r="D20" t="b">
        <v>1</v>
      </c>
      <c r="E20">
        <v>16</v>
      </c>
      <c r="F20">
        <v>12</v>
      </c>
      <c r="G20">
        <v>2</v>
      </c>
      <c r="H20" t="s">
        <v>1110</v>
      </c>
    </row>
    <row r="21" spans="1:8" x14ac:dyDescent="0.25">
      <c r="A21">
        <v>2</v>
      </c>
      <c r="B21" t="b">
        <v>1</v>
      </c>
      <c r="C21" s="6">
        <v>46265.833333333336</v>
      </c>
      <c r="D21" t="b">
        <v>1</v>
      </c>
      <c r="E21">
        <v>2</v>
      </c>
      <c r="F21">
        <v>1</v>
      </c>
      <c r="G21">
        <v>4</v>
      </c>
      <c r="H21" t="s">
        <v>1110</v>
      </c>
    </row>
    <row r="22" spans="1:8" x14ac:dyDescent="0.25">
      <c r="A22">
        <v>3</v>
      </c>
      <c r="B22" t="b">
        <v>1</v>
      </c>
      <c r="C22" s="6">
        <v>46269.833333333336</v>
      </c>
      <c r="D22" t="b">
        <v>1</v>
      </c>
      <c r="E22">
        <v>12</v>
      </c>
      <c r="F22">
        <v>14</v>
      </c>
      <c r="G22">
        <v>4</v>
      </c>
      <c r="H22" t="s">
        <v>1110</v>
      </c>
    </row>
    <row r="23" spans="1:8" x14ac:dyDescent="0.25">
      <c r="A23">
        <v>3</v>
      </c>
      <c r="B23" t="b">
        <v>1</v>
      </c>
      <c r="C23" s="6">
        <v>46270.520833333336</v>
      </c>
      <c r="D23" t="b">
        <v>1</v>
      </c>
      <c r="E23">
        <v>17</v>
      </c>
      <c r="F23">
        <v>3</v>
      </c>
      <c r="G23">
        <v>3</v>
      </c>
      <c r="H23" t="s">
        <v>1110</v>
      </c>
    </row>
    <row r="24" spans="1:8" x14ac:dyDescent="0.25">
      <c r="A24">
        <v>3</v>
      </c>
      <c r="B24" t="b">
        <v>1</v>
      </c>
      <c r="C24" s="6">
        <v>46270.625</v>
      </c>
      <c r="D24" t="b">
        <v>1</v>
      </c>
      <c r="E24">
        <v>4</v>
      </c>
      <c r="F24">
        <v>20</v>
      </c>
      <c r="G24">
        <v>2</v>
      </c>
      <c r="H24" t="s">
        <v>1110</v>
      </c>
    </row>
    <row r="25" spans="1:8" x14ac:dyDescent="0.25">
      <c r="A25">
        <v>3</v>
      </c>
      <c r="B25" t="b">
        <v>1</v>
      </c>
      <c r="C25" s="6">
        <v>46270.625</v>
      </c>
      <c r="D25" t="b">
        <v>1</v>
      </c>
      <c r="E25">
        <v>5</v>
      </c>
      <c r="F25">
        <v>13</v>
      </c>
      <c r="G25">
        <v>2</v>
      </c>
      <c r="H25" t="s">
        <v>1110</v>
      </c>
    </row>
    <row r="26" spans="1:8" x14ac:dyDescent="0.25">
      <c r="A26">
        <v>3</v>
      </c>
      <c r="B26" t="b">
        <v>1</v>
      </c>
      <c r="C26" s="6">
        <v>46270.625</v>
      </c>
      <c r="D26" t="b">
        <v>1</v>
      </c>
      <c r="E26">
        <v>10</v>
      </c>
      <c r="F26">
        <v>8</v>
      </c>
      <c r="G26">
        <v>3</v>
      </c>
      <c r="H26" t="s">
        <v>1110</v>
      </c>
    </row>
    <row r="27" spans="1:8" x14ac:dyDescent="0.25">
      <c r="A27">
        <v>3</v>
      </c>
      <c r="B27" t="b">
        <v>1</v>
      </c>
      <c r="C27" s="6">
        <v>46270.625</v>
      </c>
      <c r="D27" t="b">
        <v>1</v>
      </c>
      <c r="E27">
        <v>15</v>
      </c>
      <c r="F27">
        <v>7</v>
      </c>
      <c r="G27">
        <v>2</v>
      </c>
      <c r="H27" t="s">
        <v>1110</v>
      </c>
    </row>
    <row r="28" spans="1:8" x14ac:dyDescent="0.25">
      <c r="A28">
        <v>3</v>
      </c>
      <c r="B28" t="b">
        <v>1</v>
      </c>
      <c r="C28" s="6">
        <v>46270.625</v>
      </c>
      <c r="D28" t="b">
        <v>1</v>
      </c>
      <c r="E28">
        <v>18</v>
      </c>
      <c r="F28">
        <v>19</v>
      </c>
      <c r="G28">
        <v>3</v>
      </c>
      <c r="H28" t="s">
        <v>1110</v>
      </c>
    </row>
    <row r="29" spans="1:8" x14ac:dyDescent="0.25">
      <c r="A29">
        <v>3</v>
      </c>
      <c r="B29" t="b">
        <v>1</v>
      </c>
      <c r="C29" s="6">
        <v>46270.729166666664</v>
      </c>
      <c r="D29" t="b">
        <v>1</v>
      </c>
      <c r="E29">
        <v>11</v>
      </c>
      <c r="F29">
        <v>2</v>
      </c>
      <c r="G29">
        <v>3</v>
      </c>
      <c r="H29" t="s">
        <v>1110</v>
      </c>
    </row>
    <row r="30" spans="1:8" x14ac:dyDescent="0.25">
      <c r="A30">
        <v>3</v>
      </c>
      <c r="B30" t="b">
        <v>1</v>
      </c>
      <c r="C30" s="6">
        <v>46271.583333333336</v>
      </c>
      <c r="D30" t="b">
        <v>1</v>
      </c>
      <c r="E30">
        <v>9</v>
      </c>
      <c r="F30">
        <v>16</v>
      </c>
      <c r="G30">
        <v>4</v>
      </c>
      <c r="H30" t="s">
        <v>1110</v>
      </c>
    </row>
    <row r="31" spans="1:8" x14ac:dyDescent="0.25">
      <c r="A31">
        <v>3</v>
      </c>
      <c r="B31" t="b">
        <v>1</v>
      </c>
      <c r="C31" s="6">
        <v>46271.6875</v>
      </c>
      <c r="D31" t="b">
        <v>1</v>
      </c>
      <c r="E31">
        <v>1</v>
      </c>
      <c r="F31">
        <v>6</v>
      </c>
      <c r="G31">
        <v>4</v>
      </c>
      <c r="H31" t="s">
        <v>1110</v>
      </c>
    </row>
    <row r="32" spans="1:8" x14ac:dyDescent="0.25">
      <c r="A32">
        <v>4</v>
      </c>
      <c r="B32" t="b">
        <v>0</v>
      </c>
      <c r="C32" s="6">
        <v>46277.625</v>
      </c>
      <c r="D32" t="b">
        <v>0</v>
      </c>
      <c r="E32">
        <v>2</v>
      </c>
      <c r="F32">
        <v>18</v>
      </c>
      <c r="G32">
        <v>3</v>
      </c>
      <c r="H32" t="s">
        <v>1110</v>
      </c>
    </row>
    <row r="33" spans="1:8" x14ac:dyDescent="0.25">
      <c r="A33">
        <v>4</v>
      </c>
      <c r="B33" t="b">
        <v>0</v>
      </c>
      <c r="C33" s="6">
        <v>46277.625</v>
      </c>
      <c r="D33" t="b">
        <v>0</v>
      </c>
      <c r="E33">
        <v>3</v>
      </c>
      <c r="F33">
        <v>4</v>
      </c>
      <c r="G33">
        <v>3</v>
      </c>
      <c r="H33" t="s">
        <v>1110</v>
      </c>
    </row>
    <row r="34" spans="1:8" x14ac:dyDescent="0.25">
      <c r="A34">
        <v>4</v>
      </c>
      <c r="B34" t="b">
        <v>0</v>
      </c>
      <c r="C34" s="6">
        <v>46277.625</v>
      </c>
      <c r="D34" t="b">
        <v>0</v>
      </c>
      <c r="E34">
        <v>6</v>
      </c>
      <c r="F34">
        <v>11</v>
      </c>
      <c r="G34">
        <v>2</v>
      </c>
      <c r="H34" t="s">
        <v>1110</v>
      </c>
    </row>
    <row r="35" spans="1:8" x14ac:dyDescent="0.25">
      <c r="A35">
        <v>4</v>
      </c>
      <c r="B35" t="b">
        <v>0</v>
      </c>
      <c r="C35" s="6">
        <v>46277.625</v>
      </c>
      <c r="D35" t="b">
        <v>0</v>
      </c>
      <c r="E35">
        <v>8</v>
      </c>
      <c r="F35">
        <v>12</v>
      </c>
      <c r="G35">
        <v>2</v>
      </c>
      <c r="H35" t="s">
        <v>1110</v>
      </c>
    </row>
    <row r="36" spans="1:8" x14ac:dyDescent="0.25">
      <c r="A36">
        <v>4</v>
      </c>
      <c r="B36" t="b">
        <v>0</v>
      </c>
      <c r="C36" s="6">
        <v>46277.625</v>
      </c>
      <c r="D36" t="b">
        <v>0</v>
      </c>
      <c r="E36">
        <v>14</v>
      </c>
      <c r="F36">
        <v>10</v>
      </c>
      <c r="G36">
        <v>2</v>
      </c>
      <c r="H36" t="s">
        <v>1110</v>
      </c>
    </row>
    <row r="37" spans="1:8" x14ac:dyDescent="0.25">
      <c r="A37">
        <v>4</v>
      </c>
      <c r="B37" t="b">
        <v>0</v>
      </c>
      <c r="C37" s="6">
        <v>46277.729166666664</v>
      </c>
      <c r="D37" t="b">
        <v>0</v>
      </c>
      <c r="E37">
        <v>19</v>
      </c>
      <c r="F37">
        <v>9</v>
      </c>
      <c r="G37">
        <v>3</v>
      </c>
      <c r="H37" t="s">
        <v>1110</v>
      </c>
    </row>
    <row r="38" spans="1:8" x14ac:dyDescent="0.25">
      <c r="A38">
        <v>4</v>
      </c>
      <c r="B38" t="b">
        <v>0</v>
      </c>
      <c r="C38" s="6">
        <v>46277.833333333336</v>
      </c>
      <c r="D38" t="b">
        <v>0</v>
      </c>
      <c r="E38">
        <v>20</v>
      </c>
      <c r="F38">
        <v>1</v>
      </c>
      <c r="G38">
        <v>4</v>
      </c>
      <c r="H38" t="s">
        <v>1110</v>
      </c>
    </row>
    <row r="39" spans="1:8" x14ac:dyDescent="0.25">
      <c r="A39">
        <v>4</v>
      </c>
      <c r="B39" t="b">
        <v>0</v>
      </c>
      <c r="C39" s="6">
        <v>46278.583333333336</v>
      </c>
      <c r="D39" t="b">
        <v>0</v>
      </c>
      <c r="E39">
        <v>7</v>
      </c>
      <c r="F39">
        <v>5</v>
      </c>
      <c r="G39">
        <v>2</v>
      </c>
      <c r="H39" t="s">
        <v>1110</v>
      </c>
    </row>
    <row r="40" spans="1:8" x14ac:dyDescent="0.25">
      <c r="A40">
        <v>4</v>
      </c>
      <c r="B40" t="b">
        <v>0</v>
      </c>
      <c r="C40" s="6">
        <v>46278.6875</v>
      </c>
      <c r="D40" t="b">
        <v>0</v>
      </c>
      <c r="E40">
        <v>16</v>
      </c>
      <c r="F40">
        <v>15</v>
      </c>
      <c r="G40">
        <v>4</v>
      </c>
      <c r="H40" t="s">
        <v>1110</v>
      </c>
    </row>
    <row r="41" spans="1:8" x14ac:dyDescent="0.25">
      <c r="A41">
        <v>4</v>
      </c>
      <c r="B41" t="b">
        <v>0</v>
      </c>
      <c r="C41" s="6">
        <v>46279.833333333336</v>
      </c>
      <c r="D41" t="b">
        <v>0</v>
      </c>
      <c r="E41">
        <v>13</v>
      </c>
      <c r="F41">
        <v>17</v>
      </c>
      <c r="G41">
        <v>2</v>
      </c>
      <c r="H41" t="s">
        <v>1110</v>
      </c>
    </row>
    <row r="42" spans="1:8" x14ac:dyDescent="0.25">
      <c r="A42">
        <v>5</v>
      </c>
      <c r="B42" t="b">
        <v>0</v>
      </c>
      <c r="C42" s="6">
        <v>46283.833333333336</v>
      </c>
      <c r="D42" t="b">
        <v>0</v>
      </c>
      <c r="E42">
        <v>4</v>
      </c>
      <c r="F42">
        <v>6</v>
      </c>
      <c r="G42">
        <v>4</v>
      </c>
      <c r="H42" t="s">
        <v>1110</v>
      </c>
    </row>
    <row r="43" spans="1:8" x14ac:dyDescent="0.25">
      <c r="A43">
        <v>5</v>
      </c>
      <c r="B43" t="b">
        <v>0</v>
      </c>
      <c r="C43" s="6">
        <v>46284.520833333336</v>
      </c>
      <c r="D43" t="b">
        <v>0</v>
      </c>
      <c r="E43">
        <v>19</v>
      </c>
      <c r="F43">
        <v>2</v>
      </c>
      <c r="G43">
        <v>3</v>
      </c>
      <c r="H43" t="s">
        <v>1110</v>
      </c>
    </row>
    <row r="44" spans="1:8" x14ac:dyDescent="0.25">
      <c r="A44">
        <v>5</v>
      </c>
      <c r="B44" t="b">
        <v>0</v>
      </c>
      <c r="C44" s="6">
        <v>46284.625</v>
      </c>
      <c r="D44" t="b">
        <v>0</v>
      </c>
      <c r="E44">
        <v>5</v>
      </c>
      <c r="F44">
        <v>1</v>
      </c>
      <c r="G44">
        <v>4</v>
      </c>
      <c r="H44" t="s">
        <v>1110</v>
      </c>
    </row>
    <row r="45" spans="1:8" x14ac:dyDescent="0.25">
      <c r="A45">
        <v>5</v>
      </c>
      <c r="B45" t="b">
        <v>0</v>
      </c>
      <c r="C45" s="6">
        <v>46284.625</v>
      </c>
      <c r="D45" t="b">
        <v>0</v>
      </c>
      <c r="E45">
        <v>9</v>
      </c>
      <c r="F45">
        <v>12</v>
      </c>
      <c r="G45">
        <v>2</v>
      </c>
      <c r="H45" t="s">
        <v>1110</v>
      </c>
    </row>
    <row r="46" spans="1:8" x14ac:dyDescent="0.25">
      <c r="A46">
        <v>5</v>
      </c>
      <c r="B46" t="b">
        <v>0</v>
      </c>
      <c r="C46" s="6">
        <v>46284.625</v>
      </c>
      <c r="D46" t="b">
        <v>0</v>
      </c>
      <c r="E46">
        <v>17</v>
      </c>
      <c r="F46">
        <v>11</v>
      </c>
      <c r="G46">
        <v>2</v>
      </c>
      <c r="H46" t="s">
        <v>1110</v>
      </c>
    </row>
    <row r="47" spans="1:8" x14ac:dyDescent="0.25">
      <c r="A47">
        <v>5</v>
      </c>
      <c r="B47" t="b">
        <v>0</v>
      </c>
      <c r="C47" s="6">
        <v>46284.729166666664</v>
      </c>
      <c r="D47" t="b">
        <v>0</v>
      </c>
      <c r="E47">
        <v>18</v>
      </c>
      <c r="F47">
        <v>7</v>
      </c>
      <c r="G47">
        <v>2</v>
      </c>
      <c r="H47" t="s">
        <v>1110</v>
      </c>
    </row>
    <row r="48" spans="1:8" x14ac:dyDescent="0.25">
      <c r="A48">
        <v>5</v>
      </c>
      <c r="B48" t="b">
        <v>0</v>
      </c>
      <c r="C48" s="6">
        <v>46285.583333333336</v>
      </c>
      <c r="D48" t="b">
        <v>0</v>
      </c>
      <c r="E48">
        <v>3</v>
      </c>
      <c r="F48">
        <v>14</v>
      </c>
      <c r="G48">
        <v>4</v>
      </c>
      <c r="H48" t="s">
        <v>1110</v>
      </c>
    </row>
    <row r="49" spans="1:8" x14ac:dyDescent="0.25">
      <c r="A49">
        <v>5</v>
      </c>
      <c r="B49" t="b">
        <v>0</v>
      </c>
      <c r="C49" s="6">
        <v>46285.583333333336</v>
      </c>
      <c r="D49" t="b">
        <v>0</v>
      </c>
      <c r="E49">
        <v>13</v>
      </c>
      <c r="F49">
        <v>8</v>
      </c>
      <c r="G49">
        <v>3</v>
      </c>
      <c r="H49" t="s">
        <v>1110</v>
      </c>
    </row>
    <row r="50" spans="1:8" x14ac:dyDescent="0.25">
      <c r="A50">
        <v>5</v>
      </c>
      <c r="B50" t="b">
        <v>0</v>
      </c>
      <c r="C50" s="6">
        <v>46285.583333333336</v>
      </c>
      <c r="D50" t="b">
        <v>0</v>
      </c>
      <c r="E50">
        <v>15</v>
      </c>
      <c r="F50">
        <v>20</v>
      </c>
      <c r="G50">
        <v>2</v>
      </c>
      <c r="H50" t="s">
        <v>1110</v>
      </c>
    </row>
    <row r="51" spans="1:8" x14ac:dyDescent="0.25">
      <c r="A51">
        <v>5</v>
      </c>
      <c r="B51" t="b">
        <v>0</v>
      </c>
      <c r="C51" s="6">
        <v>46285.6875</v>
      </c>
      <c r="D51" t="b">
        <v>0</v>
      </c>
      <c r="E51">
        <v>10</v>
      </c>
      <c r="F51">
        <v>16</v>
      </c>
      <c r="G51">
        <v>4</v>
      </c>
      <c r="H51" t="s">
        <v>1110</v>
      </c>
    </row>
    <row r="52" spans="1:8" x14ac:dyDescent="0.25">
      <c r="A52">
        <v>6</v>
      </c>
      <c r="B52" t="b">
        <v>0</v>
      </c>
      <c r="C52" s="6">
        <v>46305.520833333336</v>
      </c>
      <c r="D52" t="b">
        <v>0</v>
      </c>
      <c r="E52">
        <v>1</v>
      </c>
      <c r="F52">
        <v>13</v>
      </c>
      <c r="G52">
        <v>2</v>
      </c>
      <c r="H52" t="s">
        <v>1110</v>
      </c>
    </row>
    <row r="53" spans="1:8" x14ac:dyDescent="0.25">
      <c r="A53">
        <v>6</v>
      </c>
      <c r="B53" t="b">
        <v>0</v>
      </c>
      <c r="C53" s="6">
        <v>46305.625</v>
      </c>
      <c r="D53" t="b">
        <v>0</v>
      </c>
      <c r="E53">
        <v>2</v>
      </c>
      <c r="F53">
        <v>4</v>
      </c>
      <c r="G53">
        <v>3</v>
      </c>
      <c r="H53" t="s">
        <v>1110</v>
      </c>
    </row>
    <row r="54" spans="1:8" x14ac:dyDescent="0.25">
      <c r="A54">
        <v>6</v>
      </c>
      <c r="B54" t="b">
        <v>0</v>
      </c>
      <c r="C54" s="6">
        <v>46305.625</v>
      </c>
      <c r="D54" t="b">
        <v>0</v>
      </c>
      <c r="E54">
        <v>6</v>
      </c>
      <c r="F54">
        <v>3</v>
      </c>
      <c r="G54">
        <v>3</v>
      </c>
      <c r="H54" t="s">
        <v>1110</v>
      </c>
    </row>
    <row r="55" spans="1:8" x14ac:dyDescent="0.25">
      <c r="A55">
        <v>6</v>
      </c>
      <c r="B55" t="b">
        <v>0</v>
      </c>
      <c r="C55" s="6">
        <v>46305.625</v>
      </c>
      <c r="D55" t="b">
        <v>0</v>
      </c>
      <c r="E55">
        <v>12</v>
      </c>
      <c r="F55">
        <v>10</v>
      </c>
      <c r="G55">
        <v>2</v>
      </c>
      <c r="H55" t="s">
        <v>1110</v>
      </c>
    </row>
    <row r="56" spans="1:8" x14ac:dyDescent="0.25">
      <c r="A56">
        <v>6</v>
      </c>
      <c r="B56" t="b">
        <v>0</v>
      </c>
      <c r="C56" s="6">
        <v>46305.625</v>
      </c>
      <c r="D56" t="b">
        <v>0</v>
      </c>
      <c r="E56">
        <v>20</v>
      </c>
      <c r="F56">
        <v>5</v>
      </c>
      <c r="G56">
        <v>2</v>
      </c>
      <c r="H56" t="s">
        <v>1110</v>
      </c>
    </row>
    <row r="57" spans="1:8" x14ac:dyDescent="0.25">
      <c r="A57">
        <v>6</v>
      </c>
      <c r="B57" t="b">
        <v>0</v>
      </c>
      <c r="C57" s="6">
        <v>46305.729166666664</v>
      </c>
      <c r="D57" t="b">
        <v>0</v>
      </c>
      <c r="E57">
        <v>16</v>
      </c>
      <c r="F57">
        <v>19</v>
      </c>
      <c r="G57">
        <v>3</v>
      </c>
      <c r="H57" t="s">
        <v>1110</v>
      </c>
    </row>
    <row r="58" spans="1:8" x14ac:dyDescent="0.25">
      <c r="A58">
        <v>6</v>
      </c>
      <c r="B58" t="b">
        <v>0</v>
      </c>
      <c r="C58" s="6">
        <v>46306.583333333336</v>
      </c>
      <c r="D58" t="b">
        <v>0</v>
      </c>
      <c r="E58">
        <v>8</v>
      </c>
      <c r="F58">
        <v>18</v>
      </c>
      <c r="G58">
        <v>3</v>
      </c>
      <c r="H58" t="s">
        <v>1110</v>
      </c>
    </row>
    <row r="59" spans="1:8" x14ac:dyDescent="0.25">
      <c r="A59">
        <v>6</v>
      </c>
      <c r="B59" t="b">
        <v>0</v>
      </c>
      <c r="C59" s="6">
        <v>46306.583333333336</v>
      </c>
      <c r="D59" t="b">
        <v>0</v>
      </c>
      <c r="E59">
        <v>11</v>
      </c>
      <c r="F59">
        <v>9</v>
      </c>
      <c r="G59">
        <v>3</v>
      </c>
      <c r="H59" t="s">
        <v>1110</v>
      </c>
    </row>
    <row r="60" spans="1:8" x14ac:dyDescent="0.25">
      <c r="A60">
        <v>6</v>
      </c>
      <c r="B60" t="b">
        <v>0</v>
      </c>
      <c r="C60" s="6">
        <v>46306.6875</v>
      </c>
      <c r="D60" t="b">
        <v>0</v>
      </c>
      <c r="E60">
        <v>14</v>
      </c>
      <c r="F60">
        <v>15</v>
      </c>
      <c r="G60">
        <v>4</v>
      </c>
      <c r="H60" t="s">
        <v>1110</v>
      </c>
    </row>
    <row r="61" spans="1:8" x14ac:dyDescent="0.25">
      <c r="A61">
        <v>6</v>
      </c>
      <c r="B61" t="b">
        <v>0</v>
      </c>
      <c r="C61" s="6">
        <v>46307.833333333336</v>
      </c>
      <c r="D61" t="b">
        <v>0</v>
      </c>
      <c r="E61">
        <v>7</v>
      </c>
      <c r="F61">
        <v>17</v>
      </c>
      <c r="G61">
        <v>2</v>
      </c>
      <c r="H61" t="s">
        <v>1110</v>
      </c>
    </row>
    <row r="62" spans="1:8" x14ac:dyDescent="0.25">
      <c r="A62">
        <v>7</v>
      </c>
      <c r="B62" t="b">
        <v>0</v>
      </c>
      <c r="C62" s="6">
        <v>46312.520833333336</v>
      </c>
      <c r="D62" t="b">
        <v>0</v>
      </c>
      <c r="E62">
        <v>9</v>
      </c>
      <c r="F62">
        <v>6</v>
      </c>
      <c r="G62">
        <v>4</v>
      </c>
      <c r="H62" t="s">
        <v>1110</v>
      </c>
    </row>
    <row r="63" spans="1:8" x14ac:dyDescent="0.25">
      <c r="A63">
        <v>7</v>
      </c>
      <c r="B63" t="b">
        <v>0</v>
      </c>
      <c r="C63" s="6">
        <v>46312.625</v>
      </c>
      <c r="D63" t="b">
        <v>0</v>
      </c>
      <c r="E63">
        <v>4</v>
      </c>
      <c r="F63">
        <v>14</v>
      </c>
      <c r="G63">
        <v>4</v>
      </c>
      <c r="H63" t="s">
        <v>1110</v>
      </c>
    </row>
    <row r="64" spans="1:8" x14ac:dyDescent="0.25">
      <c r="A64">
        <v>7</v>
      </c>
      <c r="B64" t="b">
        <v>0</v>
      </c>
      <c r="C64" s="6">
        <v>46312.625</v>
      </c>
      <c r="D64" t="b">
        <v>0</v>
      </c>
      <c r="E64">
        <v>10</v>
      </c>
      <c r="F64">
        <v>11</v>
      </c>
      <c r="G64">
        <v>2</v>
      </c>
      <c r="H64" t="s">
        <v>1110</v>
      </c>
    </row>
    <row r="65" spans="1:8" x14ac:dyDescent="0.25">
      <c r="A65">
        <v>7</v>
      </c>
      <c r="B65" t="b">
        <v>0</v>
      </c>
      <c r="C65" s="6">
        <v>46312.625</v>
      </c>
      <c r="D65" t="b">
        <v>0</v>
      </c>
      <c r="E65">
        <v>15</v>
      </c>
      <c r="F65">
        <v>12</v>
      </c>
      <c r="G65">
        <v>2</v>
      </c>
      <c r="H65" t="s">
        <v>1110</v>
      </c>
    </row>
    <row r="66" spans="1:8" x14ac:dyDescent="0.25">
      <c r="A66">
        <v>7</v>
      </c>
      <c r="B66" t="b">
        <v>0</v>
      </c>
      <c r="C66" s="6">
        <v>46312.729166666664</v>
      </c>
      <c r="D66" t="b">
        <v>0</v>
      </c>
      <c r="E66">
        <v>17</v>
      </c>
      <c r="F66">
        <v>2</v>
      </c>
      <c r="G66">
        <v>3</v>
      </c>
      <c r="H66" t="s">
        <v>1110</v>
      </c>
    </row>
    <row r="67" spans="1:8" x14ac:dyDescent="0.25">
      <c r="A67">
        <v>7</v>
      </c>
      <c r="B67" t="b">
        <v>0</v>
      </c>
      <c r="C67" s="6">
        <v>46313.583333333336</v>
      </c>
      <c r="D67" t="b">
        <v>0</v>
      </c>
      <c r="E67">
        <v>3</v>
      </c>
      <c r="F67">
        <v>20</v>
      </c>
      <c r="G67">
        <v>2</v>
      </c>
      <c r="H67" t="s">
        <v>1110</v>
      </c>
    </row>
    <row r="68" spans="1:8" x14ac:dyDescent="0.25">
      <c r="A68">
        <v>7</v>
      </c>
      <c r="B68" t="b">
        <v>0</v>
      </c>
      <c r="C68" s="6">
        <v>46313.583333333336</v>
      </c>
      <c r="D68" t="b">
        <v>0</v>
      </c>
      <c r="E68">
        <v>5</v>
      </c>
      <c r="F68">
        <v>8</v>
      </c>
      <c r="G68">
        <v>3</v>
      </c>
      <c r="H68" t="s">
        <v>1110</v>
      </c>
    </row>
    <row r="69" spans="1:8" x14ac:dyDescent="0.25">
      <c r="A69">
        <v>7</v>
      </c>
      <c r="B69" t="b">
        <v>0</v>
      </c>
      <c r="C69" s="6">
        <v>46313.583333333336</v>
      </c>
      <c r="D69" t="b">
        <v>0</v>
      </c>
      <c r="E69">
        <v>13</v>
      </c>
      <c r="F69">
        <v>16</v>
      </c>
      <c r="G69">
        <v>4</v>
      </c>
      <c r="H69" t="s">
        <v>1110</v>
      </c>
    </row>
    <row r="70" spans="1:8" x14ac:dyDescent="0.25">
      <c r="A70">
        <v>7</v>
      </c>
      <c r="B70" t="b">
        <v>0</v>
      </c>
      <c r="C70" s="6">
        <v>46313.6875</v>
      </c>
      <c r="D70" t="b">
        <v>0</v>
      </c>
      <c r="E70">
        <v>18</v>
      </c>
      <c r="F70">
        <v>1</v>
      </c>
      <c r="G70">
        <v>4</v>
      </c>
      <c r="H70" t="s">
        <v>1110</v>
      </c>
    </row>
    <row r="71" spans="1:8" x14ac:dyDescent="0.25">
      <c r="A71">
        <v>7</v>
      </c>
      <c r="B71" t="b">
        <v>0</v>
      </c>
      <c r="C71" s="6">
        <v>46314.833333333336</v>
      </c>
      <c r="D71" t="b">
        <v>0</v>
      </c>
      <c r="E71">
        <v>19</v>
      </c>
      <c r="F71">
        <v>7</v>
      </c>
      <c r="G71">
        <v>2</v>
      </c>
      <c r="H71" t="s">
        <v>1110</v>
      </c>
    </row>
    <row r="72" spans="1:8" x14ac:dyDescent="0.25">
      <c r="A72">
        <v>8</v>
      </c>
      <c r="B72" t="b">
        <v>0</v>
      </c>
      <c r="C72" s="6">
        <v>46318.833333333336</v>
      </c>
      <c r="D72" t="b">
        <v>0</v>
      </c>
      <c r="E72">
        <v>12</v>
      </c>
      <c r="F72">
        <v>18</v>
      </c>
      <c r="G72">
        <v>3</v>
      </c>
      <c r="H72" t="s">
        <v>1110</v>
      </c>
    </row>
    <row r="73" spans="1:8" x14ac:dyDescent="0.25">
      <c r="A73">
        <v>8</v>
      </c>
      <c r="B73" t="b">
        <v>0</v>
      </c>
      <c r="C73" s="6">
        <v>46319.520833333336</v>
      </c>
      <c r="D73" t="b">
        <v>0</v>
      </c>
      <c r="E73">
        <v>2</v>
      </c>
      <c r="F73">
        <v>15</v>
      </c>
      <c r="G73">
        <v>4</v>
      </c>
      <c r="H73" t="s">
        <v>1110</v>
      </c>
    </row>
    <row r="74" spans="1:8" x14ac:dyDescent="0.25">
      <c r="A74">
        <v>8</v>
      </c>
      <c r="B74" t="b">
        <v>0</v>
      </c>
      <c r="C74" s="6">
        <v>46319.625</v>
      </c>
      <c r="D74" t="b">
        <v>0</v>
      </c>
      <c r="E74">
        <v>1</v>
      </c>
      <c r="F74">
        <v>9</v>
      </c>
      <c r="G74">
        <v>3</v>
      </c>
      <c r="H74" t="s">
        <v>1110</v>
      </c>
    </row>
    <row r="75" spans="1:8" x14ac:dyDescent="0.25">
      <c r="A75">
        <v>8</v>
      </c>
      <c r="B75" t="b">
        <v>0</v>
      </c>
      <c r="C75" s="6">
        <v>46319.625</v>
      </c>
      <c r="D75" t="b">
        <v>0</v>
      </c>
      <c r="E75">
        <v>7</v>
      </c>
      <c r="F75">
        <v>10</v>
      </c>
      <c r="G75">
        <v>2</v>
      </c>
      <c r="H75" t="s">
        <v>1110</v>
      </c>
    </row>
    <row r="76" spans="1:8" x14ac:dyDescent="0.25">
      <c r="A76">
        <v>8</v>
      </c>
      <c r="B76" t="b">
        <v>0</v>
      </c>
      <c r="C76" s="6">
        <v>46319.729166666664</v>
      </c>
      <c r="D76" t="b">
        <v>0</v>
      </c>
      <c r="E76">
        <v>6</v>
      </c>
      <c r="F76">
        <v>19</v>
      </c>
      <c r="G76">
        <v>3</v>
      </c>
      <c r="H76" t="s">
        <v>1110</v>
      </c>
    </row>
    <row r="77" spans="1:8" x14ac:dyDescent="0.25">
      <c r="A77">
        <v>8</v>
      </c>
      <c r="B77" t="b">
        <v>0</v>
      </c>
      <c r="C77" s="6">
        <v>46320.583333333336</v>
      </c>
      <c r="D77" t="b">
        <v>0</v>
      </c>
      <c r="E77">
        <v>8</v>
      </c>
      <c r="F77">
        <v>17</v>
      </c>
      <c r="G77">
        <v>2</v>
      </c>
      <c r="H77" t="s">
        <v>1110</v>
      </c>
    </row>
    <row r="78" spans="1:8" x14ac:dyDescent="0.25">
      <c r="A78">
        <v>8</v>
      </c>
      <c r="B78" t="b">
        <v>0</v>
      </c>
      <c r="C78" s="6">
        <v>46320.583333333336</v>
      </c>
      <c r="D78" t="b">
        <v>0</v>
      </c>
      <c r="E78">
        <v>11</v>
      </c>
      <c r="F78">
        <v>4</v>
      </c>
      <c r="G78">
        <v>3</v>
      </c>
      <c r="H78" t="s">
        <v>1110</v>
      </c>
    </row>
    <row r="79" spans="1:8" x14ac:dyDescent="0.25">
      <c r="A79">
        <v>8</v>
      </c>
      <c r="B79" t="b">
        <v>0</v>
      </c>
      <c r="C79" s="6">
        <v>46320.583333333336</v>
      </c>
      <c r="D79" t="b">
        <v>0</v>
      </c>
      <c r="E79">
        <v>14</v>
      </c>
      <c r="F79">
        <v>5</v>
      </c>
      <c r="G79">
        <v>2</v>
      </c>
      <c r="H79" t="s">
        <v>1110</v>
      </c>
    </row>
    <row r="80" spans="1:8" x14ac:dyDescent="0.25">
      <c r="A80">
        <v>8</v>
      </c>
      <c r="B80" t="b">
        <v>0</v>
      </c>
      <c r="C80" s="6">
        <v>46320.583333333336</v>
      </c>
      <c r="D80" t="b">
        <v>0</v>
      </c>
      <c r="E80">
        <v>16</v>
      </c>
      <c r="F80">
        <v>3</v>
      </c>
      <c r="G80">
        <v>3</v>
      </c>
      <c r="H80" t="s">
        <v>1110</v>
      </c>
    </row>
    <row r="81" spans="1:8" x14ac:dyDescent="0.25">
      <c r="A81">
        <v>8</v>
      </c>
      <c r="B81" t="b">
        <v>0</v>
      </c>
      <c r="C81" s="6">
        <v>46320.6875</v>
      </c>
      <c r="D81" t="b">
        <v>0</v>
      </c>
      <c r="E81">
        <v>20</v>
      </c>
      <c r="F81">
        <v>13</v>
      </c>
      <c r="G81">
        <v>2</v>
      </c>
      <c r="H81" t="s">
        <v>1110</v>
      </c>
    </row>
    <row r="82" spans="1:8" x14ac:dyDescent="0.25">
      <c r="A82">
        <v>9</v>
      </c>
      <c r="B82" t="b">
        <v>0</v>
      </c>
      <c r="C82" s="6">
        <v>46326.520833333336</v>
      </c>
      <c r="D82" t="b">
        <v>0</v>
      </c>
      <c r="E82">
        <v>6</v>
      </c>
      <c r="F82">
        <v>16</v>
      </c>
      <c r="G82">
        <v>4</v>
      </c>
      <c r="H82" t="s">
        <v>1110</v>
      </c>
    </row>
    <row r="83" spans="1:8" x14ac:dyDescent="0.25">
      <c r="A83">
        <v>9</v>
      </c>
      <c r="B83" t="b">
        <v>0</v>
      </c>
      <c r="C83" s="6">
        <v>46326.625</v>
      </c>
      <c r="D83" t="b">
        <v>0</v>
      </c>
      <c r="E83">
        <v>3</v>
      </c>
      <c r="F83">
        <v>13</v>
      </c>
      <c r="G83">
        <v>2</v>
      </c>
      <c r="H83" t="s">
        <v>1110</v>
      </c>
    </row>
    <row r="84" spans="1:8" x14ac:dyDescent="0.25">
      <c r="A84">
        <v>9</v>
      </c>
      <c r="B84" t="b">
        <v>0</v>
      </c>
      <c r="C84" s="6">
        <v>46326.625</v>
      </c>
      <c r="D84" t="b">
        <v>0</v>
      </c>
      <c r="E84">
        <v>4</v>
      </c>
      <c r="F84">
        <v>18</v>
      </c>
      <c r="G84">
        <v>3</v>
      </c>
      <c r="H84" t="s">
        <v>1110</v>
      </c>
    </row>
    <row r="85" spans="1:8" x14ac:dyDescent="0.25">
      <c r="A85">
        <v>9</v>
      </c>
      <c r="B85" t="b">
        <v>0</v>
      </c>
      <c r="C85" s="6">
        <v>46326.625</v>
      </c>
      <c r="D85" t="b">
        <v>0</v>
      </c>
      <c r="E85">
        <v>7</v>
      </c>
      <c r="F85">
        <v>20</v>
      </c>
      <c r="G85">
        <v>2</v>
      </c>
      <c r="H85" t="s">
        <v>1110</v>
      </c>
    </row>
    <row r="86" spans="1:8" x14ac:dyDescent="0.25">
      <c r="A86">
        <v>9</v>
      </c>
      <c r="B86" t="b">
        <v>0</v>
      </c>
      <c r="C86" s="6">
        <v>46326.625</v>
      </c>
      <c r="D86" t="b">
        <v>0</v>
      </c>
      <c r="E86">
        <v>11</v>
      </c>
      <c r="F86">
        <v>12</v>
      </c>
      <c r="G86">
        <v>2</v>
      </c>
      <c r="H86" t="s">
        <v>1110</v>
      </c>
    </row>
    <row r="87" spans="1:8" x14ac:dyDescent="0.25">
      <c r="A87">
        <v>9</v>
      </c>
      <c r="B87" t="b">
        <v>0</v>
      </c>
      <c r="C87" s="6">
        <v>46326.625</v>
      </c>
      <c r="D87" t="b">
        <v>0</v>
      </c>
      <c r="E87">
        <v>15</v>
      </c>
      <c r="F87">
        <v>5</v>
      </c>
      <c r="G87">
        <v>2</v>
      </c>
      <c r="H87" t="s">
        <v>1110</v>
      </c>
    </row>
    <row r="88" spans="1:8" x14ac:dyDescent="0.25">
      <c r="A88">
        <v>9</v>
      </c>
      <c r="B88" t="b">
        <v>0</v>
      </c>
      <c r="C88" s="6">
        <v>46326.729166666664</v>
      </c>
      <c r="D88" t="b">
        <v>0</v>
      </c>
      <c r="E88">
        <v>19</v>
      </c>
      <c r="F88">
        <v>8</v>
      </c>
      <c r="G88">
        <v>3</v>
      </c>
      <c r="H88" t="s">
        <v>1110</v>
      </c>
    </row>
    <row r="89" spans="1:8" x14ac:dyDescent="0.25">
      <c r="A89">
        <v>9</v>
      </c>
      <c r="B89" t="b">
        <v>0</v>
      </c>
      <c r="C89" s="6">
        <v>46326.833333333336</v>
      </c>
      <c r="D89" t="b">
        <v>0</v>
      </c>
      <c r="E89">
        <v>2</v>
      </c>
      <c r="F89">
        <v>10</v>
      </c>
      <c r="G89">
        <v>2</v>
      </c>
      <c r="H89" t="s">
        <v>1110</v>
      </c>
    </row>
    <row r="90" spans="1:8" x14ac:dyDescent="0.25">
      <c r="A90">
        <v>9</v>
      </c>
      <c r="B90" t="b">
        <v>0</v>
      </c>
      <c r="C90" s="6">
        <v>46327.6875</v>
      </c>
      <c r="D90" t="b">
        <v>0</v>
      </c>
      <c r="E90">
        <v>14</v>
      </c>
      <c r="F90">
        <v>1</v>
      </c>
      <c r="G90">
        <v>4</v>
      </c>
      <c r="H90" t="s">
        <v>1110</v>
      </c>
    </row>
    <row r="91" spans="1:8" x14ac:dyDescent="0.25">
      <c r="A91">
        <v>9</v>
      </c>
      <c r="B91" t="b">
        <v>0</v>
      </c>
      <c r="C91" s="6">
        <v>46328.833333333336</v>
      </c>
      <c r="D91" t="b">
        <v>0</v>
      </c>
      <c r="E91">
        <v>17</v>
      </c>
      <c r="F91">
        <v>9</v>
      </c>
      <c r="G91">
        <v>3</v>
      </c>
      <c r="H91" t="s">
        <v>1110</v>
      </c>
    </row>
    <row r="92" spans="1:8" x14ac:dyDescent="0.25">
      <c r="A92">
        <v>10</v>
      </c>
      <c r="B92" t="b">
        <v>0</v>
      </c>
      <c r="C92" s="6">
        <v>46333.625</v>
      </c>
      <c r="D92" t="b">
        <v>0</v>
      </c>
      <c r="E92">
        <v>1</v>
      </c>
      <c r="F92">
        <v>11</v>
      </c>
      <c r="G92">
        <v>2</v>
      </c>
      <c r="H92" t="s">
        <v>1110</v>
      </c>
    </row>
    <row r="93" spans="1:8" x14ac:dyDescent="0.25">
      <c r="A93">
        <v>10</v>
      </c>
      <c r="B93" t="b">
        <v>0</v>
      </c>
      <c r="C93" s="6">
        <v>46333.625</v>
      </c>
      <c r="D93" t="b">
        <v>0</v>
      </c>
      <c r="E93">
        <v>5</v>
      </c>
      <c r="F93">
        <v>4</v>
      </c>
      <c r="G93">
        <v>3</v>
      </c>
      <c r="H93" t="s">
        <v>1110</v>
      </c>
    </row>
    <row r="94" spans="1:8" x14ac:dyDescent="0.25">
      <c r="A94">
        <v>10</v>
      </c>
      <c r="B94" t="b">
        <v>0</v>
      </c>
      <c r="C94" s="6">
        <v>46333.625</v>
      </c>
      <c r="D94" t="b">
        <v>0</v>
      </c>
      <c r="E94">
        <v>8</v>
      </c>
      <c r="F94">
        <v>14</v>
      </c>
      <c r="G94">
        <v>4</v>
      </c>
      <c r="H94" t="s">
        <v>1110</v>
      </c>
    </row>
    <row r="95" spans="1:8" x14ac:dyDescent="0.25">
      <c r="A95">
        <v>10</v>
      </c>
      <c r="B95" t="b">
        <v>0</v>
      </c>
      <c r="C95" s="6">
        <v>46333.625</v>
      </c>
      <c r="D95" t="b">
        <v>0</v>
      </c>
      <c r="E95">
        <v>9</v>
      </c>
      <c r="F95">
        <v>7</v>
      </c>
      <c r="G95">
        <v>2</v>
      </c>
      <c r="H95" t="s">
        <v>1110</v>
      </c>
    </row>
    <row r="96" spans="1:8" x14ac:dyDescent="0.25">
      <c r="A96">
        <v>10</v>
      </c>
      <c r="B96" t="b">
        <v>0</v>
      </c>
      <c r="C96" s="6">
        <v>46333.625</v>
      </c>
      <c r="D96" t="b">
        <v>0</v>
      </c>
      <c r="E96">
        <v>10</v>
      </c>
      <c r="F96">
        <v>17</v>
      </c>
      <c r="G96">
        <v>2</v>
      </c>
      <c r="H96" t="s">
        <v>1110</v>
      </c>
    </row>
    <row r="97" spans="1:8" x14ac:dyDescent="0.25">
      <c r="A97">
        <v>10</v>
      </c>
      <c r="B97" t="b">
        <v>0</v>
      </c>
      <c r="C97" s="6">
        <v>46333.625</v>
      </c>
      <c r="D97" t="b">
        <v>0</v>
      </c>
      <c r="E97">
        <v>12</v>
      </c>
      <c r="F97">
        <v>3</v>
      </c>
      <c r="G97">
        <v>3</v>
      </c>
      <c r="H97" t="s">
        <v>1110</v>
      </c>
    </row>
    <row r="98" spans="1:8" x14ac:dyDescent="0.25">
      <c r="A98">
        <v>10</v>
      </c>
      <c r="B98" t="b">
        <v>0</v>
      </c>
      <c r="C98" s="6">
        <v>46333.625</v>
      </c>
      <c r="D98" t="b">
        <v>0</v>
      </c>
      <c r="E98">
        <v>13</v>
      </c>
      <c r="F98">
        <v>19</v>
      </c>
      <c r="G98">
        <v>3</v>
      </c>
      <c r="H98" t="s">
        <v>1110</v>
      </c>
    </row>
    <row r="99" spans="1:8" x14ac:dyDescent="0.25">
      <c r="A99">
        <v>10</v>
      </c>
      <c r="B99" t="b">
        <v>0</v>
      </c>
      <c r="C99" s="6">
        <v>46333.625</v>
      </c>
      <c r="D99" t="b">
        <v>0</v>
      </c>
      <c r="E99">
        <v>16</v>
      </c>
      <c r="F99">
        <v>2</v>
      </c>
      <c r="G99">
        <v>3</v>
      </c>
      <c r="H99" t="s">
        <v>1110</v>
      </c>
    </row>
    <row r="100" spans="1:8" x14ac:dyDescent="0.25">
      <c r="A100">
        <v>10</v>
      </c>
      <c r="B100" t="b">
        <v>0</v>
      </c>
      <c r="C100" s="6">
        <v>46333.625</v>
      </c>
      <c r="D100" t="b">
        <v>0</v>
      </c>
      <c r="E100">
        <v>18</v>
      </c>
      <c r="F100">
        <v>15</v>
      </c>
      <c r="G100">
        <v>4</v>
      </c>
      <c r="H100" t="s">
        <v>1110</v>
      </c>
    </row>
    <row r="101" spans="1:8" x14ac:dyDescent="0.25">
      <c r="A101">
        <v>10</v>
      </c>
      <c r="B101" t="b">
        <v>0</v>
      </c>
      <c r="C101" s="6">
        <v>46333.625</v>
      </c>
      <c r="D101" t="b">
        <v>0</v>
      </c>
      <c r="E101">
        <v>20</v>
      </c>
      <c r="F101">
        <v>6</v>
      </c>
      <c r="G101">
        <v>4</v>
      </c>
      <c r="H101" t="s">
        <v>1110</v>
      </c>
    </row>
    <row r="102" spans="1:8" x14ac:dyDescent="0.25">
      <c r="A102">
        <v>11</v>
      </c>
      <c r="B102" t="b">
        <v>0</v>
      </c>
      <c r="C102" s="6">
        <v>46347.625</v>
      </c>
      <c r="D102" t="b">
        <v>0</v>
      </c>
      <c r="E102">
        <v>2</v>
      </c>
      <c r="F102">
        <v>20</v>
      </c>
      <c r="G102">
        <v>2</v>
      </c>
      <c r="H102" t="s">
        <v>1110</v>
      </c>
    </row>
    <row r="103" spans="1:8" x14ac:dyDescent="0.25">
      <c r="A103">
        <v>11</v>
      </c>
      <c r="B103" t="b">
        <v>0</v>
      </c>
      <c r="C103" s="6">
        <v>46347.625</v>
      </c>
      <c r="D103" t="b">
        <v>0</v>
      </c>
      <c r="E103">
        <v>3</v>
      </c>
      <c r="F103">
        <v>18</v>
      </c>
      <c r="G103">
        <v>3</v>
      </c>
      <c r="H103" t="s">
        <v>1110</v>
      </c>
    </row>
    <row r="104" spans="1:8" x14ac:dyDescent="0.25">
      <c r="A104">
        <v>11</v>
      </c>
      <c r="B104" t="b">
        <v>0</v>
      </c>
      <c r="C104" s="6">
        <v>46347.625</v>
      </c>
      <c r="D104" t="b">
        <v>0</v>
      </c>
      <c r="E104">
        <v>4</v>
      </c>
      <c r="F104">
        <v>9</v>
      </c>
      <c r="G104">
        <v>3</v>
      </c>
      <c r="H104" t="s">
        <v>1110</v>
      </c>
    </row>
    <row r="105" spans="1:8" x14ac:dyDescent="0.25">
      <c r="A105">
        <v>11</v>
      </c>
      <c r="B105" t="b">
        <v>0</v>
      </c>
      <c r="C105" s="6">
        <v>46347.625</v>
      </c>
      <c r="D105" t="b">
        <v>0</v>
      </c>
      <c r="E105">
        <v>6</v>
      </c>
      <c r="F105">
        <v>13</v>
      </c>
      <c r="G105">
        <v>2</v>
      </c>
      <c r="H105" t="s">
        <v>1110</v>
      </c>
    </row>
    <row r="106" spans="1:8" x14ac:dyDescent="0.25">
      <c r="A106">
        <v>11</v>
      </c>
      <c r="B106" t="b">
        <v>0</v>
      </c>
      <c r="C106" s="6">
        <v>46347.625</v>
      </c>
      <c r="D106" t="b">
        <v>0</v>
      </c>
      <c r="E106">
        <v>7</v>
      </c>
      <c r="F106">
        <v>8</v>
      </c>
      <c r="G106">
        <v>3</v>
      </c>
      <c r="H106" t="s">
        <v>1110</v>
      </c>
    </row>
    <row r="107" spans="1:8" x14ac:dyDescent="0.25">
      <c r="A107">
        <v>11</v>
      </c>
      <c r="B107" t="b">
        <v>0</v>
      </c>
      <c r="C107" s="6">
        <v>46347.625</v>
      </c>
      <c r="D107" t="b">
        <v>0</v>
      </c>
      <c r="E107">
        <v>11</v>
      </c>
      <c r="F107">
        <v>5</v>
      </c>
      <c r="G107">
        <v>2</v>
      </c>
      <c r="H107" t="s">
        <v>1110</v>
      </c>
    </row>
    <row r="108" spans="1:8" x14ac:dyDescent="0.25">
      <c r="A108">
        <v>11</v>
      </c>
      <c r="B108" t="b">
        <v>0</v>
      </c>
      <c r="C108" s="6">
        <v>46347.625</v>
      </c>
      <c r="D108" t="b">
        <v>0</v>
      </c>
      <c r="E108">
        <v>14</v>
      </c>
      <c r="F108">
        <v>16</v>
      </c>
      <c r="G108">
        <v>4</v>
      </c>
      <c r="H108" t="s">
        <v>1110</v>
      </c>
    </row>
    <row r="109" spans="1:8" x14ac:dyDescent="0.25">
      <c r="A109">
        <v>11</v>
      </c>
      <c r="B109" t="b">
        <v>0</v>
      </c>
      <c r="C109" s="6">
        <v>46347.625</v>
      </c>
      <c r="D109" t="b">
        <v>0</v>
      </c>
      <c r="E109">
        <v>15</v>
      </c>
      <c r="F109">
        <v>10</v>
      </c>
      <c r="G109">
        <v>2</v>
      </c>
      <c r="H109" t="s">
        <v>1110</v>
      </c>
    </row>
    <row r="110" spans="1:8" x14ac:dyDescent="0.25">
      <c r="A110">
        <v>11</v>
      </c>
      <c r="B110" t="b">
        <v>0</v>
      </c>
      <c r="C110" s="6">
        <v>46347.625</v>
      </c>
      <c r="D110" t="b">
        <v>0</v>
      </c>
      <c r="E110">
        <v>17</v>
      </c>
      <c r="F110">
        <v>1</v>
      </c>
      <c r="G110">
        <v>4</v>
      </c>
      <c r="H110" t="s">
        <v>1110</v>
      </c>
    </row>
    <row r="111" spans="1:8" x14ac:dyDescent="0.25">
      <c r="A111">
        <v>11</v>
      </c>
      <c r="B111" t="b">
        <v>0</v>
      </c>
      <c r="C111" s="6">
        <v>46347.625</v>
      </c>
      <c r="D111" t="b">
        <v>0</v>
      </c>
      <c r="E111">
        <v>19</v>
      </c>
      <c r="F111">
        <v>12</v>
      </c>
      <c r="G111">
        <v>2</v>
      </c>
      <c r="H111" t="s">
        <v>1110</v>
      </c>
    </row>
    <row r="112" spans="1:8" x14ac:dyDescent="0.25">
      <c r="A112">
        <v>12</v>
      </c>
      <c r="B112" t="b">
        <v>0</v>
      </c>
      <c r="C112" s="6">
        <v>46354.625</v>
      </c>
      <c r="D112" t="b">
        <v>0</v>
      </c>
      <c r="E112">
        <v>1</v>
      </c>
      <c r="F112">
        <v>15</v>
      </c>
      <c r="G112">
        <v>4</v>
      </c>
      <c r="H112" t="s">
        <v>1110</v>
      </c>
    </row>
    <row r="113" spans="1:8" x14ac:dyDescent="0.25">
      <c r="A113">
        <v>12</v>
      </c>
      <c r="B113" t="b">
        <v>0</v>
      </c>
      <c r="C113" s="6">
        <v>46354.625</v>
      </c>
      <c r="D113" t="b">
        <v>0</v>
      </c>
      <c r="E113">
        <v>5</v>
      </c>
      <c r="F113">
        <v>17</v>
      </c>
      <c r="G113">
        <v>2</v>
      </c>
      <c r="H113" t="s">
        <v>1110</v>
      </c>
    </row>
    <row r="114" spans="1:8" x14ac:dyDescent="0.25">
      <c r="A114">
        <v>12</v>
      </c>
      <c r="B114" t="b">
        <v>0</v>
      </c>
      <c r="C114" s="6">
        <v>46354.625</v>
      </c>
      <c r="D114" t="b">
        <v>0</v>
      </c>
      <c r="E114">
        <v>8</v>
      </c>
      <c r="F114">
        <v>11</v>
      </c>
      <c r="G114">
        <v>2</v>
      </c>
      <c r="H114" t="s">
        <v>1110</v>
      </c>
    </row>
    <row r="115" spans="1:8" x14ac:dyDescent="0.25">
      <c r="A115">
        <v>12</v>
      </c>
      <c r="B115" t="b">
        <v>0</v>
      </c>
      <c r="C115" s="6">
        <v>46354.625</v>
      </c>
      <c r="D115" t="b">
        <v>0</v>
      </c>
      <c r="E115">
        <v>9</v>
      </c>
      <c r="F115">
        <v>14</v>
      </c>
      <c r="G115">
        <v>4</v>
      </c>
      <c r="H115" t="s">
        <v>1110</v>
      </c>
    </row>
    <row r="116" spans="1:8" x14ac:dyDescent="0.25">
      <c r="A116">
        <v>12</v>
      </c>
      <c r="B116" t="b">
        <v>0</v>
      </c>
      <c r="C116" s="6">
        <v>46354.625</v>
      </c>
      <c r="D116" t="b">
        <v>0</v>
      </c>
      <c r="E116">
        <v>10</v>
      </c>
      <c r="F116">
        <v>3</v>
      </c>
      <c r="G116">
        <v>3</v>
      </c>
      <c r="H116" t="s">
        <v>1110</v>
      </c>
    </row>
    <row r="117" spans="1:8" x14ac:dyDescent="0.25">
      <c r="A117">
        <v>12</v>
      </c>
      <c r="B117" t="b">
        <v>0</v>
      </c>
      <c r="C117" s="6">
        <v>46354.625</v>
      </c>
      <c r="D117" t="b">
        <v>0</v>
      </c>
      <c r="E117">
        <v>12</v>
      </c>
      <c r="F117">
        <v>2</v>
      </c>
      <c r="G117">
        <v>3</v>
      </c>
      <c r="H117" t="s">
        <v>1110</v>
      </c>
    </row>
    <row r="118" spans="1:8" x14ac:dyDescent="0.25">
      <c r="A118">
        <v>12</v>
      </c>
      <c r="B118" t="b">
        <v>0</v>
      </c>
      <c r="C118" s="6">
        <v>46354.625</v>
      </c>
      <c r="D118" t="b">
        <v>0</v>
      </c>
      <c r="E118">
        <v>13</v>
      </c>
      <c r="F118">
        <v>7</v>
      </c>
      <c r="G118">
        <v>2</v>
      </c>
      <c r="H118" t="s">
        <v>1110</v>
      </c>
    </row>
    <row r="119" spans="1:8" x14ac:dyDescent="0.25">
      <c r="A119">
        <v>12</v>
      </c>
      <c r="B119" t="b">
        <v>0</v>
      </c>
      <c r="C119" s="6">
        <v>46354.625</v>
      </c>
      <c r="D119" t="b">
        <v>0</v>
      </c>
      <c r="E119">
        <v>16</v>
      </c>
      <c r="F119">
        <v>4</v>
      </c>
      <c r="G119">
        <v>3</v>
      </c>
      <c r="H119" t="s">
        <v>1110</v>
      </c>
    </row>
    <row r="120" spans="1:8" x14ac:dyDescent="0.25">
      <c r="A120">
        <v>12</v>
      </c>
      <c r="B120" t="b">
        <v>0</v>
      </c>
      <c r="C120" s="6">
        <v>46354.625</v>
      </c>
      <c r="D120" t="b">
        <v>0</v>
      </c>
      <c r="E120">
        <v>18</v>
      </c>
      <c r="F120">
        <v>6</v>
      </c>
      <c r="G120">
        <v>4</v>
      </c>
      <c r="H120" t="s">
        <v>1110</v>
      </c>
    </row>
    <row r="121" spans="1:8" x14ac:dyDescent="0.25">
      <c r="A121">
        <v>12</v>
      </c>
      <c r="B121" t="b">
        <v>0</v>
      </c>
      <c r="C121" s="6">
        <v>46354.625</v>
      </c>
      <c r="D121" t="b">
        <v>0</v>
      </c>
      <c r="E121">
        <v>20</v>
      </c>
      <c r="F121">
        <v>19</v>
      </c>
      <c r="G121">
        <v>3</v>
      </c>
      <c r="H121" t="s">
        <v>1110</v>
      </c>
    </row>
    <row r="122" spans="1:8" x14ac:dyDescent="0.25">
      <c r="A122">
        <v>13</v>
      </c>
      <c r="B122" t="b">
        <v>0</v>
      </c>
      <c r="C122" s="6">
        <v>46358.833333333336</v>
      </c>
      <c r="D122" t="b">
        <v>0</v>
      </c>
      <c r="E122">
        <v>2</v>
      </c>
      <c r="F122">
        <v>9</v>
      </c>
      <c r="G122">
        <v>3</v>
      </c>
      <c r="H122" t="s">
        <v>1110</v>
      </c>
    </row>
    <row r="123" spans="1:8" x14ac:dyDescent="0.25">
      <c r="A123">
        <v>13</v>
      </c>
      <c r="B123" t="b">
        <v>0</v>
      </c>
      <c r="C123" s="6">
        <v>46358.833333333336</v>
      </c>
      <c r="D123" t="b">
        <v>0</v>
      </c>
      <c r="E123">
        <v>3</v>
      </c>
      <c r="F123">
        <v>5</v>
      </c>
      <c r="G123">
        <v>2</v>
      </c>
      <c r="H123" t="s">
        <v>1110</v>
      </c>
    </row>
    <row r="124" spans="1:8" x14ac:dyDescent="0.25">
      <c r="A124">
        <v>13</v>
      </c>
      <c r="B124" t="b">
        <v>0</v>
      </c>
      <c r="C124" s="6">
        <v>46358.833333333336</v>
      </c>
      <c r="D124" t="b">
        <v>0</v>
      </c>
      <c r="E124">
        <v>4</v>
      </c>
      <c r="F124">
        <v>1</v>
      </c>
      <c r="G124">
        <v>4</v>
      </c>
      <c r="H124" t="s">
        <v>1110</v>
      </c>
    </row>
    <row r="125" spans="1:8" x14ac:dyDescent="0.25">
      <c r="A125">
        <v>13</v>
      </c>
      <c r="B125" t="b">
        <v>0</v>
      </c>
      <c r="C125" s="6">
        <v>46358.833333333336</v>
      </c>
      <c r="D125" t="b">
        <v>0</v>
      </c>
      <c r="E125">
        <v>6</v>
      </c>
      <c r="F125">
        <v>8</v>
      </c>
      <c r="G125">
        <v>3</v>
      </c>
      <c r="H125" t="s">
        <v>1110</v>
      </c>
    </row>
    <row r="126" spans="1:8" x14ac:dyDescent="0.25">
      <c r="A126">
        <v>13</v>
      </c>
      <c r="B126" t="b">
        <v>0</v>
      </c>
      <c r="C126" s="6">
        <v>46358.833333333336</v>
      </c>
      <c r="D126" t="b">
        <v>0</v>
      </c>
      <c r="E126">
        <v>7</v>
      </c>
      <c r="F126">
        <v>12</v>
      </c>
      <c r="G126">
        <v>2</v>
      </c>
      <c r="H126" t="s">
        <v>1110</v>
      </c>
    </row>
    <row r="127" spans="1:8" x14ac:dyDescent="0.25">
      <c r="A127">
        <v>13</v>
      </c>
      <c r="B127" t="b">
        <v>0</v>
      </c>
      <c r="C127" s="6">
        <v>46358.833333333336</v>
      </c>
      <c r="D127" t="b">
        <v>0</v>
      </c>
      <c r="E127">
        <v>11</v>
      </c>
      <c r="F127">
        <v>18</v>
      </c>
      <c r="G127">
        <v>3</v>
      </c>
      <c r="H127" t="s">
        <v>1110</v>
      </c>
    </row>
    <row r="128" spans="1:8" x14ac:dyDescent="0.25">
      <c r="A128">
        <v>13</v>
      </c>
      <c r="B128" t="b">
        <v>0</v>
      </c>
      <c r="C128" s="6">
        <v>46358.833333333336</v>
      </c>
      <c r="D128" t="b">
        <v>0</v>
      </c>
      <c r="E128">
        <v>14</v>
      </c>
      <c r="F128">
        <v>20</v>
      </c>
      <c r="G128">
        <v>2</v>
      </c>
      <c r="H128" t="s">
        <v>1110</v>
      </c>
    </row>
    <row r="129" spans="1:8" x14ac:dyDescent="0.25">
      <c r="A129">
        <v>13</v>
      </c>
      <c r="B129" t="b">
        <v>0</v>
      </c>
      <c r="C129" s="6">
        <v>46358.833333333336</v>
      </c>
      <c r="D129" t="b">
        <v>0</v>
      </c>
      <c r="E129">
        <v>15</v>
      </c>
      <c r="F129">
        <v>13</v>
      </c>
      <c r="G129">
        <v>2</v>
      </c>
      <c r="H129" t="s">
        <v>1110</v>
      </c>
    </row>
    <row r="130" spans="1:8" x14ac:dyDescent="0.25">
      <c r="A130">
        <v>13</v>
      </c>
      <c r="B130" t="b">
        <v>0</v>
      </c>
      <c r="C130" s="6">
        <v>46358.833333333336</v>
      </c>
      <c r="D130" t="b">
        <v>0</v>
      </c>
      <c r="E130">
        <v>17</v>
      </c>
      <c r="F130">
        <v>16</v>
      </c>
      <c r="G130">
        <v>4</v>
      </c>
      <c r="H130" t="s">
        <v>1110</v>
      </c>
    </row>
    <row r="131" spans="1:8" x14ac:dyDescent="0.25">
      <c r="A131">
        <v>13</v>
      </c>
      <c r="B131" t="b">
        <v>0</v>
      </c>
      <c r="C131" s="6">
        <v>46358.833333333336</v>
      </c>
      <c r="D131" t="b">
        <v>0</v>
      </c>
      <c r="E131">
        <v>19</v>
      </c>
      <c r="F131">
        <v>10</v>
      </c>
      <c r="G131">
        <v>2</v>
      </c>
      <c r="H131" t="s">
        <v>1110</v>
      </c>
    </row>
    <row r="132" spans="1:8" x14ac:dyDescent="0.25">
      <c r="A132">
        <v>14</v>
      </c>
      <c r="B132" t="b">
        <v>0</v>
      </c>
      <c r="C132" s="6">
        <v>46361.625</v>
      </c>
      <c r="D132" t="b">
        <v>0</v>
      </c>
      <c r="E132">
        <v>2</v>
      </c>
      <c r="F132">
        <v>8</v>
      </c>
      <c r="G132">
        <v>3</v>
      </c>
      <c r="H132" t="s">
        <v>1110</v>
      </c>
    </row>
    <row r="133" spans="1:8" x14ac:dyDescent="0.25">
      <c r="A133">
        <v>14</v>
      </c>
      <c r="B133" t="b">
        <v>0</v>
      </c>
      <c r="C133" s="6">
        <v>46361.625</v>
      </c>
      <c r="D133" t="b">
        <v>0</v>
      </c>
      <c r="E133">
        <v>3</v>
      </c>
      <c r="F133">
        <v>11</v>
      </c>
      <c r="G133">
        <v>2</v>
      </c>
      <c r="H133" t="s">
        <v>1110</v>
      </c>
    </row>
    <row r="134" spans="1:8" x14ac:dyDescent="0.25">
      <c r="A134">
        <v>14</v>
      </c>
      <c r="B134" t="b">
        <v>0</v>
      </c>
      <c r="C134" s="6">
        <v>46361.625</v>
      </c>
      <c r="D134" t="b">
        <v>0</v>
      </c>
      <c r="E134">
        <v>4</v>
      </c>
      <c r="F134">
        <v>15</v>
      </c>
      <c r="G134">
        <v>4</v>
      </c>
      <c r="H134" t="s">
        <v>1110</v>
      </c>
    </row>
    <row r="135" spans="1:8" x14ac:dyDescent="0.25">
      <c r="A135">
        <v>14</v>
      </c>
      <c r="B135" t="b">
        <v>0</v>
      </c>
      <c r="C135" s="6">
        <v>46361.625</v>
      </c>
      <c r="D135" t="b">
        <v>0</v>
      </c>
      <c r="E135">
        <v>6</v>
      </c>
      <c r="F135">
        <v>14</v>
      </c>
      <c r="G135">
        <v>4</v>
      </c>
      <c r="H135" t="s">
        <v>1110</v>
      </c>
    </row>
    <row r="136" spans="1:8" x14ac:dyDescent="0.25">
      <c r="A136">
        <v>14</v>
      </c>
      <c r="B136" t="b">
        <v>0</v>
      </c>
      <c r="C136" s="6">
        <v>46361.625</v>
      </c>
      <c r="D136" t="b">
        <v>0</v>
      </c>
      <c r="E136">
        <v>9</v>
      </c>
      <c r="F136">
        <v>10</v>
      </c>
      <c r="G136">
        <v>2</v>
      </c>
      <c r="H136" t="s">
        <v>1110</v>
      </c>
    </row>
    <row r="137" spans="1:8" x14ac:dyDescent="0.25">
      <c r="A137">
        <v>14</v>
      </c>
      <c r="B137" t="b">
        <v>0</v>
      </c>
      <c r="C137" s="6">
        <v>46361.625</v>
      </c>
      <c r="D137" t="b">
        <v>0</v>
      </c>
      <c r="E137">
        <v>13</v>
      </c>
      <c r="F137">
        <v>12</v>
      </c>
      <c r="G137">
        <v>2</v>
      </c>
      <c r="H137" t="s">
        <v>1110</v>
      </c>
    </row>
    <row r="138" spans="1:8" x14ac:dyDescent="0.25">
      <c r="A138">
        <v>14</v>
      </c>
      <c r="B138" t="b">
        <v>0</v>
      </c>
      <c r="C138" s="6">
        <v>46361.625</v>
      </c>
      <c r="D138" t="b">
        <v>0</v>
      </c>
      <c r="E138">
        <v>16</v>
      </c>
      <c r="F138">
        <v>7</v>
      </c>
      <c r="G138">
        <v>2</v>
      </c>
      <c r="H138" t="s">
        <v>1110</v>
      </c>
    </row>
    <row r="139" spans="1:8" x14ac:dyDescent="0.25">
      <c r="A139">
        <v>14</v>
      </c>
      <c r="B139" t="b">
        <v>0</v>
      </c>
      <c r="C139" s="6">
        <v>46361.625</v>
      </c>
      <c r="D139" t="b">
        <v>0</v>
      </c>
      <c r="E139">
        <v>17</v>
      </c>
      <c r="F139">
        <v>20</v>
      </c>
      <c r="G139">
        <v>2</v>
      </c>
      <c r="H139" t="s">
        <v>1110</v>
      </c>
    </row>
    <row r="140" spans="1:8" x14ac:dyDescent="0.25">
      <c r="A140">
        <v>14</v>
      </c>
      <c r="B140" t="b">
        <v>0</v>
      </c>
      <c r="C140" s="6">
        <v>46361.625</v>
      </c>
      <c r="D140" t="b">
        <v>0</v>
      </c>
      <c r="E140">
        <v>18</v>
      </c>
      <c r="F140">
        <v>5</v>
      </c>
      <c r="G140">
        <v>2</v>
      </c>
      <c r="H140" t="s">
        <v>1110</v>
      </c>
    </row>
    <row r="141" spans="1:8" x14ac:dyDescent="0.25">
      <c r="A141">
        <v>14</v>
      </c>
      <c r="B141" t="b">
        <v>0</v>
      </c>
      <c r="C141" s="6">
        <v>46361.625</v>
      </c>
      <c r="D141" t="b">
        <v>0</v>
      </c>
      <c r="E141">
        <v>19</v>
      </c>
      <c r="F141">
        <v>1</v>
      </c>
      <c r="G141">
        <v>4</v>
      </c>
      <c r="H141" t="s">
        <v>1110</v>
      </c>
    </row>
    <row r="142" spans="1:8" x14ac:dyDescent="0.25">
      <c r="A142">
        <v>15</v>
      </c>
      <c r="B142" t="b">
        <v>0</v>
      </c>
      <c r="C142" s="6">
        <v>46368.625</v>
      </c>
      <c r="D142" t="b">
        <v>0</v>
      </c>
      <c r="E142">
        <v>1</v>
      </c>
      <c r="F142">
        <v>3</v>
      </c>
      <c r="G142">
        <v>3</v>
      </c>
      <c r="H142" t="s">
        <v>1110</v>
      </c>
    </row>
    <row r="143" spans="1:8" x14ac:dyDescent="0.25">
      <c r="A143">
        <v>15</v>
      </c>
      <c r="B143" t="b">
        <v>0</v>
      </c>
      <c r="C143" s="6">
        <v>46368.625</v>
      </c>
      <c r="D143" t="b">
        <v>0</v>
      </c>
      <c r="E143">
        <v>5</v>
      </c>
      <c r="F143">
        <v>9</v>
      </c>
      <c r="G143">
        <v>3</v>
      </c>
      <c r="H143" t="s">
        <v>1110</v>
      </c>
    </row>
    <row r="144" spans="1:8" x14ac:dyDescent="0.25">
      <c r="A144">
        <v>15</v>
      </c>
      <c r="B144" t="b">
        <v>0</v>
      </c>
      <c r="C144" s="6">
        <v>46368.625</v>
      </c>
      <c r="D144" t="b">
        <v>0</v>
      </c>
      <c r="E144">
        <v>7</v>
      </c>
      <c r="F144">
        <v>2</v>
      </c>
      <c r="G144">
        <v>3</v>
      </c>
      <c r="H144" t="s">
        <v>1110</v>
      </c>
    </row>
    <row r="145" spans="1:8" x14ac:dyDescent="0.25">
      <c r="A145">
        <v>15</v>
      </c>
      <c r="B145" t="b">
        <v>0</v>
      </c>
      <c r="C145" s="6">
        <v>46368.625</v>
      </c>
      <c r="D145" t="b">
        <v>0</v>
      </c>
      <c r="E145">
        <v>8</v>
      </c>
      <c r="F145">
        <v>16</v>
      </c>
      <c r="G145">
        <v>4</v>
      </c>
      <c r="H145" t="s">
        <v>1110</v>
      </c>
    </row>
    <row r="146" spans="1:8" x14ac:dyDescent="0.25">
      <c r="A146">
        <v>15</v>
      </c>
      <c r="B146" t="b">
        <v>0</v>
      </c>
      <c r="C146" s="6">
        <v>46368.625</v>
      </c>
      <c r="D146" t="b">
        <v>0</v>
      </c>
      <c r="E146">
        <v>10</v>
      </c>
      <c r="F146">
        <v>4</v>
      </c>
      <c r="G146">
        <v>3</v>
      </c>
      <c r="H146" t="s">
        <v>1110</v>
      </c>
    </row>
    <row r="147" spans="1:8" x14ac:dyDescent="0.25">
      <c r="A147">
        <v>15</v>
      </c>
      <c r="B147" t="b">
        <v>0</v>
      </c>
      <c r="C147" s="6">
        <v>46368.625</v>
      </c>
      <c r="D147" t="b">
        <v>0</v>
      </c>
      <c r="E147">
        <v>11</v>
      </c>
      <c r="F147">
        <v>19</v>
      </c>
      <c r="G147">
        <v>3</v>
      </c>
      <c r="H147" t="s">
        <v>1110</v>
      </c>
    </row>
    <row r="148" spans="1:8" x14ac:dyDescent="0.25">
      <c r="A148">
        <v>15</v>
      </c>
      <c r="B148" t="b">
        <v>0</v>
      </c>
      <c r="C148" s="6">
        <v>46368.625</v>
      </c>
      <c r="D148" t="b">
        <v>0</v>
      </c>
      <c r="E148">
        <v>12</v>
      </c>
      <c r="F148">
        <v>17</v>
      </c>
      <c r="G148">
        <v>2</v>
      </c>
      <c r="H148" t="s">
        <v>1110</v>
      </c>
    </row>
    <row r="149" spans="1:8" x14ac:dyDescent="0.25">
      <c r="A149">
        <v>15</v>
      </c>
      <c r="B149" t="b">
        <v>0</v>
      </c>
      <c r="C149" s="6">
        <v>46368.625</v>
      </c>
      <c r="D149" t="b">
        <v>0</v>
      </c>
      <c r="E149">
        <v>14</v>
      </c>
      <c r="F149">
        <v>13</v>
      </c>
      <c r="G149">
        <v>2</v>
      </c>
      <c r="H149" t="s">
        <v>1110</v>
      </c>
    </row>
    <row r="150" spans="1:8" x14ac:dyDescent="0.25">
      <c r="A150">
        <v>15</v>
      </c>
      <c r="B150" t="b">
        <v>0</v>
      </c>
      <c r="C150" s="6">
        <v>46368.625</v>
      </c>
      <c r="D150" t="b">
        <v>0</v>
      </c>
      <c r="E150">
        <v>15</v>
      </c>
      <c r="F150">
        <v>6</v>
      </c>
      <c r="G150">
        <v>4</v>
      </c>
      <c r="H150" t="s">
        <v>1110</v>
      </c>
    </row>
    <row r="151" spans="1:8" x14ac:dyDescent="0.25">
      <c r="A151">
        <v>15</v>
      </c>
      <c r="B151" t="b">
        <v>0</v>
      </c>
      <c r="C151" s="6">
        <v>46368.625</v>
      </c>
      <c r="D151" t="b">
        <v>0</v>
      </c>
      <c r="E151">
        <v>20</v>
      </c>
      <c r="F151">
        <v>18</v>
      </c>
      <c r="G151">
        <v>3</v>
      </c>
      <c r="H151" t="s">
        <v>1110</v>
      </c>
    </row>
    <row r="152" spans="1:8" x14ac:dyDescent="0.25">
      <c r="A152">
        <v>16</v>
      </c>
      <c r="B152" t="b">
        <v>0</v>
      </c>
      <c r="C152" s="6">
        <v>46375.625</v>
      </c>
      <c r="D152" t="b">
        <v>0</v>
      </c>
      <c r="E152">
        <v>1</v>
      </c>
      <c r="F152">
        <v>16</v>
      </c>
      <c r="G152">
        <v>4</v>
      </c>
      <c r="H152" t="s">
        <v>1110</v>
      </c>
    </row>
    <row r="153" spans="1:8" x14ac:dyDescent="0.25">
      <c r="A153">
        <v>16</v>
      </c>
      <c r="B153" t="b">
        <v>0</v>
      </c>
      <c r="C153" s="6">
        <v>46375.625</v>
      </c>
      <c r="D153" t="b">
        <v>0</v>
      </c>
      <c r="E153">
        <v>3</v>
      </c>
      <c r="F153">
        <v>7</v>
      </c>
      <c r="G153">
        <v>2</v>
      </c>
      <c r="H153" t="s">
        <v>1110</v>
      </c>
    </row>
    <row r="154" spans="1:8" x14ac:dyDescent="0.25">
      <c r="A154">
        <v>16</v>
      </c>
      <c r="B154" t="b">
        <v>0</v>
      </c>
      <c r="C154" s="6">
        <v>46375.625</v>
      </c>
      <c r="D154" t="b">
        <v>0</v>
      </c>
      <c r="E154">
        <v>4</v>
      </c>
      <c r="F154">
        <v>17</v>
      </c>
      <c r="G154">
        <v>2</v>
      </c>
      <c r="H154" t="s">
        <v>1110</v>
      </c>
    </row>
    <row r="155" spans="1:8" x14ac:dyDescent="0.25">
      <c r="A155">
        <v>16</v>
      </c>
      <c r="B155" t="b">
        <v>0</v>
      </c>
      <c r="C155" s="6">
        <v>46375.625</v>
      </c>
      <c r="D155" t="b">
        <v>0</v>
      </c>
      <c r="E155">
        <v>5</v>
      </c>
      <c r="F155">
        <v>12</v>
      </c>
      <c r="G155">
        <v>2</v>
      </c>
      <c r="H155" t="s">
        <v>1110</v>
      </c>
    </row>
    <row r="156" spans="1:8" x14ac:dyDescent="0.25">
      <c r="A156">
        <v>16</v>
      </c>
      <c r="B156" t="b">
        <v>0</v>
      </c>
      <c r="C156" s="6">
        <v>46375.625</v>
      </c>
      <c r="D156" t="b">
        <v>0</v>
      </c>
      <c r="E156">
        <v>6</v>
      </c>
      <c r="F156">
        <v>2</v>
      </c>
      <c r="G156">
        <v>3</v>
      </c>
      <c r="H156" t="s">
        <v>1110</v>
      </c>
    </row>
    <row r="157" spans="1:8" x14ac:dyDescent="0.25">
      <c r="A157">
        <v>16</v>
      </c>
      <c r="B157" t="b">
        <v>0</v>
      </c>
      <c r="C157" s="6">
        <v>46375.625</v>
      </c>
      <c r="D157" t="b">
        <v>0</v>
      </c>
      <c r="E157">
        <v>13</v>
      </c>
      <c r="F157">
        <v>10</v>
      </c>
      <c r="G157">
        <v>2</v>
      </c>
      <c r="H157" t="s">
        <v>1110</v>
      </c>
    </row>
    <row r="158" spans="1:8" x14ac:dyDescent="0.25">
      <c r="A158">
        <v>16</v>
      </c>
      <c r="B158" t="b">
        <v>0</v>
      </c>
      <c r="C158" s="6">
        <v>46375.625</v>
      </c>
      <c r="D158" t="b">
        <v>0</v>
      </c>
      <c r="E158">
        <v>14</v>
      </c>
      <c r="F158">
        <v>19</v>
      </c>
      <c r="G158">
        <v>3</v>
      </c>
      <c r="H158" t="s">
        <v>1110</v>
      </c>
    </row>
    <row r="159" spans="1:8" x14ac:dyDescent="0.25">
      <c r="A159">
        <v>16</v>
      </c>
      <c r="B159" t="b">
        <v>0</v>
      </c>
      <c r="C159" s="6">
        <v>46375.625</v>
      </c>
      <c r="D159" t="b">
        <v>0</v>
      </c>
      <c r="E159">
        <v>15</v>
      </c>
      <c r="F159">
        <v>11</v>
      </c>
      <c r="G159">
        <v>2</v>
      </c>
      <c r="H159" t="s">
        <v>1110</v>
      </c>
    </row>
    <row r="160" spans="1:8" x14ac:dyDescent="0.25">
      <c r="A160">
        <v>16</v>
      </c>
      <c r="B160" t="b">
        <v>0</v>
      </c>
      <c r="C160" s="6">
        <v>46375.625</v>
      </c>
      <c r="D160" t="b">
        <v>0</v>
      </c>
      <c r="E160">
        <v>18</v>
      </c>
      <c r="F160">
        <v>9</v>
      </c>
      <c r="G160">
        <v>3</v>
      </c>
      <c r="H160" t="s">
        <v>1110</v>
      </c>
    </row>
    <row r="161" spans="1:8" x14ac:dyDescent="0.25">
      <c r="A161">
        <v>16</v>
      </c>
      <c r="B161" t="b">
        <v>0</v>
      </c>
      <c r="C161" s="6">
        <v>46375.625</v>
      </c>
      <c r="D161" t="b">
        <v>0</v>
      </c>
      <c r="E161">
        <v>20</v>
      </c>
      <c r="F161">
        <v>8</v>
      </c>
      <c r="G161">
        <v>3</v>
      </c>
      <c r="H161" t="s">
        <v>1110</v>
      </c>
    </row>
    <row r="162" spans="1:8" x14ac:dyDescent="0.25">
      <c r="A162">
        <v>17</v>
      </c>
      <c r="B162" t="b">
        <v>0</v>
      </c>
      <c r="C162" s="6">
        <v>46382.625</v>
      </c>
      <c r="D162" t="b">
        <v>0</v>
      </c>
      <c r="E162">
        <v>2</v>
      </c>
      <c r="F162">
        <v>13</v>
      </c>
      <c r="G162">
        <v>2</v>
      </c>
      <c r="H162" t="s">
        <v>1110</v>
      </c>
    </row>
    <row r="163" spans="1:8" x14ac:dyDescent="0.25">
      <c r="A163">
        <v>17</v>
      </c>
      <c r="B163" t="b">
        <v>0</v>
      </c>
      <c r="C163" s="6">
        <v>46382.625</v>
      </c>
      <c r="D163" t="b">
        <v>0</v>
      </c>
      <c r="E163">
        <v>7</v>
      </c>
      <c r="F163">
        <v>6</v>
      </c>
      <c r="G163">
        <v>4</v>
      </c>
      <c r="H163" t="s">
        <v>1110</v>
      </c>
    </row>
    <row r="164" spans="1:8" x14ac:dyDescent="0.25">
      <c r="A164">
        <v>17</v>
      </c>
      <c r="B164" t="b">
        <v>0</v>
      </c>
      <c r="C164" s="6">
        <v>46382.625</v>
      </c>
      <c r="D164" t="b">
        <v>0</v>
      </c>
      <c r="E164">
        <v>8</v>
      </c>
      <c r="F164">
        <v>1</v>
      </c>
      <c r="G164">
        <v>4</v>
      </c>
      <c r="H164" t="s">
        <v>1110</v>
      </c>
    </row>
    <row r="165" spans="1:8" x14ac:dyDescent="0.25">
      <c r="A165">
        <v>17</v>
      </c>
      <c r="B165" t="b">
        <v>0</v>
      </c>
      <c r="C165" s="6">
        <v>46382.625</v>
      </c>
      <c r="D165" t="b">
        <v>0</v>
      </c>
      <c r="E165">
        <v>9</v>
      </c>
      <c r="F165">
        <v>20</v>
      </c>
      <c r="G165">
        <v>2</v>
      </c>
      <c r="H165" t="s">
        <v>1110</v>
      </c>
    </row>
    <row r="166" spans="1:8" x14ac:dyDescent="0.25">
      <c r="A166">
        <v>17</v>
      </c>
      <c r="B166" t="b">
        <v>0</v>
      </c>
      <c r="C166" s="6">
        <v>46382.625</v>
      </c>
      <c r="D166" t="b">
        <v>0</v>
      </c>
      <c r="E166">
        <v>10</v>
      </c>
      <c r="F166">
        <v>5</v>
      </c>
      <c r="G166">
        <v>2</v>
      </c>
      <c r="H166" t="s">
        <v>1110</v>
      </c>
    </row>
    <row r="167" spans="1:8" x14ac:dyDescent="0.25">
      <c r="A167">
        <v>17</v>
      </c>
      <c r="B167" t="b">
        <v>0</v>
      </c>
      <c r="C167" s="6">
        <v>46382.625</v>
      </c>
      <c r="D167" t="b">
        <v>0</v>
      </c>
      <c r="E167">
        <v>11</v>
      </c>
      <c r="F167">
        <v>14</v>
      </c>
      <c r="G167">
        <v>4</v>
      </c>
      <c r="H167" t="s">
        <v>1110</v>
      </c>
    </row>
    <row r="168" spans="1:8" x14ac:dyDescent="0.25">
      <c r="A168">
        <v>17</v>
      </c>
      <c r="B168" t="b">
        <v>0</v>
      </c>
      <c r="C168" s="6">
        <v>46382.625</v>
      </c>
      <c r="D168" t="b">
        <v>0</v>
      </c>
      <c r="E168">
        <v>12</v>
      </c>
      <c r="F168">
        <v>4</v>
      </c>
      <c r="G168">
        <v>3</v>
      </c>
      <c r="H168" t="s">
        <v>1110</v>
      </c>
    </row>
    <row r="169" spans="1:8" x14ac:dyDescent="0.25">
      <c r="A169">
        <v>17</v>
      </c>
      <c r="B169" t="b">
        <v>0</v>
      </c>
      <c r="C169" s="6">
        <v>46382.625</v>
      </c>
      <c r="D169" t="b">
        <v>0</v>
      </c>
      <c r="E169">
        <v>16</v>
      </c>
      <c r="F169">
        <v>18</v>
      </c>
      <c r="G169">
        <v>3</v>
      </c>
      <c r="H169" t="s">
        <v>1110</v>
      </c>
    </row>
    <row r="170" spans="1:8" x14ac:dyDescent="0.25">
      <c r="A170">
        <v>17</v>
      </c>
      <c r="B170" t="b">
        <v>0</v>
      </c>
      <c r="C170" s="6">
        <v>46382.625</v>
      </c>
      <c r="D170" t="b">
        <v>0</v>
      </c>
      <c r="E170">
        <v>17</v>
      </c>
      <c r="F170">
        <v>15</v>
      </c>
      <c r="G170">
        <v>4</v>
      </c>
      <c r="H170" t="s">
        <v>1110</v>
      </c>
    </row>
    <row r="171" spans="1:8" x14ac:dyDescent="0.25">
      <c r="A171">
        <v>17</v>
      </c>
      <c r="B171" t="b">
        <v>0</v>
      </c>
      <c r="C171" s="6">
        <v>46382.625</v>
      </c>
      <c r="D171" t="b">
        <v>0</v>
      </c>
      <c r="E171">
        <v>19</v>
      </c>
      <c r="F171">
        <v>3</v>
      </c>
      <c r="G171">
        <v>3</v>
      </c>
      <c r="H171" t="s">
        <v>1110</v>
      </c>
    </row>
    <row r="172" spans="1:8" x14ac:dyDescent="0.25">
      <c r="A172">
        <v>18</v>
      </c>
      <c r="B172" t="b">
        <v>0</v>
      </c>
      <c r="C172" s="6">
        <v>46386.833333333336</v>
      </c>
      <c r="D172" t="b">
        <v>0</v>
      </c>
      <c r="E172">
        <v>2</v>
      </c>
      <c r="F172">
        <v>14</v>
      </c>
      <c r="G172">
        <v>4</v>
      </c>
      <c r="H172" t="s">
        <v>1110</v>
      </c>
    </row>
    <row r="173" spans="1:8" x14ac:dyDescent="0.25">
      <c r="A173">
        <v>18</v>
      </c>
      <c r="B173" t="b">
        <v>0</v>
      </c>
      <c r="C173" s="6">
        <v>46386.833333333336</v>
      </c>
      <c r="D173" t="b">
        <v>0</v>
      </c>
      <c r="E173">
        <v>7</v>
      </c>
      <c r="F173">
        <v>4</v>
      </c>
      <c r="G173">
        <v>3</v>
      </c>
      <c r="H173" t="s">
        <v>1110</v>
      </c>
    </row>
    <row r="174" spans="1:8" x14ac:dyDescent="0.25">
      <c r="A174">
        <v>18</v>
      </c>
      <c r="B174" t="b">
        <v>0</v>
      </c>
      <c r="C174" s="6">
        <v>46386.833333333336</v>
      </c>
      <c r="D174" t="b">
        <v>0</v>
      </c>
      <c r="E174">
        <v>8</v>
      </c>
      <c r="F174">
        <v>3</v>
      </c>
      <c r="G174">
        <v>3</v>
      </c>
      <c r="H174" t="s">
        <v>1110</v>
      </c>
    </row>
    <row r="175" spans="1:8" x14ac:dyDescent="0.25">
      <c r="A175">
        <v>18</v>
      </c>
      <c r="B175" t="b">
        <v>0</v>
      </c>
      <c r="C175" s="6">
        <v>46386.833333333336</v>
      </c>
      <c r="D175" t="b">
        <v>0</v>
      </c>
      <c r="E175">
        <v>9</v>
      </c>
      <c r="F175">
        <v>15</v>
      </c>
      <c r="G175">
        <v>4</v>
      </c>
      <c r="H175" t="s">
        <v>1110</v>
      </c>
    </row>
    <row r="176" spans="1:8" x14ac:dyDescent="0.25">
      <c r="A176">
        <v>18</v>
      </c>
      <c r="B176" t="b">
        <v>0</v>
      </c>
      <c r="C176" s="6">
        <v>46386.833333333336</v>
      </c>
      <c r="D176" t="b">
        <v>0</v>
      </c>
      <c r="E176">
        <v>10</v>
      </c>
      <c r="F176">
        <v>1</v>
      </c>
      <c r="G176">
        <v>4</v>
      </c>
      <c r="H176" t="s">
        <v>1110</v>
      </c>
    </row>
    <row r="177" spans="1:8" x14ac:dyDescent="0.25">
      <c r="A177">
        <v>18</v>
      </c>
      <c r="B177" t="b">
        <v>0</v>
      </c>
      <c r="C177" s="6">
        <v>46386.833333333336</v>
      </c>
      <c r="D177" t="b">
        <v>0</v>
      </c>
      <c r="E177">
        <v>11</v>
      </c>
      <c r="F177">
        <v>13</v>
      </c>
      <c r="G177">
        <v>2</v>
      </c>
      <c r="H177" t="s">
        <v>1110</v>
      </c>
    </row>
    <row r="178" spans="1:8" x14ac:dyDescent="0.25">
      <c r="A178">
        <v>18</v>
      </c>
      <c r="B178" t="b">
        <v>0</v>
      </c>
      <c r="C178" s="6">
        <v>46386.833333333336</v>
      </c>
      <c r="D178" t="b">
        <v>0</v>
      </c>
      <c r="E178">
        <v>12</v>
      </c>
      <c r="F178">
        <v>6</v>
      </c>
      <c r="G178">
        <v>4</v>
      </c>
      <c r="H178" t="s">
        <v>1110</v>
      </c>
    </row>
    <row r="179" spans="1:8" x14ac:dyDescent="0.25">
      <c r="A179">
        <v>18</v>
      </c>
      <c r="B179" t="b">
        <v>0</v>
      </c>
      <c r="C179" s="6">
        <v>46386.833333333336</v>
      </c>
      <c r="D179" t="b">
        <v>0</v>
      </c>
      <c r="E179">
        <v>16</v>
      </c>
      <c r="F179">
        <v>20</v>
      </c>
      <c r="G179">
        <v>2</v>
      </c>
      <c r="H179" t="s">
        <v>1110</v>
      </c>
    </row>
    <row r="180" spans="1:8" x14ac:dyDescent="0.25">
      <c r="A180">
        <v>18</v>
      </c>
      <c r="B180" t="b">
        <v>0</v>
      </c>
      <c r="C180" s="6">
        <v>46386.833333333336</v>
      </c>
      <c r="D180" t="b">
        <v>0</v>
      </c>
      <c r="E180">
        <v>17</v>
      </c>
      <c r="F180">
        <v>18</v>
      </c>
      <c r="G180">
        <v>3</v>
      </c>
      <c r="H180" t="s">
        <v>1110</v>
      </c>
    </row>
    <row r="181" spans="1:8" x14ac:dyDescent="0.25">
      <c r="A181">
        <v>18</v>
      </c>
      <c r="B181" t="b">
        <v>0</v>
      </c>
      <c r="C181" s="6">
        <v>46386.833333333336</v>
      </c>
      <c r="D181" t="b">
        <v>0</v>
      </c>
      <c r="E181">
        <v>19</v>
      </c>
      <c r="F181">
        <v>5</v>
      </c>
      <c r="G181">
        <v>2</v>
      </c>
      <c r="H181" t="s">
        <v>1110</v>
      </c>
    </row>
    <row r="182" spans="1:8" x14ac:dyDescent="0.25">
      <c r="A182">
        <v>19</v>
      </c>
      <c r="B182" t="b">
        <v>0</v>
      </c>
      <c r="C182" s="6">
        <v>46389.625</v>
      </c>
      <c r="D182" t="b">
        <v>0</v>
      </c>
      <c r="E182">
        <v>1</v>
      </c>
      <c r="F182">
        <v>12</v>
      </c>
      <c r="G182">
        <v>2</v>
      </c>
      <c r="H182" t="s">
        <v>1110</v>
      </c>
    </row>
    <row r="183" spans="1:8" x14ac:dyDescent="0.25">
      <c r="A183">
        <v>19</v>
      </c>
      <c r="B183" t="b">
        <v>0</v>
      </c>
      <c r="C183" s="6">
        <v>46389.625</v>
      </c>
      <c r="D183" t="b">
        <v>0</v>
      </c>
      <c r="E183">
        <v>3</v>
      </c>
      <c r="F183">
        <v>2</v>
      </c>
      <c r="G183">
        <v>3</v>
      </c>
      <c r="H183" t="s">
        <v>1110</v>
      </c>
    </row>
    <row r="184" spans="1:8" x14ac:dyDescent="0.25">
      <c r="A184">
        <v>19</v>
      </c>
      <c r="B184" t="b">
        <v>0</v>
      </c>
      <c r="C184" s="6">
        <v>46389.625</v>
      </c>
      <c r="D184" t="b">
        <v>0</v>
      </c>
      <c r="E184">
        <v>4</v>
      </c>
      <c r="F184">
        <v>8</v>
      </c>
      <c r="G184">
        <v>3</v>
      </c>
      <c r="H184" t="s">
        <v>1110</v>
      </c>
    </row>
    <row r="185" spans="1:8" x14ac:dyDescent="0.25">
      <c r="A185">
        <v>19</v>
      </c>
      <c r="B185" t="b">
        <v>0</v>
      </c>
      <c r="C185" s="6">
        <v>46389.625</v>
      </c>
      <c r="D185" t="b">
        <v>0</v>
      </c>
      <c r="E185">
        <v>5</v>
      </c>
      <c r="F185">
        <v>16</v>
      </c>
      <c r="G185">
        <v>4</v>
      </c>
      <c r="H185" t="s">
        <v>1110</v>
      </c>
    </row>
    <row r="186" spans="1:8" x14ac:dyDescent="0.25">
      <c r="A186">
        <v>19</v>
      </c>
      <c r="B186" t="b">
        <v>0</v>
      </c>
      <c r="C186" s="6">
        <v>46389.625</v>
      </c>
      <c r="D186" t="b">
        <v>0</v>
      </c>
      <c r="E186">
        <v>6</v>
      </c>
      <c r="F186">
        <v>17</v>
      </c>
      <c r="G186">
        <v>2</v>
      </c>
      <c r="H186" t="s">
        <v>1110</v>
      </c>
    </row>
    <row r="187" spans="1:8" x14ac:dyDescent="0.25">
      <c r="A187">
        <v>19</v>
      </c>
      <c r="B187" t="b">
        <v>0</v>
      </c>
      <c r="C187" s="6">
        <v>46389.625</v>
      </c>
      <c r="D187" t="b">
        <v>0</v>
      </c>
      <c r="E187">
        <v>13</v>
      </c>
      <c r="F187">
        <v>9</v>
      </c>
      <c r="G187">
        <v>3</v>
      </c>
      <c r="H187" t="s">
        <v>1110</v>
      </c>
    </row>
    <row r="188" spans="1:8" x14ac:dyDescent="0.25">
      <c r="A188">
        <v>19</v>
      </c>
      <c r="B188" t="b">
        <v>0</v>
      </c>
      <c r="C188" s="6">
        <v>46389.625</v>
      </c>
      <c r="D188" t="b">
        <v>0</v>
      </c>
      <c r="E188">
        <v>14</v>
      </c>
      <c r="F188">
        <v>7</v>
      </c>
      <c r="G188">
        <v>2</v>
      </c>
      <c r="H188" t="s">
        <v>1110</v>
      </c>
    </row>
    <row r="189" spans="1:8" x14ac:dyDescent="0.25">
      <c r="A189">
        <v>19</v>
      </c>
      <c r="B189" t="b">
        <v>0</v>
      </c>
      <c r="C189" s="6">
        <v>46389.625</v>
      </c>
      <c r="D189" t="b">
        <v>0</v>
      </c>
      <c r="E189">
        <v>15</v>
      </c>
      <c r="F189">
        <v>19</v>
      </c>
      <c r="G189">
        <v>3</v>
      </c>
      <c r="H189" t="s">
        <v>1110</v>
      </c>
    </row>
    <row r="190" spans="1:8" x14ac:dyDescent="0.25">
      <c r="A190">
        <v>19</v>
      </c>
      <c r="B190" t="b">
        <v>0</v>
      </c>
      <c r="C190" s="6">
        <v>46389.625</v>
      </c>
      <c r="D190" t="b">
        <v>0</v>
      </c>
      <c r="E190">
        <v>18</v>
      </c>
      <c r="F190">
        <v>10</v>
      </c>
      <c r="G190">
        <v>2</v>
      </c>
      <c r="H190" t="s">
        <v>1110</v>
      </c>
    </row>
    <row r="191" spans="1:8" x14ac:dyDescent="0.25">
      <c r="A191">
        <v>19</v>
      </c>
      <c r="B191" t="b">
        <v>0</v>
      </c>
      <c r="C191" s="6">
        <v>46389.625</v>
      </c>
      <c r="D191" t="b">
        <v>0</v>
      </c>
      <c r="E191">
        <v>20</v>
      </c>
      <c r="F191">
        <v>11</v>
      </c>
      <c r="G191">
        <v>2</v>
      </c>
      <c r="H191" t="s">
        <v>1110</v>
      </c>
    </row>
    <row r="192" spans="1:8" x14ac:dyDescent="0.25">
      <c r="A192">
        <v>20</v>
      </c>
      <c r="B192" t="b">
        <v>0</v>
      </c>
      <c r="C192" s="6">
        <v>46393.833333333336</v>
      </c>
      <c r="D192" t="b">
        <v>0</v>
      </c>
      <c r="E192">
        <v>1</v>
      </c>
      <c r="F192">
        <v>4</v>
      </c>
      <c r="G192">
        <v>3</v>
      </c>
      <c r="H192" t="s">
        <v>1110</v>
      </c>
    </row>
    <row r="193" spans="1:8" x14ac:dyDescent="0.25">
      <c r="A193">
        <v>20</v>
      </c>
      <c r="B193" t="b">
        <v>0</v>
      </c>
      <c r="C193" s="6">
        <v>46393.833333333336</v>
      </c>
      <c r="D193" t="b">
        <v>0</v>
      </c>
      <c r="E193">
        <v>5</v>
      </c>
      <c r="F193">
        <v>3</v>
      </c>
      <c r="G193">
        <v>3</v>
      </c>
      <c r="H193" t="s">
        <v>1110</v>
      </c>
    </row>
    <row r="194" spans="1:8" x14ac:dyDescent="0.25">
      <c r="A194">
        <v>20</v>
      </c>
      <c r="B194" t="b">
        <v>0</v>
      </c>
      <c r="C194" s="6">
        <v>46393.833333333336</v>
      </c>
      <c r="D194" t="b">
        <v>0</v>
      </c>
      <c r="E194">
        <v>8</v>
      </c>
      <c r="F194">
        <v>6</v>
      </c>
      <c r="G194">
        <v>4</v>
      </c>
      <c r="H194" t="s">
        <v>1110</v>
      </c>
    </row>
    <row r="195" spans="1:8" x14ac:dyDescent="0.25">
      <c r="A195">
        <v>20</v>
      </c>
      <c r="B195" t="b">
        <v>0</v>
      </c>
      <c r="C195" s="6">
        <v>46393.833333333336</v>
      </c>
      <c r="D195" t="b">
        <v>0</v>
      </c>
      <c r="E195">
        <v>9</v>
      </c>
      <c r="F195">
        <v>2</v>
      </c>
      <c r="G195">
        <v>3</v>
      </c>
      <c r="H195" t="s">
        <v>1110</v>
      </c>
    </row>
    <row r="196" spans="1:8" x14ac:dyDescent="0.25">
      <c r="A196">
        <v>20</v>
      </c>
      <c r="B196" t="b">
        <v>0</v>
      </c>
      <c r="C196" s="6">
        <v>46393.833333333336</v>
      </c>
      <c r="D196" t="b">
        <v>0</v>
      </c>
      <c r="E196">
        <v>10</v>
      </c>
      <c r="F196">
        <v>19</v>
      </c>
      <c r="G196">
        <v>3</v>
      </c>
      <c r="H196" t="s">
        <v>1110</v>
      </c>
    </row>
    <row r="197" spans="1:8" x14ac:dyDescent="0.25">
      <c r="A197">
        <v>20</v>
      </c>
      <c r="B197" t="b">
        <v>0</v>
      </c>
      <c r="C197" s="6">
        <v>46393.833333333336</v>
      </c>
      <c r="D197" t="b">
        <v>0</v>
      </c>
      <c r="E197">
        <v>12</v>
      </c>
      <c r="F197">
        <v>7</v>
      </c>
      <c r="G197">
        <v>2</v>
      </c>
      <c r="H197" t="s">
        <v>1110</v>
      </c>
    </row>
    <row r="198" spans="1:8" x14ac:dyDescent="0.25">
      <c r="A198">
        <v>20</v>
      </c>
      <c r="B198" t="b">
        <v>0</v>
      </c>
      <c r="C198" s="6">
        <v>46393.833333333336</v>
      </c>
      <c r="D198" t="b">
        <v>0</v>
      </c>
      <c r="E198">
        <v>13</v>
      </c>
      <c r="F198">
        <v>15</v>
      </c>
      <c r="G198">
        <v>4</v>
      </c>
      <c r="H198" t="s">
        <v>1110</v>
      </c>
    </row>
    <row r="199" spans="1:8" x14ac:dyDescent="0.25">
      <c r="A199">
        <v>20</v>
      </c>
      <c r="B199" t="b">
        <v>0</v>
      </c>
      <c r="C199" s="6">
        <v>46393.833333333336</v>
      </c>
      <c r="D199" t="b">
        <v>0</v>
      </c>
      <c r="E199">
        <v>16</v>
      </c>
      <c r="F199">
        <v>17</v>
      </c>
      <c r="G199">
        <v>2</v>
      </c>
      <c r="H199" t="s">
        <v>1110</v>
      </c>
    </row>
    <row r="200" spans="1:8" x14ac:dyDescent="0.25">
      <c r="A200">
        <v>20</v>
      </c>
      <c r="B200" t="b">
        <v>0</v>
      </c>
      <c r="C200" s="6">
        <v>46393.833333333336</v>
      </c>
      <c r="D200" t="b">
        <v>0</v>
      </c>
      <c r="E200">
        <v>18</v>
      </c>
      <c r="F200">
        <v>11</v>
      </c>
      <c r="G200">
        <v>2</v>
      </c>
      <c r="H200" t="s">
        <v>1110</v>
      </c>
    </row>
    <row r="201" spans="1:8" x14ac:dyDescent="0.25">
      <c r="A201">
        <v>20</v>
      </c>
      <c r="B201" t="b">
        <v>0</v>
      </c>
      <c r="C201" s="6">
        <v>46393.833333333336</v>
      </c>
      <c r="D201" t="b">
        <v>0</v>
      </c>
      <c r="E201">
        <v>20</v>
      </c>
      <c r="F201">
        <v>14</v>
      </c>
      <c r="G201">
        <v>4</v>
      </c>
      <c r="H201" t="s">
        <v>1110</v>
      </c>
    </row>
    <row r="202" spans="1:8" x14ac:dyDescent="0.25">
      <c r="A202">
        <v>21</v>
      </c>
      <c r="B202" t="b">
        <v>0</v>
      </c>
      <c r="C202" s="6">
        <v>46403.625</v>
      </c>
      <c r="D202" t="b">
        <v>0</v>
      </c>
      <c r="E202">
        <v>2</v>
      </c>
      <c r="F202">
        <v>16</v>
      </c>
      <c r="G202">
        <v>4</v>
      </c>
      <c r="H202" t="s">
        <v>1110</v>
      </c>
    </row>
    <row r="203" spans="1:8" x14ac:dyDescent="0.25">
      <c r="A203">
        <v>21</v>
      </c>
      <c r="B203" t="b">
        <v>0</v>
      </c>
      <c r="C203" s="6">
        <v>46403.625</v>
      </c>
      <c r="D203" t="b">
        <v>0</v>
      </c>
      <c r="E203">
        <v>3</v>
      </c>
      <c r="F203">
        <v>12</v>
      </c>
      <c r="G203">
        <v>2</v>
      </c>
      <c r="H203" t="s">
        <v>1110</v>
      </c>
    </row>
    <row r="204" spans="1:8" x14ac:dyDescent="0.25">
      <c r="A204">
        <v>21</v>
      </c>
      <c r="B204" t="b">
        <v>0</v>
      </c>
      <c r="C204" s="6">
        <v>46403.625</v>
      </c>
      <c r="D204" t="b">
        <v>0</v>
      </c>
      <c r="E204">
        <v>4</v>
      </c>
      <c r="F204">
        <v>5</v>
      </c>
      <c r="G204">
        <v>2</v>
      </c>
      <c r="H204" t="s">
        <v>1110</v>
      </c>
    </row>
    <row r="205" spans="1:8" x14ac:dyDescent="0.25">
      <c r="A205">
        <v>21</v>
      </c>
      <c r="B205" t="b">
        <v>0</v>
      </c>
      <c r="C205" s="6">
        <v>46403.625</v>
      </c>
      <c r="D205" t="b">
        <v>0</v>
      </c>
      <c r="E205">
        <v>6</v>
      </c>
      <c r="F205">
        <v>20</v>
      </c>
      <c r="G205">
        <v>2</v>
      </c>
      <c r="H205" t="s">
        <v>1110</v>
      </c>
    </row>
    <row r="206" spans="1:8" x14ac:dyDescent="0.25">
      <c r="A206">
        <v>21</v>
      </c>
      <c r="B206" t="b">
        <v>0</v>
      </c>
      <c r="C206" s="6">
        <v>46403.625</v>
      </c>
      <c r="D206" t="b">
        <v>0</v>
      </c>
      <c r="E206">
        <v>7</v>
      </c>
      <c r="F206">
        <v>9</v>
      </c>
      <c r="G206">
        <v>3</v>
      </c>
      <c r="H206" t="s">
        <v>1110</v>
      </c>
    </row>
    <row r="207" spans="1:8" x14ac:dyDescent="0.25">
      <c r="A207">
        <v>21</v>
      </c>
      <c r="B207" t="b">
        <v>0</v>
      </c>
      <c r="C207" s="6">
        <v>46403.625</v>
      </c>
      <c r="D207" t="b">
        <v>0</v>
      </c>
      <c r="E207">
        <v>11</v>
      </c>
      <c r="F207">
        <v>1</v>
      </c>
      <c r="G207">
        <v>4</v>
      </c>
      <c r="H207" t="s">
        <v>1110</v>
      </c>
    </row>
    <row r="208" spans="1:8" x14ac:dyDescent="0.25">
      <c r="A208">
        <v>21</v>
      </c>
      <c r="B208" t="b">
        <v>0</v>
      </c>
      <c r="C208" s="6">
        <v>46403.625</v>
      </c>
      <c r="D208" t="b">
        <v>0</v>
      </c>
      <c r="E208">
        <v>14</v>
      </c>
      <c r="F208">
        <v>8</v>
      </c>
      <c r="G208">
        <v>3</v>
      </c>
      <c r="H208" t="s">
        <v>1110</v>
      </c>
    </row>
    <row r="209" spans="1:8" x14ac:dyDescent="0.25">
      <c r="A209">
        <v>21</v>
      </c>
      <c r="B209" t="b">
        <v>0</v>
      </c>
      <c r="C209" s="6">
        <v>46403.625</v>
      </c>
      <c r="D209" t="b">
        <v>0</v>
      </c>
      <c r="E209">
        <v>15</v>
      </c>
      <c r="F209">
        <v>18</v>
      </c>
      <c r="G209">
        <v>3</v>
      </c>
      <c r="H209" t="s">
        <v>1110</v>
      </c>
    </row>
    <row r="210" spans="1:8" x14ac:dyDescent="0.25">
      <c r="A210">
        <v>21</v>
      </c>
      <c r="B210" t="b">
        <v>0</v>
      </c>
      <c r="C210" s="6">
        <v>46403.625</v>
      </c>
      <c r="D210" t="b">
        <v>0</v>
      </c>
      <c r="E210">
        <v>17</v>
      </c>
      <c r="F210">
        <v>10</v>
      </c>
      <c r="G210">
        <v>2</v>
      </c>
      <c r="H210" t="s">
        <v>1110</v>
      </c>
    </row>
    <row r="211" spans="1:8" x14ac:dyDescent="0.25">
      <c r="A211">
        <v>21</v>
      </c>
      <c r="B211" t="b">
        <v>0</v>
      </c>
      <c r="C211" s="6">
        <v>46403.625</v>
      </c>
      <c r="D211" t="b">
        <v>0</v>
      </c>
      <c r="E211">
        <v>19</v>
      </c>
      <c r="F211">
        <v>13</v>
      </c>
      <c r="G211">
        <v>2</v>
      </c>
      <c r="H211" t="s">
        <v>1110</v>
      </c>
    </row>
    <row r="212" spans="1:8" x14ac:dyDescent="0.25">
      <c r="A212">
        <v>22</v>
      </c>
      <c r="B212" t="b">
        <v>0</v>
      </c>
      <c r="C212" s="6">
        <v>46410.625</v>
      </c>
      <c r="D212" t="b">
        <v>0</v>
      </c>
      <c r="E212">
        <v>1</v>
      </c>
      <c r="F212">
        <v>17</v>
      </c>
      <c r="G212">
        <v>2</v>
      </c>
      <c r="H212" t="s">
        <v>1110</v>
      </c>
    </row>
    <row r="213" spans="1:8" x14ac:dyDescent="0.25">
      <c r="A213">
        <v>22</v>
      </c>
      <c r="B213" t="b">
        <v>0</v>
      </c>
      <c r="C213" s="6">
        <v>46410.625</v>
      </c>
      <c r="D213" t="b">
        <v>0</v>
      </c>
      <c r="E213">
        <v>5</v>
      </c>
      <c r="F213">
        <v>15</v>
      </c>
      <c r="G213">
        <v>4</v>
      </c>
      <c r="H213" t="s">
        <v>1110</v>
      </c>
    </row>
    <row r="214" spans="1:8" x14ac:dyDescent="0.25">
      <c r="A214">
        <v>22</v>
      </c>
      <c r="B214" t="b">
        <v>0</v>
      </c>
      <c r="C214" s="6">
        <v>46410.625</v>
      </c>
      <c r="D214" t="b">
        <v>0</v>
      </c>
      <c r="E214">
        <v>8</v>
      </c>
      <c r="F214">
        <v>19</v>
      </c>
      <c r="G214">
        <v>3</v>
      </c>
      <c r="H214" t="s">
        <v>1110</v>
      </c>
    </row>
    <row r="215" spans="1:8" x14ac:dyDescent="0.25">
      <c r="A215">
        <v>22</v>
      </c>
      <c r="B215" t="b">
        <v>0</v>
      </c>
      <c r="C215" s="6">
        <v>46410.625</v>
      </c>
      <c r="D215" t="b">
        <v>0</v>
      </c>
      <c r="E215">
        <v>9</v>
      </c>
      <c r="F215">
        <v>4</v>
      </c>
      <c r="G215">
        <v>3</v>
      </c>
      <c r="H215" t="s">
        <v>1110</v>
      </c>
    </row>
    <row r="216" spans="1:8" x14ac:dyDescent="0.25">
      <c r="A216">
        <v>22</v>
      </c>
      <c r="B216" t="b">
        <v>0</v>
      </c>
      <c r="C216" s="6">
        <v>46410.625</v>
      </c>
      <c r="D216" t="b">
        <v>0</v>
      </c>
      <c r="E216">
        <v>10</v>
      </c>
      <c r="F216">
        <v>2</v>
      </c>
      <c r="G216">
        <v>3</v>
      </c>
      <c r="H216" t="s">
        <v>1110</v>
      </c>
    </row>
    <row r="217" spans="1:8" x14ac:dyDescent="0.25">
      <c r="A217">
        <v>22</v>
      </c>
      <c r="B217" t="b">
        <v>0</v>
      </c>
      <c r="C217" s="6">
        <v>46410.625</v>
      </c>
      <c r="D217" t="b">
        <v>0</v>
      </c>
      <c r="E217">
        <v>12</v>
      </c>
      <c r="F217">
        <v>11</v>
      </c>
      <c r="G217">
        <v>2</v>
      </c>
      <c r="H217" t="s">
        <v>1110</v>
      </c>
    </row>
    <row r="218" spans="1:8" x14ac:dyDescent="0.25">
      <c r="A218">
        <v>22</v>
      </c>
      <c r="B218" t="b">
        <v>0</v>
      </c>
      <c r="C218" s="6">
        <v>46410.625</v>
      </c>
      <c r="D218" t="b">
        <v>0</v>
      </c>
      <c r="E218">
        <v>13</v>
      </c>
      <c r="F218">
        <v>6</v>
      </c>
      <c r="G218">
        <v>4</v>
      </c>
      <c r="H218" t="s">
        <v>1110</v>
      </c>
    </row>
    <row r="219" spans="1:8" x14ac:dyDescent="0.25">
      <c r="A219">
        <v>22</v>
      </c>
      <c r="B219" t="b">
        <v>0</v>
      </c>
      <c r="C219" s="6">
        <v>46410.625</v>
      </c>
      <c r="D219" t="b">
        <v>0</v>
      </c>
      <c r="E219">
        <v>16</v>
      </c>
      <c r="F219">
        <v>14</v>
      </c>
      <c r="G219">
        <v>4</v>
      </c>
      <c r="H219" t="s">
        <v>1110</v>
      </c>
    </row>
    <row r="220" spans="1:8" x14ac:dyDescent="0.25">
      <c r="A220">
        <v>22</v>
      </c>
      <c r="B220" t="b">
        <v>0</v>
      </c>
      <c r="C220" s="6">
        <v>46410.625</v>
      </c>
      <c r="D220" t="b">
        <v>0</v>
      </c>
      <c r="E220">
        <v>18</v>
      </c>
      <c r="F220">
        <v>3</v>
      </c>
      <c r="G220">
        <v>3</v>
      </c>
      <c r="H220" t="s">
        <v>1110</v>
      </c>
    </row>
    <row r="221" spans="1:8" x14ac:dyDescent="0.25">
      <c r="A221">
        <v>22</v>
      </c>
      <c r="B221" t="b">
        <v>0</v>
      </c>
      <c r="C221" s="6">
        <v>46410.625</v>
      </c>
      <c r="D221" t="b">
        <v>0</v>
      </c>
      <c r="E221">
        <v>20</v>
      </c>
      <c r="F221">
        <v>7</v>
      </c>
      <c r="G221">
        <v>2</v>
      </c>
      <c r="H221" t="s">
        <v>1110</v>
      </c>
    </row>
    <row r="222" spans="1:8" x14ac:dyDescent="0.25">
      <c r="A222">
        <v>23</v>
      </c>
      <c r="B222" t="b">
        <v>0</v>
      </c>
      <c r="C222" s="6">
        <v>46417.625</v>
      </c>
      <c r="D222" t="b">
        <v>0</v>
      </c>
      <c r="E222">
        <v>2</v>
      </c>
      <c r="F222">
        <v>12</v>
      </c>
      <c r="G222">
        <v>2</v>
      </c>
      <c r="H222" t="s">
        <v>1110</v>
      </c>
    </row>
    <row r="223" spans="1:8" x14ac:dyDescent="0.25">
      <c r="A223">
        <v>23</v>
      </c>
      <c r="B223" t="b">
        <v>0</v>
      </c>
      <c r="C223" s="6">
        <v>46417.625</v>
      </c>
      <c r="D223" t="b">
        <v>0</v>
      </c>
      <c r="E223">
        <v>3</v>
      </c>
      <c r="F223">
        <v>10</v>
      </c>
      <c r="G223">
        <v>2</v>
      </c>
      <c r="H223" t="s">
        <v>1110</v>
      </c>
    </row>
    <row r="224" spans="1:8" x14ac:dyDescent="0.25">
      <c r="A224">
        <v>23</v>
      </c>
      <c r="B224" t="b">
        <v>0</v>
      </c>
      <c r="C224" s="6">
        <v>46417.625</v>
      </c>
      <c r="D224" t="b">
        <v>0</v>
      </c>
      <c r="E224">
        <v>4</v>
      </c>
      <c r="F224">
        <v>16</v>
      </c>
      <c r="G224">
        <v>4</v>
      </c>
      <c r="H224" t="s">
        <v>1110</v>
      </c>
    </row>
    <row r="225" spans="1:8" x14ac:dyDescent="0.25">
      <c r="A225">
        <v>23</v>
      </c>
      <c r="B225" t="b">
        <v>0</v>
      </c>
      <c r="C225" s="6">
        <v>46417.625</v>
      </c>
      <c r="D225" t="b">
        <v>0</v>
      </c>
      <c r="E225">
        <v>6</v>
      </c>
      <c r="F225">
        <v>18</v>
      </c>
      <c r="G225">
        <v>3</v>
      </c>
      <c r="H225" t="s">
        <v>1110</v>
      </c>
    </row>
    <row r="226" spans="1:8" x14ac:dyDescent="0.25">
      <c r="A226">
        <v>23</v>
      </c>
      <c r="B226" t="b">
        <v>0</v>
      </c>
      <c r="C226" s="6">
        <v>46417.625</v>
      </c>
      <c r="D226" t="b">
        <v>0</v>
      </c>
      <c r="E226">
        <v>7</v>
      </c>
      <c r="F226">
        <v>13</v>
      </c>
      <c r="G226">
        <v>2</v>
      </c>
      <c r="H226" t="s">
        <v>1110</v>
      </c>
    </row>
    <row r="227" spans="1:8" x14ac:dyDescent="0.25">
      <c r="A227">
        <v>23</v>
      </c>
      <c r="B227" t="b">
        <v>0</v>
      </c>
      <c r="C227" s="6">
        <v>46417.625</v>
      </c>
      <c r="D227" t="b">
        <v>0</v>
      </c>
      <c r="E227">
        <v>11</v>
      </c>
      <c r="F227">
        <v>8</v>
      </c>
      <c r="G227">
        <v>3</v>
      </c>
      <c r="H227" t="s">
        <v>1110</v>
      </c>
    </row>
    <row r="228" spans="1:8" x14ac:dyDescent="0.25">
      <c r="A228">
        <v>23</v>
      </c>
      <c r="B228" t="b">
        <v>0</v>
      </c>
      <c r="C228" s="6">
        <v>46417.625</v>
      </c>
      <c r="D228" t="b">
        <v>0</v>
      </c>
      <c r="E228">
        <v>14</v>
      </c>
      <c r="F228">
        <v>9</v>
      </c>
      <c r="G228">
        <v>3</v>
      </c>
      <c r="H228" t="s">
        <v>1110</v>
      </c>
    </row>
    <row r="229" spans="1:8" x14ac:dyDescent="0.25">
      <c r="A229">
        <v>23</v>
      </c>
      <c r="B229" t="b">
        <v>0</v>
      </c>
      <c r="C229" s="6">
        <v>46417.625</v>
      </c>
      <c r="D229" t="b">
        <v>0</v>
      </c>
      <c r="E229">
        <v>15</v>
      </c>
      <c r="F229">
        <v>1</v>
      </c>
      <c r="G229">
        <v>4</v>
      </c>
      <c r="H229" t="s">
        <v>1110</v>
      </c>
    </row>
    <row r="230" spans="1:8" x14ac:dyDescent="0.25">
      <c r="A230">
        <v>23</v>
      </c>
      <c r="B230" t="b">
        <v>0</v>
      </c>
      <c r="C230" s="6">
        <v>46417.625</v>
      </c>
      <c r="D230" t="b">
        <v>0</v>
      </c>
      <c r="E230">
        <v>17</v>
      </c>
      <c r="F230">
        <v>5</v>
      </c>
      <c r="G230">
        <v>2</v>
      </c>
      <c r="H230" t="s">
        <v>1110</v>
      </c>
    </row>
    <row r="231" spans="1:8" x14ac:dyDescent="0.25">
      <c r="A231">
        <v>23</v>
      </c>
      <c r="B231" t="b">
        <v>0</v>
      </c>
      <c r="C231" s="6">
        <v>46417.625</v>
      </c>
      <c r="D231" t="b">
        <v>0</v>
      </c>
      <c r="E231">
        <v>19</v>
      </c>
      <c r="F231">
        <v>20</v>
      </c>
      <c r="G231">
        <v>2</v>
      </c>
      <c r="H231" t="s">
        <v>1110</v>
      </c>
    </row>
    <row r="232" spans="1:8" x14ac:dyDescent="0.25">
      <c r="A232">
        <v>24</v>
      </c>
      <c r="B232" t="b">
        <v>0</v>
      </c>
      <c r="C232" s="6">
        <v>46424.625</v>
      </c>
      <c r="D232" t="b">
        <v>0</v>
      </c>
      <c r="E232">
        <v>1</v>
      </c>
      <c r="F232">
        <v>14</v>
      </c>
      <c r="G232">
        <v>4</v>
      </c>
      <c r="H232" t="s">
        <v>1110</v>
      </c>
    </row>
    <row r="233" spans="1:8" x14ac:dyDescent="0.25">
      <c r="A233">
        <v>24</v>
      </c>
      <c r="B233" t="b">
        <v>0</v>
      </c>
      <c r="C233" s="6">
        <v>46424.625</v>
      </c>
      <c r="D233" t="b">
        <v>0</v>
      </c>
      <c r="E233">
        <v>5</v>
      </c>
      <c r="F233">
        <v>11</v>
      </c>
      <c r="G233">
        <v>2</v>
      </c>
      <c r="H233" t="s">
        <v>1110</v>
      </c>
    </row>
    <row r="234" spans="1:8" x14ac:dyDescent="0.25">
      <c r="A234">
        <v>24</v>
      </c>
      <c r="B234" t="b">
        <v>0</v>
      </c>
      <c r="C234" s="6">
        <v>46424.625</v>
      </c>
      <c r="D234" t="b">
        <v>0</v>
      </c>
      <c r="E234">
        <v>8</v>
      </c>
      <c r="F234">
        <v>7</v>
      </c>
      <c r="G234">
        <v>2</v>
      </c>
      <c r="H234" t="s">
        <v>1110</v>
      </c>
    </row>
    <row r="235" spans="1:8" x14ac:dyDescent="0.25">
      <c r="A235">
        <v>24</v>
      </c>
      <c r="B235" t="b">
        <v>0</v>
      </c>
      <c r="C235" s="6">
        <v>46424.625</v>
      </c>
      <c r="D235" t="b">
        <v>0</v>
      </c>
      <c r="E235">
        <v>9</v>
      </c>
      <c r="F235">
        <v>17</v>
      </c>
      <c r="G235">
        <v>2</v>
      </c>
      <c r="H235" t="s">
        <v>1110</v>
      </c>
    </row>
    <row r="236" spans="1:8" x14ac:dyDescent="0.25">
      <c r="A236">
        <v>24</v>
      </c>
      <c r="B236" t="b">
        <v>0</v>
      </c>
      <c r="C236" s="6">
        <v>46424.625</v>
      </c>
      <c r="D236" t="b">
        <v>0</v>
      </c>
      <c r="E236">
        <v>10</v>
      </c>
      <c r="F236">
        <v>15</v>
      </c>
      <c r="G236">
        <v>4</v>
      </c>
      <c r="H236" t="s">
        <v>1110</v>
      </c>
    </row>
    <row r="237" spans="1:8" x14ac:dyDescent="0.25">
      <c r="A237">
        <v>24</v>
      </c>
      <c r="B237" t="b">
        <v>0</v>
      </c>
      <c r="C237" s="6">
        <v>46424.625</v>
      </c>
      <c r="D237" t="b">
        <v>0</v>
      </c>
      <c r="E237">
        <v>12</v>
      </c>
      <c r="F237">
        <v>19</v>
      </c>
      <c r="G237">
        <v>3</v>
      </c>
      <c r="H237" t="s">
        <v>1110</v>
      </c>
    </row>
    <row r="238" spans="1:8" x14ac:dyDescent="0.25">
      <c r="A238">
        <v>24</v>
      </c>
      <c r="B238" t="b">
        <v>0</v>
      </c>
      <c r="C238" s="6">
        <v>46424.625</v>
      </c>
      <c r="D238" t="b">
        <v>0</v>
      </c>
      <c r="E238">
        <v>13</v>
      </c>
      <c r="F238">
        <v>3</v>
      </c>
      <c r="G238">
        <v>3</v>
      </c>
      <c r="H238" t="s">
        <v>1110</v>
      </c>
    </row>
    <row r="239" spans="1:8" x14ac:dyDescent="0.25">
      <c r="A239">
        <v>24</v>
      </c>
      <c r="B239" t="b">
        <v>0</v>
      </c>
      <c r="C239" s="6">
        <v>46424.625</v>
      </c>
      <c r="D239" t="b">
        <v>0</v>
      </c>
      <c r="E239">
        <v>16</v>
      </c>
      <c r="F239">
        <v>6</v>
      </c>
      <c r="G239">
        <v>4</v>
      </c>
      <c r="H239" t="s">
        <v>1110</v>
      </c>
    </row>
    <row r="240" spans="1:8" x14ac:dyDescent="0.25">
      <c r="A240">
        <v>24</v>
      </c>
      <c r="B240" t="b">
        <v>0</v>
      </c>
      <c r="C240" s="6">
        <v>46424.625</v>
      </c>
      <c r="D240" t="b">
        <v>0</v>
      </c>
      <c r="E240">
        <v>18</v>
      </c>
      <c r="F240">
        <v>4</v>
      </c>
      <c r="G240">
        <v>3</v>
      </c>
      <c r="H240" t="s">
        <v>1110</v>
      </c>
    </row>
    <row r="241" spans="1:8" x14ac:dyDescent="0.25">
      <c r="A241">
        <v>24</v>
      </c>
      <c r="B241" t="b">
        <v>0</v>
      </c>
      <c r="C241" s="6">
        <v>46424.625</v>
      </c>
      <c r="D241" t="b">
        <v>0</v>
      </c>
      <c r="E241">
        <v>20</v>
      </c>
      <c r="F241">
        <v>2</v>
      </c>
      <c r="G241">
        <v>3</v>
      </c>
      <c r="H241" t="s">
        <v>1110</v>
      </c>
    </row>
    <row r="242" spans="1:8" x14ac:dyDescent="0.25">
      <c r="A242">
        <v>25</v>
      </c>
      <c r="B242" t="b">
        <v>0</v>
      </c>
      <c r="C242" s="6">
        <v>46428.833333333336</v>
      </c>
      <c r="D242" t="b">
        <v>0</v>
      </c>
      <c r="E242">
        <v>2</v>
      </c>
      <c r="F242">
        <v>3</v>
      </c>
      <c r="G242">
        <v>3</v>
      </c>
      <c r="H242" t="s">
        <v>1110</v>
      </c>
    </row>
    <row r="243" spans="1:8" x14ac:dyDescent="0.25">
      <c r="A243">
        <v>25</v>
      </c>
      <c r="B243" t="b">
        <v>0</v>
      </c>
      <c r="C243" s="6">
        <v>46428.833333333336</v>
      </c>
      <c r="D243" t="b">
        <v>0</v>
      </c>
      <c r="E243">
        <v>7</v>
      </c>
      <c r="F243">
        <v>14</v>
      </c>
      <c r="G243">
        <v>4</v>
      </c>
      <c r="H243" t="s">
        <v>1110</v>
      </c>
    </row>
    <row r="244" spans="1:8" x14ac:dyDescent="0.25">
      <c r="A244">
        <v>25</v>
      </c>
      <c r="B244" t="b">
        <v>0</v>
      </c>
      <c r="C244" s="6">
        <v>46428.833333333336</v>
      </c>
      <c r="D244" t="b">
        <v>0</v>
      </c>
      <c r="E244">
        <v>8</v>
      </c>
      <c r="F244">
        <v>4</v>
      </c>
      <c r="G244">
        <v>3</v>
      </c>
      <c r="H244" t="s">
        <v>1110</v>
      </c>
    </row>
    <row r="245" spans="1:8" x14ac:dyDescent="0.25">
      <c r="A245">
        <v>25</v>
      </c>
      <c r="B245" t="b">
        <v>0</v>
      </c>
      <c r="C245" s="6">
        <v>46428.833333333336</v>
      </c>
      <c r="D245" t="b">
        <v>0</v>
      </c>
      <c r="E245">
        <v>9</v>
      </c>
      <c r="F245">
        <v>13</v>
      </c>
      <c r="G245">
        <v>2</v>
      </c>
      <c r="H245" t="s">
        <v>1110</v>
      </c>
    </row>
    <row r="246" spans="1:8" x14ac:dyDescent="0.25">
      <c r="A246">
        <v>25</v>
      </c>
      <c r="B246" t="b">
        <v>0</v>
      </c>
      <c r="C246" s="6">
        <v>46428.833333333336</v>
      </c>
      <c r="D246" t="b">
        <v>0</v>
      </c>
      <c r="E246">
        <v>10</v>
      </c>
      <c r="F246">
        <v>18</v>
      </c>
      <c r="G246">
        <v>3</v>
      </c>
      <c r="H246" t="s">
        <v>1110</v>
      </c>
    </row>
    <row r="247" spans="1:8" x14ac:dyDescent="0.25">
      <c r="A247">
        <v>25</v>
      </c>
      <c r="B247" t="b">
        <v>0</v>
      </c>
      <c r="C247" s="6">
        <v>46428.833333333336</v>
      </c>
      <c r="D247" t="b">
        <v>0</v>
      </c>
      <c r="E247">
        <v>11</v>
      </c>
      <c r="F247">
        <v>20</v>
      </c>
      <c r="G247">
        <v>2</v>
      </c>
      <c r="H247" t="s">
        <v>1110</v>
      </c>
    </row>
    <row r="248" spans="1:8" x14ac:dyDescent="0.25">
      <c r="A248">
        <v>25</v>
      </c>
      <c r="B248" t="b">
        <v>0</v>
      </c>
      <c r="C248" s="6">
        <v>46428.833333333336</v>
      </c>
      <c r="D248" t="b">
        <v>0</v>
      </c>
      <c r="E248">
        <v>12</v>
      </c>
      <c r="F248">
        <v>1</v>
      </c>
      <c r="G248">
        <v>4</v>
      </c>
      <c r="H248" t="s">
        <v>1110</v>
      </c>
    </row>
    <row r="249" spans="1:8" x14ac:dyDescent="0.25">
      <c r="A249">
        <v>25</v>
      </c>
      <c r="B249" t="b">
        <v>0</v>
      </c>
      <c r="C249" s="6">
        <v>46428.833333333336</v>
      </c>
      <c r="D249" t="b">
        <v>0</v>
      </c>
      <c r="E249">
        <v>16</v>
      </c>
      <c r="F249">
        <v>5</v>
      </c>
      <c r="G249">
        <v>2</v>
      </c>
      <c r="H249" t="s">
        <v>1110</v>
      </c>
    </row>
    <row r="250" spans="1:8" x14ac:dyDescent="0.25">
      <c r="A250">
        <v>25</v>
      </c>
      <c r="B250" t="b">
        <v>0</v>
      </c>
      <c r="C250" s="6">
        <v>46428.833333333336</v>
      </c>
      <c r="D250" t="b">
        <v>0</v>
      </c>
      <c r="E250">
        <v>17</v>
      </c>
      <c r="F250">
        <v>6</v>
      </c>
      <c r="G250">
        <v>4</v>
      </c>
      <c r="H250" t="s">
        <v>1110</v>
      </c>
    </row>
    <row r="251" spans="1:8" x14ac:dyDescent="0.25">
      <c r="A251">
        <v>25</v>
      </c>
      <c r="B251" t="b">
        <v>0</v>
      </c>
      <c r="C251" s="6">
        <v>46428.833333333336</v>
      </c>
      <c r="D251" t="b">
        <v>0</v>
      </c>
      <c r="E251">
        <v>19</v>
      </c>
      <c r="F251">
        <v>15</v>
      </c>
      <c r="G251">
        <v>4</v>
      </c>
      <c r="H251" t="s">
        <v>1110</v>
      </c>
    </row>
    <row r="252" spans="1:8" x14ac:dyDescent="0.25">
      <c r="A252">
        <v>26</v>
      </c>
      <c r="B252" t="b">
        <v>0</v>
      </c>
      <c r="C252" s="6">
        <v>46438.625</v>
      </c>
      <c r="D252" t="b">
        <v>0</v>
      </c>
      <c r="E252">
        <v>1</v>
      </c>
      <c r="F252">
        <v>10</v>
      </c>
      <c r="G252">
        <v>2</v>
      </c>
      <c r="H252" t="s">
        <v>1110</v>
      </c>
    </row>
    <row r="253" spans="1:8" x14ac:dyDescent="0.25">
      <c r="A253">
        <v>26</v>
      </c>
      <c r="B253" t="b">
        <v>0</v>
      </c>
      <c r="C253" s="6">
        <v>46438.625</v>
      </c>
      <c r="D253" t="b">
        <v>0</v>
      </c>
      <c r="E253">
        <v>3</v>
      </c>
      <c r="F253">
        <v>8</v>
      </c>
      <c r="G253">
        <v>3</v>
      </c>
      <c r="H253" t="s">
        <v>1110</v>
      </c>
    </row>
    <row r="254" spans="1:8" x14ac:dyDescent="0.25">
      <c r="A254">
        <v>26</v>
      </c>
      <c r="B254" t="b">
        <v>0</v>
      </c>
      <c r="C254" s="6">
        <v>46438.625</v>
      </c>
      <c r="D254" t="b">
        <v>0</v>
      </c>
      <c r="E254">
        <v>4</v>
      </c>
      <c r="F254">
        <v>7</v>
      </c>
      <c r="G254">
        <v>2</v>
      </c>
      <c r="H254" t="s">
        <v>1110</v>
      </c>
    </row>
    <row r="255" spans="1:8" x14ac:dyDescent="0.25">
      <c r="A255">
        <v>26</v>
      </c>
      <c r="B255" t="b">
        <v>0</v>
      </c>
      <c r="C255" s="6">
        <v>46438.625</v>
      </c>
      <c r="D255" t="b">
        <v>0</v>
      </c>
      <c r="E255">
        <v>5</v>
      </c>
      <c r="F255">
        <v>19</v>
      </c>
      <c r="G255">
        <v>3</v>
      </c>
      <c r="H255" t="s">
        <v>1110</v>
      </c>
    </row>
    <row r="256" spans="1:8" x14ac:dyDescent="0.25">
      <c r="A256">
        <v>26</v>
      </c>
      <c r="B256" t="b">
        <v>0</v>
      </c>
      <c r="C256" s="6">
        <v>46438.625</v>
      </c>
      <c r="D256" t="b">
        <v>0</v>
      </c>
      <c r="E256">
        <v>6</v>
      </c>
      <c r="F256">
        <v>12</v>
      </c>
      <c r="G256">
        <v>2</v>
      </c>
      <c r="H256" t="s">
        <v>1110</v>
      </c>
    </row>
    <row r="257" spans="1:8" x14ac:dyDescent="0.25">
      <c r="A257">
        <v>26</v>
      </c>
      <c r="B257" t="b">
        <v>0</v>
      </c>
      <c r="C257" s="6">
        <v>46438.625</v>
      </c>
      <c r="D257" t="b">
        <v>0</v>
      </c>
      <c r="E257">
        <v>13</v>
      </c>
      <c r="F257">
        <v>2</v>
      </c>
      <c r="G257">
        <v>3</v>
      </c>
      <c r="H257" t="s">
        <v>1110</v>
      </c>
    </row>
    <row r="258" spans="1:8" x14ac:dyDescent="0.25">
      <c r="A258">
        <v>26</v>
      </c>
      <c r="B258" t="b">
        <v>0</v>
      </c>
      <c r="C258" s="6">
        <v>46438.625</v>
      </c>
      <c r="D258" t="b">
        <v>0</v>
      </c>
      <c r="E258">
        <v>14</v>
      </c>
      <c r="F258">
        <v>11</v>
      </c>
      <c r="G258">
        <v>2</v>
      </c>
      <c r="H258" t="s">
        <v>1110</v>
      </c>
    </row>
    <row r="259" spans="1:8" x14ac:dyDescent="0.25">
      <c r="A259">
        <v>26</v>
      </c>
      <c r="B259" t="b">
        <v>0</v>
      </c>
      <c r="C259" s="6">
        <v>46438.625</v>
      </c>
      <c r="D259" t="b">
        <v>0</v>
      </c>
      <c r="E259">
        <v>15</v>
      </c>
      <c r="F259">
        <v>17</v>
      </c>
      <c r="G259">
        <v>2</v>
      </c>
      <c r="H259" t="s">
        <v>1110</v>
      </c>
    </row>
    <row r="260" spans="1:8" x14ac:dyDescent="0.25">
      <c r="A260">
        <v>26</v>
      </c>
      <c r="B260" t="b">
        <v>0</v>
      </c>
      <c r="C260" s="6">
        <v>46438.625</v>
      </c>
      <c r="D260" t="b">
        <v>0</v>
      </c>
      <c r="E260">
        <v>18</v>
      </c>
      <c r="F260">
        <v>16</v>
      </c>
      <c r="G260">
        <v>4</v>
      </c>
      <c r="H260" t="s">
        <v>1110</v>
      </c>
    </row>
    <row r="261" spans="1:8" x14ac:dyDescent="0.25">
      <c r="A261">
        <v>26</v>
      </c>
      <c r="B261" t="b">
        <v>0</v>
      </c>
      <c r="C261" s="6">
        <v>46438.625</v>
      </c>
      <c r="D261" t="b">
        <v>0</v>
      </c>
      <c r="E261">
        <v>20</v>
      </c>
      <c r="F261">
        <v>9</v>
      </c>
      <c r="G261">
        <v>3</v>
      </c>
      <c r="H261" t="s">
        <v>1110</v>
      </c>
    </row>
    <row r="262" spans="1:8" x14ac:dyDescent="0.25">
      <c r="A262">
        <v>27</v>
      </c>
      <c r="B262" t="b">
        <v>0</v>
      </c>
      <c r="C262" s="6">
        <v>46445.625</v>
      </c>
      <c r="D262" t="b">
        <v>0</v>
      </c>
      <c r="E262">
        <v>2</v>
      </c>
      <c r="F262">
        <v>6</v>
      </c>
      <c r="G262">
        <v>4</v>
      </c>
      <c r="H262" t="s">
        <v>1110</v>
      </c>
    </row>
    <row r="263" spans="1:8" x14ac:dyDescent="0.25">
      <c r="A263">
        <v>27</v>
      </c>
      <c r="B263" t="b">
        <v>0</v>
      </c>
      <c r="C263" s="6">
        <v>46445.625</v>
      </c>
      <c r="D263" t="b">
        <v>0</v>
      </c>
      <c r="E263">
        <v>7</v>
      </c>
      <c r="F263">
        <v>3</v>
      </c>
      <c r="G263">
        <v>3</v>
      </c>
      <c r="H263" t="s">
        <v>1110</v>
      </c>
    </row>
    <row r="264" spans="1:8" x14ac:dyDescent="0.25">
      <c r="A264">
        <v>27</v>
      </c>
      <c r="B264" t="b">
        <v>0</v>
      </c>
      <c r="C264" s="6">
        <v>46445.625</v>
      </c>
      <c r="D264" t="b">
        <v>0</v>
      </c>
      <c r="E264">
        <v>8</v>
      </c>
      <c r="F264">
        <v>20</v>
      </c>
      <c r="G264">
        <v>2</v>
      </c>
      <c r="H264" t="s">
        <v>1110</v>
      </c>
    </row>
    <row r="265" spans="1:8" x14ac:dyDescent="0.25">
      <c r="A265">
        <v>27</v>
      </c>
      <c r="B265" t="b">
        <v>0</v>
      </c>
      <c r="C265" s="6">
        <v>46445.625</v>
      </c>
      <c r="D265" t="b">
        <v>0</v>
      </c>
      <c r="E265">
        <v>9</v>
      </c>
      <c r="F265">
        <v>18</v>
      </c>
      <c r="G265">
        <v>3</v>
      </c>
      <c r="H265" t="s">
        <v>1110</v>
      </c>
    </row>
    <row r="266" spans="1:8" x14ac:dyDescent="0.25">
      <c r="A266">
        <v>27</v>
      </c>
      <c r="B266" t="b">
        <v>0</v>
      </c>
      <c r="C266" s="6">
        <v>46445.625</v>
      </c>
      <c r="D266" t="b">
        <v>0</v>
      </c>
      <c r="E266">
        <v>10</v>
      </c>
      <c r="F266">
        <v>13</v>
      </c>
      <c r="G266">
        <v>2</v>
      </c>
      <c r="H266" t="s">
        <v>1110</v>
      </c>
    </row>
    <row r="267" spans="1:8" x14ac:dyDescent="0.25">
      <c r="A267">
        <v>27</v>
      </c>
      <c r="B267" t="b">
        <v>0</v>
      </c>
      <c r="C267" s="6">
        <v>46445.625</v>
      </c>
      <c r="D267" t="b">
        <v>0</v>
      </c>
      <c r="E267">
        <v>11</v>
      </c>
      <c r="F267">
        <v>15</v>
      </c>
      <c r="G267">
        <v>4</v>
      </c>
      <c r="H267" t="s">
        <v>1110</v>
      </c>
    </row>
    <row r="268" spans="1:8" x14ac:dyDescent="0.25">
      <c r="A268">
        <v>27</v>
      </c>
      <c r="B268" t="b">
        <v>0</v>
      </c>
      <c r="C268" s="6">
        <v>46445.625</v>
      </c>
      <c r="D268" t="b">
        <v>0</v>
      </c>
      <c r="E268">
        <v>12</v>
      </c>
      <c r="F268">
        <v>5</v>
      </c>
      <c r="G268">
        <v>2</v>
      </c>
      <c r="H268" t="s">
        <v>1110</v>
      </c>
    </row>
    <row r="269" spans="1:8" x14ac:dyDescent="0.25">
      <c r="A269">
        <v>27</v>
      </c>
      <c r="B269" t="b">
        <v>0</v>
      </c>
      <c r="C269" s="6">
        <v>46445.625</v>
      </c>
      <c r="D269" t="b">
        <v>0</v>
      </c>
      <c r="E269">
        <v>16</v>
      </c>
      <c r="F269">
        <v>1</v>
      </c>
      <c r="G269">
        <v>4</v>
      </c>
      <c r="H269" t="s">
        <v>1110</v>
      </c>
    </row>
    <row r="270" spans="1:8" x14ac:dyDescent="0.25">
      <c r="A270">
        <v>27</v>
      </c>
      <c r="B270" t="b">
        <v>0</v>
      </c>
      <c r="C270" s="6">
        <v>46445.625</v>
      </c>
      <c r="D270" t="b">
        <v>0</v>
      </c>
      <c r="E270">
        <v>17</v>
      </c>
      <c r="F270">
        <v>4</v>
      </c>
      <c r="G270">
        <v>3</v>
      </c>
      <c r="H270" t="s">
        <v>1110</v>
      </c>
    </row>
    <row r="271" spans="1:8" x14ac:dyDescent="0.25">
      <c r="A271">
        <v>27</v>
      </c>
      <c r="B271" t="b">
        <v>0</v>
      </c>
      <c r="C271" s="6">
        <v>46445.625</v>
      </c>
      <c r="D271" t="b">
        <v>0</v>
      </c>
      <c r="E271">
        <v>19</v>
      </c>
      <c r="F271">
        <v>14</v>
      </c>
      <c r="G271">
        <v>4</v>
      </c>
      <c r="H271" t="s">
        <v>1110</v>
      </c>
    </row>
    <row r="272" spans="1:8" x14ac:dyDescent="0.25">
      <c r="A272">
        <v>28</v>
      </c>
      <c r="B272" t="b">
        <v>0</v>
      </c>
      <c r="C272" s="6">
        <v>46449.833333333336</v>
      </c>
      <c r="D272" t="b">
        <v>0</v>
      </c>
      <c r="E272">
        <v>1</v>
      </c>
      <c r="F272">
        <v>8</v>
      </c>
      <c r="G272">
        <v>3</v>
      </c>
      <c r="H272" t="s">
        <v>1110</v>
      </c>
    </row>
    <row r="273" spans="1:8" x14ac:dyDescent="0.25">
      <c r="A273">
        <v>28</v>
      </c>
      <c r="B273" t="b">
        <v>0</v>
      </c>
      <c r="C273" s="6">
        <v>46449.833333333336</v>
      </c>
      <c r="D273" t="b">
        <v>0</v>
      </c>
      <c r="E273">
        <v>3</v>
      </c>
      <c r="F273">
        <v>19</v>
      </c>
      <c r="G273">
        <v>3</v>
      </c>
      <c r="H273" t="s">
        <v>1110</v>
      </c>
    </row>
    <row r="274" spans="1:8" x14ac:dyDescent="0.25">
      <c r="A274">
        <v>28</v>
      </c>
      <c r="B274" t="b">
        <v>0</v>
      </c>
      <c r="C274" s="6">
        <v>46449.833333333336</v>
      </c>
      <c r="D274" t="b">
        <v>0</v>
      </c>
      <c r="E274">
        <v>4</v>
      </c>
      <c r="F274">
        <v>12</v>
      </c>
      <c r="G274">
        <v>2</v>
      </c>
      <c r="H274" t="s">
        <v>1110</v>
      </c>
    </row>
    <row r="275" spans="1:8" x14ac:dyDescent="0.25">
      <c r="A275">
        <v>28</v>
      </c>
      <c r="B275" t="b">
        <v>0</v>
      </c>
      <c r="C275" s="6">
        <v>46449.833333333336</v>
      </c>
      <c r="D275" t="b">
        <v>0</v>
      </c>
      <c r="E275">
        <v>5</v>
      </c>
      <c r="F275">
        <v>10</v>
      </c>
      <c r="G275">
        <v>2</v>
      </c>
      <c r="H275" t="s">
        <v>1110</v>
      </c>
    </row>
    <row r="276" spans="1:8" x14ac:dyDescent="0.25">
      <c r="A276">
        <v>28</v>
      </c>
      <c r="B276" t="b">
        <v>0</v>
      </c>
      <c r="C276" s="6">
        <v>46449.833333333336</v>
      </c>
      <c r="D276" t="b">
        <v>0</v>
      </c>
      <c r="E276">
        <v>6</v>
      </c>
      <c r="F276">
        <v>7</v>
      </c>
      <c r="G276">
        <v>2</v>
      </c>
      <c r="H276" t="s">
        <v>1110</v>
      </c>
    </row>
    <row r="277" spans="1:8" x14ac:dyDescent="0.25">
      <c r="A277">
        <v>28</v>
      </c>
      <c r="B277" t="b">
        <v>0</v>
      </c>
      <c r="C277" s="6">
        <v>46449.833333333336</v>
      </c>
      <c r="D277" t="b">
        <v>0</v>
      </c>
      <c r="E277">
        <v>13</v>
      </c>
      <c r="F277">
        <v>11</v>
      </c>
      <c r="G277">
        <v>2</v>
      </c>
      <c r="H277" t="s">
        <v>1110</v>
      </c>
    </row>
    <row r="278" spans="1:8" x14ac:dyDescent="0.25">
      <c r="A278">
        <v>28</v>
      </c>
      <c r="B278" t="b">
        <v>0</v>
      </c>
      <c r="C278" s="6">
        <v>46449.833333333336</v>
      </c>
      <c r="D278" t="b">
        <v>0</v>
      </c>
      <c r="E278">
        <v>14</v>
      </c>
      <c r="F278">
        <v>2</v>
      </c>
      <c r="G278">
        <v>3</v>
      </c>
      <c r="H278" t="s">
        <v>1110</v>
      </c>
    </row>
    <row r="279" spans="1:8" x14ac:dyDescent="0.25">
      <c r="A279">
        <v>28</v>
      </c>
      <c r="B279" t="b">
        <v>0</v>
      </c>
      <c r="C279" s="6">
        <v>46449.833333333336</v>
      </c>
      <c r="D279" t="b">
        <v>0</v>
      </c>
      <c r="E279">
        <v>15</v>
      </c>
      <c r="F279">
        <v>9</v>
      </c>
      <c r="G279">
        <v>3</v>
      </c>
      <c r="H279" t="s">
        <v>1110</v>
      </c>
    </row>
    <row r="280" spans="1:8" x14ac:dyDescent="0.25">
      <c r="A280">
        <v>28</v>
      </c>
      <c r="B280" t="b">
        <v>0</v>
      </c>
      <c r="C280" s="6">
        <v>46449.833333333336</v>
      </c>
      <c r="D280" t="b">
        <v>0</v>
      </c>
      <c r="E280">
        <v>18</v>
      </c>
      <c r="F280">
        <v>17</v>
      </c>
      <c r="G280">
        <v>2</v>
      </c>
      <c r="H280" t="s">
        <v>1110</v>
      </c>
    </row>
    <row r="281" spans="1:8" x14ac:dyDescent="0.25">
      <c r="A281">
        <v>28</v>
      </c>
      <c r="B281" t="b">
        <v>0</v>
      </c>
      <c r="C281" s="6">
        <v>46449.833333333336</v>
      </c>
      <c r="D281" t="b">
        <v>0</v>
      </c>
      <c r="E281">
        <v>20</v>
      </c>
      <c r="F281">
        <v>16</v>
      </c>
      <c r="G281">
        <v>4</v>
      </c>
      <c r="H281" t="s">
        <v>1110</v>
      </c>
    </row>
    <row r="282" spans="1:8" x14ac:dyDescent="0.25">
      <c r="A282">
        <v>29</v>
      </c>
      <c r="B282" t="b">
        <v>0</v>
      </c>
      <c r="C282" s="6">
        <v>46459.625</v>
      </c>
      <c r="D282" t="b">
        <v>0</v>
      </c>
      <c r="E282">
        <v>2</v>
      </c>
      <c r="F282">
        <v>11</v>
      </c>
      <c r="G282">
        <v>2</v>
      </c>
      <c r="H282" t="s">
        <v>1110</v>
      </c>
    </row>
    <row r="283" spans="1:8" x14ac:dyDescent="0.25">
      <c r="A283">
        <v>29</v>
      </c>
      <c r="B283" t="b">
        <v>0</v>
      </c>
      <c r="C283" s="6">
        <v>46459.625</v>
      </c>
      <c r="D283" t="b">
        <v>0</v>
      </c>
      <c r="E283">
        <v>3</v>
      </c>
      <c r="F283">
        <v>17</v>
      </c>
      <c r="G283">
        <v>2</v>
      </c>
      <c r="H283" t="s">
        <v>1110</v>
      </c>
    </row>
    <row r="284" spans="1:8" x14ac:dyDescent="0.25">
      <c r="A284">
        <v>29</v>
      </c>
      <c r="B284" t="b">
        <v>0</v>
      </c>
      <c r="C284" s="6">
        <v>46459.625</v>
      </c>
      <c r="D284" t="b">
        <v>0</v>
      </c>
      <c r="E284">
        <v>6</v>
      </c>
      <c r="F284">
        <v>1</v>
      </c>
      <c r="G284">
        <v>4</v>
      </c>
      <c r="H284" t="s">
        <v>1110</v>
      </c>
    </row>
    <row r="285" spans="1:8" x14ac:dyDescent="0.25">
      <c r="A285">
        <v>29</v>
      </c>
      <c r="B285" t="b">
        <v>0</v>
      </c>
      <c r="C285" s="6">
        <v>46459.625</v>
      </c>
      <c r="D285" t="b">
        <v>0</v>
      </c>
      <c r="E285">
        <v>7</v>
      </c>
      <c r="F285">
        <v>15</v>
      </c>
      <c r="G285">
        <v>4</v>
      </c>
      <c r="H285" t="s">
        <v>1110</v>
      </c>
    </row>
    <row r="286" spans="1:8" x14ac:dyDescent="0.25">
      <c r="A286">
        <v>29</v>
      </c>
      <c r="B286" t="b">
        <v>0</v>
      </c>
      <c r="C286" s="6">
        <v>46459.625</v>
      </c>
      <c r="D286" t="b">
        <v>0</v>
      </c>
      <c r="E286">
        <v>8</v>
      </c>
      <c r="F286">
        <v>10</v>
      </c>
      <c r="G286">
        <v>2</v>
      </c>
      <c r="H286" t="s">
        <v>1110</v>
      </c>
    </row>
    <row r="287" spans="1:8" x14ac:dyDescent="0.25">
      <c r="A287">
        <v>29</v>
      </c>
      <c r="B287" t="b">
        <v>0</v>
      </c>
      <c r="C287" s="6">
        <v>46459.625</v>
      </c>
      <c r="D287" t="b">
        <v>0</v>
      </c>
      <c r="E287">
        <v>13</v>
      </c>
      <c r="F287">
        <v>5</v>
      </c>
      <c r="G287">
        <v>2</v>
      </c>
      <c r="H287" t="s">
        <v>1110</v>
      </c>
    </row>
    <row r="288" spans="1:8" x14ac:dyDescent="0.25">
      <c r="A288">
        <v>29</v>
      </c>
      <c r="B288" t="b">
        <v>0</v>
      </c>
      <c r="C288" s="6">
        <v>46459.625</v>
      </c>
      <c r="D288" t="b">
        <v>0</v>
      </c>
      <c r="E288">
        <v>14</v>
      </c>
      <c r="F288">
        <v>12</v>
      </c>
      <c r="G288">
        <v>2</v>
      </c>
      <c r="H288" t="s">
        <v>1110</v>
      </c>
    </row>
    <row r="289" spans="1:8" x14ac:dyDescent="0.25">
      <c r="A289">
        <v>29</v>
      </c>
      <c r="B289" t="b">
        <v>0</v>
      </c>
      <c r="C289" s="6">
        <v>46459.625</v>
      </c>
      <c r="D289" t="b">
        <v>0</v>
      </c>
      <c r="E289">
        <v>16</v>
      </c>
      <c r="F289">
        <v>9</v>
      </c>
      <c r="G289">
        <v>3</v>
      </c>
      <c r="H289" t="s">
        <v>1110</v>
      </c>
    </row>
    <row r="290" spans="1:8" x14ac:dyDescent="0.25">
      <c r="A290">
        <v>29</v>
      </c>
      <c r="B290" t="b">
        <v>0</v>
      </c>
      <c r="C290" s="6">
        <v>46459.625</v>
      </c>
      <c r="D290" t="b">
        <v>0</v>
      </c>
      <c r="E290">
        <v>19</v>
      </c>
      <c r="F290">
        <v>18</v>
      </c>
      <c r="G290">
        <v>3</v>
      </c>
      <c r="H290" t="s">
        <v>1110</v>
      </c>
    </row>
    <row r="291" spans="1:8" x14ac:dyDescent="0.25">
      <c r="A291">
        <v>29</v>
      </c>
      <c r="B291" t="b">
        <v>0</v>
      </c>
      <c r="C291" s="6">
        <v>46459.625</v>
      </c>
      <c r="D291" t="b">
        <v>0</v>
      </c>
      <c r="E291">
        <v>20</v>
      </c>
      <c r="F291">
        <v>4</v>
      </c>
      <c r="G291">
        <v>3</v>
      </c>
      <c r="H291" t="s">
        <v>1110</v>
      </c>
    </row>
    <row r="292" spans="1:8" x14ac:dyDescent="0.25">
      <c r="A292">
        <v>30</v>
      </c>
      <c r="B292" t="b">
        <v>0</v>
      </c>
      <c r="C292" s="6">
        <v>46466.625</v>
      </c>
      <c r="D292" t="b">
        <v>0</v>
      </c>
      <c r="E292">
        <v>1</v>
      </c>
      <c r="F292">
        <v>20</v>
      </c>
      <c r="G292">
        <v>2</v>
      </c>
      <c r="H292" t="s">
        <v>1110</v>
      </c>
    </row>
    <row r="293" spans="1:8" x14ac:dyDescent="0.25">
      <c r="A293">
        <v>30</v>
      </c>
      <c r="B293" t="b">
        <v>0</v>
      </c>
      <c r="C293" s="6">
        <v>46466.625</v>
      </c>
      <c r="D293" t="b">
        <v>0</v>
      </c>
      <c r="E293">
        <v>4</v>
      </c>
      <c r="F293">
        <v>3</v>
      </c>
      <c r="G293">
        <v>3</v>
      </c>
      <c r="H293" t="s">
        <v>1110</v>
      </c>
    </row>
    <row r="294" spans="1:8" x14ac:dyDescent="0.25">
      <c r="A294">
        <v>30</v>
      </c>
      <c r="B294" t="b">
        <v>0</v>
      </c>
      <c r="C294" s="6">
        <v>46466.625</v>
      </c>
      <c r="D294" t="b">
        <v>0</v>
      </c>
      <c r="E294">
        <v>5</v>
      </c>
      <c r="F294">
        <v>7</v>
      </c>
      <c r="G294">
        <v>2</v>
      </c>
      <c r="H294" t="s">
        <v>1110</v>
      </c>
    </row>
    <row r="295" spans="1:8" x14ac:dyDescent="0.25">
      <c r="A295">
        <v>30</v>
      </c>
      <c r="B295" t="b">
        <v>0</v>
      </c>
      <c r="C295" s="6">
        <v>46466.625</v>
      </c>
      <c r="D295" t="b">
        <v>0</v>
      </c>
      <c r="E295">
        <v>9</v>
      </c>
      <c r="F295">
        <v>19</v>
      </c>
      <c r="G295">
        <v>3</v>
      </c>
      <c r="H295" t="s">
        <v>1110</v>
      </c>
    </row>
    <row r="296" spans="1:8" x14ac:dyDescent="0.25">
      <c r="A296">
        <v>30</v>
      </c>
      <c r="B296" t="b">
        <v>0</v>
      </c>
      <c r="C296" s="6">
        <v>46466.625</v>
      </c>
      <c r="D296" t="b">
        <v>0</v>
      </c>
      <c r="E296">
        <v>10</v>
      </c>
      <c r="F296">
        <v>14</v>
      </c>
      <c r="G296">
        <v>4</v>
      </c>
      <c r="H296" t="s">
        <v>1110</v>
      </c>
    </row>
    <row r="297" spans="1:8" x14ac:dyDescent="0.25">
      <c r="A297">
        <v>30</v>
      </c>
      <c r="B297" t="b">
        <v>0</v>
      </c>
      <c r="C297" s="6">
        <v>46466.625</v>
      </c>
      <c r="D297" t="b">
        <v>0</v>
      </c>
      <c r="E297">
        <v>11</v>
      </c>
      <c r="F297">
        <v>6</v>
      </c>
      <c r="G297">
        <v>4</v>
      </c>
      <c r="H297" t="s">
        <v>1110</v>
      </c>
    </row>
    <row r="298" spans="1:8" x14ac:dyDescent="0.25">
      <c r="A298">
        <v>30</v>
      </c>
      <c r="B298" t="b">
        <v>0</v>
      </c>
      <c r="C298" s="6">
        <v>46466.625</v>
      </c>
      <c r="D298" t="b">
        <v>0</v>
      </c>
      <c r="E298">
        <v>12</v>
      </c>
      <c r="F298">
        <v>8</v>
      </c>
      <c r="G298">
        <v>3</v>
      </c>
      <c r="H298" t="s">
        <v>1110</v>
      </c>
    </row>
    <row r="299" spans="1:8" x14ac:dyDescent="0.25">
      <c r="A299">
        <v>30</v>
      </c>
      <c r="B299" t="b">
        <v>0</v>
      </c>
      <c r="C299" s="6">
        <v>46466.625</v>
      </c>
      <c r="D299" t="b">
        <v>0</v>
      </c>
      <c r="E299">
        <v>15</v>
      </c>
      <c r="F299">
        <v>16</v>
      </c>
      <c r="G299">
        <v>4</v>
      </c>
      <c r="H299" t="s">
        <v>1110</v>
      </c>
    </row>
    <row r="300" spans="1:8" x14ac:dyDescent="0.25">
      <c r="A300">
        <v>30</v>
      </c>
      <c r="B300" t="b">
        <v>0</v>
      </c>
      <c r="C300" s="6">
        <v>46466.625</v>
      </c>
      <c r="D300" t="b">
        <v>0</v>
      </c>
      <c r="E300">
        <v>17</v>
      </c>
      <c r="F300">
        <v>13</v>
      </c>
      <c r="G300">
        <v>2</v>
      </c>
      <c r="H300" t="s">
        <v>1110</v>
      </c>
    </row>
    <row r="301" spans="1:8" x14ac:dyDescent="0.25">
      <c r="A301">
        <v>30</v>
      </c>
      <c r="B301" t="b">
        <v>0</v>
      </c>
      <c r="C301" s="6">
        <v>46466.625</v>
      </c>
      <c r="D301" t="b">
        <v>0</v>
      </c>
      <c r="E301">
        <v>18</v>
      </c>
      <c r="F301">
        <v>2</v>
      </c>
      <c r="G301">
        <v>3</v>
      </c>
      <c r="H301" t="s">
        <v>1110</v>
      </c>
    </row>
    <row r="302" spans="1:8" x14ac:dyDescent="0.25">
      <c r="A302">
        <v>31</v>
      </c>
      <c r="B302" t="b">
        <v>0</v>
      </c>
      <c r="C302" s="6">
        <v>46487.625</v>
      </c>
      <c r="D302" t="b">
        <v>0</v>
      </c>
      <c r="E302">
        <v>2</v>
      </c>
      <c r="F302">
        <v>5</v>
      </c>
      <c r="G302">
        <v>2</v>
      </c>
      <c r="H302" t="s">
        <v>1110</v>
      </c>
    </row>
    <row r="303" spans="1:8" x14ac:dyDescent="0.25">
      <c r="A303">
        <v>31</v>
      </c>
      <c r="B303" t="b">
        <v>0</v>
      </c>
      <c r="C303" s="6">
        <v>46487.625</v>
      </c>
      <c r="D303" t="b">
        <v>0</v>
      </c>
      <c r="E303">
        <v>3</v>
      </c>
      <c r="F303">
        <v>15</v>
      </c>
      <c r="G303">
        <v>4</v>
      </c>
      <c r="H303" t="s">
        <v>1110</v>
      </c>
    </row>
    <row r="304" spans="1:8" x14ac:dyDescent="0.25">
      <c r="A304">
        <v>31</v>
      </c>
      <c r="B304" t="b">
        <v>0</v>
      </c>
      <c r="C304" s="6">
        <v>46487.625</v>
      </c>
      <c r="D304" t="b">
        <v>0</v>
      </c>
      <c r="E304">
        <v>6</v>
      </c>
      <c r="F304">
        <v>10</v>
      </c>
      <c r="G304">
        <v>2</v>
      </c>
      <c r="H304" t="s">
        <v>1110</v>
      </c>
    </row>
    <row r="305" spans="1:8" x14ac:dyDescent="0.25">
      <c r="A305">
        <v>31</v>
      </c>
      <c r="B305" t="b">
        <v>0</v>
      </c>
      <c r="C305" s="6">
        <v>46487.625</v>
      </c>
      <c r="D305" t="b">
        <v>0</v>
      </c>
      <c r="E305">
        <v>7</v>
      </c>
      <c r="F305">
        <v>1</v>
      </c>
      <c r="G305">
        <v>4</v>
      </c>
      <c r="H305" t="s">
        <v>1110</v>
      </c>
    </row>
    <row r="306" spans="1:8" x14ac:dyDescent="0.25">
      <c r="A306">
        <v>31</v>
      </c>
      <c r="B306" t="b">
        <v>0</v>
      </c>
      <c r="C306" s="6">
        <v>46487.625</v>
      </c>
      <c r="D306" t="b">
        <v>0</v>
      </c>
      <c r="E306">
        <v>8</v>
      </c>
      <c r="F306">
        <v>9</v>
      </c>
      <c r="G306">
        <v>3</v>
      </c>
      <c r="H306" t="s">
        <v>1110</v>
      </c>
    </row>
    <row r="307" spans="1:8" x14ac:dyDescent="0.25">
      <c r="A307">
        <v>31</v>
      </c>
      <c r="B307" t="b">
        <v>0</v>
      </c>
      <c r="C307" s="6">
        <v>46487.625</v>
      </c>
      <c r="D307" t="b">
        <v>0</v>
      </c>
      <c r="E307">
        <v>13</v>
      </c>
      <c r="F307">
        <v>18</v>
      </c>
      <c r="G307">
        <v>3</v>
      </c>
      <c r="H307" t="s">
        <v>1110</v>
      </c>
    </row>
    <row r="308" spans="1:8" x14ac:dyDescent="0.25">
      <c r="A308">
        <v>31</v>
      </c>
      <c r="B308" t="b">
        <v>0</v>
      </c>
      <c r="C308" s="6">
        <v>46487.625</v>
      </c>
      <c r="D308" t="b">
        <v>0</v>
      </c>
      <c r="E308">
        <v>14</v>
      </c>
      <c r="F308">
        <v>17</v>
      </c>
      <c r="G308">
        <v>2</v>
      </c>
      <c r="H308" t="s">
        <v>1110</v>
      </c>
    </row>
    <row r="309" spans="1:8" x14ac:dyDescent="0.25">
      <c r="A309">
        <v>31</v>
      </c>
      <c r="B309" t="b">
        <v>0</v>
      </c>
      <c r="C309" s="6">
        <v>46487.625</v>
      </c>
      <c r="D309" t="b">
        <v>0</v>
      </c>
      <c r="E309">
        <v>16</v>
      </c>
      <c r="F309">
        <v>11</v>
      </c>
      <c r="G309">
        <v>2</v>
      </c>
      <c r="H309" t="s">
        <v>1110</v>
      </c>
    </row>
    <row r="310" spans="1:8" x14ac:dyDescent="0.25">
      <c r="A310">
        <v>31</v>
      </c>
      <c r="B310" t="b">
        <v>0</v>
      </c>
      <c r="C310" s="6">
        <v>46487.625</v>
      </c>
      <c r="D310" t="b">
        <v>0</v>
      </c>
      <c r="E310">
        <v>19</v>
      </c>
      <c r="F310">
        <v>4</v>
      </c>
      <c r="G310">
        <v>3</v>
      </c>
      <c r="H310" t="s">
        <v>1110</v>
      </c>
    </row>
    <row r="311" spans="1:8" x14ac:dyDescent="0.25">
      <c r="A311">
        <v>31</v>
      </c>
      <c r="B311" t="b">
        <v>0</v>
      </c>
      <c r="C311" s="6">
        <v>46487.625</v>
      </c>
      <c r="D311" t="b">
        <v>0</v>
      </c>
      <c r="E311">
        <v>20</v>
      </c>
      <c r="F311">
        <v>12</v>
      </c>
      <c r="G311">
        <v>2</v>
      </c>
      <c r="H311" t="s">
        <v>1110</v>
      </c>
    </row>
    <row r="312" spans="1:8" x14ac:dyDescent="0.25">
      <c r="A312">
        <v>32</v>
      </c>
      <c r="B312" t="b">
        <v>0</v>
      </c>
      <c r="C312" s="6">
        <v>46494.625</v>
      </c>
      <c r="D312" t="b">
        <v>0</v>
      </c>
      <c r="E312">
        <v>1</v>
      </c>
      <c r="F312">
        <v>2</v>
      </c>
      <c r="G312">
        <v>3</v>
      </c>
      <c r="H312" t="s">
        <v>1110</v>
      </c>
    </row>
    <row r="313" spans="1:8" x14ac:dyDescent="0.25">
      <c r="A313">
        <v>32</v>
      </c>
      <c r="B313" t="b">
        <v>0</v>
      </c>
      <c r="C313" s="6">
        <v>46494.625</v>
      </c>
      <c r="D313" t="b">
        <v>0</v>
      </c>
      <c r="E313">
        <v>4</v>
      </c>
      <c r="F313">
        <v>13</v>
      </c>
      <c r="G313">
        <v>2</v>
      </c>
      <c r="H313" t="s">
        <v>1110</v>
      </c>
    </row>
    <row r="314" spans="1:8" x14ac:dyDescent="0.25">
      <c r="A314">
        <v>32</v>
      </c>
      <c r="B314" t="b">
        <v>0</v>
      </c>
      <c r="C314" s="6">
        <v>46494.625</v>
      </c>
      <c r="D314" t="b">
        <v>0</v>
      </c>
      <c r="E314">
        <v>5</v>
      </c>
      <c r="F314">
        <v>6</v>
      </c>
      <c r="G314">
        <v>4</v>
      </c>
      <c r="H314" t="s">
        <v>1110</v>
      </c>
    </row>
    <row r="315" spans="1:8" x14ac:dyDescent="0.25">
      <c r="A315">
        <v>32</v>
      </c>
      <c r="B315" t="b">
        <v>0</v>
      </c>
      <c r="C315" s="6">
        <v>46494.625</v>
      </c>
      <c r="D315" t="b">
        <v>0</v>
      </c>
      <c r="E315">
        <v>9</v>
      </c>
      <c r="F315">
        <v>3</v>
      </c>
      <c r="G315">
        <v>3</v>
      </c>
      <c r="H315" t="s">
        <v>1110</v>
      </c>
    </row>
    <row r="316" spans="1:8" x14ac:dyDescent="0.25">
      <c r="A316">
        <v>32</v>
      </c>
      <c r="B316" t="b">
        <v>0</v>
      </c>
      <c r="C316" s="6">
        <v>46494.625</v>
      </c>
      <c r="D316" t="b">
        <v>0</v>
      </c>
      <c r="E316">
        <v>10</v>
      </c>
      <c r="F316">
        <v>20</v>
      </c>
      <c r="G316">
        <v>2</v>
      </c>
      <c r="H316" t="s">
        <v>1110</v>
      </c>
    </row>
    <row r="317" spans="1:8" x14ac:dyDescent="0.25">
      <c r="A317">
        <v>32</v>
      </c>
      <c r="B317" t="b">
        <v>0</v>
      </c>
      <c r="C317" s="6">
        <v>46494.625</v>
      </c>
      <c r="D317" t="b">
        <v>0</v>
      </c>
      <c r="E317">
        <v>11</v>
      </c>
      <c r="F317">
        <v>7</v>
      </c>
      <c r="G317">
        <v>2</v>
      </c>
      <c r="H317" t="s">
        <v>1110</v>
      </c>
    </row>
    <row r="318" spans="1:8" x14ac:dyDescent="0.25">
      <c r="A318">
        <v>32</v>
      </c>
      <c r="B318" t="b">
        <v>0</v>
      </c>
      <c r="C318" s="6">
        <v>46494.625</v>
      </c>
      <c r="D318" t="b">
        <v>0</v>
      </c>
      <c r="E318">
        <v>12</v>
      </c>
      <c r="F318">
        <v>16</v>
      </c>
      <c r="G318">
        <v>4</v>
      </c>
      <c r="H318" t="s">
        <v>1110</v>
      </c>
    </row>
    <row r="319" spans="1:8" x14ac:dyDescent="0.25">
      <c r="A319">
        <v>32</v>
      </c>
      <c r="B319" t="b">
        <v>0</v>
      </c>
      <c r="C319" s="6">
        <v>46494.625</v>
      </c>
      <c r="D319" t="b">
        <v>0</v>
      </c>
      <c r="E319">
        <v>15</v>
      </c>
      <c r="F319">
        <v>8</v>
      </c>
      <c r="G319">
        <v>3</v>
      </c>
      <c r="H319" t="s">
        <v>1110</v>
      </c>
    </row>
    <row r="320" spans="1:8" x14ac:dyDescent="0.25">
      <c r="A320">
        <v>32</v>
      </c>
      <c r="B320" t="b">
        <v>0</v>
      </c>
      <c r="C320" s="6">
        <v>46494.625</v>
      </c>
      <c r="D320" t="b">
        <v>0</v>
      </c>
      <c r="E320">
        <v>17</v>
      </c>
      <c r="F320">
        <v>19</v>
      </c>
      <c r="G320">
        <v>3</v>
      </c>
      <c r="H320" t="s">
        <v>1110</v>
      </c>
    </row>
    <row r="321" spans="1:8" x14ac:dyDescent="0.25">
      <c r="A321">
        <v>32</v>
      </c>
      <c r="B321" t="b">
        <v>0</v>
      </c>
      <c r="C321" s="6">
        <v>46494.625</v>
      </c>
      <c r="D321" t="b">
        <v>0</v>
      </c>
      <c r="E321">
        <v>18</v>
      </c>
      <c r="F321">
        <v>14</v>
      </c>
      <c r="G321">
        <v>4</v>
      </c>
      <c r="H321" t="s">
        <v>1110</v>
      </c>
    </row>
    <row r="322" spans="1:8" x14ac:dyDescent="0.25">
      <c r="A322">
        <v>33</v>
      </c>
      <c r="B322" t="b">
        <v>0</v>
      </c>
      <c r="C322" s="6">
        <v>46501.625</v>
      </c>
      <c r="D322" t="b">
        <v>0</v>
      </c>
      <c r="E322">
        <v>2</v>
      </c>
      <c r="F322">
        <v>7</v>
      </c>
      <c r="G322">
        <v>2</v>
      </c>
      <c r="H322" t="s">
        <v>1110</v>
      </c>
    </row>
    <row r="323" spans="1:8" x14ac:dyDescent="0.25">
      <c r="A323">
        <v>33</v>
      </c>
      <c r="B323" t="b">
        <v>0</v>
      </c>
      <c r="C323" s="6">
        <v>46501.625</v>
      </c>
      <c r="D323" t="b">
        <v>0</v>
      </c>
      <c r="E323">
        <v>3</v>
      </c>
      <c r="F323">
        <v>1</v>
      </c>
      <c r="G323">
        <v>4</v>
      </c>
      <c r="H323" t="s">
        <v>1110</v>
      </c>
    </row>
    <row r="324" spans="1:8" x14ac:dyDescent="0.25">
      <c r="A324">
        <v>33</v>
      </c>
      <c r="B324" t="b">
        <v>0</v>
      </c>
      <c r="C324" s="6">
        <v>46501.625</v>
      </c>
      <c r="D324" t="b">
        <v>0</v>
      </c>
      <c r="E324">
        <v>4</v>
      </c>
      <c r="F324">
        <v>10</v>
      </c>
      <c r="G324">
        <v>2</v>
      </c>
      <c r="H324" t="s">
        <v>1110</v>
      </c>
    </row>
    <row r="325" spans="1:8" x14ac:dyDescent="0.25">
      <c r="A325">
        <v>33</v>
      </c>
      <c r="B325" t="b">
        <v>0</v>
      </c>
      <c r="C325" s="6">
        <v>46501.625</v>
      </c>
      <c r="D325" t="b">
        <v>0</v>
      </c>
      <c r="E325">
        <v>6</v>
      </c>
      <c r="F325">
        <v>15</v>
      </c>
      <c r="G325">
        <v>4</v>
      </c>
      <c r="H325" t="s">
        <v>1110</v>
      </c>
    </row>
    <row r="326" spans="1:8" x14ac:dyDescent="0.25">
      <c r="A326">
        <v>33</v>
      </c>
      <c r="B326" t="b">
        <v>0</v>
      </c>
      <c r="C326" s="6">
        <v>46501.625</v>
      </c>
      <c r="D326" t="b">
        <v>0</v>
      </c>
      <c r="E326">
        <v>9</v>
      </c>
      <c r="F326">
        <v>5</v>
      </c>
      <c r="G326">
        <v>2</v>
      </c>
      <c r="H326" t="s">
        <v>1110</v>
      </c>
    </row>
    <row r="327" spans="1:8" x14ac:dyDescent="0.25">
      <c r="A327">
        <v>33</v>
      </c>
      <c r="B327" t="b">
        <v>0</v>
      </c>
      <c r="C327" s="6">
        <v>46501.625</v>
      </c>
      <c r="D327" t="b">
        <v>0</v>
      </c>
      <c r="E327">
        <v>13</v>
      </c>
      <c r="F327">
        <v>14</v>
      </c>
      <c r="G327">
        <v>4</v>
      </c>
      <c r="H327" t="s">
        <v>1110</v>
      </c>
    </row>
    <row r="328" spans="1:8" x14ac:dyDescent="0.25">
      <c r="A328">
        <v>33</v>
      </c>
      <c r="B328" t="b">
        <v>0</v>
      </c>
      <c r="C328" s="6">
        <v>46501.625</v>
      </c>
      <c r="D328" t="b">
        <v>0</v>
      </c>
      <c r="E328">
        <v>16</v>
      </c>
      <c r="F328">
        <v>8</v>
      </c>
      <c r="G328">
        <v>3</v>
      </c>
      <c r="H328" t="s">
        <v>1110</v>
      </c>
    </row>
    <row r="329" spans="1:8" x14ac:dyDescent="0.25">
      <c r="A329">
        <v>33</v>
      </c>
      <c r="B329" t="b">
        <v>0</v>
      </c>
      <c r="C329" s="6">
        <v>46501.625</v>
      </c>
      <c r="D329" t="b">
        <v>0</v>
      </c>
      <c r="E329">
        <v>17</v>
      </c>
      <c r="F329">
        <v>12</v>
      </c>
      <c r="G329">
        <v>2</v>
      </c>
      <c r="H329" t="s">
        <v>1110</v>
      </c>
    </row>
    <row r="330" spans="1:8" x14ac:dyDescent="0.25">
      <c r="A330">
        <v>33</v>
      </c>
      <c r="B330" t="b">
        <v>0</v>
      </c>
      <c r="C330" s="6">
        <v>46501.625</v>
      </c>
      <c r="D330" t="b">
        <v>0</v>
      </c>
      <c r="E330">
        <v>18</v>
      </c>
      <c r="F330">
        <v>20</v>
      </c>
      <c r="G330">
        <v>2</v>
      </c>
      <c r="H330" t="s">
        <v>1110</v>
      </c>
    </row>
    <row r="331" spans="1:8" x14ac:dyDescent="0.25">
      <c r="A331">
        <v>33</v>
      </c>
      <c r="B331" t="b">
        <v>0</v>
      </c>
      <c r="C331" s="6">
        <v>46501.625</v>
      </c>
      <c r="D331" t="b">
        <v>0</v>
      </c>
      <c r="E331">
        <v>19</v>
      </c>
      <c r="F331">
        <v>11</v>
      </c>
      <c r="G331">
        <v>2</v>
      </c>
      <c r="H331" t="s">
        <v>1110</v>
      </c>
    </row>
    <row r="332" spans="1:8" x14ac:dyDescent="0.25">
      <c r="A332">
        <v>34</v>
      </c>
      <c r="B332" t="b">
        <v>0</v>
      </c>
      <c r="C332" s="6">
        <v>46508.625</v>
      </c>
      <c r="D332" t="b">
        <v>0</v>
      </c>
      <c r="E332">
        <v>1</v>
      </c>
      <c r="F332">
        <v>19</v>
      </c>
      <c r="G332">
        <v>3</v>
      </c>
      <c r="H332" t="s">
        <v>1110</v>
      </c>
    </row>
    <row r="333" spans="1:8" x14ac:dyDescent="0.25">
      <c r="A333">
        <v>34</v>
      </c>
      <c r="B333" t="b">
        <v>0</v>
      </c>
      <c r="C333" s="6">
        <v>46508.625</v>
      </c>
      <c r="D333" t="b">
        <v>0</v>
      </c>
      <c r="E333">
        <v>5</v>
      </c>
      <c r="F333">
        <v>18</v>
      </c>
      <c r="G333">
        <v>3</v>
      </c>
      <c r="H333" t="s">
        <v>1110</v>
      </c>
    </row>
    <row r="334" spans="1:8" x14ac:dyDescent="0.25">
      <c r="A334">
        <v>34</v>
      </c>
      <c r="B334" t="b">
        <v>0</v>
      </c>
      <c r="C334" s="6">
        <v>46508.625</v>
      </c>
      <c r="D334" t="b">
        <v>0</v>
      </c>
      <c r="E334">
        <v>7</v>
      </c>
      <c r="F334">
        <v>16</v>
      </c>
      <c r="G334">
        <v>4</v>
      </c>
      <c r="H334" t="s">
        <v>1110</v>
      </c>
    </row>
    <row r="335" spans="1:8" x14ac:dyDescent="0.25">
      <c r="A335">
        <v>34</v>
      </c>
      <c r="B335" t="b">
        <v>0</v>
      </c>
      <c r="C335" s="6">
        <v>46508.625</v>
      </c>
      <c r="D335" t="b">
        <v>0</v>
      </c>
      <c r="E335">
        <v>8</v>
      </c>
      <c r="F335">
        <v>2</v>
      </c>
      <c r="G335">
        <v>3</v>
      </c>
      <c r="H335" t="s">
        <v>1110</v>
      </c>
    </row>
    <row r="336" spans="1:8" x14ac:dyDescent="0.25">
      <c r="A336">
        <v>34</v>
      </c>
      <c r="B336" t="b">
        <v>0</v>
      </c>
      <c r="C336" s="6">
        <v>46508.625</v>
      </c>
      <c r="D336" t="b">
        <v>0</v>
      </c>
      <c r="E336">
        <v>10</v>
      </c>
      <c r="F336">
        <v>9</v>
      </c>
      <c r="G336">
        <v>3</v>
      </c>
      <c r="H336" t="s">
        <v>1110</v>
      </c>
    </row>
    <row r="337" spans="1:8" x14ac:dyDescent="0.25">
      <c r="A337">
        <v>34</v>
      </c>
      <c r="B337" t="b">
        <v>0</v>
      </c>
      <c r="C337" s="6">
        <v>46508.625</v>
      </c>
      <c r="D337" t="b">
        <v>0</v>
      </c>
      <c r="E337">
        <v>11</v>
      </c>
      <c r="F337">
        <v>3</v>
      </c>
      <c r="G337">
        <v>3</v>
      </c>
      <c r="H337" t="s">
        <v>1110</v>
      </c>
    </row>
    <row r="338" spans="1:8" x14ac:dyDescent="0.25">
      <c r="A338">
        <v>34</v>
      </c>
      <c r="B338" t="b">
        <v>0</v>
      </c>
      <c r="C338" s="6">
        <v>46508.625</v>
      </c>
      <c r="D338" t="b">
        <v>0</v>
      </c>
      <c r="E338">
        <v>12</v>
      </c>
      <c r="F338">
        <v>13</v>
      </c>
      <c r="G338">
        <v>2</v>
      </c>
      <c r="H338" t="s">
        <v>1110</v>
      </c>
    </row>
    <row r="339" spans="1:8" x14ac:dyDescent="0.25">
      <c r="A339">
        <v>34</v>
      </c>
      <c r="B339" t="b">
        <v>0</v>
      </c>
      <c r="C339" s="6">
        <v>46508.625</v>
      </c>
      <c r="D339" t="b">
        <v>0</v>
      </c>
      <c r="E339">
        <v>14</v>
      </c>
      <c r="F339">
        <v>6</v>
      </c>
      <c r="G339">
        <v>4</v>
      </c>
      <c r="H339" t="s">
        <v>1110</v>
      </c>
    </row>
    <row r="340" spans="1:8" x14ac:dyDescent="0.25">
      <c r="A340">
        <v>34</v>
      </c>
      <c r="B340" t="b">
        <v>0</v>
      </c>
      <c r="C340" s="6">
        <v>46508.625</v>
      </c>
      <c r="D340" t="b">
        <v>0</v>
      </c>
      <c r="E340">
        <v>15</v>
      </c>
      <c r="F340">
        <v>4</v>
      </c>
      <c r="G340">
        <v>3</v>
      </c>
      <c r="H340" t="s">
        <v>1110</v>
      </c>
    </row>
    <row r="341" spans="1:8" x14ac:dyDescent="0.25">
      <c r="A341">
        <v>34</v>
      </c>
      <c r="B341" t="b">
        <v>0</v>
      </c>
      <c r="C341" s="6">
        <v>46508.625</v>
      </c>
      <c r="D341" t="b">
        <v>0</v>
      </c>
      <c r="E341">
        <v>20</v>
      </c>
      <c r="F341">
        <v>17</v>
      </c>
      <c r="G341">
        <v>2</v>
      </c>
      <c r="H341" t="s">
        <v>1110</v>
      </c>
    </row>
    <row r="342" spans="1:8" x14ac:dyDescent="0.25">
      <c r="A342">
        <v>35</v>
      </c>
      <c r="B342" t="b">
        <v>0</v>
      </c>
      <c r="C342" s="6">
        <v>46515.625</v>
      </c>
      <c r="D342" t="b">
        <v>0</v>
      </c>
      <c r="E342">
        <v>3</v>
      </c>
      <c r="F342">
        <v>16</v>
      </c>
      <c r="G342">
        <v>4</v>
      </c>
      <c r="H342" t="s">
        <v>1110</v>
      </c>
    </row>
    <row r="343" spans="1:8" x14ac:dyDescent="0.25">
      <c r="A343">
        <v>35</v>
      </c>
      <c r="B343" t="b">
        <v>0</v>
      </c>
      <c r="C343" s="6">
        <v>46515.625</v>
      </c>
      <c r="D343" t="b">
        <v>0</v>
      </c>
      <c r="E343">
        <v>4</v>
      </c>
      <c r="F343">
        <v>2</v>
      </c>
      <c r="G343">
        <v>3</v>
      </c>
      <c r="H343" t="s">
        <v>1110</v>
      </c>
    </row>
    <row r="344" spans="1:8" x14ac:dyDescent="0.25">
      <c r="A344">
        <v>35</v>
      </c>
      <c r="B344" t="b">
        <v>0</v>
      </c>
      <c r="C344" s="6">
        <v>46515.625</v>
      </c>
      <c r="D344" t="b">
        <v>0</v>
      </c>
      <c r="E344">
        <v>5</v>
      </c>
      <c r="F344">
        <v>20</v>
      </c>
      <c r="G344">
        <v>2</v>
      </c>
      <c r="H344" t="s">
        <v>1110</v>
      </c>
    </row>
    <row r="345" spans="1:8" x14ac:dyDescent="0.25">
      <c r="A345">
        <v>35</v>
      </c>
      <c r="B345" t="b">
        <v>0</v>
      </c>
      <c r="C345" s="6">
        <v>46515.625</v>
      </c>
      <c r="D345" t="b">
        <v>0</v>
      </c>
      <c r="E345">
        <v>9</v>
      </c>
      <c r="F345">
        <v>11</v>
      </c>
      <c r="G345">
        <v>2</v>
      </c>
      <c r="H345" t="s">
        <v>1110</v>
      </c>
    </row>
    <row r="346" spans="1:8" x14ac:dyDescent="0.25">
      <c r="A346">
        <v>35</v>
      </c>
      <c r="B346" t="b">
        <v>0</v>
      </c>
      <c r="C346" s="6">
        <v>46515.625</v>
      </c>
      <c r="D346" t="b">
        <v>0</v>
      </c>
      <c r="E346">
        <v>10</v>
      </c>
      <c r="F346">
        <v>12</v>
      </c>
      <c r="G346">
        <v>2</v>
      </c>
      <c r="H346" t="s">
        <v>1110</v>
      </c>
    </row>
    <row r="347" spans="1:8" x14ac:dyDescent="0.25">
      <c r="A347">
        <v>35</v>
      </c>
      <c r="B347" t="b">
        <v>0</v>
      </c>
      <c r="C347" s="6">
        <v>46515.625</v>
      </c>
      <c r="D347" t="b">
        <v>0</v>
      </c>
      <c r="E347">
        <v>13</v>
      </c>
      <c r="F347">
        <v>1</v>
      </c>
      <c r="G347">
        <v>4</v>
      </c>
      <c r="H347" t="s">
        <v>1110</v>
      </c>
    </row>
    <row r="348" spans="1:8" x14ac:dyDescent="0.25">
      <c r="A348">
        <v>35</v>
      </c>
      <c r="B348" t="b">
        <v>0</v>
      </c>
      <c r="C348" s="6">
        <v>46515.625</v>
      </c>
      <c r="D348" t="b">
        <v>0</v>
      </c>
      <c r="E348">
        <v>15</v>
      </c>
      <c r="F348">
        <v>14</v>
      </c>
      <c r="G348">
        <v>4</v>
      </c>
      <c r="H348" t="s">
        <v>1110</v>
      </c>
    </row>
    <row r="349" spans="1:8" x14ac:dyDescent="0.25">
      <c r="A349">
        <v>35</v>
      </c>
      <c r="B349" t="b">
        <v>0</v>
      </c>
      <c r="C349" s="6">
        <v>46515.625</v>
      </c>
      <c r="D349" t="b">
        <v>0</v>
      </c>
      <c r="E349">
        <v>17</v>
      </c>
      <c r="F349">
        <v>7</v>
      </c>
      <c r="G349">
        <v>2</v>
      </c>
      <c r="H349" t="s">
        <v>1110</v>
      </c>
    </row>
    <row r="350" spans="1:8" x14ac:dyDescent="0.25">
      <c r="A350">
        <v>35</v>
      </c>
      <c r="B350" t="b">
        <v>0</v>
      </c>
      <c r="C350" s="6">
        <v>46515.625</v>
      </c>
      <c r="D350" t="b">
        <v>0</v>
      </c>
      <c r="E350">
        <v>18</v>
      </c>
      <c r="F350">
        <v>8</v>
      </c>
      <c r="G350">
        <v>3</v>
      </c>
      <c r="H350" t="s">
        <v>1110</v>
      </c>
    </row>
    <row r="351" spans="1:8" x14ac:dyDescent="0.25">
      <c r="A351">
        <v>35</v>
      </c>
      <c r="B351" t="b">
        <v>0</v>
      </c>
      <c r="C351" s="6">
        <v>46515.625</v>
      </c>
      <c r="D351" t="b">
        <v>0</v>
      </c>
      <c r="E351">
        <v>19</v>
      </c>
      <c r="F351">
        <v>6</v>
      </c>
      <c r="G351">
        <v>4</v>
      </c>
      <c r="H351" t="s">
        <v>1110</v>
      </c>
    </row>
    <row r="352" spans="1:8" x14ac:dyDescent="0.25">
      <c r="A352">
        <v>36</v>
      </c>
      <c r="B352" t="b">
        <v>0</v>
      </c>
      <c r="C352" s="6">
        <v>46522.625</v>
      </c>
      <c r="D352" t="b">
        <v>0</v>
      </c>
      <c r="E352">
        <v>1</v>
      </c>
      <c r="F352">
        <v>18</v>
      </c>
      <c r="G352">
        <v>3</v>
      </c>
      <c r="H352" t="s">
        <v>1110</v>
      </c>
    </row>
    <row r="353" spans="1:8" x14ac:dyDescent="0.25">
      <c r="A353">
        <v>36</v>
      </c>
      <c r="B353" t="b">
        <v>0</v>
      </c>
      <c r="C353" s="6">
        <v>46522.625</v>
      </c>
      <c r="D353" t="b">
        <v>0</v>
      </c>
      <c r="E353">
        <v>2</v>
      </c>
      <c r="F353">
        <v>17</v>
      </c>
      <c r="G353">
        <v>2</v>
      </c>
      <c r="H353" t="s">
        <v>1110</v>
      </c>
    </row>
    <row r="354" spans="1:8" x14ac:dyDescent="0.25">
      <c r="A354">
        <v>36</v>
      </c>
      <c r="B354" t="b">
        <v>0</v>
      </c>
      <c r="C354" s="6">
        <v>46522.625</v>
      </c>
      <c r="D354" t="b">
        <v>0</v>
      </c>
      <c r="E354">
        <v>6</v>
      </c>
      <c r="F354">
        <v>9</v>
      </c>
      <c r="G354">
        <v>3</v>
      </c>
      <c r="H354" t="s">
        <v>1110</v>
      </c>
    </row>
    <row r="355" spans="1:8" x14ac:dyDescent="0.25">
      <c r="A355">
        <v>36</v>
      </c>
      <c r="B355" t="b">
        <v>0</v>
      </c>
      <c r="C355" s="6">
        <v>46522.625</v>
      </c>
      <c r="D355" t="b">
        <v>0</v>
      </c>
      <c r="E355">
        <v>7</v>
      </c>
      <c r="F355">
        <v>19</v>
      </c>
      <c r="G355">
        <v>3</v>
      </c>
      <c r="H355" t="s">
        <v>1110</v>
      </c>
    </row>
    <row r="356" spans="1:8" x14ac:dyDescent="0.25">
      <c r="A356">
        <v>36</v>
      </c>
      <c r="B356" t="b">
        <v>0</v>
      </c>
      <c r="C356" s="6">
        <v>46522.625</v>
      </c>
      <c r="D356" t="b">
        <v>0</v>
      </c>
      <c r="E356">
        <v>8</v>
      </c>
      <c r="F356">
        <v>5</v>
      </c>
      <c r="G356">
        <v>2</v>
      </c>
      <c r="H356" t="s">
        <v>1110</v>
      </c>
    </row>
    <row r="357" spans="1:8" x14ac:dyDescent="0.25">
      <c r="A357">
        <v>36</v>
      </c>
      <c r="B357" t="b">
        <v>0</v>
      </c>
      <c r="C357" s="6">
        <v>46522.625</v>
      </c>
      <c r="D357" t="b">
        <v>0</v>
      </c>
      <c r="E357">
        <v>11</v>
      </c>
      <c r="F357">
        <v>10</v>
      </c>
      <c r="G357">
        <v>2</v>
      </c>
      <c r="H357" t="s">
        <v>1110</v>
      </c>
    </row>
    <row r="358" spans="1:8" x14ac:dyDescent="0.25">
      <c r="A358">
        <v>36</v>
      </c>
      <c r="B358" t="b">
        <v>0</v>
      </c>
      <c r="C358" s="6">
        <v>46522.625</v>
      </c>
      <c r="D358" t="b">
        <v>0</v>
      </c>
      <c r="E358">
        <v>12</v>
      </c>
      <c r="F358">
        <v>15</v>
      </c>
      <c r="G358">
        <v>4</v>
      </c>
      <c r="H358" t="s">
        <v>1110</v>
      </c>
    </row>
    <row r="359" spans="1:8" x14ac:dyDescent="0.25">
      <c r="A359">
        <v>36</v>
      </c>
      <c r="B359" t="b">
        <v>0</v>
      </c>
      <c r="C359" s="6">
        <v>46522.625</v>
      </c>
      <c r="D359" t="b">
        <v>0</v>
      </c>
      <c r="E359">
        <v>14</v>
      </c>
      <c r="F359">
        <v>4</v>
      </c>
      <c r="G359">
        <v>3</v>
      </c>
      <c r="H359" t="s">
        <v>1110</v>
      </c>
    </row>
    <row r="360" spans="1:8" x14ac:dyDescent="0.25">
      <c r="A360">
        <v>36</v>
      </c>
      <c r="B360" t="b">
        <v>0</v>
      </c>
      <c r="C360" s="6">
        <v>46522.625</v>
      </c>
      <c r="D360" t="b">
        <v>0</v>
      </c>
      <c r="E360">
        <v>16</v>
      </c>
      <c r="F360">
        <v>13</v>
      </c>
      <c r="G360">
        <v>2</v>
      </c>
      <c r="H360" t="s">
        <v>1110</v>
      </c>
    </row>
    <row r="361" spans="1:8" x14ac:dyDescent="0.25">
      <c r="A361">
        <v>36</v>
      </c>
      <c r="B361" t="b">
        <v>0</v>
      </c>
      <c r="C361" s="6">
        <v>46522.625</v>
      </c>
      <c r="D361" t="b">
        <v>0</v>
      </c>
      <c r="E361">
        <v>20</v>
      </c>
      <c r="F361">
        <v>3</v>
      </c>
      <c r="G361">
        <v>3</v>
      </c>
      <c r="H361" t="s">
        <v>1110</v>
      </c>
    </row>
    <row r="362" spans="1:8" x14ac:dyDescent="0.25">
      <c r="A362">
        <v>37</v>
      </c>
      <c r="B362" t="b">
        <v>0</v>
      </c>
      <c r="C362" s="6">
        <v>46530.625</v>
      </c>
      <c r="D362" t="b">
        <v>0</v>
      </c>
      <c r="E362">
        <v>3</v>
      </c>
      <c r="F362">
        <v>6</v>
      </c>
      <c r="G362">
        <v>4</v>
      </c>
      <c r="H362" t="s">
        <v>1110</v>
      </c>
    </row>
    <row r="363" spans="1:8" x14ac:dyDescent="0.25">
      <c r="A363">
        <v>37</v>
      </c>
      <c r="B363" t="b">
        <v>0</v>
      </c>
      <c r="C363" s="6">
        <v>46530.625</v>
      </c>
      <c r="D363" t="b">
        <v>0</v>
      </c>
      <c r="E363">
        <v>4</v>
      </c>
      <c r="F363">
        <v>11</v>
      </c>
      <c r="G363">
        <v>2</v>
      </c>
      <c r="H363" t="s">
        <v>1110</v>
      </c>
    </row>
    <row r="364" spans="1:8" x14ac:dyDescent="0.25">
      <c r="A364">
        <v>37</v>
      </c>
      <c r="B364" t="b">
        <v>0</v>
      </c>
      <c r="C364" s="6">
        <v>46530.625</v>
      </c>
      <c r="D364" t="b">
        <v>0</v>
      </c>
      <c r="E364">
        <v>5</v>
      </c>
      <c r="F364">
        <v>14</v>
      </c>
      <c r="G364">
        <v>4</v>
      </c>
      <c r="H364" t="s">
        <v>1110</v>
      </c>
    </row>
    <row r="365" spans="1:8" x14ac:dyDescent="0.25">
      <c r="A365">
        <v>37</v>
      </c>
      <c r="B365" t="b">
        <v>0</v>
      </c>
      <c r="C365" s="6">
        <v>46530.625</v>
      </c>
      <c r="D365" t="b">
        <v>0</v>
      </c>
      <c r="E365">
        <v>9</v>
      </c>
      <c r="F365">
        <v>1</v>
      </c>
      <c r="G365">
        <v>4</v>
      </c>
      <c r="H365" t="s">
        <v>1110</v>
      </c>
    </row>
    <row r="366" spans="1:8" x14ac:dyDescent="0.25">
      <c r="A366">
        <v>37</v>
      </c>
      <c r="B366" t="b">
        <v>0</v>
      </c>
      <c r="C366" s="6">
        <v>46530.625</v>
      </c>
      <c r="D366" t="b">
        <v>0</v>
      </c>
      <c r="E366">
        <v>10</v>
      </c>
      <c r="F366">
        <v>7</v>
      </c>
      <c r="G366">
        <v>2</v>
      </c>
      <c r="H366" t="s">
        <v>1110</v>
      </c>
    </row>
    <row r="367" spans="1:8" x14ac:dyDescent="0.25">
      <c r="A367">
        <v>37</v>
      </c>
      <c r="B367" t="b">
        <v>0</v>
      </c>
      <c r="C367" s="6">
        <v>46530.625</v>
      </c>
      <c r="D367" t="b">
        <v>0</v>
      </c>
      <c r="E367">
        <v>13</v>
      </c>
      <c r="F367">
        <v>20</v>
      </c>
      <c r="G367">
        <v>2</v>
      </c>
      <c r="H367" t="s">
        <v>1110</v>
      </c>
    </row>
    <row r="368" spans="1:8" x14ac:dyDescent="0.25">
      <c r="A368">
        <v>37</v>
      </c>
      <c r="B368" t="b">
        <v>0</v>
      </c>
      <c r="C368" s="6">
        <v>46530.625</v>
      </c>
      <c r="D368" t="b">
        <v>0</v>
      </c>
      <c r="E368">
        <v>15</v>
      </c>
      <c r="F368">
        <v>2</v>
      </c>
      <c r="G368">
        <v>3</v>
      </c>
      <c r="H368" t="s">
        <v>1110</v>
      </c>
    </row>
    <row r="369" spans="1:8" x14ac:dyDescent="0.25">
      <c r="A369">
        <v>37</v>
      </c>
      <c r="B369" t="b">
        <v>0</v>
      </c>
      <c r="C369" s="6">
        <v>46530.625</v>
      </c>
      <c r="D369" t="b">
        <v>0</v>
      </c>
      <c r="E369">
        <v>17</v>
      </c>
      <c r="F369">
        <v>8</v>
      </c>
      <c r="G369">
        <v>3</v>
      </c>
      <c r="H369" t="s">
        <v>1110</v>
      </c>
    </row>
    <row r="370" spans="1:8" x14ac:dyDescent="0.25">
      <c r="A370">
        <v>37</v>
      </c>
      <c r="B370" t="b">
        <v>0</v>
      </c>
      <c r="C370" s="6">
        <v>46530.625</v>
      </c>
      <c r="D370" t="b">
        <v>0</v>
      </c>
      <c r="E370">
        <v>18</v>
      </c>
      <c r="F370">
        <v>12</v>
      </c>
      <c r="G370">
        <v>2</v>
      </c>
      <c r="H370" t="s">
        <v>1110</v>
      </c>
    </row>
    <row r="371" spans="1:8" x14ac:dyDescent="0.25">
      <c r="A371">
        <v>37</v>
      </c>
      <c r="B371" t="b">
        <v>0</v>
      </c>
      <c r="C371" s="6">
        <v>46530.625</v>
      </c>
      <c r="D371" t="b">
        <v>0</v>
      </c>
      <c r="E371">
        <v>19</v>
      </c>
      <c r="F371">
        <v>16</v>
      </c>
      <c r="G371">
        <v>4</v>
      </c>
      <c r="H371" t="s">
        <v>1110</v>
      </c>
    </row>
    <row r="372" spans="1:8" x14ac:dyDescent="0.25">
      <c r="A372">
        <v>38</v>
      </c>
      <c r="B372" t="b">
        <v>0</v>
      </c>
      <c r="C372" s="6">
        <v>46537.666666666664</v>
      </c>
      <c r="D372" t="b">
        <v>0</v>
      </c>
      <c r="E372">
        <v>1</v>
      </c>
      <c r="F372">
        <v>5</v>
      </c>
      <c r="G372">
        <v>2</v>
      </c>
      <c r="H372" t="s">
        <v>1110</v>
      </c>
    </row>
    <row r="373" spans="1:8" x14ac:dyDescent="0.25">
      <c r="A373">
        <v>38</v>
      </c>
      <c r="B373" t="b">
        <v>0</v>
      </c>
      <c r="C373" s="6">
        <v>46537.666666666664</v>
      </c>
      <c r="D373" t="b">
        <v>0</v>
      </c>
      <c r="E373">
        <v>2</v>
      </c>
      <c r="F373">
        <v>19</v>
      </c>
      <c r="G373">
        <v>3</v>
      </c>
      <c r="H373" t="s">
        <v>1110</v>
      </c>
    </row>
    <row r="374" spans="1:8" x14ac:dyDescent="0.25">
      <c r="A374">
        <v>38</v>
      </c>
      <c r="B374" t="b">
        <v>0</v>
      </c>
      <c r="C374" s="6">
        <v>46537.666666666664</v>
      </c>
      <c r="D374" t="b">
        <v>0</v>
      </c>
      <c r="E374">
        <v>6</v>
      </c>
      <c r="F374">
        <v>4</v>
      </c>
      <c r="G374">
        <v>3</v>
      </c>
      <c r="H374" t="s">
        <v>1110</v>
      </c>
    </row>
    <row r="375" spans="1:8" x14ac:dyDescent="0.25">
      <c r="A375">
        <v>38</v>
      </c>
      <c r="B375" t="b">
        <v>0</v>
      </c>
      <c r="C375" s="6">
        <v>46537.666666666664</v>
      </c>
      <c r="D375" t="b">
        <v>0</v>
      </c>
      <c r="E375">
        <v>7</v>
      </c>
      <c r="F375">
        <v>18</v>
      </c>
      <c r="G375">
        <v>3</v>
      </c>
      <c r="H375" t="s">
        <v>1110</v>
      </c>
    </row>
    <row r="376" spans="1:8" x14ac:dyDescent="0.25">
      <c r="A376">
        <v>38</v>
      </c>
      <c r="B376" t="b">
        <v>0</v>
      </c>
      <c r="C376" s="6">
        <v>46537.666666666664</v>
      </c>
      <c r="D376" t="b">
        <v>0</v>
      </c>
      <c r="E376">
        <v>8</v>
      </c>
      <c r="F376">
        <v>13</v>
      </c>
      <c r="G376">
        <v>2</v>
      </c>
      <c r="H376" t="s">
        <v>1110</v>
      </c>
    </row>
    <row r="377" spans="1:8" x14ac:dyDescent="0.25">
      <c r="A377">
        <v>38</v>
      </c>
      <c r="B377" t="b">
        <v>0</v>
      </c>
      <c r="C377" s="6">
        <v>46537.666666666664</v>
      </c>
      <c r="D377" t="b">
        <v>0</v>
      </c>
      <c r="E377">
        <v>11</v>
      </c>
      <c r="F377">
        <v>17</v>
      </c>
      <c r="G377">
        <v>2</v>
      </c>
      <c r="H377" t="s">
        <v>1110</v>
      </c>
    </row>
    <row r="378" spans="1:8" x14ac:dyDescent="0.25">
      <c r="A378">
        <v>38</v>
      </c>
      <c r="B378" t="b">
        <v>0</v>
      </c>
      <c r="C378" s="6">
        <v>46537.666666666664</v>
      </c>
      <c r="D378" t="b">
        <v>0</v>
      </c>
      <c r="E378">
        <v>12</v>
      </c>
      <c r="F378">
        <v>9</v>
      </c>
      <c r="G378">
        <v>3</v>
      </c>
      <c r="H378" t="s">
        <v>1110</v>
      </c>
    </row>
    <row r="379" spans="1:8" x14ac:dyDescent="0.25">
      <c r="A379">
        <v>38</v>
      </c>
      <c r="B379" t="b">
        <v>0</v>
      </c>
      <c r="C379" s="6">
        <v>46537.666666666664</v>
      </c>
      <c r="D379" t="b">
        <v>0</v>
      </c>
      <c r="E379">
        <v>14</v>
      </c>
      <c r="F379">
        <v>3</v>
      </c>
      <c r="G379">
        <v>3</v>
      </c>
      <c r="H379" t="s">
        <v>1110</v>
      </c>
    </row>
    <row r="380" spans="1:8" x14ac:dyDescent="0.25">
      <c r="A380">
        <v>38</v>
      </c>
      <c r="B380" t="b">
        <v>0</v>
      </c>
      <c r="C380" s="6">
        <v>46537.666666666664</v>
      </c>
      <c r="D380" t="b">
        <v>0</v>
      </c>
      <c r="E380">
        <v>16</v>
      </c>
      <c r="F380">
        <v>10</v>
      </c>
      <c r="G380">
        <v>2</v>
      </c>
      <c r="H380" t="s">
        <v>1110</v>
      </c>
    </row>
    <row r="381" spans="1:8" x14ac:dyDescent="0.25">
      <c r="A381">
        <v>38</v>
      </c>
      <c r="B381" t="b">
        <v>0</v>
      </c>
      <c r="C381" s="6">
        <v>46537.666666666664</v>
      </c>
      <c r="D381" t="b">
        <v>0</v>
      </c>
      <c r="E381">
        <v>20</v>
      </c>
      <c r="F381">
        <v>15</v>
      </c>
      <c r="G381">
        <v>4</v>
      </c>
      <c r="H381" t="s">
        <v>1110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253A-7B3E-4227-84CB-B81A041CC4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5338E-4285-45FB-B57E-AF340C15F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TEAM</vt:lpstr>
      <vt:lpstr>TEAM_BUILDER</vt:lpstr>
      <vt:lpstr>FPL_Raw_Data</vt:lpstr>
      <vt:lpstr>Player_Analysis</vt:lpstr>
      <vt:lpstr>Player_Model</vt:lpstr>
      <vt:lpstr>2023_24</vt:lpstr>
      <vt:lpstr>2024_25</vt:lpstr>
      <vt:lpstr>2025_26</vt:lpstr>
      <vt:lpstr>MODEL_CONFIG</vt:lpstr>
      <vt:lpstr>TEAM_ANALYSIS</vt:lpstr>
      <vt:lpstr>Fixture_Raw</vt:lpstr>
      <vt:lpstr>Raw_Teams</vt:lpstr>
      <vt:lpstr>FIXTURE_ANALYSIS</vt:lpstr>
      <vt:lpstr>TEAM_FIXTURES</vt:lpstr>
      <vt:lpstr>Gameweek_Raw</vt:lpstr>
      <vt:lpstr>AWAY_FIXTURES</vt:lpstr>
      <vt:lpstr>HOME_FIXTURES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Cowan</dc:creator>
  <cp:lastModifiedBy>Logan Cowan</cp:lastModifiedBy>
  <dcterms:created xsi:type="dcterms:W3CDTF">2026-08-18T16:08:59Z</dcterms:created>
  <dcterms:modified xsi:type="dcterms:W3CDTF">2026-09-07T09:28:33Z</dcterms:modified>
</cp:coreProperties>
</file>